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345" windowWidth="20505" windowHeight="7800" tabRatio="834"/>
  </bookViews>
  <sheets>
    <sheet name="ImportantDisclosures" sheetId="100" r:id="rId1"/>
    <sheet name="EPSVariance" sheetId="74" r:id="rId2"/>
    <sheet name="BullBaseBear" sheetId="73" r:id="rId3"/>
    <sheet name="sumry" sheetId="20" r:id="rId4"/>
    <sheet name="SG&amp;A breakout" sheetId="52" r:id="rId5"/>
    <sheet name="KateQtrSalesOld" sheetId="94" r:id="rId6"/>
    <sheet name="CoachSegsales&amp;OldOM" sheetId="77" r:id="rId7"/>
    <sheet name="CoachNAqtrSalesOld" sheetId="9" r:id="rId8"/>
    <sheet name="yrSales" sheetId="5" r:id="rId9"/>
    <sheet name="SegOM-New" sheetId="98" r:id="rId10"/>
    <sheet name="qtrP&amp;L" sheetId="1" r:id="rId11"/>
    <sheet name="yrP&amp;L" sheetId="15" r:id="rId12"/>
    <sheet name="turn" sheetId="10" r:id="rId13"/>
    <sheet name="work" sheetId="11" r:id="rId14"/>
    <sheet name="dtc" sheetId="22" r:id="rId15"/>
    <sheet name="flow" sheetId="3" r:id="rId16"/>
    <sheet name="bal" sheetId="2" r:id="rId17"/>
    <sheet name="MW-Cache" sheetId="70" state="veryHidden" r:id="rId18"/>
    <sheet name="MWA Lease" sheetId="89" r:id="rId19"/>
    <sheet name="DCF" sheetId="92" r:id="rId20"/>
    <sheet name="InvSalesChart" sheetId="95" r:id="rId21"/>
    <sheet name="IndexInformation" sheetId="101" r:id="rId22"/>
    <sheet name="ModPubIndex" sheetId="102" r:id="rId23"/>
  </sheets>
  <functionGroups builtInGroupCount="17"/>
  <externalReferences>
    <externalReference r:id="rId24"/>
  </externalReferences>
  <definedNames>
    <definedName name="__FDS_HYPERLINK_TOGGLE_STATE__" hidden="1">"ON"</definedName>
    <definedName name="__FDS_UNIQUE_RANGE_ID_GENERATOR_COUNTER">1</definedName>
    <definedName name="_bdm.0919A60515E242EA927211BD417739F4.edm" localSheetId="16" hidden="1">bal!$A$5:$AN$52</definedName>
    <definedName name="_bdm.37E5121A464E41F5962C44FD18C9D3B9.edm" localSheetId="15" hidden="1">flow!$A$6:$AN$62</definedName>
    <definedName name="_bdm.420C86315FB44482AE52BD55990A5319.edm" hidden="1">bal!$1:$1048576</definedName>
    <definedName name="_bdm.462C95531C034D4D91E56ACA478565A9.edm" localSheetId="3" hidden="1">sumry!$A$7:$DK$71</definedName>
    <definedName name="_bdm.6ABEBF1F6769499B8B2AA955B90CE6FC.edm" hidden="1">sumry!$1:$1048576</definedName>
    <definedName name="_bdm.9BD6448BFB244F319629651E2E39965E.edm" localSheetId="3" hidden="1">sumry!$A$7:$DK$55</definedName>
    <definedName name="_bdm.9D0C532BF48C42A89DE0F45CDC68DB3B.edm" hidden="1">flow!$1:$1048576</definedName>
    <definedName name="_bdm.F2F9E08E6D8846FF86EAE8367EF45519.edm" localSheetId="3" hidden="1">sumry!$A$7:$DK$55</definedName>
    <definedName name="_Order1" hidden="1">255</definedName>
    <definedName name="AAB_GSPPG" hidden="1">"AAB_Goldman Sachs PPG Chart Utilities 1.0g"</definedName>
    <definedName name="Act_Price" localSheetId="1">OFFSET(Date_Range,0,1,,1)</definedName>
    <definedName name="Act_Price" localSheetId="5">OFFSET(Date_Range,0,1,,1)</definedName>
    <definedName name="Act_Price">OFFSET(Date_Range,0,1,,1)</definedName>
    <definedName name="AdditionalInstructions">IndexInformation!$B$42</definedName>
    <definedName name="Address" localSheetId="0">ImportantDisclosures!$A$2:$A$2</definedName>
    <definedName name="ANA" localSheetId="22">ModPubIndex!$A$7</definedName>
    <definedName name="anscount" hidden="1">1</definedName>
    <definedName name="Authors" localSheetId="0">ImportantDisclosures!$A$7</definedName>
    <definedName name="Authors" localSheetId="21">IndexInformation!$B$18</definedName>
    <definedName name="BRO" localSheetId="22">ModPubIndex!$A$1</definedName>
    <definedName name="Chart_COE">#REF!:OFFSET(#REF!,0,#REF!)</definedName>
    <definedName name="Chart_RNOA">#REF!:OFFSET(#REF!,0,#REF!)</definedName>
    <definedName name="Chart_ROE">#REF!:OFFSET(#REF!,0,#REF!)</definedName>
    <definedName name="Chart_WACC">#REF!:OFFSET(#REF!,0,#REF!)</definedName>
    <definedName name="check" localSheetId="18">'MWA Lease'!$H$190:$P$190</definedName>
    <definedName name="CopyrightStamp">ImportantDisclosures!$A$27</definedName>
    <definedName name="COU" localSheetId="22">ModPubIndex!$A$5</definedName>
    <definedName name="CQEnd" localSheetId="21">IndexInformation!$B$31</definedName>
    <definedName name="Currency" localSheetId="21">IndexInformation!$B$24</definedName>
    <definedName name="CurrentStockPrice" localSheetId="21">IndexInformation!$B$23</definedName>
    <definedName name="CurrQtrEPS" localSheetId="21">IndexInformation!$B$29</definedName>
    <definedName name="CurrYearEPS" localSheetId="21">IndexInformation!$B$11</definedName>
    <definedName name="CurrYearTotalRevenue" localSheetId="21">IndexInformation!$B$10</definedName>
    <definedName name="CurrYearTotalRevenueActual" localSheetId="21">IndexInformation!$B$32</definedName>
    <definedName name="CUSIP" localSheetId="21">IndexInformation!$B$20</definedName>
    <definedName name="CYEnd" localSheetId="21">IndexInformation!$B$30</definedName>
    <definedName name="Date" localSheetId="0">ImportantDisclosures!$A$8</definedName>
    <definedName name="Deleted" localSheetId="21">IndexInformation!$B$27</definedName>
    <definedName name="Description" localSheetId="21">IndexInformation!$B$7</definedName>
    <definedName name="Discipline" localSheetId="21">IndexInformation!$B$3</definedName>
    <definedName name="DISCIPLINE" localSheetId="22">ModPubIndex!$A$12</definedName>
    <definedName name="DisclosuresText">ImportantDisclosures!$A$22</definedName>
    <definedName name="Distribution" localSheetId="21">IndexInformation!$B$26</definedName>
    <definedName name="DistTable" localSheetId="0">ImportantDisclosures!#REF!</definedName>
    <definedName name="DistTablePreamble" localSheetId="0">ImportantDisclosures!#REF!</definedName>
    <definedName name="DOCDAT" localSheetId="22">ModPubIndex!$A$2</definedName>
    <definedName name="DOCTIME" localSheetId="22">ModPubIndex!$A$3</definedName>
    <definedName name="DocType" localSheetId="21">IndexInformation!$B$5</definedName>
    <definedName name="Download_series" localSheetId="5">[1]!Download_series</definedName>
    <definedName name="Download_series">[1]!Download_series</definedName>
    <definedName name="EMAIL_ALERT" localSheetId="22">ModPubIndex!$A$10</definedName>
    <definedName name="EmailAlert" localSheetId="21">IndexInformation!$B$28</definedName>
    <definedName name="FINCopyDirection">1</definedName>
    <definedName name="FINCriteriaType">1</definedName>
    <definedName name="FiveYearGrowthRate" localSheetId="21">IndexInformation!$B$16</definedName>
    <definedName name="FollowingYearEPS" localSheetId="21">IndexInformation!$B$15</definedName>
    <definedName name="FollowingYearTotalRevenue" localSheetId="21">IndexInformation!$B$14</definedName>
    <definedName name="FollowingYearTotalRevenueActual" localSheetId="21">IndexInformation!$B$34</definedName>
    <definedName name="Growth_ROIC" localSheetId="18">OFFSET([0]!XRange,10,0)</definedName>
    <definedName name="HL" localSheetId="22">ModPubIndex!$A$8</definedName>
    <definedName name="IND" localSheetId="22">ModPubIndex!$A$9</definedName>
    <definedName name="Industry" localSheetId="0">ImportantDisclosures!$A$12</definedName>
    <definedName name="IndustryId">IndexInformation!$B$40</definedName>
    <definedName name="IndustryRating" localSheetId="0">ImportantDisclosures!$A$13</definedName>
    <definedName name="InvestCapGrowth" localSheetId="18">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18" hidden="1">"c3460"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41898.2831828704</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18" hidden="1">"c2895"</definedName>
    <definedName name="IQ_RETAIL_ACQUIRED_FRANCHISE_STORES" hidden="1">"c2903"</definedName>
    <definedName name="IQ_RETAIL_ACQUIRED_OWNED_STORES" localSheetId="18"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18" hidden="1">39489.6256597222</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21">IndexInformation!$B$8</definedName>
    <definedName name="LanguageCode">IndexInformation!$B$38</definedName>
    <definedName name="LastCell" localSheetId="0">ImportantDisclosures!$A$22</definedName>
    <definedName name="Linking_1">#N/A</definedName>
    <definedName name="Linking_3">sumry!$A$7:$DR$55</definedName>
    <definedName name="Linking_4">bal!$A$5:$BG$52</definedName>
    <definedName name="Linking_5">flow!$A$6:$BF$62</definedName>
    <definedName name="Linking_Range_1">sumry!$A$7:$DK$55</definedName>
    <definedName name="Linking_Range_10">flow!$A$6:$AW$65</definedName>
    <definedName name="Linking_Range_11">EPSVariance!$Q$2:$Z$52</definedName>
    <definedName name="Linking_Range_13">bal!$A$5:$AR$52</definedName>
    <definedName name="Linking_Range_14">flow!$A$6:$AP$62</definedName>
    <definedName name="Linking_Range_15">sumry!$A$7:$DL$56</definedName>
    <definedName name="Linking_Range_16">bal!$A$5:$AS$52</definedName>
    <definedName name="Linking_Range_17">flow!$A$6:$AR$62</definedName>
    <definedName name="Linking_Range_18">EPSVariance!$Q$2:$AB$52</definedName>
    <definedName name="Linking_Range_2">bal!$A$5:$AN$52</definedName>
    <definedName name="Linking_Range_20">sumry!$A$2:$DS$79</definedName>
    <definedName name="Linking_Range_21">'yrP&amp;L'!$A$4:$AI$88</definedName>
    <definedName name="Linking_Range_22">EPSVariance!$Q$2:$AB$37</definedName>
    <definedName name="Linking_Range_23">EPSVariance!$A$2:$L$37</definedName>
    <definedName name="Linking_Range_24">sumry!$A$7:$DN$71</definedName>
    <definedName name="Linking_Range_25">sumry!$A$6:$DN$71</definedName>
    <definedName name="Linking_Range_26">'qtrP&amp;L'!$A$6:$CH$87</definedName>
    <definedName name="Linking_Range_27">'qtrP&amp;L'!$A$88:$CH$201</definedName>
    <definedName name="Linking_Range_28">'qtrP&amp;L'!$B$6:$CH$201</definedName>
    <definedName name="Linking_Range_3">flow!$A$6:$AN$62</definedName>
    <definedName name="Linking_Range_30">'CoachSegsales&amp;OldOM'!$A$6:$AJ$76</definedName>
    <definedName name="Linking_Range_31">'qtrP&amp;L'!$A$6:$CH$201</definedName>
    <definedName name="Linking_Range_32">'qtrP&amp;L'!$A$5:$CH$84</definedName>
    <definedName name="Linking_Range_33">'qtrP&amp;L'!$A$5:$CH$211</definedName>
    <definedName name="Linking_Range_36">'CoachSegsales&amp;OldOM'!$A$6:$AN$76</definedName>
    <definedName name="Linking_Range_37">bal!$A$5:$AX$52</definedName>
    <definedName name="Linking_Range_38">flow!$A$6:$AX$62</definedName>
    <definedName name="Linking_Range_39">BullBaseBear!$A$42:$Q$119</definedName>
    <definedName name="Linking_Range_4">EPSVariance!$Q$2:$Y$37</definedName>
    <definedName name="Linking_Range_40">sumry!$A$7:$DN$55</definedName>
    <definedName name="Linking_Range_41">sumry!$A$6:$DN$55</definedName>
    <definedName name="Linking_Range_42">flow!$A$6:$AU$62</definedName>
    <definedName name="Linking_Range_43">sumry!$A$7:$DO$55</definedName>
    <definedName name="Linking_Range_44">bal!$A$5:$AW$52</definedName>
    <definedName name="Linking_Range_45">flow!$A$6:$AW$62</definedName>
    <definedName name="Linking_Range_46">bal!$A$5:$BB$52</definedName>
    <definedName name="Linking_Range_47">flow!$A$6:$BB$34</definedName>
    <definedName name="Linking_Range_48">flow!$A$6:$BB$62</definedName>
    <definedName name="Linking_Range_5">sumry!$A$7:$DL$55</definedName>
    <definedName name="Linking_Range_6">bal!$A$5:$AV$52</definedName>
    <definedName name="Linking_Range_7">flow!$A$6:$AV$59</definedName>
    <definedName name="Linking_Range_8">EPSVariance!$Q$2:$Y$47</definedName>
    <definedName name="Linking_Range_9">EPSVariance!$Q$2:$Y$38</definedName>
    <definedName name="MacroVersion" localSheetId="21">IndexInformation!$B$1</definedName>
    <definedName name="ModelPrice" localSheetId="0">ImportantDisclosures!$A$14</definedName>
    <definedName name="Multiplier" localSheetId="21">IndexInformation!$B$35</definedName>
    <definedName name="NextYearEPS" localSheetId="21">IndexInformation!$B$13</definedName>
    <definedName name="NextYearTotalRevenue" localSheetId="21">IndexInformation!$B$12</definedName>
    <definedName name="NextYearTotalRevenueActual" localSheetId="21">IndexInformation!$B$33</definedName>
    <definedName name="ObjectType">IndexInformation!$B$37</definedName>
    <definedName name="OpMargin" localSheetId="18">OFFSET([0]!XRange2,5,0)</definedName>
    <definedName name="PANA" localSheetId="22">ModPubIndex!$A$11</definedName>
    <definedName name="PathName" localSheetId="21">IndexInformation!$B$25</definedName>
    <definedName name="Phase1NPVFCF" localSheetId="18">OFFSET([0]!XRange,39,0)</definedName>
    <definedName name="Phase2NPVFCF" localSheetId="18">OFFSET([0]!XRange,40,0)</definedName>
    <definedName name="Phase3NPVFCF" localSheetId="18">OFFSET([0]!XRange,41,0)</definedName>
    <definedName name="_xlnm.Print_Area" localSheetId="16">bal!$A$1:$BG$52</definedName>
    <definedName name="_xlnm.Print_Area" localSheetId="7">CoachNAqtrSalesOld!$A$1:$AV$179</definedName>
    <definedName name="_xlnm.Print_Area" localSheetId="6">'CoachSegsales&amp;OldOM'!$AO$3:$BZ$90</definedName>
    <definedName name="_xlnm.Print_Area" localSheetId="14">dtc!$A$1:$AO$68</definedName>
    <definedName name="_xlnm.Print_Area" localSheetId="5">KateQtrSalesOld!$A$1:$AX$61</definedName>
    <definedName name="_xlnm.Print_Area" localSheetId="10">'qtrP&amp;L'!$A$1:$CU$224</definedName>
    <definedName name="_xlnm.Print_Area" localSheetId="4">'SG&amp;A breakout'!$A$1:$AN$193</definedName>
    <definedName name="_xlnm.Print_Area" localSheetId="3">sumry!$A$2:$DT$79</definedName>
    <definedName name="_xlnm.Print_Area" localSheetId="12">turn!$A$1:$AJ$183</definedName>
    <definedName name="_xlnm.Print_Area" localSheetId="13">work!$A$1:$CA$47</definedName>
    <definedName name="_xlnm.Print_Area" localSheetId="11">'yrP&amp;L'!$A$1:$AJ$111</definedName>
    <definedName name="_xlnm.Print_Area" localSheetId="8">yrSales!$A$2:$AI$166</definedName>
    <definedName name="_xlnm.Print_Area">#REF!</definedName>
    <definedName name="_xlnm.Print_Titles" localSheetId="10">'qtrP&amp;L'!$A:$B,'qtrP&amp;L'!$1:$6</definedName>
    <definedName name="_xlnm.Print_Titles">#REF!</definedName>
    <definedName name="PRODUCT" localSheetId="22">ModPubIndex!$A$6</definedName>
    <definedName name="ProjectName" localSheetId="1">{"Client Name or Project Name"}</definedName>
    <definedName name="ProjectName">{"Client Name or Project Name"}</definedName>
    <definedName name="PSYM" localSheetId="22">ModPubIndex!$A$4</definedName>
    <definedName name="PublishDate" localSheetId="21">IndexInformation!$B$2</definedName>
    <definedName name="Rating" localSheetId="21">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OFFSET(Date_Range,0,10,,1)</definedName>
    <definedName name="Rel_Forw" localSheetId="5">OFFSET(Date_Range,0,10,,1)</definedName>
    <definedName name="Rel_Forw">OFFSET(Date_Range,0,10,,1)</definedName>
    <definedName name="Rem_Bus_ROIC" localSheetId="18">OFFSET([0]!XRange,11,0)</definedName>
    <definedName name="ResearchTopic" localSheetId="21">IndexInformation!$B$4</definedName>
    <definedName name="RIC" localSheetId="21">IndexInformation!$B$21</definedName>
    <definedName name="rngAppName" localSheetId="18">'MWA Lease'!$A$1</definedName>
    <definedName name="rngCompany" localSheetId="18">'MWA Lease'!$F$6</definedName>
    <definedName name="rngTicker" localSheetId="18">'MWA Lease'!$I$3</definedName>
    <definedName name="RNOA_Print">#N/A</definedName>
    <definedName name="SECSettlement" localSheetId="0">ImportantDisclosures!#REF!</definedName>
    <definedName name="SEDOL" localSheetId="21">IndexInformation!$B$22</definedName>
    <definedName name="SedolTicker" localSheetId="18">'MWA Lease'!$F$4</definedName>
    <definedName name="SourceDefined" localSheetId="0">ImportantDisclosures!$A$19</definedName>
    <definedName name="StockRating" localSheetId="0">ImportantDisclosures!$A$11</definedName>
    <definedName name="SubjectCode" localSheetId="21">IndexInformation!$B$6</definedName>
    <definedName name="SubmitterUserId">IndexInformation!$B$39</definedName>
    <definedName name="SUPPRESSED" localSheetId="22">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1">IndexInformation!$B$19</definedName>
    <definedName name="Total_Bus_ROIC" localSheetId="18">OFFSET([0]!XRange,12,0)</definedName>
    <definedName name="TRSLTicker">"COH.N"</definedName>
    <definedName name="Update_This" localSheetId="5">[1]!Update_This</definedName>
    <definedName name="Update_This">[1]!Update_This</definedName>
    <definedName name="UpdateReason" localSheetId="21">IndexInformation!$B$17</definedName>
    <definedName name="USRegDisclosures" localSheetId="0">ImportantDisclosures!#REF!</definedName>
    <definedName name="Version">"June 29, 2004"</definedName>
    <definedName name="WACC" localSheetId="18">OFFSET([0]!XRange,13,0)</definedName>
  </definedNames>
  <calcPr calcId="145621" iterate="1"/>
</workbook>
</file>

<file path=xl/calcChain.xml><?xml version="1.0" encoding="utf-8"?>
<calcChain xmlns="http://schemas.openxmlformats.org/spreadsheetml/2006/main">
  <c r="AD174" i="10" l="1"/>
  <c r="H174" i="10"/>
  <c r="L174" i="10"/>
  <c r="J174" i="10" l="1"/>
  <c r="R174" i="10" s="1"/>
  <c r="X174" i="10"/>
  <c r="Z174" i="10" s="1"/>
  <c r="P174" i="10"/>
  <c r="N174" i="10"/>
  <c r="H173" i="10" l="1"/>
  <c r="Q69" i="73"/>
  <c r="W42" i="73" l="1"/>
  <c r="W41" i="73"/>
  <c r="CN125" i="1"/>
  <c r="CR58" i="1"/>
  <c r="CS29" i="1"/>
  <c r="D38" i="98"/>
  <c r="L33" i="98"/>
  <c r="L32" i="98"/>
  <c r="U174" i="9" l="1"/>
  <c r="CS91" i="1"/>
  <c r="CR31" i="1"/>
  <c r="CR91" i="1"/>
  <c r="CS21" i="1"/>
  <c r="CR21" i="1"/>
  <c r="CS31" i="1"/>
  <c r="BY29" i="11"/>
  <c r="BZ29" i="11"/>
  <c r="BZ35" i="11" s="1"/>
  <c r="BY23" i="11"/>
  <c r="BZ23" i="11"/>
  <c r="BY17" i="11"/>
  <c r="BZ17" i="11"/>
  <c r="BX35" i="11"/>
  <c r="BY35" i="11" s="1"/>
  <c r="BX17" i="11"/>
  <c r="BZ11" i="11"/>
  <c r="BY11" i="11"/>
  <c r="O4" i="95" s="1"/>
  <c r="AN57" i="22"/>
  <c r="AN51" i="22"/>
  <c r="AN39" i="22"/>
  <c r="AN33" i="22"/>
  <c r="BX41" i="11" l="1"/>
  <c r="AG31" i="98" l="1"/>
  <c r="I56" i="94"/>
  <c r="L174" i="9" l="1"/>
  <c r="L56" i="94"/>
  <c r="N56" i="94"/>
  <c r="M56" i="94"/>
  <c r="D56" i="94"/>
  <c r="V56" i="94"/>
  <c r="AV31" i="98"/>
  <c r="AQ31" i="98"/>
  <c r="AM31" i="98"/>
  <c r="AC31" i="98"/>
  <c r="Y31" i="98"/>
  <c r="O31" i="98"/>
  <c r="CW18" i="1"/>
  <c r="CO50" i="20" l="1" a="1"/>
  <c r="CO50" i="20" s="1"/>
  <c r="E17" i="74"/>
  <c r="E11" i="74"/>
  <c r="B37" i="74"/>
  <c r="B36" i="74"/>
  <c r="B35" i="74"/>
  <c r="B34" i="74"/>
  <c r="B33" i="74"/>
  <c r="B30" i="74"/>
  <c r="B29" i="74"/>
  <c r="B28" i="74"/>
  <c r="B27" i="74"/>
  <c r="B26" i="74"/>
  <c r="B25" i="74"/>
  <c r="B22" i="74"/>
  <c r="B21" i="74"/>
  <c r="B19" i="74"/>
  <c r="B17" i="74"/>
  <c r="B15" i="74"/>
  <c r="B13" i="74"/>
  <c r="B11" i="74"/>
  <c r="B9" i="74"/>
  <c r="B8" i="74"/>
  <c r="B6" i="74"/>
  <c r="B4" i="74"/>
  <c r="CP50" i="20" l="1"/>
  <c r="C34" i="74" s="1"/>
  <c r="CR50" i="20"/>
  <c r="CQ50" i="20"/>
  <c r="Y29" i="98" l="1"/>
  <c r="AO100" i="77"/>
  <c r="AA71" i="15" l="1"/>
  <c r="AB71" i="15" s="1"/>
  <c r="AC71" i="15" s="1"/>
  <c r="AA99" i="5" l="1"/>
  <c r="DR50" i="20" s="1"/>
  <c r="AB99" i="5"/>
  <c r="DS50" i="20" s="1"/>
  <c r="AC99" i="5"/>
  <c r="DT50" i="20" s="1"/>
  <c r="Z99" i="5"/>
  <c r="DQ50" i="20" s="1"/>
  <c r="AC9" i="15" l="1"/>
  <c r="AB9" i="15"/>
  <c r="AA9" i="15"/>
  <c r="Z9" i="15"/>
  <c r="J93" i="77" l="1"/>
  <c r="DK31" i="1"/>
  <c r="X224" i="5"/>
  <c r="AX20" i="98"/>
  <c r="AM20" i="98"/>
  <c r="AT20" i="98"/>
  <c r="AE20" i="98"/>
  <c r="AE19" i="98" s="1"/>
  <c r="AI17" i="98"/>
  <c r="AI18" i="98"/>
  <c r="AH20" i="98"/>
  <c r="Y20" i="98"/>
  <c r="X17" i="98"/>
  <c r="W17" i="98"/>
  <c r="AH17" i="98" s="1"/>
  <c r="W18" i="98"/>
  <c r="Y18" i="98" s="1"/>
  <c r="W16" i="98"/>
  <c r="AH16" i="98" s="1"/>
  <c r="W10" i="98"/>
  <c r="W11" i="98"/>
  <c r="W13" i="98"/>
  <c r="X20" i="98" s="1"/>
  <c r="W9" i="98"/>
  <c r="Y9" i="98" s="1"/>
  <c r="BY10" i="11"/>
  <c r="N4" i="95" s="1"/>
  <c r="J30" i="98"/>
  <c r="V55" i="94"/>
  <c r="I55" i="94"/>
  <c r="AX26" i="98"/>
  <c r="AX25" i="98"/>
  <c r="AX24" i="98"/>
  <c r="AX23" i="98"/>
  <c r="AT23" i="98"/>
  <c r="AT26" i="98"/>
  <c r="AT25" i="98"/>
  <c r="AV25" i="98" s="1"/>
  <c r="AT24" i="98"/>
  <c r="AV24" i="98" s="1"/>
  <c r="AE26" i="98"/>
  <c r="AE24" i="98"/>
  <c r="AH24" i="98" s="1"/>
  <c r="AE23" i="98"/>
  <c r="AG23" i="98" s="1"/>
  <c r="AV30" i="98"/>
  <c r="AG30" i="98"/>
  <c r="AQ30" i="98"/>
  <c r="AC30" i="98"/>
  <c r="K30" i="98"/>
  <c r="AM30" i="98"/>
  <c r="Y30" i="98"/>
  <c r="O30" i="98"/>
  <c r="W27" i="98"/>
  <c r="AK27" i="98"/>
  <c r="AL27" i="98" s="1"/>
  <c r="AH25" i="98"/>
  <c r="AH26" i="98"/>
  <c r="AI30" i="98"/>
  <c r="AI25" i="98"/>
  <c r="S23" i="98"/>
  <c r="D17" i="98"/>
  <c r="D18" i="98"/>
  <c r="S18" i="98" s="1"/>
  <c r="D19" i="98"/>
  <c r="E26" i="98" s="1"/>
  <c r="D16" i="98"/>
  <c r="D12" i="98"/>
  <c r="S12" i="98" s="1"/>
  <c r="D9" i="98"/>
  <c r="D10" i="98"/>
  <c r="D11" i="98"/>
  <c r="Y11" i="98" s="1"/>
  <c r="BD25" i="98"/>
  <c r="BD18" i="98"/>
  <c r="BD17" i="98"/>
  <c r="BD16" i="98"/>
  <c r="BD13" i="98"/>
  <c r="BD11" i="98"/>
  <c r="BD10" i="98"/>
  <c r="BD9" i="98"/>
  <c r="S26" i="98"/>
  <c r="S25" i="98"/>
  <c r="S24" i="98"/>
  <c r="N33" i="98"/>
  <c r="N32" i="98"/>
  <c r="AE32" i="98" s="1"/>
  <c r="AF32" i="98" s="1"/>
  <c r="R30" i="98"/>
  <c r="N27" i="98"/>
  <c r="D27" i="98"/>
  <c r="X12" i="5" s="1"/>
  <c r="AV26" i="98"/>
  <c r="AM26" i="98"/>
  <c r="AM33" i="98" s="1"/>
  <c r="AG26" i="98"/>
  <c r="Y26" i="98"/>
  <c r="R26" i="98"/>
  <c r="P26" i="98"/>
  <c r="O26" i="98"/>
  <c r="F26" i="98"/>
  <c r="AM25" i="98"/>
  <c r="AM32" i="98" s="1"/>
  <c r="AG25" i="98"/>
  <c r="AF25" i="98"/>
  <c r="Y25" i="98"/>
  <c r="X25" i="98"/>
  <c r="R25" i="98"/>
  <c r="P25" i="98"/>
  <c r="O25" i="98"/>
  <c r="F25" i="98"/>
  <c r="AM24" i="98"/>
  <c r="AG24" i="98"/>
  <c r="AF24" i="98"/>
  <c r="Y24" i="98"/>
  <c r="X24" i="98"/>
  <c r="R24" i="98"/>
  <c r="P24" i="98"/>
  <c r="O24" i="98"/>
  <c r="F24" i="98"/>
  <c r="AU23" i="98"/>
  <c r="AM23" i="98"/>
  <c r="Y23" i="98"/>
  <c r="X23" i="98"/>
  <c r="R23" i="98"/>
  <c r="P23" i="98"/>
  <c r="O23" i="98"/>
  <c r="F23" i="98"/>
  <c r="X27" i="98"/>
  <c r="N20" i="98"/>
  <c r="AT19" i="98"/>
  <c r="AV19" i="98" s="1"/>
  <c r="R19" i="98"/>
  <c r="P19" i="98"/>
  <c r="AV18" i="98"/>
  <c r="AG18" i="98"/>
  <c r="R18" i="98"/>
  <c r="P18" i="98"/>
  <c r="AV17" i="98"/>
  <c r="AG17" i="98"/>
  <c r="R17" i="98"/>
  <c r="P17" i="98"/>
  <c r="AV16" i="98"/>
  <c r="AG16" i="98"/>
  <c r="R16" i="98"/>
  <c r="P16" i="98"/>
  <c r="R12" i="98"/>
  <c r="P12" i="98"/>
  <c r="R11" i="98"/>
  <c r="R10" i="98"/>
  <c r="R9" i="98"/>
  <c r="Y227" i="5"/>
  <c r="Y226" i="5"/>
  <c r="L173" i="9"/>
  <c r="N48" i="94"/>
  <c r="H172" i="10"/>
  <c r="AN38" i="22"/>
  <c r="AN32" i="22"/>
  <c r="BY28" i="11"/>
  <c r="BY22" i="11"/>
  <c r="BX34" i="11"/>
  <c r="BX16" i="11"/>
  <c r="CR30" i="1"/>
  <c r="DL30" i="1" s="1"/>
  <c r="CS30" i="1"/>
  <c r="CR20" i="1"/>
  <c r="CS20" i="1" s="1"/>
  <c r="AG19" i="98" l="1"/>
  <c r="X16" i="98"/>
  <c r="AH23" i="98"/>
  <c r="AE27" i="98"/>
  <c r="AH27" i="98" s="1"/>
  <c r="Y16" i="98"/>
  <c r="AH18" i="98"/>
  <c r="BD20" i="98"/>
  <c r="AF23" i="98"/>
  <c r="AU25" i="98"/>
  <c r="AT27" i="98"/>
  <c r="Y17" i="98"/>
  <c r="X18" i="98"/>
  <c r="DK30" i="1"/>
  <c r="AU27" i="98"/>
  <c r="AV23" i="98"/>
  <c r="BD23" i="98"/>
  <c r="AU24" i="98"/>
  <c r="BD24" i="98"/>
  <c r="AX27" i="98"/>
  <c r="AY27" i="98" s="1"/>
  <c r="BD27" i="98"/>
  <c r="E24" i="98"/>
  <c r="U26" i="98"/>
  <c r="U12" i="98"/>
  <c r="S17" i="98"/>
  <c r="U17" i="98" s="1"/>
  <c r="F17" i="98"/>
  <c r="Y10" i="98"/>
  <c r="S10" i="98"/>
  <c r="U10" i="98" s="1"/>
  <c r="E25" i="98"/>
  <c r="U24" i="98"/>
  <c r="U18" i="98"/>
  <c r="F9" i="98"/>
  <c r="U25" i="98"/>
  <c r="S20" i="98"/>
  <c r="U23" i="98"/>
  <c r="F16" i="98"/>
  <c r="BD19" i="98"/>
  <c r="D13" i="98"/>
  <c r="F11" i="98"/>
  <c r="F10" i="98"/>
  <c r="E17" i="98"/>
  <c r="S27" i="98"/>
  <c r="E23" i="98"/>
  <c r="S9" i="98"/>
  <c r="U9" i="98" s="1"/>
  <c r="S16" i="98"/>
  <c r="E18" i="98"/>
  <c r="F12" i="98"/>
  <c r="S11" i="98"/>
  <c r="U11" i="98" s="1"/>
  <c r="BD26" i="98"/>
  <c r="F18" i="98"/>
  <c r="S19" i="98"/>
  <c r="U19" i="98" s="1"/>
  <c r="E19" i="98"/>
  <c r="F19" i="98"/>
  <c r="E16" i="98"/>
  <c r="AE33" i="98"/>
  <c r="AF33" i="98" s="1"/>
  <c r="AT33" i="98"/>
  <c r="AU33" i="98" s="1"/>
  <c r="N34" i="98"/>
  <c r="Y16" i="5" s="1"/>
  <c r="Y27" i="98"/>
  <c r="AM27" i="98"/>
  <c r="AV27" i="98"/>
  <c r="O27" i="98"/>
  <c r="AG20" i="98"/>
  <c r="N13" i="98"/>
  <c r="AT32" i="98"/>
  <c r="AU32" i="98" s="1"/>
  <c r="AF26" i="98"/>
  <c r="AU26" i="98"/>
  <c r="AU31" i="98"/>
  <c r="AF31" i="98"/>
  <c r="P30" i="98"/>
  <c r="F30" i="98"/>
  <c r="E30" i="98"/>
  <c r="M5" i="95" s="1"/>
  <c r="AV20" i="98"/>
  <c r="AN50" i="22"/>
  <c r="AN56" i="22" s="1"/>
  <c r="AG27" i="98" l="1"/>
  <c r="AN62" i="22"/>
  <c r="AU30" i="98"/>
  <c r="E27" i="98"/>
  <c r="U16" i="98"/>
  <c r="BD12" i="98"/>
  <c r="E20" i="98"/>
  <c r="Y13" i="98"/>
  <c r="O20" i="98"/>
  <c r="O34" i="98"/>
  <c r="AT34" i="98"/>
  <c r="AF30" i="98"/>
  <c r="AE34" i="98"/>
  <c r="X30" i="98"/>
  <c r="AL30" i="98"/>
  <c r="AG34" i="98" l="1"/>
  <c r="AU34" i="98"/>
  <c r="AV34" i="98"/>
  <c r="S30" i="98" l="1"/>
  <c r="U30" i="98" s="1"/>
  <c r="U249" i="5"/>
  <c r="AH30" i="98" l="1"/>
  <c r="CW59" i="20"/>
  <c r="CU60" i="20"/>
  <c r="CV60" i="20"/>
  <c r="CW60" i="20"/>
  <c r="CU61" i="20"/>
  <c r="CV61" i="20"/>
  <c r="CW61" i="20"/>
  <c r="CT62" i="20"/>
  <c r="CU62" i="20"/>
  <c r="CV62" i="20"/>
  <c r="CW62" i="20"/>
  <c r="CX62" i="20"/>
  <c r="CY62" i="20"/>
  <c r="CZ62" i="20"/>
  <c r="DA62" i="20"/>
  <c r="DB62" i="20"/>
  <c r="DC62" i="20"/>
  <c r="CT63" i="20"/>
  <c r="CU63" i="20"/>
  <c r="CV63" i="20"/>
  <c r="CW63" i="20"/>
  <c r="CX63" i="20"/>
  <c r="CY63" i="20"/>
  <c r="CZ63" i="20"/>
  <c r="DA63" i="20"/>
  <c r="DB63" i="20"/>
  <c r="DC63" i="20"/>
  <c r="DD63" i="20"/>
  <c r="DE63" i="20"/>
  <c r="DF63" i="20"/>
  <c r="CR51" i="20"/>
  <c r="CQ51" i="20"/>
  <c r="CP51" i="20"/>
  <c r="CO51" i="20"/>
  <c r="CL51" i="20"/>
  <c r="CK51" i="20"/>
  <c r="CJ51" i="20"/>
  <c r="CH51" i="20"/>
  <c r="CG51" i="20"/>
  <c r="CF51" i="20"/>
  <c r="CE51" i="20"/>
  <c r="CM51" i="20"/>
  <c r="DI51" i="20"/>
  <c r="AA10" i="15"/>
  <c r="DR51" i="20" s="1"/>
  <c r="AB10" i="15"/>
  <c r="AC10" i="15"/>
  <c r="U10" i="15"/>
  <c r="DL51" i="20" s="1"/>
  <c r="Z10" i="15"/>
  <c r="DQ51" i="20" s="1"/>
  <c r="DP75" i="20"/>
  <c r="Y229" i="5"/>
  <c r="DP77" i="20" s="1"/>
  <c r="Y228" i="5"/>
  <c r="DP76" i="20" s="1"/>
  <c r="Z226" i="5"/>
  <c r="AA226" i="5" s="1"/>
  <c r="AB226" i="5" s="1"/>
  <c r="AC226" i="5" s="1"/>
  <c r="DT74" i="20" s="1"/>
  <c r="DP74" i="20"/>
  <c r="K50" i="94"/>
  <c r="W224" i="5"/>
  <c r="DN73" i="20" s="1"/>
  <c r="DM75" i="20"/>
  <c r="DN75" i="20"/>
  <c r="DO75" i="20"/>
  <c r="DM76" i="20"/>
  <c r="DN76" i="20"/>
  <c r="DO76" i="20"/>
  <c r="DM77" i="20"/>
  <c r="DN77" i="20"/>
  <c r="DO77" i="20"/>
  <c r="DM74" i="20"/>
  <c r="DN74" i="20"/>
  <c r="DO74" i="20"/>
  <c r="U228" i="5"/>
  <c r="Z228" i="5" l="1"/>
  <c r="AA228" i="5" s="1"/>
  <c r="AB228" i="5"/>
  <c r="DR76" i="20"/>
  <c r="Z229" i="5"/>
  <c r="DQ76" i="20"/>
  <c r="DS74" i="20"/>
  <c r="Z227" i="5"/>
  <c r="DR74" i="20"/>
  <c r="DQ74" i="20"/>
  <c r="AA227" i="5" l="1"/>
  <c r="DQ75" i="20"/>
  <c r="DQ77" i="20"/>
  <c r="AA229" i="5"/>
  <c r="AC228" i="5"/>
  <c r="DT76" i="20" s="1"/>
  <c r="DS76" i="20"/>
  <c r="T249" i="5"/>
  <c r="T10" i="15" s="1"/>
  <c r="DK51" i="20" s="1"/>
  <c r="S249" i="5"/>
  <c r="S10" i="15" s="1"/>
  <c r="DJ51" i="20" s="1"/>
  <c r="R249" i="5"/>
  <c r="Q249" i="5"/>
  <c r="P249" i="5"/>
  <c r="AS51" i="94"/>
  <c r="AS50" i="94"/>
  <c r="AS49" i="94"/>
  <c r="AS48" i="94"/>
  <c r="AS44" i="94"/>
  <c r="AS43" i="94"/>
  <c r="AS42" i="94"/>
  <c r="AS41" i="94"/>
  <c r="AS37" i="94"/>
  <c r="AS36" i="94"/>
  <c r="AS35" i="94"/>
  <c r="AS34" i="94"/>
  <c r="AS28" i="94"/>
  <c r="AS29" i="94"/>
  <c r="AS30" i="94"/>
  <c r="AS27" i="94"/>
  <c r="N221" i="5"/>
  <c r="P237" i="5"/>
  <c r="Q237" i="5"/>
  <c r="R237" i="5"/>
  <c r="S237" i="5"/>
  <c r="T237" i="5"/>
  <c r="T238" i="5" s="1"/>
  <c r="O237" i="5"/>
  <c r="P241" i="5"/>
  <c r="Q241" i="5"/>
  <c r="R241" i="5"/>
  <c r="S241" i="5"/>
  <c r="T241" i="5"/>
  <c r="O241" i="5"/>
  <c r="W240" i="5"/>
  <c r="X221" i="5"/>
  <c r="N14" i="5"/>
  <c r="O14" i="5"/>
  <c r="P14" i="5"/>
  <c r="Q14" i="5"/>
  <c r="R14" i="5"/>
  <c r="S14" i="5"/>
  <c r="S246" i="5" s="1"/>
  <c r="T14" i="5"/>
  <c r="AS38" i="94" l="1"/>
  <c r="AS45" i="94"/>
  <c r="DR77" i="20"/>
  <c r="AB229" i="5"/>
  <c r="S238" i="5"/>
  <c r="AS52" i="94"/>
  <c r="DR75" i="20"/>
  <c r="AB227" i="5"/>
  <c r="AS31" i="94"/>
  <c r="P15" i="5"/>
  <c r="Q251" i="5"/>
  <c r="O15" i="5"/>
  <c r="T251" i="5"/>
  <c r="T15" i="5"/>
  <c r="S15" i="5"/>
  <c r="R246" i="5"/>
  <c r="S247" i="5" s="1"/>
  <c r="S251" i="5"/>
  <c r="R15" i="5"/>
  <c r="Q246" i="5"/>
  <c r="P246" i="5"/>
  <c r="Q15" i="5"/>
  <c r="O246" i="5"/>
  <c r="T246" i="5"/>
  <c r="T247" i="5" s="1"/>
  <c r="P238" i="5"/>
  <c r="P251" i="5" s="1"/>
  <c r="Q238" i="5"/>
  <c r="R238" i="5"/>
  <c r="R251" i="5" s="1"/>
  <c r="T224" i="5"/>
  <c r="DK73" i="20" s="1"/>
  <c r="S224" i="5"/>
  <c r="DJ73" i="20" s="1"/>
  <c r="R224" i="5"/>
  <c r="DI73" i="20" s="1"/>
  <c r="Q224" i="5"/>
  <c r="P224" i="5"/>
  <c r="O224" i="5"/>
  <c r="N224" i="5"/>
  <c r="AA50" i="94"/>
  <c r="AA49" i="94"/>
  <c r="AA48" i="94"/>
  <c r="AA44" i="94"/>
  <c r="AA43" i="94"/>
  <c r="AA42" i="94"/>
  <c r="O50" i="94"/>
  <c r="O48" i="94"/>
  <c r="O44" i="94"/>
  <c r="O43" i="94"/>
  <c r="O28" i="94"/>
  <c r="W50" i="94"/>
  <c r="X50" i="94"/>
  <c r="M35" i="94"/>
  <c r="AA35" i="94" s="1"/>
  <c r="K35" i="94"/>
  <c r="K36" i="94"/>
  <c r="M36" i="94" s="1"/>
  <c r="K37" i="94"/>
  <c r="M37" i="94" s="1"/>
  <c r="V224" i="5" s="1"/>
  <c r="W231" i="5" s="1"/>
  <c r="AC229" i="5" l="1"/>
  <c r="DT77" i="20" s="1"/>
  <c r="DS77" i="20"/>
  <c r="DM73" i="20"/>
  <c r="W221" i="5"/>
  <c r="AC227" i="5"/>
  <c r="DT75" i="20" s="1"/>
  <c r="DS75" i="20"/>
  <c r="DS79" i="20" s="1"/>
  <c r="P247" i="5"/>
  <c r="Q247" i="5"/>
  <c r="R247" i="5"/>
  <c r="T221" i="5"/>
  <c r="S231" i="5"/>
  <c r="S243" i="5" s="1"/>
  <c r="T231" i="5"/>
  <c r="T243" i="5" s="1"/>
  <c r="U221" i="5"/>
  <c r="O221" i="5"/>
  <c r="N231" i="5"/>
  <c r="N234" i="5" s="1"/>
  <c r="P221" i="5"/>
  <c r="O231" i="5"/>
  <c r="O243" i="5" s="1"/>
  <c r="Q221" i="5"/>
  <c r="P231" i="5"/>
  <c r="R221" i="5"/>
  <c r="Q231" i="5"/>
  <c r="Q243" i="5" s="1"/>
  <c r="S221" i="5"/>
  <c r="R231" i="5"/>
  <c r="R243" i="5" s="1"/>
  <c r="Q50" i="94"/>
  <c r="K29" i="94"/>
  <c r="M29" i="94" s="1"/>
  <c r="O29" i="94" s="1"/>
  <c r="AA37" i="94"/>
  <c r="O37" i="94"/>
  <c r="Q44" i="94" s="1"/>
  <c r="AA36" i="94"/>
  <c r="O36" i="94"/>
  <c r="K30" i="94"/>
  <c r="K52" i="94"/>
  <c r="AA28" i="94"/>
  <c r="DT79" i="20" l="1"/>
  <c r="P243" i="5"/>
  <c r="Q244" i="5" s="1"/>
  <c r="P234" i="5"/>
  <c r="T232" i="5"/>
  <c r="T234" i="5"/>
  <c r="Q232" i="5"/>
  <c r="Q234" i="5"/>
  <c r="S232" i="5"/>
  <c r="S234" i="5"/>
  <c r="R232" i="5"/>
  <c r="R234" i="5"/>
  <c r="P232" i="5"/>
  <c r="O232" i="5"/>
  <c r="O234" i="5"/>
  <c r="O235" i="5" s="1"/>
  <c r="M30" i="94"/>
  <c r="Q36" i="94"/>
  <c r="AA29" i="94"/>
  <c r="Q43" i="94"/>
  <c r="AX46" i="2"/>
  <c r="AV39" i="3"/>
  <c r="AV50" i="3"/>
  <c r="AV133" i="2" s="1"/>
  <c r="AV44" i="3"/>
  <c r="AV43" i="3"/>
  <c r="AV25" i="3"/>
  <c r="AV14" i="3"/>
  <c r="AX14" i="3" s="1"/>
  <c r="AZ14" i="3" s="1"/>
  <c r="BB14" i="3" s="1"/>
  <c r="BD14" i="3" s="1"/>
  <c r="BF14" i="3" s="1"/>
  <c r="AV13" i="2"/>
  <c r="AH141" i="52"/>
  <c r="AI142" i="52"/>
  <c r="M140" i="52"/>
  <c r="AE142" i="52"/>
  <c r="AE135" i="52"/>
  <c r="AD141" i="52"/>
  <c r="AA139" i="52"/>
  <c r="AA140" i="52"/>
  <c r="AA142" i="52"/>
  <c r="M142" i="52"/>
  <c r="Z141" i="52"/>
  <c r="Z148" i="52" s="1"/>
  <c r="L143" i="52"/>
  <c r="L141" i="52"/>
  <c r="CA90" i="77"/>
  <c r="BU89" i="77"/>
  <c r="BQ89" i="77"/>
  <c r="BI89" i="77"/>
  <c r="BE89" i="77"/>
  <c r="AY89" i="77"/>
  <c r="AW89" i="77"/>
  <c r="BA89" i="77"/>
  <c r="AS89" i="77"/>
  <c r="AU89" i="77" s="1"/>
  <c r="AO89" i="77"/>
  <c r="AQ89" i="77" s="1"/>
  <c r="D51" i="94"/>
  <c r="CV70" i="1"/>
  <c r="CN23" i="1"/>
  <c r="U169" i="9"/>
  <c r="F169" i="9"/>
  <c r="G89" i="77" s="1"/>
  <c r="CM50" i="20" s="1"/>
  <c r="AC90" i="77"/>
  <c r="BS90" i="77" s="1"/>
  <c r="AD89" i="77"/>
  <c r="AL35" i="22"/>
  <c r="AL53" i="22" s="1"/>
  <c r="BU31" i="11"/>
  <c r="BU25" i="11"/>
  <c r="BU13" i="11"/>
  <c r="M4" i="95" s="1"/>
  <c r="M6" i="95" s="1"/>
  <c r="BU19" i="11"/>
  <c r="BT19" i="11"/>
  <c r="BT37" i="11" s="1"/>
  <c r="CO33" i="1"/>
  <c r="K5" i="95"/>
  <c r="J5" i="95"/>
  <c r="I5" i="95"/>
  <c r="H5" i="95"/>
  <c r="G5" i="95"/>
  <c r="F5" i="95"/>
  <c r="E5" i="95"/>
  <c r="D5" i="95"/>
  <c r="C5" i="95"/>
  <c r="B5" i="95"/>
  <c r="E13" i="74"/>
  <c r="V31" i="94"/>
  <c r="U14" i="5" s="1"/>
  <c r="K27" i="94"/>
  <c r="M27" i="94" s="1"/>
  <c r="AA27" i="94" s="1"/>
  <c r="K28" i="94"/>
  <c r="N29" i="94"/>
  <c r="AJ36" i="94"/>
  <c r="AL36" i="94" s="1"/>
  <c r="AJ37" i="94"/>
  <c r="AL43" i="94"/>
  <c r="L30" i="94"/>
  <c r="D41" i="94"/>
  <c r="I41" i="94" s="1"/>
  <c r="V45" i="94"/>
  <c r="V38" i="94"/>
  <c r="V14" i="5" s="1"/>
  <c r="AJ34" i="94"/>
  <c r="K42" i="94"/>
  <c r="L43" i="94" s="1"/>
  <c r="AJ30" i="94"/>
  <c r="U240" i="5" s="1"/>
  <c r="AJ41" i="94"/>
  <c r="K41" i="94"/>
  <c r="L41" i="94" s="1"/>
  <c r="D48" i="94"/>
  <c r="I48" i="94" s="1"/>
  <c r="AL42" i="94"/>
  <c r="AU42" i="94" s="1"/>
  <c r="F45" i="94"/>
  <c r="W249" i="5" s="1"/>
  <c r="W10" i="15" s="1"/>
  <c r="DN51" i="20" s="1"/>
  <c r="M41" i="94"/>
  <c r="N41" i="94" s="1"/>
  <c r="AE59" i="94"/>
  <c r="AE58" i="94"/>
  <c r="D58" i="94"/>
  <c r="AE57" i="94"/>
  <c r="D57" i="94"/>
  <c r="V57" i="94" s="1"/>
  <c r="AH56" i="94"/>
  <c r="AE56" i="94"/>
  <c r="AH55" i="94"/>
  <c r="AE55" i="94"/>
  <c r="AS55" i="94"/>
  <c r="AE52" i="94"/>
  <c r="AD52" i="94"/>
  <c r="AE51" i="94"/>
  <c r="AD51" i="94"/>
  <c r="AL50" i="94"/>
  <c r="AE50" i="94"/>
  <c r="N50" i="94"/>
  <c r="L50" i="94"/>
  <c r="AL49" i="94"/>
  <c r="AE49" i="94"/>
  <c r="L49" i="94"/>
  <c r="AL48" i="94"/>
  <c r="AU48" i="94" s="1"/>
  <c r="AH48" i="94"/>
  <c r="AE48" i="94"/>
  <c r="N49" i="94"/>
  <c r="AE45" i="94"/>
  <c r="AL44" i="94"/>
  <c r="AH44" i="94"/>
  <c r="AE44" i="94"/>
  <c r="AH43" i="94"/>
  <c r="AE43" i="94"/>
  <c r="AD43" i="94"/>
  <c r="AH42" i="94"/>
  <c r="AE42" i="94"/>
  <c r="AF42" i="94" s="1"/>
  <c r="AG42" i="94" s="1"/>
  <c r="AD42" i="94"/>
  <c r="AH41" i="94"/>
  <c r="AE41" i="94"/>
  <c r="AD41" i="94"/>
  <c r="AE38" i="94"/>
  <c r="AH37" i="94"/>
  <c r="AE37" i="94"/>
  <c r="AD37" i="94"/>
  <c r="AH36" i="94"/>
  <c r="AE36" i="94"/>
  <c r="AD36" i="94"/>
  <c r="D43" i="94"/>
  <c r="I43" i="94" s="1"/>
  <c r="L36" i="94"/>
  <c r="AH35" i="94"/>
  <c r="AE35" i="94"/>
  <c r="AD35" i="94"/>
  <c r="AH34" i="94"/>
  <c r="AE34" i="94"/>
  <c r="AD34" i="94"/>
  <c r="AE31" i="94"/>
  <c r="AL30" i="94"/>
  <c r="AU30" i="94" s="1"/>
  <c r="AE30" i="94"/>
  <c r="AD30" i="94"/>
  <c r="AL29" i="94"/>
  <c r="AU29" i="94" s="1"/>
  <c r="AH29" i="94"/>
  <c r="AF29" i="94" s="1"/>
  <c r="AG29" i="94" s="1"/>
  <c r="AE29" i="94"/>
  <c r="AD29" i="94"/>
  <c r="AL28" i="94"/>
  <c r="AU28" i="94" s="1"/>
  <c r="AH28" i="94"/>
  <c r="AE28" i="94"/>
  <c r="AD28" i="94"/>
  <c r="AH27" i="94"/>
  <c r="AF27" i="94" s="1"/>
  <c r="AG27" i="94" s="1"/>
  <c r="AE27" i="94"/>
  <c r="AD27" i="94"/>
  <c r="D34" i="94"/>
  <c r="I34" i="94" s="1"/>
  <c r="B31" i="94"/>
  <c r="B38" i="94" s="1"/>
  <c r="B45" i="94" s="1"/>
  <c r="B52" i="94" s="1"/>
  <c r="B59" i="94" s="1"/>
  <c r="A30" i="94"/>
  <c r="A37" i="94" s="1"/>
  <c r="A44" i="94" s="1"/>
  <c r="A51" i="94" s="1"/>
  <c r="A58" i="94" s="1"/>
  <c r="A29" i="94"/>
  <c r="A36" i="94" s="1"/>
  <c r="A43" i="94" s="1"/>
  <c r="A50" i="94" s="1"/>
  <c r="A57" i="94" s="1"/>
  <c r="A28" i="94"/>
  <c r="A35" i="94" s="1"/>
  <c r="A42" i="94" s="1"/>
  <c r="A49" i="94" s="1"/>
  <c r="A56" i="94" s="1"/>
  <c r="A27" i="94"/>
  <c r="A34" i="94" s="1"/>
  <c r="A41" i="94" s="1"/>
  <c r="A48" i="94" s="1"/>
  <c r="A55" i="94" s="1"/>
  <c r="B30" i="94"/>
  <c r="B37" i="94" s="1"/>
  <c r="B44" i="94" s="1"/>
  <c r="B51" i="94" s="1"/>
  <c r="B58" i="94" s="1"/>
  <c r="B29" i="94"/>
  <c r="B36" i="94" s="1"/>
  <c r="B43" i="94" s="1"/>
  <c r="B50" i="94" s="1"/>
  <c r="B57" i="94" s="1"/>
  <c r="B28" i="94"/>
  <c r="B35" i="94" s="1"/>
  <c r="B42" i="94" s="1"/>
  <c r="B49" i="94" s="1"/>
  <c r="B56" i="94" s="1"/>
  <c r="B27" i="94"/>
  <c r="B34" i="94" s="1"/>
  <c r="B41" i="94" s="1"/>
  <c r="B48" i="94" s="1"/>
  <c r="B55" i="94" s="1"/>
  <c r="C15" i="92"/>
  <c r="C34" i="92"/>
  <c r="H33" i="92"/>
  <c r="E23" i="92"/>
  <c r="F23" i="92" s="1"/>
  <c r="G23" i="92" s="1"/>
  <c r="H23" i="92" s="1"/>
  <c r="I23" i="92" s="1"/>
  <c r="J23" i="92" s="1"/>
  <c r="H8" i="92"/>
  <c r="I8" i="92" s="1"/>
  <c r="J8" i="92" s="1"/>
  <c r="H2" i="92"/>
  <c r="I2" i="92" s="1"/>
  <c r="J2" i="92" s="1"/>
  <c r="N149" i="89"/>
  <c r="O149" i="89" s="1"/>
  <c r="P149" i="89" s="1"/>
  <c r="Q149" i="89" s="1"/>
  <c r="R149" i="89" s="1"/>
  <c r="S149" i="89" s="1"/>
  <c r="T149" i="89" s="1"/>
  <c r="U149" i="89" s="1"/>
  <c r="V149" i="89" s="1"/>
  <c r="W149" i="89" s="1"/>
  <c r="M149" i="89"/>
  <c r="L149" i="89"/>
  <c r="K149" i="89"/>
  <c r="J149" i="89"/>
  <c r="I149" i="89"/>
  <c r="H149" i="89"/>
  <c r="C131" i="89"/>
  <c r="B131" i="89"/>
  <c r="C132" i="89" s="1"/>
  <c r="C130" i="89"/>
  <c r="C129" i="89"/>
  <c r="C128" i="89"/>
  <c r="C127" i="89"/>
  <c r="C126" i="89"/>
  <c r="C125" i="89"/>
  <c r="C124" i="89"/>
  <c r="C123" i="89"/>
  <c r="C122" i="89"/>
  <c r="C121" i="89"/>
  <c r="C120" i="89"/>
  <c r="C119" i="89"/>
  <c r="C118" i="89"/>
  <c r="C117" i="89"/>
  <c r="C116" i="89"/>
  <c r="C115" i="89"/>
  <c r="C114" i="89"/>
  <c r="C113" i="89"/>
  <c r="P116" i="89"/>
  <c r="O116" i="89"/>
  <c r="N116" i="89"/>
  <c r="M116" i="89"/>
  <c r="L116" i="89"/>
  <c r="K116" i="89"/>
  <c r="J116" i="89"/>
  <c r="P115" i="89"/>
  <c r="O115" i="89"/>
  <c r="N115" i="89"/>
  <c r="M115" i="89"/>
  <c r="L115" i="89"/>
  <c r="K115" i="89"/>
  <c r="J115" i="89"/>
  <c r="P114" i="89"/>
  <c r="O114" i="89"/>
  <c r="N114" i="89"/>
  <c r="M114" i="89"/>
  <c r="L114" i="89"/>
  <c r="K114" i="89"/>
  <c r="J114" i="89"/>
  <c r="P113" i="89"/>
  <c r="O113" i="89"/>
  <c r="N113" i="89"/>
  <c r="M113" i="89"/>
  <c r="L113" i="89"/>
  <c r="K113" i="89"/>
  <c r="J113" i="89"/>
  <c r="P112" i="89"/>
  <c r="O112" i="89"/>
  <c r="N112" i="89"/>
  <c r="M112" i="89"/>
  <c r="L112" i="89"/>
  <c r="K112" i="89"/>
  <c r="J112" i="89"/>
  <c r="P82" i="89"/>
  <c r="Q82" i="89" s="1"/>
  <c r="R82" i="89" s="1"/>
  <c r="S82" i="89" s="1"/>
  <c r="T82" i="89" s="1"/>
  <c r="O82" i="89"/>
  <c r="N82" i="89"/>
  <c r="M82" i="89"/>
  <c r="M83" i="89" s="1"/>
  <c r="L82" i="89"/>
  <c r="M117" i="89" s="1"/>
  <c r="K82" i="89"/>
  <c r="K83" i="89" s="1"/>
  <c r="J82" i="89"/>
  <c r="J83" i="89" s="1"/>
  <c r="J84" i="89" s="1"/>
  <c r="I82" i="89"/>
  <c r="K117" i="89"/>
  <c r="L83" i="89"/>
  <c r="Q81" i="89"/>
  <c r="R81" i="89" s="1"/>
  <c r="Q80" i="89"/>
  <c r="R80" i="89" s="1"/>
  <c r="Q79" i="89"/>
  <c r="R79" i="89" s="1"/>
  <c r="S79" i="89" s="1"/>
  <c r="Q78" i="89"/>
  <c r="R78" i="89" s="1"/>
  <c r="Q77" i="89"/>
  <c r="Q76" i="89"/>
  <c r="R76" i="89" s="1"/>
  <c r="S76" i="89" s="1"/>
  <c r="P72" i="89"/>
  <c r="O72" i="89"/>
  <c r="N72" i="89"/>
  <c r="M72" i="89"/>
  <c r="L72" i="89"/>
  <c r="K72" i="89"/>
  <c r="J72" i="89"/>
  <c r="I72" i="89"/>
  <c r="H72" i="89"/>
  <c r="P66" i="89"/>
  <c r="O66" i="89"/>
  <c r="N66" i="89"/>
  <c r="M66" i="89"/>
  <c r="L66" i="89"/>
  <c r="K66" i="89"/>
  <c r="K67" i="89" s="1"/>
  <c r="J66" i="89"/>
  <c r="I66" i="89"/>
  <c r="P63" i="89"/>
  <c r="Q63" i="89"/>
  <c r="R63" i="89" s="1"/>
  <c r="S63" i="89" s="1"/>
  <c r="T63" i="89" s="1"/>
  <c r="U63" i="89" s="1"/>
  <c r="V63" i="89" s="1"/>
  <c r="W63" i="89" s="1"/>
  <c r="O63" i="89"/>
  <c r="N63" i="89"/>
  <c r="M63" i="89"/>
  <c r="L63" i="89"/>
  <c r="M64" i="89" s="1"/>
  <c r="K63" i="89"/>
  <c r="J63" i="89"/>
  <c r="I63" i="89"/>
  <c r="K64" i="89"/>
  <c r="P48" i="89"/>
  <c r="O48" i="89"/>
  <c r="N48" i="89"/>
  <c r="M48" i="89"/>
  <c r="L48" i="89"/>
  <c r="K48" i="89"/>
  <c r="J48" i="89"/>
  <c r="I48" i="89"/>
  <c r="Q47" i="89"/>
  <c r="R47" i="89"/>
  <c r="S47" i="89" s="1"/>
  <c r="T47" i="89" s="1"/>
  <c r="U47" i="89" s="1"/>
  <c r="V47" i="89" s="1"/>
  <c r="W47" i="89" s="1"/>
  <c r="Q45" i="89"/>
  <c r="R45" i="89" s="1"/>
  <c r="S45" i="89" s="1"/>
  <c r="T45" i="89" s="1"/>
  <c r="U45" i="89" s="1"/>
  <c r="V45" i="89" s="1"/>
  <c r="W45" i="89" s="1"/>
  <c r="O7" i="89"/>
  <c r="O5" i="89" s="1"/>
  <c r="N7" i="89"/>
  <c r="N5" i="89" s="1"/>
  <c r="U7" i="89"/>
  <c r="V7" i="89" s="1"/>
  <c r="W7" i="89" s="1"/>
  <c r="Q7" i="89"/>
  <c r="R7" i="89" s="1"/>
  <c r="S7" i="89" s="1"/>
  <c r="T7" i="89" s="1"/>
  <c r="P5" i="89"/>
  <c r="AP74" i="2"/>
  <c r="AR74" i="2"/>
  <c r="AT74" i="2"/>
  <c r="AV74" i="2" s="1"/>
  <c r="AX74" i="2" s="1"/>
  <c r="AZ74" i="2" s="1"/>
  <c r="BB74" i="2" s="1"/>
  <c r="BD74" i="2" s="1"/>
  <c r="BF74" i="2" s="1"/>
  <c r="CA88" i="77"/>
  <c r="BV88" i="77"/>
  <c r="BS88" i="77"/>
  <c r="BR88" i="77"/>
  <c r="BN88" i="77"/>
  <c r="BK88" i="77"/>
  <c r="BJ88" i="77"/>
  <c r="BG88" i="77"/>
  <c r="BF88" i="77"/>
  <c r="BB88" i="77"/>
  <c r="AY88" i="77"/>
  <c r="AX88" i="77"/>
  <c r="AU88" i="77"/>
  <c r="AT88" i="77"/>
  <c r="AQ88" i="77"/>
  <c r="AP88" i="77"/>
  <c r="AL140" i="52"/>
  <c r="AM140" i="52" s="1"/>
  <c r="AI140" i="52"/>
  <c r="AE140" i="52"/>
  <c r="Q140" i="52"/>
  <c r="T140" i="52" s="1"/>
  <c r="CH63" i="20"/>
  <c r="CG63" i="20"/>
  <c r="CG60" i="20"/>
  <c r="M138" i="52"/>
  <c r="L146" i="52"/>
  <c r="L147" i="52"/>
  <c r="L148" i="52"/>
  <c r="L145" i="52"/>
  <c r="AC95" i="77"/>
  <c r="AW95" i="77" s="1"/>
  <c r="AX95" i="77" s="1"/>
  <c r="AC94" i="77"/>
  <c r="AC93" i="77"/>
  <c r="BQ93" i="77" s="1"/>
  <c r="CR115" i="1"/>
  <c r="CJ30" i="20"/>
  <c r="CJ29" i="20"/>
  <c r="CJ23" i="20"/>
  <c r="CR20" i="20"/>
  <c r="CQ20" i="20"/>
  <c r="CP20" i="20"/>
  <c r="C13" i="74" s="1"/>
  <c r="CO20" i="20"/>
  <c r="CJ20" i="20"/>
  <c r="CQ17" i="20"/>
  <c r="CP17" i="20"/>
  <c r="CO17" i="20"/>
  <c r="CJ17" i="20"/>
  <c r="CJ15" i="20"/>
  <c r="DT82" i="20"/>
  <c r="DT58" i="20"/>
  <c r="F165" i="10"/>
  <c r="AH79" i="3"/>
  <c r="AH73" i="3"/>
  <c r="J71" i="3"/>
  <c r="H71" i="3"/>
  <c r="H55" i="3"/>
  <c r="H30" i="3"/>
  <c r="AJ11" i="3"/>
  <c r="AL11" i="3" s="1"/>
  <c r="H6" i="3"/>
  <c r="AR138" i="52"/>
  <c r="AB138" i="52" s="1"/>
  <c r="AP138" i="52"/>
  <c r="BF133" i="2"/>
  <c r="AC20" i="15"/>
  <c r="AC175" i="5"/>
  <c r="AC171" i="5"/>
  <c r="AC47" i="5"/>
  <c r="AC33" i="5"/>
  <c r="T122" i="73"/>
  <c r="T121" i="73"/>
  <c r="T36" i="73"/>
  <c r="T169" i="73" s="1"/>
  <c r="AB177" i="9"/>
  <c r="AB176" i="9"/>
  <c r="AB175" i="9"/>
  <c r="N175" i="9"/>
  <c r="K175" i="9"/>
  <c r="AE174" i="9"/>
  <c r="AB174" i="9"/>
  <c r="N174" i="9"/>
  <c r="K174" i="9"/>
  <c r="AE173" i="9"/>
  <c r="AB173" i="9"/>
  <c r="AD148" i="52"/>
  <c r="AH147" i="52"/>
  <c r="AD147" i="52"/>
  <c r="Z147" i="52"/>
  <c r="CR173" i="1"/>
  <c r="CR174" i="1" s="1"/>
  <c r="CR117" i="1"/>
  <c r="CR116" i="1"/>
  <c r="CR76" i="1"/>
  <c r="CR75" i="1"/>
  <c r="CR74" i="1"/>
  <c r="Y64" i="15" s="1"/>
  <c r="CR54" i="1"/>
  <c r="CR51" i="1" s="1"/>
  <c r="AI139" i="52"/>
  <c r="AE139" i="52"/>
  <c r="M139" i="52"/>
  <c r="CN208" i="1"/>
  <c r="D139" i="52" s="1"/>
  <c r="BU12" i="11"/>
  <c r="L4" i="95" s="1"/>
  <c r="CN32" i="1"/>
  <c r="CN62" i="1" s="1"/>
  <c r="AD88" i="77"/>
  <c r="F168" i="9"/>
  <c r="G88" i="77" s="1"/>
  <c r="CL50" i="20" s="1"/>
  <c r="L168" i="9"/>
  <c r="H167" i="10"/>
  <c r="BU30" i="11"/>
  <c r="BU24" i="11"/>
  <c r="BT18" i="11"/>
  <c r="BT36" i="11"/>
  <c r="AL34" i="22"/>
  <c r="AL40" i="22" s="1"/>
  <c r="CO32" i="1"/>
  <c r="CO22" i="1"/>
  <c r="X18" i="15"/>
  <c r="BK87" i="77"/>
  <c r="BG87" i="77"/>
  <c r="AU87" i="77"/>
  <c r="AQ87" i="77"/>
  <c r="CY21" i="1"/>
  <c r="CY20" i="1"/>
  <c r="K87" i="77"/>
  <c r="BS87" i="77"/>
  <c r="AD87" i="77"/>
  <c r="L167" i="9"/>
  <c r="Q139" i="52" s="1"/>
  <c r="T139" i="52" s="1"/>
  <c r="L166" i="9"/>
  <c r="V165" i="10" s="1"/>
  <c r="F167" i="9"/>
  <c r="H166" i="10"/>
  <c r="J166" i="10" s="1"/>
  <c r="AL33" i="22"/>
  <c r="BU11" i="11"/>
  <c r="K4" i="95" s="1"/>
  <c r="K6" i="95" s="1"/>
  <c r="BU29" i="11"/>
  <c r="BU23" i="11"/>
  <c r="BT17" i="11"/>
  <c r="BT35" i="11" s="1"/>
  <c r="CN31" i="1"/>
  <c r="CN21" i="1"/>
  <c r="AI24" i="98" s="1"/>
  <c r="CO21" i="1"/>
  <c r="CT21" i="1" s="1"/>
  <c r="E8" i="74"/>
  <c r="E6" i="74" s="1"/>
  <c r="H165" i="10"/>
  <c r="X165" i="10" s="1"/>
  <c r="W51" i="15"/>
  <c r="BS86" i="77"/>
  <c r="BK86" i="77"/>
  <c r="BG86" i="77"/>
  <c r="AY86" i="77"/>
  <c r="AU86" i="77"/>
  <c r="AQ86" i="77"/>
  <c r="AL138" i="52"/>
  <c r="AI138" i="52"/>
  <c r="AE138" i="52"/>
  <c r="AA138" i="52"/>
  <c r="D119" i="52"/>
  <c r="D117" i="52"/>
  <c r="D124" i="52"/>
  <c r="D131" i="52"/>
  <c r="D138" i="52"/>
  <c r="W48" i="15"/>
  <c r="X48" i="15" s="1"/>
  <c r="X53" i="15" s="1"/>
  <c r="BU10" i="11"/>
  <c r="J4" i="95" s="1"/>
  <c r="U166" i="9"/>
  <c r="D173" i="9" s="1"/>
  <c r="F166" i="9"/>
  <c r="G86" i="77" s="1"/>
  <c r="CJ50" i="20" s="1"/>
  <c r="AG86" i="77"/>
  <c r="AI86" i="77" s="1"/>
  <c r="AK86" i="77" s="1"/>
  <c r="BC86" i="77" s="1"/>
  <c r="AD86" i="77"/>
  <c r="AL32" i="22"/>
  <c r="BU28" i="11"/>
  <c r="BU22" i="11"/>
  <c r="BT16" i="11"/>
  <c r="CN20" i="1"/>
  <c r="AI23" i="98" s="1"/>
  <c r="CO30" i="1"/>
  <c r="I3" i="74"/>
  <c r="H3" i="74"/>
  <c r="G58" i="77"/>
  <c r="G59" i="77"/>
  <c r="G60" i="77"/>
  <c r="G61" i="77"/>
  <c r="G62" i="77"/>
  <c r="Y21" i="15"/>
  <c r="X21" i="15"/>
  <c r="AT47" i="3"/>
  <c r="AT44" i="3"/>
  <c r="AT43" i="3"/>
  <c r="AT55" i="3" s="1"/>
  <c r="AT25" i="3"/>
  <c r="AT14" i="3"/>
  <c r="AT13" i="2"/>
  <c r="V111" i="5"/>
  <c r="V88" i="5" s="1"/>
  <c r="AI155" i="9" s="1"/>
  <c r="AB154" i="10" s="1"/>
  <c r="W22" i="15"/>
  <c r="W111" i="5"/>
  <c r="X111" i="5" s="1"/>
  <c r="Y111" i="5" s="1"/>
  <c r="Z111" i="5" s="1"/>
  <c r="W107" i="5"/>
  <c r="W103" i="5"/>
  <c r="V22" i="15"/>
  <c r="W40" i="15"/>
  <c r="W35" i="15"/>
  <c r="W30" i="15"/>
  <c r="CA83" i="77"/>
  <c r="BU82" i="77"/>
  <c r="BQ82" i="77"/>
  <c r="BS82" i="77" s="1"/>
  <c r="BI82" i="77"/>
  <c r="BK82" i="77" s="1"/>
  <c r="BE82" i="77"/>
  <c r="BG82" i="77" s="1"/>
  <c r="AL133" i="52"/>
  <c r="AL132" i="52"/>
  <c r="AM132" i="52" s="1"/>
  <c r="AL131" i="52"/>
  <c r="AM138" i="52" s="1"/>
  <c r="AH134" i="52"/>
  <c r="AD134" i="52"/>
  <c r="Z134" i="52"/>
  <c r="Z136" i="52"/>
  <c r="Z129" i="52"/>
  <c r="BA82" i="77"/>
  <c r="AW82" i="77"/>
  <c r="AY82" i="77" s="1"/>
  <c r="AS83" i="77"/>
  <c r="AO83" i="77"/>
  <c r="AO75" i="77"/>
  <c r="U162" i="9"/>
  <c r="D162" i="9" s="1"/>
  <c r="H162" i="9" s="1"/>
  <c r="F162" i="9"/>
  <c r="G82" i="77"/>
  <c r="CH50" i="20" s="1"/>
  <c r="AJ35" i="22"/>
  <c r="AJ41" i="22" s="1"/>
  <c r="BQ31" i="11"/>
  <c r="BQ25" i="11"/>
  <c r="BP19" i="11"/>
  <c r="BP37" i="11" s="1"/>
  <c r="BQ13" i="11"/>
  <c r="I4" i="95" s="1"/>
  <c r="CK23" i="1"/>
  <c r="CJ23" i="1"/>
  <c r="AI19" i="98" s="1"/>
  <c r="CK33" i="1"/>
  <c r="CA81" i="77"/>
  <c r="BG81" i="77"/>
  <c r="BS81" i="77"/>
  <c r="BK81" i="77"/>
  <c r="AI133" i="52"/>
  <c r="AE133" i="52"/>
  <c r="AA133" i="52"/>
  <c r="M133" i="52"/>
  <c r="AY81" i="77"/>
  <c r="AT81" i="77"/>
  <c r="AU81" i="77"/>
  <c r="AQ81" i="77"/>
  <c r="AP81" i="77"/>
  <c r="CM20" i="20"/>
  <c r="CL20" i="20"/>
  <c r="CK20" i="20"/>
  <c r="CM81" i="20"/>
  <c r="CL81" i="20"/>
  <c r="CK81" i="20"/>
  <c r="CJ81" i="20"/>
  <c r="CM16" i="20"/>
  <c r="CL16" i="20"/>
  <c r="CK16" i="20"/>
  <c r="CJ16" i="20"/>
  <c r="DS82" i="20"/>
  <c r="DS58" i="20"/>
  <c r="BD133" i="2"/>
  <c r="BC61" i="2"/>
  <c r="AB20" i="15"/>
  <c r="AB47" i="5"/>
  <c r="AB33" i="5"/>
  <c r="N168" i="9"/>
  <c r="N167" i="9"/>
  <c r="P167" i="9" s="1"/>
  <c r="P5" i="2"/>
  <c r="P6" i="3" s="1"/>
  <c r="D8" i="2"/>
  <c r="D14" i="2" s="1"/>
  <c r="F8" i="2"/>
  <c r="F14" i="2" s="1"/>
  <c r="L8" i="2"/>
  <c r="AX9" i="2"/>
  <c r="AZ9" i="2" s="1"/>
  <c r="J13" i="2"/>
  <c r="L13" i="2"/>
  <c r="AD13" i="2"/>
  <c r="AF13" i="2"/>
  <c r="AH13" i="2"/>
  <c r="AJ13" i="2"/>
  <c r="AL13" i="2"/>
  <c r="AN13" i="2"/>
  <c r="AP13" i="2"/>
  <c r="AR13" i="2"/>
  <c r="N16" i="2"/>
  <c r="P16" i="2"/>
  <c r="R16" i="2"/>
  <c r="T16" i="2"/>
  <c r="V16" i="2"/>
  <c r="X16" i="2"/>
  <c r="Z16" i="2"/>
  <c r="AB16" i="2"/>
  <c r="AD16" i="2"/>
  <c r="AF16" i="2"/>
  <c r="AH16" i="2"/>
  <c r="AJ16" i="2"/>
  <c r="AL16" i="2"/>
  <c r="AN16" i="2"/>
  <c r="AX19" i="2"/>
  <c r="AZ19" i="2" s="1"/>
  <c r="AX21" i="2"/>
  <c r="AZ21" i="2" s="1"/>
  <c r="BB21" i="2" s="1"/>
  <c r="BD21" i="2" s="1"/>
  <c r="BF21" i="2" s="1"/>
  <c r="AD22" i="2"/>
  <c r="AL22" i="2"/>
  <c r="AL108" i="2" s="1"/>
  <c r="AX22" i="2"/>
  <c r="AZ22" i="2" s="1"/>
  <c r="BB22" i="2" s="1"/>
  <c r="BD22" i="2" s="1"/>
  <c r="BF22" i="2" s="1"/>
  <c r="AX23" i="2"/>
  <c r="O25" i="2"/>
  <c r="O61" i="2"/>
  <c r="Q25" i="2"/>
  <c r="Q61" i="2" s="1"/>
  <c r="S25" i="2"/>
  <c r="S61" i="2" s="1"/>
  <c r="U25" i="2"/>
  <c r="U61" i="2"/>
  <c r="W25" i="2"/>
  <c r="W61" i="2"/>
  <c r="Y25" i="2"/>
  <c r="Y61" i="2" s="1"/>
  <c r="AA25" i="2"/>
  <c r="AA61" i="2" s="1"/>
  <c r="AC25" i="2"/>
  <c r="AC61" i="2"/>
  <c r="AE25" i="2"/>
  <c r="AE61" i="2"/>
  <c r="AG25" i="2"/>
  <c r="AG61" i="2" s="1"/>
  <c r="AI25" i="2"/>
  <c r="AI61" i="2" s="1"/>
  <c r="J31" i="2"/>
  <c r="L31" i="2"/>
  <c r="L36" i="2" s="1"/>
  <c r="L52" i="2" s="1"/>
  <c r="AN32" i="2"/>
  <c r="AR32" i="2"/>
  <c r="AN34" i="2"/>
  <c r="AR34" i="2"/>
  <c r="D36" i="2"/>
  <c r="F36" i="2"/>
  <c r="H36" i="2"/>
  <c r="H52" i="2" s="1"/>
  <c r="N36" i="2"/>
  <c r="P36" i="2"/>
  <c r="R36" i="2"/>
  <c r="T36" i="2"/>
  <c r="V36" i="2"/>
  <c r="X36" i="2"/>
  <c r="Z36" i="2"/>
  <c r="AB36" i="2"/>
  <c r="AB52" i="2" s="1"/>
  <c r="AD36" i="2"/>
  <c r="AF36" i="2"/>
  <c r="AH36" i="2"/>
  <c r="AJ36" i="2"/>
  <c r="AL36" i="2"/>
  <c r="AP36" i="2"/>
  <c r="AT38" i="2"/>
  <c r="AV38" i="2" s="1"/>
  <c r="AX38" i="2" s="1"/>
  <c r="AZ38" i="2" s="1"/>
  <c r="BB38" i="2" s="1"/>
  <c r="BD38" i="2" s="1"/>
  <c r="BF38" i="2" s="1"/>
  <c r="AX39" i="2"/>
  <c r="AZ39" i="2" s="1"/>
  <c r="BB39" i="2" s="1"/>
  <c r="BD39" i="2" s="1"/>
  <c r="BF39" i="2" s="1"/>
  <c r="AZ46" i="2"/>
  <c r="BB46" i="2" s="1"/>
  <c r="BD46" i="2" s="1"/>
  <c r="BF46" i="2" s="1"/>
  <c r="AX47" i="2"/>
  <c r="AZ47" i="2" s="1"/>
  <c r="BB47" i="2" s="1"/>
  <c r="BD47" i="2" s="1"/>
  <c r="BF47" i="2" s="1"/>
  <c r="AD48" i="2"/>
  <c r="AR48" i="2"/>
  <c r="AT48" i="2" s="1"/>
  <c r="AV48" i="2" s="1"/>
  <c r="AX48" i="2" s="1"/>
  <c r="AZ48" i="2" s="1"/>
  <c r="BB48" i="2" s="1"/>
  <c r="BD48" i="2" s="1"/>
  <c r="BF48" i="2" s="1"/>
  <c r="AD49" i="2"/>
  <c r="AF49" i="2" s="1"/>
  <c r="AR49" i="2"/>
  <c r="D50" i="2"/>
  <c r="F50" i="2"/>
  <c r="H50" i="2"/>
  <c r="J50" i="2"/>
  <c r="L50" i="2"/>
  <c r="N50" i="2"/>
  <c r="P50" i="2"/>
  <c r="R50" i="2"/>
  <c r="T50" i="2"/>
  <c r="V50" i="2"/>
  <c r="X50" i="2"/>
  <c r="AI61" i="20" s="1"/>
  <c r="Z50" i="2"/>
  <c r="AB50" i="2"/>
  <c r="AH50" i="2"/>
  <c r="AJ50" i="2"/>
  <c r="BC61" i="20" s="1"/>
  <c r="AL50" i="2"/>
  <c r="AN50" i="2"/>
  <c r="AP50" i="2"/>
  <c r="G61" i="2"/>
  <c r="I61" i="2"/>
  <c r="K61" i="2"/>
  <c r="M61" i="2"/>
  <c r="AK61" i="2"/>
  <c r="AM61" i="2"/>
  <c r="AU61" i="2"/>
  <c r="AW61" i="2"/>
  <c r="AY61" i="2"/>
  <c r="BA61" i="2"/>
  <c r="D66" i="2"/>
  <c r="D120" i="2" s="1"/>
  <c r="F66" i="2"/>
  <c r="H66" i="2"/>
  <c r="H71" i="2" s="1"/>
  <c r="J66" i="2"/>
  <c r="L66" i="2"/>
  <c r="L71" i="2" s="1"/>
  <c r="D67" i="2"/>
  <c r="F67" i="2"/>
  <c r="H67" i="2"/>
  <c r="J67" i="2"/>
  <c r="L67" i="2"/>
  <c r="D68" i="2"/>
  <c r="D75" i="2" s="1"/>
  <c r="F68" i="2"/>
  <c r="F75" i="2"/>
  <c r="H68" i="2"/>
  <c r="H75" i="2" s="1"/>
  <c r="J68" i="2"/>
  <c r="L68" i="2"/>
  <c r="V68" i="2"/>
  <c r="V75" i="2" s="1"/>
  <c r="D74" i="2"/>
  <c r="F74" i="2"/>
  <c r="H74" i="2"/>
  <c r="J74" i="2"/>
  <c r="L74" i="2"/>
  <c r="N74" i="2"/>
  <c r="P74" i="2"/>
  <c r="R74" i="2"/>
  <c r="T74" i="2"/>
  <c r="V74" i="2"/>
  <c r="X74" i="2"/>
  <c r="Z74" i="2"/>
  <c r="AB74" i="2"/>
  <c r="AD74" i="2"/>
  <c r="AF74" i="2"/>
  <c r="AH74" i="2"/>
  <c r="AJ74" i="2"/>
  <c r="AL74" i="2"/>
  <c r="AN74" i="2"/>
  <c r="J85" i="2"/>
  <c r="L85" i="2"/>
  <c r="N85" i="2"/>
  <c r="P85" i="2"/>
  <c r="R85" i="2"/>
  <c r="T85" i="2"/>
  <c r="V85" i="2"/>
  <c r="X85" i="2"/>
  <c r="Z85" i="2"/>
  <c r="AB85" i="2" s="1"/>
  <c r="AD85" i="2" s="1"/>
  <c r="Z88" i="2"/>
  <c r="AB89" i="2"/>
  <c r="AD89" i="2" s="1"/>
  <c r="AF89" i="2" s="1"/>
  <c r="AH89" i="2" s="1"/>
  <c r="AB90" i="2"/>
  <c r="T91" i="2"/>
  <c r="V91" i="2"/>
  <c r="X91" i="2"/>
  <c r="Z91" i="2"/>
  <c r="D98" i="2"/>
  <c r="F98" i="2"/>
  <c r="H98" i="2"/>
  <c r="N98" i="2"/>
  <c r="P98" i="2"/>
  <c r="R98" i="2"/>
  <c r="T98" i="2"/>
  <c r="V98" i="2"/>
  <c r="X98" i="2"/>
  <c r="Z98" i="2"/>
  <c r="AB98" i="2"/>
  <c r="AD98" i="2"/>
  <c r="AF98" i="2"/>
  <c r="AH98" i="2"/>
  <c r="AJ98" i="2"/>
  <c r="AL98" i="2"/>
  <c r="AP98" i="2"/>
  <c r="D100" i="2"/>
  <c r="F100" i="2"/>
  <c r="H100" i="2"/>
  <c r="J100" i="2"/>
  <c r="L100" i="2"/>
  <c r="N100" i="2"/>
  <c r="P100" i="2"/>
  <c r="R100" i="2"/>
  <c r="R107" i="2"/>
  <c r="T100" i="2"/>
  <c r="V100" i="2"/>
  <c r="X100" i="2"/>
  <c r="Z100" i="2"/>
  <c r="AB100" i="2"/>
  <c r="AD100" i="2"/>
  <c r="AF100" i="2"/>
  <c r="AH100" i="2"/>
  <c r="AJ100" i="2"/>
  <c r="AL100" i="2"/>
  <c r="AN100" i="2"/>
  <c r="AP100" i="2"/>
  <c r="AR100" i="2"/>
  <c r="D106" i="2"/>
  <c r="H106" i="2"/>
  <c r="J106" i="2" s="1"/>
  <c r="L106" i="2" s="1"/>
  <c r="D108" i="2"/>
  <c r="D114" i="2" s="1"/>
  <c r="F108" i="2"/>
  <c r="F114" i="2" s="1"/>
  <c r="H108" i="2"/>
  <c r="H114" i="2" s="1"/>
  <c r="J108" i="2"/>
  <c r="J114" i="2" s="1"/>
  <c r="L108" i="2"/>
  <c r="N108" i="2"/>
  <c r="N114" i="2" s="1"/>
  <c r="P108" i="2"/>
  <c r="R108" i="2"/>
  <c r="T114" i="2" s="1"/>
  <c r="T108" i="2"/>
  <c r="V108" i="2"/>
  <c r="X114" i="2" s="1"/>
  <c r="X108" i="2"/>
  <c r="Z108" i="2"/>
  <c r="AB108" i="2"/>
  <c r="AH108" i="2"/>
  <c r="AJ108" i="2"/>
  <c r="AN108" i="2"/>
  <c r="AP108" i="2"/>
  <c r="AR108" i="2"/>
  <c r="AR114" i="2" s="1"/>
  <c r="L133" i="2"/>
  <c r="N133" i="2"/>
  <c r="AB133" i="2"/>
  <c r="AD133" i="2"/>
  <c r="AF133" i="2"/>
  <c r="AH133" i="2"/>
  <c r="AJ133" i="2"/>
  <c r="AT133" i="2"/>
  <c r="AX133" i="2"/>
  <c r="AZ133" i="2"/>
  <c r="BB133" i="2"/>
  <c r="L134" i="2"/>
  <c r="N134" i="2"/>
  <c r="P134" i="2"/>
  <c r="R134" i="2"/>
  <c r="T134" i="2"/>
  <c r="V134" i="2"/>
  <c r="X134" i="2"/>
  <c r="Z134" i="2"/>
  <c r="AB134" i="2"/>
  <c r="AD134" i="2"/>
  <c r="AF134" i="2"/>
  <c r="AH134" i="2"/>
  <c r="AJ134" i="2"/>
  <c r="AL134" i="2"/>
  <c r="AN134" i="2"/>
  <c r="AP134" i="2"/>
  <c r="AR134" i="2"/>
  <c r="J6" i="3"/>
  <c r="L6" i="3"/>
  <c r="N6" i="3"/>
  <c r="H9" i="3"/>
  <c r="J9" i="3"/>
  <c r="L9" i="3"/>
  <c r="AV10" i="3"/>
  <c r="AX10" i="3" s="1"/>
  <c r="AZ10" i="3" s="1"/>
  <c r="BB10" i="3" s="1"/>
  <c r="BD10" i="3" s="1"/>
  <c r="BF10" i="3" s="1"/>
  <c r="AD11" i="3"/>
  <c r="AF11" i="3" s="1"/>
  <c r="AX11" i="3"/>
  <c r="AZ11" i="3" s="1"/>
  <c r="BB11" i="3" s="1"/>
  <c r="BD11" i="3" s="1"/>
  <c r="BF11" i="3" s="1"/>
  <c r="V13" i="3"/>
  <c r="X13" i="3"/>
  <c r="Z13" i="3"/>
  <c r="AB13" i="3"/>
  <c r="V14" i="3"/>
  <c r="X14" i="3"/>
  <c r="Z14" i="3"/>
  <c r="AB14" i="3"/>
  <c r="AD14" i="3"/>
  <c r="AF14" i="3"/>
  <c r="AH14" i="3"/>
  <c r="AJ14" i="3"/>
  <c r="AL14" i="3"/>
  <c r="AN14" i="3"/>
  <c r="AP14" i="3"/>
  <c r="AR14" i="3"/>
  <c r="P15" i="3"/>
  <c r="R15" i="3"/>
  <c r="T15" i="3"/>
  <c r="T34" i="3" s="1"/>
  <c r="H19" i="3"/>
  <c r="H79" i="3" s="1"/>
  <c r="J19" i="3"/>
  <c r="J79" i="3" s="1"/>
  <c r="J77" i="3" s="1"/>
  <c r="L19" i="3"/>
  <c r="L79" i="3" s="1"/>
  <c r="N19" i="3"/>
  <c r="N79" i="3" s="1"/>
  <c r="N77" i="3" s="1"/>
  <c r="P19" i="3"/>
  <c r="P79" i="3"/>
  <c r="R19" i="3"/>
  <c r="R79" i="3" s="1"/>
  <c r="V19" i="3"/>
  <c r="X19" i="3"/>
  <c r="AF19" i="3"/>
  <c r="V25" i="3"/>
  <c r="V30" i="3" s="1"/>
  <c r="X25" i="3"/>
  <c r="X30" i="3" s="1"/>
  <c r="Z25" i="3"/>
  <c r="Z30" i="3"/>
  <c r="Z32" i="3" s="1"/>
  <c r="AB25" i="3"/>
  <c r="AB30" i="3" s="1"/>
  <c r="AB32" i="3" s="1"/>
  <c r="AD25" i="3"/>
  <c r="AF25" i="3"/>
  <c r="AF30" i="3" s="1"/>
  <c r="AH25" i="3"/>
  <c r="AH30" i="3" s="1"/>
  <c r="AH32" i="3" s="1"/>
  <c r="AJ25" i="3"/>
  <c r="AJ30" i="3" s="1"/>
  <c r="AJ32" i="3" s="1"/>
  <c r="AL25" i="3"/>
  <c r="AL30" i="3" s="1"/>
  <c r="AL32" i="3" s="1"/>
  <c r="AN25" i="3"/>
  <c r="AN30" i="3" s="1"/>
  <c r="AN32" i="3" s="1"/>
  <c r="AP25" i="3"/>
  <c r="AP30" i="3" s="1"/>
  <c r="AP32" i="3" s="1"/>
  <c r="AR25" i="3"/>
  <c r="AR30" i="3" s="1"/>
  <c r="AR32" i="3" s="1"/>
  <c r="AD28" i="3"/>
  <c r="D30" i="3"/>
  <c r="D32" i="3" s="1"/>
  <c r="F30" i="3"/>
  <c r="F32" i="3" s="1"/>
  <c r="J30" i="3"/>
  <c r="L30" i="3"/>
  <c r="N30" i="3"/>
  <c r="N32" i="3" s="1"/>
  <c r="P30" i="3"/>
  <c r="P32" i="3" s="1"/>
  <c r="R30" i="3"/>
  <c r="R32" i="3" s="1"/>
  <c r="R34" i="3" s="1"/>
  <c r="T30" i="3"/>
  <c r="T32" i="3" s="1"/>
  <c r="AD38" i="3"/>
  <c r="AD55" i="3" s="1"/>
  <c r="AR39" i="3"/>
  <c r="P40" i="3"/>
  <c r="R40" i="3"/>
  <c r="T40" i="3"/>
  <c r="T55" i="3" s="1"/>
  <c r="V40" i="3"/>
  <c r="X40" i="3"/>
  <c r="Z40" i="3"/>
  <c r="P42" i="3"/>
  <c r="P133" i="2" s="1"/>
  <c r="R42" i="3"/>
  <c r="T42" i="3"/>
  <c r="T133" i="2" s="1"/>
  <c r="V42" i="3"/>
  <c r="X42" i="3"/>
  <c r="X133" i="2" s="1"/>
  <c r="Z42" i="3"/>
  <c r="Z133" i="2" s="1"/>
  <c r="AL43" i="3"/>
  <c r="AL133" i="2" s="1"/>
  <c r="AN43" i="3"/>
  <c r="AN133" i="2" s="1"/>
  <c r="AP43" i="3"/>
  <c r="AP133" i="2" s="1"/>
  <c r="AR43" i="3"/>
  <c r="AR133" i="2" s="1"/>
  <c r="V44" i="3"/>
  <c r="X44" i="3"/>
  <c r="X55" i="3" s="1"/>
  <c r="Z44" i="3"/>
  <c r="AB44" i="3"/>
  <c r="AD44" i="3"/>
  <c r="AH44" i="3"/>
  <c r="AH55" i="3" s="1"/>
  <c r="AJ44" i="3"/>
  <c r="AJ55" i="3" s="1"/>
  <c r="AP44" i="3"/>
  <c r="AP55" i="3" s="1"/>
  <c r="AR44" i="3"/>
  <c r="X45" i="3"/>
  <c r="AL47" i="3"/>
  <c r="AN47" i="3"/>
  <c r="AP47" i="3"/>
  <c r="AR47" i="3"/>
  <c r="L48" i="3"/>
  <c r="L55" i="3" s="1"/>
  <c r="N48" i="3"/>
  <c r="N55" i="3" s="1"/>
  <c r="P48" i="3"/>
  <c r="AB51" i="3"/>
  <c r="AB55" i="3" s="1"/>
  <c r="D55" i="3"/>
  <c r="F55" i="3"/>
  <c r="J55" i="3"/>
  <c r="AF55" i="3"/>
  <c r="N57" i="3"/>
  <c r="F71" i="3"/>
  <c r="F72" i="3" s="1"/>
  <c r="N71" i="3"/>
  <c r="P71" i="3"/>
  <c r="P75" i="3" s="1"/>
  <c r="R71" i="3"/>
  <c r="T71" i="3"/>
  <c r="V71" i="3"/>
  <c r="X71" i="3"/>
  <c r="Z71" i="3"/>
  <c r="D73" i="3"/>
  <c r="F73" i="3"/>
  <c r="N73" i="3"/>
  <c r="N72" i="3" s="1"/>
  <c r="P73" i="3"/>
  <c r="R73" i="3"/>
  <c r="T73" i="3"/>
  <c r="V73" i="3"/>
  <c r="X73" i="3"/>
  <c r="Z73" i="3"/>
  <c r="AB73" i="3"/>
  <c r="AB71" i="3" s="1"/>
  <c r="AB72" i="3" s="1"/>
  <c r="AD73" i="3"/>
  <c r="AF73" i="3"/>
  <c r="AJ73" i="3"/>
  <c r="AL73" i="3"/>
  <c r="AN73" i="3"/>
  <c r="AP73" i="3"/>
  <c r="AR73" i="3"/>
  <c r="AD75" i="3"/>
  <c r="AF75" i="3" s="1"/>
  <c r="D79" i="3"/>
  <c r="D77" i="3"/>
  <c r="D78" i="3" s="1"/>
  <c r="F79" i="3"/>
  <c r="T79" i="3"/>
  <c r="T77" i="3" s="1"/>
  <c r="T78" i="3" s="1"/>
  <c r="Z79" i="3"/>
  <c r="AB79" i="3"/>
  <c r="AD79" i="3"/>
  <c r="AJ79" i="3"/>
  <c r="AJ77" i="3" s="1"/>
  <c r="AL79" i="3"/>
  <c r="AN79" i="3"/>
  <c r="AN77" i="3" s="1"/>
  <c r="AN78" i="3" s="1"/>
  <c r="AP79" i="3"/>
  <c r="AP77" i="3" s="1"/>
  <c r="AP78" i="3" s="1"/>
  <c r="AR79" i="3"/>
  <c r="AR77" i="3" s="1"/>
  <c r="AR78" i="3" s="1"/>
  <c r="AT79" i="3"/>
  <c r="N5" i="22"/>
  <c r="P5" i="22" s="1"/>
  <c r="Y7" i="22"/>
  <c r="Z8" i="22"/>
  <c r="AH8" i="22"/>
  <c r="AF9" i="22"/>
  <c r="AH9" i="22"/>
  <c r="X13" i="22"/>
  <c r="A14" i="22"/>
  <c r="A26" i="22" s="1"/>
  <c r="A32" i="22" s="1"/>
  <c r="A38" i="22" s="1"/>
  <c r="A44" i="22" s="1"/>
  <c r="A50" i="22" s="1"/>
  <c r="A56" i="22" s="1"/>
  <c r="A62" i="22" s="1"/>
  <c r="B14" i="22"/>
  <c r="B26" i="22" s="1"/>
  <c r="B32" i="22" s="1"/>
  <c r="B38" i="22" s="1"/>
  <c r="B44" i="22" s="1"/>
  <c r="B50" i="22" s="1"/>
  <c r="B56" i="22" s="1"/>
  <c r="B62" i="22" s="1"/>
  <c r="A15" i="22"/>
  <c r="A27" i="22" s="1"/>
  <c r="A33" i="22" s="1"/>
  <c r="A39" i="22" s="1"/>
  <c r="A45" i="22" s="1"/>
  <c r="A51" i="22" s="1"/>
  <c r="A57" i="22" s="1"/>
  <c r="A63" i="22" s="1"/>
  <c r="B15" i="22"/>
  <c r="B27" i="22" s="1"/>
  <c r="B33" i="22" s="1"/>
  <c r="B39" i="22" s="1"/>
  <c r="B45" i="22" s="1"/>
  <c r="B51" i="22" s="1"/>
  <c r="B57" i="22" s="1"/>
  <c r="B63" i="22" s="1"/>
  <c r="A16" i="22"/>
  <c r="A28" i="22" s="1"/>
  <c r="A34" i="22" s="1"/>
  <c r="A40" i="22" s="1"/>
  <c r="A46" i="22" s="1"/>
  <c r="A52" i="22" s="1"/>
  <c r="A58" i="22" s="1"/>
  <c r="A64" i="22" s="1"/>
  <c r="B16" i="22"/>
  <c r="B28" i="22" s="1"/>
  <c r="B34" i="22" s="1"/>
  <c r="B40" i="22" s="1"/>
  <c r="B46" i="22" s="1"/>
  <c r="B52" i="22" s="1"/>
  <c r="B58" i="22" s="1"/>
  <c r="B64" i="22" s="1"/>
  <c r="A17" i="22"/>
  <c r="B17" i="22"/>
  <c r="B29" i="22" s="1"/>
  <c r="B35" i="22" s="1"/>
  <c r="B41" i="22" s="1"/>
  <c r="B47" i="22" s="1"/>
  <c r="B53" i="22" s="1"/>
  <c r="B59" i="22" s="1"/>
  <c r="B65" i="22" s="1"/>
  <c r="X19" i="22"/>
  <c r="A20" i="22"/>
  <c r="B20" i="22"/>
  <c r="F20" i="22"/>
  <c r="F32" i="22" s="1"/>
  <c r="H20" i="22"/>
  <c r="H32" i="22" s="1"/>
  <c r="J20" i="22"/>
  <c r="J32" i="22" s="1"/>
  <c r="L20" i="22"/>
  <c r="L32" i="22" s="1"/>
  <c r="N20" i="22"/>
  <c r="N32" i="22" s="1"/>
  <c r="P20" i="22"/>
  <c r="P32" i="22" s="1"/>
  <c r="P38" i="22" s="1"/>
  <c r="R20" i="22"/>
  <c r="R32" i="22"/>
  <c r="A21" i="22"/>
  <c r="B21" i="22"/>
  <c r="H21" i="22"/>
  <c r="H33" i="22" s="1"/>
  <c r="J21" i="22"/>
  <c r="J33" i="22" s="1"/>
  <c r="L21" i="22"/>
  <c r="L33" i="22" s="1"/>
  <c r="N21" i="22"/>
  <c r="N33" i="22" s="1"/>
  <c r="P21" i="22"/>
  <c r="P33" i="22" s="1"/>
  <c r="P39" i="22" s="1"/>
  <c r="A22" i="22"/>
  <c r="B22" i="22"/>
  <c r="F22" i="22"/>
  <c r="F34" i="22" s="1"/>
  <c r="H22" i="22"/>
  <c r="H34" i="22" s="1"/>
  <c r="J22" i="22"/>
  <c r="J34" i="22" s="1"/>
  <c r="L22" i="22"/>
  <c r="N22" i="22"/>
  <c r="N34" i="22" s="1"/>
  <c r="P22" i="22"/>
  <c r="P34" i="22" s="1"/>
  <c r="A23" i="22"/>
  <c r="B23" i="22"/>
  <c r="F23" i="22"/>
  <c r="F35" i="22"/>
  <c r="F41" i="22" s="1"/>
  <c r="H23" i="22"/>
  <c r="H35" i="22"/>
  <c r="H41" i="22" s="1"/>
  <c r="J23" i="22"/>
  <c r="J35" i="22" s="1"/>
  <c r="L23" i="22"/>
  <c r="L35" i="22" s="1"/>
  <c r="L53" i="22" s="1"/>
  <c r="N23" i="22"/>
  <c r="N35" i="22"/>
  <c r="X25" i="22"/>
  <c r="A29" i="22"/>
  <c r="A35" i="22" s="1"/>
  <c r="A41" i="22" s="1"/>
  <c r="A47" i="22" s="1"/>
  <c r="A53" i="22" s="1"/>
  <c r="A59" i="22" s="1"/>
  <c r="A65" i="22" s="1"/>
  <c r="X31" i="22"/>
  <c r="D32" i="22"/>
  <c r="D50" i="22" s="1"/>
  <c r="T32" i="22"/>
  <c r="T38" i="22" s="1"/>
  <c r="V32" i="22"/>
  <c r="X32" i="22"/>
  <c r="Z32" i="22"/>
  <c r="Z50" i="22" s="1"/>
  <c r="AB32" i="22"/>
  <c r="AB50" i="22" s="1"/>
  <c r="AD32" i="22"/>
  <c r="AF32" i="22"/>
  <c r="AH32" i="22"/>
  <c r="AH50" i="22" s="1"/>
  <c r="AJ32" i="22"/>
  <c r="AJ38" i="22"/>
  <c r="D33" i="22"/>
  <c r="F33" i="22"/>
  <c r="R33" i="22"/>
  <c r="T33" i="22"/>
  <c r="T39" i="22"/>
  <c r="V33" i="22"/>
  <c r="X33" i="22"/>
  <c r="X39" i="22" s="1"/>
  <c r="Z33" i="22"/>
  <c r="Z51" i="22" s="1"/>
  <c r="Z57" i="22" s="1"/>
  <c r="AB33" i="22"/>
  <c r="AB51" i="22" s="1"/>
  <c r="AD33" i="22"/>
  <c r="AF33" i="22"/>
  <c r="AH33" i="22"/>
  <c r="AJ33" i="22"/>
  <c r="AJ39" i="22" s="1"/>
  <c r="D34" i="22"/>
  <c r="L34" i="22"/>
  <c r="R34" i="22"/>
  <c r="T34" i="22"/>
  <c r="T40" i="22" s="1"/>
  <c r="V34" i="22"/>
  <c r="V40" i="22" s="1"/>
  <c r="X34" i="22"/>
  <c r="Z34" i="22"/>
  <c r="Z40" i="22" s="1"/>
  <c r="AB34" i="22"/>
  <c r="AD34" i="22"/>
  <c r="AD52" i="22" s="1"/>
  <c r="AD58" i="22" s="1"/>
  <c r="AF34" i="22"/>
  <c r="AH34" i="22"/>
  <c r="AH40" i="22" s="1"/>
  <c r="AJ34" i="22"/>
  <c r="AJ40" i="22" s="1"/>
  <c r="D35" i="22"/>
  <c r="D53" i="22" s="1"/>
  <c r="P35" i="22"/>
  <c r="R35" i="22"/>
  <c r="R41" i="22" s="1"/>
  <c r="R65" i="22" s="1"/>
  <c r="T35" i="22"/>
  <c r="V35" i="22"/>
  <c r="V41" i="22" s="1"/>
  <c r="X35" i="22"/>
  <c r="X53" i="22" s="1"/>
  <c r="X59" i="22" s="1"/>
  <c r="Z35" i="22"/>
  <c r="AB35" i="22"/>
  <c r="AD35" i="22"/>
  <c r="AF35" i="22"/>
  <c r="AF41" i="22" s="1"/>
  <c r="AH35" i="22"/>
  <c r="X37" i="22"/>
  <c r="D38" i="22"/>
  <c r="AO41" i="22"/>
  <c r="AP42" i="22" s="1"/>
  <c r="AP41" i="22"/>
  <c r="AQ41" i="22"/>
  <c r="AR41" i="22"/>
  <c r="AR42" i="22" s="1"/>
  <c r="X43" i="22"/>
  <c r="X49" i="22"/>
  <c r="X55" i="22"/>
  <c r="X61" i="22"/>
  <c r="H7" i="11"/>
  <c r="L7" i="11" s="1"/>
  <c r="P7" i="11" s="1"/>
  <c r="T7" i="11" s="1"/>
  <c r="X7" i="11" s="1"/>
  <c r="AB7" i="11" s="1"/>
  <c r="AF7" i="11" s="1"/>
  <c r="AJ7" i="11" s="1"/>
  <c r="AN7" i="11" s="1"/>
  <c r="AR7" i="11" s="1"/>
  <c r="AV7" i="11" s="1"/>
  <c r="AZ7" i="11" s="1"/>
  <c r="BD7" i="11" s="1"/>
  <c r="BH7" i="11" s="1"/>
  <c r="BL7" i="11" s="1"/>
  <c r="BP7" i="11" s="1"/>
  <c r="BT7" i="11" s="1"/>
  <c r="A10" i="11"/>
  <c r="B10" i="11"/>
  <c r="F10" i="11"/>
  <c r="F28" i="11"/>
  <c r="M10" i="11"/>
  <c r="Q10" i="11"/>
  <c r="U10" i="11"/>
  <c r="Y10" i="11"/>
  <c r="AC10" i="11"/>
  <c r="AG10" i="11"/>
  <c r="AK10" i="11"/>
  <c r="AO10" i="11"/>
  <c r="AS10" i="11"/>
  <c r="AW10" i="11"/>
  <c r="BA10" i="11"/>
  <c r="BE10" i="11"/>
  <c r="BI10" i="11"/>
  <c r="BM10" i="11"/>
  <c r="B4" i="95" s="1"/>
  <c r="BQ10" i="11"/>
  <c r="F4" i="95" s="1"/>
  <c r="A11" i="11"/>
  <c r="A23" i="11" s="1"/>
  <c r="B11" i="11"/>
  <c r="F11" i="11"/>
  <c r="F29" i="11" s="1"/>
  <c r="M11" i="11"/>
  <c r="Q11" i="11"/>
  <c r="U11" i="11"/>
  <c r="Y11" i="11"/>
  <c r="AC11" i="11"/>
  <c r="AG11" i="11"/>
  <c r="AK11" i="11"/>
  <c r="AO11" i="11"/>
  <c r="AS11" i="11"/>
  <c r="AW11" i="11"/>
  <c r="BA11" i="11"/>
  <c r="BE11" i="11"/>
  <c r="BI11" i="11"/>
  <c r="BM11" i="11"/>
  <c r="C4" i="95" s="1"/>
  <c r="BQ11" i="11"/>
  <c r="G4" i="95" s="1"/>
  <c r="A12" i="11"/>
  <c r="A30" i="11" s="1"/>
  <c r="B12" i="11"/>
  <c r="F12" i="11"/>
  <c r="F18" i="11" s="1"/>
  <c r="M12" i="11"/>
  <c r="Q12" i="11"/>
  <c r="U12" i="11"/>
  <c r="Y12" i="11"/>
  <c r="AC12" i="11"/>
  <c r="AG12" i="11"/>
  <c r="AK12" i="11"/>
  <c r="AN12" i="11"/>
  <c r="AO12" i="11" s="1"/>
  <c r="AW12" i="11"/>
  <c r="BA12" i="11"/>
  <c r="BE12" i="11"/>
  <c r="BI12" i="11"/>
  <c r="BM12" i="11"/>
  <c r="D4" i="95" s="1"/>
  <c r="D6" i="95" s="1"/>
  <c r="BQ12" i="11"/>
  <c r="H4" i="95" s="1"/>
  <c r="A13" i="11"/>
  <c r="B13" i="11"/>
  <c r="F13" i="11"/>
  <c r="I13" i="11"/>
  <c r="M13" i="11"/>
  <c r="Q13" i="11"/>
  <c r="U13" i="11"/>
  <c r="Y13" i="11"/>
  <c r="AC13" i="11"/>
  <c r="AG13" i="11"/>
  <c r="AK13" i="11"/>
  <c r="AO13" i="11"/>
  <c r="AS13" i="11"/>
  <c r="AW13" i="11"/>
  <c r="BA13" i="11"/>
  <c r="BE13" i="11"/>
  <c r="BI13" i="11"/>
  <c r="BM13" i="11"/>
  <c r="E4" i="95" s="1"/>
  <c r="E6" i="95" s="1"/>
  <c r="H16" i="11"/>
  <c r="H34" i="11" s="1"/>
  <c r="H40" i="11" s="1"/>
  <c r="L16" i="11"/>
  <c r="P16" i="11"/>
  <c r="T16" i="11"/>
  <c r="X16" i="11"/>
  <c r="Y16" i="11" s="1"/>
  <c r="AB16" i="11"/>
  <c r="AF16" i="11"/>
  <c r="AF34" i="11" s="1"/>
  <c r="AJ16" i="11"/>
  <c r="AK16" i="11" s="1"/>
  <c r="AN16" i="11"/>
  <c r="AR16" i="11"/>
  <c r="AR34" i="11" s="1"/>
  <c r="AV16" i="11"/>
  <c r="AZ16" i="11"/>
  <c r="BD16" i="11"/>
  <c r="BE16" i="11" s="1"/>
  <c r="BH16" i="11"/>
  <c r="BL16" i="11"/>
  <c r="BP16" i="11"/>
  <c r="H17" i="11"/>
  <c r="H35" i="11"/>
  <c r="L17" i="11"/>
  <c r="P17" i="11"/>
  <c r="T17" i="11"/>
  <c r="X17" i="11"/>
  <c r="X35" i="11" s="1"/>
  <c r="AB17" i="11"/>
  <c r="AF17" i="11"/>
  <c r="AJ17" i="11"/>
  <c r="AJ35" i="11" s="1"/>
  <c r="AN17" i="11"/>
  <c r="AN35" i="11" s="1"/>
  <c r="AR17" i="11"/>
  <c r="AV17" i="11"/>
  <c r="AZ17" i="11"/>
  <c r="BD17" i="11"/>
  <c r="BL17" i="11"/>
  <c r="BM17" i="11"/>
  <c r="BP17" i="11"/>
  <c r="H18" i="11"/>
  <c r="M18" i="11" s="1"/>
  <c r="L18" i="11"/>
  <c r="P18" i="11"/>
  <c r="T18" i="11"/>
  <c r="X18" i="11"/>
  <c r="Y18" i="11" s="1"/>
  <c r="AB18" i="11"/>
  <c r="AF18" i="11"/>
  <c r="AG18" i="11" s="1"/>
  <c r="AJ18" i="11"/>
  <c r="AN18" i="11"/>
  <c r="AS18" i="11" s="1"/>
  <c r="AR18" i="11"/>
  <c r="AR36" i="11"/>
  <c r="AV18" i="11"/>
  <c r="AZ18" i="11"/>
  <c r="BE18" i="11" s="1"/>
  <c r="BD18" i="11"/>
  <c r="BH18" i="11"/>
  <c r="BH36" i="11" s="1"/>
  <c r="BI36" i="11" s="1"/>
  <c r="BL18" i="11"/>
  <c r="BP18" i="11"/>
  <c r="D19" i="11"/>
  <c r="I19" i="11" s="1"/>
  <c r="H19" i="11"/>
  <c r="L19" i="11"/>
  <c r="L37" i="11" s="1"/>
  <c r="P19" i="11"/>
  <c r="T19" i="11"/>
  <c r="U19" i="11" s="1"/>
  <c r="X19" i="11"/>
  <c r="AB19" i="11"/>
  <c r="AC19" i="11" s="1"/>
  <c r="AF19" i="11"/>
  <c r="AF37" i="11" s="1"/>
  <c r="AJ19" i="11"/>
  <c r="AN19" i="11"/>
  <c r="AN37" i="11" s="1"/>
  <c r="AR19" i="11"/>
  <c r="AW19" i="11" s="1"/>
  <c r="AV19" i="11"/>
  <c r="AZ19" i="11"/>
  <c r="AZ37" i="11" s="1"/>
  <c r="BD19" i="11"/>
  <c r="BH19" i="11"/>
  <c r="BL19" i="11"/>
  <c r="M22" i="11"/>
  <c r="Q22" i="11"/>
  <c r="U22" i="11"/>
  <c r="Y22" i="11"/>
  <c r="AC22" i="11"/>
  <c r="AG22" i="11"/>
  <c r="AK22" i="11"/>
  <c r="AO22" i="11"/>
  <c r="AS22" i="11"/>
  <c r="AW22" i="11"/>
  <c r="BA22" i="11"/>
  <c r="BE22" i="11"/>
  <c r="BI22" i="11"/>
  <c r="BM22" i="11"/>
  <c r="BQ22" i="11"/>
  <c r="M23" i="11"/>
  <c r="Q23" i="11"/>
  <c r="U23" i="11"/>
  <c r="Y23" i="11"/>
  <c r="AC23" i="11"/>
  <c r="AG23" i="11"/>
  <c r="AK23" i="11"/>
  <c r="AO23" i="11"/>
  <c r="AS23" i="11"/>
  <c r="AW23" i="11"/>
  <c r="BA23" i="11"/>
  <c r="BE23" i="11"/>
  <c r="BI23" i="11"/>
  <c r="BM23" i="11"/>
  <c r="BQ23" i="11"/>
  <c r="M24" i="11"/>
  <c r="Q24" i="11"/>
  <c r="U24" i="11"/>
  <c r="Y24" i="11"/>
  <c r="AC24" i="11"/>
  <c r="AG24" i="11"/>
  <c r="AK24" i="11"/>
  <c r="AO24" i="11"/>
  <c r="AS24" i="11"/>
  <c r="AW24" i="11"/>
  <c r="BA24" i="11"/>
  <c r="BE24" i="11"/>
  <c r="BI24" i="11"/>
  <c r="BM24" i="11"/>
  <c r="BQ24" i="11"/>
  <c r="I25" i="11"/>
  <c r="M25" i="11"/>
  <c r="Q25" i="11"/>
  <c r="U25" i="11"/>
  <c r="Y25" i="11"/>
  <c r="AC25" i="11"/>
  <c r="AG25" i="11"/>
  <c r="AK25" i="11"/>
  <c r="AO25" i="11"/>
  <c r="AS25" i="11"/>
  <c r="AW25" i="11"/>
  <c r="BA25" i="11"/>
  <c r="BE25" i="11"/>
  <c r="BI25" i="11"/>
  <c r="BM25" i="11"/>
  <c r="H28" i="11"/>
  <c r="L28" i="11"/>
  <c r="P28" i="11"/>
  <c r="T28" i="11"/>
  <c r="X28" i="11"/>
  <c r="AB28" i="11"/>
  <c r="AC28" i="11"/>
  <c r="AK28" i="11"/>
  <c r="AO28" i="11"/>
  <c r="AS28" i="11"/>
  <c r="AW28" i="11"/>
  <c r="BA28" i="11"/>
  <c r="BE28" i="11"/>
  <c r="BI28" i="11"/>
  <c r="BM28" i="11"/>
  <c r="BQ28" i="11"/>
  <c r="L29" i="11"/>
  <c r="P29" i="11"/>
  <c r="T29" i="11"/>
  <c r="Y29" i="11" s="1"/>
  <c r="X29" i="11"/>
  <c r="AB29" i="11"/>
  <c r="AK29" i="11"/>
  <c r="AO29" i="11"/>
  <c r="AS29" i="11"/>
  <c r="AW29" i="11"/>
  <c r="BA29" i="11"/>
  <c r="BE29" i="11"/>
  <c r="BI29" i="11"/>
  <c r="BM29" i="11"/>
  <c r="BQ29" i="11"/>
  <c r="H30" i="11"/>
  <c r="L30" i="11"/>
  <c r="P30" i="11"/>
  <c r="T30" i="11"/>
  <c r="X30" i="11"/>
  <c r="Y30" i="11" s="1"/>
  <c r="AB30" i="11"/>
  <c r="AK30" i="11"/>
  <c r="AO30" i="11"/>
  <c r="AS30" i="11"/>
  <c r="AW30" i="11"/>
  <c r="BA30" i="11"/>
  <c r="BE30" i="11"/>
  <c r="BI30" i="11"/>
  <c r="BM30" i="11"/>
  <c r="BQ30" i="11"/>
  <c r="H31" i="11"/>
  <c r="L31" i="11"/>
  <c r="P31" i="11"/>
  <c r="T31" i="11"/>
  <c r="U31" i="11" s="1"/>
  <c r="X31" i="11"/>
  <c r="AG31" i="11"/>
  <c r="AK31" i="11"/>
  <c r="AO31" i="11"/>
  <c r="AS31" i="11"/>
  <c r="AW31" i="11"/>
  <c r="BA31" i="11"/>
  <c r="BE31" i="11"/>
  <c r="BI31" i="11"/>
  <c r="BM31" i="11"/>
  <c r="D34" i="11"/>
  <c r="BC34" i="11"/>
  <c r="D35" i="11"/>
  <c r="BH35" i="11"/>
  <c r="BL35" i="11"/>
  <c r="D36" i="11"/>
  <c r="B9" i="10"/>
  <c r="B10" i="10"/>
  <c r="V10" i="10"/>
  <c r="B11" i="10"/>
  <c r="V11" i="10"/>
  <c r="B12" i="10"/>
  <c r="V12" i="10"/>
  <c r="B13" i="10"/>
  <c r="V13" i="10"/>
  <c r="B14" i="10"/>
  <c r="D14" i="10"/>
  <c r="L14" i="10" s="1"/>
  <c r="F14" i="10"/>
  <c r="V17" i="10"/>
  <c r="V18" i="10"/>
  <c r="V19" i="10"/>
  <c r="V20" i="10"/>
  <c r="B21" i="10"/>
  <c r="D21" i="10"/>
  <c r="F21" i="10"/>
  <c r="B23" i="10"/>
  <c r="B24" i="10"/>
  <c r="V24" i="10"/>
  <c r="B25" i="10"/>
  <c r="V25" i="10"/>
  <c r="B26" i="10"/>
  <c r="V26" i="10"/>
  <c r="B27" i="10"/>
  <c r="V27" i="10"/>
  <c r="B28" i="10"/>
  <c r="D28" i="10"/>
  <c r="F28" i="10"/>
  <c r="B30" i="10"/>
  <c r="V31" i="10"/>
  <c r="V32" i="10"/>
  <c r="V33" i="10"/>
  <c r="B35" i="10"/>
  <c r="D35" i="10"/>
  <c r="L35" i="10" s="1"/>
  <c r="F35" i="10"/>
  <c r="B37" i="10"/>
  <c r="V38" i="10"/>
  <c r="AL38" i="10"/>
  <c r="V39" i="10"/>
  <c r="AL39" i="10"/>
  <c r="V40" i="10"/>
  <c r="AL40" i="10"/>
  <c r="AL41" i="10"/>
  <c r="B42" i="10"/>
  <c r="D42" i="10"/>
  <c r="L42" i="10"/>
  <c r="F42" i="10"/>
  <c r="AL42" i="10" s="1"/>
  <c r="B44" i="10"/>
  <c r="D45" i="10"/>
  <c r="F45" i="10"/>
  <c r="AJ41" i="10" s="1"/>
  <c r="H45" i="10"/>
  <c r="V45" i="10"/>
  <c r="D46" i="10"/>
  <c r="F46" i="10"/>
  <c r="AL46" i="10" s="1"/>
  <c r="H46" i="10"/>
  <c r="AD46" i="10" s="1"/>
  <c r="AF46" i="10"/>
  <c r="V46" i="10"/>
  <c r="D47" i="10"/>
  <c r="L54" i="10" s="1"/>
  <c r="F47" i="10"/>
  <c r="H47" i="10"/>
  <c r="V47" i="10"/>
  <c r="D48" i="10"/>
  <c r="F48" i="10"/>
  <c r="H48" i="10"/>
  <c r="AJ48" i="10" s="1"/>
  <c r="B49" i="10"/>
  <c r="D52" i="10"/>
  <c r="L52" i="10" s="1"/>
  <c r="F52" i="10"/>
  <c r="H52" i="10"/>
  <c r="J53" i="10" s="1"/>
  <c r="V52" i="10"/>
  <c r="AB52" i="10"/>
  <c r="D53" i="10"/>
  <c r="F53" i="10"/>
  <c r="H53" i="10"/>
  <c r="AB53" i="10"/>
  <c r="D54" i="10"/>
  <c r="F54" i="10"/>
  <c r="H54" i="10"/>
  <c r="AB54" i="10"/>
  <c r="D55" i="10"/>
  <c r="F55" i="10"/>
  <c r="H55" i="10"/>
  <c r="D59" i="10"/>
  <c r="L66" i="10" s="1"/>
  <c r="F59" i="10"/>
  <c r="H59" i="10"/>
  <c r="J59" i="10" s="1"/>
  <c r="AB59" i="10"/>
  <c r="D60" i="10"/>
  <c r="F60" i="10"/>
  <c r="H60" i="10"/>
  <c r="AB60" i="10"/>
  <c r="D61" i="10"/>
  <c r="F61" i="10"/>
  <c r="H61" i="10"/>
  <c r="AB61" i="10"/>
  <c r="D62" i="10"/>
  <c r="F62" i="10"/>
  <c r="H62" i="10"/>
  <c r="D66" i="10"/>
  <c r="F66" i="10"/>
  <c r="F70" i="10" s="1"/>
  <c r="H66" i="10"/>
  <c r="AB66" i="10"/>
  <c r="D67" i="10"/>
  <c r="F67" i="10"/>
  <c r="AJ66" i="10" s="1"/>
  <c r="H67" i="10"/>
  <c r="AB67" i="10"/>
  <c r="D68" i="10"/>
  <c r="F68" i="10"/>
  <c r="AJ67" i="10" s="1"/>
  <c r="H68" i="10"/>
  <c r="P68" i="10" s="1"/>
  <c r="AB68" i="10"/>
  <c r="D69" i="10"/>
  <c r="F69" i="10"/>
  <c r="H69" i="10"/>
  <c r="D73" i="10"/>
  <c r="L73" i="10" s="1"/>
  <c r="F73" i="10"/>
  <c r="H73" i="10"/>
  <c r="J73" i="10" s="1"/>
  <c r="AB73" i="10"/>
  <c r="D74" i="10"/>
  <c r="L81" i="10" s="1"/>
  <c r="F74" i="10"/>
  <c r="H74" i="10"/>
  <c r="N74" i="10" s="1"/>
  <c r="AB74" i="10"/>
  <c r="D75" i="10"/>
  <c r="F75" i="10"/>
  <c r="H75" i="10"/>
  <c r="AJ75" i="10" s="1"/>
  <c r="AB75" i="10"/>
  <c r="F76" i="10"/>
  <c r="H76" i="10"/>
  <c r="D80" i="10"/>
  <c r="D84" i="10" s="1"/>
  <c r="F80" i="10"/>
  <c r="H80" i="10"/>
  <c r="D81" i="10"/>
  <c r="F81" i="10"/>
  <c r="T80" i="10" s="1"/>
  <c r="H81" i="10"/>
  <c r="D82" i="10"/>
  <c r="L82" i="10" s="1"/>
  <c r="F82" i="10"/>
  <c r="T81" i="10" s="1"/>
  <c r="H82" i="10"/>
  <c r="T82" i="10" s="1"/>
  <c r="D83" i="10"/>
  <c r="F83" i="10"/>
  <c r="H83" i="10"/>
  <c r="D87" i="10"/>
  <c r="F87" i="10"/>
  <c r="H87" i="10"/>
  <c r="D88" i="10"/>
  <c r="F88" i="10"/>
  <c r="AJ87" i="10" s="1"/>
  <c r="H88" i="10"/>
  <c r="H89" i="10"/>
  <c r="D90" i="10"/>
  <c r="F90" i="10"/>
  <c r="T89" i="10" s="1"/>
  <c r="H90" i="10"/>
  <c r="D94" i="10"/>
  <c r="F94" i="10"/>
  <c r="H94" i="10"/>
  <c r="P94" i="10" s="1"/>
  <c r="D95" i="10"/>
  <c r="F95" i="10"/>
  <c r="T94" i="10" s="1"/>
  <c r="H95" i="10"/>
  <c r="D96" i="10"/>
  <c r="F96" i="10"/>
  <c r="H96" i="10"/>
  <c r="D97" i="10"/>
  <c r="D98" i="10" s="1"/>
  <c r="F97" i="10"/>
  <c r="H97" i="10"/>
  <c r="N105" i="10" s="1"/>
  <c r="D102" i="10"/>
  <c r="L102" i="10" s="1"/>
  <c r="F102" i="10"/>
  <c r="H102" i="10"/>
  <c r="D103" i="10"/>
  <c r="L103" i="10" s="1"/>
  <c r="F103" i="10"/>
  <c r="F106" i="10" s="1"/>
  <c r="H103" i="10"/>
  <c r="D104" i="10"/>
  <c r="L104" i="10" s="1"/>
  <c r="F104" i="10"/>
  <c r="AH104" i="10" s="1"/>
  <c r="AJ104" i="10" s="1"/>
  <c r="H104" i="10"/>
  <c r="D105" i="10"/>
  <c r="F105" i="10"/>
  <c r="D109" i="10"/>
  <c r="L109" i="10" s="1"/>
  <c r="F109" i="10"/>
  <c r="H109" i="10"/>
  <c r="J109" i="10" s="1"/>
  <c r="AH109" i="10" s="1"/>
  <c r="D110" i="10"/>
  <c r="L110" i="10" s="1"/>
  <c r="F110" i="10"/>
  <c r="T109" i="10" s="1"/>
  <c r="H110" i="10"/>
  <c r="N110" i="10" s="1"/>
  <c r="D111" i="10"/>
  <c r="F111" i="10"/>
  <c r="D112" i="10"/>
  <c r="F112" i="10"/>
  <c r="H112" i="10"/>
  <c r="D116" i="10"/>
  <c r="F116" i="10"/>
  <c r="T112" i="10" s="1"/>
  <c r="H116" i="10"/>
  <c r="D117" i="10"/>
  <c r="F117" i="10"/>
  <c r="H117" i="10"/>
  <c r="P117" i="10" s="1"/>
  <c r="D118" i="10"/>
  <c r="F118" i="10"/>
  <c r="H118" i="10"/>
  <c r="F119" i="10"/>
  <c r="T118" i="10" s="1"/>
  <c r="H119" i="10"/>
  <c r="D123" i="10"/>
  <c r="F123" i="10"/>
  <c r="H123" i="10"/>
  <c r="P123" i="10" s="1"/>
  <c r="D124" i="10"/>
  <c r="F124" i="10"/>
  <c r="H124" i="10"/>
  <c r="D125" i="10"/>
  <c r="L125" i="10" s="1"/>
  <c r="F125" i="10"/>
  <c r="H125" i="10"/>
  <c r="D126" i="10"/>
  <c r="F126" i="10"/>
  <c r="T125" i="10" s="1"/>
  <c r="H126" i="10"/>
  <c r="D130" i="10"/>
  <c r="F130" i="10"/>
  <c r="H130" i="10"/>
  <c r="X130" i="10" s="1"/>
  <c r="D131" i="10"/>
  <c r="F131" i="10"/>
  <c r="T130" i="10" s="1"/>
  <c r="H131" i="10"/>
  <c r="T131" i="10" s="1"/>
  <c r="D132" i="10"/>
  <c r="F132" i="10"/>
  <c r="H132" i="10"/>
  <c r="D133" i="10"/>
  <c r="D134" i="10" s="1"/>
  <c r="F133" i="10"/>
  <c r="H133" i="10"/>
  <c r="J133" i="10" s="1"/>
  <c r="D137" i="10"/>
  <c r="L137" i="10" s="1"/>
  <c r="F137" i="10"/>
  <c r="H137" i="10"/>
  <c r="J138" i="10" s="1"/>
  <c r="AH138" i="10" s="1"/>
  <c r="AJ138" i="10" s="1"/>
  <c r="D138" i="10"/>
  <c r="F138" i="10"/>
  <c r="H138" i="10"/>
  <c r="D139" i="10"/>
  <c r="L139" i="10" s="1"/>
  <c r="F139" i="10"/>
  <c r="H139" i="10"/>
  <c r="D140" i="10"/>
  <c r="H140" i="10"/>
  <c r="J144" i="10" s="1"/>
  <c r="D144" i="10"/>
  <c r="F144" i="10"/>
  <c r="H144" i="10"/>
  <c r="S52" i="74" s="1"/>
  <c r="D145" i="10"/>
  <c r="D148" i="10" s="1"/>
  <c r="L148" i="10" s="1"/>
  <c r="F145" i="10"/>
  <c r="H145" i="10"/>
  <c r="D146" i="10"/>
  <c r="L146" i="10"/>
  <c r="F146" i="10"/>
  <c r="H146" i="10"/>
  <c r="J146" i="10" s="1"/>
  <c r="D147" i="10"/>
  <c r="L147" i="10" s="1"/>
  <c r="H147" i="10"/>
  <c r="D151" i="10"/>
  <c r="H151" i="10"/>
  <c r="D152" i="10"/>
  <c r="L159" i="10" s="1"/>
  <c r="H152" i="10"/>
  <c r="C52" i="74" s="1"/>
  <c r="D153" i="10"/>
  <c r="F153" i="10"/>
  <c r="H153" i="10"/>
  <c r="P153" i="10" s="1"/>
  <c r="D154" i="10"/>
  <c r="H154" i="10"/>
  <c r="D158" i="10"/>
  <c r="H158" i="10"/>
  <c r="P158" i="10" s="1"/>
  <c r="D159" i="10"/>
  <c r="F159" i="10"/>
  <c r="H159" i="10"/>
  <c r="D160" i="10"/>
  <c r="F160" i="10"/>
  <c r="H160" i="10"/>
  <c r="C5" i="15"/>
  <c r="E5" i="15"/>
  <c r="F5" i="15" s="1"/>
  <c r="H5" i="15"/>
  <c r="I5" i="15" s="1"/>
  <c r="J5" i="15" s="1"/>
  <c r="K5" i="15" s="1"/>
  <c r="L5" i="15" s="1"/>
  <c r="M5" i="15" s="1"/>
  <c r="N5" i="15" s="1"/>
  <c r="O5" i="15" s="1"/>
  <c r="P5" i="15" s="1"/>
  <c r="Q5" i="15" s="1"/>
  <c r="R5" i="15" s="1"/>
  <c r="S5" i="15" s="1"/>
  <c r="T5" i="15" s="1"/>
  <c r="U5" i="15" s="1"/>
  <c r="V5" i="15" s="1"/>
  <c r="W5" i="15" s="1"/>
  <c r="X5" i="15" s="1"/>
  <c r="Y5" i="15" s="1"/>
  <c r="Z5" i="15" s="1"/>
  <c r="AA5" i="15" s="1"/>
  <c r="AB5" i="15" s="1"/>
  <c r="AC5" i="15" s="1"/>
  <c r="AF5" i="15"/>
  <c r="AH5" i="15"/>
  <c r="B7" i="15"/>
  <c r="C7" i="15"/>
  <c r="D7" i="15"/>
  <c r="E7" i="15"/>
  <c r="CV10" i="20" s="1"/>
  <c r="F7" i="15"/>
  <c r="CW10" i="20"/>
  <c r="CW14" i="20" s="1"/>
  <c r="B12" i="15"/>
  <c r="C12" i="15"/>
  <c r="CT12" i="20" s="1"/>
  <c r="D12" i="15"/>
  <c r="CU12" i="20" s="1"/>
  <c r="E12" i="15"/>
  <c r="F12" i="15"/>
  <c r="CW12" i="20" s="1"/>
  <c r="B15" i="15"/>
  <c r="C15" i="15"/>
  <c r="CT15" i="20" s="1"/>
  <c r="D15" i="15"/>
  <c r="E15" i="15"/>
  <c r="F15" i="15"/>
  <c r="J17" i="15"/>
  <c r="K17" i="15"/>
  <c r="N18" i="15"/>
  <c r="R72" i="52" s="1"/>
  <c r="F69" i="52" s="1"/>
  <c r="O18" i="15"/>
  <c r="R18" i="15"/>
  <c r="S18" i="15"/>
  <c r="T18" i="15"/>
  <c r="T22" i="15"/>
  <c r="U18" i="15"/>
  <c r="Z20" i="15"/>
  <c r="AA20" i="15"/>
  <c r="H21" i="15"/>
  <c r="I21" i="15"/>
  <c r="J21" i="15"/>
  <c r="K21" i="15"/>
  <c r="L21" i="15"/>
  <c r="L28" i="15" s="1"/>
  <c r="M21" i="15"/>
  <c r="P21" i="15"/>
  <c r="P28" i="15" s="1"/>
  <c r="Q21" i="15"/>
  <c r="W23" i="15"/>
  <c r="K45" i="15"/>
  <c r="DB16" i="20" s="1"/>
  <c r="L45" i="15"/>
  <c r="AR54" i="1" s="1"/>
  <c r="M45" i="15"/>
  <c r="DD16" i="20" s="1"/>
  <c r="W45" i="15"/>
  <c r="G48" i="15"/>
  <c r="H48" i="15"/>
  <c r="H53" i="15" s="1"/>
  <c r="I48" i="15"/>
  <c r="J48" i="15"/>
  <c r="D44" i="52" s="1"/>
  <c r="D40" i="52" s="1"/>
  <c r="K48" i="15"/>
  <c r="L48" i="15"/>
  <c r="M48" i="15"/>
  <c r="N48" i="15"/>
  <c r="O48" i="15"/>
  <c r="O53" i="15"/>
  <c r="P48" i="15"/>
  <c r="D86" i="52" s="1"/>
  <c r="D84" i="52" s="1"/>
  <c r="Q48" i="15"/>
  <c r="D93" i="52" s="1"/>
  <c r="R48" i="15"/>
  <c r="S48" i="15"/>
  <c r="D107" i="52" s="1"/>
  <c r="D105" i="52" s="1"/>
  <c r="T48" i="15"/>
  <c r="U48" i="15"/>
  <c r="U53" i="15" s="1"/>
  <c r="V48" i="15"/>
  <c r="V51" i="15"/>
  <c r="F58" i="15"/>
  <c r="B64" i="15"/>
  <c r="B65" i="15" s="1"/>
  <c r="C64" i="15"/>
  <c r="CT20" i="20"/>
  <c r="D64" i="15"/>
  <c r="E64" i="15"/>
  <c r="CV20" i="20" s="1"/>
  <c r="F64" i="15"/>
  <c r="CW20" i="20" s="1"/>
  <c r="B70" i="15"/>
  <c r="C70" i="15"/>
  <c r="D70" i="15"/>
  <c r="CU23" i="20"/>
  <c r="E70" i="15"/>
  <c r="F70" i="15"/>
  <c r="CW23" i="20" s="1"/>
  <c r="B82" i="15"/>
  <c r="D82" i="15"/>
  <c r="AF84" i="15"/>
  <c r="AH84" i="15"/>
  <c r="B85" i="15"/>
  <c r="D85" i="15"/>
  <c r="AF87" i="15"/>
  <c r="AH87" i="15"/>
  <c r="B88" i="15"/>
  <c r="C88" i="15"/>
  <c r="I88" i="15"/>
  <c r="CZ29" i="20" s="1"/>
  <c r="J88" i="15"/>
  <c r="DA29" i="20" s="1"/>
  <c r="K88" i="15"/>
  <c r="L88" i="15"/>
  <c r="M88" i="15"/>
  <c r="N88" i="15"/>
  <c r="O88" i="15"/>
  <c r="B90" i="15"/>
  <c r="C90" i="15"/>
  <c r="D90" i="15"/>
  <c r="E90" i="15"/>
  <c r="F90" i="15"/>
  <c r="G90" i="15"/>
  <c r="H90" i="15"/>
  <c r="I90" i="15"/>
  <c r="J90" i="15"/>
  <c r="K90" i="15"/>
  <c r="L90" i="15"/>
  <c r="M90" i="15"/>
  <c r="N90" i="15"/>
  <c r="O90" i="15"/>
  <c r="P90" i="15" s="1"/>
  <c r="AE90" i="15"/>
  <c r="B93" i="15"/>
  <c r="C93" i="15"/>
  <c r="D93" i="15"/>
  <c r="CU31" i="20" s="1"/>
  <c r="E93" i="15"/>
  <c r="CV31" i="20" s="1"/>
  <c r="F93" i="15"/>
  <c r="CW31" i="20" s="1"/>
  <c r="B94" i="15"/>
  <c r="C94" i="15"/>
  <c r="D94" i="15"/>
  <c r="CU30" i="20" s="1"/>
  <c r="E94" i="15"/>
  <c r="CV30" i="20" s="1"/>
  <c r="M94" i="15"/>
  <c r="DD30" i="20" s="1"/>
  <c r="N94" i="15"/>
  <c r="DE30" i="20" s="1"/>
  <c r="O94" i="15"/>
  <c r="DF30" i="20" s="1"/>
  <c r="N95" i="15"/>
  <c r="O95" i="15" s="1"/>
  <c r="P95" i="15" s="1"/>
  <c r="Q95" i="15" s="1"/>
  <c r="R95" i="15" s="1"/>
  <c r="S95" i="15" s="1"/>
  <c r="T95" i="15" s="1"/>
  <c r="U95" i="15" s="1"/>
  <c r="V95" i="15" s="1"/>
  <c r="W95" i="15" s="1"/>
  <c r="X95" i="15" s="1"/>
  <c r="Y95" i="15" s="1"/>
  <c r="Z95" i="15" s="1"/>
  <c r="AA95" i="15" s="1"/>
  <c r="B5" i="5"/>
  <c r="C5" i="5" s="1"/>
  <c r="D5" i="5" s="1"/>
  <c r="E5" i="5" s="1"/>
  <c r="F5" i="5" s="1"/>
  <c r="G5" i="5" s="1"/>
  <c r="C6" i="5"/>
  <c r="E6" i="5"/>
  <c r="F6" i="5" s="1"/>
  <c r="H6" i="5"/>
  <c r="I6" i="5" s="1"/>
  <c r="J6" i="5" s="1"/>
  <c r="K6" i="5" s="1"/>
  <c r="L6" i="5" s="1"/>
  <c r="M6" i="5" s="1"/>
  <c r="T8" i="5"/>
  <c r="T10" i="5"/>
  <c r="U10" i="5"/>
  <c r="P19" i="5"/>
  <c r="Q19" i="5"/>
  <c r="R19" i="5"/>
  <c r="I22" i="5"/>
  <c r="J22" i="5"/>
  <c r="K22" i="5"/>
  <c r="L22" i="5"/>
  <c r="M22" i="5"/>
  <c r="N22" i="5"/>
  <c r="O22" i="5"/>
  <c r="P22" i="5"/>
  <c r="Q22" i="5"/>
  <c r="R22" i="5"/>
  <c r="H24" i="5"/>
  <c r="I24" i="5"/>
  <c r="J24" i="5"/>
  <c r="K24" i="5"/>
  <c r="L24" i="5"/>
  <c r="M24" i="5"/>
  <c r="N24" i="5"/>
  <c r="O24" i="5"/>
  <c r="P24" i="5"/>
  <c r="Q24" i="5"/>
  <c r="R24" i="5"/>
  <c r="B25" i="5"/>
  <c r="C25" i="5"/>
  <c r="D25" i="5"/>
  <c r="E25" i="5"/>
  <c r="F25" i="5"/>
  <c r="K25" i="5"/>
  <c r="N25" i="5"/>
  <c r="O25" i="5"/>
  <c r="P25" i="5"/>
  <c r="Q25" i="5"/>
  <c r="R25" i="5"/>
  <c r="G32" i="5"/>
  <c r="G33" i="5"/>
  <c r="H33" i="5"/>
  <c r="I33" i="5"/>
  <c r="J33" i="5"/>
  <c r="K33" i="5"/>
  <c r="L33" i="5"/>
  <c r="M33" i="5"/>
  <c r="N33" i="5"/>
  <c r="O33" i="5"/>
  <c r="S33" i="5"/>
  <c r="T33" i="5"/>
  <c r="U33" i="5"/>
  <c r="V33" i="5"/>
  <c r="W33" i="5"/>
  <c r="X33" i="5"/>
  <c r="Y33" i="5"/>
  <c r="Z33" i="5"/>
  <c r="AA33" i="5"/>
  <c r="Q34" i="5"/>
  <c r="R34" i="5"/>
  <c r="R33" i="5" s="1"/>
  <c r="Q36" i="5"/>
  <c r="P39" i="5"/>
  <c r="P33" i="5" s="1"/>
  <c r="Q39" i="5"/>
  <c r="G47" i="5"/>
  <c r="H47" i="5"/>
  <c r="I47" i="5"/>
  <c r="J47" i="5"/>
  <c r="K47" i="5"/>
  <c r="L47" i="5"/>
  <c r="M47" i="5"/>
  <c r="N47" i="5"/>
  <c r="O47" i="5"/>
  <c r="P47" i="5"/>
  <c r="R47" i="5"/>
  <c r="S47" i="5"/>
  <c r="T47" i="5"/>
  <c r="U47" i="5"/>
  <c r="V47" i="5"/>
  <c r="W47" i="5"/>
  <c r="X47" i="5"/>
  <c r="Y47" i="5"/>
  <c r="Z47" i="5"/>
  <c r="AA47" i="5"/>
  <c r="Q48" i="5"/>
  <c r="Q47" i="5" s="1"/>
  <c r="B61" i="5"/>
  <c r="C61" i="5"/>
  <c r="CT59" i="20" s="1"/>
  <c r="D61" i="5"/>
  <c r="CU59" i="20" s="1"/>
  <c r="E61" i="5"/>
  <c r="CV59" i="20" s="1"/>
  <c r="C62" i="5"/>
  <c r="CT60" i="20" s="1"/>
  <c r="G62" i="5"/>
  <c r="CX60" i="20" s="1"/>
  <c r="Q63" i="5"/>
  <c r="R63" i="5" s="1"/>
  <c r="S63" i="5" s="1"/>
  <c r="T63" i="5" s="1"/>
  <c r="U63" i="5" s="1"/>
  <c r="V63" i="5" s="1"/>
  <c r="W63" i="5" s="1"/>
  <c r="X63" i="5" s="1"/>
  <c r="Y63" i="5" s="1"/>
  <c r="Z63" i="5" s="1"/>
  <c r="AA63" i="5" s="1"/>
  <c r="AB63" i="5" s="1"/>
  <c r="AC63" i="5" s="1"/>
  <c r="C64" i="5"/>
  <c r="CT61" i="20" s="1"/>
  <c r="G64" i="5"/>
  <c r="R65" i="5"/>
  <c r="S65" i="5" s="1"/>
  <c r="T65" i="5" s="1"/>
  <c r="U65" i="5" s="1"/>
  <c r="V65" i="5" s="1"/>
  <c r="W65" i="5" s="1"/>
  <c r="X65" i="5" s="1"/>
  <c r="Y65" i="5" s="1"/>
  <c r="Z65" i="5" s="1"/>
  <c r="AA65" i="5" s="1"/>
  <c r="AB65" i="5" s="1"/>
  <c r="AC65" i="5" s="1"/>
  <c r="C66" i="5"/>
  <c r="E66" i="5"/>
  <c r="F66" i="5" s="1"/>
  <c r="H66" i="5"/>
  <c r="P68" i="5"/>
  <c r="DG63" i="20" s="1"/>
  <c r="Q69" i="5"/>
  <c r="R69" i="5" s="1"/>
  <c r="S70" i="5"/>
  <c r="T70" i="5" s="1"/>
  <c r="U70" i="5" s="1"/>
  <c r="V70" i="5" s="1"/>
  <c r="W70" i="5" s="1"/>
  <c r="X70" i="5" s="1"/>
  <c r="Y70" i="5" s="1"/>
  <c r="Z70" i="5" s="1"/>
  <c r="AA70" i="5" s="1"/>
  <c r="AB70" i="5" s="1"/>
  <c r="AC70" i="5" s="1"/>
  <c r="S71" i="5"/>
  <c r="T71" i="5" s="1"/>
  <c r="U71" i="5" s="1"/>
  <c r="V71" i="5" s="1"/>
  <c r="W71" i="5" s="1"/>
  <c r="X71" i="5" s="1"/>
  <c r="Y71" i="5" s="1"/>
  <c r="Z71" i="5" s="1"/>
  <c r="AA71" i="5" s="1"/>
  <c r="AB71" i="5" s="1"/>
  <c r="AC71" i="5" s="1"/>
  <c r="T72" i="5"/>
  <c r="U72" i="5" s="1"/>
  <c r="V72" i="5" s="1"/>
  <c r="W72" i="5" s="1"/>
  <c r="X72" i="5" s="1"/>
  <c r="Y72" i="5" s="1"/>
  <c r="Z72" i="5" s="1"/>
  <c r="AA72" i="5" s="1"/>
  <c r="AB72" i="5" s="1"/>
  <c r="AC72" i="5" s="1"/>
  <c r="T73" i="5"/>
  <c r="U73" i="5" s="1"/>
  <c r="V73" i="5" s="1"/>
  <c r="W73" i="5" s="1"/>
  <c r="X73" i="5" s="1"/>
  <c r="Y73" i="5" s="1"/>
  <c r="Z73" i="5" s="1"/>
  <c r="AA73" i="5" s="1"/>
  <c r="AB73" i="5" s="1"/>
  <c r="AC73" i="5" s="1"/>
  <c r="T74" i="5"/>
  <c r="U74" i="5" s="1"/>
  <c r="DL64" i="20" s="1"/>
  <c r="F76" i="5"/>
  <c r="F88" i="5"/>
  <c r="F89" i="5" s="1"/>
  <c r="G88" i="5"/>
  <c r="CX65" i="20" s="1"/>
  <c r="H88" i="5"/>
  <c r="I88" i="5"/>
  <c r="CZ65" i="20" s="1"/>
  <c r="J88" i="5"/>
  <c r="K88" i="5"/>
  <c r="DB65" i="20" s="1"/>
  <c r="L88" i="5"/>
  <c r="M88" i="5"/>
  <c r="N88" i="5"/>
  <c r="N85" i="5" s="1"/>
  <c r="O88" i="5"/>
  <c r="DF65" i="20" s="1"/>
  <c r="P88" i="5"/>
  <c r="P89" i="5" s="1"/>
  <c r="K97" i="5"/>
  <c r="C36" i="73" s="1"/>
  <c r="C75" i="73" s="1"/>
  <c r="R97" i="5"/>
  <c r="DI50" i="20" s="1"/>
  <c r="S97" i="5"/>
  <c r="DJ50" i="20" s="1"/>
  <c r="T97" i="5"/>
  <c r="T9" i="15" s="1"/>
  <c r="U97" i="5"/>
  <c r="V97" i="5"/>
  <c r="V9" i="15" s="1"/>
  <c r="Q102" i="5"/>
  <c r="Q111" i="5" s="1"/>
  <c r="R102" i="5"/>
  <c r="S169" i="5" s="1"/>
  <c r="F103" i="5"/>
  <c r="G103" i="5"/>
  <c r="H103" i="5"/>
  <c r="I103" i="5"/>
  <c r="J103" i="5"/>
  <c r="K103" i="5"/>
  <c r="L103" i="5"/>
  <c r="M103" i="5"/>
  <c r="AG84" i="9" s="1"/>
  <c r="AB82" i="10" s="1"/>
  <c r="N103" i="5"/>
  <c r="O103" i="5"/>
  <c r="P103" i="5"/>
  <c r="T103" i="5"/>
  <c r="U103" i="5"/>
  <c r="V103" i="5"/>
  <c r="R105" i="5"/>
  <c r="S105" i="5"/>
  <c r="T105" i="5"/>
  <c r="U105" i="5"/>
  <c r="V105" i="5"/>
  <c r="R106" i="5"/>
  <c r="F107" i="5"/>
  <c r="G107" i="5"/>
  <c r="H107" i="5"/>
  <c r="I107" i="5"/>
  <c r="J107" i="5"/>
  <c r="K107" i="5"/>
  <c r="L107" i="5"/>
  <c r="M107" i="5"/>
  <c r="N107" i="5"/>
  <c r="O107" i="5"/>
  <c r="P107" i="5"/>
  <c r="Q107" i="5"/>
  <c r="T107" i="5"/>
  <c r="U107" i="5"/>
  <c r="V107" i="5"/>
  <c r="S109" i="5"/>
  <c r="T109" i="5"/>
  <c r="U109" i="5"/>
  <c r="V109" i="5"/>
  <c r="H111" i="5"/>
  <c r="I111" i="5"/>
  <c r="J111" i="5"/>
  <c r="K111" i="5"/>
  <c r="L111" i="5"/>
  <c r="M111" i="5"/>
  <c r="N111" i="5"/>
  <c r="O111" i="5"/>
  <c r="P111" i="5"/>
  <c r="S111" i="5"/>
  <c r="T111" i="5"/>
  <c r="U111" i="5"/>
  <c r="U88" i="5" s="1"/>
  <c r="DL65" i="20" s="1"/>
  <c r="DL80" i="20" s="1"/>
  <c r="H115" i="5"/>
  <c r="I115" i="5"/>
  <c r="J115" i="5"/>
  <c r="K115" i="5"/>
  <c r="L115" i="5"/>
  <c r="AK115" i="5"/>
  <c r="R116" i="5"/>
  <c r="AL115" i="5" s="1"/>
  <c r="M117" i="5"/>
  <c r="N117" i="5"/>
  <c r="O117" i="5"/>
  <c r="P117" i="5"/>
  <c r="Q117" i="5"/>
  <c r="T117" i="5"/>
  <c r="U117" i="5"/>
  <c r="Q119" i="5"/>
  <c r="R119" i="5"/>
  <c r="S120" i="5"/>
  <c r="S122" i="5"/>
  <c r="S124" i="5"/>
  <c r="T128" i="5"/>
  <c r="U128" i="5" s="1"/>
  <c r="V128" i="5" s="1"/>
  <c r="H131" i="5"/>
  <c r="I131" i="5"/>
  <c r="J131" i="5"/>
  <c r="K131" i="5"/>
  <c r="L131" i="5"/>
  <c r="M131" i="5"/>
  <c r="N131" i="5"/>
  <c r="O131" i="5"/>
  <c r="P131" i="5"/>
  <c r="Q131" i="5"/>
  <c r="G137" i="5"/>
  <c r="H137" i="5"/>
  <c r="I137" i="5"/>
  <c r="J137" i="5"/>
  <c r="K137" i="5"/>
  <c r="L137" i="5"/>
  <c r="M137" i="5"/>
  <c r="N137" i="5"/>
  <c r="P137" i="5"/>
  <c r="T137" i="5"/>
  <c r="W137" i="5"/>
  <c r="X137" i="5" s="1"/>
  <c r="T138" i="5"/>
  <c r="V138" i="5"/>
  <c r="W138" i="5" s="1"/>
  <c r="X138" i="5" s="1"/>
  <c r="Y138" i="5" s="1"/>
  <c r="Z138" i="5" s="1"/>
  <c r="AA138" i="5" s="1"/>
  <c r="AB138" i="5" s="1"/>
  <c r="AC138" i="5" s="1"/>
  <c r="G139" i="5"/>
  <c r="H139" i="5"/>
  <c r="I139" i="5"/>
  <c r="J139" i="5"/>
  <c r="L139" i="5"/>
  <c r="M139" i="5"/>
  <c r="N139" i="5"/>
  <c r="S139" i="5"/>
  <c r="T139" i="5" s="1"/>
  <c r="W139" i="5"/>
  <c r="X139" i="5" s="1"/>
  <c r="H141" i="5"/>
  <c r="I141" i="5"/>
  <c r="J141" i="5"/>
  <c r="K141" i="5"/>
  <c r="L141" i="5"/>
  <c r="M142" i="5"/>
  <c r="AG97" i="9" s="1"/>
  <c r="N142" i="5"/>
  <c r="P142" i="5"/>
  <c r="T142" i="5"/>
  <c r="U142" i="5" s="1"/>
  <c r="V142" i="5" s="1"/>
  <c r="W142" i="5" s="1"/>
  <c r="X142" i="5" s="1"/>
  <c r="Y142" i="5" s="1"/>
  <c r="Z142" i="5" s="1"/>
  <c r="AA142" i="5" s="1"/>
  <c r="AB142" i="5" s="1"/>
  <c r="AC142" i="5" s="1"/>
  <c r="S143" i="5"/>
  <c r="U143" i="5"/>
  <c r="W143" i="5"/>
  <c r="X143" i="5" s="1"/>
  <c r="Y143" i="5" s="1"/>
  <c r="Z143" i="5" s="1"/>
  <c r="AA143" i="5" s="1"/>
  <c r="AB143" i="5" s="1"/>
  <c r="AC143" i="5" s="1"/>
  <c r="S144" i="5"/>
  <c r="T144" i="5" s="1"/>
  <c r="U144" i="5" s="1"/>
  <c r="V144" i="5" s="1"/>
  <c r="W144" i="5" s="1"/>
  <c r="X144" i="5" s="1"/>
  <c r="Y144" i="5" s="1"/>
  <c r="Z144" i="5" s="1"/>
  <c r="AA144" i="5" s="1"/>
  <c r="AB144" i="5" s="1"/>
  <c r="AC144" i="5" s="1"/>
  <c r="T145" i="5"/>
  <c r="U145" i="5" s="1"/>
  <c r="V145" i="5" s="1"/>
  <c r="W145" i="5" s="1"/>
  <c r="X145" i="5" s="1"/>
  <c r="Y145" i="5" s="1"/>
  <c r="Z145" i="5" s="1"/>
  <c r="AA145" i="5" s="1"/>
  <c r="AB145" i="5" s="1"/>
  <c r="AC145" i="5" s="1"/>
  <c r="T146" i="5"/>
  <c r="U146" i="5" s="1"/>
  <c r="V146" i="5" s="1"/>
  <c r="W146" i="5" s="1"/>
  <c r="X146" i="5" s="1"/>
  <c r="Y146" i="5" s="1"/>
  <c r="Z146" i="5" s="1"/>
  <c r="AA146" i="5" s="1"/>
  <c r="AB146" i="5" s="1"/>
  <c r="AC146" i="5" s="1"/>
  <c r="T147" i="5"/>
  <c r="U147" i="5" s="1"/>
  <c r="V147" i="5" s="1"/>
  <c r="W147" i="5" s="1"/>
  <c r="X147" i="5" s="1"/>
  <c r="Y147" i="5" s="1"/>
  <c r="Z147" i="5" s="1"/>
  <c r="AA147" i="5" s="1"/>
  <c r="AB147" i="5" s="1"/>
  <c r="AC147" i="5" s="1"/>
  <c r="T148" i="5"/>
  <c r="W149" i="5"/>
  <c r="X149" i="5" s="1"/>
  <c r="Y149" i="5" s="1"/>
  <c r="Z149" i="5" s="1"/>
  <c r="AA149" i="5" s="1"/>
  <c r="AB149" i="5" s="1"/>
  <c r="AC149" i="5" s="1"/>
  <c r="F169" i="5"/>
  <c r="G169" i="5"/>
  <c r="H169" i="5"/>
  <c r="I169" i="5"/>
  <c r="J169" i="5"/>
  <c r="K169" i="5"/>
  <c r="L169" i="5"/>
  <c r="M169" i="5"/>
  <c r="DD70" i="20" s="1"/>
  <c r="N169" i="5"/>
  <c r="O169" i="5"/>
  <c r="P169" i="5"/>
  <c r="T169" i="5"/>
  <c r="U169" i="5"/>
  <c r="V169" i="5"/>
  <c r="Q171" i="5"/>
  <c r="R171" i="5"/>
  <c r="R172" i="5" s="1"/>
  <c r="S171" i="5"/>
  <c r="T171" i="5"/>
  <c r="U171" i="5"/>
  <c r="V171" i="5"/>
  <c r="F173" i="5"/>
  <c r="G173" i="5"/>
  <c r="H173" i="5"/>
  <c r="I173" i="5"/>
  <c r="I174" i="5" s="1"/>
  <c r="J173" i="5"/>
  <c r="K173" i="5"/>
  <c r="L173" i="5"/>
  <c r="M173" i="5"/>
  <c r="N173" i="5"/>
  <c r="O173" i="5"/>
  <c r="P173" i="5"/>
  <c r="Q173" i="5"/>
  <c r="T173" i="5"/>
  <c r="U173" i="5"/>
  <c r="V173" i="5"/>
  <c r="R175" i="5"/>
  <c r="S175" i="5"/>
  <c r="T175" i="5"/>
  <c r="U175" i="5"/>
  <c r="V175" i="5"/>
  <c r="H179" i="5"/>
  <c r="I179" i="5"/>
  <c r="J179" i="5"/>
  <c r="K179" i="5"/>
  <c r="DB72" i="20" s="1"/>
  <c r="L179" i="5"/>
  <c r="DC72" i="20" s="1"/>
  <c r="M181" i="5"/>
  <c r="DD72" i="20" s="1"/>
  <c r="N181" i="5"/>
  <c r="O181" i="5"/>
  <c r="O182" i="5" s="1"/>
  <c r="P181" i="5"/>
  <c r="Q181" i="5"/>
  <c r="DH72" i="20" s="1"/>
  <c r="T181" i="5"/>
  <c r="U181" i="5"/>
  <c r="O183" i="5"/>
  <c r="P183" i="5"/>
  <c r="Q183" i="5"/>
  <c r="R183" i="5"/>
  <c r="R184" i="5" s="1"/>
  <c r="Q208" i="5"/>
  <c r="R208" i="5"/>
  <c r="Q210" i="5"/>
  <c r="R210" i="5"/>
  <c r="Q214" i="5"/>
  <c r="R214" i="5"/>
  <c r="Q216" i="5"/>
  <c r="R216" i="5"/>
  <c r="P6" i="1"/>
  <c r="T6" i="1" s="1"/>
  <c r="AC10" i="1"/>
  <c r="J10" i="11" s="1"/>
  <c r="J28" i="11" s="1"/>
  <c r="AG10" i="1"/>
  <c r="N10" i="11" s="1"/>
  <c r="N16" i="11" s="1"/>
  <c r="N22" i="11" s="1"/>
  <c r="N28" i="11" s="1"/>
  <c r="N34" i="11" s="1"/>
  <c r="AK10" i="1"/>
  <c r="R10" i="11" s="1"/>
  <c r="R16" i="11" s="1"/>
  <c r="R22" i="11" s="1"/>
  <c r="R28" i="11" s="1"/>
  <c r="R34" i="11" s="1"/>
  <c r="AO10" i="1"/>
  <c r="V10" i="11" s="1"/>
  <c r="V16" i="11" s="1"/>
  <c r="V22" i="11" s="1"/>
  <c r="V28" i="11" s="1"/>
  <c r="V34" i="11" s="1"/>
  <c r="AS10" i="1"/>
  <c r="Z10" i="11" s="1"/>
  <c r="Z16" i="11" s="1"/>
  <c r="Z22" i="11" s="1"/>
  <c r="Z28" i="11" s="1"/>
  <c r="Z34" i="11" s="1"/>
  <c r="AW10" i="1"/>
  <c r="AD10" i="11"/>
  <c r="AD16" i="11" s="1"/>
  <c r="AD22" i="11" s="1"/>
  <c r="AD28" i="11" s="1"/>
  <c r="AD34" i="11" s="1"/>
  <c r="BA10" i="1"/>
  <c r="AH10" i="11" s="1"/>
  <c r="AH16" i="11" s="1"/>
  <c r="AH22" i="11" s="1"/>
  <c r="AH28" i="11" s="1"/>
  <c r="AH34" i="11" s="1"/>
  <c r="BE10" i="1"/>
  <c r="AL10" i="11" s="1"/>
  <c r="AL16" i="11" s="1"/>
  <c r="AL22" i="11" s="1"/>
  <c r="AL28" i="11" s="1"/>
  <c r="AL34" i="11" s="1"/>
  <c r="BI10" i="1"/>
  <c r="AP10" i="11" s="1"/>
  <c r="AP16" i="11" s="1"/>
  <c r="AP22" i="11" s="1"/>
  <c r="AP28" i="11" s="1"/>
  <c r="AP34" i="11" s="1"/>
  <c r="BM10" i="1"/>
  <c r="AT10" i="11" s="1"/>
  <c r="AT16" i="11" s="1"/>
  <c r="AT22" i="11" s="1"/>
  <c r="AT28" i="11" s="1"/>
  <c r="AT34" i="11" s="1"/>
  <c r="BQ10" i="1"/>
  <c r="AX10" i="11" s="1"/>
  <c r="AX16" i="11" s="1"/>
  <c r="AX22" i="11" s="1"/>
  <c r="AX28" i="11" s="1"/>
  <c r="AX34" i="11" s="1"/>
  <c r="BU10" i="1"/>
  <c r="BB10" i="11" s="1"/>
  <c r="BB16" i="11" s="1"/>
  <c r="BB22" i="11" s="1"/>
  <c r="BB28" i="11" s="1"/>
  <c r="BB34" i="11" s="1"/>
  <c r="BY10" i="1"/>
  <c r="BF10" i="11" s="1"/>
  <c r="BF16" i="11" s="1"/>
  <c r="BF22" i="11" s="1"/>
  <c r="BF28" i="11" s="1"/>
  <c r="BF34" i="11" s="1"/>
  <c r="CC10" i="1"/>
  <c r="BJ10" i="11" s="1"/>
  <c r="BJ16" i="11" s="1"/>
  <c r="BJ22" i="11" s="1"/>
  <c r="BJ28" i="11" s="1"/>
  <c r="BJ34" i="11" s="1"/>
  <c r="CG10" i="1"/>
  <c r="CK10" i="1"/>
  <c r="CW10" i="1"/>
  <c r="AC11" i="1"/>
  <c r="J11" i="11" s="1"/>
  <c r="J23" i="11" s="1"/>
  <c r="AG11" i="1"/>
  <c r="N11" i="11" s="1"/>
  <c r="N17" i="11" s="1"/>
  <c r="N23" i="11" s="1"/>
  <c r="N29" i="11" s="1"/>
  <c r="N35" i="11" s="1"/>
  <c r="AK11" i="1"/>
  <c r="R11" i="11" s="1"/>
  <c r="R17" i="11" s="1"/>
  <c r="R23" i="11" s="1"/>
  <c r="R29" i="11" s="1"/>
  <c r="R35" i="11" s="1"/>
  <c r="AO11" i="1"/>
  <c r="V11" i="11" s="1"/>
  <c r="V17" i="11" s="1"/>
  <c r="V23" i="11" s="1"/>
  <c r="V29" i="11" s="1"/>
  <c r="V35" i="11" s="1"/>
  <c r="AS11" i="1"/>
  <c r="AW11" i="1"/>
  <c r="BA11" i="1"/>
  <c r="BE11" i="1"/>
  <c r="AL11" i="11" s="1"/>
  <c r="AL17" i="11" s="1"/>
  <c r="AL23" i="11" s="1"/>
  <c r="AL29" i="11" s="1"/>
  <c r="AL35" i="11" s="1"/>
  <c r="BI11" i="1"/>
  <c r="AP11" i="11" s="1"/>
  <c r="AP17" i="11" s="1"/>
  <c r="AP23" i="11" s="1"/>
  <c r="AP29" i="11" s="1"/>
  <c r="AP35" i="11" s="1"/>
  <c r="BM11" i="1"/>
  <c r="AT11" i="11" s="1"/>
  <c r="AT17" i="11" s="1"/>
  <c r="AT23" i="11" s="1"/>
  <c r="AT29" i="11" s="1"/>
  <c r="AT35" i="11" s="1"/>
  <c r="BQ11" i="1"/>
  <c r="AX11" i="11" s="1"/>
  <c r="AX17" i="11" s="1"/>
  <c r="AX23" i="11" s="1"/>
  <c r="AX29" i="11" s="1"/>
  <c r="AX35" i="11" s="1"/>
  <c r="BU11" i="1"/>
  <c r="BB11" i="11" s="1"/>
  <c r="BB17" i="11" s="1"/>
  <c r="BB23" i="11" s="1"/>
  <c r="BB29" i="11" s="1"/>
  <c r="BB35" i="11" s="1"/>
  <c r="BY11" i="1"/>
  <c r="BF11" i="11" s="1"/>
  <c r="BF17" i="11" s="1"/>
  <c r="BF23" i="11" s="1"/>
  <c r="BF29" i="11" s="1"/>
  <c r="BF35" i="11" s="1"/>
  <c r="CC11" i="1"/>
  <c r="BJ11" i="11"/>
  <c r="BJ17" i="11" s="1"/>
  <c r="BJ23" i="11" s="1"/>
  <c r="BJ29" i="11" s="1"/>
  <c r="BJ35" i="11" s="1"/>
  <c r="CG11" i="1"/>
  <c r="CK11" i="1"/>
  <c r="BR11" i="11" s="1"/>
  <c r="BR17" i="11" s="1"/>
  <c r="BR23" i="11" s="1"/>
  <c r="BR29" i="11" s="1"/>
  <c r="BR35" i="11" s="1"/>
  <c r="CW11" i="1"/>
  <c r="AC12" i="1"/>
  <c r="J12" i="11" s="1"/>
  <c r="AG12" i="1"/>
  <c r="N12" i="11" s="1"/>
  <c r="N18" i="11" s="1"/>
  <c r="N24" i="11" s="1"/>
  <c r="N30" i="11" s="1"/>
  <c r="N36" i="11" s="1"/>
  <c r="AK12" i="1"/>
  <c r="R12" i="11" s="1"/>
  <c r="R18" i="11" s="1"/>
  <c r="R24" i="11" s="1"/>
  <c r="R30" i="11" s="1"/>
  <c r="R36" i="11" s="1"/>
  <c r="AO12" i="1"/>
  <c r="V12" i="11"/>
  <c r="V18" i="11" s="1"/>
  <c r="V24" i="11" s="1"/>
  <c r="V30" i="11" s="1"/>
  <c r="V36" i="11" s="1"/>
  <c r="AS12" i="1"/>
  <c r="Z13" i="11" s="1"/>
  <c r="AV12" i="1"/>
  <c r="AI10" i="20" s="1"/>
  <c r="BE12" i="1"/>
  <c r="AL12" i="11"/>
  <c r="AL18" i="11" s="1"/>
  <c r="AL24" i="11" s="1"/>
  <c r="AL30" i="11" s="1"/>
  <c r="AL36" i="11" s="1"/>
  <c r="BI12" i="1"/>
  <c r="AP12" i="11" s="1"/>
  <c r="AP18" i="11" s="1"/>
  <c r="AP24" i="11" s="1"/>
  <c r="AP30" i="11" s="1"/>
  <c r="AP36" i="11" s="1"/>
  <c r="BM12" i="1"/>
  <c r="AT12" i="11" s="1"/>
  <c r="AT18" i="11" s="1"/>
  <c r="AT24" i="11" s="1"/>
  <c r="AT30" i="11" s="1"/>
  <c r="AT36" i="11" s="1"/>
  <c r="BQ12" i="1"/>
  <c r="AX12" i="11" s="1"/>
  <c r="AX18" i="11" s="1"/>
  <c r="AX24" i="11" s="1"/>
  <c r="AX30" i="11" s="1"/>
  <c r="AX36" i="11" s="1"/>
  <c r="BU12" i="1"/>
  <c r="BB12" i="11"/>
  <c r="BB18" i="11" s="1"/>
  <c r="BB24" i="11" s="1"/>
  <c r="BB30" i="11" s="1"/>
  <c r="BB36" i="11" s="1"/>
  <c r="BY12" i="1"/>
  <c r="BF12" i="11" s="1"/>
  <c r="BF18" i="11" s="1"/>
  <c r="BF24" i="11" s="1"/>
  <c r="BF30" i="11" s="1"/>
  <c r="BF36" i="11" s="1"/>
  <c r="CC12" i="1"/>
  <c r="BJ12" i="11" s="1"/>
  <c r="BJ18" i="11" s="1"/>
  <c r="BJ24" i="11" s="1"/>
  <c r="BJ30" i="11" s="1"/>
  <c r="BJ36" i="11"/>
  <c r="CG12" i="1"/>
  <c r="CK12" i="1"/>
  <c r="AC13" i="1"/>
  <c r="J13" i="11" s="1"/>
  <c r="J37" i="11" s="1"/>
  <c r="AG13" i="1"/>
  <c r="N13" i="11" s="1"/>
  <c r="N19" i="11" s="1"/>
  <c r="N25" i="11" s="1"/>
  <c r="N31" i="11" s="1"/>
  <c r="N37" i="11" s="1"/>
  <c r="AK13" i="1"/>
  <c r="R13" i="11"/>
  <c r="R19" i="11" s="1"/>
  <c r="R25" i="11" s="1"/>
  <c r="R31" i="11" s="1"/>
  <c r="R37" i="11" s="1"/>
  <c r="AN13" i="1"/>
  <c r="AO73" i="1"/>
  <c r="AW13" i="1"/>
  <c r="BA13" i="1"/>
  <c r="BE13" i="1"/>
  <c r="AL13" i="11" s="1"/>
  <c r="AL19" i="11" s="1"/>
  <c r="AL25" i="11" s="1"/>
  <c r="AL31" i="11" s="1"/>
  <c r="AL37" i="11" s="1"/>
  <c r="BI13" i="1"/>
  <c r="AP13" i="11" s="1"/>
  <c r="AP19" i="11" s="1"/>
  <c r="AP25" i="11" s="1"/>
  <c r="AP31" i="11" s="1"/>
  <c r="AP37" i="11" s="1"/>
  <c r="BL13" i="1"/>
  <c r="BQ13" i="1" s="1"/>
  <c r="AX13" i="11" s="1"/>
  <c r="AX19" i="11" s="1"/>
  <c r="AX25" i="11" s="1"/>
  <c r="AX31" i="11" s="1"/>
  <c r="AX37" i="11" s="1"/>
  <c r="BU13" i="1"/>
  <c r="BB13" i="11" s="1"/>
  <c r="BB19" i="11" s="1"/>
  <c r="BB25" i="11" s="1"/>
  <c r="BB31" i="11" s="1"/>
  <c r="BB37" i="11" s="1"/>
  <c r="BY13" i="1"/>
  <c r="BF13" i="11" s="1"/>
  <c r="BF19" i="11" s="1"/>
  <c r="BF25" i="11" s="1"/>
  <c r="BF31" i="11" s="1"/>
  <c r="BF37" i="11"/>
  <c r="CC13" i="1"/>
  <c r="BJ13" i="11" s="1"/>
  <c r="BJ19" i="11" s="1"/>
  <c r="BJ25" i="11" s="1"/>
  <c r="BJ31" i="11" s="1"/>
  <c r="BJ37" i="11" s="1"/>
  <c r="CG13" i="1"/>
  <c r="I14" i="1"/>
  <c r="M14" i="1"/>
  <c r="Q14" i="1"/>
  <c r="U14" i="1"/>
  <c r="X14" i="1"/>
  <c r="AC14" i="1" s="1"/>
  <c r="AB14" i="1"/>
  <c r="P66" i="2" s="1"/>
  <c r="AF14" i="1"/>
  <c r="AJ14" i="1"/>
  <c r="AR14" i="1"/>
  <c r="L27" i="5" s="1"/>
  <c r="AZ14" i="1"/>
  <c r="BD14" i="1"/>
  <c r="BH14" i="1"/>
  <c r="BP14" i="1"/>
  <c r="BQ24" i="1" s="1"/>
  <c r="BT14" i="1"/>
  <c r="BX14" i="1"/>
  <c r="CB14" i="1"/>
  <c r="CF14" i="1"/>
  <c r="X15" i="1"/>
  <c r="AB15" i="1"/>
  <c r="AF15" i="1"/>
  <c r="AJ15" i="1"/>
  <c r="AK75" i="1" s="1"/>
  <c r="AN15" i="1"/>
  <c r="AR15" i="1"/>
  <c r="AV15" i="1"/>
  <c r="AZ15" i="1"/>
  <c r="BD15" i="1"/>
  <c r="BH15" i="1"/>
  <c r="BL15" i="1"/>
  <c r="BN15" i="1"/>
  <c r="BP15" i="1"/>
  <c r="BT15" i="1"/>
  <c r="BX15" i="1"/>
  <c r="CB15" i="1"/>
  <c r="CF15" i="1"/>
  <c r="CJ15" i="1"/>
  <c r="X16" i="1"/>
  <c r="AB16" i="1"/>
  <c r="AF16" i="1"/>
  <c r="AJ16" i="1"/>
  <c r="AN16" i="1"/>
  <c r="AR16" i="1"/>
  <c r="AS16" i="1" s="1"/>
  <c r="AZ16" i="1"/>
  <c r="BD16" i="1"/>
  <c r="BH16" i="1"/>
  <c r="BL16" i="1"/>
  <c r="BM16" i="1" s="1"/>
  <c r="BP16" i="1"/>
  <c r="BT16" i="1"/>
  <c r="BX16" i="1"/>
  <c r="CB16" i="1"/>
  <c r="CF16" i="1"/>
  <c r="CJ16" i="1"/>
  <c r="A20" i="1"/>
  <c r="B20" i="1"/>
  <c r="Y20" i="1"/>
  <c r="AC20" i="1"/>
  <c r="AG20" i="1"/>
  <c r="AK20" i="1"/>
  <c r="AL20" i="1" s="1"/>
  <c r="AO20" i="1"/>
  <c r="AS20" i="1"/>
  <c r="AW20" i="1"/>
  <c r="BA20" i="1"/>
  <c r="BB20" i="1" s="1"/>
  <c r="BE20" i="1"/>
  <c r="BI20" i="1"/>
  <c r="BM20" i="1"/>
  <c r="BQ20" i="1"/>
  <c r="BR20" i="1" s="1"/>
  <c r="BU20" i="1"/>
  <c r="BY20" i="1"/>
  <c r="CC20" i="1"/>
  <c r="CF20" i="1"/>
  <c r="AD44" i="94" s="1"/>
  <c r="CJ20" i="1"/>
  <c r="AI16" i="98" s="1"/>
  <c r="A21" i="1"/>
  <c r="B21" i="1"/>
  <c r="Y21" i="1"/>
  <c r="AC21" i="1"/>
  <c r="AG21" i="1"/>
  <c r="AK21" i="1"/>
  <c r="AP21" i="1" s="1"/>
  <c r="AO21" i="1"/>
  <c r="AS21" i="1"/>
  <c r="AW21" i="1"/>
  <c r="BA21" i="1"/>
  <c r="BB21" i="1" s="1"/>
  <c r="BB19" i="1" s="1"/>
  <c r="BE21" i="1"/>
  <c r="BI21" i="1"/>
  <c r="BM21" i="1"/>
  <c r="BN21" i="1" s="1"/>
  <c r="BQ21" i="1"/>
  <c r="BU21" i="1"/>
  <c r="BY21" i="1"/>
  <c r="CC21" i="1"/>
  <c r="CF21" i="1"/>
  <c r="CK21" i="1"/>
  <c r="CV21" i="1"/>
  <c r="A22" i="1"/>
  <c r="B22" i="1"/>
  <c r="Y22" i="1"/>
  <c r="AC22" i="1"/>
  <c r="AG22" i="1"/>
  <c r="AK22" i="1"/>
  <c r="AO22" i="1"/>
  <c r="AS22" i="1"/>
  <c r="AT22" i="1" s="1"/>
  <c r="AV22" i="1"/>
  <c r="F89" i="10" s="1"/>
  <c r="BA22" i="1"/>
  <c r="BE22" i="1"/>
  <c r="BI22" i="1"/>
  <c r="BM22" i="1"/>
  <c r="BQ22" i="1"/>
  <c r="BU22" i="1"/>
  <c r="BY22" i="1"/>
  <c r="BZ22" i="1" s="1"/>
  <c r="CC22" i="1"/>
  <c r="CG22" i="1"/>
  <c r="CK22" i="1"/>
  <c r="B23" i="1"/>
  <c r="Y23" i="1"/>
  <c r="AC23" i="1"/>
  <c r="AG23" i="1"/>
  <c r="AK23" i="1"/>
  <c r="AP23" i="1" s="1"/>
  <c r="AS23" i="1"/>
  <c r="AW23" i="1"/>
  <c r="BA23" i="1"/>
  <c r="BE23" i="1"/>
  <c r="BJ23" i="1" s="1"/>
  <c r="BI23" i="1"/>
  <c r="BQ23" i="1"/>
  <c r="BU23" i="1"/>
  <c r="BX23" i="1"/>
  <c r="CB23" i="1"/>
  <c r="CF23" i="1"/>
  <c r="B24" i="1"/>
  <c r="E24" i="1"/>
  <c r="I24" i="1"/>
  <c r="M24" i="1"/>
  <c r="Q24" i="1"/>
  <c r="U24" i="1"/>
  <c r="X24" i="1"/>
  <c r="AB24" i="1"/>
  <c r="AF24" i="1"/>
  <c r="AJ24" i="1"/>
  <c r="AN24" i="1"/>
  <c r="K12" i="15"/>
  <c r="AR24" i="1"/>
  <c r="L12" i="15" s="1"/>
  <c r="AZ24" i="1"/>
  <c r="N12" i="15" s="1"/>
  <c r="BD24" i="1"/>
  <c r="BH24" i="1"/>
  <c r="P12" i="15" s="1"/>
  <c r="BL24" i="1"/>
  <c r="Q12" i="15" s="1"/>
  <c r="BP24" i="1"/>
  <c r="R12" i="15" s="1"/>
  <c r="BT24" i="1"/>
  <c r="S12" i="15" s="1"/>
  <c r="A25" i="1"/>
  <c r="X25" i="1"/>
  <c r="AB25" i="1"/>
  <c r="AF25" i="1"/>
  <c r="AJ25" i="1"/>
  <c r="AN25" i="1"/>
  <c r="AO25" i="1" s="1"/>
  <c r="AR25" i="1"/>
  <c r="AV25" i="1"/>
  <c r="AZ25" i="1"/>
  <c r="BD25" i="1"/>
  <c r="BH25" i="1"/>
  <c r="BL25" i="1"/>
  <c r="BM25" i="1" s="1"/>
  <c r="BP25" i="1"/>
  <c r="BT25" i="1"/>
  <c r="BX25" i="1"/>
  <c r="CB25" i="1"/>
  <c r="A26" i="1"/>
  <c r="X26" i="1"/>
  <c r="AB26" i="1"/>
  <c r="AF26" i="1"/>
  <c r="AJ26" i="1"/>
  <c r="AK26" i="1" s="1"/>
  <c r="AN26" i="1"/>
  <c r="AO26" i="1" s="1"/>
  <c r="AR26" i="1"/>
  <c r="AZ26" i="1"/>
  <c r="BD26" i="1"/>
  <c r="BE26" i="1" s="1"/>
  <c r="BH26" i="1"/>
  <c r="BL26" i="1"/>
  <c r="BP26" i="1"/>
  <c r="BQ26" i="1" s="1"/>
  <c r="BT26" i="1"/>
  <c r="BU26" i="1" s="1"/>
  <c r="BX26" i="1"/>
  <c r="BY26" i="1" s="1"/>
  <c r="CB26" i="1"/>
  <c r="A30" i="1"/>
  <c r="B30" i="1"/>
  <c r="Y30" i="1"/>
  <c r="Y228" i="1"/>
  <c r="AC30" i="1"/>
  <c r="AC228" i="1" s="1"/>
  <c r="AD30" i="1"/>
  <c r="AG30" i="1"/>
  <c r="AG228" i="1" s="1"/>
  <c r="AH30" i="1"/>
  <c r="AK30" i="1"/>
  <c r="AK228" i="1"/>
  <c r="AL30" i="1"/>
  <c r="AO30" i="1"/>
  <c r="AO228" i="1" s="1"/>
  <c r="AP30" i="1"/>
  <c r="AS30" i="1"/>
  <c r="AS228" i="1" s="1"/>
  <c r="AT30" i="1"/>
  <c r="AW30" i="1"/>
  <c r="AW228" i="1"/>
  <c r="AX30" i="1"/>
  <c r="BA30" i="1"/>
  <c r="BA228" i="1" s="1"/>
  <c r="BB30" i="1"/>
  <c r="BE30" i="1"/>
  <c r="BE228" i="1" s="1"/>
  <c r="BF30" i="1"/>
  <c r="BI30" i="1"/>
  <c r="BI228" i="1" s="1"/>
  <c r="BJ30" i="1"/>
  <c r="BL30" i="1"/>
  <c r="BN30" i="1" s="1"/>
  <c r="BQ30" i="1"/>
  <c r="BU30" i="1"/>
  <c r="BV30" i="1"/>
  <c r="BY30" i="1"/>
  <c r="BZ30" i="1"/>
  <c r="CC30" i="1"/>
  <c r="CD30" i="1"/>
  <c r="CF30" i="1"/>
  <c r="AP124" i="52" s="1"/>
  <c r="CJ30" i="1"/>
  <c r="CW30" i="1"/>
  <c r="A31" i="1"/>
  <c r="B31" i="1"/>
  <c r="Y31" i="1"/>
  <c r="Y229" i="1" s="1"/>
  <c r="AC31" i="1"/>
  <c r="AD31" i="1"/>
  <c r="AG31" i="1"/>
  <c r="AG229" i="1" s="1"/>
  <c r="AH31" i="1"/>
  <c r="AK31" i="1"/>
  <c r="AK229" i="1" s="1"/>
  <c r="AL31" i="1"/>
  <c r="AO31" i="1"/>
  <c r="AO229" i="1" s="1"/>
  <c r="AP31" i="1"/>
  <c r="AS31" i="1"/>
  <c r="AS229" i="1" s="1"/>
  <c r="AT31" i="1"/>
  <c r="AW31" i="1"/>
  <c r="AW229" i="1" s="1"/>
  <c r="AX31" i="1"/>
  <c r="BA31" i="1"/>
  <c r="BA229" i="1" s="1"/>
  <c r="BB31" i="1"/>
  <c r="BE31" i="1"/>
  <c r="BE229" i="1"/>
  <c r="BF31" i="1"/>
  <c r="BH31" i="1"/>
  <c r="BM31" i="1"/>
  <c r="BM229" i="1"/>
  <c r="BQ31" i="1"/>
  <c r="BR31" i="1"/>
  <c r="BT31" i="1"/>
  <c r="AP104" i="52" s="1"/>
  <c r="BT35" i="1"/>
  <c r="BY31" i="1"/>
  <c r="CC31" i="1"/>
  <c r="CD31" i="1"/>
  <c r="CF31" i="1"/>
  <c r="CJ31" i="1"/>
  <c r="CW31" i="1"/>
  <c r="A32" i="1"/>
  <c r="B32" i="1"/>
  <c r="Y32" i="1"/>
  <c r="Y230" i="1"/>
  <c r="AC32" i="1"/>
  <c r="AC230" i="1"/>
  <c r="AD32" i="1"/>
  <c r="AG32" i="1"/>
  <c r="AG230" i="1" s="1"/>
  <c r="AH32" i="1"/>
  <c r="AK32" i="1"/>
  <c r="AK230" i="1" s="1"/>
  <c r="AL32" i="1"/>
  <c r="AO32" i="1"/>
  <c r="AO230" i="1"/>
  <c r="AP32" i="1"/>
  <c r="AS32" i="1"/>
  <c r="AS230" i="1" s="1"/>
  <c r="AT32" i="1"/>
  <c r="AV32" i="1"/>
  <c r="BA32" i="1"/>
  <c r="BA230" i="1"/>
  <c r="BE32" i="1"/>
  <c r="BE230" i="1"/>
  <c r="BF32" i="1"/>
  <c r="BH32" i="1"/>
  <c r="BH230" i="1" s="1"/>
  <c r="BJ230" i="1" s="1"/>
  <c r="BM32" i="1"/>
  <c r="BP32" i="1"/>
  <c r="BU32" i="1"/>
  <c r="BY32" i="1"/>
  <c r="BZ32" i="1"/>
  <c r="CC32" i="1"/>
  <c r="CD32" i="1"/>
  <c r="CF32" i="1"/>
  <c r="AP126" i="52" s="1"/>
  <c r="CJ32" i="1"/>
  <c r="CW32" i="1"/>
  <c r="A33" i="1"/>
  <c r="B33" i="1"/>
  <c r="Y33" i="1"/>
  <c r="Y231" i="1" s="1"/>
  <c r="AC33" i="1"/>
  <c r="AC231" i="1" s="1"/>
  <c r="AD33" i="1"/>
  <c r="AG33" i="1"/>
  <c r="AG231" i="1" s="1"/>
  <c r="AH33" i="1"/>
  <c r="AK33" i="1"/>
  <c r="AK231" i="1"/>
  <c r="AL33" i="1"/>
  <c r="AP33" i="1"/>
  <c r="AS33" i="1"/>
  <c r="AS231" i="1" s="1"/>
  <c r="AT33" i="1"/>
  <c r="AW33" i="1"/>
  <c r="AW231" i="1" s="1"/>
  <c r="AX33" i="1"/>
  <c r="BA33" i="1"/>
  <c r="BA231" i="1" s="1"/>
  <c r="BB33" i="1"/>
  <c r="BE33" i="1"/>
  <c r="BE231" i="1"/>
  <c r="BF33" i="1"/>
  <c r="BH33" i="1"/>
  <c r="BN33" i="1" s="1"/>
  <c r="BQ33" i="1"/>
  <c r="BR33" i="1"/>
  <c r="BU33" i="1"/>
  <c r="BV33" i="1"/>
  <c r="BX33" i="1"/>
  <c r="CB33" i="1"/>
  <c r="CF33" i="1"/>
  <c r="B34" i="1"/>
  <c r="E34" i="1"/>
  <c r="I34" i="1"/>
  <c r="M34" i="1"/>
  <c r="Q34" i="1"/>
  <c r="R34" i="1"/>
  <c r="U34" i="1"/>
  <c r="V34" i="1"/>
  <c r="X34" i="1"/>
  <c r="AP23" i="52" s="1"/>
  <c r="AO23" i="52" s="1"/>
  <c r="AB34" i="1"/>
  <c r="AF34" i="1"/>
  <c r="AJ34" i="1"/>
  <c r="AN34" i="1"/>
  <c r="AR34" i="1"/>
  <c r="AZ34" i="1"/>
  <c r="BD34" i="1"/>
  <c r="A35" i="1"/>
  <c r="X35" i="1"/>
  <c r="AB35" i="1"/>
  <c r="AC35" i="1" s="1"/>
  <c r="AC233" i="1" s="1"/>
  <c r="AF35" i="1"/>
  <c r="AJ35" i="1"/>
  <c r="AP35" i="1" s="1"/>
  <c r="AN35" i="1"/>
  <c r="AR35" i="1"/>
  <c r="AS35" i="1" s="1"/>
  <c r="AS233" i="1" s="1"/>
  <c r="AV35" i="1"/>
  <c r="AZ35" i="1"/>
  <c r="BD35" i="1"/>
  <c r="BP35" i="1"/>
  <c r="BX35" i="1"/>
  <c r="BY35" i="1" s="1"/>
  <c r="BY233" i="1" s="1"/>
  <c r="CB35" i="1"/>
  <c r="A36" i="1"/>
  <c r="X36" i="1"/>
  <c r="AB36" i="1"/>
  <c r="AF36" i="1"/>
  <c r="AJ36" i="1"/>
  <c r="AN36" i="1"/>
  <c r="AO36" i="1" s="1"/>
  <c r="AO234" i="1" s="1"/>
  <c r="AR36" i="1"/>
  <c r="AZ36" i="1"/>
  <c r="BD36" i="1"/>
  <c r="BX36" i="1"/>
  <c r="CB36" i="1"/>
  <c r="A40" i="1"/>
  <c r="B40" i="1"/>
  <c r="AC40" i="1"/>
  <c r="AG40" i="1"/>
  <c r="A41" i="1"/>
  <c r="B41" i="1"/>
  <c r="AC41" i="1"/>
  <c r="AG41" i="1"/>
  <c r="A42" i="1"/>
  <c r="B42" i="1"/>
  <c r="AC42" i="1"/>
  <c r="AG42" i="1"/>
  <c r="A43" i="1"/>
  <c r="B43" i="1"/>
  <c r="AC43" i="1"/>
  <c r="AG43" i="1"/>
  <c r="B44" i="1"/>
  <c r="AB44" i="1"/>
  <c r="AF44" i="1"/>
  <c r="I58" i="15" s="1"/>
  <c r="A45" i="1"/>
  <c r="AB45" i="1"/>
  <c r="AF45" i="1"/>
  <c r="A46" i="1"/>
  <c r="AB46" i="1"/>
  <c r="AF46" i="1"/>
  <c r="AG46" i="1" s="1"/>
  <c r="A50" i="1"/>
  <c r="B50" i="1"/>
  <c r="A51" i="1"/>
  <c r="B51" i="1"/>
  <c r="A52" i="1"/>
  <c r="B52" i="1"/>
  <c r="A53" i="1"/>
  <c r="B53" i="1"/>
  <c r="B54" i="1"/>
  <c r="AN54" i="1"/>
  <c r="AZ54" i="1"/>
  <c r="BD54" i="1"/>
  <c r="BD53" i="1" s="1"/>
  <c r="BH54" i="1"/>
  <c r="BL54" i="1"/>
  <c r="BL52" i="1" s="1"/>
  <c r="BP54" i="1"/>
  <c r="BT54" i="1"/>
  <c r="BX54" i="1"/>
  <c r="CB54" i="1"/>
  <c r="CF54" i="1"/>
  <c r="CF53" i="1" s="1"/>
  <c r="CJ54" i="1"/>
  <c r="CJ53" i="1" s="1"/>
  <c r="CN54" i="1"/>
  <c r="CN51" i="1" s="1"/>
  <c r="A55" i="1"/>
  <c r="A56" i="1"/>
  <c r="A60" i="1"/>
  <c r="B60" i="1"/>
  <c r="X60" i="1"/>
  <c r="AB60" i="1"/>
  <c r="AF60" i="1"/>
  <c r="AG60" i="1" s="1"/>
  <c r="AJ60" i="1"/>
  <c r="AN60" i="1"/>
  <c r="AR60" i="1"/>
  <c r="AV60" i="1"/>
  <c r="BB60" i="1" s="1"/>
  <c r="AZ60" i="1"/>
  <c r="BD60" i="1"/>
  <c r="BH60" i="1"/>
  <c r="BP60" i="1"/>
  <c r="BQ60" i="1" s="1"/>
  <c r="BT60" i="1"/>
  <c r="BX60" i="1"/>
  <c r="CB60" i="1"/>
  <c r="A61" i="1"/>
  <c r="B61" i="1"/>
  <c r="X61" i="1"/>
  <c r="AB61" i="1"/>
  <c r="AF61" i="1"/>
  <c r="AF65" i="1" s="1"/>
  <c r="AH65" i="1" s="1"/>
  <c r="AJ61" i="1"/>
  <c r="AN61" i="1"/>
  <c r="AR61" i="1"/>
  <c r="AV61" i="1"/>
  <c r="AX61" i="1" s="1"/>
  <c r="AZ61" i="1"/>
  <c r="BD61" i="1"/>
  <c r="BL61" i="1"/>
  <c r="BM61" i="1" s="1"/>
  <c r="BP61" i="1"/>
  <c r="BX61" i="1"/>
  <c r="BX59" i="77" s="1"/>
  <c r="CB61" i="1"/>
  <c r="BX66" i="77" s="1"/>
  <c r="BY66" i="77" s="1"/>
  <c r="DK61" i="1"/>
  <c r="A62" i="1"/>
  <c r="B62" i="1"/>
  <c r="X62" i="1"/>
  <c r="X82" i="1" s="1"/>
  <c r="X102" i="1" s="1"/>
  <c r="AB62" i="1"/>
  <c r="AF62" i="1"/>
  <c r="AF82" i="1" s="1"/>
  <c r="AJ62" i="1"/>
  <c r="AJ64" i="1" s="1"/>
  <c r="AK64" i="1" s="1"/>
  <c r="AN62" i="1"/>
  <c r="AR62" i="1"/>
  <c r="AZ62" i="1"/>
  <c r="BD62" i="1"/>
  <c r="BL62" i="1"/>
  <c r="BL82" i="1" s="1"/>
  <c r="BT62" i="1"/>
  <c r="BX62" i="1"/>
  <c r="CB62" i="1"/>
  <c r="CC62" i="1" s="1"/>
  <c r="A63" i="1"/>
  <c r="B63" i="1"/>
  <c r="X63" i="1"/>
  <c r="AB63" i="1"/>
  <c r="AB83" i="1" s="1"/>
  <c r="AF63" i="1"/>
  <c r="AJ63" i="1"/>
  <c r="AR63" i="1"/>
  <c r="AV63" i="1"/>
  <c r="AW63" i="1" s="1"/>
  <c r="AZ63" i="1"/>
  <c r="BD63" i="1"/>
  <c r="BE63" i="1" s="1"/>
  <c r="BP63" i="1"/>
  <c r="BT63" i="1"/>
  <c r="BU63" i="1" s="1"/>
  <c r="B64" i="1"/>
  <c r="D64" i="1"/>
  <c r="H64" i="1"/>
  <c r="I64" i="1" s="1"/>
  <c r="L64" i="1"/>
  <c r="M64" i="1" s="1"/>
  <c r="P64" i="1"/>
  <c r="T64" i="1"/>
  <c r="A65" i="1"/>
  <c r="A66" i="1"/>
  <c r="DI68" i="1"/>
  <c r="A70" i="1"/>
  <c r="B70" i="1"/>
  <c r="Y70" i="1"/>
  <c r="AC70" i="1"/>
  <c r="AG70" i="1"/>
  <c r="AK70" i="1"/>
  <c r="AO70" i="1"/>
  <c r="AS70" i="1"/>
  <c r="AW70" i="1"/>
  <c r="BA70" i="1"/>
  <c r="BE70" i="1"/>
  <c r="BI70" i="1"/>
  <c r="BM70" i="1"/>
  <c r="BP70" i="1"/>
  <c r="BT70" i="1"/>
  <c r="BK20" i="20" s="1"/>
  <c r="BX70" i="1"/>
  <c r="CB70" i="1"/>
  <c r="CG70" i="1"/>
  <c r="CK70" i="1"/>
  <c r="A71" i="1"/>
  <c r="B71" i="1"/>
  <c r="Y71" i="1"/>
  <c r="AC71" i="1"/>
  <c r="AG71" i="1"/>
  <c r="AK71" i="1"/>
  <c r="AO71" i="1"/>
  <c r="AS71" i="1"/>
  <c r="AW71" i="1"/>
  <c r="BA71" i="1"/>
  <c r="BE71" i="1"/>
  <c r="BI71" i="1"/>
  <c r="BM71" i="1"/>
  <c r="BP71" i="1"/>
  <c r="BT71" i="1"/>
  <c r="BX71" i="1"/>
  <c r="BX81" i="1" s="1"/>
  <c r="BY91" i="1" s="1"/>
  <c r="CC71" i="1"/>
  <c r="CG71" i="1"/>
  <c r="CK71" i="1"/>
  <c r="A72" i="1"/>
  <c r="B72" i="1"/>
  <c r="Y72" i="1"/>
  <c r="AC72" i="1"/>
  <c r="AG72" i="1"/>
  <c r="AK72" i="1"/>
  <c r="AO72" i="1"/>
  <c r="AS72" i="1"/>
  <c r="BA72" i="1"/>
  <c r="BE72" i="1"/>
  <c r="BI72" i="1"/>
  <c r="BM72" i="1"/>
  <c r="BP72" i="1"/>
  <c r="BT72" i="1"/>
  <c r="BX72" i="1"/>
  <c r="CC72" i="1"/>
  <c r="CG72" i="1"/>
  <c r="CK72" i="1"/>
  <c r="A73" i="1"/>
  <c r="B73" i="1"/>
  <c r="Y73" i="1"/>
  <c r="AC73" i="1"/>
  <c r="AG73" i="1"/>
  <c r="AK73" i="1"/>
  <c r="AS73" i="1"/>
  <c r="AW73" i="1"/>
  <c r="BA73" i="1"/>
  <c r="BE73" i="1"/>
  <c r="BH73" i="1"/>
  <c r="BP73" i="1"/>
  <c r="BT73" i="1"/>
  <c r="BX73" i="1"/>
  <c r="BY73" i="1" s="1"/>
  <c r="CC73" i="1"/>
  <c r="CG73" i="1"/>
  <c r="B74" i="1"/>
  <c r="E74" i="1"/>
  <c r="I74" i="1"/>
  <c r="M74" i="1"/>
  <c r="Q74" i="1"/>
  <c r="U74" i="1"/>
  <c r="X74" i="1"/>
  <c r="G64" i="15" s="1"/>
  <c r="AB74" i="1"/>
  <c r="H64" i="15" s="1"/>
  <c r="CY20" i="20" s="1"/>
  <c r="AF74" i="1"/>
  <c r="AJ74" i="1"/>
  <c r="AN74" i="1"/>
  <c r="AR74" i="1"/>
  <c r="L64" i="15" s="1"/>
  <c r="D15" i="73" s="1"/>
  <c r="AV74" i="1"/>
  <c r="M64" i="15"/>
  <c r="E15" i="73" s="1"/>
  <c r="AZ74" i="1"/>
  <c r="BD74" i="1"/>
  <c r="O64" i="15" s="1"/>
  <c r="G15" i="73" s="1"/>
  <c r="G54" i="73" s="1"/>
  <c r="BL74" i="1"/>
  <c r="CF74" i="1"/>
  <c r="CJ74" i="1"/>
  <c r="W64" i="15" s="1"/>
  <c r="CN74" i="1"/>
  <c r="X64" i="15" s="1"/>
  <c r="P15" i="73" s="1"/>
  <c r="P133" i="73" s="1"/>
  <c r="A75" i="1"/>
  <c r="X75" i="1"/>
  <c r="AB75" i="1"/>
  <c r="AF75" i="1"/>
  <c r="AG75" i="1" s="1"/>
  <c r="AJ75" i="1"/>
  <c r="AN75" i="1"/>
  <c r="AO75" i="1" s="1"/>
  <c r="AR75" i="1"/>
  <c r="AV75" i="1"/>
  <c r="AW75" i="1" s="1"/>
  <c r="AZ75" i="1"/>
  <c r="BD75" i="1"/>
  <c r="BH75" i="1"/>
  <c r="BI75" i="1"/>
  <c r="BL75" i="1"/>
  <c r="BM75" i="1" s="1"/>
  <c r="CF75" i="1"/>
  <c r="CJ75" i="1"/>
  <c r="CN75" i="1"/>
  <c r="A76" i="1"/>
  <c r="X76" i="1"/>
  <c r="AB76" i="1"/>
  <c r="AF76" i="1"/>
  <c r="AG76" i="1" s="1"/>
  <c r="AJ76" i="1"/>
  <c r="AN76" i="1"/>
  <c r="AR76" i="1"/>
  <c r="AV76" i="1"/>
  <c r="AZ76" i="1"/>
  <c r="BD76" i="1"/>
  <c r="BH76" i="1"/>
  <c r="BL76" i="1"/>
  <c r="CF76" i="1"/>
  <c r="CJ76" i="1"/>
  <c r="CN76" i="1"/>
  <c r="A80" i="1"/>
  <c r="B80" i="1"/>
  <c r="A81" i="1"/>
  <c r="B81" i="1"/>
  <c r="A82" i="1"/>
  <c r="B82" i="1"/>
  <c r="A83" i="1"/>
  <c r="B83" i="1"/>
  <c r="B84" i="1"/>
  <c r="A85" i="1"/>
  <c r="A86" i="1"/>
  <c r="A90" i="1"/>
  <c r="B90" i="1"/>
  <c r="CF90" i="1"/>
  <c r="A91" i="1"/>
  <c r="B91" i="1"/>
  <c r="BT91" i="1"/>
  <c r="BU91" i="1" s="1"/>
  <c r="CF91" i="1"/>
  <c r="CA23" i="20" s="1"/>
  <c r="CJ91" i="1"/>
  <c r="CJ96" i="1" s="1"/>
  <c r="A92" i="1"/>
  <c r="B92" i="1"/>
  <c r="AV92" i="1"/>
  <c r="BH92" i="1"/>
  <c r="BH96" i="1"/>
  <c r="CF92" i="1"/>
  <c r="CB23" i="20" s="1"/>
  <c r="A93" i="1"/>
  <c r="B93" i="1"/>
  <c r="BH93" i="1"/>
  <c r="BX93" i="1"/>
  <c r="BX94" i="1"/>
  <c r="T70" i="15" s="1"/>
  <c r="CB93" i="1"/>
  <c r="CF93" i="1"/>
  <c r="CY93" i="1"/>
  <c r="CY94" i="1" s="1"/>
  <c r="B94" i="1"/>
  <c r="X94" i="1"/>
  <c r="G70" i="15" s="1"/>
  <c r="CX23" i="20" s="1"/>
  <c r="AB94" i="1"/>
  <c r="H70" i="15" s="1"/>
  <c r="CY23" i="20" s="1"/>
  <c r="AF94" i="1"/>
  <c r="AJ94" i="1"/>
  <c r="AN94" i="1"/>
  <c r="AR94" i="1"/>
  <c r="L70" i="15" s="1"/>
  <c r="AZ94" i="1"/>
  <c r="BD94" i="1"/>
  <c r="O70" i="15"/>
  <c r="G18" i="73" s="1"/>
  <c r="BL94" i="1"/>
  <c r="Q70" i="15"/>
  <c r="BP94" i="1"/>
  <c r="A95" i="1"/>
  <c r="X95" i="1"/>
  <c r="AB95" i="1"/>
  <c r="AF95" i="1"/>
  <c r="AJ95" i="1"/>
  <c r="AN95" i="1"/>
  <c r="AR95" i="1"/>
  <c r="AV95" i="1"/>
  <c r="AZ95" i="1"/>
  <c r="BD95" i="1"/>
  <c r="BH95" i="1"/>
  <c r="BL95" i="1"/>
  <c r="BP95" i="1"/>
  <c r="BX95" i="1"/>
  <c r="CB95" i="1"/>
  <c r="A96" i="1"/>
  <c r="X96" i="1"/>
  <c r="AB96" i="1"/>
  <c r="AF96" i="1"/>
  <c r="AJ96" i="1"/>
  <c r="AN96" i="1"/>
  <c r="AR96" i="1"/>
  <c r="AZ96" i="1"/>
  <c r="BD96" i="1"/>
  <c r="BL96" i="1"/>
  <c r="BP96" i="1"/>
  <c r="BX96" i="1"/>
  <c r="CB96" i="1"/>
  <c r="CX99" i="1"/>
  <c r="A100" i="1"/>
  <c r="B100" i="1"/>
  <c r="A101" i="1"/>
  <c r="B101" i="1"/>
  <c r="A102" i="1"/>
  <c r="B102" i="1"/>
  <c r="A103" i="1"/>
  <c r="B103" i="1"/>
  <c r="B104" i="1"/>
  <c r="A105" i="1"/>
  <c r="A106" i="1"/>
  <c r="A111" i="1"/>
  <c r="B111" i="1"/>
  <c r="AK111" i="1"/>
  <c r="AO111" i="1"/>
  <c r="AS111" i="1"/>
  <c r="A112" i="1"/>
  <c r="B112" i="1"/>
  <c r="AK112" i="1"/>
  <c r="AO112" i="1"/>
  <c r="AS112" i="1"/>
  <c r="A113" i="1"/>
  <c r="B113" i="1"/>
  <c r="AK113" i="1"/>
  <c r="AO113" i="1"/>
  <c r="AS113" i="1"/>
  <c r="A114" i="1"/>
  <c r="B114" i="1"/>
  <c r="AK114" i="1"/>
  <c r="AO114" i="1"/>
  <c r="AS114" i="1"/>
  <c r="B115" i="1"/>
  <c r="H115" i="1"/>
  <c r="L115" i="1"/>
  <c r="P115" i="1"/>
  <c r="T115" i="1"/>
  <c r="X115" i="1"/>
  <c r="AB115" i="1"/>
  <c r="AF115" i="1"/>
  <c r="I73" i="15"/>
  <c r="CZ24" i="20" s="1"/>
  <c r="AJ115" i="1"/>
  <c r="J73" i="15" s="1"/>
  <c r="DA24" i="20" s="1"/>
  <c r="AN115" i="1"/>
  <c r="AR115" i="1"/>
  <c r="AV115" i="1"/>
  <c r="M73" i="15" s="1"/>
  <c r="AZ115" i="1"/>
  <c r="N73" i="15" s="1"/>
  <c r="DE24" i="20" s="1"/>
  <c r="BD115" i="1"/>
  <c r="O73" i="15" s="1"/>
  <c r="G19" i="73" s="1"/>
  <c r="BH115" i="1"/>
  <c r="P73" i="15"/>
  <c r="BL115" i="1"/>
  <c r="BP115" i="1"/>
  <c r="BT115" i="1"/>
  <c r="BX115" i="1"/>
  <c r="CB115" i="1"/>
  <c r="CF115" i="1"/>
  <c r="CJ115" i="1"/>
  <c r="CN115" i="1"/>
  <c r="A116" i="1"/>
  <c r="D116" i="1"/>
  <c r="H116" i="1"/>
  <c r="L116" i="1"/>
  <c r="P116" i="1"/>
  <c r="T116" i="1"/>
  <c r="X116" i="1"/>
  <c r="AB116" i="1"/>
  <c r="AF116" i="1"/>
  <c r="AJ116" i="1"/>
  <c r="AN116" i="1"/>
  <c r="AR116" i="1"/>
  <c r="AV116" i="1"/>
  <c r="AZ116" i="1"/>
  <c r="BD116" i="1"/>
  <c r="BH116" i="1"/>
  <c r="BL116" i="1"/>
  <c r="BP116" i="1"/>
  <c r="BT116" i="1"/>
  <c r="BX116" i="1"/>
  <c r="CB116" i="1"/>
  <c r="CF116" i="1"/>
  <c r="CJ116" i="1"/>
  <c r="CN116" i="1"/>
  <c r="A117" i="1"/>
  <c r="D117" i="1"/>
  <c r="H117" i="1"/>
  <c r="L117" i="1"/>
  <c r="P117" i="1"/>
  <c r="T117" i="1"/>
  <c r="X117" i="1"/>
  <c r="AB117" i="1"/>
  <c r="AF117" i="1"/>
  <c r="AJ117" i="1"/>
  <c r="AN117" i="1"/>
  <c r="AR117" i="1"/>
  <c r="AV117" i="1"/>
  <c r="AZ117" i="1"/>
  <c r="BD117" i="1"/>
  <c r="BH117" i="1"/>
  <c r="BL117" i="1"/>
  <c r="BP117" i="1"/>
  <c r="BT117" i="1"/>
  <c r="BX117" i="1"/>
  <c r="CB117" i="1"/>
  <c r="CF117" i="1"/>
  <c r="CJ117" i="1"/>
  <c r="CN117" i="1"/>
  <c r="A121" i="1"/>
  <c r="B121" i="1"/>
  <c r="A122" i="1"/>
  <c r="B122" i="1"/>
  <c r="A123" i="1"/>
  <c r="B123" i="1"/>
  <c r="A124" i="1"/>
  <c r="B124" i="1"/>
  <c r="B125" i="1"/>
  <c r="A126" i="1"/>
  <c r="D126" i="1"/>
  <c r="H126" i="1"/>
  <c r="L126" i="1"/>
  <c r="P126" i="1"/>
  <c r="T126" i="1"/>
  <c r="A127" i="1"/>
  <c r="D127" i="1"/>
  <c r="H127" i="1"/>
  <c r="L127" i="1"/>
  <c r="P127" i="1"/>
  <c r="T127" i="1"/>
  <c r="A131" i="1"/>
  <c r="B131" i="1"/>
  <c r="A132" i="1"/>
  <c r="B132" i="1"/>
  <c r="A133" i="1"/>
  <c r="B133" i="1"/>
  <c r="A134" i="1"/>
  <c r="B134" i="1"/>
  <c r="B135" i="1"/>
  <c r="A136" i="1"/>
  <c r="A137" i="1"/>
  <c r="A141" i="1"/>
  <c r="B141" i="1"/>
  <c r="A142" i="1"/>
  <c r="B142" i="1"/>
  <c r="CX142" i="1"/>
  <c r="A143" i="1"/>
  <c r="B143" i="1"/>
  <c r="A144" i="1"/>
  <c r="B144" i="1"/>
  <c r="B145" i="1"/>
  <c r="A146" i="1"/>
  <c r="A147" i="1"/>
  <c r="CX148" i="1"/>
  <c r="CX159" i="1" s="1"/>
  <c r="A151" i="1"/>
  <c r="B151" i="1"/>
  <c r="A152" i="1"/>
  <c r="B152" i="1"/>
  <c r="A153" i="1"/>
  <c r="B153" i="1"/>
  <c r="A154" i="1"/>
  <c r="B154" i="1"/>
  <c r="B155" i="1"/>
  <c r="A156" i="1"/>
  <c r="A157" i="1"/>
  <c r="A161" i="1"/>
  <c r="B161" i="1"/>
  <c r="X161" i="1"/>
  <c r="AB161" i="1"/>
  <c r="AF161" i="1"/>
  <c r="AJ161" i="1"/>
  <c r="AN161" i="1"/>
  <c r="A162" i="1"/>
  <c r="B162" i="1"/>
  <c r="X162" i="1"/>
  <c r="D29" i="20" s="1"/>
  <c r="AB162" i="1"/>
  <c r="I29" i="20" s="1"/>
  <c r="AF162" i="1"/>
  <c r="N29" i="20" s="1"/>
  <c r="AJ162" i="1"/>
  <c r="S29" i="20" s="1"/>
  <c r="A163" i="1"/>
  <c r="B163" i="1"/>
  <c r="X163" i="1"/>
  <c r="E29" i="20" s="1"/>
  <c r="AB163" i="1"/>
  <c r="AF163" i="1"/>
  <c r="AJ163" i="1"/>
  <c r="T29" i="20" s="1"/>
  <c r="A164" i="1"/>
  <c r="B164" i="1"/>
  <c r="X164" i="1"/>
  <c r="F29" i="20" s="1"/>
  <c r="AB164" i="1"/>
  <c r="AF164" i="1"/>
  <c r="P29" i="20" s="1"/>
  <c r="AJ164" i="1"/>
  <c r="U29" i="20" s="1"/>
  <c r="B165" i="1"/>
  <c r="D165" i="1"/>
  <c r="H165" i="1"/>
  <c r="L165" i="1"/>
  <c r="D88" i="15" s="1"/>
  <c r="CU29" i="20" s="1"/>
  <c r="P165" i="1"/>
  <c r="E88" i="15" s="1"/>
  <c r="CV29" i="20" s="1"/>
  <c r="T165" i="1"/>
  <c r="F88" i="15" s="1"/>
  <c r="CW29" i="20" s="1"/>
  <c r="X165" i="1"/>
  <c r="G88" i="15" s="1"/>
  <c r="CX29" i="20" s="1"/>
  <c r="AB165" i="1"/>
  <c r="H88" i="15" s="1"/>
  <c r="CY29" i="20" s="1"/>
  <c r="BH165" i="1"/>
  <c r="P88" i="15" s="1"/>
  <c r="BL165" i="1"/>
  <c r="BP165" i="1"/>
  <c r="R88" i="15" s="1"/>
  <c r="BT165" i="1"/>
  <c r="BX165" i="1"/>
  <c r="T88" i="15" s="1"/>
  <c r="CB165" i="1"/>
  <c r="U88" i="15" s="1"/>
  <c r="M24" i="73" s="1"/>
  <c r="M63" i="73" s="1"/>
  <c r="V88" i="15"/>
  <c r="A166" i="1"/>
  <c r="AR166" i="1"/>
  <c r="AV166" i="1"/>
  <c r="AZ166" i="1"/>
  <c r="BD166" i="1"/>
  <c r="BH166" i="1"/>
  <c r="BL166" i="1"/>
  <c r="BP166" i="1"/>
  <c r="BT166" i="1"/>
  <c r="BX166" i="1"/>
  <c r="CB166" i="1"/>
  <c r="CF166" i="1"/>
  <c r="CJ166" i="1"/>
  <c r="A167" i="1"/>
  <c r="AR167" i="1"/>
  <c r="AV167" i="1"/>
  <c r="AZ167" i="1"/>
  <c r="BD167" i="1"/>
  <c r="BH167" i="1"/>
  <c r="BL167" i="1"/>
  <c r="BP167" i="1"/>
  <c r="BT167" i="1"/>
  <c r="BX167" i="1"/>
  <c r="CB167" i="1"/>
  <c r="CF167" i="1"/>
  <c r="CJ167" i="1"/>
  <c r="CB172" i="1"/>
  <c r="CB173" i="1" s="1"/>
  <c r="CB174" i="1" s="1"/>
  <c r="CB175" i="1" s="1"/>
  <c r="CF173" i="1"/>
  <c r="CF174" i="1" s="1"/>
  <c r="CJ173" i="1"/>
  <c r="CJ174" i="1" s="1"/>
  <c r="CN173" i="1"/>
  <c r="BH175" i="1"/>
  <c r="BL175" i="1"/>
  <c r="BP175" i="1"/>
  <c r="BT175" i="1"/>
  <c r="BX175" i="1"/>
  <c r="A177" i="1"/>
  <c r="B177" i="1"/>
  <c r="AJ177" i="1"/>
  <c r="BL177" i="1"/>
  <c r="BP177" i="1"/>
  <c r="BT177" i="1"/>
  <c r="BX177" i="1"/>
  <c r="A178" i="1"/>
  <c r="B178" i="1"/>
  <c r="AJ178" i="1"/>
  <c r="AJ182" i="1" s="1"/>
  <c r="A179" i="1"/>
  <c r="B179" i="1"/>
  <c r="AJ179" i="1"/>
  <c r="A180" i="1"/>
  <c r="B180" i="1"/>
  <c r="B181" i="1"/>
  <c r="A182" i="1"/>
  <c r="A183" i="1"/>
  <c r="A187" i="1"/>
  <c r="B187" i="1"/>
  <c r="A188" i="1"/>
  <c r="B188" i="1"/>
  <c r="A189" i="1"/>
  <c r="B189" i="1"/>
  <c r="A190" i="1"/>
  <c r="B190" i="1"/>
  <c r="B191" i="1"/>
  <c r="X191" i="1"/>
  <c r="G93" i="15" s="1"/>
  <c r="CX31" i="20" s="1"/>
  <c r="AB191" i="1"/>
  <c r="H93" i="15" s="1"/>
  <c r="CY31" i="20" s="1"/>
  <c r="AF191" i="1"/>
  <c r="I93" i="15" s="1"/>
  <c r="CZ31" i="20" s="1"/>
  <c r="A192" i="1"/>
  <c r="T192" i="1"/>
  <c r="X192" i="1"/>
  <c r="AB192" i="1"/>
  <c r="AF192" i="1"/>
  <c r="A193" i="1"/>
  <c r="T193" i="1"/>
  <c r="X193" i="1"/>
  <c r="AB193" i="1"/>
  <c r="AF193" i="1"/>
  <c r="A197" i="1"/>
  <c r="B197" i="1"/>
  <c r="AJ197" i="1"/>
  <c r="AN197" i="1"/>
  <c r="A198" i="1"/>
  <c r="B198" i="1"/>
  <c r="AJ198" i="1"/>
  <c r="A199" i="1"/>
  <c r="B199" i="1"/>
  <c r="AJ199" i="1"/>
  <c r="T30" i="20" s="1"/>
  <c r="BP199" i="1"/>
  <c r="A200" i="1"/>
  <c r="B200" i="1"/>
  <c r="AJ200" i="1"/>
  <c r="BL200" i="1"/>
  <c r="BL201" i="1" s="1"/>
  <c r="BT200" i="1"/>
  <c r="B201" i="1"/>
  <c r="T201" i="1"/>
  <c r="F94" i="15" s="1"/>
  <c r="CW30" i="20" s="1"/>
  <c r="X201" i="1"/>
  <c r="G94" i="15" s="1"/>
  <c r="CX30" i="20" s="1"/>
  <c r="AB201" i="1"/>
  <c r="H94" i="15" s="1"/>
  <c r="CY30" i="20" s="1"/>
  <c r="AF201" i="1"/>
  <c r="I94" i="15" s="1"/>
  <c r="CZ30" i="20" s="1"/>
  <c r="AR201" i="1"/>
  <c r="L94" i="15" s="1"/>
  <c r="DC30" i="20" s="1"/>
  <c r="BH201" i="1"/>
  <c r="A202" i="1"/>
  <c r="X202" i="1"/>
  <c r="AB202" i="1"/>
  <c r="AF202" i="1"/>
  <c r="AR202" i="1"/>
  <c r="AV202" i="1"/>
  <c r="AZ202" i="1"/>
  <c r="BD202" i="1"/>
  <c r="BH202" i="1"/>
  <c r="BL202" i="1"/>
  <c r="BP202" i="1"/>
  <c r="BT202" i="1"/>
  <c r="CF202" i="1"/>
  <c r="CJ202" i="1"/>
  <c r="A203" i="1"/>
  <c r="X203" i="1"/>
  <c r="AB203" i="1"/>
  <c r="AF203" i="1"/>
  <c r="AR203" i="1"/>
  <c r="AV203" i="1"/>
  <c r="AZ203" i="1"/>
  <c r="BD203" i="1"/>
  <c r="BH203" i="1"/>
  <c r="BL203" i="1"/>
  <c r="BT203" i="1"/>
  <c r="CF203" i="1"/>
  <c r="CJ203" i="1"/>
  <c r="A207" i="1"/>
  <c r="B207" i="1"/>
  <c r="X207" i="1"/>
  <c r="X208" i="1" s="1"/>
  <c r="X209" i="1" s="1"/>
  <c r="AB207" i="1"/>
  <c r="AG207" i="1" s="1"/>
  <c r="AK207" i="1"/>
  <c r="AO207" i="1"/>
  <c r="AS207" i="1"/>
  <c r="AW207" i="1"/>
  <c r="A208" i="1"/>
  <c r="B208" i="1"/>
  <c r="AB208" i="1"/>
  <c r="AG208" i="1" s="1"/>
  <c r="AF208" i="1"/>
  <c r="AF212" i="1" s="1"/>
  <c r="AJ208" i="1"/>
  <c r="AK208" i="1" s="1"/>
  <c r="AN208" i="1"/>
  <c r="AR208" i="1"/>
  <c r="AV208" i="1"/>
  <c r="AZ208" i="1"/>
  <c r="BD208" i="1"/>
  <c r="BD209" i="1" s="1"/>
  <c r="AS17" i="20" s="1"/>
  <c r="BH208" i="1"/>
  <c r="BH209" i="1" s="1"/>
  <c r="BL208" i="1"/>
  <c r="BP208" i="1"/>
  <c r="BT208" i="1"/>
  <c r="BT212" i="1"/>
  <c r="BU212" i="1" s="1"/>
  <c r="BX208" i="1"/>
  <c r="CB208" i="1"/>
  <c r="CB212" i="1" s="1"/>
  <c r="CF208" i="1"/>
  <c r="CJ208" i="1"/>
  <c r="CJ209" i="1" s="1"/>
  <c r="A209" i="1"/>
  <c r="B209" i="1"/>
  <c r="A210" i="1"/>
  <c r="B210" i="1"/>
  <c r="B211" i="1"/>
  <c r="X211" i="1"/>
  <c r="AB211" i="1"/>
  <c r="AF211" i="1"/>
  <c r="AG211" i="1" s="1"/>
  <c r="AJ211" i="1"/>
  <c r="AN211" i="1"/>
  <c r="AR211" i="1"/>
  <c r="AV211" i="1"/>
  <c r="BA211" i="1" s="1"/>
  <c r="AZ211" i="1"/>
  <c r="BD211" i="1"/>
  <c r="BH211" i="1"/>
  <c r="BL211" i="1"/>
  <c r="BQ211" i="1" s="1"/>
  <c r="BP211" i="1"/>
  <c r="BT211" i="1"/>
  <c r="BX211" i="1"/>
  <c r="CB211" i="1"/>
  <c r="CF211" i="1"/>
  <c r="A212" i="1"/>
  <c r="A213" i="1"/>
  <c r="BH218" i="1"/>
  <c r="BH220" i="1" s="1"/>
  <c r="AV220" i="1"/>
  <c r="U228" i="1"/>
  <c r="V228" i="1"/>
  <c r="X228" i="1"/>
  <c r="AZ228" i="1"/>
  <c r="BD228" i="1"/>
  <c r="BD233" i="1" s="1"/>
  <c r="BF233" i="1" s="1"/>
  <c r="BH228" i="1"/>
  <c r="BH232" i="1" s="1"/>
  <c r="BP228" i="1"/>
  <c r="BP233" i="1" s="1"/>
  <c r="BT228" i="1"/>
  <c r="BX228" i="1"/>
  <c r="U229" i="1"/>
  <c r="V229" i="1"/>
  <c r="X229" i="1"/>
  <c r="Z229" i="1" s="1"/>
  <c r="AC229" i="1"/>
  <c r="AZ229" i="1"/>
  <c r="BD229" i="1"/>
  <c r="BL229" i="1"/>
  <c r="BP229" i="1"/>
  <c r="BX229" i="1"/>
  <c r="U230" i="1"/>
  <c r="V230" i="1"/>
  <c r="X230" i="1"/>
  <c r="Z230" i="1" s="1"/>
  <c r="AZ230" i="1"/>
  <c r="BD230" i="1"/>
  <c r="BL230" i="1"/>
  <c r="BM230" i="1"/>
  <c r="BT230" i="1"/>
  <c r="BX230" i="1"/>
  <c r="U231" i="1"/>
  <c r="V231" i="1"/>
  <c r="X231" i="1"/>
  <c r="Z231" i="1" s="1"/>
  <c r="AZ231" i="1"/>
  <c r="BF231" i="1" s="1"/>
  <c r="BD231" i="1"/>
  <c r="BL231" i="1"/>
  <c r="BP231" i="1"/>
  <c r="BT231" i="1"/>
  <c r="T232" i="1"/>
  <c r="V232" i="1" s="1"/>
  <c r="U232" i="1"/>
  <c r="T233" i="1"/>
  <c r="V233" i="1" s="1"/>
  <c r="U233" i="1"/>
  <c r="T234" i="1"/>
  <c r="V234" i="1" s="1"/>
  <c r="U234" i="1"/>
  <c r="U16" i="9"/>
  <c r="AQ16" i="9" s="1"/>
  <c r="B19" i="9"/>
  <c r="B17" i="10" s="1"/>
  <c r="B20" i="9"/>
  <c r="B18" i="10" s="1"/>
  <c r="B21" i="9"/>
  <c r="B19" i="10" s="1"/>
  <c r="B22" i="9"/>
  <c r="B20" i="10" s="1"/>
  <c r="U23" i="9"/>
  <c r="AQ23" i="9"/>
  <c r="U30" i="9"/>
  <c r="B33" i="9"/>
  <c r="B31" i="10" s="1"/>
  <c r="B34" i="9"/>
  <c r="B35" i="9"/>
  <c r="B36" i="9"/>
  <c r="B43" i="9" s="1"/>
  <c r="J36" i="9"/>
  <c r="L36" i="9"/>
  <c r="V34" i="10"/>
  <c r="AG36" i="9"/>
  <c r="U37" i="9"/>
  <c r="AQ37" i="9" s="1"/>
  <c r="J43" i="9"/>
  <c r="L43" i="9"/>
  <c r="V41" i="10" s="1"/>
  <c r="X41" i="10" s="1"/>
  <c r="AG43" i="9"/>
  <c r="AB41" i="10" s="1"/>
  <c r="AD41" i="10" s="1"/>
  <c r="U44" i="9"/>
  <c r="AQ44" i="9" s="1"/>
  <c r="U47" i="9"/>
  <c r="U48" i="9"/>
  <c r="AQ48" i="9" s="1"/>
  <c r="U49" i="9"/>
  <c r="AQ49" i="9" s="1"/>
  <c r="J50" i="9"/>
  <c r="F81" i="20" s="1"/>
  <c r="L50" i="9"/>
  <c r="U50" i="9"/>
  <c r="AQ50" i="9" s="1"/>
  <c r="AG50" i="9"/>
  <c r="B53" i="9"/>
  <c r="A54" i="9"/>
  <c r="A61" i="9" s="1"/>
  <c r="A68" i="9" s="1"/>
  <c r="A75" i="9" s="1"/>
  <c r="A82" i="9" s="1"/>
  <c r="A89" i="9" s="1"/>
  <c r="A96" i="9" s="1"/>
  <c r="A103" i="9" s="1"/>
  <c r="A110" i="9" s="1"/>
  <c r="A117" i="9" s="1"/>
  <c r="A124" i="9" s="1"/>
  <c r="A131" i="9" s="1"/>
  <c r="A138" i="9" s="1"/>
  <c r="A145" i="9" s="1"/>
  <c r="A152" i="9" s="1"/>
  <c r="A159" i="9" s="1"/>
  <c r="A166" i="9" s="1"/>
  <c r="A173" i="9" s="1"/>
  <c r="F54" i="9"/>
  <c r="U54" i="9"/>
  <c r="A55" i="9"/>
  <c r="A62" i="9"/>
  <c r="A69" i="9" s="1"/>
  <c r="A76" i="9" s="1"/>
  <c r="A83" i="9" s="1"/>
  <c r="A90" i="9" s="1"/>
  <c r="A97" i="9" s="1"/>
  <c r="A104" i="9" s="1"/>
  <c r="A111" i="9" s="1"/>
  <c r="A118" i="9" s="1"/>
  <c r="A125" i="9" s="1"/>
  <c r="A132" i="9" s="1"/>
  <c r="A139" i="9" s="1"/>
  <c r="A146" i="9" s="1"/>
  <c r="A153" i="9" s="1"/>
  <c r="A160" i="9" s="1"/>
  <c r="A167" i="9" s="1"/>
  <c r="A174" i="9" s="1"/>
  <c r="F55" i="9"/>
  <c r="J55" i="9"/>
  <c r="I81" i="20" s="1"/>
  <c r="L55" i="9"/>
  <c r="V53" i="10" s="1"/>
  <c r="X53" i="10" s="1"/>
  <c r="U55" i="9"/>
  <c r="A56" i="9"/>
  <c r="A63" i="9" s="1"/>
  <c r="A70" i="9" s="1"/>
  <c r="A77" i="9" s="1"/>
  <c r="A84" i="9" s="1"/>
  <c r="A91" i="9" s="1"/>
  <c r="A98" i="9" s="1"/>
  <c r="A105" i="9" s="1"/>
  <c r="A112" i="9" s="1"/>
  <c r="A119" i="9" s="1"/>
  <c r="A126" i="9" s="1"/>
  <c r="A133" i="9" s="1"/>
  <c r="A140" i="9" s="1"/>
  <c r="A147" i="9" s="1"/>
  <c r="A154" i="9" s="1"/>
  <c r="A161" i="9" s="1"/>
  <c r="A168" i="9" s="1"/>
  <c r="A175" i="9" s="1"/>
  <c r="F56" i="9"/>
  <c r="J56" i="9"/>
  <c r="L56" i="9"/>
  <c r="V54" i="10" s="1"/>
  <c r="U56" i="9"/>
  <c r="A57" i="9"/>
  <c r="A64" i="9" s="1"/>
  <c r="A71" i="9" s="1"/>
  <c r="A78" i="9" s="1"/>
  <c r="A85" i="9" s="1"/>
  <c r="A92" i="9" s="1"/>
  <c r="A99" i="9" s="1"/>
  <c r="A106" i="9" s="1"/>
  <c r="A113" i="9" s="1"/>
  <c r="A120" i="9" s="1"/>
  <c r="A127" i="9" s="1"/>
  <c r="A134" i="9" s="1"/>
  <c r="A141" i="9" s="1"/>
  <c r="A148" i="9" s="1"/>
  <c r="A155" i="9" s="1"/>
  <c r="A162" i="9" s="1"/>
  <c r="A169" i="9" s="1"/>
  <c r="A176" i="9" s="1"/>
  <c r="F57" i="9"/>
  <c r="J57" i="9"/>
  <c r="K81" i="20" s="1"/>
  <c r="L57" i="9"/>
  <c r="U57" i="9"/>
  <c r="X57" i="9" s="1"/>
  <c r="AG57" i="9"/>
  <c r="B58" i="9"/>
  <c r="B65" i="9" s="1"/>
  <c r="F58" i="9"/>
  <c r="H97" i="5" s="1"/>
  <c r="CY50" i="20" s="1"/>
  <c r="F61" i="9"/>
  <c r="J61" i="9"/>
  <c r="M81" i="20" s="1"/>
  <c r="L61" i="9"/>
  <c r="U61" i="9"/>
  <c r="F62" i="9"/>
  <c r="J62" i="9"/>
  <c r="N81" i="20" s="1"/>
  <c r="L62" i="9"/>
  <c r="N62" i="9" s="1"/>
  <c r="U62" i="9"/>
  <c r="U65" i="9" s="1"/>
  <c r="AQ65" i="9" s="1"/>
  <c r="F63" i="9"/>
  <c r="J63" i="9"/>
  <c r="L63" i="9"/>
  <c r="U63" i="9"/>
  <c r="AQ63" i="9" s="1"/>
  <c r="F64" i="9"/>
  <c r="J64" i="9"/>
  <c r="P81" i="20" s="1"/>
  <c r="L64" i="9"/>
  <c r="U64" i="9"/>
  <c r="AQ64" i="9" s="1"/>
  <c r="AG64" i="9"/>
  <c r="AJ64" i="9" s="1"/>
  <c r="F65" i="9"/>
  <c r="I97" i="5" s="1"/>
  <c r="F68" i="9"/>
  <c r="J68" i="9"/>
  <c r="R81" i="20" s="1"/>
  <c r="L68" i="9"/>
  <c r="U68" i="9"/>
  <c r="AQ68" i="9" s="1"/>
  <c r="F69" i="9"/>
  <c r="J69" i="9"/>
  <c r="S81" i="20" s="1"/>
  <c r="L69" i="9"/>
  <c r="V67" i="10" s="1"/>
  <c r="X67" i="10" s="1"/>
  <c r="U69" i="9"/>
  <c r="AQ69" i="9" s="1"/>
  <c r="F70" i="9"/>
  <c r="J70" i="9"/>
  <c r="T81" i="20" s="1"/>
  <c r="L70" i="9"/>
  <c r="U70" i="9"/>
  <c r="AQ70" i="9" s="1"/>
  <c r="F71" i="9"/>
  <c r="J71" i="9"/>
  <c r="U81" i="20" s="1"/>
  <c r="L71" i="9"/>
  <c r="U71" i="9"/>
  <c r="AQ71" i="9"/>
  <c r="AG71" i="9"/>
  <c r="F72" i="9"/>
  <c r="J97" i="5" s="1"/>
  <c r="F75" i="9"/>
  <c r="J75" i="9"/>
  <c r="W81" i="20" s="1"/>
  <c r="L75" i="9"/>
  <c r="U75" i="9"/>
  <c r="AQ75" i="9" s="1"/>
  <c r="F76" i="9"/>
  <c r="J76" i="9"/>
  <c r="X81" i="20" s="1"/>
  <c r="L76" i="9"/>
  <c r="U76" i="9"/>
  <c r="F77" i="9"/>
  <c r="J77" i="9"/>
  <c r="L77" i="9"/>
  <c r="U77" i="9"/>
  <c r="AQ77" i="9" s="1"/>
  <c r="F78" i="9"/>
  <c r="J78" i="9"/>
  <c r="Z81" i="20" s="1"/>
  <c r="L78" i="9"/>
  <c r="N78" i="9" s="1"/>
  <c r="AN231" i="1" s="1"/>
  <c r="AG78" i="9"/>
  <c r="F79" i="9"/>
  <c r="F82" i="9"/>
  <c r="J82" i="9"/>
  <c r="L82" i="9"/>
  <c r="U82" i="9"/>
  <c r="U86" i="9" s="1"/>
  <c r="AQ86" i="9" s="1"/>
  <c r="F83" i="9"/>
  <c r="J83" i="9"/>
  <c r="N83" i="9" s="1"/>
  <c r="X83" i="9" s="1"/>
  <c r="L83" i="9"/>
  <c r="V81" i="10" s="1"/>
  <c r="U83" i="9"/>
  <c r="D83" i="9" s="1"/>
  <c r="F84" i="9"/>
  <c r="J84" i="9"/>
  <c r="L84" i="9"/>
  <c r="V82" i="10" s="1"/>
  <c r="U84" i="9"/>
  <c r="F85" i="9"/>
  <c r="J85" i="9"/>
  <c r="N89" i="9" s="1"/>
  <c r="AV228" i="1" s="1"/>
  <c r="L85" i="9"/>
  <c r="Q57" i="52" s="1"/>
  <c r="U85" i="9"/>
  <c r="AG85" i="9"/>
  <c r="AB83" i="10" s="1"/>
  <c r="AD83" i="10" s="1"/>
  <c r="F86" i="9"/>
  <c r="L97" i="5" s="1"/>
  <c r="D36" i="73" s="1"/>
  <c r="D115" i="73" s="1"/>
  <c r="F89" i="9"/>
  <c r="J89" i="9"/>
  <c r="AG81" i="20" s="1"/>
  <c r="L89" i="9"/>
  <c r="V87" i="10" s="1"/>
  <c r="U89" i="9"/>
  <c r="AQ89" i="9" s="1"/>
  <c r="F90" i="9"/>
  <c r="J90" i="9"/>
  <c r="L90" i="9"/>
  <c r="U90" i="9"/>
  <c r="AQ90" i="9" s="1"/>
  <c r="F91" i="9"/>
  <c r="J91" i="9"/>
  <c r="AI81" i="20" s="1"/>
  <c r="L91" i="9"/>
  <c r="AG91" i="9"/>
  <c r="AJ92" i="9" s="1"/>
  <c r="F92" i="9"/>
  <c r="L92" i="9"/>
  <c r="U92" i="9"/>
  <c r="AG92" i="9"/>
  <c r="AJ80" i="20" s="1"/>
  <c r="F93" i="9"/>
  <c r="F96" i="9"/>
  <c r="J96" i="9"/>
  <c r="L96" i="9"/>
  <c r="V94" i="10" s="1"/>
  <c r="X94" i="10" s="1"/>
  <c r="U96" i="9"/>
  <c r="AQ96" i="9" s="1"/>
  <c r="F97" i="9"/>
  <c r="J97" i="9"/>
  <c r="AM81" i="20" s="1"/>
  <c r="L97" i="9"/>
  <c r="Q69" i="52" s="1"/>
  <c r="T69" i="52" s="1"/>
  <c r="U97" i="9"/>
  <c r="F98" i="9"/>
  <c r="J98" i="9"/>
  <c r="AN81" i="20" s="1"/>
  <c r="L98" i="9"/>
  <c r="U98" i="9"/>
  <c r="F99" i="9"/>
  <c r="U99" i="9"/>
  <c r="D99" i="9" s="1"/>
  <c r="AQ99" i="9"/>
  <c r="F100" i="9"/>
  <c r="F103" i="9"/>
  <c r="J103" i="9"/>
  <c r="L103" i="9"/>
  <c r="V102" i="10" s="1"/>
  <c r="X102" i="10" s="1"/>
  <c r="F104" i="9"/>
  <c r="J104" i="9"/>
  <c r="N104" i="9" s="1"/>
  <c r="L104" i="9"/>
  <c r="V103" i="10" s="1"/>
  <c r="F105" i="9"/>
  <c r="J105" i="9"/>
  <c r="L105" i="9"/>
  <c r="Q77" i="52" s="1"/>
  <c r="T77" i="52" s="1"/>
  <c r="F106" i="9"/>
  <c r="F107" i="9"/>
  <c r="F110" i="9"/>
  <c r="J110" i="9"/>
  <c r="L110" i="9"/>
  <c r="V109" i="10"/>
  <c r="X109" i="10" s="1"/>
  <c r="AG110" i="9"/>
  <c r="AV80" i="20" s="1"/>
  <c r="F111" i="9"/>
  <c r="J111" i="9"/>
  <c r="N111" i="9"/>
  <c r="X111" i="9" s="1"/>
  <c r="L111" i="9"/>
  <c r="Q83" i="52" s="1"/>
  <c r="T83" i="52" s="1"/>
  <c r="V110" i="10"/>
  <c r="AG111" i="9"/>
  <c r="AW80" i="20" s="1"/>
  <c r="F112" i="9"/>
  <c r="J112" i="9"/>
  <c r="AX81" i="20" s="1"/>
  <c r="L112" i="9"/>
  <c r="AG112" i="9"/>
  <c r="F113" i="9"/>
  <c r="AI113" i="9"/>
  <c r="AW113" i="9"/>
  <c r="AW117" i="9" s="1"/>
  <c r="F114" i="9"/>
  <c r="AQ115" i="9"/>
  <c r="F117" i="9"/>
  <c r="J117" i="9"/>
  <c r="L117" i="9"/>
  <c r="V116" i="10" s="1"/>
  <c r="F118" i="9"/>
  <c r="J118" i="9"/>
  <c r="L118" i="9"/>
  <c r="F119" i="9"/>
  <c r="J119" i="9"/>
  <c r="BC81" i="20" s="1"/>
  <c r="L119" i="9"/>
  <c r="V118" i="10"/>
  <c r="F120" i="9"/>
  <c r="AI120" i="9"/>
  <c r="AW120" i="9"/>
  <c r="F121" i="9"/>
  <c r="AQ122" i="9"/>
  <c r="F124" i="9"/>
  <c r="J124" i="9"/>
  <c r="L124" i="9"/>
  <c r="AW124" i="9"/>
  <c r="AW125" i="9" s="1"/>
  <c r="AX125" i="9" s="1"/>
  <c r="F125" i="9"/>
  <c r="J125" i="9"/>
  <c r="L125" i="9"/>
  <c r="F126" i="9"/>
  <c r="J126" i="9"/>
  <c r="BH81" i="20" s="1"/>
  <c r="L126" i="9"/>
  <c r="F127" i="9"/>
  <c r="AW127" i="9"/>
  <c r="AQ129" i="9"/>
  <c r="F131" i="9"/>
  <c r="J131" i="9"/>
  <c r="L131" i="9"/>
  <c r="V130" i="10" s="1"/>
  <c r="U131" i="9"/>
  <c r="AQ131" i="9" s="1"/>
  <c r="AA131" i="9"/>
  <c r="AB131" i="9"/>
  <c r="AE131" i="9"/>
  <c r="F132" i="9"/>
  <c r="J132" i="9"/>
  <c r="BL81" i="20" s="1"/>
  <c r="L132" i="9"/>
  <c r="U132" i="9"/>
  <c r="AA132" i="9"/>
  <c r="AB132" i="9"/>
  <c r="AE132" i="9"/>
  <c r="AC132" i="9" s="1"/>
  <c r="AD132" i="9" s="1"/>
  <c r="AJ132" i="9"/>
  <c r="F133" i="9"/>
  <c r="J133" i="9"/>
  <c r="BM81" i="20"/>
  <c r="L133" i="9"/>
  <c r="U133" i="9"/>
  <c r="AA133" i="9"/>
  <c r="AB133" i="9"/>
  <c r="AC133" i="9" s="1"/>
  <c r="AD133" i="9" s="1"/>
  <c r="AE133" i="9"/>
  <c r="AJ133" i="9"/>
  <c r="F134" i="9"/>
  <c r="J134" i="9"/>
  <c r="K134" i="9" s="1"/>
  <c r="U134" i="9"/>
  <c r="AA134" i="9"/>
  <c r="AB134" i="9"/>
  <c r="AE134" i="9"/>
  <c r="AG134" i="9"/>
  <c r="BN80" i="20" s="1"/>
  <c r="AB135" i="9"/>
  <c r="F138" i="9"/>
  <c r="J138" i="9"/>
  <c r="K138" i="9" s="1"/>
  <c r="L138" i="9"/>
  <c r="U138" i="9"/>
  <c r="AA138" i="9"/>
  <c r="AB138" i="9"/>
  <c r="AC138" i="9" s="1"/>
  <c r="AD138" i="9" s="1"/>
  <c r="AE138" i="9"/>
  <c r="F139" i="9"/>
  <c r="J139" i="9"/>
  <c r="L139" i="9" s="1"/>
  <c r="U139" i="9"/>
  <c r="AQ139" i="9" s="1"/>
  <c r="AA139" i="9"/>
  <c r="AB139" i="9"/>
  <c r="AE139" i="9"/>
  <c r="AJ139" i="9"/>
  <c r="F140" i="9"/>
  <c r="J140" i="9"/>
  <c r="U140" i="9"/>
  <c r="AA140" i="9"/>
  <c r="AB140" i="9"/>
  <c r="AE140" i="9"/>
  <c r="AJ140" i="9"/>
  <c r="F141" i="9"/>
  <c r="J141" i="9"/>
  <c r="AA141" i="9"/>
  <c r="AB141" i="9"/>
  <c r="AG141" i="9"/>
  <c r="BS80" i="20" s="1"/>
  <c r="F142" i="9"/>
  <c r="U142" i="9"/>
  <c r="AB142" i="9"/>
  <c r="AE142" i="9"/>
  <c r="AC142" i="9" s="1"/>
  <c r="AD142" i="9" s="1"/>
  <c r="F145" i="9"/>
  <c r="J145" i="9"/>
  <c r="L145" i="9" s="1"/>
  <c r="U145" i="9"/>
  <c r="D145" i="9" s="1"/>
  <c r="H145" i="9" s="1"/>
  <c r="AA145" i="9"/>
  <c r="AB145" i="9"/>
  <c r="AE145" i="9"/>
  <c r="F146" i="9"/>
  <c r="J146" i="9"/>
  <c r="U146" i="9"/>
  <c r="AA146" i="9"/>
  <c r="AB146" i="9"/>
  <c r="AE146" i="9"/>
  <c r="AJ146" i="9"/>
  <c r="F147" i="9"/>
  <c r="J147" i="9"/>
  <c r="U147" i="9"/>
  <c r="AA147" i="9"/>
  <c r="AB147" i="9"/>
  <c r="AE147" i="9"/>
  <c r="AJ147" i="9"/>
  <c r="AL147" i="9" s="1"/>
  <c r="F148" i="9"/>
  <c r="J148" i="9"/>
  <c r="K152" i="9" s="1"/>
  <c r="AA148" i="9"/>
  <c r="AB148" i="9"/>
  <c r="AG148" i="9"/>
  <c r="F149" i="9"/>
  <c r="AB149" i="9"/>
  <c r="F152" i="9"/>
  <c r="L152" i="9"/>
  <c r="U152" i="9"/>
  <c r="D152" i="9" s="1"/>
  <c r="AA152" i="9"/>
  <c r="AB152" i="9"/>
  <c r="AC152" i="9" s="1"/>
  <c r="AD152" i="9" s="1"/>
  <c r="AE152" i="9"/>
  <c r="AG152" i="9"/>
  <c r="BZ80" i="20" s="1"/>
  <c r="F153" i="9"/>
  <c r="K153" i="9"/>
  <c r="N153" i="9"/>
  <c r="U153" i="9"/>
  <c r="D160" i="9" s="1"/>
  <c r="H160" i="9" s="1"/>
  <c r="R160" i="9" s="1"/>
  <c r="AA153" i="9"/>
  <c r="AB153" i="9"/>
  <c r="AE153" i="9"/>
  <c r="AC153" i="9"/>
  <c r="AD153" i="9" s="1"/>
  <c r="AG153" i="9"/>
  <c r="CA80" i="20" s="1"/>
  <c r="F154" i="9"/>
  <c r="K154" i="9"/>
  <c r="L154" i="9"/>
  <c r="N154" i="9"/>
  <c r="U154" i="9"/>
  <c r="AA154" i="9"/>
  <c r="AB154" i="9"/>
  <c r="AE154" i="9"/>
  <c r="AG154" i="9"/>
  <c r="AJ155" i="9" s="1"/>
  <c r="F155" i="9"/>
  <c r="U155" i="9"/>
  <c r="AA155" i="9"/>
  <c r="AB155" i="9"/>
  <c r="AE155" i="9"/>
  <c r="F156" i="9"/>
  <c r="AB156" i="9"/>
  <c r="F159" i="9"/>
  <c r="L159" i="9"/>
  <c r="U159" i="9"/>
  <c r="AA159" i="9"/>
  <c r="AB159" i="9"/>
  <c r="AC159" i="9" s="1"/>
  <c r="AD159" i="9" s="1"/>
  <c r="AE159" i="9"/>
  <c r="AJ159" i="9"/>
  <c r="F160" i="9"/>
  <c r="K160" i="9"/>
  <c r="L160" i="9"/>
  <c r="V159" i="10" s="1"/>
  <c r="N160" i="9"/>
  <c r="U160" i="9"/>
  <c r="AA160" i="9"/>
  <c r="AB160" i="9"/>
  <c r="AE160" i="9"/>
  <c r="AJ160" i="9"/>
  <c r="F161" i="9"/>
  <c r="K161" i="9"/>
  <c r="L161" i="9"/>
  <c r="CG81" i="20" s="1"/>
  <c r="N161" i="9"/>
  <c r="U161" i="9"/>
  <c r="AA161" i="9"/>
  <c r="AB161" i="9"/>
  <c r="AC161" i="9" s="1"/>
  <c r="AD161" i="9" s="1"/>
  <c r="AE161" i="9"/>
  <c r="AJ161" i="9"/>
  <c r="AB162" i="9"/>
  <c r="AB163" i="9"/>
  <c r="AB166" i="9"/>
  <c r="K167" i="9"/>
  <c r="AB167" i="9"/>
  <c r="K168" i="9"/>
  <c r="AB168" i="9"/>
  <c r="AA169" i="9"/>
  <c r="AB169" i="9"/>
  <c r="AA170" i="9"/>
  <c r="AB170" i="9"/>
  <c r="G9" i="77"/>
  <c r="G10" i="77"/>
  <c r="G11" i="77"/>
  <c r="G12" i="77"/>
  <c r="G13" i="77"/>
  <c r="G16" i="77"/>
  <c r="G17" i="77"/>
  <c r="G18" i="77"/>
  <c r="G19" i="77"/>
  <c r="G20" i="77"/>
  <c r="G23" i="77"/>
  <c r="G24" i="77"/>
  <c r="G25" i="77"/>
  <c r="G26" i="77"/>
  <c r="G27" i="77"/>
  <c r="G30" i="77"/>
  <c r="G31" i="77"/>
  <c r="G32" i="77"/>
  <c r="G33" i="77"/>
  <c r="G34" i="77"/>
  <c r="G37" i="77"/>
  <c r="G38" i="77"/>
  <c r="G39" i="77"/>
  <c r="G40" i="77"/>
  <c r="G41" i="77"/>
  <c r="G44" i="77"/>
  <c r="R44" i="77"/>
  <c r="T51" i="77"/>
  <c r="AA44" i="77"/>
  <c r="G45" i="77"/>
  <c r="R45" i="77"/>
  <c r="AA45" i="77"/>
  <c r="G46" i="77"/>
  <c r="N53" i="77"/>
  <c r="AA46" i="77"/>
  <c r="G47" i="77"/>
  <c r="R47" i="77"/>
  <c r="AA47" i="77"/>
  <c r="G48" i="77"/>
  <c r="F51" i="77"/>
  <c r="G51" i="77"/>
  <c r="R51" i="77"/>
  <c r="AG51" i="77"/>
  <c r="AH51" i="77"/>
  <c r="BG51" i="77"/>
  <c r="BK51" i="77"/>
  <c r="CA51" i="77"/>
  <c r="F52" i="77"/>
  <c r="G52" i="77"/>
  <c r="O52" i="77"/>
  <c r="AG52" i="77"/>
  <c r="AH52" i="77"/>
  <c r="AI52" i="77" s="1"/>
  <c r="AK52" i="77" s="1"/>
  <c r="BO52" i="77" s="1"/>
  <c r="BG52" i="77"/>
  <c r="BK52" i="77"/>
  <c r="CA52" i="77"/>
  <c r="F53" i="77"/>
  <c r="G53" i="77"/>
  <c r="AG53" i="77"/>
  <c r="AI53" i="77" s="1"/>
  <c r="AK53" i="77" s="1"/>
  <c r="BO53" i="77" s="1"/>
  <c r="AH53" i="77"/>
  <c r="BG53" i="77"/>
  <c r="BK53" i="77"/>
  <c r="CA53" i="77"/>
  <c r="F54" i="77"/>
  <c r="G54" i="77"/>
  <c r="AG54" i="77"/>
  <c r="AH54" i="77"/>
  <c r="BE54" i="77"/>
  <c r="BI54" i="77"/>
  <c r="BK54" i="77" s="1"/>
  <c r="BM54" i="77"/>
  <c r="BU54" i="77"/>
  <c r="D55" i="77"/>
  <c r="G55" i="77"/>
  <c r="J55" i="77"/>
  <c r="BF55" i="77"/>
  <c r="BJ55" i="77"/>
  <c r="BN55" i="77"/>
  <c r="CA55" i="77"/>
  <c r="E58" i="77"/>
  <c r="F58" i="77"/>
  <c r="K58" i="77"/>
  <c r="AG58" i="77"/>
  <c r="AH58" i="77"/>
  <c r="AO58" i="77"/>
  <c r="AQ58" i="77" s="1"/>
  <c r="AS58" i="77"/>
  <c r="AU58" i="77" s="1"/>
  <c r="BA58" i="77"/>
  <c r="BB65" i="77" s="1"/>
  <c r="BF58" i="77"/>
  <c r="BG58" i="77"/>
  <c r="BJ58" i="77"/>
  <c r="BK58" i="77"/>
  <c r="BN58" i="77"/>
  <c r="CA58" i="77"/>
  <c r="E59" i="77"/>
  <c r="F59" i="77"/>
  <c r="K59" i="77"/>
  <c r="AG59" i="77"/>
  <c r="AH59" i="77"/>
  <c r="AQ59" i="77"/>
  <c r="AU59" i="77"/>
  <c r="BF59" i="77"/>
  <c r="BG59" i="77"/>
  <c r="BJ59" i="77"/>
  <c r="BK59" i="77"/>
  <c r="BN59" i="77"/>
  <c r="CA59" i="77"/>
  <c r="E60" i="77"/>
  <c r="F60" i="77"/>
  <c r="K60" i="77"/>
  <c r="AG60" i="77"/>
  <c r="AH60" i="77"/>
  <c r="AI60" i="77" s="1"/>
  <c r="AK60" i="77" s="1"/>
  <c r="AQ60" i="77"/>
  <c r="AU60" i="77"/>
  <c r="BF60" i="77"/>
  <c r="BG60" i="77"/>
  <c r="BJ60" i="77"/>
  <c r="BK60" i="77"/>
  <c r="BN60" i="77"/>
  <c r="CA60" i="77"/>
  <c r="D61" i="77"/>
  <c r="J61" i="77"/>
  <c r="K61" i="77" s="1"/>
  <c r="AH61" i="77"/>
  <c r="BE61" i="77"/>
  <c r="BG61" i="77" s="1"/>
  <c r="BI61" i="77"/>
  <c r="BJ61" i="77" s="1"/>
  <c r="BM61" i="77"/>
  <c r="BU61" i="77"/>
  <c r="AG62" i="77"/>
  <c r="AO62" i="77"/>
  <c r="AS62" i="77"/>
  <c r="BF62" i="77"/>
  <c r="BG62" i="77"/>
  <c r="BJ62" i="77"/>
  <c r="BK62" i="77"/>
  <c r="BN62" i="77"/>
  <c r="CA62" i="77"/>
  <c r="E65" i="77"/>
  <c r="F65" i="77"/>
  <c r="G65" i="77"/>
  <c r="K65" i="77"/>
  <c r="AG65" i="77"/>
  <c r="AH65" i="77"/>
  <c r="AO65" i="77"/>
  <c r="AS65" i="77"/>
  <c r="AU65" i="77" s="1"/>
  <c r="BF65" i="77"/>
  <c r="BG65" i="77"/>
  <c r="BJ65" i="77"/>
  <c r="BK65" i="77"/>
  <c r="BN65" i="77"/>
  <c r="BV65" i="77"/>
  <c r="CA65" i="77"/>
  <c r="E66" i="77"/>
  <c r="F66" i="77"/>
  <c r="G66" i="77"/>
  <c r="K66" i="77"/>
  <c r="AG66" i="77"/>
  <c r="AH66" i="77"/>
  <c r="AP66" i="77"/>
  <c r="AQ66" i="77"/>
  <c r="AT66" i="77"/>
  <c r="AU66" i="77"/>
  <c r="BB66" i="77"/>
  <c r="BF66" i="77"/>
  <c r="BG66" i="77"/>
  <c r="BJ66" i="77"/>
  <c r="BK66" i="77"/>
  <c r="BN66" i="77"/>
  <c r="BV66" i="77"/>
  <c r="CA66" i="77"/>
  <c r="E67" i="77"/>
  <c r="F67" i="77"/>
  <c r="G67" i="77"/>
  <c r="K67" i="77"/>
  <c r="AG67" i="77"/>
  <c r="AH67" i="77"/>
  <c r="AP67" i="77"/>
  <c r="AQ67" i="77"/>
  <c r="AT67" i="77"/>
  <c r="AU67" i="77"/>
  <c r="BB67" i="77"/>
  <c r="BF67" i="77"/>
  <c r="BG67" i="77"/>
  <c r="BJ67" i="77"/>
  <c r="BK67" i="77"/>
  <c r="BN67" i="77"/>
  <c r="BV67" i="77"/>
  <c r="CA67" i="77"/>
  <c r="G68" i="77"/>
  <c r="J68" i="77"/>
  <c r="K75" i="77" s="1"/>
  <c r="AH68" i="77"/>
  <c r="BA68" i="77"/>
  <c r="BE68" i="77"/>
  <c r="BF75" i="77" s="1"/>
  <c r="BI68" i="77"/>
  <c r="BK68" i="77" s="1"/>
  <c r="BM68" i="77"/>
  <c r="BU68" i="77"/>
  <c r="BV68" i="77" s="1"/>
  <c r="D69" i="77"/>
  <c r="AH31" i="94" s="1"/>
  <c r="G69" i="77"/>
  <c r="K69" i="77"/>
  <c r="AU69" i="77"/>
  <c r="BB69" i="77"/>
  <c r="BF69" i="77"/>
  <c r="BJ69" i="77"/>
  <c r="BK69" i="77"/>
  <c r="BN69" i="77"/>
  <c r="BV69" i="77"/>
  <c r="CA69" i="77"/>
  <c r="E72" i="77"/>
  <c r="F72" i="77"/>
  <c r="G72" i="77"/>
  <c r="K72" i="77"/>
  <c r="AG72" i="77"/>
  <c r="AH72" i="77"/>
  <c r="AQ72" i="77"/>
  <c r="AU72" i="77"/>
  <c r="BB72" i="77"/>
  <c r="BF72" i="77"/>
  <c r="BG72" i="77"/>
  <c r="BJ72" i="77"/>
  <c r="BK72" i="77"/>
  <c r="BN72" i="77"/>
  <c r="BV72" i="77"/>
  <c r="CA72" i="77"/>
  <c r="E73" i="77"/>
  <c r="F73" i="77"/>
  <c r="G73" i="77"/>
  <c r="K73" i="77"/>
  <c r="AG73" i="77"/>
  <c r="AH73" i="77"/>
  <c r="AP73" i="77"/>
  <c r="AQ73" i="77"/>
  <c r="AT73" i="77"/>
  <c r="AU73" i="77"/>
  <c r="BB73" i="77"/>
  <c r="BF73" i="77"/>
  <c r="BG73" i="77"/>
  <c r="BJ73" i="77"/>
  <c r="BK73" i="77"/>
  <c r="BN73" i="77"/>
  <c r="BV73" i="77"/>
  <c r="CA73" i="77"/>
  <c r="E74" i="77"/>
  <c r="F74" i="77"/>
  <c r="G74" i="77"/>
  <c r="K74" i="77"/>
  <c r="AG74" i="77"/>
  <c r="AH74" i="77"/>
  <c r="AP74" i="77"/>
  <c r="AQ74" i="77"/>
  <c r="AT74" i="77"/>
  <c r="AU74" i="77"/>
  <c r="BB74" i="77"/>
  <c r="BF74" i="77"/>
  <c r="BG74" i="77"/>
  <c r="BJ74" i="77"/>
  <c r="BK74" i="77"/>
  <c r="BN74" i="77"/>
  <c r="BV74" i="77"/>
  <c r="CA74" i="77"/>
  <c r="F75" i="77"/>
  <c r="G75" i="77"/>
  <c r="AE75" i="77"/>
  <c r="AG75" i="77"/>
  <c r="AH75" i="77"/>
  <c r="AS75" i="77"/>
  <c r="AU75" i="77" s="1"/>
  <c r="BA75" i="77"/>
  <c r="BB75" i="77" s="1"/>
  <c r="BE75" i="77"/>
  <c r="BI75" i="77"/>
  <c r="BJ82" i="77" s="1"/>
  <c r="BM75" i="77"/>
  <c r="D76" i="77"/>
  <c r="G76" i="77"/>
  <c r="J76" i="77"/>
  <c r="AU76" i="77" s="1"/>
  <c r="V76" i="77"/>
  <c r="AP76" i="77"/>
  <c r="AT76" i="77"/>
  <c r="BB76" i="77"/>
  <c r="BF76" i="77"/>
  <c r="BJ76" i="77"/>
  <c r="BN76" i="77"/>
  <c r="BV76" i="77"/>
  <c r="CA76" i="77"/>
  <c r="E79" i="77"/>
  <c r="F79" i="77"/>
  <c r="G79" i="77"/>
  <c r="CE50" i="20" s="1"/>
  <c r="K79" i="77"/>
  <c r="AE79" i="77"/>
  <c r="AG79" i="77"/>
  <c r="AH79" i="77"/>
  <c r="AI79" i="77" s="1"/>
  <c r="AK79" i="77" s="1"/>
  <c r="AP79" i="77"/>
  <c r="AQ79" i="77"/>
  <c r="AT79" i="77"/>
  <c r="AU79" i="77"/>
  <c r="AY79" i="77"/>
  <c r="BB79" i="77"/>
  <c r="BF79" i="77"/>
  <c r="BG79" i="77"/>
  <c r="BJ79" i="77"/>
  <c r="BK79" i="77"/>
  <c r="BN79" i="77"/>
  <c r="BS79" i="77"/>
  <c r="BV79" i="77"/>
  <c r="CA79" i="77"/>
  <c r="E80" i="77"/>
  <c r="F80" i="77"/>
  <c r="G80" i="77"/>
  <c r="CF50" i="20" s="1"/>
  <c r="K80" i="77"/>
  <c r="AE80" i="77"/>
  <c r="AG80" i="77"/>
  <c r="AH80" i="77"/>
  <c r="AP80" i="77"/>
  <c r="AQ80" i="77"/>
  <c r="AT80" i="77"/>
  <c r="AU80" i="77"/>
  <c r="AY80" i="77"/>
  <c r="BB80" i="77"/>
  <c r="BF80" i="77"/>
  <c r="BG80" i="77"/>
  <c r="BJ80" i="77"/>
  <c r="BK80" i="77"/>
  <c r="BS80" i="77"/>
  <c r="BV80" i="77"/>
  <c r="E81" i="77"/>
  <c r="F81" i="77"/>
  <c r="G81" i="77"/>
  <c r="CG50" i="20" s="1"/>
  <c r="K81" i="77"/>
  <c r="AE81" i="77"/>
  <c r="AG81" i="77"/>
  <c r="AH81" i="77"/>
  <c r="AI81" i="77" s="1"/>
  <c r="AK81" i="77" s="1"/>
  <c r="BO81" i="77" s="1"/>
  <c r="BF81" i="77"/>
  <c r="AC83" i="77"/>
  <c r="AL12" i="52"/>
  <c r="AP12" i="52"/>
  <c r="AL13" i="52"/>
  <c r="AP13" i="52"/>
  <c r="AL14" i="52"/>
  <c r="AP14" i="52"/>
  <c r="AL15" i="52"/>
  <c r="AP15" i="52"/>
  <c r="AL16" i="52"/>
  <c r="AP16" i="52"/>
  <c r="AL19" i="52"/>
  <c r="AP19" i="52"/>
  <c r="AR19" i="52"/>
  <c r="AB19" i="52" s="1"/>
  <c r="AL20" i="52"/>
  <c r="AP20" i="52"/>
  <c r="AR20" i="52"/>
  <c r="AJ20" i="52" s="1"/>
  <c r="AL21" i="52"/>
  <c r="AP21" i="52"/>
  <c r="AO21" i="52" s="1"/>
  <c r="AR21" i="52"/>
  <c r="AJ21" i="52" s="1"/>
  <c r="L22" i="52"/>
  <c r="Z22" i="52"/>
  <c r="AD22" i="52"/>
  <c r="AH22" i="52"/>
  <c r="AP22" i="52"/>
  <c r="AR22" i="52"/>
  <c r="AL23" i="52"/>
  <c r="M26" i="52"/>
  <c r="AA26" i="52"/>
  <c r="AE26" i="52"/>
  <c r="AI26" i="52"/>
  <c r="AL26" i="52"/>
  <c r="AP26" i="52"/>
  <c r="AR26" i="52"/>
  <c r="AJ26" i="52" s="1"/>
  <c r="M27" i="52"/>
  <c r="AA27" i="52"/>
  <c r="AE27" i="52"/>
  <c r="AI27" i="52"/>
  <c r="AL27" i="52"/>
  <c r="AP27" i="52"/>
  <c r="AR27" i="52"/>
  <c r="N27" i="52" s="1"/>
  <c r="M28" i="52"/>
  <c r="AA28" i="52"/>
  <c r="AE28" i="52"/>
  <c r="AI28" i="52"/>
  <c r="AL28" i="52"/>
  <c r="AP28" i="52"/>
  <c r="AO28" i="52" s="1"/>
  <c r="AR28" i="52"/>
  <c r="L29" i="52"/>
  <c r="Z29" i="52"/>
  <c r="AD29" i="52"/>
  <c r="AH29" i="52"/>
  <c r="AP29" i="52"/>
  <c r="AR29" i="52"/>
  <c r="M30" i="52"/>
  <c r="AA30" i="52"/>
  <c r="AE30" i="52"/>
  <c r="AI30" i="52"/>
  <c r="AL30" i="52"/>
  <c r="AR30" i="52"/>
  <c r="AF30" i="52" s="1"/>
  <c r="M33" i="52"/>
  <c r="AA33" i="52"/>
  <c r="AE33" i="52"/>
  <c r="AI33" i="52"/>
  <c r="AL33" i="52"/>
  <c r="AP33" i="52"/>
  <c r="AR33" i="52"/>
  <c r="AF33" i="52" s="1"/>
  <c r="M34" i="52"/>
  <c r="AA34" i="52"/>
  <c r="AE34" i="52"/>
  <c r="AI34" i="52"/>
  <c r="AL34" i="52"/>
  <c r="AP34" i="52"/>
  <c r="AR34" i="52"/>
  <c r="AB34" i="52" s="1"/>
  <c r="M35" i="52"/>
  <c r="AA35" i="52"/>
  <c r="AE35" i="52"/>
  <c r="AI35" i="52"/>
  <c r="AL35" i="52"/>
  <c r="AP35" i="52"/>
  <c r="AR35" i="52"/>
  <c r="AF35" i="52" s="1"/>
  <c r="L36" i="52"/>
  <c r="Z36" i="52"/>
  <c r="AD36" i="52"/>
  <c r="AH36" i="52"/>
  <c r="AI36" i="52" s="1"/>
  <c r="AP36" i="52"/>
  <c r="AR36" i="52"/>
  <c r="AF36" i="52" s="1"/>
  <c r="M37" i="52"/>
  <c r="R37" i="52"/>
  <c r="F34" i="52" s="1"/>
  <c r="AA37" i="52"/>
  <c r="AE37" i="52"/>
  <c r="AI37" i="52"/>
  <c r="AL37" i="52"/>
  <c r="M40" i="52"/>
  <c r="AA40" i="52"/>
  <c r="AE40" i="52"/>
  <c r="AI40" i="52"/>
  <c r="AL40" i="52"/>
  <c r="AP40" i="52"/>
  <c r="AR40" i="52"/>
  <c r="AJ40" i="52" s="1"/>
  <c r="N40" i="52"/>
  <c r="M41" i="52"/>
  <c r="AA41" i="52"/>
  <c r="AE41" i="52"/>
  <c r="AI41" i="52"/>
  <c r="AL41" i="52"/>
  <c r="AP41" i="52"/>
  <c r="AO41" i="52" s="1"/>
  <c r="AR41" i="52"/>
  <c r="N41" i="52" s="1"/>
  <c r="M42" i="52"/>
  <c r="AA42" i="52"/>
  <c r="AE42" i="52"/>
  <c r="AI42" i="52"/>
  <c r="AL42" i="52"/>
  <c r="AP42" i="52"/>
  <c r="AR42" i="52"/>
  <c r="AF42" i="52" s="1"/>
  <c r="L43" i="52"/>
  <c r="M43" i="52" s="1"/>
  <c r="Z43" i="52"/>
  <c r="AD43" i="52"/>
  <c r="AH43" i="52"/>
  <c r="AP43" i="52"/>
  <c r="AR43" i="52"/>
  <c r="M44" i="52"/>
  <c r="R44" i="52"/>
  <c r="F41" i="52" s="1"/>
  <c r="AA44" i="52"/>
  <c r="AE44" i="52"/>
  <c r="AI44" i="52"/>
  <c r="AL44" i="52"/>
  <c r="M47" i="52"/>
  <c r="AA47" i="52"/>
  <c r="AE47" i="52"/>
  <c r="AI47" i="52"/>
  <c r="AL47" i="52"/>
  <c r="AM47" i="52" s="1"/>
  <c r="AP47" i="52"/>
  <c r="AR47" i="52"/>
  <c r="AB47" i="52" s="1"/>
  <c r="M48" i="52"/>
  <c r="AA48" i="52"/>
  <c r="AE48" i="52"/>
  <c r="AI48" i="52"/>
  <c r="AL48" i="52"/>
  <c r="AP48" i="52"/>
  <c r="AR48" i="52"/>
  <c r="N48" i="52" s="1"/>
  <c r="M49" i="52"/>
  <c r="AA49" i="52"/>
  <c r="AE49" i="52"/>
  <c r="AI49" i="52"/>
  <c r="AL49" i="52"/>
  <c r="AP49" i="52"/>
  <c r="AR49" i="52"/>
  <c r="L50" i="52"/>
  <c r="M50" i="52" s="1"/>
  <c r="Z50" i="52"/>
  <c r="AD50" i="52"/>
  <c r="AH50" i="52"/>
  <c r="AP50" i="52"/>
  <c r="D51" i="52"/>
  <c r="M51" i="52"/>
  <c r="R51" i="52"/>
  <c r="F49" i="52" s="1"/>
  <c r="AA51" i="52"/>
  <c r="AE51" i="52"/>
  <c r="AI51" i="52"/>
  <c r="AL51" i="52"/>
  <c r="AM58" i="52" s="1"/>
  <c r="M54" i="52"/>
  <c r="AA54" i="52"/>
  <c r="AE54" i="52"/>
  <c r="AI54" i="52"/>
  <c r="AL54" i="52"/>
  <c r="AP54" i="52"/>
  <c r="AR54" i="52"/>
  <c r="N54" i="52" s="1"/>
  <c r="M55" i="52"/>
  <c r="AA55" i="52"/>
  <c r="AE55" i="52"/>
  <c r="AI55" i="52"/>
  <c r="AL55" i="52"/>
  <c r="AP55" i="52"/>
  <c r="AR55" i="52"/>
  <c r="AF55" i="52" s="1"/>
  <c r="M56" i="52"/>
  <c r="AA56" i="52"/>
  <c r="AE56" i="52"/>
  <c r="AI56" i="52"/>
  <c r="AL56" i="52"/>
  <c r="AP56" i="52"/>
  <c r="AR56" i="52"/>
  <c r="N56" i="52" s="1"/>
  <c r="L57" i="52"/>
  <c r="Z57" i="52"/>
  <c r="AD57" i="52"/>
  <c r="AH57" i="52"/>
  <c r="AP57" i="52"/>
  <c r="AR57" i="52"/>
  <c r="M58" i="52"/>
  <c r="R58" i="52"/>
  <c r="F56" i="52" s="1"/>
  <c r="AA58" i="52"/>
  <c r="AE58" i="52"/>
  <c r="AI58" i="52"/>
  <c r="AL58" i="52"/>
  <c r="L61" i="52"/>
  <c r="M68" i="52" s="1"/>
  <c r="AA61" i="52"/>
  <c r="AE61" i="52"/>
  <c r="AI61" i="52"/>
  <c r="AP61" i="52"/>
  <c r="AR61" i="52"/>
  <c r="AB61" i="52" s="1"/>
  <c r="L62" i="52"/>
  <c r="AA62" i="52"/>
  <c r="AE62" i="52"/>
  <c r="AI62" i="52"/>
  <c r="AP62" i="52"/>
  <c r="AR62" i="52"/>
  <c r="AF62" i="52" s="1"/>
  <c r="M63" i="52"/>
  <c r="AA63" i="52"/>
  <c r="AE63" i="52"/>
  <c r="AI63" i="52"/>
  <c r="AL63" i="52"/>
  <c r="Z64" i="52"/>
  <c r="AD64" i="52"/>
  <c r="AE64" i="52" s="1"/>
  <c r="AH64" i="52"/>
  <c r="AP64" i="52"/>
  <c r="AR64" i="52"/>
  <c r="M65" i="52"/>
  <c r="R65" i="52"/>
  <c r="F62" i="52" s="1"/>
  <c r="AA65" i="52"/>
  <c r="AE65" i="52"/>
  <c r="AI65" i="52"/>
  <c r="AL65" i="52"/>
  <c r="AA68" i="52"/>
  <c r="AE68" i="52"/>
  <c r="AI68" i="52"/>
  <c r="AL68" i="52"/>
  <c r="AP68" i="52"/>
  <c r="AR68" i="52"/>
  <c r="AB68" i="52" s="1"/>
  <c r="AA69" i="52"/>
  <c r="AE69" i="52"/>
  <c r="AI69" i="52"/>
  <c r="AL69" i="52"/>
  <c r="AP69" i="52"/>
  <c r="AR69" i="52"/>
  <c r="M70" i="52"/>
  <c r="AA70" i="52"/>
  <c r="AE70" i="52"/>
  <c r="AI70" i="52"/>
  <c r="AL70" i="52"/>
  <c r="AN70" i="52" s="1"/>
  <c r="AP70" i="52"/>
  <c r="AR70" i="52"/>
  <c r="AB70" i="52" s="1"/>
  <c r="L71" i="52"/>
  <c r="Z71" i="52"/>
  <c r="AD71" i="52"/>
  <c r="AH71" i="52"/>
  <c r="AI71" i="52" s="1"/>
  <c r="AP71" i="52"/>
  <c r="AR71" i="52"/>
  <c r="M72" i="52"/>
  <c r="AA72" i="52"/>
  <c r="AE72" i="52"/>
  <c r="AI72" i="52"/>
  <c r="AL72" i="52"/>
  <c r="AP72" i="52"/>
  <c r="M75" i="52"/>
  <c r="AA75" i="52"/>
  <c r="AE75" i="52"/>
  <c r="AI75" i="52"/>
  <c r="AL75" i="52"/>
  <c r="AP75" i="52"/>
  <c r="AR75" i="52"/>
  <c r="N75" i="52" s="1"/>
  <c r="M76" i="52"/>
  <c r="AA76" i="52"/>
  <c r="AE76" i="52"/>
  <c r="AI76" i="52"/>
  <c r="AL76" i="52"/>
  <c r="AP76" i="52"/>
  <c r="AR76" i="52"/>
  <c r="AF76" i="52" s="1"/>
  <c r="M77" i="52"/>
  <c r="AA77" i="52"/>
  <c r="AE77" i="52"/>
  <c r="AI77" i="52"/>
  <c r="AL77" i="52"/>
  <c r="AN77" i="52" s="1"/>
  <c r="AP77" i="52"/>
  <c r="AR77" i="52"/>
  <c r="AB77" i="52" s="1"/>
  <c r="L78" i="52"/>
  <c r="M78" i="52" s="1"/>
  <c r="Z78" i="52"/>
  <c r="AD78" i="52"/>
  <c r="AE85" i="52" s="1"/>
  <c r="AP78" i="52"/>
  <c r="AR78" i="52"/>
  <c r="D79" i="52"/>
  <c r="D75" i="52" s="1"/>
  <c r="M79" i="52"/>
  <c r="AA79" i="52"/>
  <c r="AE79" i="52"/>
  <c r="AH79" i="52"/>
  <c r="M82" i="52"/>
  <c r="AA82" i="52"/>
  <c r="AE82" i="52"/>
  <c r="AI82" i="52"/>
  <c r="AL82" i="52"/>
  <c r="AM82" i="52" s="1"/>
  <c r="AP82" i="52"/>
  <c r="AR82" i="52"/>
  <c r="AB82" i="52" s="1"/>
  <c r="M83" i="52"/>
  <c r="AA83" i="52"/>
  <c r="AE83" i="52"/>
  <c r="AI83" i="52"/>
  <c r="AL83" i="52"/>
  <c r="AR83" i="52"/>
  <c r="AF83" i="52" s="1"/>
  <c r="M84" i="52"/>
  <c r="AA84" i="52"/>
  <c r="AE84" i="52"/>
  <c r="AI84" i="52"/>
  <c r="AL84" i="52"/>
  <c r="AR84" i="52"/>
  <c r="AJ84" i="52" s="1"/>
  <c r="L85" i="52"/>
  <c r="Z85" i="52"/>
  <c r="AD85" i="52"/>
  <c r="AH85" i="52"/>
  <c r="AR85" i="52"/>
  <c r="M86" i="52"/>
  <c r="R86" i="52"/>
  <c r="AA86" i="52"/>
  <c r="AE86" i="52"/>
  <c r="B88" i="52"/>
  <c r="M89" i="52"/>
  <c r="AA89" i="52"/>
  <c r="AE89" i="52"/>
  <c r="AI89" i="52"/>
  <c r="AL89" i="52"/>
  <c r="AP89" i="52"/>
  <c r="AR89" i="52"/>
  <c r="AB89" i="52" s="1"/>
  <c r="M90" i="52"/>
  <c r="AA90" i="52"/>
  <c r="AE90" i="52"/>
  <c r="AI90" i="52"/>
  <c r="AL90" i="52"/>
  <c r="AP90" i="52"/>
  <c r="AR90" i="52"/>
  <c r="M91" i="52"/>
  <c r="Q91" i="52"/>
  <c r="T91" i="52" s="1"/>
  <c r="AA91" i="52"/>
  <c r="AE91" i="52"/>
  <c r="AI91" i="52"/>
  <c r="AL91" i="52"/>
  <c r="AP91" i="52"/>
  <c r="AR91" i="52"/>
  <c r="N91" i="52" s="1"/>
  <c r="L92" i="52"/>
  <c r="M92" i="52" s="1"/>
  <c r="Z92" i="52"/>
  <c r="AA92" i="52" s="1"/>
  <c r="AD92" i="52"/>
  <c r="AE92" i="52" s="1"/>
  <c r="AH92" i="52"/>
  <c r="AI92" i="52" s="1"/>
  <c r="AP92" i="52"/>
  <c r="M93" i="52"/>
  <c r="R93" i="52"/>
  <c r="F90" i="52" s="1"/>
  <c r="AA93" i="52"/>
  <c r="AE93" i="52"/>
  <c r="AI93" i="52"/>
  <c r="AL93" i="52"/>
  <c r="B95" i="52"/>
  <c r="M96" i="52"/>
  <c r="AA96" i="52"/>
  <c r="AE96" i="52"/>
  <c r="AI96" i="52"/>
  <c r="AL96" i="52"/>
  <c r="AP96" i="52"/>
  <c r="AR96" i="52"/>
  <c r="AF96" i="52" s="1"/>
  <c r="M97" i="52"/>
  <c r="AA97" i="52"/>
  <c r="AE97" i="52"/>
  <c r="AI97" i="52"/>
  <c r="AL97" i="52"/>
  <c r="AP97" i="52"/>
  <c r="AR97" i="52"/>
  <c r="M98" i="52"/>
  <c r="Q98" i="52"/>
  <c r="T98" i="52" s="1"/>
  <c r="AA98" i="52"/>
  <c r="AE98" i="52"/>
  <c r="AH98" i="52"/>
  <c r="AR98" i="52"/>
  <c r="AB98" i="52" s="1"/>
  <c r="L99" i="52"/>
  <c r="Z99" i="52"/>
  <c r="AD99" i="52"/>
  <c r="AP99" i="52"/>
  <c r="AR99" i="52"/>
  <c r="M100" i="52"/>
  <c r="AA100" i="52"/>
  <c r="AE100" i="52"/>
  <c r="AH100" i="52"/>
  <c r="B102" i="52"/>
  <c r="M103" i="52"/>
  <c r="AA103" i="52"/>
  <c r="AE103" i="52"/>
  <c r="AI103" i="52"/>
  <c r="AL103" i="52"/>
  <c r="AM103" i="52" s="1"/>
  <c r="AP103" i="52"/>
  <c r="AR103" i="52"/>
  <c r="L104" i="52"/>
  <c r="AA104" i="52"/>
  <c r="AE104" i="52"/>
  <c r="AH104" i="52"/>
  <c r="AR104" i="52"/>
  <c r="N104" i="52" s="1"/>
  <c r="M105" i="52"/>
  <c r="AA105" i="52"/>
  <c r="AE105" i="52"/>
  <c r="AL105" i="52"/>
  <c r="AP105" i="52"/>
  <c r="AR105" i="52"/>
  <c r="Z106" i="52"/>
  <c r="AD106" i="52"/>
  <c r="AP106" i="52"/>
  <c r="AR106" i="52"/>
  <c r="AB106" i="52" s="1"/>
  <c r="M107" i="52"/>
  <c r="AA107" i="52"/>
  <c r="AE107" i="52"/>
  <c r="L110" i="52"/>
  <c r="L113" i="52" s="1"/>
  <c r="Z110" i="52"/>
  <c r="AD110" i="52"/>
  <c r="AD113" i="52" s="1"/>
  <c r="AE113" i="52" s="1"/>
  <c r="AH110" i="52"/>
  <c r="AI110" i="52" s="1"/>
  <c r="AP110" i="52"/>
  <c r="AR110" i="52"/>
  <c r="AA111" i="52"/>
  <c r="AE111" i="52"/>
  <c r="AL111" i="52"/>
  <c r="AP111" i="52"/>
  <c r="AR111" i="52"/>
  <c r="N111" i="52" s="1"/>
  <c r="M112" i="52"/>
  <c r="AA112" i="52"/>
  <c r="AE112" i="52"/>
  <c r="AI112" i="52"/>
  <c r="AL112" i="52"/>
  <c r="AP112" i="52"/>
  <c r="AR112" i="52"/>
  <c r="N112" i="52" s="1"/>
  <c r="AP113" i="52"/>
  <c r="AR113" i="52"/>
  <c r="M114" i="52"/>
  <c r="R114" i="52"/>
  <c r="F110" i="52" s="1"/>
  <c r="AA114" i="52"/>
  <c r="AE114" i="52"/>
  <c r="AI114" i="52"/>
  <c r="B116" i="52"/>
  <c r="L117" i="52"/>
  <c r="Z117" i="52"/>
  <c r="Z120" i="52" s="1"/>
  <c r="AD117" i="52"/>
  <c r="AE117" i="52" s="1"/>
  <c r="AH117" i="52"/>
  <c r="AP117" i="52"/>
  <c r="AR117" i="52"/>
  <c r="M118" i="52"/>
  <c r="AA118" i="52"/>
  <c r="AE118" i="52"/>
  <c r="AI118" i="52"/>
  <c r="AL118" i="52"/>
  <c r="AP118" i="52"/>
  <c r="AR118" i="52"/>
  <c r="M119" i="52"/>
  <c r="AA119" i="52"/>
  <c r="AE119" i="52"/>
  <c r="AI119" i="52"/>
  <c r="AL119" i="52"/>
  <c r="AP119" i="52"/>
  <c r="AR119" i="52"/>
  <c r="AP120" i="52"/>
  <c r="AR120" i="52"/>
  <c r="M121" i="52"/>
  <c r="AA121" i="52"/>
  <c r="AE121" i="52"/>
  <c r="AI121" i="52"/>
  <c r="AH122" i="52"/>
  <c r="B123" i="52"/>
  <c r="AL124" i="52"/>
  <c r="AR124" i="52"/>
  <c r="AJ124" i="52" s="1"/>
  <c r="M125" i="52"/>
  <c r="AA125" i="52"/>
  <c r="AE125" i="52"/>
  <c r="AI125" i="52"/>
  <c r="AL125" i="52"/>
  <c r="AR125" i="52"/>
  <c r="M126" i="52"/>
  <c r="AA126" i="52"/>
  <c r="AE126" i="52"/>
  <c r="AI126" i="52"/>
  <c r="AL126" i="52"/>
  <c r="AR126" i="52"/>
  <c r="AB126" i="52" s="1"/>
  <c r="Z127" i="52"/>
  <c r="AD127" i="52"/>
  <c r="AH127" i="52"/>
  <c r="AR127" i="52"/>
  <c r="L128" i="52"/>
  <c r="R128" i="52"/>
  <c r="AA128" i="52"/>
  <c r="AE128" i="52"/>
  <c r="AI128" i="52"/>
  <c r="AH129" i="52"/>
  <c r="B130" i="52"/>
  <c r="M131" i="52"/>
  <c r="AA131" i="52"/>
  <c r="AE131" i="52"/>
  <c r="AI131" i="52"/>
  <c r="AR131" i="52"/>
  <c r="M132" i="52"/>
  <c r="AA132" i="52"/>
  <c r="AE132" i="52"/>
  <c r="AI132" i="52"/>
  <c r="AR132" i="52"/>
  <c r="AR133" i="52"/>
  <c r="R135" i="52"/>
  <c r="S135" i="52" s="1"/>
  <c r="M161" i="52"/>
  <c r="AH161" i="52"/>
  <c r="AI161" i="52"/>
  <c r="L162" i="52"/>
  <c r="M162" i="52"/>
  <c r="N162" i="52"/>
  <c r="O162" i="52"/>
  <c r="P162" i="52"/>
  <c r="R162" i="52"/>
  <c r="S175" i="52" s="1"/>
  <c r="S162" i="52"/>
  <c r="T162" i="52"/>
  <c r="AH162" i="52" s="1"/>
  <c r="U162" i="52"/>
  <c r="L163" i="52"/>
  <c r="M163" i="52"/>
  <c r="N163" i="52"/>
  <c r="O163" i="52"/>
  <c r="P163" i="52"/>
  <c r="R163" i="52"/>
  <c r="S163" i="52"/>
  <c r="AG163" i="52" s="1"/>
  <c r="T163" i="52"/>
  <c r="U163" i="52"/>
  <c r="AH163" i="52" s="1"/>
  <c r="V163" i="52"/>
  <c r="L164" i="52"/>
  <c r="M164" i="52"/>
  <c r="N164" i="52"/>
  <c r="O164" i="52"/>
  <c r="P164" i="52"/>
  <c r="R164" i="52"/>
  <c r="S164" i="52"/>
  <c r="T164" i="52"/>
  <c r="AG164" i="52" s="1"/>
  <c r="U164" i="52"/>
  <c r="V164" i="52"/>
  <c r="L165" i="52"/>
  <c r="M165" i="52"/>
  <c r="O165" i="52"/>
  <c r="P165" i="52"/>
  <c r="AD165" i="52" s="1"/>
  <c r="R165" i="52"/>
  <c r="S165" i="52"/>
  <c r="T165" i="52"/>
  <c r="U165" i="52"/>
  <c r="AI165" i="52" s="1"/>
  <c r="V165" i="52"/>
  <c r="R175" i="52"/>
  <c r="T179" i="52"/>
  <c r="U179" i="52"/>
  <c r="V179" i="52"/>
  <c r="R7" i="20"/>
  <c r="W7" i="20"/>
  <c r="AB7" i="20"/>
  <c r="AL7" i="20"/>
  <c r="AQ7" i="20"/>
  <c r="AV7" i="20"/>
  <c r="BA7" i="20"/>
  <c r="BF7" i="20"/>
  <c r="BK7" i="20"/>
  <c r="BP7" i="20"/>
  <c r="BU7" i="20"/>
  <c r="CY7" i="20"/>
  <c r="CY58" i="20" s="1"/>
  <c r="H8" i="20"/>
  <c r="M8" i="20" s="1"/>
  <c r="R8" i="20" s="1"/>
  <c r="W8" i="20" s="1"/>
  <c r="AB8" i="20" s="1"/>
  <c r="AG8" i="20" s="1"/>
  <c r="AL8" i="20" s="1"/>
  <c r="I8" i="20"/>
  <c r="N8" i="20" s="1"/>
  <c r="S8" i="20" s="1"/>
  <c r="X8" i="20" s="1"/>
  <c r="AC8" i="20" s="1"/>
  <c r="AH8" i="20" s="1"/>
  <c r="AM8" i="20" s="1"/>
  <c r="J8" i="20"/>
  <c r="O8" i="20" s="1"/>
  <c r="T8" i="20" s="1"/>
  <c r="Y8" i="20" s="1"/>
  <c r="AD8" i="20" s="1"/>
  <c r="AI8" i="20" s="1"/>
  <c r="AN8" i="20" s="1"/>
  <c r="K8" i="20"/>
  <c r="P8" i="20" s="1"/>
  <c r="U8" i="20" s="1"/>
  <c r="Z8" i="20" s="1"/>
  <c r="AE8" i="20" s="1"/>
  <c r="AJ8" i="20"/>
  <c r="AO8" i="20" s="1"/>
  <c r="CY8" i="20"/>
  <c r="CZ8" i="20" s="1"/>
  <c r="DA8" i="20" s="1"/>
  <c r="DB8" i="20" s="1"/>
  <c r="DC8" i="20" s="1"/>
  <c r="DD8" i="20" s="1"/>
  <c r="DE8" i="20" s="1"/>
  <c r="DF8" i="20" s="1"/>
  <c r="DG8" i="20" s="1"/>
  <c r="DH8" i="20" s="1"/>
  <c r="DI8" i="20" s="1"/>
  <c r="DJ8" i="20" s="1"/>
  <c r="DK8" i="20" s="1"/>
  <c r="DL8" i="20" s="1"/>
  <c r="DM8" i="20" s="1"/>
  <c r="DN8" i="20" s="1"/>
  <c r="DO8" i="20" s="1"/>
  <c r="DP8" i="20" s="1"/>
  <c r="DQ8" i="20" s="1"/>
  <c r="DR8" i="20" s="1"/>
  <c r="DS8" i="20" s="1"/>
  <c r="DT8" i="20" s="1"/>
  <c r="C10" i="20"/>
  <c r="D10" i="20"/>
  <c r="E10" i="20"/>
  <c r="F10" i="20"/>
  <c r="H10" i="20"/>
  <c r="I10" i="20"/>
  <c r="J10" i="20"/>
  <c r="K10" i="20"/>
  <c r="M10" i="20"/>
  <c r="N10" i="20"/>
  <c r="O10" i="20"/>
  <c r="P10" i="20"/>
  <c r="R10" i="20"/>
  <c r="S10" i="20"/>
  <c r="T10" i="20"/>
  <c r="U10" i="20"/>
  <c r="W10" i="20"/>
  <c r="X10" i="20"/>
  <c r="Y10" i="20"/>
  <c r="AB10" i="20"/>
  <c r="AC10" i="20"/>
  <c r="AD10" i="20"/>
  <c r="AE10" i="20"/>
  <c r="AG10" i="20"/>
  <c r="AH10" i="20"/>
  <c r="AJ10" i="20"/>
  <c r="AL10" i="20"/>
  <c r="AM10" i="20"/>
  <c r="AN10" i="20"/>
  <c r="AO10" i="20"/>
  <c r="AQ10" i="20"/>
  <c r="AR10" i="20"/>
  <c r="AS10" i="20"/>
  <c r="AT10" i="20"/>
  <c r="AV10" i="20"/>
  <c r="AW10" i="20"/>
  <c r="AX10" i="20"/>
  <c r="AY10" i="20"/>
  <c r="BA10" i="20"/>
  <c r="BB10" i="20"/>
  <c r="BC10" i="20"/>
  <c r="BD10" i="20"/>
  <c r="BF10" i="20"/>
  <c r="BG10" i="20"/>
  <c r="BH10" i="20"/>
  <c r="BI10" i="20"/>
  <c r="BK10" i="20"/>
  <c r="BL10" i="20"/>
  <c r="BM10" i="20"/>
  <c r="BN10" i="20"/>
  <c r="BP10" i="20"/>
  <c r="R4" i="74" s="1"/>
  <c r="U33" i="74" s="1"/>
  <c r="Z33" i="74" s="1"/>
  <c r="BQ10" i="20"/>
  <c r="BR10" i="20"/>
  <c r="BS10" i="20"/>
  <c r="BU10" i="20"/>
  <c r="S4" i="74" s="1"/>
  <c r="X4" i="74" s="1"/>
  <c r="BV10" i="20"/>
  <c r="BW10" i="20"/>
  <c r="BX10" i="20"/>
  <c r="BZ10" i="20"/>
  <c r="CA10" i="20"/>
  <c r="CB10" i="20"/>
  <c r="CC10" i="20"/>
  <c r="CE10" i="20"/>
  <c r="CF10" i="20"/>
  <c r="CG10" i="20"/>
  <c r="C12" i="20"/>
  <c r="D12" i="20"/>
  <c r="E12" i="20"/>
  <c r="F12" i="20"/>
  <c r="H12" i="20"/>
  <c r="I12" i="20"/>
  <c r="J12" i="20"/>
  <c r="K12" i="20"/>
  <c r="M12" i="20"/>
  <c r="N12" i="20"/>
  <c r="O12" i="20"/>
  <c r="P12" i="20"/>
  <c r="R12" i="20"/>
  <c r="S12" i="20"/>
  <c r="T12" i="20"/>
  <c r="U12" i="20"/>
  <c r="W12" i="20"/>
  <c r="X12" i="20"/>
  <c r="Y12" i="20"/>
  <c r="Z12" i="20"/>
  <c r="AB12" i="20"/>
  <c r="AC12" i="20"/>
  <c r="AD12" i="20"/>
  <c r="AE12" i="20"/>
  <c r="AG12" i="20"/>
  <c r="AH12" i="20"/>
  <c r="AJ12" i="20"/>
  <c r="AL12" i="20"/>
  <c r="AM12" i="20"/>
  <c r="AN12" i="20"/>
  <c r="AO12" i="20"/>
  <c r="AQ12" i="20"/>
  <c r="AR12" i="20"/>
  <c r="AS12" i="20"/>
  <c r="AT12" i="20"/>
  <c r="AV12" i="20"/>
  <c r="AW12" i="20"/>
  <c r="AX12" i="20"/>
  <c r="AY12" i="20"/>
  <c r="BA12" i="20"/>
  <c r="BB12" i="20"/>
  <c r="BC12" i="20"/>
  <c r="BD12" i="20"/>
  <c r="BF12" i="20"/>
  <c r="BG12" i="20"/>
  <c r="BH12" i="20"/>
  <c r="BI12" i="20"/>
  <c r="BK12" i="20"/>
  <c r="BL12" i="20"/>
  <c r="BM12" i="20"/>
  <c r="BN12" i="20"/>
  <c r="BP12" i="20"/>
  <c r="BQ12" i="20"/>
  <c r="BR12" i="20"/>
  <c r="BU12" i="20"/>
  <c r="S6" i="74" s="1"/>
  <c r="X6" i="74" s="1"/>
  <c r="BV12" i="20"/>
  <c r="BW12" i="20"/>
  <c r="CB12" i="20"/>
  <c r="CF12" i="20"/>
  <c r="CG12" i="20"/>
  <c r="C15" i="20"/>
  <c r="D15" i="20"/>
  <c r="E15" i="20"/>
  <c r="F15" i="20"/>
  <c r="H15" i="20"/>
  <c r="I15" i="20"/>
  <c r="J15" i="20"/>
  <c r="K15" i="20"/>
  <c r="M15" i="20"/>
  <c r="N15" i="20"/>
  <c r="O15" i="20"/>
  <c r="P15" i="20"/>
  <c r="R15" i="20"/>
  <c r="S15" i="20"/>
  <c r="T15" i="20"/>
  <c r="U15" i="20"/>
  <c r="W15" i="20"/>
  <c r="X15" i="20"/>
  <c r="Y15" i="20"/>
  <c r="Z15" i="20"/>
  <c r="AB15" i="20"/>
  <c r="AC15" i="20"/>
  <c r="AD15" i="20"/>
  <c r="AE15" i="20"/>
  <c r="AG15" i="20"/>
  <c r="AH15" i="20"/>
  <c r="AJ15" i="20"/>
  <c r="AL15" i="20"/>
  <c r="AM15" i="20"/>
  <c r="AN15" i="20"/>
  <c r="AO15" i="20"/>
  <c r="AQ15" i="20"/>
  <c r="AR15" i="20"/>
  <c r="AS15" i="20"/>
  <c r="AT15" i="20"/>
  <c r="AV15" i="20"/>
  <c r="BB15" i="20"/>
  <c r="BC15" i="20"/>
  <c r="BD15" i="20"/>
  <c r="BF15" i="20"/>
  <c r="BG15" i="20"/>
  <c r="BI15" i="20"/>
  <c r="BK15" i="20"/>
  <c r="BM15" i="20"/>
  <c r="BN15" i="20"/>
  <c r="BP15" i="20"/>
  <c r="BQ15" i="20"/>
  <c r="BR15" i="20"/>
  <c r="BS15" i="20"/>
  <c r="BU15" i="20"/>
  <c r="BV15" i="20"/>
  <c r="BW15" i="20"/>
  <c r="BX15" i="20"/>
  <c r="DA15" i="20"/>
  <c r="DB15" i="20"/>
  <c r="CE16" i="20"/>
  <c r="CF16" i="20"/>
  <c r="CG16" i="20"/>
  <c r="CH16" i="20"/>
  <c r="CY16" i="20"/>
  <c r="DC16" i="20"/>
  <c r="DE16" i="20"/>
  <c r="DF16" i="20"/>
  <c r="DG16" i="20"/>
  <c r="DH16" i="20"/>
  <c r="DI16" i="20"/>
  <c r="DJ16" i="20"/>
  <c r="DK16" i="20"/>
  <c r="DL16" i="20"/>
  <c r="DM16" i="20"/>
  <c r="R17" i="20"/>
  <c r="S17" i="20"/>
  <c r="W17" i="20"/>
  <c r="AB17" i="20"/>
  <c r="AG17" i="20"/>
  <c r="AL17" i="20"/>
  <c r="AQ17" i="20"/>
  <c r="AR17" i="20"/>
  <c r="AV17" i="20"/>
  <c r="BA17" i="20"/>
  <c r="BC17" i="20"/>
  <c r="BF17" i="20"/>
  <c r="BI17" i="20"/>
  <c r="BK17" i="20"/>
  <c r="BL17" i="20"/>
  <c r="BP17" i="20"/>
  <c r="BU17" i="20"/>
  <c r="BW17" i="20"/>
  <c r="BZ17" i="20"/>
  <c r="CE17" i="20"/>
  <c r="CT17" i="20"/>
  <c r="CX17" i="20"/>
  <c r="F17" i="20" s="1"/>
  <c r="CY17" i="20"/>
  <c r="J17" i="20" s="1"/>
  <c r="CZ17" i="20"/>
  <c r="O17" i="20" s="1"/>
  <c r="DA17" i="20"/>
  <c r="DB17" i="20"/>
  <c r="DC17" i="20"/>
  <c r="DD17" i="20"/>
  <c r="DE17" i="20"/>
  <c r="DF17" i="20"/>
  <c r="DG17" i="20"/>
  <c r="DH17" i="20"/>
  <c r="DI17" i="20"/>
  <c r="DJ17" i="20"/>
  <c r="DK17" i="20"/>
  <c r="DL17" i="20"/>
  <c r="C20" i="20"/>
  <c r="D20" i="20"/>
  <c r="E20" i="20"/>
  <c r="F20" i="20"/>
  <c r="H20" i="20"/>
  <c r="I20" i="20"/>
  <c r="J20" i="20"/>
  <c r="K20" i="20"/>
  <c r="M20" i="20"/>
  <c r="N20" i="20"/>
  <c r="O20" i="20"/>
  <c r="P20" i="20"/>
  <c r="R20" i="20"/>
  <c r="S20" i="20"/>
  <c r="T20" i="20"/>
  <c r="U20" i="20"/>
  <c r="W20" i="20"/>
  <c r="X20" i="20"/>
  <c r="Y20" i="20"/>
  <c r="Z20" i="20"/>
  <c r="AB20" i="20"/>
  <c r="AC20" i="20"/>
  <c r="AD20" i="20"/>
  <c r="AE20" i="20"/>
  <c r="AG20" i="20"/>
  <c r="AH20" i="20"/>
  <c r="AI20" i="20"/>
  <c r="AJ20" i="20"/>
  <c r="AL20" i="20"/>
  <c r="AM20" i="20"/>
  <c r="AN20" i="20"/>
  <c r="AO20" i="20"/>
  <c r="AQ20" i="20"/>
  <c r="AR20" i="20"/>
  <c r="AS20" i="20"/>
  <c r="AT20" i="20"/>
  <c r="AV20" i="20"/>
  <c r="AW20" i="20"/>
  <c r="AX20" i="20"/>
  <c r="BA20" i="20"/>
  <c r="BB20" i="20"/>
  <c r="BC20" i="20"/>
  <c r="BD20" i="20"/>
  <c r="BV20" i="20"/>
  <c r="BW20" i="20"/>
  <c r="BX20" i="20"/>
  <c r="BZ20" i="20"/>
  <c r="CA20" i="20"/>
  <c r="CB20" i="20"/>
  <c r="CC20" i="20"/>
  <c r="CE20" i="20"/>
  <c r="CF20" i="20"/>
  <c r="CG20" i="20"/>
  <c r="CH20" i="20"/>
  <c r="C23" i="20"/>
  <c r="D23" i="20"/>
  <c r="E23" i="20"/>
  <c r="F23" i="20"/>
  <c r="H23" i="20"/>
  <c r="I23" i="20"/>
  <c r="J23" i="20"/>
  <c r="K23" i="20"/>
  <c r="M23" i="20"/>
  <c r="N23" i="20"/>
  <c r="O23" i="20"/>
  <c r="P23" i="20"/>
  <c r="R23" i="20"/>
  <c r="S23" i="20"/>
  <c r="T23" i="20"/>
  <c r="U23" i="20"/>
  <c r="W23" i="20"/>
  <c r="X23" i="20"/>
  <c r="Y23" i="20"/>
  <c r="Z23" i="20"/>
  <c r="AB23" i="20"/>
  <c r="AC23" i="20"/>
  <c r="AD23" i="20"/>
  <c r="AE23" i="20"/>
  <c r="AG23" i="20"/>
  <c r="AH23" i="20"/>
  <c r="AJ23" i="20"/>
  <c r="AL23" i="20"/>
  <c r="AM23" i="20"/>
  <c r="AN23" i="20"/>
  <c r="AO23" i="20"/>
  <c r="AQ23" i="20"/>
  <c r="AR23" i="20"/>
  <c r="AS23" i="20"/>
  <c r="AT23" i="20"/>
  <c r="AV23" i="20"/>
  <c r="AW23" i="20"/>
  <c r="AX23" i="20"/>
  <c r="BA23" i="20"/>
  <c r="BB23" i="20"/>
  <c r="BC23" i="20"/>
  <c r="BD23" i="20"/>
  <c r="BF23" i="20"/>
  <c r="BG23" i="20"/>
  <c r="BH23" i="20"/>
  <c r="BI23" i="20"/>
  <c r="BK23" i="20"/>
  <c r="BM23" i="20"/>
  <c r="BN23" i="20"/>
  <c r="BP23" i="20"/>
  <c r="R17" i="74"/>
  <c r="BQ23" i="20"/>
  <c r="BR23" i="20"/>
  <c r="BS23" i="20"/>
  <c r="BU23" i="20"/>
  <c r="S17" i="74" s="1"/>
  <c r="BV23" i="20"/>
  <c r="BW23" i="20"/>
  <c r="CE23" i="20"/>
  <c r="CG23" i="20"/>
  <c r="CZ23" i="20"/>
  <c r="DA23" i="20"/>
  <c r="DB23" i="20"/>
  <c r="DE23" i="20"/>
  <c r="M24" i="20"/>
  <c r="N24" i="20"/>
  <c r="O24" i="20"/>
  <c r="P24" i="20"/>
  <c r="R24" i="20"/>
  <c r="S24" i="20"/>
  <c r="T24" i="20"/>
  <c r="U24" i="20"/>
  <c r="W24" i="20"/>
  <c r="X24" i="20"/>
  <c r="Y24" i="20"/>
  <c r="Z24" i="20"/>
  <c r="AB24" i="20"/>
  <c r="AC24" i="20"/>
  <c r="AD24" i="20"/>
  <c r="AE24" i="20"/>
  <c r="CY24" i="20"/>
  <c r="J29" i="20"/>
  <c r="K29" i="20"/>
  <c r="M29" i="20"/>
  <c r="X29" i="20"/>
  <c r="Y29" i="20"/>
  <c r="Z29" i="20"/>
  <c r="AB29" i="20"/>
  <c r="AC29" i="20"/>
  <c r="AD29" i="20"/>
  <c r="AE29" i="20"/>
  <c r="AG29" i="20"/>
  <c r="AH29" i="20"/>
  <c r="AI29" i="20"/>
  <c r="AJ29" i="20"/>
  <c r="AL29" i="20"/>
  <c r="AM29" i="20"/>
  <c r="AN29" i="20"/>
  <c r="AO29" i="20"/>
  <c r="AQ29" i="20"/>
  <c r="AR29" i="20"/>
  <c r="AS29" i="20"/>
  <c r="AT29" i="20"/>
  <c r="AV29" i="20"/>
  <c r="AW29" i="20"/>
  <c r="AX29" i="20"/>
  <c r="AY29" i="20"/>
  <c r="BA29" i="20"/>
  <c r="BB29" i="20"/>
  <c r="BC29" i="20"/>
  <c r="BD29" i="20"/>
  <c r="BF29" i="20"/>
  <c r="BG29" i="20"/>
  <c r="BH29" i="20"/>
  <c r="BI29" i="20"/>
  <c r="BK29" i="20"/>
  <c r="BL29" i="20"/>
  <c r="BM29" i="20"/>
  <c r="BN29" i="20"/>
  <c r="BP29" i="20"/>
  <c r="R22" i="74" s="1"/>
  <c r="BQ29" i="20"/>
  <c r="BR29" i="20"/>
  <c r="BS29" i="20"/>
  <c r="BU29" i="20"/>
  <c r="S22" i="74" s="1"/>
  <c r="X22" i="74" s="1"/>
  <c r="BV29" i="20"/>
  <c r="BW29" i="20"/>
  <c r="BX29" i="20"/>
  <c r="BZ29" i="20"/>
  <c r="CA29" i="20"/>
  <c r="CB29" i="20"/>
  <c r="CC29" i="20"/>
  <c r="CE29" i="20"/>
  <c r="CF29" i="20"/>
  <c r="CG29" i="20"/>
  <c r="C30" i="20"/>
  <c r="D30" i="20"/>
  <c r="E30" i="20"/>
  <c r="F30" i="20"/>
  <c r="H30" i="20"/>
  <c r="I30" i="20"/>
  <c r="J30" i="20"/>
  <c r="K30" i="20"/>
  <c r="M30" i="20"/>
  <c r="N30" i="20"/>
  <c r="O30" i="20"/>
  <c r="P30" i="20"/>
  <c r="R30" i="20"/>
  <c r="U30" i="20"/>
  <c r="X30" i="20"/>
  <c r="Y30" i="20"/>
  <c r="Z30" i="20"/>
  <c r="AB30" i="20"/>
  <c r="AC30" i="20"/>
  <c r="AD30" i="20"/>
  <c r="AE30" i="20"/>
  <c r="AG30" i="20"/>
  <c r="AH30" i="20"/>
  <c r="AI30" i="20"/>
  <c r="AJ30" i="20"/>
  <c r="AL30" i="20"/>
  <c r="AM30" i="20"/>
  <c r="AN30" i="20"/>
  <c r="AO30" i="20"/>
  <c r="AQ30" i="20"/>
  <c r="AR30" i="20"/>
  <c r="AS30" i="20"/>
  <c r="AT30" i="20"/>
  <c r="AV30" i="20"/>
  <c r="AW30" i="20"/>
  <c r="AX30" i="20"/>
  <c r="AY30" i="20"/>
  <c r="BA30" i="20"/>
  <c r="BB30" i="20"/>
  <c r="BC30" i="20"/>
  <c r="BD30" i="20"/>
  <c r="BF30" i="20"/>
  <c r="BG30" i="20"/>
  <c r="BK30" i="20"/>
  <c r="BL30" i="20"/>
  <c r="BM30" i="20"/>
  <c r="BV30" i="20"/>
  <c r="BW30" i="20"/>
  <c r="BX30" i="20"/>
  <c r="BZ30" i="20"/>
  <c r="CA30" i="20"/>
  <c r="CB30" i="20"/>
  <c r="CC30" i="20"/>
  <c r="CE30" i="20"/>
  <c r="CF30" i="20"/>
  <c r="CG30" i="20"/>
  <c r="CH30" i="20"/>
  <c r="C31" i="20"/>
  <c r="D31" i="20"/>
  <c r="E31" i="20"/>
  <c r="F31" i="20"/>
  <c r="H31" i="20"/>
  <c r="I31" i="20"/>
  <c r="J31" i="20"/>
  <c r="K31" i="20"/>
  <c r="M31" i="20"/>
  <c r="N31" i="20"/>
  <c r="O31" i="20"/>
  <c r="P31" i="20"/>
  <c r="C50" i="20"/>
  <c r="D50" i="20"/>
  <c r="E50" i="20"/>
  <c r="F50" i="20"/>
  <c r="H50" i="20"/>
  <c r="I50" i="20"/>
  <c r="J50" i="20"/>
  <c r="K50" i="20"/>
  <c r="M50" i="20"/>
  <c r="N50" i="20"/>
  <c r="O50" i="20"/>
  <c r="P50" i="20"/>
  <c r="R50" i="20"/>
  <c r="S50" i="20"/>
  <c r="T50" i="20"/>
  <c r="U50" i="20"/>
  <c r="W50" i="20"/>
  <c r="X50" i="20"/>
  <c r="Y50" i="20"/>
  <c r="Z50" i="20"/>
  <c r="AB50" i="20"/>
  <c r="AC50" i="20"/>
  <c r="AD50" i="20"/>
  <c r="AE50" i="20"/>
  <c r="AG50" i="20"/>
  <c r="AH50" i="20"/>
  <c r="AI50" i="20"/>
  <c r="AJ50" i="20"/>
  <c r="AL50" i="20"/>
  <c r="AM50" i="20"/>
  <c r="AN50" i="20"/>
  <c r="AO50" i="20"/>
  <c r="AQ50" i="20"/>
  <c r="AR50" i="20"/>
  <c r="AS50" i="20"/>
  <c r="AT50" i="20"/>
  <c r="AV50" i="20"/>
  <c r="AW50" i="20"/>
  <c r="AX50" i="20"/>
  <c r="AY50" i="20"/>
  <c r="BA50" i="20"/>
  <c r="BB50" i="20"/>
  <c r="BC50" i="20"/>
  <c r="BD50" i="20"/>
  <c r="BF50" i="20"/>
  <c r="BG50" i="20"/>
  <c r="BH50" i="20"/>
  <c r="BI50" i="20"/>
  <c r="BK50" i="20"/>
  <c r="BL50" i="20"/>
  <c r="BM50" i="20"/>
  <c r="BN50" i="20"/>
  <c r="BP50" i="20"/>
  <c r="R34" i="74" s="1"/>
  <c r="BQ50" i="20"/>
  <c r="BR50" i="20"/>
  <c r="BS50" i="20"/>
  <c r="BU50" i="20"/>
  <c r="S34" i="74" s="1"/>
  <c r="Y34" i="74" s="1"/>
  <c r="BV50" i="20"/>
  <c r="BW50" i="20"/>
  <c r="BX50" i="20"/>
  <c r="BZ50" i="20"/>
  <c r="CA50" i="20"/>
  <c r="CB50" i="20"/>
  <c r="CC50" i="20"/>
  <c r="CV50" i="20"/>
  <c r="CW50" i="20"/>
  <c r="CX50" i="20"/>
  <c r="CZ50" i="20"/>
  <c r="DA50" i="20"/>
  <c r="DB50" i="20"/>
  <c r="DC50" i="20"/>
  <c r="DD50" i="20"/>
  <c r="DE50" i="20"/>
  <c r="DF50" i="20"/>
  <c r="DG50" i="20"/>
  <c r="AG58" i="20"/>
  <c r="AH58" i="20"/>
  <c r="AI58" i="20"/>
  <c r="AJ58" i="20"/>
  <c r="AL58" i="20"/>
  <c r="AV58" i="20"/>
  <c r="BA58" i="20"/>
  <c r="BB58" i="20"/>
  <c r="BC58" i="20"/>
  <c r="CT58" i="20"/>
  <c r="CU58" i="20"/>
  <c r="CV58" i="20"/>
  <c r="CW58" i="20"/>
  <c r="CX58" i="20"/>
  <c r="DA58" i="20"/>
  <c r="DB58" i="20"/>
  <c r="DC58" i="20"/>
  <c r="DD58" i="20"/>
  <c r="DE58" i="20"/>
  <c r="DF58" i="20"/>
  <c r="DG58" i="20"/>
  <c r="DH58" i="20"/>
  <c r="DI58" i="20"/>
  <c r="DJ58" i="20"/>
  <c r="DK58" i="20"/>
  <c r="DL58" i="20"/>
  <c r="DM58" i="20"/>
  <c r="DN58" i="20"/>
  <c r="DO58" i="20"/>
  <c r="DP58" i="20"/>
  <c r="DQ58" i="20"/>
  <c r="DR58" i="20"/>
  <c r="CW81" i="20"/>
  <c r="AB60" i="20"/>
  <c r="AG60" i="20"/>
  <c r="AH60" i="20"/>
  <c r="AI60" i="20"/>
  <c r="AJ60" i="20"/>
  <c r="AL60" i="20"/>
  <c r="AV60" i="20"/>
  <c r="BA60" i="20"/>
  <c r="BB60" i="20"/>
  <c r="BC60" i="20"/>
  <c r="BD60" i="20"/>
  <c r="BK60" i="20"/>
  <c r="BP60" i="20"/>
  <c r="BU60" i="20"/>
  <c r="CE60" i="20"/>
  <c r="CF60" i="20"/>
  <c r="AG61" i="20"/>
  <c r="AJ61" i="20"/>
  <c r="AL61" i="20"/>
  <c r="CE61" i="20"/>
  <c r="BK63" i="20"/>
  <c r="BP63" i="20"/>
  <c r="BU63" i="20"/>
  <c r="CE63" i="20"/>
  <c r="CF63" i="20"/>
  <c r="CT65" i="20"/>
  <c r="CU65" i="20"/>
  <c r="CV65" i="20"/>
  <c r="C80" i="20"/>
  <c r="D80" i="20"/>
  <c r="E80" i="20"/>
  <c r="F80" i="20"/>
  <c r="H80" i="20"/>
  <c r="I80" i="20"/>
  <c r="J80" i="20"/>
  <c r="M80" i="20"/>
  <c r="N80" i="20"/>
  <c r="O80" i="20"/>
  <c r="R80" i="20"/>
  <c r="S80" i="20"/>
  <c r="T80" i="20"/>
  <c r="W80" i="20"/>
  <c r="X80" i="20"/>
  <c r="Y80" i="20"/>
  <c r="BK80" i="20"/>
  <c r="BL80" i="20"/>
  <c r="BM80" i="20"/>
  <c r="BP80" i="20"/>
  <c r="BQ80" i="20"/>
  <c r="BR80" i="20"/>
  <c r="BU80" i="20"/>
  <c r="BV80" i="20"/>
  <c r="BW80" i="20"/>
  <c r="CB80" i="20"/>
  <c r="CC80" i="20"/>
  <c r="CE80" i="20"/>
  <c r="CF80" i="20"/>
  <c r="CG80" i="20"/>
  <c r="C81" i="20"/>
  <c r="D81" i="20"/>
  <c r="E81" i="20"/>
  <c r="H81" i="20"/>
  <c r="J81" i="20"/>
  <c r="O81" i="20"/>
  <c r="Y81" i="20"/>
  <c r="AB81" i="20"/>
  <c r="AC81" i="20"/>
  <c r="AV81" i="20"/>
  <c r="AW81" i="20"/>
  <c r="BA81" i="20"/>
  <c r="BP81" i="20"/>
  <c r="CF81" i="20"/>
  <c r="CW82" i="20"/>
  <c r="CX82" i="20"/>
  <c r="CY82" i="20"/>
  <c r="CZ82" i="20"/>
  <c r="DA82" i="20"/>
  <c r="DB82" i="20"/>
  <c r="DC82" i="20"/>
  <c r="DD82" i="20"/>
  <c r="DE82" i="20"/>
  <c r="DF82" i="20"/>
  <c r="DG82" i="20"/>
  <c r="DH82" i="20"/>
  <c r="DR82" i="20"/>
  <c r="C83" i="20"/>
  <c r="D83" i="20"/>
  <c r="E83" i="20"/>
  <c r="F83" i="20"/>
  <c r="F82" i="20" s="1"/>
  <c r="H83" i="20"/>
  <c r="I83" i="20"/>
  <c r="J83" i="20"/>
  <c r="K83" i="20"/>
  <c r="M83" i="20"/>
  <c r="N83" i="20"/>
  <c r="O83" i="20"/>
  <c r="P83" i="20"/>
  <c r="R83" i="20"/>
  <c r="S83" i="20"/>
  <c r="T83" i="20"/>
  <c r="U83" i="20"/>
  <c r="W83" i="20"/>
  <c r="X83" i="20"/>
  <c r="Y83" i="20"/>
  <c r="Z83" i="20"/>
  <c r="AB83" i="20"/>
  <c r="AC83" i="20"/>
  <c r="AD83" i="20"/>
  <c r="AE83" i="20"/>
  <c r="AE82" i="20" s="1"/>
  <c r="AG83" i="20"/>
  <c r="AH83" i="20"/>
  <c r="AI83" i="20"/>
  <c r="AJ83" i="20"/>
  <c r="AL83" i="20"/>
  <c r="AM83" i="20"/>
  <c r="AN83" i="20"/>
  <c r="AO83" i="20"/>
  <c r="AQ83" i="20"/>
  <c r="AR83" i="20"/>
  <c r="AS83" i="20"/>
  <c r="AT83" i="20"/>
  <c r="AV83" i="20"/>
  <c r="AW83" i="20"/>
  <c r="AX83" i="20"/>
  <c r="AY83" i="20"/>
  <c r="AY82" i="20" s="1"/>
  <c r="BA83" i="20"/>
  <c r="BB83" i="20"/>
  <c r="BB82" i="20" s="1"/>
  <c r="BC83" i="20"/>
  <c r="BD83" i="20"/>
  <c r="BF83" i="20"/>
  <c r="BG83" i="20"/>
  <c r="BH83" i="20"/>
  <c r="BI83" i="20"/>
  <c r="C84" i="20"/>
  <c r="D84" i="20"/>
  <c r="E84" i="20"/>
  <c r="F84" i="20"/>
  <c r="H84" i="20"/>
  <c r="I84" i="20"/>
  <c r="J84" i="20"/>
  <c r="K84" i="20"/>
  <c r="M84" i="20"/>
  <c r="M82" i="20" s="1"/>
  <c r="N84" i="20"/>
  <c r="N82" i="20" s="1"/>
  <c r="O84" i="20"/>
  <c r="P84" i="20"/>
  <c r="R84" i="20"/>
  <c r="S84" i="20"/>
  <c r="T84" i="20"/>
  <c r="U84" i="20"/>
  <c r="W84" i="20"/>
  <c r="W82" i="20" s="1"/>
  <c r="X84" i="20"/>
  <c r="Y84" i="20"/>
  <c r="Z84" i="20"/>
  <c r="Z82" i="20" s="1"/>
  <c r="AB84" i="20"/>
  <c r="AC84" i="20"/>
  <c r="AD84" i="20"/>
  <c r="AE84" i="20"/>
  <c r="AG84" i="20"/>
  <c r="AH84" i="20"/>
  <c r="AI84" i="20"/>
  <c r="AJ84" i="20"/>
  <c r="AL84" i="20"/>
  <c r="AL82" i="20" s="1"/>
  <c r="AM84" i="20"/>
  <c r="AN84" i="20"/>
  <c r="AO84" i="20"/>
  <c r="AO82" i="20" s="1"/>
  <c r="AQ84" i="20"/>
  <c r="AQ82" i="20" s="1"/>
  <c r="AR84" i="20"/>
  <c r="AS84" i="20"/>
  <c r="AT84" i="20"/>
  <c r="AV84" i="20"/>
  <c r="AW84" i="20"/>
  <c r="AX84" i="20"/>
  <c r="AY84" i="20"/>
  <c r="BA84" i="20"/>
  <c r="BA82" i="20" s="1"/>
  <c r="BB84" i="20"/>
  <c r="BC84" i="20"/>
  <c r="BC82" i="20" s="1"/>
  <c r="BD84" i="20"/>
  <c r="C11" i="73"/>
  <c r="G12" i="73"/>
  <c r="G130" i="73"/>
  <c r="C18" i="73"/>
  <c r="C57" i="73" s="1"/>
  <c r="F18" i="73"/>
  <c r="F57" i="73" s="1"/>
  <c r="R36" i="73"/>
  <c r="R169" i="73" s="1"/>
  <c r="S36" i="73"/>
  <c r="S75" i="73" s="1"/>
  <c r="C121" i="73"/>
  <c r="D121" i="73"/>
  <c r="E121" i="73"/>
  <c r="F121" i="73"/>
  <c r="G121" i="73"/>
  <c r="H121" i="73"/>
  <c r="I121" i="73"/>
  <c r="J121" i="73"/>
  <c r="K121" i="73"/>
  <c r="L121" i="73"/>
  <c r="M121" i="73"/>
  <c r="N121" i="73"/>
  <c r="O121" i="73"/>
  <c r="P121" i="73"/>
  <c r="Q121" i="73"/>
  <c r="R121" i="73"/>
  <c r="S121" i="73"/>
  <c r="C122" i="73"/>
  <c r="D122" i="73"/>
  <c r="E122" i="73"/>
  <c r="F122" i="73"/>
  <c r="G122" i="73"/>
  <c r="H122" i="73"/>
  <c r="I122" i="73"/>
  <c r="J122" i="73"/>
  <c r="K122" i="73"/>
  <c r="L122" i="73"/>
  <c r="M122" i="73"/>
  <c r="N122" i="73"/>
  <c r="O122" i="73"/>
  <c r="P122" i="73"/>
  <c r="Q122" i="73"/>
  <c r="R122" i="73"/>
  <c r="S122" i="73"/>
  <c r="AA147" i="73"/>
  <c r="G3" i="74"/>
  <c r="W3" i="74"/>
  <c r="X3" i="74"/>
  <c r="J4" i="74"/>
  <c r="Z4" i="74"/>
  <c r="U8" i="74"/>
  <c r="Z11" i="74"/>
  <c r="U13" i="74"/>
  <c r="H16" i="74"/>
  <c r="X16" i="74"/>
  <c r="U17" i="74"/>
  <c r="U29" i="74" s="1"/>
  <c r="J19" i="74"/>
  <c r="Z19" i="74"/>
  <c r="J21" i="74"/>
  <c r="Z21" i="74"/>
  <c r="U22" i="74"/>
  <c r="J25" i="74"/>
  <c r="Z25" i="74"/>
  <c r="U27" i="74"/>
  <c r="Z27" i="74" s="1"/>
  <c r="U28" i="74"/>
  <c r="J30" i="74"/>
  <c r="U30" i="74"/>
  <c r="Z30" i="74" s="1"/>
  <c r="J34" i="74"/>
  <c r="Z34" i="74"/>
  <c r="B52" i="74"/>
  <c r="T53" i="74"/>
  <c r="R57" i="74"/>
  <c r="S57" i="74"/>
  <c r="T58" i="74"/>
  <c r="CH33" i="1"/>
  <c r="K73" i="15"/>
  <c r="Z17" i="11"/>
  <c r="CG31" i="1"/>
  <c r="BI24" i="1"/>
  <c r="H25" i="5"/>
  <c r="H7" i="15" s="1"/>
  <c r="I8" i="15" s="1"/>
  <c r="AZ80" i="1"/>
  <c r="CZ7" i="20"/>
  <c r="CZ58" i="20" s="1"/>
  <c r="V125" i="10"/>
  <c r="M126" i="9"/>
  <c r="Y63" i="1"/>
  <c r="Y60" i="1"/>
  <c r="V123" i="10"/>
  <c r="V62" i="10"/>
  <c r="X62" i="10" s="1"/>
  <c r="Z62" i="10" s="1"/>
  <c r="H7" i="20"/>
  <c r="BJ81" i="77"/>
  <c r="W44" i="77"/>
  <c r="V76" i="10"/>
  <c r="X76" i="10"/>
  <c r="B56" i="10"/>
  <c r="BI73" i="1"/>
  <c r="BQ63" i="1"/>
  <c r="AQ75" i="77"/>
  <c r="BG69" i="77"/>
  <c r="B34" i="10"/>
  <c r="BL60" i="1"/>
  <c r="BN60" i="1" s="1"/>
  <c r="AD15" i="1"/>
  <c r="V59" i="10"/>
  <c r="CJ51" i="1"/>
  <c r="CK51" i="1" s="1"/>
  <c r="I12" i="15"/>
  <c r="AO13" i="1"/>
  <c r="V13" i="11" s="1"/>
  <c r="V19" i="11" s="1"/>
  <c r="V25" i="11" s="1"/>
  <c r="V31" i="11" s="1"/>
  <c r="V37" i="11" s="1"/>
  <c r="D76" i="10"/>
  <c r="D77" i="10" s="1"/>
  <c r="V160" i="10"/>
  <c r="N53" i="22"/>
  <c r="N59" i="22" s="1"/>
  <c r="L146" i="9"/>
  <c r="V145" i="10" s="1"/>
  <c r="X145" i="10" s="1"/>
  <c r="K145" i="9"/>
  <c r="M125" i="9"/>
  <c r="AO115" i="1"/>
  <c r="BA63" i="1"/>
  <c r="BY15" i="1"/>
  <c r="N139" i="10"/>
  <c r="BP200" i="1"/>
  <c r="BI30" i="20" s="1"/>
  <c r="H27" i="5"/>
  <c r="AG28" i="11"/>
  <c r="Z24" i="11"/>
  <c r="AT77" i="3"/>
  <c r="AT78" i="3" s="1"/>
  <c r="AD77" i="3"/>
  <c r="AD78" i="3"/>
  <c r="F77" i="3"/>
  <c r="AT134" i="2"/>
  <c r="CN53" i="1"/>
  <c r="S27" i="5"/>
  <c r="J25" i="5"/>
  <c r="AB35" i="11"/>
  <c r="AB41" i="11" s="1"/>
  <c r="Z30" i="11"/>
  <c r="Z29" i="11"/>
  <c r="V52" i="22"/>
  <c r="V64" i="22" s="1"/>
  <c r="AJ51" i="22"/>
  <c r="T51" i="22"/>
  <c r="T57" i="22" s="1"/>
  <c r="AN98" i="2"/>
  <c r="AX45" i="2"/>
  <c r="AZ45" i="2" s="1"/>
  <c r="BB45" i="2" s="1"/>
  <c r="BD45" i="2" s="1"/>
  <c r="BF45" i="2" s="1"/>
  <c r="AV34" i="2"/>
  <c r="AX34" i="2" s="1"/>
  <c r="AZ34" i="2" s="1"/>
  <c r="BB34" i="2" s="1"/>
  <c r="BD34" i="2" s="1"/>
  <c r="BF34" i="2" s="1"/>
  <c r="AF35" i="11"/>
  <c r="Z35" i="11"/>
  <c r="Z18" i="11"/>
  <c r="V58" i="22"/>
  <c r="BR60" i="1"/>
  <c r="AI23" i="20"/>
  <c r="AV94" i="1"/>
  <c r="M70" i="15" s="1"/>
  <c r="CF95" i="1"/>
  <c r="BF63" i="1"/>
  <c r="BR15" i="1"/>
  <c r="AS15" i="1"/>
  <c r="AC75" i="1"/>
  <c r="AC25" i="1"/>
  <c r="O27" i="5"/>
  <c r="I7" i="15"/>
  <c r="AG14" i="1"/>
  <c r="R66" i="2"/>
  <c r="CG20" i="1"/>
  <c r="AA162" i="9"/>
  <c r="BZ12" i="20"/>
  <c r="BN16" i="1"/>
  <c r="BP81" i="1"/>
  <c r="X80" i="1"/>
  <c r="Z23" i="11"/>
  <c r="Z11" i="11"/>
  <c r="AK115" i="1"/>
  <c r="CJ95" i="1"/>
  <c r="Q64" i="1"/>
  <c r="P84" i="1"/>
  <c r="X83" i="1"/>
  <c r="BV60" i="1"/>
  <c r="BZ33" i="1"/>
  <c r="BX34" i="1"/>
  <c r="BY34" i="1" s="1"/>
  <c r="BY232" i="1" s="1"/>
  <c r="BX231" i="1"/>
  <c r="CW33" i="1"/>
  <c r="AG15" i="1"/>
  <c r="AR121" i="52"/>
  <c r="AB121" i="52" s="1"/>
  <c r="P7" i="15"/>
  <c r="P38" i="15" s="1"/>
  <c r="BE75" i="1"/>
  <c r="Y26" i="1"/>
  <c r="AD23" i="1"/>
  <c r="L21" i="10"/>
  <c r="B52" i="15"/>
  <c r="F120" i="2"/>
  <c r="DD29" i="20"/>
  <c r="L75" i="10"/>
  <c r="A16" i="11"/>
  <c r="D76" i="9"/>
  <c r="V67" i="2"/>
  <c r="A41" i="11"/>
  <c r="B31" i="11"/>
  <c r="M53" i="15"/>
  <c r="E12" i="73"/>
  <c r="CV12" i="20"/>
  <c r="AJ65" i="1"/>
  <c r="F91" i="15"/>
  <c r="AE80" i="20"/>
  <c r="AQ69" i="77"/>
  <c r="U149" i="9"/>
  <c r="AQ149" i="9" s="1"/>
  <c r="V104" i="10"/>
  <c r="Q76" i="52"/>
  <c r="T76" i="52" s="1"/>
  <c r="V90" i="10"/>
  <c r="Q64" i="52"/>
  <c r="K107" i="15"/>
  <c r="C12" i="73"/>
  <c r="AF49" i="52"/>
  <c r="V74" i="10"/>
  <c r="Q48" i="52"/>
  <c r="T48" i="52" s="1"/>
  <c r="V73" i="10"/>
  <c r="AJ61" i="9"/>
  <c r="Y61" i="1"/>
  <c r="AP85" i="52"/>
  <c r="CK30" i="1"/>
  <c r="AT21" i="1"/>
  <c r="L35" i="11"/>
  <c r="M29" i="11"/>
  <c r="AQ112" i="9"/>
  <c r="V95" i="10"/>
  <c r="AT35" i="1"/>
  <c r="BV22" i="1"/>
  <c r="AD25" i="11"/>
  <c r="F19" i="15"/>
  <c r="BX212" i="1"/>
  <c r="CC212" i="1" s="1"/>
  <c r="BL213" i="1"/>
  <c r="BL212" i="1"/>
  <c r="AV96" i="1"/>
  <c r="BJ32" i="1"/>
  <c r="BH62" i="1"/>
  <c r="BH82" i="1" s="1"/>
  <c r="BH102" i="1" s="1"/>
  <c r="AH62" i="77"/>
  <c r="T7" i="15"/>
  <c r="BI14" i="1"/>
  <c r="O7" i="15"/>
  <c r="O38" i="15" s="1"/>
  <c r="AR79" i="52"/>
  <c r="I25" i="5"/>
  <c r="AR37" i="52"/>
  <c r="AJ37" i="52" s="1"/>
  <c r="I27" i="5"/>
  <c r="AB41" i="22"/>
  <c r="AB53" i="22"/>
  <c r="AB59" i="22" s="1"/>
  <c r="AF52" i="22"/>
  <c r="V79" i="3"/>
  <c r="AX32" i="2"/>
  <c r="AZ32" i="2" s="1"/>
  <c r="BB32" i="2" s="1"/>
  <c r="BD32" i="2" s="1"/>
  <c r="BF32" i="2" s="1"/>
  <c r="AR36" i="2"/>
  <c r="AR98" i="2"/>
  <c r="F75" i="3"/>
  <c r="AP52" i="2"/>
  <c r="AO13" i="52"/>
  <c r="AO16" i="1"/>
  <c r="V52" i="2"/>
  <c r="D52" i="2"/>
  <c r="M117" i="52"/>
  <c r="M124" i="52"/>
  <c r="L120" i="52"/>
  <c r="CB50" i="1"/>
  <c r="AR23" i="52"/>
  <c r="AJ23" i="52" s="1"/>
  <c r="AJ37" i="11"/>
  <c r="AO37" i="11" s="1"/>
  <c r="AD38" i="22"/>
  <c r="AA110" i="52"/>
  <c r="M61" i="52"/>
  <c r="AB40" i="52"/>
  <c r="AQ56" i="9"/>
  <c r="BP203" i="1"/>
  <c r="BH30" i="20"/>
  <c r="BY70" i="1"/>
  <c r="H58" i="15"/>
  <c r="AC44" i="1"/>
  <c r="CF60" i="1"/>
  <c r="AO33" i="1"/>
  <c r="AO231" i="1" s="1"/>
  <c r="U78" i="9"/>
  <c r="D78" i="9" s="1"/>
  <c r="H78" i="9" s="1"/>
  <c r="AR50" i="52"/>
  <c r="Z10" i="20"/>
  <c r="AN14" i="1"/>
  <c r="K27" i="5" s="1"/>
  <c r="AO23" i="1"/>
  <c r="AG16" i="11"/>
  <c r="F34" i="11"/>
  <c r="R53" i="22"/>
  <c r="R59" i="22" s="1"/>
  <c r="N41" i="22"/>
  <c r="N65" i="22" s="1"/>
  <c r="F40" i="22"/>
  <c r="F64" i="22" s="1"/>
  <c r="F52" i="22"/>
  <c r="BH80" i="1"/>
  <c r="BI60" i="1"/>
  <c r="O12" i="15"/>
  <c r="AD67" i="2" s="1"/>
  <c r="AN34" i="11"/>
  <c r="AD53" i="22"/>
  <c r="AD59" i="22" s="1"/>
  <c r="AD41" i="22"/>
  <c r="AX13" i="2"/>
  <c r="AZ13" i="2" s="1"/>
  <c r="L55" i="2"/>
  <c r="L14" i="2"/>
  <c r="BL15" i="20"/>
  <c r="AA135" i="52"/>
  <c r="AQ128" i="9"/>
  <c r="AR81" i="20"/>
  <c r="V80" i="10"/>
  <c r="X80" i="10"/>
  <c r="AJ78" i="9"/>
  <c r="Z80" i="20"/>
  <c r="CN174" i="1"/>
  <c r="CN175" i="1" s="1"/>
  <c r="D84" i="1"/>
  <c r="E94" i="1" s="1"/>
  <c r="E64" i="1"/>
  <c r="AD61" i="1"/>
  <c r="AC61" i="1"/>
  <c r="AP22" i="1"/>
  <c r="BI76" i="1"/>
  <c r="BI26" i="1"/>
  <c r="BI25" i="1"/>
  <c r="U28" i="15"/>
  <c r="X36" i="11"/>
  <c r="B24" i="11"/>
  <c r="Z114" i="2"/>
  <c r="V132" i="10"/>
  <c r="X132" i="10" s="1"/>
  <c r="AQ61" i="9"/>
  <c r="AS61" i="9" s="1"/>
  <c r="AF209" i="1"/>
  <c r="AG34" i="1"/>
  <c r="AG232" i="1" s="1"/>
  <c r="AP37" i="52"/>
  <c r="Q29" i="11"/>
  <c r="Q105" i="52"/>
  <c r="T105" i="52" s="1"/>
  <c r="AF70" i="52"/>
  <c r="N70" i="52"/>
  <c r="BR86" i="77"/>
  <c r="AX86" i="77"/>
  <c r="N61" i="9"/>
  <c r="D54" i="9"/>
  <c r="AQ47" i="9"/>
  <c r="L84" i="1"/>
  <c r="L104" i="1" s="1"/>
  <c r="Q104" i="1" s="1"/>
  <c r="AD63" i="1"/>
  <c r="BP34" i="1"/>
  <c r="R15" i="15" s="1"/>
  <c r="F147" i="10"/>
  <c r="CC23" i="1"/>
  <c r="BB23" i="1"/>
  <c r="CJ25" i="1"/>
  <c r="CK25" i="1" s="1"/>
  <c r="AK16" i="1"/>
  <c r="W171" i="5"/>
  <c r="I107" i="15"/>
  <c r="D37" i="52"/>
  <c r="D33" i="52" s="1"/>
  <c r="X40" i="22"/>
  <c r="X52" i="22"/>
  <c r="X58" i="22" s="1"/>
  <c r="AV134" i="2"/>
  <c r="AF48" i="2"/>
  <c r="AD50" i="2"/>
  <c r="AX33" i="2"/>
  <c r="AG45" i="1"/>
  <c r="AK36" i="1"/>
  <c r="AK234" i="1" s="1"/>
  <c r="AS16" i="11"/>
  <c r="J78" i="3"/>
  <c r="AB114" i="2"/>
  <c r="AJ187" i="1"/>
  <c r="R31" i="20" s="1"/>
  <c r="AF166" i="1"/>
  <c r="BZ62" i="1"/>
  <c r="BU15" i="1"/>
  <c r="Y28" i="11"/>
  <c r="U16" i="11"/>
  <c r="AN114" i="2"/>
  <c r="AE110" i="52"/>
  <c r="U141" i="9"/>
  <c r="AQ141" i="9" s="1"/>
  <c r="K118" i="9"/>
  <c r="CJ175" i="1"/>
  <c r="AX35" i="1"/>
  <c r="F151" i="10"/>
  <c r="BU16" i="1"/>
  <c r="Y31" i="11"/>
  <c r="AB36" i="11"/>
  <c r="AF39" i="22"/>
  <c r="AZ82" i="1"/>
  <c r="BA82" i="1" s="1"/>
  <c r="BA62" i="1"/>
  <c r="AI164" i="52"/>
  <c r="AG162" i="52"/>
  <c r="BK81" i="20"/>
  <c r="V89" i="10"/>
  <c r="Q63" i="52"/>
  <c r="T63" i="52" s="1"/>
  <c r="Q56" i="52"/>
  <c r="T56" i="52" s="1"/>
  <c r="Y36" i="1"/>
  <c r="Y234" i="1" s="1"/>
  <c r="AD36" i="1"/>
  <c r="AI107" i="52"/>
  <c r="AL81" i="20"/>
  <c r="H84" i="1"/>
  <c r="H125" i="1" s="1"/>
  <c r="F154" i="10"/>
  <c r="AA124" i="52"/>
  <c r="N147" i="9"/>
  <c r="P154" i="9" s="1"/>
  <c r="D44" i="9"/>
  <c r="CC23" i="20"/>
  <c r="AG44" i="1"/>
  <c r="BZ31" i="1"/>
  <c r="CV31" i="1" s="1"/>
  <c r="BT229" i="1"/>
  <c r="BT36" i="1"/>
  <c r="BU31" i="1"/>
  <c r="BV31" i="1"/>
  <c r="BT34" i="1"/>
  <c r="AP107" i="52" s="1"/>
  <c r="BT61" i="1"/>
  <c r="Z12" i="11"/>
  <c r="Z36" i="11"/>
  <c r="X79" i="3"/>
  <c r="I53" i="15"/>
  <c r="M69" i="52"/>
  <c r="AF41" i="52"/>
  <c r="AJ41" i="52"/>
  <c r="AB41" i="52"/>
  <c r="Q55" i="52"/>
  <c r="T55" i="52" s="1"/>
  <c r="AB48" i="10"/>
  <c r="AJ50" i="9"/>
  <c r="AJ51" i="9" s="1"/>
  <c r="AL58" i="9" s="1"/>
  <c r="AS61" i="1"/>
  <c r="AR81" i="1"/>
  <c r="BA60" i="1"/>
  <c r="AZ64" i="1"/>
  <c r="BA64" i="1" s="1"/>
  <c r="AH35" i="1"/>
  <c r="AO68" i="77"/>
  <c r="AQ65" i="77"/>
  <c r="AP72" i="77"/>
  <c r="AJ134" i="9"/>
  <c r="AJ138" i="9"/>
  <c r="N64" i="15"/>
  <c r="AS63" i="1"/>
  <c r="AR83" i="1"/>
  <c r="AN80" i="1"/>
  <c r="AP36" i="1"/>
  <c r="O15" i="15"/>
  <c r="DF15" i="20" s="1"/>
  <c r="BE34" i="1"/>
  <c r="BE232" i="1" s="1"/>
  <c r="AX15" i="1"/>
  <c r="AH15" i="1"/>
  <c r="AH16" i="1" s="1"/>
  <c r="AG25" i="1"/>
  <c r="AH39" i="22"/>
  <c r="AH51" i="22"/>
  <c r="AH57" i="22" s="1"/>
  <c r="AL52" i="2"/>
  <c r="L64" i="52"/>
  <c r="M64" i="52" s="1"/>
  <c r="AB82" i="1"/>
  <c r="AC92" i="1" s="1"/>
  <c r="AK61" i="1"/>
  <c r="AP61" i="1" s="1"/>
  <c r="N15" i="15"/>
  <c r="CC33" i="1"/>
  <c r="CD33" i="1"/>
  <c r="CB34" i="1"/>
  <c r="CC34" i="1" s="1"/>
  <c r="Z41" i="22"/>
  <c r="Z53" i="22"/>
  <c r="Z59" i="22" s="1"/>
  <c r="BR87" i="77"/>
  <c r="AL140" i="9"/>
  <c r="N140" i="9"/>
  <c r="N112" i="9"/>
  <c r="AZ233" i="1"/>
  <c r="CF212" i="1"/>
  <c r="BT178" i="1"/>
  <c r="BT179" i="1" s="1"/>
  <c r="BU70" i="1"/>
  <c r="AF66" i="1"/>
  <c r="AG66" i="1" s="1"/>
  <c r="AG35" i="1"/>
  <c r="AG233" i="1" s="1"/>
  <c r="CG21" i="1"/>
  <c r="AP15" i="1"/>
  <c r="AP16" i="1" s="1"/>
  <c r="D59" i="22"/>
  <c r="AB76" i="10"/>
  <c r="AD76" i="10" s="1"/>
  <c r="V55" i="10"/>
  <c r="BD83" i="1"/>
  <c r="BD103" i="1"/>
  <c r="AN81" i="1"/>
  <c r="AG62" i="1"/>
  <c r="BV15" i="1"/>
  <c r="BV16" i="1" s="1"/>
  <c r="R146" i="10"/>
  <c r="AH146" i="10"/>
  <c r="AJ146" i="10" s="1"/>
  <c r="P146" i="10"/>
  <c r="AG29" i="11"/>
  <c r="AC29" i="11"/>
  <c r="BD36" i="11"/>
  <c r="BQ16" i="11"/>
  <c r="BP34" i="11"/>
  <c r="BT40" i="11" s="1"/>
  <c r="AZ34" i="11"/>
  <c r="B29" i="11"/>
  <c r="B41" i="11"/>
  <c r="B23" i="11"/>
  <c r="AB77" i="3"/>
  <c r="AB78" i="3" s="1"/>
  <c r="X51" i="22"/>
  <c r="X57" i="22" s="1"/>
  <c r="R39" i="22"/>
  <c r="R72" i="3"/>
  <c r="R75" i="3"/>
  <c r="V133" i="2"/>
  <c r="BP212" i="1"/>
  <c r="BQ212" i="1" s="1"/>
  <c r="BQ25" i="1"/>
  <c r="J107" i="15"/>
  <c r="J53" i="15"/>
  <c r="U29" i="11"/>
  <c r="AO19" i="11"/>
  <c r="AW18" i="11"/>
  <c r="AV36" i="11"/>
  <c r="AW36" i="11" s="1"/>
  <c r="AK17" i="11"/>
  <c r="R51" i="22"/>
  <c r="R57" i="22" s="1"/>
  <c r="AF38" i="22"/>
  <c r="AF50" i="22"/>
  <c r="AF56" i="22" s="1"/>
  <c r="P114" i="2"/>
  <c r="AP114" i="2"/>
  <c r="Z52" i="2"/>
  <c r="P46" i="15"/>
  <c r="P36" i="15"/>
  <c r="Q84" i="1"/>
  <c r="P104" i="1"/>
  <c r="W88" i="15"/>
  <c r="DN29" i="20" s="1"/>
  <c r="DI69" i="1"/>
  <c r="CH29" i="20"/>
  <c r="P59" i="15"/>
  <c r="AP114" i="52"/>
  <c r="O46" i="15"/>
  <c r="R84" i="1"/>
  <c r="E84" i="1"/>
  <c r="F58" i="22"/>
  <c r="BH100" i="1"/>
  <c r="BH121" i="1" s="1"/>
  <c r="BI90" i="1"/>
  <c r="AX12" i="3"/>
  <c r="AX51" i="3" s="1"/>
  <c r="CG60" i="1"/>
  <c r="X63" i="22"/>
  <c r="AZ102" i="1"/>
  <c r="AZ133" i="1" s="1"/>
  <c r="BA92" i="1"/>
  <c r="AS83" i="1"/>
  <c r="AR101" i="1"/>
  <c r="AS81" i="1"/>
  <c r="AS91" i="1"/>
  <c r="CV33" i="1"/>
  <c r="V138" i="10"/>
  <c r="X138" i="10" s="1"/>
  <c r="BQ81" i="20"/>
  <c r="Q111" i="52"/>
  <c r="T111" i="52" s="1"/>
  <c r="U15" i="15"/>
  <c r="U107" i="15" s="1"/>
  <c r="AP121" i="52"/>
  <c r="AP122" i="52" s="1"/>
  <c r="BT81" i="1"/>
  <c r="BU36" i="1"/>
  <c r="BU234" i="1" s="1"/>
  <c r="BB86" i="77"/>
  <c r="AI135" i="52"/>
  <c r="AH136" i="52"/>
  <c r="AZ123" i="1"/>
  <c r="AZ153" i="1" s="1"/>
  <c r="J83" i="77"/>
  <c r="K82" i="77"/>
  <c r="W175" i="5"/>
  <c r="K28" i="15"/>
  <c r="BJ83" i="77"/>
  <c r="BB87" i="77"/>
  <c r="BV81" i="77"/>
  <c r="BN81" i="77"/>
  <c r="BB81" i="77"/>
  <c r="F82" i="77"/>
  <c r="AG82" i="77"/>
  <c r="D83" i="77"/>
  <c r="AE163" i="9" s="1"/>
  <c r="AC163" i="9" s="1"/>
  <c r="AD163" i="9" s="1"/>
  <c r="E82" i="77"/>
  <c r="AE162" i="9"/>
  <c r="AC162" i="9" s="1"/>
  <c r="AD162" i="9" s="1"/>
  <c r="BN83" i="77"/>
  <c r="BB83" i="77"/>
  <c r="AE166" i="9"/>
  <c r="CJ14" i="1"/>
  <c r="AE82" i="77"/>
  <c r="D161" i="10"/>
  <c r="AH82" i="77"/>
  <c r="AI82" i="77" s="1"/>
  <c r="AK82" i="77" s="1"/>
  <c r="BC82" i="77" s="1"/>
  <c r="CK13" i="1"/>
  <c r="BR13" i="11" s="1"/>
  <c r="BR19" i="11"/>
  <c r="BR25" i="11" s="1"/>
  <c r="BR31" i="11" s="1"/>
  <c r="BR37" i="11" s="1"/>
  <c r="CK73" i="1"/>
  <c r="CH10" i="20"/>
  <c r="AR134" i="52"/>
  <c r="AF134" i="52" s="1"/>
  <c r="BF83" i="77"/>
  <c r="AP134" i="52"/>
  <c r="CH15" i="20"/>
  <c r="CJ63" i="1"/>
  <c r="BA19" i="98" s="1"/>
  <c r="CH23" i="20"/>
  <c r="H161" i="10"/>
  <c r="AT36" i="2"/>
  <c r="DQ82" i="20"/>
  <c r="W169" i="5"/>
  <c r="W173" i="5"/>
  <c r="DN17" i="20"/>
  <c r="D135" i="52"/>
  <c r="X171" i="5"/>
  <c r="X175" i="5"/>
  <c r="CK30" i="20"/>
  <c r="CN202" i="1"/>
  <c r="AT73" i="3"/>
  <c r="CJ211" i="1"/>
  <c r="Y175" i="5"/>
  <c r="Y171" i="5"/>
  <c r="Z171" i="5"/>
  <c r="Z175" i="5"/>
  <c r="AA175" i="5"/>
  <c r="AA171" i="5"/>
  <c r="AB175" i="5"/>
  <c r="AJ162" i="9"/>
  <c r="CH80" i="20"/>
  <c r="AV79" i="3"/>
  <c r="AV77" i="3" s="1"/>
  <c r="W97" i="5"/>
  <c r="W9" i="15" s="1"/>
  <c r="G83" i="77"/>
  <c r="F163" i="9"/>
  <c r="AX20" i="2"/>
  <c r="AT30" i="3"/>
  <c r="AT32" i="3" s="1"/>
  <c r="AB171" i="5"/>
  <c r="AB172" i="5" s="1"/>
  <c r="E86" i="77"/>
  <c r="AP86" i="77"/>
  <c r="BV83" i="77"/>
  <c r="BF86" i="77"/>
  <c r="V132" i="5"/>
  <c r="W132" i="5"/>
  <c r="K86" i="77"/>
  <c r="AT86" i="77"/>
  <c r="CO10" i="1"/>
  <c r="BV10" i="11" s="1"/>
  <c r="BV16" i="11" s="1"/>
  <c r="BV22" i="11" s="1"/>
  <c r="BV28" i="11" s="1"/>
  <c r="BV34" i="11" s="1"/>
  <c r="D165" i="10"/>
  <c r="CJ10" i="20"/>
  <c r="AE86" i="77"/>
  <c r="CO70" i="1"/>
  <c r="AH86" i="77"/>
  <c r="F86" i="77"/>
  <c r="BJ86" i="77"/>
  <c r="X154" i="9"/>
  <c r="BJ87" i="77"/>
  <c r="AT87" i="77"/>
  <c r="CK29" i="20"/>
  <c r="CN166" i="1"/>
  <c r="CL29" i="20"/>
  <c r="CN60" i="1"/>
  <c r="CN80" i="1" s="1"/>
  <c r="CN203" i="1"/>
  <c r="CL30" i="20"/>
  <c r="BX86" i="77"/>
  <c r="BM86" i="77" s="1"/>
  <c r="BM89" i="77" s="1"/>
  <c r="AR139" i="52"/>
  <c r="AB139" i="52" s="1"/>
  <c r="AH87" i="77"/>
  <c r="CO71" i="1"/>
  <c r="AE87" i="77"/>
  <c r="CN15" i="1"/>
  <c r="CP15" i="1" s="1"/>
  <c r="D166" i="10"/>
  <c r="CO11" i="1"/>
  <c r="BV11" i="11" s="1"/>
  <c r="BV17" i="11" s="1"/>
  <c r="BV23" i="11" s="1"/>
  <c r="BV29" i="11" s="1"/>
  <c r="BV35" i="11" s="1"/>
  <c r="CK10" i="20"/>
  <c r="CK42" i="20" s="1"/>
  <c r="BV86" i="77"/>
  <c r="CN167" i="1"/>
  <c r="F166" i="10"/>
  <c r="CK12" i="20"/>
  <c r="CN25" i="1"/>
  <c r="CK80" i="20"/>
  <c r="AJ166" i="9"/>
  <c r="CJ80" i="20"/>
  <c r="AQ166" i="9"/>
  <c r="AJ167" i="9"/>
  <c r="CM29" i="20"/>
  <c r="CM30" i="20"/>
  <c r="CK23" i="20"/>
  <c r="CN95" i="1"/>
  <c r="F87" i="77"/>
  <c r="E87" i="77"/>
  <c r="AP87" i="77"/>
  <c r="AG87" i="77"/>
  <c r="AI87" i="77" s="1"/>
  <c r="AK87" i="77" s="1"/>
  <c r="U167" i="9"/>
  <c r="BF87" i="77"/>
  <c r="AY87" i="77"/>
  <c r="AX87" i="77"/>
  <c r="CA87" i="77"/>
  <c r="BV87" i="77"/>
  <c r="P73" i="2"/>
  <c r="P120" i="2"/>
  <c r="P72" i="2"/>
  <c r="P71" i="2"/>
  <c r="P76" i="2"/>
  <c r="J19" i="11"/>
  <c r="J31" i="11"/>
  <c r="J25" i="11"/>
  <c r="P160" i="9"/>
  <c r="AC45" i="1"/>
  <c r="AZ209" i="1"/>
  <c r="AL39" i="22"/>
  <c r="AL51" i="22"/>
  <c r="AL57" i="22" s="1"/>
  <c r="CV13" i="1"/>
  <c r="AJ212" i="1"/>
  <c r="CV32" i="1"/>
  <c r="Q17" i="11"/>
  <c r="D41" i="22"/>
  <c r="D65" i="22" s="1"/>
  <c r="V151" i="10"/>
  <c r="X151" i="10" s="1"/>
  <c r="BX80" i="20"/>
  <c r="AQ114" i="9"/>
  <c r="V153" i="10"/>
  <c r="CB81" i="20"/>
  <c r="J22" i="11"/>
  <c r="J34" i="11"/>
  <c r="AJ50" i="52"/>
  <c r="AN203" i="1"/>
  <c r="AN201" i="1"/>
  <c r="K94" i="15" s="1"/>
  <c r="DB30" i="20" s="1"/>
  <c r="AQ138" i="9"/>
  <c r="AS138" i="9" s="1"/>
  <c r="AQ117" i="9"/>
  <c r="AJ148" i="9"/>
  <c r="I33" i="15"/>
  <c r="I36" i="15"/>
  <c r="I16" i="15"/>
  <c r="I19" i="15"/>
  <c r="I52" i="15"/>
  <c r="I31" i="15"/>
  <c r="R5" i="2"/>
  <c r="T5" i="2" s="1"/>
  <c r="V5" i="2" s="1"/>
  <c r="M104" i="52"/>
  <c r="AQ97" i="9"/>
  <c r="D97" i="9"/>
  <c r="Q40" i="52"/>
  <c r="T40" i="52" s="1"/>
  <c r="V66" i="10"/>
  <c r="AB55" i="10"/>
  <c r="K80" i="20"/>
  <c r="AJ57" i="9"/>
  <c r="BH74" i="1"/>
  <c r="P64" i="15" s="1"/>
  <c r="AY20" i="20"/>
  <c r="BY71" i="1"/>
  <c r="BX54" i="77"/>
  <c r="BZ54" i="77" s="1"/>
  <c r="X66" i="1"/>
  <c r="Y66" i="1" s="1"/>
  <c r="CC15" i="20"/>
  <c r="AP127" i="52"/>
  <c r="L112" i="10"/>
  <c r="BP36" i="11"/>
  <c r="B40" i="9"/>
  <c r="BE76" i="1"/>
  <c r="BY33" i="1"/>
  <c r="AH55" i="77"/>
  <c r="AA135" i="9"/>
  <c r="Z39" i="22"/>
  <c r="Z63" i="22" s="1"/>
  <c r="CL15" i="1"/>
  <c r="L75" i="2"/>
  <c r="AL50" i="22"/>
  <c r="AL56" i="22" s="1"/>
  <c r="AL38" i="22"/>
  <c r="AL62" i="22" s="1"/>
  <c r="T76" i="10"/>
  <c r="BT34" i="11"/>
  <c r="M161" i="9"/>
  <c r="Y76" i="1"/>
  <c r="B91" i="15"/>
  <c r="E52" i="15"/>
  <c r="AF22" i="2"/>
  <c r="AL139" i="52"/>
  <c r="AG165" i="52"/>
  <c r="AH165" i="52"/>
  <c r="P168" i="9"/>
  <c r="CE81" i="20"/>
  <c r="Q132" i="52"/>
  <c r="T132" i="52" s="1"/>
  <c r="V158" i="10"/>
  <c r="BF81" i="20"/>
  <c r="BB32" i="1"/>
  <c r="BU24" i="1"/>
  <c r="X88" i="15"/>
  <c r="AL77" i="3"/>
  <c r="AL78" i="3" s="1"/>
  <c r="P135" i="1"/>
  <c r="L25" i="2"/>
  <c r="L97" i="2"/>
  <c r="AF229" i="1"/>
  <c r="AF133" i="52"/>
  <c r="AM112" i="52"/>
  <c r="AN69" i="52"/>
  <c r="Q43" i="52"/>
  <c r="V69" i="10"/>
  <c r="N75" i="9"/>
  <c r="AN228" i="1" s="1"/>
  <c r="Q47" i="52"/>
  <c r="T47" i="52" s="1"/>
  <c r="AB40" i="22"/>
  <c r="AB52" i="22"/>
  <c r="AB58" i="22" s="1"/>
  <c r="V39" i="22"/>
  <c r="V51" i="22"/>
  <c r="V57" i="22" s="1"/>
  <c r="AH38" i="22"/>
  <c r="R71" i="2"/>
  <c r="R72" i="2"/>
  <c r="X78" i="9"/>
  <c r="AH78" i="52"/>
  <c r="N165" i="52"/>
  <c r="AM40" i="52"/>
  <c r="AB80" i="1"/>
  <c r="AC80" i="1" s="1"/>
  <c r="AB65" i="1"/>
  <c r="AC65" i="1" s="1"/>
  <c r="CV12" i="1"/>
  <c r="BR12" i="11"/>
  <c r="BR18" i="11" s="1"/>
  <c r="BR24" i="11" s="1"/>
  <c r="BR30" i="11" s="1"/>
  <c r="BR36" i="11" s="1"/>
  <c r="B36" i="11"/>
  <c r="B18" i="11"/>
  <c r="B30" i="11"/>
  <c r="B42" i="11"/>
  <c r="J73" i="3"/>
  <c r="J72" i="3" s="1"/>
  <c r="CV17" i="20"/>
  <c r="AX18" i="2"/>
  <c r="AZ18" i="2" s="1"/>
  <c r="BB18" i="2" s="1"/>
  <c r="BD18" i="2" s="1"/>
  <c r="BF18" i="2" s="1"/>
  <c r="BV61" i="1"/>
  <c r="Z113" i="52"/>
  <c r="AF50" i="52"/>
  <c r="AN41" i="52"/>
  <c r="N133" i="9"/>
  <c r="K133" i="9"/>
  <c r="B32" i="10"/>
  <c r="B41" i="9"/>
  <c r="B48" i="9" s="1"/>
  <c r="B46" i="10" s="1"/>
  <c r="BG20" i="20"/>
  <c r="BX53" i="77"/>
  <c r="BU62" i="1"/>
  <c r="AS62" i="1"/>
  <c r="AT62" i="1"/>
  <c r="AR82" i="1"/>
  <c r="BF61" i="1"/>
  <c r="AZ81" i="1"/>
  <c r="BA81" i="1" s="1"/>
  <c r="N67" i="2"/>
  <c r="BR22" i="1"/>
  <c r="J16" i="11"/>
  <c r="P53" i="15"/>
  <c r="S22" i="15"/>
  <c r="T23" i="15"/>
  <c r="R107" i="52"/>
  <c r="S107" i="52" s="1"/>
  <c r="N21" i="15"/>
  <c r="AN94" i="10" s="1"/>
  <c r="CV15" i="20"/>
  <c r="E61" i="15"/>
  <c r="E62" i="15" s="1"/>
  <c r="L134" i="52"/>
  <c r="M111" i="52"/>
  <c r="L106" i="52"/>
  <c r="AL98" i="52"/>
  <c r="N146" i="9"/>
  <c r="K146" i="9"/>
  <c r="BD212" i="1"/>
  <c r="BY61" i="1"/>
  <c r="AA48" i="77"/>
  <c r="S7" i="15"/>
  <c r="AH52" i="2"/>
  <c r="BU17" i="11"/>
  <c r="AA36" i="52"/>
  <c r="AI74" i="77"/>
  <c r="AK74" i="77" s="1"/>
  <c r="P153" i="9"/>
  <c r="AZ83" i="1"/>
  <c r="BA83" i="1" s="1"/>
  <c r="P80" i="10"/>
  <c r="AG17" i="11"/>
  <c r="J38" i="22"/>
  <c r="AL55" i="3"/>
  <c r="AK212" i="1"/>
  <c r="AJ58" i="9"/>
  <c r="Z143" i="52"/>
  <c r="BY231" i="1"/>
  <c r="BI74" i="1"/>
  <c r="X146" i="9"/>
  <c r="BA93" i="1"/>
  <c r="AZ103" i="1"/>
  <c r="AZ134" i="1" s="1"/>
  <c r="BD210" i="1"/>
  <c r="AT17" i="20" s="1"/>
  <c r="BD213" i="1"/>
  <c r="AR102" i="1"/>
  <c r="B39" i="10"/>
  <c r="AA113" i="52"/>
  <c r="X75" i="9"/>
  <c r="B55" i="9"/>
  <c r="B53" i="10" s="1"/>
  <c r="K88" i="77"/>
  <c r="L88" i="77" s="1"/>
  <c r="CO12" i="1"/>
  <c r="BV12" i="11" s="1"/>
  <c r="BV18" i="11" s="1"/>
  <c r="BV24" i="11" s="1"/>
  <c r="BV30" i="11" s="1"/>
  <c r="BV36" i="11" s="1"/>
  <c r="CL10" i="20"/>
  <c r="AH88" i="77"/>
  <c r="CN16" i="1"/>
  <c r="AR140" i="52"/>
  <c r="AB140" i="52" s="1"/>
  <c r="D167" i="10"/>
  <c r="L167" i="10" s="1"/>
  <c r="CO72" i="1"/>
  <c r="AE88" i="77"/>
  <c r="AP140" i="52"/>
  <c r="CP32" i="1"/>
  <c r="F167" i="10"/>
  <c r="CL12" i="20"/>
  <c r="CL23" i="20"/>
  <c r="CN96" i="1"/>
  <c r="AJ168" i="9"/>
  <c r="AL168" i="9" s="1"/>
  <c r="CL80" i="20"/>
  <c r="AI148" i="9"/>
  <c r="AB147" i="10" s="1"/>
  <c r="AD147" i="10" s="1"/>
  <c r="CL15" i="20"/>
  <c r="U168" i="9"/>
  <c r="E88" i="77"/>
  <c r="F88" i="77"/>
  <c r="AG88" i="77"/>
  <c r="AI88" i="77" s="1"/>
  <c r="AK88" i="77" s="1"/>
  <c r="AL65" i="1"/>
  <c r="AC60" i="1"/>
  <c r="T84" i="1"/>
  <c r="V64" i="1"/>
  <c r="U64" i="1"/>
  <c r="M7" i="20"/>
  <c r="AB58" i="20"/>
  <c r="BT42" i="11"/>
  <c r="Q19" i="11"/>
  <c r="M17" i="11"/>
  <c r="AF36" i="11"/>
  <c r="BI18" i="11"/>
  <c r="AK18" i="11"/>
  <c r="F22" i="11"/>
  <c r="A17" i="11"/>
  <c r="AS12" i="11"/>
  <c r="H111" i="10"/>
  <c r="F30" i="11"/>
  <c r="M28" i="11"/>
  <c r="F16" i="11"/>
  <c r="A29" i="11"/>
  <c r="F24" i="11"/>
  <c r="A35" i="11"/>
  <c r="F36" i="11"/>
  <c r="BU18" i="11"/>
  <c r="J69" i="10"/>
  <c r="A37" i="11"/>
  <c r="R52" i="74"/>
  <c r="J137" i="10"/>
  <c r="AH137" i="10" s="1"/>
  <c r="AJ137" i="10" s="1"/>
  <c r="A19" i="11"/>
  <c r="A25" i="11"/>
  <c r="AD82" i="20"/>
  <c r="N105" i="9"/>
  <c r="AS81" i="20"/>
  <c r="U72" i="9"/>
  <c r="AQ72" i="9" s="1"/>
  <c r="D75" i="9"/>
  <c r="H75" i="9" s="1"/>
  <c r="N57" i="9"/>
  <c r="B72" i="9"/>
  <c r="B70" i="10" s="1"/>
  <c r="B63" i="10"/>
  <c r="Q84" i="52"/>
  <c r="T84" i="52" s="1"/>
  <c r="V111" i="10"/>
  <c r="P80" i="20"/>
  <c r="Q133" i="52"/>
  <c r="T133" i="52" s="1"/>
  <c r="M160" i="9"/>
  <c r="N98" i="9"/>
  <c r="N97" i="9"/>
  <c r="N82" i="9"/>
  <c r="U80" i="20"/>
  <c r="BX232" i="1"/>
  <c r="Q104" i="52"/>
  <c r="T104" i="52" s="1"/>
  <c r="N132" i="9"/>
  <c r="K132" i="9"/>
  <c r="AQ81" i="20"/>
  <c r="Q61" i="52"/>
  <c r="V83" i="10"/>
  <c r="X83" i="10" s="1"/>
  <c r="Z83" i="10" s="1"/>
  <c r="N63" i="9"/>
  <c r="AF230" i="1" s="1"/>
  <c r="V61" i="10"/>
  <c r="AQ57" i="9"/>
  <c r="B50" i="9"/>
  <c r="B57" i="9" s="1"/>
  <c r="B55" i="10" s="1"/>
  <c r="B41" i="10"/>
  <c r="AC131" i="9"/>
  <c r="AD131" i="9" s="1"/>
  <c r="AS50" i="9"/>
  <c r="AS51" i="9" s="1"/>
  <c r="D168" i="9"/>
  <c r="H168" i="9" s="1"/>
  <c r="AQ111" i="9"/>
  <c r="D141" i="9"/>
  <c r="AQ78" i="9"/>
  <c r="AQ159" i="9"/>
  <c r="D166" i="9"/>
  <c r="H166" i="9" s="1"/>
  <c r="AQ84" i="9"/>
  <c r="AQ83" i="9"/>
  <c r="AQ154" i="9"/>
  <c r="D154" i="9"/>
  <c r="H154" i="9"/>
  <c r="D147" i="9"/>
  <c r="H147" i="9"/>
  <c r="AQ147" i="9"/>
  <c r="AQ146" i="9"/>
  <c r="AS146" i="9" s="1"/>
  <c r="AQ140" i="9"/>
  <c r="AS140" i="9"/>
  <c r="X140" i="9"/>
  <c r="I18" i="73"/>
  <c r="DH23" i="20"/>
  <c r="G87" i="77"/>
  <c r="CK50" i="20" s="1"/>
  <c r="BZ59" i="77"/>
  <c r="BP50" i="1"/>
  <c r="BF16" i="20" s="1"/>
  <c r="C24" i="73"/>
  <c r="C63" i="73" s="1"/>
  <c r="C103" i="73" s="1"/>
  <c r="DB29" i="20"/>
  <c r="D68" i="9"/>
  <c r="D55" i="9"/>
  <c r="H55" i="9" s="1"/>
  <c r="D23" i="9"/>
  <c r="X234" i="1"/>
  <c r="X232" i="1"/>
  <c r="Z232" i="1" s="1"/>
  <c r="E13" i="15"/>
  <c r="A22" i="11"/>
  <c r="D72" i="2"/>
  <c r="U100" i="9"/>
  <c r="AQ100" i="9" s="1"/>
  <c r="AQ98" i="9"/>
  <c r="AQ92" i="9"/>
  <c r="D92" i="9"/>
  <c r="A34" i="11"/>
  <c r="AP68" i="2"/>
  <c r="AP75" i="2" s="1"/>
  <c r="CG211" i="1"/>
  <c r="D37" i="9"/>
  <c r="D69" i="9"/>
  <c r="AN40" i="52"/>
  <c r="AF69" i="52"/>
  <c r="AB69" i="52"/>
  <c r="AF40" i="52"/>
  <c r="N124" i="52"/>
  <c r="AB119" i="52"/>
  <c r="AF119" i="52"/>
  <c r="N30" i="52"/>
  <c r="AB30" i="52"/>
  <c r="AJ30" i="52"/>
  <c r="N133" i="52"/>
  <c r="AJ125" i="52"/>
  <c r="AJ77" i="52"/>
  <c r="N77" i="52"/>
  <c r="AF77" i="52"/>
  <c r="AJ68" i="52"/>
  <c r="N19" i="52"/>
  <c r="AF99" i="52"/>
  <c r="AF28" i="52"/>
  <c r="AJ28" i="52"/>
  <c r="B79" i="9"/>
  <c r="B86" i="9" s="1"/>
  <c r="B93" i="9" s="1"/>
  <c r="B100" i="9" s="1"/>
  <c r="B107" i="9" s="1"/>
  <c r="B114" i="9" s="1"/>
  <c r="B121" i="9" s="1"/>
  <c r="B128" i="9" s="1"/>
  <c r="B135" i="9" s="1"/>
  <c r="B142" i="9" s="1"/>
  <c r="B149" i="9" s="1"/>
  <c r="B156" i="9" s="1"/>
  <c r="B163" i="9" s="1"/>
  <c r="B170" i="9" s="1"/>
  <c r="B177" i="9" s="1"/>
  <c r="X97" i="9"/>
  <c r="H83" i="9"/>
  <c r="Z234" i="1"/>
  <c r="H68" i="9"/>
  <c r="C97" i="73"/>
  <c r="AF67" i="2"/>
  <c r="B83" i="15"/>
  <c r="CO51" i="1"/>
  <c r="CN52" i="1"/>
  <c r="CO52" i="1" s="1"/>
  <c r="CN50" i="1"/>
  <c r="CO50" i="1" s="1"/>
  <c r="D24" i="73"/>
  <c r="D63" i="73" s="1"/>
  <c r="D103" i="73" s="1"/>
  <c r="DC29" i="20"/>
  <c r="B13" i="15"/>
  <c r="C8" i="15"/>
  <c r="CT10" i="20"/>
  <c r="C52" i="15"/>
  <c r="I38" i="15"/>
  <c r="V28" i="15"/>
  <c r="V53" i="15"/>
  <c r="N12" i="73"/>
  <c r="DC65" i="20"/>
  <c r="V172" i="10"/>
  <c r="V173" i="10"/>
  <c r="AQ133" i="9"/>
  <c r="AS133" i="9" s="1"/>
  <c r="D140" i="9"/>
  <c r="AQ134" i="9"/>
  <c r="AS134" i="9"/>
  <c r="M174" i="9"/>
  <c r="BR52" i="20"/>
  <c r="D176" i="9"/>
  <c r="U176" i="9" s="1"/>
  <c r="N94" i="10"/>
  <c r="J145" i="10"/>
  <c r="R145" i="10" s="1"/>
  <c r="L166" i="10"/>
  <c r="L94" i="10"/>
  <c r="J139" i="10"/>
  <c r="AL139" i="10" s="1"/>
  <c r="N87" i="10"/>
  <c r="T117" i="10"/>
  <c r="L132" i="10"/>
  <c r="L161" i="10"/>
  <c r="N88" i="10"/>
  <c r="P139" i="10"/>
  <c r="P81" i="10"/>
  <c r="P138" i="10"/>
  <c r="N137" i="10"/>
  <c r="R51" i="74" s="1"/>
  <c r="N90" i="10"/>
  <c r="T133" i="10"/>
  <c r="AD55" i="10"/>
  <c r="AF55" i="10" s="1"/>
  <c r="P55" i="10"/>
  <c r="J80" i="10"/>
  <c r="AH80" i="10" s="1"/>
  <c r="X55" i="10"/>
  <c r="P88" i="10"/>
  <c r="J81" i="10"/>
  <c r="T97" i="10"/>
  <c r="P165" i="10"/>
  <c r="N152" i="10"/>
  <c r="C51" i="74" s="1"/>
  <c r="N154" i="10"/>
  <c r="X110" i="10"/>
  <c r="J110" i="10"/>
  <c r="J105" i="10"/>
  <c r="R105" i="10" s="1"/>
  <c r="P104" i="10"/>
  <c r="P105" i="10"/>
  <c r="F98" i="10"/>
  <c r="J167" i="10"/>
  <c r="J66" i="10"/>
  <c r="AL66" i="10" s="1"/>
  <c r="P66" i="10"/>
  <c r="P52" i="10"/>
  <c r="P147" i="10"/>
  <c r="J147" i="10"/>
  <c r="X159" i="10"/>
  <c r="N133" i="10"/>
  <c r="P133" i="10"/>
  <c r="P137" i="10"/>
  <c r="L130" i="10"/>
  <c r="X125" i="10"/>
  <c r="N132" i="10"/>
  <c r="P87" i="10"/>
  <c r="N73" i="10"/>
  <c r="N55" i="10"/>
  <c r="X104" i="10"/>
  <c r="D142" i="73"/>
  <c r="R139" i="10"/>
  <c r="N176" i="9"/>
  <c r="K176" i="9"/>
  <c r="D174" i="9"/>
  <c r="D175" i="9"/>
  <c r="D146" i="52"/>
  <c r="D147" i="52"/>
  <c r="CR213" i="1"/>
  <c r="D145" i="52"/>
  <c r="CR212" i="1"/>
  <c r="CT22" i="1"/>
  <c r="Z145" i="52"/>
  <c r="Z149" i="52" s="1"/>
  <c r="AA149" i="52" s="1"/>
  <c r="Z146" i="52"/>
  <c r="AD145" i="52"/>
  <c r="AD146" i="52"/>
  <c r="AH146" i="52"/>
  <c r="AH145" i="52"/>
  <c r="CR175" i="1"/>
  <c r="D90" i="77"/>
  <c r="AQ155" i="9"/>
  <c r="AS155" i="9" s="1"/>
  <c r="AI51" i="77"/>
  <c r="AK51" i="77" s="1"/>
  <c r="W16" i="5"/>
  <c r="V8" i="5"/>
  <c r="U156" i="9"/>
  <c r="BG76" i="77"/>
  <c r="AE156" i="9"/>
  <c r="AC156" i="9" s="1"/>
  <c r="AD156" i="9" s="1"/>
  <c r="S8" i="5"/>
  <c r="E62" i="77"/>
  <c r="AE135" i="9"/>
  <c r="BG54" i="77"/>
  <c r="AQ153" i="9"/>
  <c r="AC96" i="77"/>
  <c r="AW96" i="77" s="1"/>
  <c r="AX96" i="77" s="1"/>
  <c r="AT69" i="77"/>
  <c r="AS55" i="77"/>
  <c r="AU55" i="77" s="1"/>
  <c r="X160" i="9"/>
  <c r="D167" i="9"/>
  <c r="H167" i="9"/>
  <c r="AY83" i="77"/>
  <c r="AU62" i="77"/>
  <c r="T58" i="77"/>
  <c r="T65" i="77" s="1"/>
  <c r="W51" i="77"/>
  <c r="U163" i="9"/>
  <c r="AQ163" i="9" s="1"/>
  <c r="W10" i="5"/>
  <c r="BK83" i="77"/>
  <c r="AI75" i="77"/>
  <c r="AK75" i="77" s="1"/>
  <c r="AI67" i="77"/>
  <c r="AK67" i="77" s="1"/>
  <c r="AT65" i="77"/>
  <c r="BZ86" i="77"/>
  <c r="N59" i="77"/>
  <c r="R59" i="77" s="1"/>
  <c r="N58" i="77"/>
  <c r="R58" i="77" s="1"/>
  <c r="BG75" i="77"/>
  <c r="BF82" i="77"/>
  <c r="D138" i="9"/>
  <c r="H138" i="9" s="1"/>
  <c r="AQ132" i="9"/>
  <c r="AS132" i="9" s="1"/>
  <c r="AP75" i="77"/>
  <c r="AT72" i="77"/>
  <c r="AQ62" i="77"/>
  <c r="AO55" i="77"/>
  <c r="BN61" i="77"/>
  <c r="BN68" i="77"/>
  <c r="K68" i="77"/>
  <c r="AG61" i="77"/>
  <c r="AI61" i="77" s="1"/>
  <c r="AK61" i="77" s="1"/>
  <c r="Q146" i="52"/>
  <c r="T146" i="52" s="1"/>
  <c r="Q147" i="52"/>
  <c r="T147" i="52" s="1"/>
  <c r="M175" i="9"/>
  <c r="AX89" i="77"/>
  <c r="AY90" i="77"/>
  <c r="AD90" i="77"/>
  <c r="K89" i="77"/>
  <c r="J90" i="77"/>
  <c r="AU90" i="77" s="1"/>
  <c r="H53" i="22"/>
  <c r="H59" i="22" s="1"/>
  <c r="N38" i="22"/>
  <c r="N62" i="22" s="1"/>
  <c r="N50" i="22"/>
  <c r="N56" i="22" s="1"/>
  <c r="N39" i="22"/>
  <c r="N51" i="22"/>
  <c r="N57" i="22" s="1"/>
  <c r="P41" i="22"/>
  <c r="AH53" i="22"/>
  <c r="AH59" i="22"/>
  <c r="P53" i="22"/>
  <c r="AD40" i="22"/>
  <c r="AD64" i="22" s="1"/>
  <c r="J50" i="22"/>
  <c r="J56" i="22"/>
  <c r="AJ52" i="22"/>
  <c r="AJ58" i="22" s="1"/>
  <c r="AH41" i="22"/>
  <c r="K8" i="73"/>
  <c r="K126" i="73" s="1"/>
  <c r="DJ12" i="20"/>
  <c r="AL67" i="2"/>
  <c r="G8" i="73"/>
  <c r="P33" i="15"/>
  <c r="P27" i="15"/>
  <c r="L59" i="10"/>
  <c r="BB89" i="77"/>
  <c r="BB90" i="77"/>
  <c r="CO73" i="1"/>
  <c r="CO13" i="1"/>
  <c r="BV13" i="11" s="1"/>
  <c r="BV19" i="11" s="1"/>
  <c r="BV25" i="11" s="1"/>
  <c r="BV31" i="11" s="1"/>
  <c r="BV37" i="11" s="1"/>
  <c r="AH89" i="77"/>
  <c r="CN14" i="1"/>
  <c r="F89" i="77"/>
  <c r="AE89" i="77"/>
  <c r="AR141" i="52"/>
  <c r="AF141" i="52" s="1"/>
  <c r="CM10" i="20"/>
  <c r="D168" i="10"/>
  <c r="L168" i="10" s="1"/>
  <c r="L88" i="10"/>
  <c r="T159" i="10"/>
  <c r="J124" i="10"/>
  <c r="AH124" i="10" s="1"/>
  <c r="AJ124" i="10" s="1"/>
  <c r="N104" i="10"/>
  <c r="T104" i="10"/>
  <c r="J96" i="10"/>
  <c r="X90" i="10"/>
  <c r="P90" i="10"/>
  <c r="T90" i="10"/>
  <c r="F77" i="10"/>
  <c r="AJ76" i="10"/>
  <c r="T69" i="10"/>
  <c r="L60" i="10"/>
  <c r="T146" i="10"/>
  <c r="AH147" i="10"/>
  <c r="AJ147" i="10" s="1"/>
  <c r="R147" i="10"/>
  <c r="L131" i="10"/>
  <c r="L138" i="10"/>
  <c r="J97" i="10"/>
  <c r="J76" i="10"/>
  <c r="AL76" i="10" s="1"/>
  <c r="N96" i="10"/>
  <c r="T110" i="10"/>
  <c r="F148" i="10"/>
  <c r="J46" i="10"/>
  <c r="AH46" i="10" s="1"/>
  <c r="J161" i="10"/>
  <c r="X160" i="10"/>
  <c r="N167" i="10"/>
  <c r="N160" i="10"/>
  <c r="T126" i="10"/>
  <c r="T119" i="10"/>
  <c r="P119" i="10"/>
  <c r="X116" i="10"/>
  <c r="N116" i="10"/>
  <c r="J117" i="10"/>
  <c r="AH117" i="10" s="1"/>
  <c r="AJ117" i="10" s="1"/>
  <c r="AD48" i="10"/>
  <c r="AF48" i="10" s="1"/>
  <c r="T116" i="10"/>
  <c r="P97" i="10"/>
  <c r="L158" i="10"/>
  <c r="N126" i="10"/>
  <c r="L160" i="10"/>
  <c r="L145" i="10"/>
  <c r="J126" i="10"/>
  <c r="P126" i="10"/>
  <c r="N97" i="10"/>
  <c r="J62" i="10"/>
  <c r="N68" i="10"/>
  <c r="P102" i="10"/>
  <c r="J102" i="10"/>
  <c r="R102" i="10" s="1"/>
  <c r="J103" i="10"/>
  <c r="L153" i="10"/>
  <c r="J160" i="10"/>
  <c r="R160" i="10" s="1"/>
  <c r="T152" i="10"/>
  <c r="J131" i="10"/>
  <c r="N112" i="10"/>
  <c r="T60" i="10"/>
  <c r="F63" i="10"/>
  <c r="P160" i="10"/>
  <c r="N166" i="10"/>
  <c r="L124" i="10"/>
  <c r="P109" i="10"/>
  <c r="AJ109" i="10"/>
  <c r="P110" i="10"/>
  <c r="N109" i="10"/>
  <c r="J104" i="10"/>
  <c r="X103" i="10"/>
  <c r="Z110" i="10"/>
  <c r="AJ52" i="10"/>
  <c r="P152" i="10"/>
  <c r="J151" i="10"/>
  <c r="R151" i="10" s="1"/>
  <c r="P151" i="10"/>
  <c r="N60" i="10"/>
  <c r="AJ53" i="10"/>
  <c r="T165" i="10"/>
  <c r="D141" i="10"/>
  <c r="L141" i="10" s="1"/>
  <c r="L117" i="10"/>
  <c r="N159" i="10"/>
  <c r="J152" i="10"/>
  <c r="T105" i="10"/>
  <c r="R109" i="10"/>
  <c r="T102" i="10"/>
  <c r="J89" i="10"/>
  <c r="P89" i="10"/>
  <c r="J87" i="10"/>
  <c r="R87" i="10" s="1"/>
  <c r="AJ83" i="10"/>
  <c r="J67" i="10"/>
  <c r="AJ55" i="10"/>
  <c r="J55" i="10"/>
  <c r="E130" i="73"/>
  <c r="V89" i="5"/>
  <c r="AV73" i="3"/>
  <c r="BQ94" i="77"/>
  <c r="BR93" i="77"/>
  <c r="CN63" i="1"/>
  <c r="BA26" i="98" s="1"/>
  <c r="X7" i="15"/>
  <c r="X59" i="15" s="1"/>
  <c r="AH90" i="77"/>
  <c r="CO14" i="1"/>
  <c r="AP141" i="52"/>
  <c r="CN34" i="1"/>
  <c r="X15" i="15" s="1"/>
  <c r="AV68" i="2" s="1"/>
  <c r="CP33" i="1"/>
  <c r="CM15" i="20"/>
  <c r="F168" i="10"/>
  <c r="T167" i="10" s="1"/>
  <c r="CM12" i="20"/>
  <c r="CN24" i="1"/>
  <c r="F169" i="10" s="1"/>
  <c r="AH151" i="10"/>
  <c r="AJ151" i="10" s="1"/>
  <c r="CM80" i="20"/>
  <c r="AJ169" i="9"/>
  <c r="AJ170" i="9" s="1"/>
  <c r="CN211" i="1"/>
  <c r="AN109" i="10"/>
  <c r="I28" i="15"/>
  <c r="AN51" i="1"/>
  <c r="AN55" i="1" s="1"/>
  <c r="AL109" i="10"/>
  <c r="DN16" i="20"/>
  <c r="X45" i="15"/>
  <c r="Y45" i="15" s="1"/>
  <c r="Z45" i="15" s="1"/>
  <c r="AN50" i="1"/>
  <c r="I22" i="15"/>
  <c r="AN112" i="10"/>
  <c r="J28" i="15"/>
  <c r="X22" i="15"/>
  <c r="P22" i="15"/>
  <c r="AN117" i="10"/>
  <c r="Q90" i="15"/>
  <c r="R90" i="15" s="1"/>
  <c r="S90" i="15" s="1"/>
  <c r="T90" i="15" s="1"/>
  <c r="DE72" i="20"/>
  <c r="W88" i="5"/>
  <c r="C30" i="92"/>
  <c r="BR90" i="77"/>
  <c r="BJ90" i="77"/>
  <c r="X12" i="15"/>
  <c r="AV67" i="2" s="1"/>
  <c r="CO54" i="1"/>
  <c r="CN83" i="1"/>
  <c r="AP90" i="77"/>
  <c r="AG89" i="77"/>
  <c r="E89" i="77"/>
  <c r="BX89" i="77"/>
  <c r="CM23" i="20"/>
  <c r="CN94" i="1"/>
  <c r="J6" i="74"/>
  <c r="AN49" i="94"/>
  <c r="N43" i="94"/>
  <c r="D42" i="94"/>
  <c r="I42" i="94" s="1"/>
  <c r="D30" i="94"/>
  <c r="D37" i="94"/>
  <c r="I37" i="94" s="1"/>
  <c r="N44" i="94"/>
  <c r="D44" i="94"/>
  <c r="I44" i="94" s="1"/>
  <c r="V52" i="94"/>
  <c r="AC50" i="94"/>
  <c r="D50" i="94"/>
  <c r="I50" i="94" s="1"/>
  <c r="AU49" i="94"/>
  <c r="D49" i="94"/>
  <c r="I49" i="94" s="1"/>
  <c r="L44" i="94"/>
  <c r="L48" i="94"/>
  <c r="D29" i="94"/>
  <c r="L37" i="94"/>
  <c r="D35" i="94"/>
  <c r="I35" i="94" s="1"/>
  <c r="N37" i="94"/>
  <c r="D36" i="94"/>
  <c r="I36" i="94" s="1"/>
  <c r="L51" i="94"/>
  <c r="DP16" i="20"/>
  <c r="W16" i="20"/>
  <c r="BN90" i="77"/>
  <c r="X70" i="15"/>
  <c r="P18" i="73" s="1"/>
  <c r="AC42" i="94"/>
  <c r="AC49" i="94"/>
  <c r="AC43" i="94"/>
  <c r="V58" i="94"/>
  <c r="I33" i="98" s="1"/>
  <c r="N36" i="94"/>
  <c r="BF90" i="77"/>
  <c r="DO23" i="20"/>
  <c r="H168" i="10"/>
  <c r="AC44" i="94"/>
  <c r="BV90" i="77"/>
  <c r="J168" i="10"/>
  <c r="AV30" i="3"/>
  <c r="C17" i="92" s="1"/>
  <c r="C18" i="92" s="1"/>
  <c r="AV36" i="2"/>
  <c r="CH60" i="20"/>
  <c r="K55" i="94"/>
  <c r="AQ169" i="9"/>
  <c r="AX79" i="3"/>
  <c r="AX78" i="3" s="1"/>
  <c r="D15" i="92"/>
  <c r="AX77" i="3"/>
  <c r="AZ79" i="3"/>
  <c r="AZ77" i="3" s="1"/>
  <c r="E15" i="92"/>
  <c r="BB79" i="3"/>
  <c r="BB77" i="3" s="1"/>
  <c r="BB78" i="3" s="1"/>
  <c r="F15" i="92"/>
  <c r="G15" i="92"/>
  <c r="H15" i="92" s="1"/>
  <c r="I15" i="92" s="1"/>
  <c r="J15" i="92" s="1"/>
  <c r="BD79" i="3"/>
  <c r="BF79" i="3"/>
  <c r="BF77" i="3" s="1"/>
  <c r="C4" i="89"/>
  <c r="H194" i="89"/>
  <c r="G56" i="89"/>
  <c r="H68" i="89"/>
  <c r="H76" i="89"/>
  <c r="H79" i="89"/>
  <c r="I4" i="89"/>
  <c r="O190" i="89"/>
  <c r="H195" i="89"/>
  <c r="H196" i="89"/>
  <c r="N190" i="89"/>
  <c r="H77" i="89"/>
  <c r="H81" i="89"/>
  <c r="H80" i="89"/>
  <c r="H78" i="89"/>
  <c r="P190" i="89"/>
  <c r="AR52" i="1" l="1"/>
  <c r="AR51" i="1"/>
  <c r="AR50" i="1"/>
  <c r="AR53" i="1"/>
  <c r="AS53" i="1" s="1"/>
  <c r="D97" i="2"/>
  <c r="D99" i="2" s="1"/>
  <c r="D112" i="2" s="1"/>
  <c r="D25" i="2"/>
  <c r="BC74" i="77"/>
  <c r="BO74" i="77"/>
  <c r="M120" i="52"/>
  <c r="M113" i="52"/>
  <c r="N60" i="77"/>
  <c r="R53" i="77"/>
  <c r="DK29" i="20"/>
  <c r="L24" i="73"/>
  <c r="L63" i="73" s="1"/>
  <c r="L103" i="73" s="1"/>
  <c r="X123" i="1"/>
  <c r="X133" i="1"/>
  <c r="J8" i="73"/>
  <c r="J47" i="73" s="1"/>
  <c r="AJ67" i="2"/>
  <c r="DI12" i="20"/>
  <c r="L84" i="10"/>
  <c r="R73" i="10"/>
  <c r="AL73" i="10"/>
  <c r="AH73" i="10"/>
  <c r="AH166" i="10"/>
  <c r="AJ166" i="10" s="1"/>
  <c r="R166" i="10"/>
  <c r="L18" i="73"/>
  <c r="L57" i="73" s="1"/>
  <c r="DK23" i="20"/>
  <c r="H52" i="22"/>
  <c r="H58" i="22" s="1"/>
  <c r="H40" i="22"/>
  <c r="H64" i="22" s="1"/>
  <c r="AA120" i="52"/>
  <c r="AA127" i="52"/>
  <c r="AC93" i="1"/>
  <c r="AC83" i="1"/>
  <c r="AD95" i="15"/>
  <c r="AB95" i="15"/>
  <c r="AC95" i="15" s="1"/>
  <c r="D91" i="52"/>
  <c r="D92" i="52"/>
  <c r="R138" i="10"/>
  <c r="AQ118" i="9"/>
  <c r="D118" i="9"/>
  <c r="BO79" i="77"/>
  <c r="BU81" i="20"/>
  <c r="V144" i="10"/>
  <c r="BH213" i="1"/>
  <c r="BI213" i="1" s="1"/>
  <c r="BM213" i="1" s="1"/>
  <c r="AX17" i="20"/>
  <c r="AG82" i="1"/>
  <c r="AF102" i="1"/>
  <c r="AF123" i="1" s="1"/>
  <c r="AF153" i="1" s="1"/>
  <c r="AG92" i="1"/>
  <c r="AS34" i="11"/>
  <c r="AR40" i="11"/>
  <c r="J51" i="22"/>
  <c r="J57" i="22"/>
  <c r="J39" i="22"/>
  <c r="AL63" i="22"/>
  <c r="E33" i="74"/>
  <c r="J33" i="74" s="1"/>
  <c r="AE29" i="52"/>
  <c r="CO75" i="1"/>
  <c r="R13" i="98"/>
  <c r="F13" i="98"/>
  <c r="BN10" i="11"/>
  <c r="BN16" i="11" s="1"/>
  <c r="BN22" i="11" s="1"/>
  <c r="BN28" i="11" s="1"/>
  <c r="BN34" i="11" s="1"/>
  <c r="E9" i="98"/>
  <c r="CR2" i="1"/>
  <c r="CS2" i="1" s="1"/>
  <c r="N82" i="10"/>
  <c r="N138" i="10"/>
  <c r="J123" i="10"/>
  <c r="T137" i="10"/>
  <c r="O59" i="15"/>
  <c r="D139" i="9"/>
  <c r="H139" i="9" s="1"/>
  <c r="R46" i="77"/>
  <c r="BK55" i="77"/>
  <c r="K83" i="77"/>
  <c r="AJ73" i="10"/>
  <c r="P154" i="10"/>
  <c r="R110" i="10"/>
  <c r="X123" i="10"/>
  <c r="Z130" i="10" s="1"/>
  <c r="J82" i="10"/>
  <c r="AB231" i="1"/>
  <c r="AD231" i="1" s="1"/>
  <c r="D96" i="9"/>
  <c r="H96" i="9" s="1"/>
  <c r="D71" i="2"/>
  <c r="C61" i="15"/>
  <c r="C153" i="5" s="1"/>
  <c r="R154" i="9"/>
  <c r="D161" i="9"/>
  <c r="H161" i="9" s="1"/>
  <c r="H141" i="9"/>
  <c r="AF81" i="1"/>
  <c r="AF85" i="1" s="1"/>
  <c r="N55" i="9"/>
  <c r="AB229" i="1" s="1"/>
  <c r="AD229" i="1" s="1"/>
  <c r="V166" i="10"/>
  <c r="X166" i="10" s="1"/>
  <c r="Z166" i="10" s="1"/>
  <c r="AB165" i="52"/>
  <c r="U175" i="52"/>
  <c r="AS169" i="9"/>
  <c r="AU169" i="9" s="1"/>
  <c r="AP142" i="52"/>
  <c r="R104" i="10"/>
  <c r="R80" i="10"/>
  <c r="AH67" i="10"/>
  <c r="N89" i="10"/>
  <c r="J155" i="10"/>
  <c r="D63" i="10"/>
  <c r="L140" i="10"/>
  <c r="P132" i="10"/>
  <c r="AH103" i="10"/>
  <c r="AJ103" i="10" s="1"/>
  <c r="AH126" i="10"/>
  <c r="AJ126" i="10" s="1"/>
  <c r="X153" i="10"/>
  <c r="AL138" i="10"/>
  <c r="Z90" i="10"/>
  <c r="P124" i="10"/>
  <c r="L5" i="95"/>
  <c r="L6" i="95" s="1"/>
  <c r="DF12" i="20"/>
  <c r="J62" i="22"/>
  <c r="AJ57" i="22"/>
  <c r="L59" i="22"/>
  <c r="AS68" i="77"/>
  <c r="Y51" i="77"/>
  <c r="AA51" i="77" s="1"/>
  <c r="R52" i="77"/>
  <c r="CA68" i="77"/>
  <c r="D153" i="9"/>
  <c r="H153" i="9" s="1"/>
  <c r="R153" i="9" s="1"/>
  <c r="X153" i="9"/>
  <c r="Z153" i="9" s="1"/>
  <c r="AQ145" i="9"/>
  <c r="J74" i="10"/>
  <c r="N153" i="10"/>
  <c r="L83" i="10"/>
  <c r="J153" i="10"/>
  <c r="AH153" i="10" s="1"/>
  <c r="AJ153" i="10" s="1"/>
  <c r="N130" i="10"/>
  <c r="P82" i="10"/>
  <c r="N102" i="10"/>
  <c r="AF91" i="52"/>
  <c r="L105" i="10"/>
  <c r="D57" i="9"/>
  <c r="D56" i="9"/>
  <c r="DL15" i="20"/>
  <c r="AK211" i="1"/>
  <c r="BD232" i="1"/>
  <c r="AB90" i="10"/>
  <c r="AD90" i="10" s="1"/>
  <c r="AF90" i="10" s="1"/>
  <c r="AH69" i="10"/>
  <c r="AC17" i="11"/>
  <c r="AC90" i="1"/>
  <c r="CK17" i="20"/>
  <c r="T166" i="10"/>
  <c r="B62" i="9"/>
  <c r="AB100" i="1"/>
  <c r="E16" i="15"/>
  <c r="BB61" i="1"/>
  <c r="N134" i="9"/>
  <c r="X134" i="9" s="1"/>
  <c r="AJ78" i="52"/>
  <c r="CV11" i="1"/>
  <c r="D64" i="9"/>
  <c r="AJ145" i="9"/>
  <c r="AJ149" i="9" s="1"/>
  <c r="M19" i="11"/>
  <c r="L98" i="2"/>
  <c r="BA61" i="77"/>
  <c r="BB68" i="77" s="1"/>
  <c r="AF53" i="22"/>
  <c r="AF65" i="22" s="1"/>
  <c r="D124" i="9"/>
  <c r="H124" i="9" s="1"/>
  <c r="DF10" i="20"/>
  <c r="BR21" i="1"/>
  <c r="P72" i="3"/>
  <c r="AO17" i="11"/>
  <c r="BC19" i="98"/>
  <c r="W7" i="15"/>
  <c r="R20" i="98"/>
  <c r="U20" i="98" s="1"/>
  <c r="F20" i="98"/>
  <c r="P20" i="98"/>
  <c r="BU34" i="1"/>
  <c r="Z145" i="10"/>
  <c r="M94" i="1"/>
  <c r="AX60" i="1"/>
  <c r="AV83" i="1"/>
  <c r="BT75" i="1"/>
  <c r="BU75" i="1" s="1"/>
  <c r="BT96" i="1"/>
  <c r="AL61" i="52"/>
  <c r="AA117" i="52"/>
  <c r="T175" i="52"/>
  <c r="BF62" i="1"/>
  <c r="AF42" i="11"/>
  <c r="BJ33" i="1"/>
  <c r="M167" i="9"/>
  <c r="BL81" i="1"/>
  <c r="BB63" i="1"/>
  <c r="R64" i="1"/>
  <c r="CJ212" i="1"/>
  <c r="D90" i="9"/>
  <c r="M12" i="73"/>
  <c r="M51" i="73" s="1"/>
  <c r="CB15" i="20"/>
  <c r="CG30" i="1"/>
  <c r="AI62" i="77"/>
  <c r="BN32" i="1"/>
  <c r="BD82" i="1"/>
  <c r="BD102" i="1" s="1"/>
  <c r="AG69" i="77"/>
  <c r="AX15" i="20"/>
  <c r="BA15" i="20"/>
  <c r="BA40" i="20" s="1"/>
  <c r="AB212" i="1"/>
  <c r="AG212" i="1" s="1"/>
  <c r="CP21" i="1"/>
  <c r="AW61" i="1"/>
  <c r="D68" i="77"/>
  <c r="L41" i="22"/>
  <c r="L65" i="22" s="1"/>
  <c r="CY33" i="1"/>
  <c r="AY23" i="20"/>
  <c r="K40" i="20"/>
  <c r="AB127" i="52"/>
  <c r="AM119" i="52"/>
  <c r="AB99" i="52"/>
  <c r="AA78" i="52"/>
  <c r="AI80" i="77"/>
  <c r="AK80" i="77" s="1"/>
  <c r="BN75" i="77"/>
  <c r="AI66" i="77"/>
  <c r="AK66" i="77" s="1"/>
  <c r="AI65" i="77"/>
  <c r="AK65" i="77" s="1"/>
  <c r="AI58" i="77"/>
  <c r="AK58" i="77" s="1"/>
  <c r="BC58" i="77" s="1"/>
  <c r="BZ53" i="77"/>
  <c r="AC149" i="9"/>
  <c r="AD149" i="9" s="1"/>
  <c r="X82" i="10"/>
  <c r="AJ65" i="9"/>
  <c r="BJ232" i="1"/>
  <c r="CB213" i="1"/>
  <c r="BE211" i="1"/>
  <c r="BL23" i="20"/>
  <c r="AK76" i="1"/>
  <c r="BH20" i="20"/>
  <c r="BJ54" i="1"/>
  <c r="CH32" i="1"/>
  <c r="CY32" i="1" s="1"/>
  <c r="BU25" i="1"/>
  <c r="CH22" i="1"/>
  <c r="CG16" i="1"/>
  <c r="BA76" i="1"/>
  <c r="Y75" i="1"/>
  <c r="BN12" i="11"/>
  <c r="BN18" i="11" s="1"/>
  <c r="BN24" i="11" s="1"/>
  <c r="BN30" i="11" s="1"/>
  <c r="BN36" i="11" s="1"/>
  <c r="E11" i="98"/>
  <c r="T12" i="5"/>
  <c r="I91" i="15"/>
  <c r="AV54" i="1"/>
  <c r="AV50" i="1" s="1"/>
  <c r="AL87" i="10"/>
  <c r="T145" i="10"/>
  <c r="T132" i="10"/>
  <c r="L118" i="10"/>
  <c r="X81" i="10"/>
  <c r="Z81" i="10" s="1"/>
  <c r="X66" i="10"/>
  <c r="R59" i="10"/>
  <c r="D56" i="10"/>
  <c r="T48" i="10"/>
  <c r="Q31" i="11"/>
  <c r="T50" i="22"/>
  <c r="AU83" i="77"/>
  <c r="BU16" i="11"/>
  <c r="BY16" i="11"/>
  <c r="CP22" i="1"/>
  <c r="AC173" i="9"/>
  <c r="AD173" i="9" s="1"/>
  <c r="AC174" i="9"/>
  <c r="AD174" i="9" s="1"/>
  <c r="BQ95" i="77"/>
  <c r="BR95" i="77" s="1"/>
  <c r="J67" i="89"/>
  <c r="L117" i="89"/>
  <c r="AN50" i="94"/>
  <c r="BT43" i="11"/>
  <c r="R167" i="9"/>
  <c r="AH62" i="22"/>
  <c r="AL145" i="9"/>
  <c r="AN145" i="9" s="1"/>
  <c r="CF80" i="1"/>
  <c r="CG80" i="1" s="1"/>
  <c r="BA9" i="98"/>
  <c r="DJ30" i="1"/>
  <c r="H76" i="9"/>
  <c r="CB66" i="1"/>
  <c r="X95" i="10"/>
  <c r="M35" i="11"/>
  <c r="AD56" i="94"/>
  <c r="BZ89" i="77"/>
  <c r="AI89" i="77"/>
  <c r="AK89" i="77" s="1"/>
  <c r="CN210" i="1"/>
  <c r="CM17" i="20" s="1"/>
  <c r="BC26" i="98"/>
  <c r="BB26" i="98"/>
  <c r="J94" i="10"/>
  <c r="L144" i="10"/>
  <c r="Z103" i="10"/>
  <c r="N123" i="10"/>
  <c r="P131" i="10"/>
  <c r="J130" i="10"/>
  <c r="AH130" i="10" s="1"/>
  <c r="AJ130" i="10" s="1"/>
  <c r="P75" i="10"/>
  <c r="N124" i="10"/>
  <c r="J132" i="10"/>
  <c r="AH132" i="10" s="1"/>
  <c r="AJ132" i="10" s="1"/>
  <c r="D169" i="10"/>
  <c r="L169" i="10" s="1"/>
  <c r="AI27" i="98"/>
  <c r="R27" i="98"/>
  <c r="U27" i="98" s="1"/>
  <c r="P27" i="98"/>
  <c r="F27" i="98"/>
  <c r="F127" i="10"/>
  <c r="Z56" i="22"/>
  <c r="AH52" i="22"/>
  <c r="N66" i="77"/>
  <c r="K62" i="77"/>
  <c r="D159" i="9"/>
  <c r="H159" i="9" s="1"/>
  <c r="N81" i="10"/>
  <c r="J154" i="10"/>
  <c r="AH110" i="10"/>
  <c r="AJ110" i="10" s="1"/>
  <c r="P130" i="10"/>
  <c r="C13" i="15"/>
  <c r="AB23" i="52"/>
  <c r="N110" i="52"/>
  <c r="AJ138" i="52"/>
  <c r="E91" i="15"/>
  <c r="M11" i="73"/>
  <c r="T61" i="52"/>
  <c r="BN81" i="20"/>
  <c r="AL61" i="1"/>
  <c r="AG61" i="1"/>
  <c r="AZ143" i="1"/>
  <c r="AZ124" i="1"/>
  <c r="T6" i="3"/>
  <c r="R6" i="3"/>
  <c r="N56" i="9"/>
  <c r="AR37" i="11"/>
  <c r="D107" i="9"/>
  <c r="H107" i="9" s="1"/>
  <c r="AJ141" i="9"/>
  <c r="AS141" i="9" s="1"/>
  <c r="AU141" i="9" s="1"/>
  <c r="BX40" i="11"/>
  <c r="BY34" i="11"/>
  <c r="BE62" i="1"/>
  <c r="BQ20" i="20"/>
  <c r="BQ42" i="20" s="1"/>
  <c r="I74" i="15"/>
  <c r="S10" i="5"/>
  <c r="O41" i="15"/>
  <c r="N78" i="3"/>
  <c r="CH60" i="1"/>
  <c r="AK25" i="1"/>
  <c r="AF80" i="1"/>
  <c r="BQ72" i="1"/>
  <c r="BH212" i="1"/>
  <c r="AL117" i="52"/>
  <c r="AH164" i="52"/>
  <c r="AC74" i="1"/>
  <c r="AW17" i="20"/>
  <c r="AJ70" i="52"/>
  <c r="X41" i="22"/>
  <c r="X65" i="22" s="1"/>
  <c r="D121" i="52"/>
  <c r="AD65" i="22"/>
  <c r="F53" i="22"/>
  <c r="F65" i="22" s="1"/>
  <c r="DI30" i="1"/>
  <c r="N68" i="2"/>
  <c r="N75" i="2" s="1"/>
  <c r="DF23" i="20"/>
  <c r="BA18" i="11"/>
  <c r="AS19" i="11"/>
  <c r="AD71" i="3"/>
  <c r="AD72" i="3" s="1"/>
  <c r="BI32" i="1"/>
  <c r="BI230" i="1" s="1"/>
  <c r="BN230" i="1" s="1"/>
  <c r="R7" i="15"/>
  <c r="R27" i="15" s="1"/>
  <c r="BH63" i="1"/>
  <c r="U8" i="5"/>
  <c r="U160" i="5" s="1"/>
  <c r="DL68" i="20" s="1"/>
  <c r="BL34" i="1"/>
  <c r="G15" i="15"/>
  <c r="AV81" i="1"/>
  <c r="AW81" i="1" s="1"/>
  <c r="BL36" i="1"/>
  <c r="BM36" i="1" s="1"/>
  <c r="BM234" i="1" s="1"/>
  <c r="BM30" i="1"/>
  <c r="BM228" i="1" s="1"/>
  <c r="AH61" i="20"/>
  <c r="BS20" i="20"/>
  <c r="BS42" i="20" s="1"/>
  <c r="BA49" i="20"/>
  <c r="AL42" i="20"/>
  <c r="AE165" i="52"/>
  <c r="AA165" i="52"/>
  <c r="AI163" i="52"/>
  <c r="AF163" i="52"/>
  <c r="AN119" i="52"/>
  <c r="AF111" i="52"/>
  <c r="AO105" i="52"/>
  <c r="Q50" i="52"/>
  <c r="AF29" i="52"/>
  <c r="AI73" i="77"/>
  <c r="AK73" i="77" s="1"/>
  <c r="BC73" i="77" s="1"/>
  <c r="AI72" i="77"/>
  <c r="AK72" i="77" s="1"/>
  <c r="AL167" i="9"/>
  <c r="AC155" i="9"/>
  <c r="AD155" i="9" s="1"/>
  <c r="AC139" i="9"/>
  <c r="AD139" i="9" s="1"/>
  <c r="V60" i="10"/>
  <c r="BF230" i="1"/>
  <c r="CN212" i="1"/>
  <c r="BH210" i="1"/>
  <c r="AY17" i="20" s="1"/>
  <c r="AW211" i="1"/>
  <c r="BP187" i="1"/>
  <c r="AS117" i="1"/>
  <c r="AS116" i="1"/>
  <c r="BH94" i="1"/>
  <c r="P70" i="15" s="1"/>
  <c r="DG23" i="20" s="1"/>
  <c r="CK75" i="1"/>
  <c r="AS75" i="1"/>
  <c r="AX63" i="1"/>
  <c r="AH60" i="1"/>
  <c r="AL35" i="1"/>
  <c r="CV30" i="1"/>
  <c r="BF22" i="1"/>
  <c r="AD22" i="1"/>
  <c r="BN20" i="1"/>
  <c r="AH20" i="1"/>
  <c r="BY16" i="1"/>
  <c r="BI16" i="1"/>
  <c r="AO76" i="1"/>
  <c r="BM15" i="1"/>
  <c r="AG65" i="1"/>
  <c r="BN11" i="11"/>
  <c r="BN17" i="11" s="1"/>
  <c r="BN23" i="11" s="1"/>
  <c r="BN29" i="11" s="1"/>
  <c r="BN35" i="11" s="1"/>
  <c r="E10" i="98"/>
  <c r="N182" i="5"/>
  <c r="P26" i="5"/>
  <c r="T52" i="15"/>
  <c r="R153" i="10"/>
  <c r="N146" i="10"/>
  <c r="F134" i="10"/>
  <c r="L133" i="10"/>
  <c r="X118" i="10"/>
  <c r="L116" i="10"/>
  <c r="AN111" i="10"/>
  <c r="L95" i="10"/>
  <c r="T83" i="10"/>
  <c r="T74" i="10"/>
  <c r="L69" i="10"/>
  <c r="L67" i="10"/>
  <c r="AJ54" i="10"/>
  <c r="L53" i="10"/>
  <c r="U30" i="11"/>
  <c r="BD34" i="11"/>
  <c r="P50" i="22"/>
  <c r="N75" i="3"/>
  <c r="V32" i="3"/>
  <c r="F52" i="2"/>
  <c r="W12" i="98"/>
  <c r="Y12" i="98" s="1"/>
  <c r="CO20" i="1"/>
  <c r="DP20" i="20"/>
  <c r="Z64" i="15"/>
  <c r="AA64" i="15" s="1"/>
  <c r="AB64" i="15" s="1"/>
  <c r="AC64" i="15" s="1"/>
  <c r="CN209" i="1"/>
  <c r="CL17" i="20" s="1"/>
  <c r="Q115" i="89"/>
  <c r="M7" i="89"/>
  <c r="M5" i="89" s="1"/>
  <c r="BF89" i="77"/>
  <c r="AV55" i="3"/>
  <c r="BV24" i="1"/>
  <c r="AC35" i="11"/>
  <c r="T58" i="3"/>
  <c r="T62" i="3" s="1"/>
  <c r="R137" i="10"/>
  <c r="Z123" i="10"/>
  <c r="AQ152" i="9"/>
  <c r="AG76" i="77"/>
  <c r="AL80" i="10"/>
  <c r="F17" i="11"/>
  <c r="AJ152" i="9"/>
  <c r="AL152" i="9" s="1"/>
  <c r="AH61" i="1"/>
  <c r="CP16" i="1"/>
  <c r="D71" i="9"/>
  <c r="H71" i="9" s="1"/>
  <c r="Y62" i="1"/>
  <c r="AH63" i="22"/>
  <c r="F59" i="22"/>
  <c r="D63" i="9"/>
  <c r="CO60" i="1"/>
  <c r="BA23" i="98"/>
  <c r="AQ161" i="9"/>
  <c r="AB176" i="5"/>
  <c r="S15" i="15"/>
  <c r="DJ15" i="20" s="1"/>
  <c r="AR51" i="52"/>
  <c r="AB37" i="11"/>
  <c r="AG37" i="11" s="1"/>
  <c r="BI33" i="1"/>
  <c r="BI231" i="1" s="1"/>
  <c r="AH154" i="10"/>
  <c r="AJ154" i="10" s="1"/>
  <c r="BF23" i="1"/>
  <c r="BL40" i="20"/>
  <c r="AP84" i="52"/>
  <c r="D146" i="9"/>
  <c r="H146" i="9" s="1"/>
  <c r="X74" i="10"/>
  <c r="Z74" i="10" s="1"/>
  <c r="M110" i="52"/>
  <c r="P55" i="3"/>
  <c r="E69" i="77"/>
  <c r="AE149" i="9"/>
  <c r="AH45" i="10"/>
  <c r="BL35" i="1"/>
  <c r="BM35" i="1" s="1"/>
  <c r="BM233" i="1" s="1"/>
  <c r="AL45" i="10"/>
  <c r="AR82" i="20"/>
  <c r="AM82" i="20"/>
  <c r="AC82" i="20"/>
  <c r="AM40" i="20"/>
  <c r="H40" i="20"/>
  <c r="AN132" i="52"/>
  <c r="AM118" i="52"/>
  <c r="AF106" i="52"/>
  <c r="AM55" i="52"/>
  <c r="AG55" i="77"/>
  <c r="CA54" i="77"/>
  <c r="AA156" i="9"/>
  <c r="D149" i="9"/>
  <c r="H149" i="9" s="1"/>
  <c r="H97" i="9"/>
  <c r="N91" i="9"/>
  <c r="P98" i="9" s="1"/>
  <c r="N71" i="9"/>
  <c r="P78" i="9" s="1"/>
  <c r="R78" i="9" s="1"/>
  <c r="U51" i="9"/>
  <c r="Y74" i="1"/>
  <c r="I59" i="15"/>
  <c r="BX24" i="1"/>
  <c r="T12" i="15" s="1"/>
  <c r="L8" i="73" s="1"/>
  <c r="L126" i="73" s="1"/>
  <c r="BN13" i="11"/>
  <c r="BN19" i="11" s="1"/>
  <c r="BN25" i="11" s="1"/>
  <c r="BN31" i="11" s="1"/>
  <c r="BN37" i="11" s="1"/>
  <c r="E12" i="98"/>
  <c r="AD82" i="10"/>
  <c r="U12" i="5"/>
  <c r="U13" i="5" s="1"/>
  <c r="T123" i="10"/>
  <c r="AJ82" i="10"/>
  <c r="T62" i="10"/>
  <c r="J61" i="10"/>
  <c r="R55" i="10"/>
  <c r="F56" i="10"/>
  <c r="AL53" i="10"/>
  <c r="AH53" i="10"/>
  <c r="H65" i="22"/>
  <c r="AI134" i="52"/>
  <c r="P167" i="10"/>
  <c r="CN82" i="1"/>
  <c r="BA25" i="98"/>
  <c r="L149" i="52"/>
  <c r="CO23" i="1"/>
  <c r="AI26" i="98"/>
  <c r="Q235" i="5"/>
  <c r="AW93" i="77"/>
  <c r="K57" i="94"/>
  <c r="K58" i="94" s="1"/>
  <c r="M55" i="94"/>
  <c r="J33" i="98"/>
  <c r="AA33" i="98"/>
  <c r="AO33" i="98"/>
  <c r="AS57" i="94"/>
  <c r="I32" i="98"/>
  <c r="AC166" i="9"/>
  <c r="AD166" i="9" s="1"/>
  <c r="AS56" i="94"/>
  <c r="J31" i="98"/>
  <c r="BQ96" i="77"/>
  <c r="BR96" i="77" s="1"/>
  <c r="BR94" i="77"/>
  <c r="AE90" i="77"/>
  <c r="X16" i="5"/>
  <c r="Q15" i="73"/>
  <c r="Q54" i="73" s="1"/>
  <c r="AF43" i="11"/>
  <c r="BO75" i="77"/>
  <c r="AL82" i="77"/>
  <c r="BC75" i="77"/>
  <c r="AK94" i="77"/>
  <c r="BO87" i="77"/>
  <c r="BD123" i="1"/>
  <c r="BD133" i="1"/>
  <c r="BE133" i="1" s="1"/>
  <c r="AL59" i="10"/>
  <c r="AH59" i="10"/>
  <c r="AL61" i="10"/>
  <c r="H50" i="22"/>
  <c r="H56" i="22"/>
  <c r="H38" i="22"/>
  <c r="H62" i="22" s="1"/>
  <c r="R61" i="10"/>
  <c r="AH61" i="10"/>
  <c r="Z151" i="10"/>
  <c r="BH141" i="1"/>
  <c r="BH151" i="1"/>
  <c r="BL102" i="1"/>
  <c r="BM92" i="1"/>
  <c r="BM82" i="1"/>
  <c r="AH89" i="10"/>
  <c r="AL89" i="10"/>
  <c r="F91" i="10"/>
  <c r="R89" i="10"/>
  <c r="AJ88" i="10"/>
  <c r="T88" i="10"/>
  <c r="AX50" i="1"/>
  <c r="AW50" i="1"/>
  <c r="AG16" i="20"/>
  <c r="J41" i="22"/>
  <c r="J53" i="22"/>
  <c r="J59" i="22" s="1"/>
  <c r="Z125" i="10"/>
  <c r="AJ133" i="52"/>
  <c r="AN133" i="52"/>
  <c r="AB66" i="1"/>
  <c r="AC62" i="1"/>
  <c r="AH62" i="1"/>
  <c r="AD62" i="1"/>
  <c r="U22" i="15"/>
  <c r="Y22" i="15" s="1"/>
  <c r="Z22" i="15" s="1"/>
  <c r="U23" i="15"/>
  <c r="D13" i="15"/>
  <c r="E8" i="15"/>
  <c r="N52" i="22"/>
  <c r="N58" i="22" s="1"/>
  <c r="N40" i="22"/>
  <c r="N64" i="22" s="1"/>
  <c r="J159" i="10"/>
  <c r="N63" i="22"/>
  <c r="Q68" i="52"/>
  <c r="T68" i="52" s="1"/>
  <c r="M135" i="52"/>
  <c r="L129" i="52"/>
  <c r="L136" i="52"/>
  <c r="M128" i="52"/>
  <c r="BT213" i="1"/>
  <c r="BN30" i="20"/>
  <c r="BX197" i="1"/>
  <c r="BL187" i="1"/>
  <c r="BA31" i="20" s="1"/>
  <c r="BL182" i="1"/>
  <c r="AD55" i="94"/>
  <c r="AP125" i="52"/>
  <c r="CF35" i="1"/>
  <c r="CF34" i="1"/>
  <c r="AP128" i="52" s="1"/>
  <c r="AL22" i="1"/>
  <c r="AH22" i="1"/>
  <c r="T61" i="10"/>
  <c r="X61" i="10"/>
  <c r="AD47" i="10"/>
  <c r="AF47" i="10" s="1"/>
  <c r="J47" i="10"/>
  <c r="A24" i="11"/>
  <c r="A18" i="11"/>
  <c r="A36" i="11"/>
  <c r="L51" i="22"/>
  <c r="L39" i="22"/>
  <c r="L63" i="22" s="1"/>
  <c r="L57" i="22"/>
  <c r="N95" i="10"/>
  <c r="O51" i="77"/>
  <c r="T54" i="10"/>
  <c r="X155" i="1"/>
  <c r="BY212" i="1"/>
  <c r="BV20" i="1"/>
  <c r="AB38" i="22"/>
  <c r="AB62" i="22" s="1"/>
  <c r="AD80" i="1"/>
  <c r="AJ201" i="1"/>
  <c r="AL65" i="9"/>
  <c r="BZ23" i="20"/>
  <c r="CF94" i="1"/>
  <c r="BV63" i="1"/>
  <c r="AP51" i="52"/>
  <c r="AP34" i="1"/>
  <c r="AO34" i="1"/>
  <c r="AO232" i="1" s="1"/>
  <c r="CD21" i="1"/>
  <c r="D155" i="10"/>
  <c r="L155" i="10" s="1"/>
  <c r="CG74" i="1"/>
  <c r="U91" i="9"/>
  <c r="D89" i="10"/>
  <c r="L96" i="10" s="1"/>
  <c r="AW22" i="1"/>
  <c r="BB22" i="1" s="1"/>
  <c r="AW12" i="1"/>
  <c r="AV16" i="1"/>
  <c r="AV62" i="1"/>
  <c r="AW72" i="1"/>
  <c r="BA12" i="1"/>
  <c r="AX16" i="1"/>
  <c r="M30" i="11"/>
  <c r="L36" i="11"/>
  <c r="Q30" i="11"/>
  <c r="BA19" i="11"/>
  <c r="AV37" i="11"/>
  <c r="AZ43" i="11" s="1"/>
  <c r="F39" i="22"/>
  <c r="F51" i="22"/>
  <c r="F57" i="22" s="1"/>
  <c r="B132" i="89"/>
  <c r="C133" i="89" s="1"/>
  <c r="BG89" i="77"/>
  <c r="AZ78" i="3"/>
  <c r="DO12" i="20"/>
  <c r="E9" i="74"/>
  <c r="J9" i="74" s="1"/>
  <c r="P6" i="73"/>
  <c r="CO34" i="1"/>
  <c r="CW65" i="20"/>
  <c r="CW80" i="20" s="1"/>
  <c r="AL69" i="10"/>
  <c r="AL132" i="10"/>
  <c r="AR142" i="52"/>
  <c r="N142" i="52" s="1"/>
  <c r="D34" i="52"/>
  <c r="AV52" i="1"/>
  <c r="AI16" i="20" s="1"/>
  <c r="N151" i="10"/>
  <c r="L63" i="10"/>
  <c r="P144" i="10"/>
  <c r="T55" i="10"/>
  <c r="N147" i="10"/>
  <c r="L76" i="10"/>
  <c r="J48" i="10"/>
  <c r="J119" i="10"/>
  <c r="AH119" i="10" s="1"/>
  <c r="AJ119" i="10" s="1"/>
  <c r="Z160" i="10"/>
  <c r="J75" i="10"/>
  <c r="P95" i="10"/>
  <c r="AT90" i="77"/>
  <c r="Z38" i="22"/>
  <c r="Z62" i="22" s="1"/>
  <c r="P51" i="22"/>
  <c r="P63" i="22" s="1"/>
  <c r="CA86" i="77"/>
  <c r="D163" i="9"/>
  <c r="H163" i="9" s="1"/>
  <c r="D101" i="77"/>
  <c r="N67" i="10"/>
  <c r="N83" i="10"/>
  <c r="P118" i="10"/>
  <c r="AH139" i="10"/>
  <c r="AJ139" i="10" s="1"/>
  <c r="H57" i="9"/>
  <c r="N132" i="52"/>
  <c r="AN138" i="52"/>
  <c r="D72" i="9"/>
  <c r="X82" i="9"/>
  <c r="Z89" i="9" s="1"/>
  <c r="P105" i="9"/>
  <c r="AQ168" i="9"/>
  <c r="AS168" i="9" s="1"/>
  <c r="U175" i="9"/>
  <c r="X168" i="9"/>
  <c r="B69" i="9"/>
  <c r="B60" i="10"/>
  <c r="H15" i="73"/>
  <c r="DG20" i="20"/>
  <c r="AB65" i="22"/>
  <c r="L135" i="1"/>
  <c r="Q135" i="1" s="1"/>
  <c r="CD22" i="1"/>
  <c r="BQ229" i="1"/>
  <c r="D162" i="10"/>
  <c r="AF62" i="22"/>
  <c r="T52" i="22"/>
  <c r="T58" i="22" s="1"/>
  <c r="BU61" i="1"/>
  <c r="BZ61" i="1"/>
  <c r="BX52" i="77"/>
  <c r="BT64" i="1"/>
  <c r="BT66" i="1"/>
  <c r="BU66" i="1" s="1"/>
  <c r="M146" i="9"/>
  <c r="AH76" i="77"/>
  <c r="AI76" i="77" s="1"/>
  <c r="BZ34" i="1"/>
  <c r="T15" i="15"/>
  <c r="AN68" i="2" s="1"/>
  <c r="AN75" i="2" s="1"/>
  <c r="CD34" i="1"/>
  <c r="R73" i="2"/>
  <c r="R120" i="2"/>
  <c r="R81" i="2"/>
  <c r="R76" i="2"/>
  <c r="CX15" i="20"/>
  <c r="G17" i="15"/>
  <c r="X34" i="11"/>
  <c r="AH30" i="94"/>
  <c r="E68" i="77"/>
  <c r="E75" i="77"/>
  <c r="DI31" i="1"/>
  <c r="BK52" i="20"/>
  <c r="AR63" i="52"/>
  <c r="AJ49" i="52"/>
  <c r="N49" i="52"/>
  <c r="BC72" i="77"/>
  <c r="BO72" i="77"/>
  <c r="AL72" i="77"/>
  <c r="P161" i="9"/>
  <c r="R161" i="9" s="1"/>
  <c r="X161" i="9"/>
  <c r="Z161" i="9" s="1"/>
  <c r="AQ160" i="9"/>
  <c r="AS160" i="9" s="1"/>
  <c r="N77" i="9"/>
  <c r="N76" i="9"/>
  <c r="AQ62" i="9"/>
  <c r="D62" i="9"/>
  <c r="AQ55" i="9"/>
  <c r="U58" i="9"/>
  <c r="BA61" i="1"/>
  <c r="X81" i="1"/>
  <c r="X84" i="1" s="1"/>
  <c r="BD80" i="1"/>
  <c r="BJ60" i="1"/>
  <c r="BE60" i="1"/>
  <c r="BD65" i="1"/>
  <c r="BF65" i="1" s="1"/>
  <c r="AD60" i="1"/>
  <c r="X64" i="1"/>
  <c r="X65" i="1"/>
  <c r="AT36" i="1"/>
  <c r="AP44" i="52"/>
  <c r="AO44" i="52" s="1"/>
  <c r="AK34" i="1"/>
  <c r="AK232" i="1" s="1"/>
  <c r="T68" i="2"/>
  <c r="T75" i="2" s="1"/>
  <c r="BY230" i="1"/>
  <c r="BV21" i="1"/>
  <c r="AX21" i="1"/>
  <c r="AW15" i="1"/>
  <c r="AW25" i="1"/>
  <c r="U7" i="15"/>
  <c r="U19" i="15" s="1"/>
  <c r="AH69" i="77"/>
  <c r="AI69" i="77" s="1"/>
  <c r="AA149" i="9"/>
  <c r="J7" i="15"/>
  <c r="J59" i="15" s="1"/>
  <c r="AR44" i="52"/>
  <c r="AB44" i="52" s="1"/>
  <c r="J116" i="10"/>
  <c r="R116" i="10" s="1"/>
  <c r="P116" i="10"/>
  <c r="N80" i="10"/>
  <c r="X73" i="10"/>
  <c r="Z73" i="10" s="1"/>
  <c r="V53" i="22"/>
  <c r="V59" i="22" s="1"/>
  <c r="AF58" i="22"/>
  <c r="AF40" i="22"/>
  <c r="AF64" i="22" s="1"/>
  <c r="L52" i="22"/>
  <c r="L58" i="22" s="1"/>
  <c r="L40" i="22"/>
  <c r="D39" i="22"/>
  <c r="D51" i="22"/>
  <c r="R114" i="2"/>
  <c r="J36" i="2"/>
  <c r="J98" i="2"/>
  <c r="J8" i="74"/>
  <c r="R142" i="52"/>
  <c r="F140" i="52" s="1"/>
  <c r="H140" i="52" s="1"/>
  <c r="X23" i="15"/>
  <c r="P64" i="89"/>
  <c r="K119" i="89"/>
  <c r="K84" i="89"/>
  <c r="L119" i="89" s="1"/>
  <c r="N51" i="52"/>
  <c r="AF51" i="52"/>
  <c r="AB51" i="52"/>
  <c r="AM124" i="52"/>
  <c r="X82" i="20"/>
  <c r="W47" i="77"/>
  <c r="T54" i="77"/>
  <c r="AW76" i="1"/>
  <c r="AF64" i="1"/>
  <c r="AF83" i="1"/>
  <c r="AH63" i="1"/>
  <c r="AP132" i="52"/>
  <c r="CK31" i="1"/>
  <c r="CJ61" i="1"/>
  <c r="BA17" i="98" s="1"/>
  <c r="AA163" i="9"/>
  <c r="CF24" i="1"/>
  <c r="AD48" i="94" s="1"/>
  <c r="F152" i="10"/>
  <c r="T151" i="10" s="1"/>
  <c r="CF25" i="1"/>
  <c r="CF61" i="1"/>
  <c r="CF81" i="1" s="1"/>
  <c r="AB61" i="20"/>
  <c r="AG62" i="20"/>
  <c r="J54" i="10"/>
  <c r="AL54" i="10" s="1"/>
  <c r="AT83" i="77"/>
  <c r="AQ142" i="9"/>
  <c r="L74" i="10"/>
  <c r="H118" i="9"/>
  <c r="CO76" i="1"/>
  <c r="AS211" i="1"/>
  <c r="AO211" i="1"/>
  <c r="O29" i="20"/>
  <c r="AF167" i="1"/>
  <c r="BN22" i="1"/>
  <c r="BJ22" i="1"/>
  <c r="BF15" i="1"/>
  <c r="BF16" i="1" s="1"/>
  <c r="AR92" i="52"/>
  <c r="AJ92" i="52" s="1"/>
  <c r="BL14" i="1"/>
  <c r="BM34" i="1" s="1"/>
  <c r="BM23" i="1"/>
  <c r="BN23" i="1" s="1"/>
  <c r="D119" i="10"/>
  <c r="BM33" i="1"/>
  <c r="BM231" i="1" s="1"/>
  <c r="BM13" i="1"/>
  <c r="AT13" i="11" s="1"/>
  <c r="AT19" i="11" s="1"/>
  <c r="AT25" i="11" s="1"/>
  <c r="AT31" i="11" s="1"/>
  <c r="AT37" i="11" s="1"/>
  <c r="BL41" i="11"/>
  <c r="BM35" i="11"/>
  <c r="AN41" i="11"/>
  <c r="AO35" i="11"/>
  <c r="AV34" i="11"/>
  <c r="AW16" i="11"/>
  <c r="BA16" i="11"/>
  <c r="AD51" i="22"/>
  <c r="AD57" i="22" s="1"/>
  <c r="AD39" i="22"/>
  <c r="AD63" i="22" s="1"/>
  <c r="AB56" i="22"/>
  <c r="R38" i="22"/>
  <c r="R62" i="22" s="1"/>
  <c r="R50" i="22"/>
  <c r="R56" i="22" s="1"/>
  <c r="AF43" i="94"/>
  <c r="AG43" i="94" s="1"/>
  <c r="AH168" i="10"/>
  <c r="AJ168" i="10" s="1"/>
  <c r="T53" i="10"/>
  <c r="BN86" i="77"/>
  <c r="AL81" i="10"/>
  <c r="A42" i="11"/>
  <c r="CO16" i="1"/>
  <c r="BL178" i="1"/>
  <c r="CF15" i="20"/>
  <c r="AI86" i="52"/>
  <c r="AI79" i="52"/>
  <c r="K64" i="15"/>
  <c r="DB20" i="20" s="1"/>
  <c r="AO74" i="1"/>
  <c r="CC16" i="1"/>
  <c r="CC26" i="1"/>
  <c r="CC35" i="1"/>
  <c r="CC25" i="1"/>
  <c r="CC15" i="1"/>
  <c r="L7" i="15"/>
  <c r="DC10" i="20" s="1"/>
  <c r="L25" i="5"/>
  <c r="AR58" i="52"/>
  <c r="AS14" i="1"/>
  <c r="AS74" i="1"/>
  <c r="J125" i="10"/>
  <c r="N131" i="10"/>
  <c r="L90" i="10"/>
  <c r="L97" i="10"/>
  <c r="R52" i="22"/>
  <c r="R58" i="22" s="1"/>
  <c r="R40" i="22"/>
  <c r="AT49" i="2"/>
  <c r="AR50" i="2"/>
  <c r="AR52" i="2" s="1"/>
  <c r="CF61" i="20" s="1"/>
  <c r="P67" i="89"/>
  <c r="O67" i="89"/>
  <c r="AU50" i="94"/>
  <c r="CO74" i="1"/>
  <c r="P8" i="73"/>
  <c r="AL110" i="10"/>
  <c r="J106" i="10"/>
  <c r="R106" i="10" s="1"/>
  <c r="AV59" i="20" s="1"/>
  <c r="CO24" i="1"/>
  <c r="CP63" i="1"/>
  <c r="R66" i="10"/>
  <c r="N75" i="10"/>
  <c r="P76" i="10"/>
  <c r="N158" i="10"/>
  <c r="L61" i="10"/>
  <c r="N140" i="10"/>
  <c r="AJ60" i="10"/>
  <c r="P140" i="10"/>
  <c r="AL137" i="10"/>
  <c r="AJ47" i="10"/>
  <c r="D106" i="10"/>
  <c r="L106" i="10" s="1"/>
  <c r="Y58" i="77"/>
  <c r="BK61" i="77"/>
  <c r="BZ66" i="77"/>
  <c r="N48" i="77"/>
  <c r="R48" i="77" s="1"/>
  <c r="N54" i="77"/>
  <c r="N61" i="77" s="1"/>
  <c r="AP65" i="77"/>
  <c r="BJ68" i="77"/>
  <c r="P83" i="10"/>
  <c r="J140" i="10"/>
  <c r="D113" i="10"/>
  <c r="AS64" i="9"/>
  <c r="AJ134" i="52"/>
  <c r="U44" i="15"/>
  <c r="X89" i="9"/>
  <c r="AB29" i="52"/>
  <c r="AN168" i="9"/>
  <c r="P67" i="10"/>
  <c r="H41" i="11"/>
  <c r="AG81" i="1"/>
  <c r="BM73" i="1"/>
  <c r="CU10" i="20"/>
  <c r="T37" i="11"/>
  <c r="BT201" i="1"/>
  <c r="AQ124" i="9"/>
  <c r="CF100" i="1"/>
  <c r="CF131" i="1" s="1"/>
  <c r="BU81" i="1"/>
  <c r="BT101" i="1"/>
  <c r="BT132" i="1" s="1"/>
  <c r="BZ81" i="1"/>
  <c r="V114" i="2"/>
  <c r="AR103" i="1"/>
  <c r="AS93" i="1"/>
  <c r="AC18" i="11"/>
  <c r="J17" i="11"/>
  <c r="AS24" i="1"/>
  <c r="AR128" i="52"/>
  <c r="N128" i="52" s="1"/>
  <c r="AZ36" i="11"/>
  <c r="CG76" i="1"/>
  <c r="CA15" i="20"/>
  <c r="BZ21" i="1"/>
  <c r="BV81" i="1"/>
  <c r="S82" i="20"/>
  <c r="AI124" i="52"/>
  <c r="AH120" i="52"/>
  <c r="AJ120" i="52" s="1"/>
  <c r="N84" i="9"/>
  <c r="AD81" i="20"/>
  <c r="AQ82" i="9"/>
  <c r="D70" i="9"/>
  <c r="D77" i="9"/>
  <c r="N64" i="9"/>
  <c r="N68" i="9"/>
  <c r="X60" i="10"/>
  <c r="Z67" i="10" s="1"/>
  <c r="S88" i="15"/>
  <c r="BT188" i="1"/>
  <c r="BL31" i="20" s="1"/>
  <c r="AN82" i="1"/>
  <c r="BF60" i="1"/>
  <c r="AZ66" i="1"/>
  <c r="BA66" i="1" s="1"/>
  <c r="AZ65" i="1"/>
  <c r="AV24" i="1"/>
  <c r="M12" i="15" s="1"/>
  <c r="F140" i="10"/>
  <c r="AT23" i="1"/>
  <c r="CE12" i="20"/>
  <c r="F158" i="10"/>
  <c r="CK20" i="1"/>
  <c r="CL20" i="1" s="1"/>
  <c r="CJ24" i="1"/>
  <c r="AI20" i="98" s="1"/>
  <c r="CJ26" i="1"/>
  <c r="CK26" i="1" s="1"/>
  <c r="R21" i="15"/>
  <c r="S23" i="15"/>
  <c r="R100" i="52"/>
  <c r="F99" i="52" s="1"/>
  <c r="H99" i="52" s="1"/>
  <c r="T41" i="22"/>
  <c r="T53" i="22"/>
  <c r="T59" i="22" s="1"/>
  <c r="V55" i="3"/>
  <c r="P34" i="3"/>
  <c r="AJ114" i="2"/>
  <c r="AW94" i="77"/>
  <c r="AX94" i="77" s="1"/>
  <c r="AC97" i="77"/>
  <c r="V240" i="5"/>
  <c r="AL41" i="94"/>
  <c r="BF232" i="1"/>
  <c r="X77" i="3"/>
  <c r="X78" i="3" s="1"/>
  <c r="BL80" i="1"/>
  <c r="BN80" i="1" s="1"/>
  <c r="BM60" i="1"/>
  <c r="C29" i="20"/>
  <c r="X166" i="1"/>
  <c r="AL133" i="10"/>
  <c r="N165" i="10"/>
  <c r="X167" i="1"/>
  <c r="J158" i="10"/>
  <c r="AL110" i="52"/>
  <c r="AM117" i="52" s="1"/>
  <c r="AF110" i="52"/>
  <c r="AN212" i="1"/>
  <c r="AS208" i="1"/>
  <c r="X17" i="20"/>
  <c r="BU228" i="1"/>
  <c r="AP20" i="1"/>
  <c r="AT20" i="1"/>
  <c r="BA16" i="1"/>
  <c r="BA26" i="1"/>
  <c r="BE16" i="1"/>
  <c r="D91" i="15"/>
  <c r="J60" i="10"/>
  <c r="AJ59" i="10"/>
  <c r="BQ18" i="11"/>
  <c r="BL36" i="11"/>
  <c r="BM18" i="11"/>
  <c r="F50" i="22"/>
  <c r="F56" i="22" s="1"/>
  <c r="F38" i="22"/>
  <c r="P77" i="3"/>
  <c r="P78" i="3"/>
  <c r="AD90" i="2"/>
  <c r="AB91" i="2"/>
  <c r="F71" i="2"/>
  <c r="F72" i="2"/>
  <c r="BB61" i="20"/>
  <c r="I83" i="89"/>
  <c r="J117" i="89"/>
  <c r="X46" i="15"/>
  <c r="AN110" i="10"/>
  <c r="R133" i="10"/>
  <c r="AJ61" i="10"/>
  <c r="AJ80" i="10"/>
  <c r="AJ19" i="52"/>
  <c r="BH234" i="1"/>
  <c r="L41" i="11"/>
  <c r="AZ101" i="1"/>
  <c r="D52" i="15"/>
  <c r="B47" i="9"/>
  <c r="B38" i="10"/>
  <c r="AQ167" i="9"/>
  <c r="AS167" i="9" s="1"/>
  <c r="AU167" i="9" s="1"/>
  <c r="X167" i="9"/>
  <c r="K11" i="73"/>
  <c r="S44" i="15"/>
  <c r="AL68" i="2"/>
  <c r="AL75" i="2" s="1"/>
  <c r="AN209" i="1"/>
  <c r="CH31" i="1"/>
  <c r="CY31" i="1" s="1"/>
  <c r="AV82" i="20"/>
  <c r="AB82" i="20"/>
  <c r="AD120" i="52"/>
  <c r="AF120" i="52" s="1"/>
  <c r="AE124" i="52"/>
  <c r="AO61" i="77"/>
  <c r="Q62" i="52"/>
  <c r="V88" i="10"/>
  <c r="X88" i="10" s="1"/>
  <c r="AJ82" i="1"/>
  <c r="AK62" i="1"/>
  <c r="AP62" i="1" s="1"/>
  <c r="AL62" i="1"/>
  <c r="AX32" i="1"/>
  <c r="AV34" i="1"/>
  <c r="AI15" i="20"/>
  <c r="AN52" i="20" s="1"/>
  <c r="AW32" i="1"/>
  <c r="AW230" i="1" s="1"/>
  <c r="L87" i="73"/>
  <c r="L47" i="73"/>
  <c r="P60" i="10"/>
  <c r="R53" i="10"/>
  <c r="T52" i="10"/>
  <c r="BE17" i="11"/>
  <c r="BI17" i="11"/>
  <c r="BD35" i="11"/>
  <c r="BH34" i="11"/>
  <c r="BI16" i="11"/>
  <c r="AF32" i="3"/>
  <c r="AF79" i="3"/>
  <c r="AA141" i="52"/>
  <c r="AA134" i="52"/>
  <c r="P83" i="89"/>
  <c r="Q118" i="89" s="1"/>
  <c r="AL169" i="9"/>
  <c r="AN116" i="10"/>
  <c r="AH160" i="10"/>
  <c r="AJ160" i="10" s="1"/>
  <c r="AH66" i="10"/>
  <c r="R69" i="10"/>
  <c r="J83" i="10"/>
  <c r="AH83" i="10" s="1"/>
  <c r="F84" i="10"/>
  <c r="Z116" i="10"/>
  <c r="AN95" i="10"/>
  <c r="N59" i="10"/>
  <c r="T103" i="10"/>
  <c r="L152" i="10"/>
  <c r="T124" i="10"/>
  <c r="AH105" i="10"/>
  <c r="AJ105" i="10" s="1"/>
  <c r="AP69" i="77"/>
  <c r="AE83" i="77"/>
  <c r="BC65" i="77"/>
  <c r="AL146" i="52"/>
  <c r="P61" i="10"/>
  <c r="R154" i="10"/>
  <c r="F113" i="10"/>
  <c r="AQ162" i="9"/>
  <c r="AS162" i="9" s="1"/>
  <c r="AU162" i="9" s="1"/>
  <c r="AF19" i="52"/>
  <c r="F23" i="11"/>
  <c r="BJ228" i="1"/>
  <c r="AB62" i="10"/>
  <c r="AD62" i="10" s="1"/>
  <c r="AF62" i="10" s="1"/>
  <c r="BA91" i="1"/>
  <c r="L127" i="52"/>
  <c r="M134" i="52" s="1"/>
  <c r="V23" i="15"/>
  <c r="P161" i="10"/>
  <c r="J165" i="10"/>
  <c r="N161" i="10"/>
  <c r="R63" i="22"/>
  <c r="BA36" i="11"/>
  <c r="AG63" i="1"/>
  <c r="CD15" i="1"/>
  <c r="CD16" i="1" s="1"/>
  <c r="BU229" i="1"/>
  <c r="AF228" i="1"/>
  <c r="X61" i="9"/>
  <c r="AB39" i="22"/>
  <c r="AB63" i="22" s="1"/>
  <c r="AJ43" i="11"/>
  <c r="AK37" i="11"/>
  <c r="AN43" i="11"/>
  <c r="CK16" i="1"/>
  <c r="R52" i="2"/>
  <c r="BE25" i="1"/>
  <c r="DD23" i="20"/>
  <c r="E18" i="73"/>
  <c r="BL66" i="1"/>
  <c r="BM66" i="1" s="1"/>
  <c r="AB103" i="52"/>
  <c r="AJ103" i="52"/>
  <c r="AH99" i="52"/>
  <c r="AJ99" i="52" s="1"/>
  <c r="AL100" i="52"/>
  <c r="AN100" i="52" s="1"/>
  <c r="R179" i="52"/>
  <c r="AI100" i="52"/>
  <c r="S179" i="52"/>
  <c r="AF64" i="52"/>
  <c r="AL50" i="52"/>
  <c r="AN50" i="52" s="1"/>
  <c r="BK76" i="77"/>
  <c r="K76" i="77"/>
  <c r="V10" i="5"/>
  <c r="BF68" i="77"/>
  <c r="H152" i="9"/>
  <c r="L148" i="9"/>
  <c r="K148" i="9"/>
  <c r="N148" i="9"/>
  <c r="N152" i="9"/>
  <c r="X152" i="9" s="1"/>
  <c r="AL139" i="9"/>
  <c r="AN139" i="9" s="1"/>
  <c r="AS139" i="9"/>
  <c r="AU146" i="9" s="1"/>
  <c r="AC135" i="9"/>
  <c r="AD135" i="9" s="1"/>
  <c r="M133" i="9"/>
  <c r="M132" i="9"/>
  <c r="V131" i="10"/>
  <c r="X131" i="10" s="1"/>
  <c r="V124" i="10"/>
  <c r="X124" i="10" s="1"/>
  <c r="Q97" i="52"/>
  <c r="T97" i="52" s="1"/>
  <c r="P111" i="9"/>
  <c r="AQ85" i="9"/>
  <c r="D85" i="9"/>
  <c r="BU71" i="1"/>
  <c r="BL20" i="20"/>
  <c r="BL42" i="20" s="1"/>
  <c r="DB12" i="20"/>
  <c r="C8" i="73"/>
  <c r="AH23" i="1"/>
  <c r="AL23" i="1"/>
  <c r="BM76" i="1"/>
  <c r="BM26" i="1"/>
  <c r="BQ16" i="1"/>
  <c r="AG16" i="1"/>
  <c r="AC76" i="1"/>
  <c r="AK15" i="1"/>
  <c r="AO15" i="1"/>
  <c r="AL15" i="1"/>
  <c r="AL16" i="1" s="1"/>
  <c r="AR100" i="52"/>
  <c r="N100" i="52" s="1"/>
  <c r="R27" i="5"/>
  <c r="G25" i="5"/>
  <c r="G26" i="5" s="1"/>
  <c r="Y14" i="1"/>
  <c r="G7" i="15"/>
  <c r="G16" i="15" s="1"/>
  <c r="N66" i="2"/>
  <c r="H64" i="5"/>
  <c r="CX61" i="20"/>
  <c r="E24" i="73"/>
  <c r="D65" i="15"/>
  <c r="L87" i="10"/>
  <c r="L80" i="10"/>
  <c r="P74" i="10"/>
  <c r="X69" i="10"/>
  <c r="Z69" i="10" s="1"/>
  <c r="AJ69" i="10"/>
  <c r="N76" i="10"/>
  <c r="N69" i="10"/>
  <c r="P69" i="10"/>
  <c r="AC30" i="11"/>
  <c r="AG30" i="11"/>
  <c r="U28" i="11"/>
  <c r="T34" i="11"/>
  <c r="Y34" i="11" s="1"/>
  <c r="BM19" i="11"/>
  <c r="BL37" i="11"/>
  <c r="BQ19" i="11"/>
  <c r="D37" i="11"/>
  <c r="U18" i="11"/>
  <c r="T36" i="11"/>
  <c r="BA17" i="11"/>
  <c r="AZ35" i="11"/>
  <c r="B19" i="11"/>
  <c r="B43" i="11"/>
  <c r="B37" i="11"/>
  <c r="B25" i="11"/>
  <c r="A28" i="11"/>
  <c r="A40" i="11"/>
  <c r="J75" i="3"/>
  <c r="Q117" i="89"/>
  <c r="R152" i="10"/>
  <c r="AC82" i="1"/>
  <c r="AH82" i="1"/>
  <c r="AB102" i="1"/>
  <c r="AC102" i="1" s="1"/>
  <c r="O16" i="15"/>
  <c r="G11" i="73"/>
  <c r="G50" i="73" s="1"/>
  <c r="Y36" i="11"/>
  <c r="X42" i="11"/>
  <c r="BV81" i="20"/>
  <c r="Q118" i="52"/>
  <c r="T118" i="52" s="1"/>
  <c r="AJ154" i="9"/>
  <c r="AS154" i="9" s="1"/>
  <c r="AU154" i="9" s="1"/>
  <c r="AJ153" i="9"/>
  <c r="BP232" i="1"/>
  <c r="BP234" i="1"/>
  <c r="BM62" i="1"/>
  <c r="R53" i="15"/>
  <c r="H72" i="2"/>
  <c r="H120" i="2"/>
  <c r="T104" i="1"/>
  <c r="T125" i="1"/>
  <c r="U84" i="1"/>
  <c r="AN17" i="20"/>
  <c r="AZ210" i="1"/>
  <c r="AO17" i="20" s="1"/>
  <c r="BH131" i="1"/>
  <c r="CL31" i="1"/>
  <c r="N23" i="52"/>
  <c r="AN23" i="52"/>
  <c r="AB132" i="52"/>
  <c r="AF132" i="52"/>
  <c r="AJ132" i="52"/>
  <c r="BU211" i="1"/>
  <c r="CG15" i="1"/>
  <c r="CG75" i="1"/>
  <c r="CH15" i="1"/>
  <c r="CH16" i="1" s="1"/>
  <c r="BA74" i="1"/>
  <c r="P117" i="89"/>
  <c r="O83" i="89"/>
  <c r="O84" i="89"/>
  <c r="O85" i="89" s="1"/>
  <c r="BF78" i="3"/>
  <c r="J95" i="10"/>
  <c r="AL95" i="10" s="1"/>
  <c r="T153" i="10"/>
  <c r="P59" i="10"/>
  <c r="D70" i="10"/>
  <c r="L77" i="10" s="1"/>
  <c r="P96" i="10"/>
  <c r="N61" i="10"/>
  <c r="AF143" i="1"/>
  <c r="AN147" i="9"/>
  <c r="BL63" i="1"/>
  <c r="AF23" i="52"/>
  <c r="BY211" i="1"/>
  <c r="K7" i="15"/>
  <c r="AO14" i="1"/>
  <c r="BE92" i="1"/>
  <c r="BE82" i="1"/>
  <c r="BF80" i="1"/>
  <c r="H82" i="20"/>
  <c r="F36" i="73"/>
  <c r="F75" i="73" s="1"/>
  <c r="AJ75" i="9"/>
  <c r="AJ71" i="9"/>
  <c r="AB69" i="10"/>
  <c r="AD69" i="10" s="1"/>
  <c r="AF69" i="10" s="1"/>
  <c r="AJ167" i="1"/>
  <c r="R29" i="20"/>
  <c r="BX67" i="77"/>
  <c r="BZ67" i="77" s="1"/>
  <c r="CB82" i="1"/>
  <c r="CC61" i="1"/>
  <c r="CD61" i="1"/>
  <c r="CB81" i="1"/>
  <c r="CD81" i="1" s="1"/>
  <c r="AP98" i="52"/>
  <c r="BH15" i="20"/>
  <c r="BP62" i="1"/>
  <c r="BR62" i="1" s="1"/>
  <c r="DC12" i="20"/>
  <c r="X67" i="2"/>
  <c r="D8" i="73"/>
  <c r="D87" i="73" s="1"/>
  <c r="BY23" i="1"/>
  <c r="BX63" i="1"/>
  <c r="CD63" i="1" s="1"/>
  <c r="BS12" i="20"/>
  <c r="AV26" i="1"/>
  <c r="AI12" i="20"/>
  <c r="AI14" i="20" s="1"/>
  <c r="AD19" i="11"/>
  <c r="AD13" i="11"/>
  <c r="AD31" i="11"/>
  <c r="AD37" i="11" s="1"/>
  <c r="N28" i="15"/>
  <c r="O21" i="15"/>
  <c r="O22" i="15" s="1"/>
  <c r="P14" i="15" s="1"/>
  <c r="R79" i="52"/>
  <c r="S79" i="52" s="1"/>
  <c r="O19" i="15"/>
  <c r="T158" i="10"/>
  <c r="T144" i="10"/>
  <c r="X144" i="10"/>
  <c r="Z77" i="3"/>
  <c r="Z78" i="3" s="1"/>
  <c r="D75" i="3"/>
  <c r="D72" i="3"/>
  <c r="N138" i="52"/>
  <c r="AF138" i="52"/>
  <c r="J11" i="74"/>
  <c r="E27" i="74"/>
  <c r="D169" i="9"/>
  <c r="H169" i="9" s="1"/>
  <c r="AN169" i="9" s="1"/>
  <c r="AS58" i="94"/>
  <c r="CO63" i="1"/>
  <c r="F90" i="77"/>
  <c r="R126" i="10"/>
  <c r="R26" i="5"/>
  <c r="AE16" i="20"/>
  <c r="P53" i="10"/>
  <c r="T75" i="10"/>
  <c r="N144" i="10"/>
  <c r="S51" i="74" s="1"/>
  <c r="J52" i="10"/>
  <c r="P159" i="10"/>
  <c r="N66" i="10"/>
  <c r="L123" i="10"/>
  <c r="AB134" i="52"/>
  <c r="AH65" i="22"/>
  <c r="P57" i="22"/>
  <c r="AP62" i="77"/>
  <c r="CA61" i="77"/>
  <c r="P62" i="10"/>
  <c r="F120" i="10"/>
  <c r="AS54" i="1"/>
  <c r="AF133" i="1"/>
  <c r="U94" i="1"/>
  <c r="AJ51" i="52"/>
  <c r="AN19" i="52"/>
  <c r="O6" i="73"/>
  <c r="F35" i="11"/>
  <c r="BH233" i="1"/>
  <c r="BJ233" i="1" s="1"/>
  <c r="BD234" i="1"/>
  <c r="AJ68" i="9"/>
  <c r="AN36" i="11"/>
  <c r="AB64" i="1"/>
  <c r="AB131" i="1"/>
  <c r="AB121" i="1"/>
  <c r="BF61" i="77"/>
  <c r="BU34" i="11"/>
  <c r="R121" i="52"/>
  <c r="F118" i="52" s="1"/>
  <c r="AJ66" i="1"/>
  <c r="AK66" i="1" s="1"/>
  <c r="V162" i="52"/>
  <c r="AS82" i="77"/>
  <c r="AO24" i="1"/>
  <c r="L125" i="1"/>
  <c r="M84" i="1"/>
  <c r="AS36" i="1"/>
  <c r="AS234" i="1" s="1"/>
  <c r="BA36" i="1"/>
  <c r="BA234" i="1" s="1"/>
  <c r="AV14" i="1"/>
  <c r="R33" i="15"/>
  <c r="R13" i="15"/>
  <c r="AD83" i="1"/>
  <c r="Y93" i="1"/>
  <c r="Y83" i="1"/>
  <c r="X103" i="1"/>
  <c r="BL65" i="1"/>
  <c r="BM65" i="1" s="1"/>
  <c r="AC162" i="52"/>
  <c r="AM126" i="52"/>
  <c r="N90" i="52"/>
  <c r="AB90" i="52"/>
  <c r="AF90" i="52"/>
  <c r="AF84" i="52"/>
  <c r="AB84" i="52"/>
  <c r="N28" i="52"/>
  <c r="AB28" i="52"/>
  <c r="AL155" i="9"/>
  <c r="L153" i="9"/>
  <c r="BZ81" i="20"/>
  <c r="AL146" i="9"/>
  <c r="AC145" i="9"/>
  <c r="AD145" i="9" s="1"/>
  <c r="K125" i="9"/>
  <c r="N125" i="9"/>
  <c r="P125" i="9" s="1"/>
  <c r="BB81" i="20"/>
  <c r="N118" i="9"/>
  <c r="X98" i="9"/>
  <c r="AQ30" i="9"/>
  <c r="D30" i="9"/>
  <c r="BT209" i="1"/>
  <c r="BM17" i="20" s="1"/>
  <c r="BP178" i="1"/>
  <c r="BX23" i="20"/>
  <c r="CB94" i="1"/>
  <c r="U70" i="15" s="1"/>
  <c r="BQ71" i="1"/>
  <c r="AJ83" i="1"/>
  <c r="AK63" i="1"/>
  <c r="BR61" i="1"/>
  <c r="BQ61" i="1"/>
  <c r="AO61" i="1"/>
  <c r="AT61" i="1"/>
  <c r="BX80" i="1"/>
  <c r="BY60" i="1"/>
  <c r="BX66" i="1"/>
  <c r="BY66" i="1" s="1"/>
  <c r="BX58" i="77"/>
  <c r="AN65" i="1"/>
  <c r="AT65" i="1" s="1"/>
  <c r="AO60" i="1"/>
  <c r="CC36" i="1"/>
  <c r="BB35" i="1"/>
  <c r="AW35" i="1"/>
  <c r="AW233" i="1" s="1"/>
  <c r="BF34" i="1"/>
  <c r="AP79" i="52"/>
  <c r="AD57" i="94"/>
  <c r="AA175" i="9"/>
  <c r="DI33" i="1"/>
  <c r="CG33" i="1"/>
  <c r="CL33" i="1"/>
  <c r="BY228" i="1"/>
  <c r="AH21" i="1"/>
  <c r="AL21" i="1"/>
  <c r="F49" i="10"/>
  <c r="X37" i="11"/>
  <c r="AC31" i="11"/>
  <c r="P34" i="11"/>
  <c r="U34" i="11" s="1"/>
  <c r="Q28" i="11"/>
  <c r="BH37" i="11"/>
  <c r="BI19" i="11"/>
  <c r="AG19" i="11"/>
  <c r="AK19" i="11"/>
  <c r="AR55" i="3"/>
  <c r="T52" i="2"/>
  <c r="CK15" i="20"/>
  <c r="CK40" i="20" s="1"/>
  <c r="CN36" i="1"/>
  <c r="CO36" i="1" s="1"/>
  <c r="P174" i="9"/>
  <c r="R174" i="9" s="1"/>
  <c r="I6" i="95"/>
  <c r="AS78" i="9"/>
  <c r="AG36" i="11"/>
  <c r="L99" i="2"/>
  <c r="L118" i="2" s="1"/>
  <c r="BX101" i="1"/>
  <c r="BY81" i="1"/>
  <c r="BE102" i="1"/>
  <c r="AB43" i="11"/>
  <c r="Z65" i="22"/>
  <c r="AB103" i="1"/>
  <c r="BI80" i="1"/>
  <c r="AJ79" i="52"/>
  <c r="CO53" i="1"/>
  <c r="AV101" i="1"/>
  <c r="BB81" i="1"/>
  <c r="P82" i="20"/>
  <c r="AF113" i="52"/>
  <c r="N69" i="52"/>
  <c r="AJ69" i="52"/>
  <c r="AO49" i="52"/>
  <c r="AE36" i="52"/>
  <c r="AI54" i="77"/>
  <c r="AK54" i="77" s="1"/>
  <c r="AL61" i="77" s="1"/>
  <c r="AC160" i="9"/>
  <c r="AD160" i="9" s="1"/>
  <c r="AC154" i="9"/>
  <c r="AD154" i="9" s="1"/>
  <c r="AC146" i="9"/>
  <c r="AD146" i="9" s="1"/>
  <c r="AC140" i="9"/>
  <c r="AD140" i="9" s="1"/>
  <c r="AC134" i="9"/>
  <c r="AD134" i="9" s="1"/>
  <c r="D89" i="9"/>
  <c r="U93" i="9"/>
  <c r="Q54" i="52"/>
  <c r="T54" i="52" s="1"/>
  <c r="Z60" i="10"/>
  <c r="BF228" i="1"/>
  <c r="AZ234" i="1"/>
  <c r="AZ232" i="1"/>
  <c r="AS76" i="1"/>
  <c r="AV80" i="1"/>
  <c r="AV85" i="1" s="1"/>
  <c r="Y35" i="1"/>
  <c r="Y233" i="1" s="1"/>
  <c r="BZ15" i="20"/>
  <c r="CH30" i="1"/>
  <c r="CY30" i="1" s="1"/>
  <c r="BQ228" i="1"/>
  <c r="BV23" i="1"/>
  <c r="F61" i="15"/>
  <c r="AH133" i="10"/>
  <c r="AJ45" i="10"/>
  <c r="AD45" i="10"/>
  <c r="AF45" i="10" s="1"/>
  <c r="BD37" i="11"/>
  <c r="BE19" i="11"/>
  <c r="P36" i="11"/>
  <c r="P35" i="11"/>
  <c r="A31" i="11"/>
  <c r="A43" i="11"/>
  <c r="L32" i="3"/>
  <c r="AJ52" i="2"/>
  <c r="CP20" i="1"/>
  <c r="CT20" i="1"/>
  <c r="P166" i="10"/>
  <c r="V167" i="10"/>
  <c r="X167" i="10" s="1"/>
  <c r="Z167" i="10" s="1"/>
  <c r="M168" i="9"/>
  <c r="V6" i="3"/>
  <c r="X5" i="2"/>
  <c r="X89" i="10"/>
  <c r="Z89" i="10" s="1"/>
  <c r="O33" i="15"/>
  <c r="AD66" i="2"/>
  <c r="Y82" i="1"/>
  <c r="Y92" i="1"/>
  <c r="AD82" i="1"/>
  <c r="AS82" i="20"/>
  <c r="O82" i="20"/>
  <c r="BX42" i="20"/>
  <c r="AI98" i="52"/>
  <c r="AI105" i="52"/>
  <c r="AI57" i="52"/>
  <c r="AJ57" i="52"/>
  <c r="AM30" i="52"/>
  <c r="AN30" i="52"/>
  <c r="AS61" i="77"/>
  <c r="AT62" i="77"/>
  <c r="AI59" i="77"/>
  <c r="AK59" i="77" s="1"/>
  <c r="AC147" i="9"/>
  <c r="AD147" i="9" s="1"/>
  <c r="Z228" i="1"/>
  <c r="X233" i="1"/>
  <c r="Z233" i="1" s="1"/>
  <c r="BM211" i="1"/>
  <c r="AF210" i="1"/>
  <c r="AS60" i="1"/>
  <c r="AR65" i="1"/>
  <c r="BQ54" i="1"/>
  <c r="BP52" i="1"/>
  <c r="Y34" i="1"/>
  <c r="Y232" i="1" s="1"/>
  <c r="BH231" i="1"/>
  <c r="BJ231" i="1" s="1"/>
  <c r="AY15" i="20"/>
  <c r="BD52" i="20" s="1"/>
  <c r="BR30" i="1"/>
  <c r="BL228" i="1"/>
  <c r="T138" i="10"/>
  <c r="N145" i="10"/>
  <c r="B51" i="74" s="1"/>
  <c r="AJ133" i="10"/>
  <c r="N117" i="10"/>
  <c r="J118" i="10"/>
  <c r="Y19" i="11"/>
  <c r="Q18" i="11"/>
  <c r="AR35" i="11"/>
  <c r="AR41" i="11" s="1"/>
  <c r="AS17" i="11"/>
  <c r="AC16" i="11"/>
  <c r="AB34" i="11"/>
  <c r="AJ63" i="22"/>
  <c r="T62" i="22"/>
  <c r="AJ78" i="3"/>
  <c r="AN55" i="3"/>
  <c r="AD30" i="3"/>
  <c r="AD32" i="3" s="1"/>
  <c r="H73" i="3"/>
  <c r="H72" i="3" s="1"/>
  <c r="CU17" i="20"/>
  <c r="L114" i="2"/>
  <c r="AF85" i="2"/>
  <c r="AH85" i="2" s="1"/>
  <c r="AJ85" i="2" s="1"/>
  <c r="AL85" i="2" s="1"/>
  <c r="AN85" i="2" s="1"/>
  <c r="AP85" i="2" s="1"/>
  <c r="AR85" i="2" s="1"/>
  <c r="AT85" i="2" s="1"/>
  <c r="AV85" i="2" s="1"/>
  <c r="AX85" i="2" s="1"/>
  <c r="AZ85" i="2" s="1"/>
  <c r="BB85" i="2" s="1"/>
  <c r="BD85" i="2" s="1"/>
  <c r="BF85" i="2" s="1"/>
  <c r="AP83" i="77"/>
  <c r="AO82" i="77"/>
  <c r="CJ12" i="20"/>
  <c r="CN26" i="1"/>
  <c r="CO26" i="1" s="1"/>
  <c r="U241" i="5"/>
  <c r="U237" i="5"/>
  <c r="U238" i="5" s="1"/>
  <c r="H6" i="95"/>
  <c r="BS89" i="77"/>
  <c r="BR89" i="77"/>
  <c r="AS147" i="9"/>
  <c r="AS159" i="9"/>
  <c r="AS57" i="9"/>
  <c r="BQ36" i="11"/>
  <c r="AF83" i="10"/>
  <c r="P112" i="9"/>
  <c r="CX32" i="1"/>
  <c r="P147" i="9"/>
  <c r="R147" i="9" s="1"/>
  <c r="X147" i="9"/>
  <c r="Z147" i="9" s="1"/>
  <c r="H90" i="9"/>
  <c r="T33" i="15"/>
  <c r="T36" i="15"/>
  <c r="AK65" i="1"/>
  <c r="Q94" i="1"/>
  <c r="P125" i="1"/>
  <c r="AF41" i="11"/>
  <c r="AG35" i="11"/>
  <c r="AG82" i="20"/>
  <c r="AB164" i="52"/>
  <c r="AB117" i="52"/>
  <c r="AB110" i="52"/>
  <c r="E61" i="77"/>
  <c r="F61" i="77"/>
  <c r="AE141" i="9"/>
  <c r="AC141" i="9" s="1"/>
  <c r="AD141" i="9" s="1"/>
  <c r="L140" i="9"/>
  <c r="K140" i="9"/>
  <c r="N119" i="9"/>
  <c r="P119" i="9" s="1"/>
  <c r="K119" i="9"/>
  <c r="D84" i="9"/>
  <c r="AR229" i="1"/>
  <c r="B33" i="10"/>
  <c r="B42" i="9"/>
  <c r="BX233" i="1"/>
  <c r="BX234" i="1"/>
  <c r="BV17" i="20"/>
  <c r="D118" i="52"/>
  <c r="AO117" i="1"/>
  <c r="AO116" i="1"/>
  <c r="L136" i="73"/>
  <c r="DM20" i="20"/>
  <c r="V64" i="15"/>
  <c r="V65" i="15" s="1"/>
  <c r="AC63" i="1"/>
  <c r="AJ81" i="1"/>
  <c r="BU60" i="1"/>
  <c r="BZ60" i="1"/>
  <c r="BT65" i="1"/>
  <c r="BU65" i="1" s="1"/>
  <c r="BX51" i="77"/>
  <c r="BZ51" i="77" s="1"/>
  <c r="BT80" i="1"/>
  <c r="CN55" i="1"/>
  <c r="CO55" i="1" s="1"/>
  <c r="CG23" i="1"/>
  <c r="CF63" i="1"/>
  <c r="BA12" i="98" s="1"/>
  <c r="CC12" i="20"/>
  <c r="CC14" i="20" s="1"/>
  <c r="CC39" i="20" s="1"/>
  <c r="BZ20" i="1"/>
  <c r="CD20" i="1"/>
  <c r="P27" i="5"/>
  <c r="AR86" i="52"/>
  <c r="M85" i="5"/>
  <c r="F59" i="15"/>
  <c r="Q53" i="15"/>
  <c r="I12" i="73"/>
  <c r="I130" i="73" s="1"/>
  <c r="F16" i="15"/>
  <c r="F17" i="15"/>
  <c r="CW15" i="20"/>
  <c r="CW18" i="20" s="1"/>
  <c r="N125" i="10"/>
  <c r="P125" i="10"/>
  <c r="L111" i="10"/>
  <c r="T95" i="10"/>
  <c r="AN96" i="10"/>
  <c r="AJ74" i="10"/>
  <c r="T68" i="10"/>
  <c r="J68" i="10"/>
  <c r="BC40" i="11"/>
  <c r="H36" i="11"/>
  <c r="P37" i="11"/>
  <c r="BH42" i="11"/>
  <c r="BQ17" i="11"/>
  <c r="BP35" i="11"/>
  <c r="AJ41" i="11"/>
  <c r="AK35" i="11"/>
  <c r="B35" i="11"/>
  <c r="B17" i="11"/>
  <c r="Z55" i="3"/>
  <c r="L72" i="2"/>
  <c r="L120" i="2"/>
  <c r="N52" i="2"/>
  <c r="AN36" i="2"/>
  <c r="AN52" i="2" s="1"/>
  <c r="AL114" i="2"/>
  <c r="P81" i="2"/>
  <c r="BU35" i="11"/>
  <c r="BU36" i="11"/>
  <c r="P175" i="9"/>
  <c r="R175" i="9" s="1"/>
  <c r="L67" i="89"/>
  <c r="J6" i="95"/>
  <c r="AN152" i="9"/>
  <c r="AZ144" i="1"/>
  <c r="AZ154" i="1"/>
  <c r="V63" i="22"/>
  <c r="X158" i="10"/>
  <c r="AF108" i="2"/>
  <c r="AS161" i="9"/>
  <c r="AR132" i="1"/>
  <c r="AR122" i="1"/>
  <c r="AL57" i="9"/>
  <c r="AF50" i="2"/>
  <c r="I27" i="15"/>
  <c r="I41" i="15"/>
  <c r="CZ10" i="20"/>
  <c r="CE42" i="20"/>
  <c r="AJ42" i="20"/>
  <c r="AF131" i="52"/>
  <c r="N131" i="52"/>
  <c r="AM125" i="52"/>
  <c r="N118" i="52"/>
  <c r="AJ118" i="52"/>
  <c r="AJ105" i="52"/>
  <c r="AF105" i="52"/>
  <c r="AO26" i="52"/>
  <c r="AH38" i="94"/>
  <c r="AQ76" i="77"/>
  <c r="E76" i="77"/>
  <c r="F76" i="77"/>
  <c r="K147" i="9"/>
  <c r="L147" i="9"/>
  <c r="H99" i="9"/>
  <c r="AQ76" i="9"/>
  <c r="U79" i="9"/>
  <c r="Q41" i="52"/>
  <c r="T41" i="52" s="1"/>
  <c r="N69" i="9"/>
  <c r="H54" i="9"/>
  <c r="BX209" i="1"/>
  <c r="BQ17" i="20"/>
  <c r="AZ212" i="1"/>
  <c r="BE212" i="1" s="1"/>
  <c r="AZ213" i="1"/>
  <c r="BE213" i="1" s="1"/>
  <c r="AM17" i="20"/>
  <c r="BP201" i="1"/>
  <c r="W30" i="20"/>
  <c r="AN202" i="1"/>
  <c r="BT182" i="1"/>
  <c r="AK117" i="1"/>
  <c r="BT95" i="1"/>
  <c r="BT94" i="1"/>
  <c r="S70" i="15" s="1"/>
  <c r="K18" i="73" s="1"/>
  <c r="K136" i="73" s="1"/>
  <c r="AS26" i="1"/>
  <c r="CB63" i="1"/>
  <c r="CB24" i="1"/>
  <c r="U12" i="15" s="1"/>
  <c r="DL12" i="20" s="1"/>
  <c r="BX12" i="20"/>
  <c r="BX14" i="20" s="1"/>
  <c r="AX23" i="1"/>
  <c r="CL22" i="1"/>
  <c r="BF21" i="1"/>
  <c r="AD21" i="1"/>
  <c r="AX20" i="1"/>
  <c r="CK15" i="1"/>
  <c r="BJ15" i="1"/>
  <c r="BJ16" i="1" s="1"/>
  <c r="BI15" i="1"/>
  <c r="AC15" i="1"/>
  <c r="AS13" i="1"/>
  <c r="AN63" i="1"/>
  <c r="K174" i="5"/>
  <c r="J90" i="10"/>
  <c r="AH90" i="10" s="1"/>
  <c r="T66" i="10"/>
  <c r="AJ46" i="10"/>
  <c r="L28" i="10"/>
  <c r="AD50" i="22"/>
  <c r="AD56" i="22" s="1"/>
  <c r="H39" i="22"/>
  <c r="H51" i="22"/>
  <c r="H57" i="22" s="1"/>
  <c r="BD61" i="20"/>
  <c r="AD108" i="2"/>
  <c r="AD114" i="2" s="1"/>
  <c r="AJ53" i="22"/>
  <c r="AJ59" i="22" s="1"/>
  <c r="BB82" i="77"/>
  <c r="AM133" i="52"/>
  <c r="N83" i="89"/>
  <c r="N84" i="89" s="1"/>
  <c r="N118" i="89"/>
  <c r="O117" i="89"/>
  <c r="K82" i="20"/>
  <c r="C57" i="74"/>
  <c r="BC40" i="20"/>
  <c r="AX14" i="20"/>
  <c r="AX18" i="20" s="1"/>
  <c r="S14" i="20"/>
  <c r="S39" i="20" s="1"/>
  <c r="AE106" i="52"/>
  <c r="X87" i="10"/>
  <c r="Z87" i="10" s="1"/>
  <c r="D82" i="9"/>
  <c r="BF229" i="1"/>
  <c r="BI211" i="1"/>
  <c r="BE74" i="1"/>
  <c r="BE24" i="1"/>
  <c r="BJ24" i="1" s="1"/>
  <c r="L151" i="10"/>
  <c r="P145" i="10"/>
  <c r="D127" i="10"/>
  <c r="L134" i="10" s="1"/>
  <c r="J88" i="10"/>
  <c r="T67" i="10"/>
  <c r="L68" i="10"/>
  <c r="D49" i="10"/>
  <c r="L49" i="10" s="1"/>
  <c r="T63" i="22"/>
  <c r="J32" i="3"/>
  <c r="X52" i="2"/>
  <c r="AD154" i="10"/>
  <c r="AF154" i="10" s="1"/>
  <c r="J64" i="89"/>
  <c r="Q114" i="89"/>
  <c r="AF36" i="94"/>
  <c r="AG36" i="94" s="1"/>
  <c r="AF41" i="94"/>
  <c r="AG41" i="94" s="1"/>
  <c r="H140" i="9"/>
  <c r="AN140" i="9" s="1"/>
  <c r="L165" i="10"/>
  <c r="AW82" i="20"/>
  <c r="AN82" i="20"/>
  <c r="BX40" i="20"/>
  <c r="CF49" i="20"/>
  <c r="AW42" i="20"/>
  <c r="AM14" i="20"/>
  <c r="AM39" i="20" s="1"/>
  <c r="H49" i="20"/>
  <c r="AN125" i="52"/>
  <c r="AB120" i="52"/>
  <c r="AA106" i="52"/>
  <c r="T57" i="52"/>
  <c r="AA57" i="52"/>
  <c r="N29" i="52"/>
  <c r="AF31" i="94"/>
  <c r="AG31" i="94" s="1"/>
  <c r="BA75" i="1"/>
  <c r="CG53" i="1"/>
  <c r="AK35" i="1"/>
  <c r="AK233" i="1" s="1"/>
  <c r="Y25" i="1"/>
  <c r="CH20" i="1"/>
  <c r="AD20" i="1"/>
  <c r="AG26" i="1"/>
  <c r="BQ15" i="1"/>
  <c r="AO35" i="1"/>
  <c r="AO233" i="1" s="1"/>
  <c r="I170" i="5"/>
  <c r="L154" i="10"/>
  <c r="N119" i="10"/>
  <c r="T87" i="10"/>
  <c r="F6" i="95"/>
  <c r="AJ64" i="22"/>
  <c r="X32" i="3"/>
  <c r="J75" i="2"/>
  <c r="L28" i="94"/>
  <c r="AL41" i="22"/>
  <c r="AB92" i="52"/>
  <c r="AF86" i="52"/>
  <c r="AN33" i="52"/>
  <c r="AN21" i="52"/>
  <c r="AB42" i="52"/>
  <c r="AF21" i="52"/>
  <c r="AF103" i="52"/>
  <c r="N42" i="52"/>
  <c r="AB21" i="52"/>
  <c r="AB85" i="52"/>
  <c r="AB64" i="52"/>
  <c r="N21" i="52"/>
  <c r="N103" i="52"/>
  <c r="AJ127" i="52"/>
  <c r="AF47" i="52"/>
  <c r="N85" i="52"/>
  <c r="AB71" i="52"/>
  <c r="N33" i="52"/>
  <c r="AJ33" i="52"/>
  <c r="AJ42" i="52"/>
  <c r="AF127" i="52"/>
  <c r="AF78" i="52"/>
  <c r="AJ121" i="52"/>
  <c r="N71" i="52"/>
  <c r="D83" i="52"/>
  <c r="N121" i="52"/>
  <c r="AB125" i="52"/>
  <c r="AB33" i="52"/>
  <c r="N120" i="52"/>
  <c r="AO42" i="52"/>
  <c r="N61" i="52"/>
  <c r="AN140" i="52"/>
  <c r="AJ96" i="52"/>
  <c r="AJ126" i="52"/>
  <c r="AF117" i="52"/>
  <c r="N106" i="52"/>
  <c r="AB133" i="52"/>
  <c r="AF27" i="52"/>
  <c r="AJ119" i="52"/>
  <c r="AF48" i="52"/>
  <c r="AJ34" i="52"/>
  <c r="AO98" i="52"/>
  <c r="N119" i="52"/>
  <c r="N117" i="52"/>
  <c r="AJ61" i="52"/>
  <c r="AN103" i="52"/>
  <c r="F132" i="52"/>
  <c r="H132" i="52" s="1"/>
  <c r="AF140" i="52"/>
  <c r="N126" i="52"/>
  <c r="AJ54" i="52"/>
  <c r="AF54" i="52"/>
  <c r="AJ48" i="52"/>
  <c r="AF61" i="52"/>
  <c r="AF34" i="52"/>
  <c r="AB118" i="52"/>
  <c r="AN61" i="52"/>
  <c r="AN96" i="52"/>
  <c r="AB26" i="52"/>
  <c r="N140" i="52"/>
  <c r="AB96" i="52"/>
  <c r="AF126" i="52"/>
  <c r="AB54" i="52"/>
  <c r="AB131" i="52"/>
  <c r="AB48" i="52"/>
  <c r="N34" i="52"/>
  <c r="AF75" i="52"/>
  <c r="AJ131" i="52"/>
  <c r="AJ140" i="52"/>
  <c r="N96" i="52"/>
  <c r="AJ117" i="52"/>
  <c r="AJ83" i="52"/>
  <c r="AJ27" i="52"/>
  <c r="N55" i="52"/>
  <c r="AN83" i="52"/>
  <c r="AO54" i="52"/>
  <c r="AB83" i="52"/>
  <c r="AJ22" i="52"/>
  <c r="AJ100" i="52"/>
  <c r="AB124" i="52"/>
  <c r="AJ56" i="52"/>
  <c r="AF125" i="52"/>
  <c r="AN84" i="52"/>
  <c r="AN20" i="52"/>
  <c r="N20" i="52"/>
  <c r="AB36" i="52"/>
  <c r="AJ90" i="52"/>
  <c r="N84" i="52"/>
  <c r="AB113" i="52"/>
  <c r="AJ98" i="52"/>
  <c r="AB27" i="52"/>
  <c r="N89" i="52"/>
  <c r="AB79" i="52"/>
  <c r="AF58" i="52"/>
  <c r="AF139" i="52"/>
  <c r="AJ75" i="52"/>
  <c r="AB76" i="52"/>
  <c r="AB112" i="52"/>
  <c r="AN89" i="52"/>
  <c r="AN126" i="52"/>
  <c r="AN91" i="52"/>
  <c r="AN90" i="52"/>
  <c r="AN76" i="52"/>
  <c r="AO68" i="52"/>
  <c r="AO48" i="52"/>
  <c r="AB43" i="52"/>
  <c r="AN37" i="52"/>
  <c r="AB22" i="52"/>
  <c r="AF124" i="52"/>
  <c r="AF100" i="52"/>
  <c r="AJ35" i="52"/>
  <c r="AB55" i="52"/>
  <c r="AB75" i="52"/>
  <c r="N35" i="52"/>
  <c r="AJ55" i="52"/>
  <c r="AN44" i="52"/>
  <c r="AF89" i="52"/>
  <c r="D41" i="52"/>
  <c r="J41" i="52" s="1"/>
  <c r="AJ111" i="52"/>
  <c r="AF20" i="52"/>
  <c r="N36" i="52"/>
  <c r="AB91" i="52"/>
  <c r="N98" i="52"/>
  <c r="AF68" i="52"/>
  <c r="N82" i="52"/>
  <c r="AJ89" i="52"/>
  <c r="N79" i="52"/>
  <c r="AB58" i="52"/>
  <c r="AF118" i="52"/>
  <c r="AB100" i="52"/>
  <c r="AB62" i="52"/>
  <c r="AN112" i="52"/>
  <c r="AJ76" i="52"/>
  <c r="AN68" i="52"/>
  <c r="AJ82" i="52"/>
  <c r="AN58" i="52"/>
  <c r="AJ29" i="52"/>
  <c r="AF26" i="52"/>
  <c r="AN105" i="52"/>
  <c r="AF121" i="52"/>
  <c r="N83" i="52"/>
  <c r="AN124" i="52"/>
  <c r="AJ44" i="52"/>
  <c r="N139" i="52"/>
  <c r="AF56" i="52"/>
  <c r="AB35" i="52"/>
  <c r="N113" i="52"/>
  <c r="AN56" i="52"/>
  <c r="N141" i="52"/>
  <c r="AN111" i="52"/>
  <c r="AB20" i="52"/>
  <c r="AJ91" i="52"/>
  <c r="AN117" i="52"/>
  <c r="N68" i="52"/>
  <c r="AF82" i="52"/>
  <c r="AB105" i="52"/>
  <c r="N125" i="52"/>
  <c r="AF79" i="52"/>
  <c r="AB49" i="52"/>
  <c r="AN118" i="52"/>
  <c r="N47" i="52"/>
  <c r="AB56" i="52"/>
  <c r="N26" i="52"/>
  <c r="AJ62" i="52"/>
  <c r="N76" i="52"/>
  <c r="N62" i="52"/>
  <c r="N99" i="52"/>
  <c r="AO69" i="52"/>
  <c r="AF44" i="52"/>
  <c r="D82" i="52"/>
  <c r="AN26" i="52"/>
  <c r="AB111" i="52"/>
  <c r="AF98" i="52"/>
  <c r="AN75" i="52"/>
  <c r="D85" i="52"/>
  <c r="N105" i="52"/>
  <c r="AJ47" i="52"/>
  <c r="AJ139" i="52"/>
  <c r="AO16" i="52"/>
  <c r="M36" i="52"/>
  <c r="AM42" i="52"/>
  <c r="AE162" i="52"/>
  <c r="AF162" i="52"/>
  <c r="AM28" i="52"/>
  <c r="N64" i="52"/>
  <c r="AN42" i="52"/>
  <c r="AB50" i="52"/>
  <c r="AM65" i="52"/>
  <c r="AO12" i="52"/>
  <c r="AM96" i="52"/>
  <c r="N57" i="52"/>
  <c r="AN82" i="52"/>
  <c r="AM84" i="52"/>
  <c r="AD162" i="52"/>
  <c r="AM97" i="52"/>
  <c r="AB78" i="52"/>
  <c r="AB162" i="52"/>
  <c r="N92" i="52"/>
  <c r="AA162" i="52"/>
  <c r="AA99" i="52"/>
  <c r="M85" i="52"/>
  <c r="AD164" i="52"/>
  <c r="AF85" i="52"/>
  <c r="M29" i="52"/>
  <c r="N78" i="52"/>
  <c r="AN98" i="52"/>
  <c r="AA85" i="52"/>
  <c r="AC164" i="52"/>
  <c r="AO97" i="52"/>
  <c r="AL85" i="52"/>
  <c r="AN85" i="52" s="1"/>
  <c r="AM70" i="52"/>
  <c r="AF165" i="52"/>
  <c r="AO91" i="52"/>
  <c r="AO84" i="52"/>
  <c r="AO96" i="52"/>
  <c r="AI85" i="52"/>
  <c r="AE99" i="52"/>
  <c r="AJ85" i="52"/>
  <c r="AO75" i="52"/>
  <c r="AO90" i="52"/>
  <c r="AO55" i="52"/>
  <c r="AM33" i="52"/>
  <c r="AM90" i="52"/>
  <c r="N50" i="52"/>
  <c r="AM26" i="52"/>
  <c r="AO37" i="52"/>
  <c r="AA164" i="52"/>
  <c r="AL57" i="52"/>
  <c r="AM56" i="52"/>
  <c r="AO14" i="52"/>
  <c r="AM91" i="52"/>
  <c r="AE163" i="52"/>
  <c r="AM34" i="52"/>
  <c r="AL92" i="52"/>
  <c r="AN55" i="52"/>
  <c r="AM44" i="52"/>
  <c r="AM75" i="52"/>
  <c r="AF164" i="52"/>
  <c r="AA163" i="52"/>
  <c r="AI64" i="52"/>
  <c r="AO61" i="52"/>
  <c r="AN54" i="52"/>
  <c r="AM51" i="52"/>
  <c r="AO40" i="52"/>
  <c r="AO19" i="52"/>
  <c r="AL78" i="52"/>
  <c r="AN78" i="52" s="1"/>
  <c r="AE164" i="52"/>
  <c r="AO89" i="52"/>
  <c r="AM89" i="52"/>
  <c r="AF22" i="52"/>
  <c r="AM27" i="52"/>
  <c r="AN27" i="52"/>
  <c r="AF57" i="52"/>
  <c r="AO47" i="52"/>
  <c r="AO51" i="52"/>
  <c r="N22" i="52"/>
  <c r="AN51" i="52"/>
  <c r="AJ64" i="52"/>
  <c r="AA50" i="52"/>
  <c r="AM49" i="52"/>
  <c r="AO27" i="52"/>
  <c r="AO15" i="52"/>
  <c r="AE57" i="52"/>
  <c r="AN48" i="52"/>
  <c r="AM37" i="52"/>
  <c r="AN49" i="52"/>
  <c r="AL36" i="52"/>
  <c r="AN36" i="52" s="1"/>
  <c r="AO50" i="52"/>
  <c r="AO20" i="52"/>
  <c r="AB163" i="52"/>
  <c r="AN28" i="52"/>
  <c r="AN47" i="52"/>
  <c r="T43" i="52"/>
  <c r="AO56" i="52"/>
  <c r="AA43" i="52"/>
  <c r="AJ71" i="52"/>
  <c r="AI78" i="52"/>
  <c r="AM48" i="52"/>
  <c r="AB57" i="52"/>
  <c r="AM54" i="52"/>
  <c r="N43" i="52"/>
  <c r="Q68" i="5"/>
  <c r="DH63" i="20" s="1"/>
  <c r="I66" i="5"/>
  <c r="J66" i="5" s="1"/>
  <c r="K66" i="5" s="1"/>
  <c r="AE42" i="20"/>
  <c r="CB52" i="20"/>
  <c r="AD52" i="20"/>
  <c r="BS49" i="20"/>
  <c r="AJ49" i="20"/>
  <c r="H42" i="20"/>
  <c r="BI52" i="20"/>
  <c r="AB14" i="20"/>
  <c r="AB39" i="20" s="1"/>
  <c r="CJ42" i="20"/>
  <c r="BM52" i="1"/>
  <c r="BC16" i="20"/>
  <c r="BL50" i="1"/>
  <c r="AS50" i="1"/>
  <c r="D78" i="52"/>
  <c r="BM54" i="1"/>
  <c r="CJ52" i="1"/>
  <c r="CK52" i="1" s="1"/>
  <c r="D42" i="52"/>
  <c r="F136" i="73"/>
  <c r="I51" i="73"/>
  <c r="K87" i="73"/>
  <c r="D76" i="52"/>
  <c r="BL53" i="1"/>
  <c r="BD16" i="20" s="1"/>
  <c r="CJ50" i="1"/>
  <c r="I91" i="73"/>
  <c r="K47" i="73"/>
  <c r="C136" i="73"/>
  <c r="BQ50" i="1"/>
  <c r="F97" i="73"/>
  <c r="D43" i="52"/>
  <c r="BL51" i="1"/>
  <c r="BB16" i="20" s="1"/>
  <c r="D35" i="52"/>
  <c r="D36" i="52"/>
  <c r="J126" i="73"/>
  <c r="CB52" i="1"/>
  <c r="CC52" i="1" s="1"/>
  <c r="BW16" i="20" s="1"/>
  <c r="G137" i="73"/>
  <c r="G58" i="73"/>
  <c r="G98" i="73"/>
  <c r="E54" i="73"/>
  <c r="E94" i="73"/>
  <c r="E133" i="73"/>
  <c r="BE53" i="1"/>
  <c r="AT16" i="20"/>
  <c r="P57" i="73"/>
  <c r="P97" i="73"/>
  <c r="BH51" i="1"/>
  <c r="BI54" i="1"/>
  <c r="BN54" i="1" s="1"/>
  <c r="BH50" i="1"/>
  <c r="D142" i="52"/>
  <c r="S46" i="15"/>
  <c r="S59" i="15"/>
  <c r="J33" i="15"/>
  <c r="J87" i="73"/>
  <c r="CB51" i="1"/>
  <c r="CC51" i="1" s="1"/>
  <c r="BV16" i="20" s="1"/>
  <c r="D48" i="52"/>
  <c r="D47" i="52"/>
  <c r="D49" i="52"/>
  <c r="J49" i="52" s="1"/>
  <c r="D50" i="52"/>
  <c r="AZ52" i="1"/>
  <c r="BA54" i="1"/>
  <c r="CV23" i="20"/>
  <c r="T28" i="15"/>
  <c r="D114" i="52"/>
  <c r="T53" i="15"/>
  <c r="L12" i="73"/>
  <c r="AO50" i="1"/>
  <c r="AT50" i="1"/>
  <c r="AT51" i="1"/>
  <c r="X16" i="20"/>
  <c r="AO51" i="1"/>
  <c r="H28" i="15"/>
  <c r="C16" i="15"/>
  <c r="CU20" i="20"/>
  <c r="DN20" i="20"/>
  <c r="W65" i="15"/>
  <c r="O15" i="73"/>
  <c r="CZ15" i="20"/>
  <c r="CZ40" i="20" s="1"/>
  <c r="I61" i="15"/>
  <c r="S53" i="15"/>
  <c r="K12" i="73"/>
  <c r="S28" i="15"/>
  <c r="G53" i="15"/>
  <c r="G52" i="15"/>
  <c r="AO55" i="1"/>
  <c r="G47" i="73"/>
  <c r="G87" i="73"/>
  <c r="AZ50" i="1"/>
  <c r="N91" i="73"/>
  <c r="N51" i="73"/>
  <c r="N130" i="73"/>
  <c r="D72" i="52"/>
  <c r="D71" i="52" s="1"/>
  <c r="DJ23" i="20"/>
  <c r="CF51" i="1"/>
  <c r="I136" i="73"/>
  <c r="I97" i="73"/>
  <c r="I57" i="73"/>
  <c r="DC20" i="20"/>
  <c r="T107" i="15"/>
  <c r="G90" i="73"/>
  <c r="L11" i="73"/>
  <c r="M37" i="73" s="1"/>
  <c r="DK15" i="20"/>
  <c r="DK52" i="20" s="1"/>
  <c r="U17" i="15"/>
  <c r="T17" i="15"/>
  <c r="DF24" i="20"/>
  <c r="C19" i="73"/>
  <c r="DB24" i="20"/>
  <c r="D65" i="52"/>
  <c r="M28" i="15"/>
  <c r="F8" i="15"/>
  <c r="F13" i="15"/>
  <c r="F20" i="15" s="1"/>
  <c r="F65" i="15"/>
  <c r="CR50" i="1"/>
  <c r="CR53" i="1"/>
  <c r="CR52" i="1"/>
  <c r="AH67" i="2"/>
  <c r="S91" i="15"/>
  <c r="T31" i="15"/>
  <c r="T59" i="15"/>
  <c r="AN66" i="2"/>
  <c r="AN73" i="2" s="1"/>
  <c r="T19" i="15"/>
  <c r="T41" i="15"/>
  <c r="L6" i="73"/>
  <c r="L85" i="73" s="1"/>
  <c r="T46" i="15"/>
  <c r="M103" i="73"/>
  <c r="M145" i="73" s="1"/>
  <c r="M143" i="73"/>
  <c r="CX20" i="20"/>
  <c r="G65" i="15"/>
  <c r="CU15" i="20"/>
  <c r="CV52" i="20" s="1"/>
  <c r="D61" i="15"/>
  <c r="E17" i="15"/>
  <c r="D16" i="15"/>
  <c r="M144" i="73"/>
  <c r="M142" i="73" s="1"/>
  <c r="G97" i="73"/>
  <c r="G136" i="73"/>
  <c r="G57" i="73"/>
  <c r="D103" i="52"/>
  <c r="D106" i="52"/>
  <c r="D104" i="52"/>
  <c r="DC23" i="20"/>
  <c r="D18" i="73"/>
  <c r="P54" i="73"/>
  <c r="P94" i="73"/>
  <c r="BY54" i="1"/>
  <c r="BX53" i="1"/>
  <c r="BY53" i="1" s="1"/>
  <c r="BS16" i="20" s="1"/>
  <c r="BX52" i="1"/>
  <c r="BY52" i="1" s="1"/>
  <c r="BR16" i="20" s="1"/>
  <c r="BX50" i="1"/>
  <c r="BY50" i="1" s="1"/>
  <c r="BP16" i="20" s="1"/>
  <c r="D89" i="52"/>
  <c r="D90" i="52"/>
  <c r="J90" i="52" s="1"/>
  <c r="BH16" i="20"/>
  <c r="O74" i="15"/>
  <c r="U38" i="15"/>
  <c r="U27" i="15"/>
  <c r="M91" i="73"/>
  <c r="CB53" i="1"/>
  <c r="CC53" i="1" s="1"/>
  <c r="BX16" i="20" s="1"/>
  <c r="D54" i="73"/>
  <c r="D133" i="73"/>
  <c r="AN53" i="1"/>
  <c r="AT54" i="1"/>
  <c r="AO54" i="1"/>
  <c r="DE12" i="20"/>
  <c r="F8" i="73"/>
  <c r="B16" i="15"/>
  <c r="B61" i="15"/>
  <c r="Q133" i="73"/>
  <c r="DO20" i="20"/>
  <c r="AZ53" i="1"/>
  <c r="BA53" i="1" s="1"/>
  <c r="AZ51" i="1"/>
  <c r="BA51" i="1" s="1"/>
  <c r="P12" i="73"/>
  <c r="P91" i="73" s="1"/>
  <c r="F12" i="73"/>
  <c r="C62" i="15"/>
  <c r="S36" i="15"/>
  <c r="DL29" i="20"/>
  <c r="F153" i="5"/>
  <c r="F154" i="5" s="1"/>
  <c r="S107" i="15"/>
  <c r="U59" i="15"/>
  <c r="F19" i="73"/>
  <c r="F137" i="73" s="1"/>
  <c r="T27" i="15"/>
  <c r="BH53" i="1"/>
  <c r="BJ53" i="1" s="1"/>
  <c r="O44" i="15"/>
  <c r="O107" i="15"/>
  <c r="CT23" i="20"/>
  <c r="J12" i="73"/>
  <c r="D100" i="52"/>
  <c r="AV53" i="1"/>
  <c r="AV51" i="1"/>
  <c r="AX54" i="1"/>
  <c r="AW54" i="1"/>
  <c r="AW52" i="1"/>
  <c r="AD76" i="2"/>
  <c r="CF52" i="1"/>
  <c r="CG52" i="1" s="1"/>
  <c r="CF50" i="1"/>
  <c r="L91" i="15"/>
  <c r="BE54" i="1"/>
  <c r="BF54" i="1"/>
  <c r="BD50" i="1"/>
  <c r="BD52" i="1"/>
  <c r="H18" i="73"/>
  <c r="DK10" i="20"/>
  <c r="DO17" i="20"/>
  <c r="BB54" i="1"/>
  <c r="AN52" i="1"/>
  <c r="AN56" i="1" s="1"/>
  <c r="AB67" i="2"/>
  <c r="N53" i="15"/>
  <c r="C67" i="15"/>
  <c r="C68" i="15" s="1"/>
  <c r="C126" i="73"/>
  <c r="S27" i="15"/>
  <c r="E67" i="15"/>
  <c r="E71" i="15" s="1"/>
  <c r="E153" i="5"/>
  <c r="E154" i="5" s="1"/>
  <c r="D94" i="73"/>
  <c r="P24" i="73"/>
  <c r="DO29" i="20"/>
  <c r="E51" i="73"/>
  <c r="E91" i="73"/>
  <c r="G24" i="73"/>
  <c r="DF29" i="20"/>
  <c r="CC50" i="1"/>
  <c r="BU16" i="20" s="1"/>
  <c r="DG12" i="20"/>
  <c r="H8" i="73"/>
  <c r="K90" i="73"/>
  <c r="K129" i="73"/>
  <c r="G91" i="73"/>
  <c r="G51" i="73"/>
  <c r="BD51" i="1"/>
  <c r="BE51" i="1" s="1"/>
  <c r="G126" i="73"/>
  <c r="J36" i="15"/>
  <c r="P13" i="15"/>
  <c r="BH52" i="1"/>
  <c r="K41" i="15"/>
  <c r="K65" i="15"/>
  <c r="C6" i="73"/>
  <c r="C30" i="73" s="1"/>
  <c r="DB10" i="20"/>
  <c r="K22" i="15"/>
  <c r="T38" i="15"/>
  <c r="O36" i="15"/>
  <c r="O27" i="15"/>
  <c r="O31" i="15"/>
  <c r="G6" i="73"/>
  <c r="G124" i="73" s="1"/>
  <c r="O13" i="15"/>
  <c r="O20" i="15" s="1"/>
  <c r="O91" i="15"/>
  <c r="O52" i="15"/>
  <c r="H6" i="73"/>
  <c r="P19" i="15"/>
  <c r="AF66" i="2"/>
  <c r="AF81" i="2" s="1"/>
  <c r="DG10" i="20"/>
  <c r="DG49" i="20" s="1"/>
  <c r="P8" i="15"/>
  <c r="P65" i="15"/>
  <c r="P41" i="15"/>
  <c r="P31" i="15"/>
  <c r="P91" i="15"/>
  <c r="F24" i="73"/>
  <c r="F142" i="73" s="1"/>
  <c r="DE29" i="20"/>
  <c r="G91" i="15"/>
  <c r="E65" i="15"/>
  <c r="AG90" i="9"/>
  <c r="AB88" i="10" s="1"/>
  <c r="AD88" i="10" s="1"/>
  <c r="AG82" i="9"/>
  <c r="AJ82" i="9" s="1"/>
  <c r="AS82" i="9" s="1"/>
  <c r="W174" i="5"/>
  <c r="U112" i="5"/>
  <c r="M89" i="5"/>
  <c r="V177" i="5"/>
  <c r="S172" i="5"/>
  <c r="DD65" i="20"/>
  <c r="DD80" i="20" s="1"/>
  <c r="D82" i="20"/>
  <c r="U82" i="20"/>
  <c r="J82" i="20"/>
  <c r="I82" i="20"/>
  <c r="AI82" i="20"/>
  <c r="Y82" i="20"/>
  <c r="BD82" i="20"/>
  <c r="AT82" i="20"/>
  <c r="R82" i="20"/>
  <c r="AH82" i="20"/>
  <c r="E82" i="20"/>
  <c r="AJ82" i="20"/>
  <c r="DO73" i="20"/>
  <c r="Y221" i="5"/>
  <c r="Y224" i="5" s="1"/>
  <c r="X231" i="5"/>
  <c r="X232" i="5" s="1"/>
  <c r="V116" i="5"/>
  <c r="V181" i="5" s="1"/>
  <c r="V182" i="5" s="1"/>
  <c r="Q88" i="5"/>
  <c r="AF88" i="5" s="1"/>
  <c r="V174" i="5"/>
  <c r="P182" i="5"/>
  <c r="U174" i="5"/>
  <c r="S118" i="5"/>
  <c r="S119" i="5" s="1"/>
  <c r="DM65" i="20"/>
  <c r="DM66" i="20" s="1"/>
  <c r="L85" i="5"/>
  <c r="P58" i="52" s="1"/>
  <c r="W85" i="5"/>
  <c r="P135" i="52" s="1"/>
  <c r="J174" i="5"/>
  <c r="AA111" i="5"/>
  <c r="AB111" i="5" s="1"/>
  <c r="AC111" i="5" s="1"/>
  <c r="M182" i="5"/>
  <c r="O174" i="5"/>
  <c r="L89" i="5"/>
  <c r="V85" i="5"/>
  <c r="P128" i="52" s="1"/>
  <c r="V173" i="52" s="1"/>
  <c r="DG65" i="20"/>
  <c r="DG80" i="20" s="1"/>
  <c r="AL116" i="5"/>
  <c r="U224" i="5"/>
  <c r="DL73" i="20" s="1"/>
  <c r="AM18" i="20"/>
  <c r="AM21" i="20" s="1"/>
  <c r="AM42" i="20"/>
  <c r="AC42" i="20"/>
  <c r="S42" i="20"/>
  <c r="BV40" i="20"/>
  <c r="AT14" i="20"/>
  <c r="AT18" i="20" s="1"/>
  <c r="CJ40" i="20"/>
  <c r="Y40" i="20"/>
  <c r="DF40" i="20"/>
  <c r="BC52" i="20"/>
  <c r="R42" i="20"/>
  <c r="AM52" i="20"/>
  <c r="BW40" i="20"/>
  <c r="BM40" i="20"/>
  <c r="F42" i="20"/>
  <c r="AR52" i="20"/>
  <c r="BV14" i="20"/>
  <c r="BV18" i="20" s="1"/>
  <c r="BV41" i="20" s="1"/>
  <c r="AR49" i="20"/>
  <c r="BG42" i="20"/>
  <c r="AC14" i="20"/>
  <c r="BU49" i="20"/>
  <c r="S33" i="74" s="1"/>
  <c r="P42" i="20"/>
  <c r="BG40" i="20"/>
  <c r="BL67" i="20" s="1"/>
  <c r="H52" i="20"/>
  <c r="CF40" i="20"/>
  <c r="CV14" i="20"/>
  <c r="R14" i="20"/>
  <c r="H14" i="20"/>
  <c r="BV39" i="20"/>
  <c r="AV40" i="20"/>
  <c r="AD14" i="20"/>
  <c r="AD39" i="20" s="1"/>
  <c r="CK49" i="20"/>
  <c r="CF42" i="20"/>
  <c r="BV42" i="20"/>
  <c r="AV42" i="20"/>
  <c r="AB42" i="20"/>
  <c r="BZ52" i="20"/>
  <c r="BD42" i="20"/>
  <c r="BL52" i="20"/>
  <c r="BC42" i="20"/>
  <c r="BD40" i="20"/>
  <c r="CF14" i="20"/>
  <c r="CF39" i="20" s="1"/>
  <c r="CC49" i="20"/>
  <c r="CT40" i="20"/>
  <c r="CU14" i="20"/>
  <c r="CU39" i="20" s="1"/>
  <c r="AB40" i="20"/>
  <c r="BW14" i="20"/>
  <c r="BN14" i="20"/>
  <c r="BN39" i="20" s="1"/>
  <c r="AJ14" i="20"/>
  <c r="AJ39" i="20" s="1"/>
  <c r="P14" i="20"/>
  <c r="P18" i="20" s="1"/>
  <c r="BN49" i="20"/>
  <c r="AQ49" i="20"/>
  <c r="AG49" i="20"/>
  <c r="U14" i="20"/>
  <c r="U39" i="20" s="1"/>
  <c r="AV14" i="20"/>
  <c r="AV39" i="20" s="1"/>
  <c r="AL14" i="20"/>
  <c r="AL39" i="20" s="1"/>
  <c r="BC14" i="20"/>
  <c r="BC39" i="20" s="1"/>
  <c r="AY14" i="20"/>
  <c r="AY39" i="20" s="1"/>
  <c r="AO49" i="20"/>
  <c r="F112" i="52"/>
  <c r="H112" i="52" s="1"/>
  <c r="F36" i="52"/>
  <c r="H36" i="52" s="1"/>
  <c r="F54" i="52"/>
  <c r="H54" i="52" s="1"/>
  <c r="AW126" i="9"/>
  <c r="AX126" i="9" s="1"/>
  <c r="F57" i="52"/>
  <c r="H57" i="52" s="1"/>
  <c r="N28" i="94"/>
  <c r="S176" i="5"/>
  <c r="F85" i="5"/>
  <c r="F86" i="5" s="1"/>
  <c r="P168" i="5"/>
  <c r="H170" i="5"/>
  <c r="T124" i="5"/>
  <c r="U124" i="5" s="1"/>
  <c r="Y112" i="5"/>
  <c r="X112" i="5"/>
  <c r="AA176" i="5"/>
  <c r="L174" i="5"/>
  <c r="P174" i="5"/>
  <c r="AC176" i="5"/>
  <c r="S187" i="5"/>
  <c r="G36" i="73"/>
  <c r="G115" i="73" s="1"/>
  <c r="S235" i="5"/>
  <c r="U15" i="5"/>
  <c r="V15" i="5"/>
  <c r="U246" i="5"/>
  <c r="U251" i="5"/>
  <c r="N30" i="94"/>
  <c r="O30" i="94"/>
  <c r="Q37" i="94" s="1"/>
  <c r="S37" i="94" s="1"/>
  <c r="Y139" i="5"/>
  <c r="Z139" i="5" s="1"/>
  <c r="AA139" i="5" s="1"/>
  <c r="AB139" i="5" s="1"/>
  <c r="AC139" i="5" s="1"/>
  <c r="X106" i="5"/>
  <c r="X107" i="5" s="1"/>
  <c r="T115" i="73"/>
  <c r="R103" i="5"/>
  <c r="AI162" i="9"/>
  <c r="AB161" i="10" s="1"/>
  <c r="AD161" i="10" s="1"/>
  <c r="H62" i="5"/>
  <c r="CY60" i="20" s="1"/>
  <c r="S103" i="5"/>
  <c r="AG98" i="9"/>
  <c r="AN80" i="20" s="1"/>
  <c r="R235" i="5"/>
  <c r="T235" i="5"/>
  <c r="T122" i="5"/>
  <c r="U122" i="5" s="1"/>
  <c r="DN65" i="20"/>
  <c r="R244" i="5"/>
  <c r="G85" i="5"/>
  <c r="P170" i="5"/>
  <c r="R88" i="5"/>
  <c r="AG113" i="9"/>
  <c r="AY80" i="20" s="1"/>
  <c r="AG106" i="9"/>
  <c r="AT80" i="20" s="1"/>
  <c r="V112" i="5"/>
  <c r="X172" i="5"/>
  <c r="K26" i="5"/>
  <c r="G61" i="5"/>
  <c r="R169" i="5"/>
  <c r="S170" i="5" s="1"/>
  <c r="S101" i="5"/>
  <c r="AG96" i="9"/>
  <c r="AB94" i="10" s="1"/>
  <c r="AD94" i="10" s="1"/>
  <c r="AG89" i="9"/>
  <c r="AK180" i="5"/>
  <c r="AB112" i="10"/>
  <c r="AD112" i="10" s="1"/>
  <c r="DF72" i="20"/>
  <c r="P85" i="5"/>
  <c r="P94" i="5" s="1"/>
  <c r="P244" i="5"/>
  <c r="S244" i="5"/>
  <c r="T244" i="5"/>
  <c r="W89" i="5"/>
  <c r="AG83" i="9"/>
  <c r="AB81" i="10" s="1"/>
  <c r="AD81" i="10" s="1"/>
  <c r="G89" i="5"/>
  <c r="N106" i="2" s="1"/>
  <c r="N107" i="2" s="1"/>
  <c r="Q182" i="5"/>
  <c r="W112" i="5"/>
  <c r="P235" i="5"/>
  <c r="F47" i="52"/>
  <c r="H47" i="52" s="1"/>
  <c r="F48" i="52"/>
  <c r="H48" i="52" s="1"/>
  <c r="AL89" i="77"/>
  <c r="AK96" i="77"/>
  <c r="BO67" i="77"/>
  <c r="AL74" i="77"/>
  <c r="BC67" i="77"/>
  <c r="AL67" i="77"/>
  <c r="CO93" i="1"/>
  <c r="CO83" i="1"/>
  <c r="CN103" i="1"/>
  <c r="BQ231" i="1"/>
  <c r="P10" i="73"/>
  <c r="P45" i="73"/>
  <c r="R131" i="10"/>
  <c r="AH131" i="10"/>
  <c r="AJ131" i="10" s="1"/>
  <c r="BO88" i="77"/>
  <c r="BC88" i="77"/>
  <c r="AL88" i="77"/>
  <c r="AK95" i="77"/>
  <c r="J169" i="10"/>
  <c r="R169" i="10" s="1"/>
  <c r="CH59" i="20" s="1"/>
  <c r="X13" i="15"/>
  <c r="DQ16" i="20"/>
  <c r="AA45" i="15"/>
  <c r="BL55" i="1"/>
  <c r="BM50" i="1"/>
  <c r="BA16" i="20"/>
  <c r="AH62" i="10"/>
  <c r="R62" i="10"/>
  <c r="AL62" i="10"/>
  <c r="Z102" i="10"/>
  <c r="AF234" i="1"/>
  <c r="N111" i="10"/>
  <c r="J111" i="10"/>
  <c r="P111" i="10"/>
  <c r="X111" i="10"/>
  <c r="J112" i="10"/>
  <c r="J113" i="10" s="1"/>
  <c r="T111" i="10"/>
  <c r="P112" i="10"/>
  <c r="N118" i="10"/>
  <c r="AL131" i="10"/>
  <c r="G133" i="73"/>
  <c r="AL86" i="77"/>
  <c r="AP82" i="77"/>
  <c r="BO51" i="77"/>
  <c r="AU140" i="9"/>
  <c r="D114" i="9"/>
  <c r="H114" i="9" s="1"/>
  <c r="H85" i="9"/>
  <c r="P140" i="9"/>
  <c r="I55" i="77"/>
  <c r="N168" i="10"/>
  <c r="P168" i="10"/>
  <c r="C44" i="92"/>
  <c r="R68" i="5"/>
  <c r="DI63" i="20" s="1"/>
  <c r="DO16" i="20"/>
  <c r="R83" i="10"/>
  <c r="AL83" i="10"/>
  <c r="Z109" i="10"/>
  <c r="AH144" i="10"/>
  <c r="AJ144" i="10" s="1"/>
  <c r="R144" i="10"/>
  <c r="Z132" i="10"/>
  <c r="R168" i="9"/>
  <c r="AQ174" i="9"/>
  <c r="AH167" i="10"/>
  <c r="AJ167" i="10" s="1"/>
  <c r="R167" i="10"/>
  <c r="X133" i="9"/>
  <c r="Z140" i="9" s="1"/>
  <c r="BC81" i="77"/>
  <c r="AL81" i="77"/>
  <c r="K6" i="73"/>
  <c r="S52" i="15"/>
  <c r="S41" i="15"/>
  <c r="DJ10" i="20"/>
  <c r="AL66" i="2"/>
  <c r="S19" i="15"/>
  <c r="S33" i="15"/>
  <c r="S16" i="15"/>
  <c r="S61" i="15"/>
  <c r="S38" i="15"/>
  <c r="S31" i="15"/>
  <c r="S13" i="15"/>
  <c r="T8" i="15"/>
  <c r="J24" i="73"/>
  <c r="DI29" i="20"/>
  <c r="BI102" i="1"/>
  <c r="BH133" i="1"/>
  <c r="BI133" i="1" s="1"/>
  <c r="BM133" i="1" s="1"/>
  <c r="BM102" i="1"/>
  <c r="BH123" i="1"/>
  <c r="AJ89" i="2"/>
  <c r="J98" i="10"/>
  <c r="R98" i="10" s="1"/>
  <c r="AL59" i="20" s="1"/>
  <c r="AH96" i="10"/>
  <c r="AJ96" i="10" s="1"/>
  <c r="AL96" i="10"/>
  <c r="AO90" i="1"/>
  <c r="AO80" i="1"/>
  <c r="AN100" i="1"/>
  <c r="AN85" i="1"/>
  <c r="AG116" i="1"/>
  <c r="AC116" i="1"/>
  <c r="CX30" i="1"/>
  <c r="CX31" i="1"/>
  <c r="AW15" i="20"/>
  <c r="AW52" i="20" s="1"/>
  <c r="BJ31" i="1"/>
  <c r="AP83" i="52"/>
  <c r="AO83" i="52" s="1"/>
  <c r="BH34" i="1"/>
  <c r="BN31" i="1"/>
  <c r="BH61" i="1"/>
  <c r="BH36" i="1"/>
  <c r="BH35" i="1"/>
  <c r="BI31" i="1"/>
  <c r="BI229" i="1" s="1"/>
  <c r="BN229" i="1" s="1"/>
  <c r="BR229" i="1" s="1"/>
  <c r="BV229" i="1" s="1"/>
  <c r="BZ229" i="1" s="1"/>
  <c r="BH229" i="1"/>
  <c r="BJ229" i="1" s="1"/>
  <c r="J30" i="11"/>
  <c r="J36" i="11"/>
  <c r="J18" i="11"/>
  <c r="J24" i="11"/>
  <c r="R130" i="10"/>
  <c r="AO78" i="52"/>
  <c r="N24" i="73"/>
  <c r="H24" i="73"/>
  <c r="DG29" i="20"/>
  <c r="P94" i="15"/>
  <c r="DG30" i="20" s="1"/>
  <c r="AN166" i="1"/>
  <c r="AN167" i="1"/>
  <c r="W29" i="20"/>
  <c r="DO15" i="20"/>
  <c r="P11" i="73"/>
  <c r="AH97" i="10"/>
  <c r="AJ97" i="10" s="1"/>
  <c r="R97" i="10"/>
  <c r="AL97" i="10"/>
  <c r="W65" i="77"/>
  <c r="T72" i="77"/>
  <c r="BD77" i="3"/>
  <c r="BD78" i="3" s="1"/>
  <c r="J134" i="10"/>
  <c r="BO58" i="77"/>
  <c r="AK62" i="77"/>
  <c r="AL65" i="77"/>
  <c r="D133" i="52"/>
  <c r="CG17" i="20"/>
  <c r="DM29" i="20"/>
  <c r="X16" i="15"/>
  <c r="AL55" i="10"/>
  <c r="AH55" i="10"/>
  <c r="R119" i="10"/>
  <c r="AL119" i="10"/>
  <c r="BC80" i="77"/>
  <c r="BO60" i="77"/>
  <c r="BC60" i="77"/>
  <c r="AL60" i="77"/>
  <c r="D156" i="9"/>
  <c r="H156" i="9" s="1"/>
  <c r="AQ156" i="9"/>
  <c r="AV16" i="20"/>
  <c r="C142" i="73"/>
  <c r="H89" i="9"/>
  <c r="P104" i="9"/>
  <c r="AG34" i="11"/>
  <c r="AC34" i="11"/>
  <c r="AR123" i="1"/>
  <c r="AR133" i="1"/>
  <c r="B54" i="9"/>
  <c r="B45" i="10"/>
  <c r="CJ210" i="1"/>
  <c r="C51" i="73"/>
  <c r="C91" i="73"/>
  <c r="C130" i="73"/>
  <c r="S78" i="89"/>
  <c r="R114" i="89"/>
  <c r="O86" i="89"/>
  <c r="Z167" i="9"/>
  <c r="AQ173" i="9"/>
  <c r="D96" i="77"/>
  <c r="X176" i="9"/>
  <c r="AQ176" i="9"/>
  <c r="AF43" i="52"/>
  <c r="AE50" i="52"/>
  <c r="AE43" i="52"/>
  <c r="AG117" i="1"/>
  <c r="AC117" i="1"/>
  <c r="H19" i="73"/>
  <c r="DG24" i="20"/>
  <c r="P74" i="15"/>
  <c r="Q73" i="15"/>
  <c r="P68" i="2"/>
  <c r="P75" i="2" s="1"/>
  <c r="AC34" i="1"/>
  <c r="AC232" i="1" s="1"/>
  <c r="H15" i="15"/>
  <c r="AP30" i="52"/>
  <c r="AO30" i="52" s="1"/>
  <c r="AD34" i="1"/>
  <c r="BU230" i="1"/>
  <c r="C4" i="92"/>
  <c r="X19" i="15"/>
  <c r="X37" i="15"/>
  <c r="X107" i="15" s="1"/>
  <c r="X61" i="15"/>
  <c r="X8" i="15"/>
  <c r="C5" i="92" s="1"/>
  <c r="X65" i="15"/>
  <c r="DO10" i="20"/>
  <c r="AK93" i="77"/>
  <c r="BO86" i="77"/>
  <c r="AK90" i="77"/>
  <c r="Y54" i="77"/>
  <c r="AA54" i="77" s="1"/>
  <c r="AX93" i="77"/>
  <c r="BO61" i="77"/>
  <c r="BC61" i="77"/>
  <c r="P63" i="9"/>
  <c r="X63" i="9"/>
  <c r="N15" i="73"/>
  <c r="AV66" i="2"/>
  <c r="J148" i="10"/>
  <c r="R148" i="10" s="1"/>
  <c r="CE59" i="20" s="1"/>
  <c r="AH145" i="10"/>
  <c r="AJ145" i="10" s="1"/>
  <c r="O85" i="73"/>
  <c r="O45" i="73"/>
  <c r="D58" i="9"/>
  <c r="P89" i="9"/>
  <c r="P82" i="9"/>
  <c r="AR228" i="1"/>
  <c r="AN86" i="1"/>
  <c r="U90" i="15"/>
  <c r="T91" i="15"/>
  <c r="X52" i="15"/>
  <c r="R168" i="10"/>
  <c r="R54" i="10"/>
  <c r="AH76" i="10"/>
  <c r="R76" i="10"/>
  <c r="R96" i="10"/>
  <c r="AL58" i="77"/>
  <c r="P59" i="22"/>
  <c r="P65" i="22"/>
  <c r="B64" i="9"/>
  <c r="H92" i="9"/>
  <c r="X132" i="9"/>
  <c r="P75" i="9"/>
  <c r="R75" i="9" s="1"/>
  <c r="X68" i="9"/>
  <c r="P68" i="9"/>
  <c r="R68" i="9" s="1"/>
  <c r="AJ228" i="1"/>
  <c r="G94" i="73"/>
  <c r="DE15" i="20"/>
  <c r="F11" i="73"/>
  <c r="AB68" i="2"/>
  <c r="AB75" i="2" s="1"/>
  <c r="N107" i="15"/>
  <c r="N44" i="15"/>
  <c r="V70" i="15"/>
  <c r="AL123" i="10"/>
  <c r="AL124" i="10"/>
  <c r="R28" i="15"/>
  <c r="R22" i="15"/>
  <c r="AL126" i="10"/>
  <c r="M31" i="11"/>
  <c r="I31" i="11"/>
  <c r="H37" i="11"/>
  <c r="AQ90" i="77"/>
  <c r="U170" i="9"/>
  <c r="AH45" i="94"/>
  <c r="W8" i="5"/>
  <c r="W161" i="5" s="1"/>
  <c r="DN69" i="20" s="1"/>
  <c r="F83" i="77"/>
  <c r="BI92" i="1"/>
  <c r="BI82" i="1"/>
  <c r="BN82" i="1"/>
  <c r="BJ82" i="1"/>
  <c r="Z80" i="10"/>
  <c r="L41" i="15"/>
  <c r="L19" i="15"/>
  <c r="AM72" i="52"/>
  <c r="AE71" i="52"/>
  <c r="AE78" i="52"/>
  <c r="U82" i="89"/>
  <c r="CN56" i="1"/>
  <c r="AN76" i="2"/>
  <c r="AF213" i="1"/>
  <c r="BG90" i="77"/>
  <c r="X8" i="5"/>
  <c r="AH87" i="10"/>
  <c r="AL103" i="10"/>
  <c r="J84" i="10"/>
  <c r="AL87" i="77"/>
  <c r="AN167" i="9"/>
  <c r="W58" i="77"/>
  <c r="AQ55" i="77"/>
  <c r="BC87" i="77"/>
  <c r="E83" i="77"/>
  <c r="BG55" i="77"/>
  <c r="L52" i="15"/>
  <c r="AQ79" i="9"/>
  <c r="AL159" i="9"/>
  <c r="AN159" i="9" s="1"/>
  <c r="B48" i="10"/>
  <c r="V84" i="1"/>
  <c r="D118" i="2"/>
  <c r="X112" i="9"/>
  <c r="AM139" i="52"/>
  <c r="AN139" i="52"/>
  <c r="CG34" i="1"/>
  <c r="DJ33" i="1" s="1"/>
  <c r="F162" i="10"/>
  <c r="CK54" i="1"/>
  <c r="W12" i="15"/>
  <c r="BE83" i="1"/>
  <c r="BF83" i="1"/>
  <c r="BE93" i="1"/>
  <c r="BE97" i="1" s="1"/>
  <c r="CL21" i="1"/>
  <c r="CH21" i="1"/>
  <c r="AG90" i="1"/>
  <c r="AF100" i="1"/>
  <c r="AZ33" i="2"/>
  <c r="AX38" i="3"/>
  <c r="BQ34" i="1"/>
  <c r="BR34" i="1"/>
  <c r="AP100" i="52"/>
  <c r="BV34" i="1"/>
  <c r="AB37" i="52"/>
  <c r="AF37" i="52"/>
  <c r="N37" i="52"/>
  <c r="BJ62" i="1"/>
  <c r="BI62" i="1"/>
  <c r="BN62" i="1"/>
  <c r="AW80" i="1"/>
  <c r="AV100" i="1"/>
  <c r="AZ100" i="1"/>
  <c r="BA80" i="1"/>
  <c r="BA90" i="1"/>
  <c r="AZ86" i="1"/>
  <c r="AZ85" i="1"/>
  <c r="AZ84" i="1"/>
  <c r="M99" i="52"/>
  <c r="M106" i="52"/>
  <c r="N97" i="52"/>
  <c r="AJ97" i="52"/>
  <c r="AN97" i="52"/>
  <c r="AF97" i="52"/>
  <c r="AB97" i="52"/>
  <c r="X55" i="9"/>
  <c r="V72" i="3"/>
  <c r="V75" i="3"/>
  <c r="Z75" i="3"/>
  <c r="Z72" i="3"/>
  <c r="DI15" i="20"/>
  <c r="R61" i="15"/>
  <c r="R107" i="15"/>
  <c r="J11" i="73"/>
  <c r="AJ68" i="2"/>
  <c r="AJ75" i="2" s="1"/>
  <c r="S17" i="15"/>
  <c r="AH77" i="3"/>
  <c r="AH78" i="3" s="1"/>
  <c r="AG83" i="77"/>
  <c r="BQ52" i="1"/>
  <c r="AS36" i="11"/>
  <c r="AF71" i="52"/>
  <c r="BP64" i="1"/>
  <c r="BP82" i="1"/>
  <c r="BP66" i="1"/>
  <c r="BQ66" i="1" s="1"/>
  <c r="BK90" i="77"/>
  <c r="R44" i="15"/>
  <c r="R132" i="10"/>
  <c r="AH102" i="10"/>
  <c r="AJ102" i="10" s="1"/>
  <c r="R103" i="10"/>
  <c r="R124" i="10"/>
  <c r="R117" i="10"/>
  <c r="L70" i="10"/>
  <c r="K90" i="77"/>
  <c r="BG83" i="77"/>
  <c r="U135" i="9"/>
  <c r="AL79" i="77"/>
  <c r="X66" i="2"/>
  <c r="AN81" i="2"/>
  <c r="H69" i="9"/>
  <c r="AL68" i="9"/>
  <c r="AN68" i="9" s="1"/>
  <c r="AR42" i="11"/>
  <c r="P62" i="9"/>
  <c r="AS166" i="9"/>
  <c r="AL166" i="9"/>
  <c r="AN166" i="9" s="1"/>
  <c r="W59" i="15"/>
  <c r="W27" i="15"/>
  <c r="W38" i="15"/>
  <c r="W19" i="15"/>
  <c r="W31" i="15"/>
  <c r="DN10" i="20"/>
  <c r="DN42" i="20" s="1"/>
  <c r="W33" i="15"/>
  <c r="W46" i="15"/>
  <c r="W36" i="15"/>
  <c r="AT66" i="2"/>
  <c r="W41" i="15"/>
  <c r="AW85" i="1"/>
  <c r="AV61" i="20"/>
  <c r="AD52" i="2"/>
  <c r="V77" i="3"/>
  <c r="V78" i="3" s="1"/>
  <c r="AX22" i="1"/>
  <c r="AO76" i="52"/>
  <c r="AM83" i="52"/>
  <c r="AM76" i="52"/>
  <c r="BS83" i="77"/>
  <c r="AC76" i="77"/>
  <c r="AD83" i="77" s="1"/>
  <c r="W17" i="5" s="1"/>
  <c r="L77" i="3"/>
  <c r="T75" i="3"/>
  <c r="T72" i="3"/>
  <c r="X72" i="3"/>
  <c r="X75" i="3"/>
  <c r="L31" i="15"/>
  <c r="BE65" i="1"/>
  <c r="X64" i="22"/>
  <c r="BR10" i="11"/>
  <c r="BR16" i="11" s="1"/>
  <c r="BR22" i="11" s="1"/>
  <c r="BR28" i="11" s="1"/>
  <c r="BR34" i="11" s="1"/>
  <c r="CV10" i="1"/>
  <c r="R77" i="3"/>
  <c r="R78" i="3" s="1"/>
  <c r="Q94" i="73"/>
  <c r="AL117" i="10"/>
  <c r="R67" i="10"/>
  <c r="AH152" i="10"/>
  <c r="AJ152" i="10" s="1"/>
  <c r="AH81" i="10"/>
  <c r="AG90" i="77"/>
  <c r="AI90" i="77" s="1"/>
  <c r="AK83" i="77"/>
  <c r="N65" i="77"/>
  <c r="BC79" i="77"/>
  <c r="R81" i="10"/>
  <c r="AL64" i="9"/>
  <c r="T64" i="52"/>
  <c r="M71" i="52"/>
  <c r="AH36" i="11"/>
  <c r="AH12" i="11"/>
  <c r="AH18" i="11" s="1"/>
  <c r="AH24" i="11" s="1"/>
  <c r="AH30" i="11" s="1"/>
  <c r="BX68" i="77"/>
  <c r="CB83" i="1"/>
  <c r="CC63" i="1"/>
  <c r="CH63" i="1"/>
  <c r="AK74" i="1"/>
  <c r="J64" i="15"/>
  <c r="BT83" i="1"/>
  <c r="BN20" i="20"/>
  <c r="BN42" i="20" s="1"/>
  <c r="BU73" i="1"/>
  <c r="BX74" i="1"/>
  <c r="BX82" i="1"/>
  <c r="BX76" i="1"/>
  <c r="BY76" i="1" s="1"/>
  <c r="BR20" i="20"/>
  <c r="BR42" i="20" s="1"/>
  <c r="BY72" i="1"/>
  <c r="BP80" i="1"/>
  <c r="BF20" i="20"/>
  <c r="BF42" i="20" s="1"/>
  <c r="BP75" i="1"/>
  <c r="BQ75" i="1" s="1"/>
  <c r="BQ70" i="1"/>
  <c r="BP76" i="1"/>
  <c r="BQ76" i="1" s="1"/>
  <c r="BP74" i="1"/>
  <c r="BE35" i="1"/>
  <c r="BE233" i="1" s="1"/>
  <c r="BF35" i="1"/>
  <c r="Y24" i="1"/>
  <c r="G12" i="15"/>
  <c r="G174" i="5"/>
  <c r="D40" i="22"/>
  <c r="D52" i="22"/>
  <c r="V38" i="22"/>
  <c r="V50" i="22"/>
  <c r="V56" i="22" s="1"/>
  <c r="M127" i="52"/>
  <c r="X134" i="1"/>
  <c r="X124" i="1"/>
  <c r="L142" i="73"/>
  <c r="E90" i="77"/>
  <c r="L27" i="15"/>
  <c r="BD134" i="1"/>
  <c r="BD124" i="1"/>
  <c r="AA64" i="52"/>
  <c r="AA71" i="52"/>
  <c r="AL64" i="52"/>
  <c r="AL116" i="10"/>
  <c r="AL67" i="10"/>
  <c r="L22" i="15"/>
  <c r="X10" i="5"/>
  <c r="X11" i="5" s="1"/>
  <c r="AQ83" i="77"/>
  <c r="AF92" i="52"/>
  <c r="AL71" i="52"/>
  <c r="AL162" i="9"/>
  <c r="AN162" i="9" s="1"/>
  <c r="AJ163" i="9"/>
  <c r="BB228" i="1"/>
  <c r="AL99" i="52"/>
  <c r="AI99" i="52"/>
  <c r="O65" i="15"/>
  <c r="DF20" i="20"/>
  <c r="H77" i="9"/>
  <c r="AN230" i="1"/>
  <c r="X77" i="9"/>
  <c r="Q88" i="15"/>
  <c r="AK116" i="1"/>
  <c r="Q64" i="15"/>
  <c r="BM74" i="1"/>
  <c r="AG74" i="1"/>
  <c r="I64" i="15"/>
  <c r="BQ73" i="1"/>
  <c r="BP83" i="1"/>
  <c r="BI20" i="20"/>
  <c r="BM20" i="20"/>
  <c r="BM42" i="20" s="1"/>
  <c r="BT74" i="1"/>
  <c r="BT82" i="1"/>
  <c r="BT76" i="1"/>
  <c r="BU76" i="1" s="1"/>
  <c r="BU72" i="1"/>
  <c r="AH36" i="1"/>
  <c r="AL36" i="1"/>
  <c r="AG36" i="1"/>
  <c r="AG234" i="1" s="1"/>
  <c r="DK12" i="20"/>
  <c r="DK14" i="20" s="1"/>
  <c r="DK39" i="20" s="1"/>
  <c r="AN67" i="2"/>
  <c r="T13" i="15"/>
  <c r="T20" i="15" s="1"/>
  <c r="T61" i="15"/>
  <c r="C65" i="15"/>
  <c r="D8" i="15"/>
  <c r="C91" i="15"/>
  <c r="AJ36" i="11"/>
  <c r="AN42" i="11" s="1"/>
  <c r="AO18" i="11"/>
  <c r="Z52" i="22"/>
  <c r="AJ50" i="22"/>
  <c r="AJ62" i="22" s="1"/>
  <c r="J40" i="22"/>
  <c r="J52" i="22"/>
  <c r="J58" i="22" s="1"/>
  <c r="AM105" i="52"/>
  <c r="AM98" i="52"/>
  <c r="L50" i="73"/>
  <c r="L56" i="2"/>
  <c r="L61" i="2"/>
  <c r="CN100" i="1"/>
  <c r="CO90" i="1"/>
  <c r="CO80" i="1"/>
  <c r="W27" i="5"/>
  <c r="AH83" i="77"/>
  <c r="CK24" i="1"/>
  <c r="CK74" i="1"/>
  <c r="CK14" i="1"/>
  <c r="AR135" i="52"/>
  <c r="C76" i="15"/>
  <c r="M125" i="1"/>
  <c r="AS65" i="1"/>
  <c r="AW83" i="1"/>
  <c r="AW93" i="1"/>
  <c r="AV103" i="1"/>
  <c r="AW103" i="1" s="1"/>
  <c r="BB83" i="1"/>
  <c r="AX83" i="1"/>
  <c r="AM68" i="52"/>
  <c r="AM61" i="52"/>
  <c r="AV122" i="1"/>
  <c r="AV132" i="1"/>
  <c r="BZ23" i="1"/>
  <c r="CD23" i="1"/>
  <c r="C129" i="73"/>
  <c r="C90" i="73"/>
  <c r="C50" i="73"/>
  <c r="AM35" i="52"/>
  <c r="AN35" i="52"/>
  <c r="AO35" i="52"/>
  <c r="AL22" i="52"/>
  <c r="AI29" i="52"/>
  <c r="AQ126" i="9"/>
  <c r="CB210" i="1"/>
  <c r="CC211" i="1"/>
  <c r="X210" i="1"/>
  <c r="BG17" i="20"/>
  <c r="L73" i="15"/>
  <c r="AS115" i="1"/>
  <c r="R70" i="15"/>
  <c r="CC60" i="1"/>
  <c r="CW60" i="1" s="1"/>
  <c r="BX65" i="77"/>
  <c r="CD60" i="1"/>
  <c r="CB65" i="1"/>
  <c r="CB80" i="1"/>
  <c r="CB64" i="1"/>
  <c r="AR80" i="1"/>
  <c r="AR66" i="1"/>
  <c r="AR64" i="1"/>
  <c r="AT60" i="1"/>
  <c r="BP51" i="1"/>
  <c r="BR54" i="1"/>
  <c r="BP53" i="1"/>
  <c r="AH35" i="11"/>
  <c r="AH11" i="11"/>
  <c r="AH17" i="11" s="1"/>
  <c r="AH23" i="11" s="1"/>
  <c r="AH29" i="11" s="1"/>
  <c r="L170" i="5"/>
  <c r="L168" i="5"/>
  <c r="K53" i="15"/>
  <c r="H77" i="3"/>
  <c r="H78" i="3" s="1"/>
  <c r="CW17" i="20"/>
  <c r="F48" i="15"/>
  <c r="CL42" i="20"/>
  <c r="F161" i="10"/>
  <c r="CK53" i="1"/>
  <c r="CH12" i="20"/>
  <c r="BX88" i="77"/>
  <c r="CO62" i="1"/>
  <c r="CO30" i="20"/>
  <c r="AL141" i="9"/>
  <c r="AN141" i="9" s="1"/>
  <c r="AJ142" i="9"/>
  <c r="AL149" i="9" s="1"/>
  <c r="AN149" i="9" s="1"/>
  <c r="AL148" i="9"/>
  <c r="AF77" i="3"/>
  <c r="AF78" i="3" s="1"/>
  <c r="DE20" i="20"/>
  <c r="F15" i="73"/>
  <c r="T53" i="77"/>
  <c r="W46" i="77"/>
  <c r="AA161" i="52"/>
  <c r="N161" i="52"/>
  <c r="AB104" i="52"/>
  <c r="AF104" i="52"/>
  <c r="AV209" i="1"/>
  <c r="AV212" i="1"/>
  <c r="BA212" i="1" s="1"/>
  <c r="AV210" i="1"/>
  <c r="AH17" i="20"/>
  <c r="AW208" i="1"/>
  <c r="BY36" i="1"/>
  <c r="BY234" i="1" s="1"/>
  <c r="CJ62" i="1"/>
  <c r="BA18" i="98" s="1"/>
  <c r="AP133" i="52"/>
  <c r="CG15" i="20"/>
  <c r="CL52" i="20" s="1"/>
  <c r="CL32" i="1"/>
  <c r="CK32" i="1"/>
  <c r="BY229" i="1"/>
  <c r="CJ60" i="1"/>
  <c r="BA16" i="98" s="1"/>
  <c r="AP131" i="52"/>
  <c r="CJ35" i="1"/>
  <c r="CJ36" i="1"/>
  <c r="CJ34" i="1"/>
  <c r="CL30" i="1"/>
  <c r="CP30" i="1"/>
  <c r="CE15" i="20"/>
  <c r="CE40" i="20" s="1"/>
  <c r="L34" i="11"/>
  <c r="Q16" i="11"/>
  <c r="M16" i="11"/>
  <c r="AH56" i="22"/>
  <c r="T56" i="22"/>
  <c r="T76" i="89"/>
  <c r="BE103" i="1"/>
  <c r="BL188" i="1"/>
  <c r="BL179" i="1"/>
  <c r="DK68" i="1"/>
  <c r="CK63" i="1"/>
  <c r="CJ83" i="1"/>
  <c r="BX82" i="77"/>
  <c r="CL63" i="1"/>
  <c r="BT122" i="1"/>
  <c r="CD66" i="1"/>
  <c r="CC66" i="1"/>
  <c r="Y90" i="1"/>
  <c r="X100" i="1"/>
  <c r="Y80" i="1"/>
  <c r="AD163" i="52"/>
  <c r="AC163" i="52"/>
  <c r="AI111" i="52"/>
  <c r="AH106" i="52"/>
  <c r="AL104" i="52"/>
  <c r="AJ104" i="52"/>
  <c r="AI104" i="52"/>
  <c r="N85" i="9"/>
  <c r="N86" i="9" s="1"/>
  <c r="AE81" i="20"/>
  <c r="D132" i="52"/>
  <c r="CF17" i="20"/>
  <c r="CJ213" i="1"/>
  <c r="AC17" i="20"/>
  <c r="AR209" i="1"/>
  <c r="AR210" i="1"/>
  <c r="AR213" i="1"/>
  <c r="AR212" i="1"/>
  <c r="AS212" i="1" s="1"/>
  <c r="BE36" i="1"/>
  <c r="BE234" i="1" s="1"/>
  <c r="BF36" i="1"/>
  <c r="AJ34" i="11"/>
  <c r="AO16" i="11"/>
  <c r="F19" i="11"/>
  <c r="F25" i="11"/>
  <c r="F31" i="11"/>
  <c r="F37" i="11"/>
  <c r="B34" i="11"/>
  <c r="B16" i="11"/>
  <c r="B22" i="11"/>
  <c r="B28" i="11"/>
  <c r="B40" i="11"/>
  <c r="P62" i="22"/>
  <c r="P56" i="22"/>
  <c r="CO31" i="1"/>
  <c r="AP139" i="52"/>
  <c r="CP31" i="1"/>
  <c r="CN61" i="1"/>
  <c r="BA24" i="98" s="1"/>
  <c r="CN35" i="1"/>
  <c r="H32" i="3"/>
  <c r="BF31" i="20"/>
  <c r="AF59" i="22"/>
  <c r="F62" i="22"/>
  <c r="CF121" i="1"/>
  <c r="O24" i="73"/>
  <c r="AO81" i="1"/>
  <c r="AN101" i="1"/>
  <c r="AO91" i="1"/>
  <c r="AT81" i="1"/>
  <c r="AB57" i="22"/>
  <c r="Z31" i="11"/>
  <c r="Z19" i="11"/>
  <c r="Z37" i="11"/>
  <c r="Z25" i="11"/>
  <c r="U6" i="74"/>
  <c r="U9" i="74"/>
  <c r="U26" i="74" s="1"/>
  <c r="Z26" i="74" s="1"/>
  <c r="Z8" i="74"/>
  <c r="C82" i="20"/>
  <c r="N138" i="9"/>
  <c r="N139" i="9"/>
  <c r="K139" i="9"/>
  <c r="BT232" i="1"/>
  <c r="BT233" i="1"/>
  <c r="BT234" i="1"/>
  <c r="CF209" i="1"/>
  <c r="CF210" i="1" s="1"/>
  <c r="D125" i="52"/>
  <c r="CA17" i="20"/>
  <c r="BP209" i="1"/>
  <c r="BH17" i="20" s="1"/>
  <c r="AO212" i="1"/>
  <c r="AV65" i="1"/>
  <c r="AX65" i="1" s="1"/>
  <c r="AW60" i="1"/>
  <c r="BT51" i="1"/>
  <c r="BT53" i="1"/>
  <c r="BT50" i="1"/>
  <c r="BT52" i="1"/>
  <c r="BU54" i="1"/>
  <c r="BV54" i="1"/>
  <c r="BZ54" i="1" s="1"/>
  <c r="CD54" i="1" s="1"/>
  <c r="CH54" i="1" s="1"/>
  <c r="CL54" i="1" s="1"/>
  <c r="CP54" i="1" s="1"/>
  <c r="CT54" i="1" s="1"/>
  <c r="DA10" i="20"/>
  <c r="DA49" i="20" s="1"/>
  <c r="J120" i="2"/>
  <c r="J71" i="2"/>
  <c r="J72" i="2"/>
  <c r="W28" i="15"/>
  <c r="W52" i="15"/>
  <c r="W53" i="15"/>
  <c r="O12" i="73"/>
  <c r="CL14" i="20"/>
  <c r="CL18" i="20" s="1"/>
  <c r="BE90" i="1"/>
  <c r="BE80" i="1"/>
  <c r="J65" i="22"/>
  <c r="AS82" i="1"/>
  <c r="AS92" i="1"/>
  <c r="AM110" i="52"/>
  <c r="AN110" i="52"/>
  <c r="X43" i="11"/>
  <c r="Y37" i="11"/>
  <c r="AV82" i="1"/>
  <c r="AV86" i="1" s="1"/>
  <c r="Q125" i="52"/>
  <c r="T125" i="52" s="1"/>
  <c r="Q126" i="52"/>
  <c r="T126" i="52" s="1"/>
  <c r="CK14" i="20"/>
  <c r="AW91" i="1"/>
  <c r="AX81" i="1"/>
  <c r="AF112" i="52"/>
  <c r="AJ112" i="52"/>
  <c r="AJ110" i="52"/>
  <c r="AH113" i="52"/>
  <c r="AI117" i="52"/>
  <c r="BX178" i="1"/>
  <c r="BX182" i="1" s="1"/>
  <c r="CF175" i="1"/>
  <c r="AJ166" i="1"/>
  <c r="L15" i="15"/>
  <c r="L61" i="15" s="1"/>
  <c r="AT34" i="1"/>
  <c r="AP58" i="52"/>
  <c r="AO58" i="52" s="1"/>
  <c r="AS34" i="1"/>
  <c r="AS232" i="1" s="1"/>
  <c r="BV32" i="1"/>
  <c r="BR32" i="1"/>
  <c r="BP230" i="1"/>
  <c r="BP36" i="1"/>
  <c r="BQ32" i="1"/>
  <c r="AV36" i="1"/>
  <c r="AP63" i="52"/>
  <c r="AO63" i="52" s="1"/>
  <c r="AV230" i="1"/>
  <c r="BU35" i="1"/>
  <c r="BU233" i="1" s="1"/>
  <c r="AD23" i="11"/>
  <c r="AD11" i="11"/>
  <c r="AD17" i="11"/>
  <c r="AD29" i="11"/>
  <c r="AD35" i="11" s="1"/>
  <c r="T35" i="11"/>
  <c r="Y17" i="11"/>
  <c r="U17" i="11"/>
  <c r="F78" i="3"/>
  <c r="BU37" i="11"/>
  <c r="AH229" i="1"/>
  <c r="BO89" i="77"/>
  <c r="X153" i="1"/>
  <c r="X143" i="1"/>
  <c r="BT180" i="1"/>
  <c r="BT189" i="1"/>
  <c r="BM31" i="20" s="1"/>
  <c r="T44" i="15"/>
  <c r="T16" i="15"/>
  <c r="AV42" i="11"/>
  <c r="AZ42" i="11"/>
  <c r="O17" i="15"/>
  <c r="AD68" i="2"/>
  <c r="AD75" i="2" s="1"/>
  <c r="AC36" i="11"/>
  <c r="AB42" i="11"/>
  <c r="BV49" i="20"/>
  <c r="BQ14" i="20"/>
  <c r="BQ39" i="20" s="1"/>
  <c r="AC165" i="52"/>
  <c r="AA29" i="52"/>
  <c r="AL29" i="52"/>
  <c r="AH81" i="20"/>
  <c r="N90" i="9"/>
  <c r="BT183" i="1"/>
  <c r="BT187" i="1"/>
  <c r="CK76" i="1"/>
  <c r="CL16" i="1"/>
  <c r="Q28" i="15"/>
  <c r="P103" i="10"/>
  <c r="N103" i="10"/>
  <c r="T96" i="10"/>
  <c r="AN97" i="10"/>
  <c r="P73" i="10"/>
  <c r="T73" i="10"/>
  <c r="AJ68" i="10"/>
  <c r="T59" i="10"/>
  <c r="X59" i="10"/>
  <c r="Z66" i="10" s="1"/>
  <c r="AW17" i="11"/>
  <c r="AV35" i="11"/>
  <c r="L50" i="22"/>
  <c r="L56" i="22" s="1"/>
  <c r="L38" i="22"/>
  <c r="CB101" i="1"/>
  <c r="BP30" i="20"/>
  <c r="BX198" i="1"/>
  <c r="BX202" i="1" s="1"/>
  <c r="CO25" i="1"/>
  <c r="CO15" i="1"/>
  <c r="K50" i="73"/>
  <c r="AF233" i="1"/>
  <c r="CX33" i="1"/>
  <c r="Q120" i="52"/>
  <c r="T120" i="52" s="1"/>
  <c r="V146" i="10"/>
  <c r="X146" i="10" s="1"/>
  <c r="I84" i="1"/>
  <c r="H104" i="1"/>
  <c r="I94" i="1"/>
  <c r="BM91" i="1"/>
  <c r="BM81" i="1"/>
  <c r="AT24" i="1"/>
  <c r="BX72" i="77"/>
  <c r="AO65" i="1"/>
  <c r="AB86" i="2"/>
  <c r="AD86" i="2" s="1"/>
  <c r="AL62" i="52"/>
  <c r="T62" i="52"/>
  <c r="M62" i="52"/>
  <c r="DG72" i="20"/>
  <c r="V96" i="10"/>
  <c r="X96" i="10" s="1"/>
  <c r="Q70" i="52"/>
  <c r="T70" i="52" s="1"/>
  <c r="Q42" i="52"/>
  <c r="T42" i="52" s="1"/>
  <c r="N70" i="9"/>
  <c r="V68" i="10"/>
  <c r="X68" i="10" s="1"/>
  <c r="Z68" i="10" s="1"/>
  <c r="AJ180" i="1"/>
  <c r="AJ181" i="1" s="1"/>
  <c r="J92" i="15" s="1"/>
  <c r="AJ183" i="1"/>
  <c r="BP188" i="1"/>
  <c r="BP179" i="1"/>
  <c r="BQ35" i="1"/>
  <c r="BQ233" i="1" s="1"/>
  <c r="R67" i="2"/>
  <c r="AG24" i="1"/>
  <c r="N27" i="5"/>
  <c r="AR72" i="52"/>
  <c r="BA24" i="1"/>
  <c r="BE14" i="1"/>
  <c r="N7" i="15"/>
  <c r="N22" i="15" s="1"/>
  <c r="BA34" i="1"/>
  <c r="BA232" i="1" s="1"/>
  <c r="AH37" i="11"/>
  <c r="AH13" i="11"/>
  <c r="AH19" i="11" s="1"/>
  <c r="AH25" i="11" s="1"/>
  <c r="AH31" i="11" s="1"/>
  <c r="J29" i="11"/>
  <c r="J35" i="11"/>
  <c r="H12" i="73"/>
  <c r="P52" i="15"/>
  <c r="D12" i="73"/>
  <c r="D58" i="52"/>
  <c r="L53" i="15"/>
  <c r="M67" i="89"/>
  <c r="N67" i="89"/>
  <c r="AL34" i="94"/>
  <c r="AU34" i="94" s="1"/>
  <c r="AL35" i="94"/>
  <c r="AU35" i="94" s="1"/>
  <c r="AW42" i="94" s="1"/>
  <c r="AL65" i="22"/>
  <c r="AL59" i="22"/>
  <c r="AG100" i="1"/>
  <c r="BI212" i="1"/>
  <c r="BM212" i="1" s="1"/>
  <c r="BR63" i="1"/>
  <c r="BN63" i="1"/>
  <c r="BL83" i="1"/>
  <c r="BM63" i="1"/>
  <c r="AB64" i="22"/>
  <c r="AL66" i="1"/>
  <c r="D125" i="1"/>
  <c r="I125" i="1" s="1"/>
  <c r="D104" i="1"/>
  <c r="O61" i="15"/>
  <c r="AD59" i="94"/>
  <c r="AA177" i="9"/>
  <c r="CG35" i="1"/>
  <c r="BQ91" i="1"/>
  <c r="BQ81" i="1"/>
  <c r="BP101" i="1"/>
  <c r="AF71" i="3"/>
  <c r="AF72" i="3" s="1"/>
  <c r="AH75" i="3"/>
  <c r="CZ12" i="20"/>
  <c r="CZ14" i="20" s="1"/>
  <c r="I13" i="15"/>
  <c r="I20" i="15" s="1"/>
  <c r="X62" i="9"/>
  <c r="P69" i="9"/>
  <c r="AL43" i="52"/>
  <c r="AI43" i="52"/>
  <c r="AI50" i="52"/>
  <c r="AJ43" i="52"/>
  <c r="AO34" i="52"/>
  <c r="AN34" i="52"/>
  <c r="AM41" i="52"/>
  <c r="BK75" i="77"/>
  <c r="BJ75" i="77"/>
  <c r="N145" i="9"/>
  <c r="K141" i="9"/>
  <c r="N141" i="9"/>
  <c r="L141" i="9"/>
  <c r="V137" i="10"/>
  <c r="X137" i="10" s="1"/>
  <c r="M139" i="9"/>
  <c r="AQ54" i="9"/>
  <c r="D61" i="9"/>
  <c r="CG212" i="1"/>
  <c r="DD24" i="20"/>
  <c r="E19" i="73"/>
  <c r="CF23" i="20"/>
  <c r="CJ94" i="1"/>
  <c r="AO92" i="1"/>
  <c r="AN102" i="1"/>
  <c r="AT82" i="1"/>
  <c r="AO82" i="1"/>
  <c r="BX51" i="1"/>
  <c r="AD35" i="1"/>
  <c r="P67" i="2"/>
  <c r="AC24" i="1"/>
  <c r="H12" i="15"/>
  <c r="H61" i="15" s="1"/>
  <c r="BB15" i="1"/>
  <c r="BB16" i="1" s="1"/>
  <c r="BA25" i="1"/>
  <c r="BE15" i="1"/>
  <c r="BA35" i="1"/>
  <c r="BA233" i="1" s="1"/>
  <c r="BA65" i="1"/>
  <c r="BA15" i="1"/>
  <c r="CG14" i="1"/>
  <c r="E13" i="98" s="1"/>
  <c r="V7" i="15"/>
  <c r="V27" i="5"/>
  <c r="AD38" i="94"/>
  <c r="D128" i="52"/>
  <c r="DM17" i="20"/>
  <c r="X50" i="22"/>
  <c r="X56" i="22" s="1"/>
  <c r="X38" i="22"/>
  <c r="AN131" i="52"/>
  <c r="AM131" i="52"/>
  <c r="CY22" i="1"/>
  <c r="L89" i="10"/>
  <c r="B40" i="10"/>
  <c r="B49" i="9"/>
  <c r="AM77" i="52"/>
  <c r="AO77" i="52"/>
  <c r="H62" i="52"/>
  <c r="AJ36" i="52"/>
  <c r="V75" i="10"/>
  <c r="X75" i="10" s="1"/>
  <c r="Q49" i="52"/>
  <c r="T49" i="52" s="1"/>
  <c r="B60" i="9"/>
  <c r="B67" i="9" s="1"/>
  <c r="B51" i="10"/>
  <c r="BL210" i="1"/>
  <c r="BD17" i="20" s="1"/>
  <c r="BB17" i="20"/>
  <c r="AJ209" i="1"/>
  <c r="AK209" i="1" s="1"/>
  <c r="AO208" i="1"/>
  <c r="BP182" i="1"/>
  <c r="CF96" i="1"/>
  <c r="DD20" i="20"/>
  <c r="AO62" i="1"/>
  <c r="BX65" i="1"/>
  <c r="AN66" i="1"/>
  <c r="DI32" i="1"/>
  <c r="CG32" i="1"/>
  <c r="AA174" i="9"/>
  <c r="CF36" i="1"/>
  <c r="CF62" i="1"/>
  <c r="BY25" i="1"/>
  <c r="BZ15" i="1"/>
  <c r="BZ16" i="1" s="1"/>
  <c r="AD31" i="94"/>
  <c r="CC14" i="1"/>
  <c r="U27" i="5"/>
  <c r="F69" i="77"/>
  <c r="V172" i="5"/>
  <c r="AJ81" i="10"/>
  <c r="AB62" i="20"/>
  <c r="P52" i="2"/>
  <c r="J118" i="89"/>
  <c r="I84" i="89"/>
  <c r="M84" i="89"/>
  <c r="N117" i="89"/>
  <c r="M118" i="89"/>
  <c r="AA172" i="5"/>
  <c r="AX82" i="20"/>
  <c r="S128" i="52"/>
  <c r="AO70" i="52"/>
  <c r="AM63" i="52"/>
  <c r="N44" i="52"/>
  <c r="V117" i="10"/>
  <c r="X117" i="10" s="1"/>
  <c r="Z117" i="10" s="1"/>
  <c r="M118" i="9"/>
  <c r="Q90" i="52"/>
  <c r="T90" i="52" s="1"/>
  <c r="M119" i="9"/>
  <c r="AJ202" i="1"/>
  <c r="AJ189" i="1" s="1"/>
  <c r="AJ203" i="1"/>
  <c r="S30" i="20"/>
  <c r="H29" i="20"/>
  <c r="AB166" i="1"/>
  <c r="AB167" i="1"/>
  <c r="CB74" i="1"/>
  <c r="CB76" i="1"/>
  <c r="CC76" i="1" s="1"/>
  <c r="BU20" i="20"/>
  <c r="CC70" i="1"/>
  <c r="CB75" i="1"/>
  <c r="CC75" i="1" s="1"/>
  <c r="AL63" i="1"/>
  <c r="BD66" i="1"/>
  <c r="BD81" i="1"/>
  <c r="BE61" i="1"/>
  <c r="BD64" i="1"/>
  <c r="AK60" i="1"/>
  <c r="AP60" i="1" s="1"/>
  <c r="AL60" i="1"/>
  <c r="AJ80" i="1"/>
  <c r="AL34" i="1"/>
  <c r="R68" i="2"/>
  <c r="R75" i="2" s="1"/>
  <c r="AH34" i="1"/>
  <c r="BJ20" i="1"/>
  <c r="BF20" i="1"/>
  <c r="BR16" i="1"/>
  <c r="AS25" i="1"/>
  <c r="AT15" i="1"/>
  <c r="AT16" i="1" s="1"/>
  <c r="T27" i="5"/>
  <c r="AA142" i="9"/>
  <c r="BY14" i="1"/>
  <c r="BY24" i="1"/>
  <c r="AR114" i="52"/>
  <c r="AK14" i="1"/>
  <c r="T66" i="2"/>
  <c r="AK24" i="1"/>
  <c r="J27" i="5"/>
  <c r="AJ89" i="10"/>
  <c r="AL90" i="10"/>
  <c r="R133" i="2"/>
  <c r="R55" i="3"/>
  <c r="R58" i="3" s="1"/>
  <c r="R62" i="3" s="1"/>
  <c r="F97" i="2"/>
  <c r="F99" i="2" s="1"/>
  <c r="F25" i="2"/>
  <c r="L84" i="89"/>
  <c r="L85" i="89" s="1"/>
  <c r="O119" i="89"/>
  <c r="N85" i="89"/>
  <c r="N86" i="89" s="1"/>
  <c r="O118" i="89"/>
  <c r="T82" i="20"/>
  <c r="T50" i="52"/>
  <c r="M57" i="52"/>
  <c r="N126" i="9"/>
  <c r="P126" i="9" s="1"/>
  <c r="K126" i="9"/>
  <c r="BG81" i="20"/>
  <c r="BN231" i="1"/>
  <c r="BR231" i="1" s="1"/>
  <c r="BV231" i="1" s="1"/>
  <c r="BZ231" i="1" s="1"/>
  <c r="BP20" i="20"/>
  <c r="BX75" i="1"/>
  <c r="BY75" i="1" s="1"/>
  <c r="BX60" i="77"/>
  <c r="BY62" i="1"/>
  <c r="CD62" i="1"/>
  <c r="BP65" i="1"/>
  <c r="BQ65" i="1" s="1"/>
  <c r="BU231" i="1"/>
  <c r="DH12" i="20"/>
  <c r="I8" i="73"/>
  <c r="AD45" i="94"/>
  <c r="CA12" i="20"/>
  <c r="CA14" i="20" s="1"/>
  <c r="CF26" i="1"/>
  <c r="AR107" i="52"/>
  <c r="BU14" i="1"/>
  <c r="BM16" i="11"/>
  <c r="BL34" i="11"/>
  <c r="O64" i="89"/>
  <c r="N64" i="89"/>
  <c r="B6" i="95"/>
  <c r="X176" i="5"/>
  <c r="CH40" i="20"/>
  <c r="J52" i="2"/>
  <c r="T42" i="20"/>
  <c r="J42" i="20"/>
  <c r="K42" i="20"/>
  <c r="AO82" i="52"/>
  <c r="AO72" i="52"/>
  <c r="AO33" i="52"/>
  <c r="V48" i="10"/>
  <c r="X48" i="10" s="1"/>
  <c r="Z55" i="10" s="1"/>
  <c r="N54" i="9"/>
  <c r="C15" i="73"/>
  <c r="AB81" i="1"/>
  <c r="T67" i="2"/>
  <c r="J12" i="15"/>
  <c r="BJ21" i="1"/>
  <c r="AC26" i="1"/>
  <c r="AD16" i="1"/>
  <c r="AC36" i="1"/>
  <c r="AC234" i="1" s="1"/>
  <c r="AC46" i="1"/>
  <c r="AC16" i="1"/>
  <c r="P54" i="10"/>
  <c r="X54" i="10"/>
  <c r="P40" i="22"/>
  <c r="P52" i="22"/>
  <c r="P58" i="22"/>
  <c r="CJ14" i="20"/>
  <c r="D140" i="52"/>
  <c r="CN213" i="1"/>
  <c r="R77" i="89"/>
  <c r="Q113" i="89"/>
  <c r="C6" i="95"/>
  <c r="CC42" i="20"/>
  <c r="BQ40" i="20"/>
  <c r="K52" i="20"/>
  <c r="C14" i="20"/>
  <c r="D77" i="52"/>
  <c r="F55" i="52"/>
  <c r="H55" i="52" s="1"/>
  <c r="AB209" i="1"/>
  <c r="AB210" i="1" s="1"/>
  <c r="Q174" i="5"/>
  <c r="T172" i="5"/>
  <c r="N62" i="10"/>
  <c r="AF51" i="22"/>
  <c r="AF63" i="22" s="1"/>
  <c r="AL52" i="22"/>
  <c r="AL64" i="22" s="1"/>
  <c r="R115" i="89"/>
  <c r="R112" i="89"/>
  <c r="S115" i="89"/>
  <c r="T79" i="89"/>
  <c r="AE14" i="20"/>
  <c r="AE39" i="20" s="1"/>
  <c r="AJ62" i="10"/>
  <c r="AA173" i="9"/>
  <c r="L64" i="89"/>
  <c r="S80" i="89"/>
  <c r="R116" i="89"/>
  <c r="AF48" i="94"/>
  <c r="AG48" i="94" s="1"/>
  <c r="F38" i="94"/>
  <c r="V249" i="5" s="1"/>
  <c r="G38" i="94"/>
  <c r="J14" i="20"/>
  <c r="Y14" i="20"/>
  <c r="W128" i="5"/>
  <c r="X128" i="5" s="1"/>
  <c r="V129" i="5"/>
  <c r="S81" i="89"/>
  <c r="R117" i="89"/>
  <c r="Q83" i="89"/>
  <c r="W14" i="5"/>
  <c r="G6" i="95"/>
  <c r="W172" i="5"/>
  <c r="AE49" i="20"/>
  <c r="CF52" i="20"/>
  <c r="W52" i="20"/>
  <c r="BG14" i="20"/>
  <c r="BG39" i="20" s="1"/>
  <c r="CJ49" i="20"/>
  <c r="BG49" i="20"/>
  <c r="AS14" i="20"/>
  <c r="X42" i="20"/>
  <c r="D14" i="20"/>
  <c r="D18" i="20" s="1"/>
  <c r="H174" i="5"/>
  <c r="L55" i="10"/>
  <c r="Q112" i="89"/>
  <c r="Q116" i="89"/>
  <c r="P118" i="89"/>
  <c r="L118" i="89"/>
  <c r="AF44" i="94"/>
  <c r="AG44" i="94" s="1"/>
  <c r="G45" i="94"/>
  <c r="G170" i="5"/>
  <c r="R111" i="5"/>
  <c r="S112" i="5" s="1"/>
  <c r="L62" i="10"/>
  <c r="K118" i="89"/>
  <c r="AF38" i="94"/>
  <c r="AG38" i="94" s="1"/>
  <c r="AN48" i="94"/>
  <c r="AP48" i="94" s="1"/>
  <c r="L107" i="2"/>
  <c r="L119" i="2" s="1"/>
  <c r="R119" i="2"/>
  <c r="AX25" i="3"/>
  <c r="J85" i="89"/>
  <c r="T9" i="5"/>
  <c r="H107" i="2"/>
  <c r="H113" i="2" s="1"/>
  <c r="AN43" i="94"/>
  <c r="AP43" i="94" s="1"/>
  <c r="Q33" i="5"/>
  <c r="AE134" i="52"/>
  <c r="AE141" i="52"/>
  <c r="AC172" i="5"/>
  <c r="AU43" i="94"/>
  <c r="AW50" i="94" s="1"/>
  <c r="AB141" i="52"/>
  <c r="M141" i="52"/>
  <c r="BK89" i="77"/>
  <c r="BC89" i="77"/>
  <c r="F125" i="52"/>
  <c r="F126" i="52"/>
  <c r="H59" i="15"/>
  <c r="F124" i="52"/>
  <c r="J124" i="52" s="1"/>
  <c r="F43" i="52"/>
  <c r="F134" i="52"/>
  <c r="F127" i="52"/>
  <c r="G56" i="52"/>
  <c r="F131" i="52"/>
  <c r="S115" i="73"/>
  <c r="F71" i="52"/>
  <c r="H71" i="52" s="1"/>
  <c r="AI152" i="9"/>
  <c r="F91" i="52"/>
  <c r="J91" i="52" s="1"/>
  <c r="F68" i="52"/>
  <c r="J36" i="73"/>
  <c r="J169" i="73" s="1"/>
  <c r="F40" i="52"/>
  <c r="J40" i="52" s="1"/>
  <c r="E36" i="73"/>
  <c r="E75" i="73" s="1"/>
  <c r="S169" i="73"/>
  <c r="D75" i="73"/>
  <c r="S44" i="52"/>
  <c r="H26" i="5"/>
  <c r="AJ112" i="9"/>
  <c r="AS112" i="9" s="1"/>
  <c r="S9" i="15"/>
  <c r="S72" i="52"/>
  <c r="AJ85" i="9"/>
  <c r="AS85" i="9" s="1"/>
  <c r="AU85" i="9" s="1"/>
  <c r="F133" i="52"/>
  <c r="F42" i="52"/>
  <c r="H42" i="52" s="1"/>
  <c r="H36" i="73"/>
  <c r="H75" i="73" s="1"/>
  <c r="K36" i="73"/>
  <c r="H56" i="52"/>
  <c r="H69" i="52"/>
  <c r="H52" i="15"/>
  <c r="H33" i="15"/>
  <c r="L36" i="73"/>
  <c r="H91" i="15"/>
  <c r="H31" i="15"/>
  <c r="F50" i="52"/>
  <c r="F70" i="52"/>
  <c r="F113" i="52"/>
  <c r="S51" i="52"/>
  <c r="AJ111" i="9"/>
  <c r="AS111" i="9" s="1"/>
  <c r="AD80" i="20"/>
  <c r="CY10" i="20"/>
  <c r="CZ49" i="20" s="1"/>
  <c r="F111" i="52"/>
  <c r="H8" i="15"/>
  <c r="H41" i="15"/>
  <c r="J107" i="2"/>
  <c r="DK50" i="20"/>
  <c r="S58" i="52"/>
  <c r="AI80" i="20"/>
  <c r="AX80" i="20"/>
  <c r="H74" i="15"/>
  <c r="H19" i="15"/>
  <c r="H65" i="15"/>
  <c r="H27" i="15"/>
  <c r="D169" i="73"/>
  <c r="R75" i="73"/>
  <c r="I26" i="5"/>
  <c r="C26" i="5"/>
  <c r="H38" i="15"/>
  <c r="H22" i="15"/>
  <c r="R115" i="73"/>
  <c r="H36" i="15"/>
  <c r="AB111" i="10"/>
  <c r="AD111" i="10" s="1"/>
  <c r="AX124" i="9"/>
  <c r="C154" i="5"/>
  <c r="U11" i="5"/>
  <c r="H110" i="52"/>
  <c r="S93" i="52"/>
  <c r="H49" i="52"/>
  <c r="E26" i="5"/>
  <c r="F103" i="52"/>
  <c r="F26" i="5"/>
  <c r="T176" i="52"/>
  <c r="F61" i="52"/>
  <c r="S114" i="52"/>
  <c r="DN50" i="20"/>
  <c r="F104" i="52"/>
  <c r="O36" i="73"/>
  <c r="J26" i="5"/>
  <c r="U9" i="5"/>
  <c r="S65" i="52"/>
  <c r="N36" i="73"/>
  <c r="T75" i="73"/>
  <c r="G69" i="52"/>
  <c r="L26" i="5"/>
  <c r="AB89" i="10"/>
  <c r="AD89" i="10" s="1"/>
  <c r="F79" i="5"/>
  <c r="F89" i="52"/>
  <c r="F63" i="52"/>
  <c r="DM50" i="20"/>
  <c r="T11" i="5"/>
  <c r="R9" i="15"/>
  <c r="F64" i="52"/>
  <c r="F92" i="52"/>
  <c r="F106" i="2"/>
  <c r="F107" i="2" s="1"/>
  <c r="D107" i="2"/>
  <c r="P72" i="52"/>
  <c r="N86" i="5"/>
  <c r="H89" i="5"/>
  <c r="H85" i="5"/>
  <c r="CY65" i="20"/>
  <c r="CY80" i="20" s="1"/>
  <c r="H90" i="52"/>
  <c r="H34" i="52"/>
  <c r="J34" i="52"/>
  <c r="J85" i="5"/>
  <c r="K85" i="5"/>
  <c r="DA65" i="20"/>
  <c r="J89" i="5"/>
  <c r="S86" i="52"/>
  <c r="F84" i="52"/>
  <c r="F82" i="52"/>
  <c r="F85" i="52"/>
  <c r="F83" i="52"/>
  <c r="G90" i="52" s="1"/>
  <c r="F35" i="52"/>
  <c r="F33" i="52"/>
  <c r="S37" i="52"/>
  <c r="M36" i="73"/>
  <c r="DL50" i="20"/>
  <c r="U9" i="15"/>
  <c r="N89" i="5"/>
  <c r="AG99" i="9"/>
  <c r="DE65" i="20"/>
  <c r="O89" i="5"/>
  <c r="O85" i="5"/>
  <c r="AB97" i="10"/>
  <c r="AD97" i="10" s="1"/>
  <c r="S69" i="5"/>
  <c r="Z176" i="5"/>
  <c r="Y176" i="5"/>
  <c r="AG105" i="9"/>
  <c r="AG104" i="9"/>
  <c r="AG103" i="9"/>
  <c r="N94" i="5"/>
  <c r="O26" i="5"/>
  <c r="N161" i="5"/>
  <c r="DE69" i="20" s="1"/>
  <c r="H41" i="52"/>
  <c r="G41" i="52"/>
  <c r="T177" i="5"/>
  <c r="T176" i="5"/>
  <c r="U182" i="5"/>
  <c r="V160" i="5"/>
  <c r="DM68" i="20" s="1"/>
  <c r="V9" i="5"/>
  <c r="Y172" i="5"/>
  <c r="Z172" i="5"/>
  <c r="AX117" i="9"/>
  <c r="AW118" i="9"/>
  <c r="K180" i="5"/>
  <c r="L180" i="5"/>
  <c r="S160" i="5"/>
  <c r="DJ68" i="20" s="1"/>
  <c r="F77" i="5"/>
  <c r="CZ80" i="20"/>
  <c r="T170" i="5"/>
  <c r="X102" i="5"/>
  <c r="Y137" i="5"/>
  <c r="Z137" i="5" s="1"/>
  <c r="AA137" i="5" s="1"/>
  <c r="AB137" i="5" s="1"/>
  <c r="AC137" i="5" s="1"/>
  <c r="V74" i="5"/>
  <c r="DM64" i="20" s="1"/>
  <c r="I85" i="5"/>
  <c r="I161" i="5" s="1"/>
  <c r="I89" i="5"/>
  <c r="M220" i="5"/>
  <c r="N6" i="5"/>
  <c r="T178" i="52"/>
  <c r="F105" i="52"/>
  <c r="F106" i="52"/>
  <c r="AB110" i="10"/>
  <c r="AD110" i="10" s="1"/>
  <c r="AB109" i="10"/>
  <c r="AD109" i="10" s="1"/>
  <c r="J180" i="5"/>
  <c r="DA72" i="20"/>
  <c r="V168" i="5"/>
  <c r="V170" i="5"/>
  <c r="AS92" i="9"/>
  <c r="I180" i="5"/>
  <c r="U170" i="5"/>
  <c r="U168" i="5"/>
  <c r="C115" i="73"/>
  <c r="C169" i="73"/>
  <c r="U172" i="5"/>
  <c r="AB95" i="10"/>
  <c r="AD95" i="10" s="1"/>
  <c r="AM80" i="20"/>
  <c r="K170" i="5"/>
  <c r="J170" i="5"/>
  <c r="J168" i="5"/>
  <c r="K168" i="5"/>
  <c r="P65" i="52"/>
  <c r="L173" i="52" s="1"/>
  <c r="Q26" i="5"/>
  <c r="D26" i="5"/>
  <c r="Q85" i="5"/>
  <c r="Q184" i="5"/>
  <c r="P184" i="5"/>
  <c r="N174" i="5"/>
  <c r="N170" i="5"/>
  <c r="N168" i="5"/>
  <c r="O170" i="5"/>
  <c r="O168" i="5"/>
  <c r="S185" i="5"/>
  <c r="T120" i="5"/>
  <c r="Q169" i="5"/>
  <c r="Q101" i="5"/>
  <c r="Q103" i="5"/>
  <c r="W176" i="5"/>
  <c r="W177" i="5"/>
  <c r="V176" i="5"/>
  <c r="I168" i="5"/>
  <c r="S173" i="5"/>
  <c r="S107" i="5"/>
  <c r="R173" i="5"/>
  <c r="R101" i="5"/>
  <c r="R107" i="5"/>
  <c r="W170" i="5"/>
  <c r="W168" i="5"/>
  <c r="U176" i="5"/>
  <c r="U177" i="5"/>
  <c r="DD71" i="20"/>
  <c r="M174" i="5"/>
  <c r="M168" i="5"/>
  <c r="M170" i="5"/>
  <c r="U148" i="5"/>
  <c r="V148" i="5" s="1"/>
  <c r="W148" i="5" s="1"/>
  <c r="X148" i="5" s="1"/>
  <c r="Y148" i="5" s="1"/>
  <c r="Z148" i="5" s="1"/>
  <c r="AA148" i="5" s="1"/>
  <c r="AB148" i="5" s="1"/>
  <c r="AC148" i="5" s="1"/>
  <c r="T126" i="5"/>
  <c r="R131" i="5"/>
  <c r="R181" i="5"/>
  <c r="S181" i="5"/>
  <c r="R117" i="5"/>
  <c r="S117" i="5"/>
  <c r="T112" i="5"/>
  <c r="T160" i="5"/>
  <c r="DK68" i="20" s="1"/>
  <c r="K89" i="5"/>
  <c r="AP50" i="94"/>
  <c r="S50" i="94"/>
  <c r="AW49" i="94"/>
  <c r="AU41" i="94"/>
  <c r="AW48" i="94" s="1"/>
  <c r="AF56" i="94"/>
  <c r="AG56" i="94" s="1"/>
  <c r="N42" i="94"/>
  <c r="AL45" i="94"/>
  <c r="AU44" i="94"/>
  <c r="AN36" i="94"/>
  <c r="AP36" i="94" s="1"/>
  <c r="L42" i="94"/>
  <c r="AU36" i="94"/>
  <c r="AF28" i="94"/>
  <c r="AG28" i="94" s="1"/>
  <c r="AL37" i="94"/>
  <c r="AU37" i="94" s="1"/>
  <c r="AP49" i="94"/>
  <c r="V59" i="94"/>
  <c r="F59" i="94" s="1"/>
  <c r="F52" i="94"/>
  <c r="X249" i="5" s="1"/>
  <c r="X10" i="15" s="1"/>
  <c r="DO51" i="20" s="1"/>
  <c r="AF30" i="94"/>
  <c r="AG30" i="94" s="1"/>
  <c r="D52" i="94"/>
  <c r="AA41" i="94"/>
  <c r="O41" i="94"/>
  <c r="M45" i="94"/>
  <c r="AA45" i="94" s="1"/>
  <c r="K34" i="94"/>
  <c r="K45" i="94"/>
  <c r="AF34" i="94"/>
  <c r="AG34" i="94" s="1"/>
  <c r="AF37" i="94"/>
  <c r="AG37" i="94" s="1"/>
  <c r="AF45" i="94"/>
  <c r="AG45" i="94" s="1"/>
  <c r="AA51" i="94"/>
  <c r="AC51" i="94" s="1"/>
  <c r="O51" i="94"/>
  <c r="Q51" i="94" s="1"/>
  <c r="M52" i="94"/>
  <c r="O52" i="94" s="1"/>
  <c r="D45" i="94"/>
  <c r="I45" i="94" s="1"/>
  <c r="AF55" i="94"/>
  <c r="AG55" i="94" s="1"/>
  <c r="AN35" i="94"/>
  <c r="AP35" i="94" s="1"/>
  <c r="X14" i="5"/>
  <c r="AF35" i="94"/>
  <c r="AG35" i="94" s="1"/>
  <c r="AL31" i="94"/>
  <c r="N27" i="94"/>
  <c r="O27" i="94"/>
  <c r="AC39" i="20"/>
  <c r="AC18" i="20"/>
  <c r="AC41" i="20" s="1"/>
  <c r="E40" i="20"/>
  <c r="CM52" i="20"/>
  <c r="BN18" i="20"/>
  <c r="BK14" i="20"/>
  <c r="BK39" i="20" s="1"/>
  <c r="N17" i="20"/>
  <c r="K14" i="20"/>
  <c r="K18" i="20" s="1"/>
  <c r="BW52" i="20"/>
  <c r="BA42" i="20"/>
  <c r="C40" i="20"/>
  <c r="CE14" i="20"/>
  <c r="BB14" i="20"/>
  <c r="CT14" i="20"/>
  <c r="CT18" i="20" s="1"/>
  <c r="AH52" i="20"/>
  <c r="AS42" i="20"/>
  <c r="AI42" i="20"/>
  <c r="Y42" i="20"/>
  <c r="AG14" i="20"/>
  <c r="AG39" i="20" s="1"/>
  <c r="AX40" i="20"/>
  <c r="W22" i="74"/>
  <c r="BB42" i="20"/>
  <c r="I52" i="20"/>
  <c r="CH49" i="20"/>
  <c r="BV52" i="20"/>
  <c r="BK42" i="20"/>
  <c r="AG42" i="20"/>
  <c r="AL49" i="20"/>
  <c r="CM49" i="20"/>
  <c r="P52" i="20"/>
  <c r="P49" i="20"/>
  <c r="R18" i="20"/>
  <c r="R33" i="20" s="1"/>
  <c r="R39" i="20"/>
  <c r="X17" i="74"/>
  <c r="W17" i="74"/>
  <c r="G13" i="74"/>
  <c r="CH42" i="20"/>
  <c r="AH42" i="20"/>
  <c r="AR14" i="20"/>
  <c r="Z14" i="20"/>
  <c r="Z39" i="20" s="1"/>
  <c r="W40" i="20"/>
  <c r="W14" i="20"/>
  <c r="W39" i="20" s="1"/>
  <c r="W49" i="20"/>
  <c r="AQ14" i="20"/>
  <c r="AQ39" i="20" s="1"/>
  <c r="BA14" i="20"/>
  <c r="BK49" i="20"/>
  <c r="Z49" i="20"/>
  <c r="CA49" i="20"/>
  <c r="Y4" i="74"/>
  <c r="W4" i="74"/>
  <c r="BZ40" i="20"/>
  <c r="BZ14" i="20"/>
  <c r="CE49" i="20"/>
  <c r="AV49" i="20"/>
  <c r="BP49" i="20"/>
  <c r="R33" i="74" s="1"/>
  <c r="R53" i="74" s="1"/>
  <c r="DC80" i="20"/>
  <c r="S49" i="20"/>
  <c r="H13" i="74"/>
  <c r="AI40" i="20"/>
  <c r="DF80" i="20"/>
  <c r="CV39" i="20"/>
  <c r="CV18" i="20"/>
  <c r="AR42" i="20"/>
  <c r="BX49" i="20"/>
  <c r="BI14" i="20"/>
  <c r="BI18" i="20" s="1"/>
  <c r="BH42" i="20"/>
  <c r="BH49" i="20"/>
  <c r="BH14" i="20"/>
  <c r="AO14" i="20"/>
  <c r="AO42" i="20"/>
  <c r="H34" i="74"/>
  <c r="I34" i="74"/>
  <c r="AQ42" i="20"/>
  <c r="DL52" i="20"/>
  <c r="BK40" i="20"/>
  <c r="AV52" i="20"/>
  <c r="Z40" i="20"/>
  <c r="Z52" i="20"/>
  <c r="AE52" i="20"/>
  <c r="CX80" i="20"/>
  <c r="N42" i="20"/>
  <c r="N14" i="20"/>
  <c r="BQ52" i="20"/>
  <c r="BF49" i="20"/>
  <c r="Z42" i="20"/>
  <c r="CC40" i="20"/>
  <c r="CC67" i="20" s="1"/>
  <c r="CC52" i="20"/>
  <c r="B57" i="74"/>
  <c r="S9" i="74"/>
  <c r="X9" i="74" s="1"/>
  <c r="BU52" i="20"/>
  <c r="S35" i="74" s="1"/>
  <c r="BI40" i="20"/>
  <c r="CA52" i="20"/>
  <c r="CA40" i="20"/>
  <c r="CA42" i="20"/>
  <c r="BX52" i="20"/>
  <c r="BS52" i="20"/>
  <c r="BS40" i="20"/>
  <c r="BX67" i="20" s="1"/>
  <c r="D42" i="20"/>
  <c r="D40" i="20"/>
  <c r="BF14" i="20"/>
  <c r="AE40" i="20"/>
  <c r="AY42" i="20"/>
  <c r="U42" i="20"/>
  <c r="C42" i="20"/>
  <c r="DF14" i="20"/>
  <c r="AR40" i="20"/>
  <c r="BI42" i="20"/>
  <c r="AL40" i="20"/>
  <c r="I49" i="20"/>
  <c r="E42" i="20"/>
  <c r="BR40" i="20"/>
  <c r="BM52" i="20"/>
  <c r="BS14" i="20"/>
  <c r="BS18" i="20" s="1"/>
  <c r="DC66" i="20"/>
  <c r="DB80" i="20"/>
  <c r="AM41" i="20"/>
  <c r="CM40" i="20"/>
  <c r="CM42" i="20"/>
  <c r="CM14" i="20"/>
  <c r="AS40" i="20"/>
  <c r="AS52" i="20"/>
  <c r="AX52" i="20"/>
  <c r="S18" i="20"/>
  <c r="AG40" i="20"/>
  <c r="AG52" i="20"/>
  <c r="AL52" i="20"/>
  <c r="R6" i="74"/>
  <c r="W6" i="74" s="1"/>
  <c r="BP14" i="20"/>
  <c r="AN40" i="20"/>
  <c r="AN42" i="20"/>
  <c r="AS49" i="20"/>
  <c r="AN49" i="20"/>
  <c r="AN14" i="20"/>
  <c r="R49" i="20"/>
  <c r="M49" i="20"/>
  <c r="M14" i="20"/>
  <c r="M42" i="20"/>
  <c r="BM49" i="20"/>
  <c r="BM14" i="20"/>
  <c r="AY49" i="20"/>
  <c r="AT42" i="20"/>
  <c r="AT49" i="20"/>
  <c r="AT40" i="20"/>
  <c r="AQ52" i="20"/>
  <c r="AQ40" i="20"/>
  <c r="CV40" i="20"/>
  <c r="CW52" i="20"/>
  <c r="AC40" i="20"/>
  <c r="AC52" i="20"/>
  <c r="S52" i="20"/>
  <c r="S40" i="20"/>
  <c r="X52" i="20"/>
  <c r="J52" i="20"/>
  <c r="J40" i="20"/>
  <c r="O52" i="20"/>
  <c r="AJ52" i="20"/>
  <c r="AJ40" i="20"/>
  <c r="AM49" i="20"/>
  <c r="AH40" i="20"/>
  <c r="AH14" i="20"/>
  <c r="AH49" i="20"/>
  <c r="AC49" i="20"/>
  <c r="X49" i="20"/>
  <c r="X40" i="20"/>
  <c r="X14" i="20"/>
  <c r="O42" i="20"/>
  <c r="O14" i="20"/>
  <c r="O49" i="20"/>
  <c r="O40" i="20"/>
  <c r="CW39" i="20"/>
  <c r="AD18" i="20"/>
  <c r="CH52" i="20"/>
  <c r="AB52" i="20"/>
  <c r="AB18" i="20"/>
  <c r="R52" i="20"/>
  <c r="R40" i="20"/>
  <c r="I40" i="20"/>
  <c r="N52" i="20"/>
  <c r="BI39" i="20"/>
  <c r="BN66" i="20" s="1"/>
  <c r="CB14" i="20"/>
  <c r="CB42" i="20"/>
  <c r="CB40" i="20"/>
  <c r="CB49" i="20"/>
  <c r="P40" i="20"/>
  <c r="U49" i="20"/>
  <c r="F14" i="20"/>
  <c r="K49" i="20"/>
  <c r="BW42" i="20"/>
  <c r="H17" i="20"/>
  <c r="K17" i="20"/>
  <c r="I17" i="20"/>
  <c r="BF40" i="20"/>
  <c r="F40" i="20"/>
  <c r="BR14" i="20"/>
  <c r="BR49" i="20"/>
  <c r="BW49" i="20"/>
  <c r="BP52" i="20"/>
  <c r="R35" i="74" s="1"/>
  <c r="BP40" i="20"/>
  <c r="R9" i="74"/>
  <c r="M40" i="20"/>
  <c r="M52" i="20"/>
  <c r="CG14" i="20"/>
  <c r="CL49" i="20"/>
  <c r="CG49" i="20"/>
  <c r="CG42" i="20"/>
  <c r="AW14" i="20"/>
  <c r="AW49" i="20"/>
  <c r="CW49" i="20"/>
  <c r="BG52" i="20"/>
  <c r="BB40" i="20"/>
  <c r="AD42" i="20"/>
  <c r="AD49" i="20"/>
  <c r="AD40" i="20"/>
  <c r="AI49" i="20"/>
  <c r="CW40" i="20"/>
  <c r="BA52" i="20"/>
  <c r="AX49" i="20"/>
  <c r="AX42" i="20"/>
  <c r="BC49" i="20"/>
  <c r="W42" i="20"/>
  <c r="AB49" i="20"/>
  <c r="N49" i="20"/>
  <c r="N40" i="20"/>
  <c r="E14" i="20"/>
  <c r="J49" i="20"/>
  <c r="BN40" i="20"/>
  <c r="BN52" i="20"/>
  <c r="AO52" i="20"/>
  <c r="AO40" i="20"/>
  <c r="AT52" i="20"/>
  <c r="BU14" i="20"/>
  <c r="BU40" i="20"/>
  <c r="BI49" i="20"/>
  <c r="BD14" i="20"/>
  <c r="BD49" i="20"/>
  <c r="T49" i="20"/>
  <c r="Y49" i="20"/>
  <c r="T14" i="20"/>
  <c r="BH52" i="20"/>
  <c r="BH40" i="20"/>
  <c r="CV49" i="20"/>
  <c r="DB52" i="20"/>
  <c r="U40" i="20"/>
  <c r="U52" i="20"/>
  <c r="BL14" i="20"/>
  <c r="BL49" i="20"/>
  <c r="BQ49" i="20"/>
  <c r="BB49" i="20"/>
  <c r="CL40" i="20"/>
  <c r="M17" i="20"/>
  <c r="P17" i="20"/>
  <c r="T40" i="20"/>
  <c r="Y52" i="20"/>
  <c r="T52" i="20"/>
  <c r="BZ42" i="20"/>
  <c r="BZ49" i="20"/>
  <c r="I14" i="20"/>
  <c r="I42" i="20"/>
  <c r="D38" i="94"/>
  <c r="S43" i="94"/>
  <c r="S36" i="94"/>
  <c r="L29" i="94"/>
  <c r="K31" i="94"/>
  <c r="AA30" i="94"/>
  <c r="AC37" i="94" s="1"/>
  <c r="M31" i="94"/>
  <c r="S44" i="94"/>
  <c r="AC36" i="94"/>
  <c r="L27" i="94"/>
  <c r="P58" i="3"/>
  <c r="P62" i="3" s="1"/>
  <c r="AV78" i="3"/>
  <c r="AZ12" i="3"/>
  <c r="AZ20" i="2"/>
  <c r="BB20" i="2" s="1"/>
  <c r="BD20" i="2" s="1"/>
  <c r="BF20" i="2" s="1"/>
  <c r="AZ23" i="2"/>
  <c r="BB23" i="2" s="1"/>
  <c r="BD23" i="2" s="1"/>
  <c r="BF23" i="2" s="1"/>
  <c r="BB19" i="2"/>
  <c r="BB13" i="2"/>
  <c r="AV32" i="3"/>
  <c r="BB9" i="2"/>
  <c r="AL147" i="52"/>
  <c r="AM147" i="52" s="1"/>
  <c r="AM146" i="52"/>
  <c r="AL145" i="52"/>
  <c r="AD149" i="52"/>
  <c r="Z150" i="52"/>
  <c r="M149" i="52"/>
  <c r="L150" i="52"/>
  <c r="AL134" i="52"/>
  <c r="N134" i="52"/>
  <c r="BJ89" i="77"/>
  <c r="I115" i="89"/>
  <c r="H116" i="89"/>
  <c r="H4" i="89"/>
  <c r="O9" i="89"/>
  <c r="T9" i="89"/>
  <c r="V9" i="89"/>
  <c r="P9" i="89"/>
  <c r="U9" i="89"/>
  <c r="N9" i="89"/>
  <c r="S9" i="89"/>
  <c r="Q9" i="89"/>
  <c r="W9" i="89"/>
  <c r="R9" i="89"/>
  <c r="H112" i="89"/>
  <c r="H63" i="89"/>
  <c r="I64" i="89" s="1"/>
  <c r="I112" i="89"/>
  <c r="H113" i="89"/>
  <c r="H82" i="89"/>
  <c r="H66" i="89"/>
  <c r="I67" i="89" s="1"/>
  <c r="I116" i="89"/>
  <c r="H117" i="89"/>
  <c r="H115" i="89"/>
  <c r="I114" i="89"/>
  <c r="H114" i="89"/>
  <c r="I113" i="89"/>
  <c r="M190" i="89"/>
  <c r="AG95" i="1" l="1"/>
  <c r="AG85" i="1"/>
  <c r="BB24" i="98"/>
  <c r="BC24" i="98"/>
  <c r="R63" i="9"/>
  <c r="N73" i="77"/>
  <c r="R66" i="77"/>
  <c r="H56" i="9"/>
  <c r="AD16" i="20"/>
  <c r="AS52" i="1"/>
  <c r="AZ25" i="3"/>
  <c r="D141" i="52"/>
  <c r="BF52" i="20"/>
  <c r="AX39" i="20"/>
  <c r="AM33" i="20"/>
  <c r="AY52" i="20"/>
  <c r="AF89" i="10"/>
  <c r="B133" i="89"/>
  <c r="AG210" i="1"/>
  <c r="BA37" i="11"/>
  <c r="O14" i="15"/>
  <c r="BX73" i="77"/>
  <c r="BY80" i="77" s="1"/>
  <c r="L62" i="22"/>
  <c r="BR230" i="1"/>
  <c r="BV230" i="1" s="1"/>
  <c r="BZ230" i="1" s="1"/>
  <c r="J27" i="15"/>
  <c r="AV64" i="1"/>
  <c r="P40" i="11"/>
  <c r="BB16" i="98"/>
  <c r="BC16" i="98"/>
  <c r="AF142" i="52"/>
  <c r="K57" i="73"/>
  <c r="AL73" i="77"/>
  <c r="R16" i="15"/>
  <c r="P132" i="9"/>
  <c r="AB230" i="1"/>
  <c r="AD230" i="1" s="1"/>
  <c r="Z160" i="9"/>
  <c r="AL80" i="77"/>
  <c r="AL98" i="10"/>
  <c r="AL130" i="10"/>
  <c r="AJ231" i="1"/>
  <c r="AL231" i="1" s="1"/>
  <c r="S8" i="15"/>
  <c r="AQ107" i="9"/>
  <c r="U16" i="15"/>
  <c r="U33" i="15"/>
  <c r="AX52" i="1"/>
  <c r="AP66" i="2"/>
  <c r="AD120" i="2"/>
  <c r="M130" i="73"/>
  <c r="U31" i="15"/>
  <c r="U41" i="15"/>
  <c r="J74" i="15"/>
  <c r="J31" i="15"/>
  <c r="J91" i="15"/>
  <c r="BO54" i="77"/>
  <c r="L97" i="73"/>
  <c r="AP89" i="77"/>
  <c r="W19" i="98"/>
  <c r="AJ66" i="2"/>
  <c r="R46" i="15"/>
  <c r="AL75" i="9"/>
  <c r="AN75" i="9" s="1"/>
  <c r="R52" i="15"/>
  <c r="Z88" i="10"/>
  <c r="AL125" i="10"/>
  <c r="BO73" i="77"/>
  <c r="D91" i="10"/>
  <c r="X17" i="5"/>
  <c r="Y17" i="5"/>
  <c r="BC23" i="98"/>
  <c r="BB23" i="98"/>
  <c r="AS152" i="9"/>
  <c r="BE34" i="11"/>
  <c r="BD40" i="11"/>
  <c r="M50" i="73"/>
  <c r="M76" i="73" s="1"/>
  <c r="M90" i="73"/>
  <c r="BU232" i="1"/>
  <c r="AH74" i="10"/>
  <c r="R74" i="10"/>
  <c r="AL74" i="10"/>
  <c r="AH82" i="10"/>
  <c r="R82" i="10"/>
  <c r="AL82" i="10"/>
  <c r="AR55" i="1"/>
  <c r="AB16" i="20"/>
  <c r="AR56" i="1"/>
  <c r="AS56" i="1" s="1"/>
  <c r="AU139" i="9"/>
  <c r="CN102" i="1"/>
  <c r="CO92" i="1"/>
  <c r="CO82" i="1"/>
  <c r="M9" i="89"/>
  <c r="M8" i="89" s="1"/>
  <c r="AI52" i="20"/>
  <c r="AF97" i="10"/>
  <c r="O120" i="89"/>
  <c r="L7" i="89"/>
  <c r="L9" i="89" s="1"/>
  <c r="L187" i="89" s="1"/>
  <c r="J8" i="15"/>
  <c r="U61" i="15"/>
  <c r="K97" i="73"/>
  <c r="AF76" i="10"/>
  <c r="AH54" i="10"/>
  <c r="X56" i="9"/>
  <c r="X71" i="9"/>
  <c r="Z78" i="9" s="1"/>
  <c r="AK55" i="77"/>
  <c r="Z82" i="9"/>
  <c r="J38" i="15"/>
  <c r="U52" i="15"/>
  <c r="U8" i="15"/>
  <c r="J41" i="15"/>
  <c r="BB12" i="98"/>
  <c r="BC12" i="98"/>
  <c r="AS68" i="9"/>
  <c r="AU68" i="9" s="1"/>
  <c r="AC37" i="11"/>
  <c r="AN146" i="9"/>
  <c r="R41" i="15"/>
  <c r="J118" i="52"/>
  <c r="DC14" i="20"/>
  <c r="V65" i="22"/>
  <c r="Z76" i="10"/>
  <c r="K59" i="94"/>
  <c r="BC25" i="98"/>
  <c r="BB25" i="98"/>
  <c r="D51" i="9"/>
  <c r="AQ51" i="9"/>
  <c r="BH83" i="1"/>
  <c r="BI63" i="1"/>
  <c r="BJ63" i="1"/>
  <c r="AF86" i="1"/>
  <c r="AG80" i="1"/>
  <c r="AR43" i="11"/>
  <c r="AS37" i="11"/>
  <c r="BB9" i="98"/>
  <c r="BC9" i="98"/>
  <c r="BO65" i="77"/>
  <c r="BR81" i="1"/>
  <c r="BL101" i="1"/>
  <c r="BF82" i="1"/>
  <c r="AK7" i="15"/>
  <c r="AR66" i="2"/>
  <c r="H64" i="9"/>
  <c r="AN64" i="9" s="1"/>
  <c r="AS145" i="9"/>
  <c r="AU145" i="9" s="1"/>
  <c r="N67" i="77"/>
  <c r="R60" i="77"/>
  <c r="AS51" i="1"/>
  <c r="AC16" i="20"/>
  <c r="W11" i="5"/>
  <c r="V12" i="5"/>
  <c r="V13" i="5" s="1"/>
  <c r="CH61" i="1"/>
  <c r="BA10" i="98"/>
  <c r="R19" i="15"/>
  <c r="R20" i="15" s="1"/>
  <c r="R38" i="15"/>
  <c r="R59" i="15"/>
  <c r="DI10" i="20"/>
  <c r="J6" i="73"/>
  <c r="J30" i="73" s="1"/>
  <c r="BO66" i="77"/>
  <c r="BC66" i="77"/>
  <c r="AF101" i="1"/>
  <c r="AG91" i="1"/>
  <c r="CB67" i="20"/>
  <c r="AY40" i="20"/>
  <c r="CJ18" i="20"/>
  <c r="E36" i="74" s="1"/>
  <c r="J36" i="74" s="1"/>
  <c r="Z61" i="10"/>
  <c r="CF66" i="1"/>
  <c r="CH66" i="1" s="1"/>
  <c r="BA11" i="98"/>
  <c r="BB18" i="98" s="1"/>
  <c r="X62" i="22"/>
  <c r="CF65" i="1"/>
  <c r="CG65" i="1" s="1"/>
  <c r="J19" i="15"/>
  <c r="BC18" i="98"/>
  <c r="AF64" i="15"/>
  <c r="AK76" i="77"/>
  <c r="DI40" i="20"/>
  <c r="V15" i="15"/>
  <c r="N11" i="73" s="1"/>
  <c r="L10" i="73"/>
  <c r="AS142" i="9"/>
  <c r="AL106" i="10"/>
  <c r="AK69" i="77"/>
  <c r="C71" i="15"/>
  <c r="U36" i="15"/>
  <c r="J22" i="15"/>
  <c r="AJ65" i="22"/>
  <c r="P83" i="9"/>
  <c r="R83" i="9" s="1"/>
  <c r="Z154" i="9"/>
  <c r="BB85" i="1"/>
  <c r="R31" i="15"/>
  <c r="R36" i="15"/>
  <c r="AI18" i="20"/>
  <c r="AI53" i="20" s="1"/>
  <c r="CG90" i="1"/>
  <c r="R84" i="10"/>
  <c r="AI59" i="20" s="1"/>
  <c r="R158" i="10"/>
  <c r="BC17" i="98"/>
  <c r="BB17" i="98"/>
  <c r="CC24" i="1"/>
  <c r="CT23" i="1"/>
  <c r="CP23" i="1"/>
  <c r="R91" i="15"/>
  <c r="W12" i="5"/>
  <c r="Q15" i="15"/>
  <c r="AP93" i="52"/>
  <c r="AO93" i="52" s="1"/>
  <c r="AH58" i="22"/>
  <c r="AH64" i="22"/>
  <c r="R94" i="10"/>
  <c r="AL94" i="10"/>
  <c r="AH94" i="10"/>
  <c r="AJ94" i="10" s="1"/>
  <c r="H63" i="9"/>
  <c r="AQ68" i="77"/>
  <c r="AE148" i="9"/>
  <c r="AC148" i="9" s="1"/>
  <c r="AD148" i="9" s="1"/>
  <c r="BG68" i="77"/>
  <c r="F68" i="77"/>
  <c r="U148" i="9"/>
  <c r="X148" i="9" s="1"/>
  <c r="AG68" i="77"/>
  <c r="AI68" i="77" s="1"/>
  <c r="AK68" i="77" s="1"/>
  <c r="BB19" i="98"/>
  <c r="AU68" i="77"/>
  <c r="AT75" i="77"/>
  <c r="AH80" i="1"/>
  <c r="AH123" i="10"/>
  <c r="AJ123" i="10" s="1"/>
  <c r="R123" i="10"/>
  <c r="J63" i="22"/>
  <c r="J140" i="52"/>
  <c r="S100" i="52"/>
  <c r="J132" i="52"/>
  <c r="E169" i="73"/>
  <c r="V176" i="52"/>
  <c r="F169" i="73"/>
  <c r="J75" i="73"/>
  <c r="F115" i="73"/>
  <c r="F77" i="52"/>
  <c r="G84" i="52" s="1"/>
  <c r="F98" i="52"/>
  <c r="H98" i="52" s="1"/>
  <c r="H118" i="52"/>
  <c r="V11" i="5"/>
  <c r="R178" i="52"/>
  <c r="S121" i="52"/>
  <c r="U178" i="52"/>
  <c r="F97" i="52"/>
  <c r="G97" i="52" s="1"/>
  <c r="F96" i="52"/>
  <c r="H96" i="52" s="1"/>
  <c r="AF161" i="10"/>
  <c r="F138" i="52"/>
  <c r="J138" i="52" s="1"/>
  <c r="U176" i="52"/>
  <c r="R176" i="52"/>
  <c r="F76" i="52"/>
  <c r="G76" i="52" s="1"/>
  <c r="F120" i="52"/>
  <c r="H120" i="52" s="1"/>
  <c r="V178" i="52"/>
  <c r="F75" i="52"/>
  <c r="H75" i="52" s="1"/>
  <c r="F141" i="52"/>
  <c r="H141" i="52" s="1"/>
  <c r="S142" i="52"/>
  <c r="F78" i="52"/>
  <c r="G85" i="52" s="1"/>
  <c r="S176" i="52"/>
  <c r="F117" i="52"/>
  <c r="J117" i="52" s="1"/>
  <c r="K124" i="52" s="1"/>
  <c r="F139" i="52"/>
  <c r="J139" i="52" s="1"/>
  <c r="K139" i="52" s="1"/>
  <c r="F119" i="52"/>
  <c r="J119" i="52" s="1"/>
  <c r="S178" i="52"/>
  <c r="O56" i="94"/>
  <c r="N55" i="94"/>
  <c r="AS59" i="94"/>
  <c r="J32" i="98"/>
  <c r="AA32" i="98"/>
  <c r="AO32" i="98"/>
  <c r="Y249" i="5"/>
  <c r="Y10" i="15" s="1"/>
  <c r="DP51" i="20" s="1"/>
  <c r="L34" i="98"/>
  <c r="I34" i="98"/>
  <c r="BQ97" i="77"/>
  <c r="BR97" i="77" s="1"/>
  <c r="Y94" i="1"/>
  <c r="Y84" i="1"/>
  <c r="BX122" i="1"/>
  <c r="BX132" i="1"/>
  <c r="BY132" i="1" s="1"/>
  <c r="P119" i="89"/>
  <c r="CF213" i="1"/>
  <c r="CG213" i="1" s="1"/>
  <c r="CG24" i="1"/>
  <c r="CH24" i="1" s="1"/>
  <c r="D47" i="73"/>
  <c r="Z111" i="10"/>
  <c r="Z118" i="10"/>
  <c r="BD56" i="1"/>
  <c r="BE56" i="1" s="1"/>
  <c r="AN64" i="1"/>
  <c r="AT63" i="1"/>
  <c r="AO63" i="1"/>
  <c r="AN83" i="1"/>
  <c r="AF114" i="2"/>
  <c r="AH114" i="2"/>
  <c r="AL68" i="10"/>
  <c r="AH68" i="10"/>
  <c r="R68" i="10"/>
  <c r="J70" i="10"/>
  <c r="AB86" i="52"/>
  <c r="N86" i="52"/>
  <c r="BT85" i="1"/>
  <c r="BU90" i="1"/>
  <c r="BT100" i="1"/>
  <c r="AD81" i="2"/>
  <c r="AD72" i="2"/>
  <c r="AQ93" i="9"/>
  <c r="D93" i="9"/>
  <c r="D100" i="9"/>
  <c r="H100" i="9" s="1"/>
  <c r="AB141" i="1"/>
  <c r="AB151" i="1"/>
  <c r="C47" i="73"/>
  <c r="C87" i="73"/>
  <c r="E97" i="73"/>
  <c r="E57" i="73"/>
  <c r="E136" i="73"/>
  <c r="AW97" i="77"/>
  <c r="AY97" i="77" s="1"/>
  <c r="X64" i="9"/>
  <c r="Z64" i="9" s="1"/>
  <c r="AF231" i="1"/>
  <c r="P71" i="9"/>
  <c r="R71" i="9" s="1"/>
  <c r="N65" i="9"/>
  <c r="P64" i="9"/>
  <c r="AL140" i="10"/>
  <c r="AH140" i="10"/>
  <c r="AJ140" i="10" s="1"/>
  <c r="BA34" i="11"/>
  <c r="AW34" i="11"/>
  <c r="AV40" i="11"/>
  <c r="AZ40" i="11"/>
  <c r="L119" i="10"/>
  <c r="L126" i="10"/>
  <c r="D120" i="10"/>
  <c r="D95" i="77"/>
  <c r="AQ175" i="9"/>
  <c r="BA94" i="77"/>
  <c r="BB94" i="77" s="1"/>
  <c r="BM94" i="77"/>
  <c r="BN94" i="77" s="1"/>
  <c r="CX52" i="20"/>
  <c r="CK52" i="20"/>
  <c r="AN42" i="94"/>
  <c r="AP42" i="94" s="1"/>
  <c r="BY101" i="1"/>
  <c r="AC103" i="1"/>
  <c r="AB134" i="1"/>
  <c r="R69" i="9"/>
  <c r="AD58" i="94"/>
  <c r="L65" i="15"/>
  <c r="V12" i="15"/>
  <c r="D126" i="73"/>
  <c r="AM100" i="52"/>
  <c r="BW81" i="20"/>
  <c r="M147" i="9"/>
  <c r="AB40" i="11"/>
  <c r="AF40" i="11"/>
  <c r="F62" i="15"/>
  <c r="F67" i="15"/>
  <c r="F76" i="15" s="1"/>
  <c r="BA101" i="1"/>
  <c r="AW101" i="1"/>
  <c r="AI162" i="52"/>
  <c r="V175" i="52"/>
  <c r="K46" i="15"/>
  <c r="K38" i="15"/>
  <c r="K19" i="15"/>
  <c r="V66" i="2"/>
  <c r="K16" i="15"/>
  <c r="K52" i="15"/>
  <c r="K33" i="15"/>
  <c r="K13" i="15"/>
  <c r="K31" i="15"/>
  <c r="K61" i="15"/>
  <c r="K8" i="15"/>
  <c r="K74" i="15"/>
  <c r="K91" i="15"/>
  <c r="K27" i="15"/>
  <c r="K59" i="15"/>
  <c r="K36" i="15"/>
  <c r="J141" i="10"/>
  <c r="Z94" i="10"/>
  <c r="Q119" i="52"/>
  <c r="T119" i="52" s="1"/>
  <c r="E142" i="73"/>
  <c r="E63" i="73"/>
  <c r="E103" i="73" s="1"/>
  <c r="AH165" i="10"/>
  <c r="AJ165" i="10" s="1"/>
  <c r="R165" i="10"/>
  <c r="AA58" i="77"/>
  <c r="Z58" i="77"/>
  <c r="P87" i="73"/>
  <c r="P47" i="73"/>
  <c r="P49" i="73" s="1"/>
  <c r="AT50" i="2"/>
  <c r="AT52" i="2" s="1"/>
  <c r="CG61" i="20" s="1"/>
  <c r="AV49" i="2"/>
  <c r="AU168" i="9"/>
  <c r="AW37" i="11"/>
  <c r="AV43" i="11"/>
  <c r="AX62" i="1"/>
  <c r="AW62" i="1"/>
  <c r="BB62" i="1"/>
  <c r="AV66" i="1"/>
  <c r="AD66" i="1"/>
  <c r="AH66" i="1"/>
  <c r="AC66" i="1"/>
  <c r="AF52" i="2"/>
  <c r="Y91" i="1"/>
  <c r="X101" i="1"/>
  <c r="X104" i="1" s="1"/>
  <c r="Y81" i="1"/>
  <c r="AB124" i="1"/>
  <c r="AB154" i="1" s="1"/>
  <c r="CG54" i="1"/>
  <c r="Z63" i="9"/>
  <c r="CB56" i="1"/>
  <c r="CC56" i="1" s="1"/>
  <c r="AS58" i="9"/>
  <c r="AU58" i="9" s="1"/>
  <c r="AU57" i="9"/>
  <c r="Q35" i="11"/>
  <c r="P41" i="11"/>
  <c r="AC64" i="1"/>
  <c r="AH64" i="1"/>
  <c r="AH52" i="10"/>
  <c r="J56" i="10"/>
  <c r="R52" i="10"/>
  <c r="AL52" i="10"/>
  <c r="BV62" i="1"/>
  <c r="AL153" i="9"/>
  <c r="AN153" i="9" s="1"/>
  <c r="AL160" i="9"/>
  <c r="AN160" i="9" s="1"/>
  <c r="AS153" i="9"/>
  <c r="BP43" i="11"/>
  <c r="BM37" i="11"/>
  <c r="BQ37" i="11"/>
  <c r="BL43" i="11"/>
  <c r="Z138" i="10"/>
  <c r="Z131" i="10"/>
  <c r="AZ122" i="1"/>
  <c r="BA122" i="1" s="1"/>
  <c r="AZ132" i="1"/>
  <c r="AJ63" i="52"/>
  <c r="AB63" i="52"/>
  <c r="N63" i="52"/>
  <c r="AF63" i="52"/>
  <c r="AN63" i="52"/>
  <c r="R75" i="10"/>
  <c r="AL75" i="10"/>
  <c r="J77" i="10"/>
  <c r="AH75" i="10"/>
  <c r="L91" i="10"/>
  <c r="L98" i="10"/>
  <c r="X86" i="1"/>
  <c r="Y86" i="1" s="1"/>
  <c r="X126" i="9"/>
  <c r="AI83" i="77"/>
  <c r="AL127" i="52"/>
  <c r="L33" i="15"/>
  <c r="BQ62" i="1"/>
  <c r="BB80" i="1"/>
  <c r="CH34" i="1"/>
  <c r="L38" i="15"/>
  <c r="AA166" i="9"/>
  <c r="AU64" i="9"/>
  <c r="T40" i="11"/>
  <c r="AL84" i="10"/>
  <c r="AQ82" i="77"/>
  <c r="AD71" i="2"/>
  <c r="AD73" i="2"/>
  <c r="N127" i="52"/>
  <c r="BX39" i="20"/>
  <c r="CC66" i="20" s="1"/>
  <c r="BX18" i="20"/>
  <c r="BX81" i="20"/>
  <c r="M148" i="9"/>
  <c r="Q124" i="52"/>
  <c r="T124" i="52" s="1"/>
  <c r="V147" i="10"/>
  <c r="X147" i="10" s="1"/>
  <c r="M152" i="9"/>
  <c r="BE35" i="11"/>
  <c r="BD41" i="11"/>
  <c r="BI35" i="11"/>
  <c r="BH41" i="11"/>
  <c r="BL42" i="11"/>
  <c r="BM36" i="11"/>
  <c r="BP42" i="11"/>
  <c r="AS35" i="11"/>
  <c r="BL17" i="1"/>
  <c r="BM14" i="1"/>
  <c r="BM24" i="1"/>
  <c r="BQ14" i="1"/>
  <c r="Q27" i="5"/>
  <c r="Q7" i="15"/>
  <c r="AR93" i="52"/>
  <c r="D65" i="9"/>
  <c r="AQ58" i="9"/>
  <c r="Z95" i="10"/>
  <c r="AH125" i="10"/>
  <c r="AJ125" i="10" s="1"/>
  <c r="J127" i="10"/>
  <c r="R125" i="10"/>
  <c r="AN229" i="1"/>
  <c r="P76" i="9"/>
  <c r="R76" i="9" s="1"/>
  <c r="X76" i="9"/>
  <c r="BA61" i="20"/>
  <c r="N79" i="9"/>
  <c r="F155" i="10"/>
  <c r="R155" i="10" s="1"/>
  <c r="CF59" i="20" s="1"/>
  <c r="AO57" i="52"/>
  <c r="AM57" i="52"/>
  <c r="AJ86" i="52"/>
  <c r="BL232" i="1"/>
  <c r="BN228" i="1"/>
  <c r="BR228" i="1" s="1"/>
  <c r="BV228" i="1" s="1"/>
  <c r="BZ228" i="1" s="1"/>
  <c r="BL234" i="1"/>
  <c r="BL233" i="1"/>
  <c r="CY61" i="20"/>
  <c r="I64" i="5"/>
  <c r="N55" i="77"/>
  <c r="R55" i="77" s="1"/>
  <c r="R54" i="77"/>
  <c r="L8" i="15"/>
  <c r="L36" i="15"/>
  <c r="L46" i="15"/>
  <c r="L59" i="15"/>
  <c r="L13" i="15"/>
  <c r="L20" i="15" s="1"/>
  <c r="BX55" i="77"/>
  <c r="BZ55" i="77" s="1"/>
  <c r="BU64" i="1"/>
  <c r="B53" i="74"/>
  <c r="P84" i="89"/>
  <c r="BZ80" i="1"/>
  <c r="AW95" i="1"/>
  <c r="AJ156" i="9"/>
  <c r="AL156" i="9" s="1"/>
  <c r="AN156" i="9" s="1"/>
  <c r="AW90" i="1"/>
  <c r="AA176" i="9"/>
  <c r="BR23" i="1"/>
  <c r="X175" i="9"/>
  <c r="Z175" i="9" s="1"/>
  <c r="AO16" i="20"/>
  <c r="D6" i="73"/>
  <c r="D35" i="73" s="1"/>
  <c r="G129" i="73"/>
  <c r="G154" i="73" s="1"/>
  <c r="AN57" i="52"/>
  <c r="H82" i="9"/>
  <c r="P43" i="11"/>
  <c r="Q37" i="11"/>
  <c r="BX75" i="77"/>
  <c r="BY82" i="77" s="1"/>
  <c r="CF83" i="1"/>
  <c r="CH83" i="1" s="1"/>
  <c r="CG63" i="1"/>
  <c r="CW63" i="1" s="1"/>
  <c r="BC59" i="77"/>
  <c r="BO59" i="77"/>
  <c r="AL66" i="77"/>
  <c r="AL59" i="77"/>
  <c r="U104" i="1"/>
  <c r="T135" i="1"/>
  <c r="U135" i="1" s="1"/>
  <c r="Y17" i="20"/>
  <c r="AN213" i="1"/>
  <c r="AN210" i="1"/>
  <c r="Z17" i="20" s="1"/>
  <c r="AF90" i="2"/>
  <c r="AD91" i="2"/>
  <c r="T52" i="77"/>
  <c r="T48" i="77"/>
  <c r="W48" i="77" s="1"/>
  <c r="W45" i="77"/>
  <c r="E8" i="73"/>
  <c r="DD12" i="20"/>
  <c r="Z67" i="2"/>
  <c r="DJ29" i="20"/>
  <c r="K24" i="73"/>
  <c r="X84" i="9"/>
  <c r="Z84" i="9" s="1"/>
  <c r="AR230" i="1"/>
  <c r="AX230" i="1" s="1"/>
  <c r="P84" i="9"/>
  <c r="P91" i="9"/>
  <c r="AD49" i="94"/>
  <c r="AA167" i="9"/>
  <c r="CG25" i="1"/>
  <c r="AL83" i="1"/>
  <c r="AG93" i="1"/>
  <c r="AG83" i="1"/>
  <c r="AF103" i="1"/>
  <c r="AF104" i="1" s="1"/>
  <c r="AF135" i="1" s="1"/>
  <c r="AF84" i="1"/>
  <c r="AH83" i="1"/>
  <c r="J94" i="15"/>
  <c r="DA30" i="20" s="1"/>
  <c r="AJ188" i="1"/>
  <c r="AM134" i="52"/>
  <c r="J27" i="74"/>
  <c r="E26" i="74"/>
  <c r="J26" i="74" s="1"/>
  <c r="AJ79" i="9"/>
  <c r="AS75" i="9"/>
  <c r="AU75" i="9" s="1"/>
  <c r="Y65" i="1"/>
  <c r="AD65" i="1"/>
  <c r="D94" i="77"/>
  <c r="U177" i="9"/>
  <c r="F177" i="9" s="1"/>
  <c r="V10" i="15"/>
  <c r="DM51" i="20" s="1"/>
  <c r="N87" i="89"/>
  <c r="R140" i="9"/>
  <c r="M8" i="73"/>
  <c r="M87" i="73" s="1"/>
  <c r="U13" i="15"/>
  <c r="U20" i="15" s="1"/>
  <c r="AJ229" i="1"/>
  <c r="AL229" i="1" s="1"/>
  <c r="X69" i="9"/>
  <c r="Z69" i="9" s="1"/>
  <c r="AU147" i="9"/>
  <c r="BY80" i="1"/>
  <c r="BX85" i="1"/>
  <c r="BX100" i="1"/>
  <c r="BY90" i="1"/>
  <c r="AK93" i="1"/>
  <c r="AJ103" i="1"/>
  <c r="AK83" i="1"/>
  <c r="AP83" i="1" s="1"/>
  <c r="CL61" i="1"/>
  <c r="CG61" i="1"/>
  <c r="CW61" i="1" s="1"/>
  <c r="AH116" i="10"/>
  <c r="AJ116" i="10" s="1"/>
  <c r="J120" i="10"/>
  <c r="AL120" i="10" s="1"/>
  <c r="H54" i="73"/>
  <c r="H94" i="73"/>
  <c r="H133" i="73"/>
  <c r="AU45" i="94"/>
  <c r="CH14" i="20"/>
  <c r="CH18" i="20" s="1"/>
  <c r="CH41" i="20" s="1"/>
  <c r="H127" i="52"/>
  <c r="AF57" i="22"/>
  <c r="X40" i="11"/>
  <c r="BU80" i="1"/>
  <c r="X85" i="1"/>
  <c r="J64" i="22"/>
  <c r="BF53" i="1"/>
  <c r="X174" i="9"/>
  <c r="Z174" i="9" s="1"/>
  <c r="AP67" i="2"/>
  <c r="BM232" i="1"/>
  <c r="AU161" i="9"/>
  <c r="AJ71" i="2"/>
  <c r="AJ120" i="2"/>
  <c r="AJ76" i="2"/>
  <c r="AJ72" i="2"/>
  <c r="AL71" i="9"/>
  <c r="AN71" i="9" s="1"/>
  <c r="AS71" i="9"/>
  <c r="AL78" i="9"/>
  <c r="AN78" i="9" s="1"/>
  <c r="AQ104" i="9"/>
  <c r="D104" i="9"/>
  <c r="H104" i="9" s="1"/>
  <c r="R104" i="9" s="1"/>
  <c r="X104" i="9"/>
  <c r="D111" i="9"/>
  <c r="H111" i="9" s="1"/>
  <c r="R111" i="9" s="1"/>
  <c r="AL60" i="10"/>
  <c r="AH60" i="10"/>
  <c r="R60" i="10"/>
  <c r="J63" i="10"/>
  <c r="Z16" i="5"/>
  <c r="AA16" i="5" s="1"/>
  <c r="AB16" i="5" s="1"/>
  <c r="AC16" i="5" s="1"/>
  <c r="AD97" i="77"/>
  <c r="K85" i="89"/>
  <c r="K86" i="89" s="1"/>
  <c r="J16" i="15"/>
  <c r="J52" i="15"/>
  <c r="CC54" i="1"/>
  <c r="BD100" i="1"/>
  <c r="BE100" i="1" s="1"/>
  <c r="BJ80" i="1"/>
  <c r="AB142" i="52"/>
  <c r="AJ142" i="52"/>
  <c r="P85" i="73"/>
  <c r="P35" i="73"/>
  <c r="P167" i="73" s="1"/>
  <c r="P165" i="73" s="1"/>
  <c r="T64" i="22"/>
  <c r="DG14" i="20"/>
  <c r="DG39" i="20" s="1"/>
  <c r="BX213" i="1"/>
  <c r="BR17" i="20"/>
  <c r="L42" i="11"/>
  <c r="M36" i="11"/>
  <c r="H42" i="11"/>
  <c r="CH23" i="1"/>
  <c r="CL23" i="1"/>
  <c r="AK91" i="1"/>
  <c r="AJ101" i="1"/>
  <c r="AO101" i="1" s="1"/>
  <c r="AK81" i="1"/>
  <c r="AP81" i="1" s="1"/>
  <c r="AL81" i="1"/>
  <c r="V139" i="10"/>
  <c r="X139" i="10" s="1"/>
  <c r="Z139" i="10" s="1"/>
  <c r="M140" i="9"/>
  <c r="Q112" i="52"/>
  <c r="T112" i="52" s="1"/>
  <c r="BR81" i="20"/>
  <c r="AD62" i="22"/>
  <c r="AS163" i="9"/>
  <c r="AR65" i="52"/>
  <c r="AW24" i="1"/>
  <c r="AX24" i="1" s="1"/>
  <c r="AW14" i="1"/>
  <c r="M7" i="15"/>
  <c r="N8" i="15" s="1"/>
  <c r="AW74" i="1"/>
  <c r="M25" i="5"/>
  <c r="N151" i="5" s="1"/>
  <c r="M27" i="5"/>
  <c r="Q125" i="1"/>
  <c r="CC82" i="1"/>
  <c r="CC92" i="1"/>
  <c r="CB102" i="1"/>
  <c r="R95" i="10"/>
  <c r="AH95" i="10"/>
  <c r="AJ95" i="10" s="1"/>
  <c r="U125" i="1"/>
  <c r="AL154" i="9"/>
  <c r="AN154" i="9" s="1"/>
  <c r="AL161" i="9"/>
  <c r="AN161" i="9" s="1"/>
  <c r="H75" i="3"/>
  <c r="AP65" i="52"/>
  <c r="AO65" i="52" s="1"/>
  <c r="M15" i="15"/>
  <c r="AW34" i="1"/>
  <c r="AW232" i="1" s="1"/>
  <c r="BB34" i="1"/>
  <c r="AX34" i="1"/>
  <c r="AP68" i="77"/>
  <c r="AQ61" i="77"/>
  <c r="BJ234" i="1"/>
  <c r="AH158" i="10"/>
  <c r="AJ158" i="10" s="1"/>
  <c r="J162" i="10"/>
  <c r="R162" i="10" s="1"/>
  <c r="CG59" i="20" s="1"/>
  <c r="T65" i="22"/>
  <c r="AL64" i="1"/>
  <c r="AG64" i="1"/>
  <c r="H62" i="9"/>
  <c r="R62" i="9" s="1"/>
  <c r="AN57" i="9"/>
  <c r="AH57" i="94"/>
  <c r="AF57" i="94" s="1"/>
  <c r="AG57" i="94" s="1"/>
  <c r="AE175" i="9"/>
  <c r="AC175" i="9" s="1"/>
  <c r="AD175" i="9" s="1"/>
  <c r="F63" i="22"/>
  <c r="X91" i="9"/>
  <c r="Z91" i="9" s="1"/>
  <c r="AQ91" i="9"/>
  <c r="D98" i="9"/>
  <c r="H98" i="9" s="1"/>
  <c r="R98" i="9" s="1"/>
  <c r="D91" i="9"/>
  <c r="J49" i="10"/>
  <c r="R49" i="10" s="1"/>
  <c r="AH47" i="10"/>
  <c r="AL47" i="10"/>
  <c r="BD143" i="1"/>
  <c r="BE143" i="1" s="1"/>
  <c r="BD153" i="1"/>
  <c r="BE153" i="1" s="1"/>
  <c r="BE123" i="1"/>
  <c r="S53" i="74"/>
  <c r="AH88" i="10"/>
  <c r="R88" i="10"/>
  <c r="H63" i="22"/>
  <c r="Z165" i="10"/>
  <c r="Z158" i="10"/>
  <c r="U36" i="11"/>
  <c r="P42" i="11"/>
  <c r="BY58" i="77"/>
  <c r="BZ58" i="77"/>
  <c r="AT82" i="77"/>
  <c r="AU82" i="77"/>
  <c r="AT89" i="77"/>
  <c r="AG102" i="1"/>
  <c r="AB133" i="1"/>
  <c r="AB123" i="1"/>
  <c r="T42" i="11"/>
  <c r="N72" i="2"/>
  <c r="N120" i="2"/>
  <c r="N76" i="2"/>
  <c r="N71" i="2"/>
  <c r="N73" i="2"/>
  <c r="BL64" i="1"/>
  <c r="BM64" i="1" s="1"/>
  <c r="H70" i="9"/>
  <c r="AR124" i="1"/>
  <c r="AR134" i="1"/>
  <c r="R90" i="10"/>
  <c r="BX80" i="77"/>
  <c r="CJ81" i="1"/>
  <c r="CK61" i="1"/>
  <c r="BT210" i="1"/>
  <c r="BN17" i="20" s="1"/>
  <c r="Y64" i="1"/>
  <c r="AD64" i="1"/>
  <c r="D119" i="9"/>
  <c r="H119" i="9" s="1"/>
  <c r="R119" i="9" s="1"/>
  <c r="X119" i="9"/>
  <c r="AQ119" i="9"/>
  <c r="D126" i="9"/>
  <c r="H126" i="9" s="1"/>
  <c r="BY59" i="77"/>
  <c r="BZ52" i="77"/>
  <c r="L162" i="10"/>
  <c r="H72" i="9"/>
  <c r="AL88" i="10"/>
  <c r="R159" i="10"/>
  <c r="AH159" i="10"/>
  <c r="AJ159" i="10" s="1"/>
  <c r="R82" i="9"/>
  <c r="G76" i="5"/>
  <c r="G91" i="5" s="1"/>
  <c r="CX59" i="20"/>
  <c r="CX81" i="20" s="1"/>
  <c r="DP73" i="20"/>
  <c r="M58" i="94"/>
  <c r="D86" i="9"/>
  <c r="D79" i="9"/>
  <c r="AR152" i="1"/>
  <c r="AR142" i="1"/>
  <c r="BQ35" i="11"/>
  <c r="BP41" i="11"/>
  <c r="BT41" i="11"/>
  <c r="H84" i="9"/>
  <c r="AP65" i="1"/>
  <c r="AH118" i="10"/>
  <c r="AJ118" i="10" s="1"/>
  <c r="AL118" i="10"/>
  <c r="R118" i="10"/>
  <c r="AU61" i="77"/>
  <c r="AT68" i="77"/>
  <c r="BH43" i="11"/>
  <c r="CA81" i="20"/>
  <c r="V152" i="10"/>
  <c r="X152" i="10" s="1"/>
  <c r="M154" i="9"/>
  <c r="M153" i="9"/>
  <c r="BF234" i="1"/>
  <c r="BA14" i="1"/>
  <c r="G38" i="15"/>
  <c r="G33" i="15"/>
  <c r="G36" i="15"/>
  <c r="G31" i="15"/>
  <c r="G27" i="15"/>
  <c r="G8" i="15"/>
  <c r="G19" i="15"/>
  <c r="CX10" i="20"/>
  <c r="G41" i="15"/>
  <c r="G74" i="15"/>
  <c r="AJ102" i="1"/>
  <c r="AK92" i="1"/>
  <c r="AL82" i="1"/>
  <c r="AK82" i="1"/>
  <c r="AP82" i="1" s="1"/>
  <c r="AE127" i="52"/>
  <c r="AE120" i="52"/>
  <c r="BL100" i="1"/>
  <c r="BL85" i="1"/>
  <c r="BM90" i="1"/>
  <c r="BM80" i="1"/>
  <c r="BL86" i="1"/>
  <c r="W241" i="5"/>
  <c r="W237" i="5"/>
  <c r="W246" i="5" s="1"/>
  <c r="V241" i="5"/>
  <c r="V237" i="5"/>
  <c r="BD42" i="11"/>
  <c r="BE36" i="11"/>
  <c r="AS65" i="9"/>
  <c r="R64" i="22"/>
  <c r="N58" i="52"/>
  <c r="AJ58" i="52"/>
  <c r="W54" i="77"/>
  <c r="T61" i="77"/>
  <c r="B76" i="9"/>
  <c r="B83" i="9" s="1"/>
  <c r="B90" i="9" s="1"/>
  <c r="B97" i="9" s="1"/>
  <c r="B104" i="9" s="1"/>
  <c r="B111" i="9" s="1"/>
  <c r="B118" i="9" s="1"/>
  <c r="B125" i="9" s="1"/>
  <c r="B132" i="9" s="1"/>
  <c r="B139" i="9" s="1"/>
  <c r="B146" i="9" s="1"/>
  <c r="B153" i="9" s="1"/>
  <c r="B160" i="9" s="1"/>
  <c r="B167" i="9" s="1"/>
  <c r="B174" i="9" s="1"/>
  <c r="B67" i="10"/>
  <c r="AW26" i="1"/>
  <c r="AW16" i="1"/>
  <c r="BL133" i="1"/>
  <c r="BL123" i="1"/>
  <c r="X125" i="9"/>
  <c r="AQ125" i="9"/>
  <c r="D125" i="9"/>
  <c r="H125" i="9" s="1"/>
  <c r="R125" i="9" s="1"/>
  <c r="Z5" i="2"/>
  <c r="AB5" i="2" s="1"/>
  <c r="AD5" i="2" s="1"/>
  <c r="AF5" i="2" s="1"/>
  <c r="AH5" i="2" s="1"/>
  <c r="AJ5" i="2" s="1"/>
  <c r="AL5" i="2" s="1"/>
  <c r="AN5" i="2" s="1"/>
  <c r="AP5" i="2" s="1"/>
  <c r="AR5" i="2" s="1"/>
  <c r="AT5" i="2" s="1"/>
  <c r="AV5" i="2" s="1"/>
  <c r="AX5" i="2" s="1"/>
  <c r="AZ5" i="2" s="1"/>
  <c r="BB5" i="2" s="1"/>
  <c r="BD5" i="2" s="1"/>
  <c r="BF5" i="2" s="1"/>
  <c r="X6" i="3"/>
  <c r="Z6" i="3" s="1"/>
  <c r="AB6" i="3" s="1"/>
  <c r="AD6" i="3" s="1"/>
  <c r="AF6" i="3" s="1"/>
  <c r="AH6" i="3" s="1"/>
  <c r="AJ6" i="3" s="1"/>
  <c r="AL6" i="3" s="1"/>
  <c r="AN6" i="3" s="1"/>
  <c r="AP6" i="3" s="1"/>
  <c r="AR6" i="3" s="1"/>
  <c r="AT6" i="3" s="1"/>
  <c r="AV6" i="3" s="1"/>
  <c r="AX6" i="3" s="1"/>
  <c r="AZ6" i="3" s="1"/>
  <c r="BB6" i="3" s="1"/>
  <c r="BD6" i="3" s="1"/>
  <c r="BF6" i="3" s="1"/>
  <c r="BD43" i="11"/>
  <c r="BI37" i="11"/>
  <c r="BE37" i="11"/>
  <c r="AP63" i="1"/>
  <c r="BX210" i="1"/>
  <c r="BS17" i="20" s="1"/>
  <c r="BS33" i="20" s="1"/>
  <c r="P118" i="9"/>
  <c r="X118" i="9"/>
  <c r="Z118" i="9" s="1"/>
  <c r="J91" i="10"/>
  <c r="AL91" i="10" s="1"/>
  <c r="O28" i="15"/>
  <c r="AN103" i="10"/>
  <c r="AL102" i="10"/>
  <c r="AL105" i="10"/>
  <c r="AN102" i="10"/>
  <c r="AN105" i="10"/>
  <c r="AL104" i="10"/>
  <c r="BX83" i="1"/>
  <c r="BX84" i="1" s="1"/>
  <c r="BZ63" i="1"/>
  <c r="BY63" i="1"/>
  <c r="BX64" i="1"/>
  <c r="BX61" i="77"/>
  <c r="CC81" i="1"/>
  <c r="CC91" i="1"/>
  <c r="BH40" i="11"/>
  <c r="BI34" i="11"/>
  <c r="T139" i="10"/>
  <c r="R140" i="10"/>
  <c r="F141" i="10"/>
  <c r="AL120" i="52"/>
  <c r="AI127" i="52"/>
  <c r="AB128" i="52"/>
  <c r="AJ128" i="52"/>
  <c r="AF128" i="52"/>
  <c r="T43" i="11"/>
  <c r="U37" i="11"/>
  <c r="L113" i="10"/>
  <c r="AN104" i="10"/>
  <c r="L64" i="22"/>
  <c r="U46" i="15"/>
  <c r="M6" i="73"/>
  <c r="DL10" i="20"/>
  <c r="DL40" i="20" s="1"/>
  <c r="AU160" i="9"/>
  <c r="Z168" i="9"/>
  <c r="AH48" i="10"/>
  <c r="AL48" i="10"/>
  <c r="R48" i="10"/>
  <c r="Q36" i="11"/>
  <c r="AD18" i="11"/>
  <c r="AD30" i="11"/>
  <c r="AD36" i="11" s="1"/>
  <c r="AD12" i="11"/>
  <c r="AD24" i="11"/>
  <c r="L56" i="10"/>
  <c r="D69" i="52"/>
  <c r="J69" i="52" s="1"/>
  <c r="AO85" i="52"/>
  <c r="AM85" i="52"/>
  <c r="AL86" i="52"/>
  <c r="AM93" i="52" s="1"/>
  <c r="AL79" i="52"/>
  <c r="AM86" i="52" s="1"/>
  <c r="AO92" i="52"/>
  <c r="AM92" i="52"/>
  <c r="AN92" i="52"/>
  <c r="AN86" i="52"/>
  <c r="I54" i="52"/>
  <c r="AO36" i="52"/>
  <c r="AM36" i="52"/>
  <c r="G61" i="52"/>
  <c r="K200" i="5"/>
  <c r="AJ90" i="9"/>
  <c r="I200" i="5"/>
  <c r="AL82" i="9"/>
  <c r="AB80" i="10"/>
  <c r="AD80" i="10" s="1"/>
  <c r="Q204" i="5"/>
  <c r="AF88" i="10"/>
  <c r="AJ91" i="9"/>
  <c r="AH80" i="20"/>
  <c r="AB80" i="20"/>
  <c r="AF95" i="10"/>
  <c r="L66" i="5"/>
  <c r="L200" i="5" s="1"/>
  <c r="DJ14" i="20"/>
  <c r="DJ39" i="20" s="1"/>
  <c r="CJ39" i="20"/>
  <c r="BM67" i="20"/>
  <c r="CG40" i="20"/>
  <c r="BC18" i="20"/>
  <c r="BC53" i="20" s="1"/>
  <c r="BK18" i="20"/>
  <c r="BK33" i="20" s="1"/>
  <c r="CC18" i="20"/>
  <c r="CG52" i="20"/>
  <c r="P39" i="20"/>
  <c r="CA67" i="20"/>
  <c r="L90" i="73"/>
  <c r="M116" i="73" s="1"/>
  <c r="L30" i="73"/>
  <c r="BM51" i="1"/>
  <c r="BD55" i="1"/>
  <c r="M10" i="73"/>
  <c r="M29" i="73" s="1"/>
  <c r="M152" i="73" s="1"/>
  <c r="M150" i="73" s="1"/>
  <c r="BM53" i="1"/>
  <c r="CK50" i="1"/>
  <c r="CJ56" i="1"/>
  <c r="CK56" i="1" s="1"/>
  <c r="CJ55" i="1"/>
  <c r="CK55" i="1" s="1"/>
  <c r="J43" i="52"/>
  <c r="BJ51" i="1"/>
  <c r="BB53" i="1"/>
  <c r="BL56" i="1"/>
  <c r="BM56" i="1" s="1"/>
  <c r="L129" i="73"/>
  <c r="L37" i="73"/>
  <c r="AZ56" i="1"/>
  <c r="AN82" i="2"/>
  <c r="J50" i="52"/>
  <c r="AN71" i="2"/>
  <c r="AN120" i="2"/>
  <c r="BF51" i="1"/>
  <c r="AN72" i="2"/>
  <c r="AR16" i="20"/>
  <c r="CU40" i="20"/>
  <c r="CU18" i="20"/>
  <c r="CU41" i="20" s="1"/>
  <c r="J103" i="52"/>
  <c r="DK40" i="20"/>
  <c r="G63" i="73"/>
  <c r="G103" i="73" s="1"/>
  <c r="G142" i="73"/>
  <c r="H136" i="73"/>
  <c r="H57" i="73"/>
  <c r="H97" i="73"/>
  <c r="AV56" i="1"/>
  <c r="AH16" i="20"/>
  <c r="AX51" i="1"/>
  <c r="AW51" i="1"/>
  <c r="AV55" i="1"/>
  <c r="CF56" i="1"/>
  <c r="CG51" i="1"/>
  <c r="AN16" i="20"/>
  <c r="BA52" i="1"/>
  <c r="I153" i="5"/>
  <c r="I154" i="5" s="1"/>
  <c r="I62" i="15"/>
  <c r="D99" i="52"/>
  <c r="J99" i="52" s="1"/>
  <c r="D98" i="52"/>
  <c r="D97" i="52"/>
  <c r="J97" i="52" s="1"/>
  <c r="K97" i="52" s="1"/>
  <c r="D96" i="52"/>
  <c r="F51" i="73"/>
  <c r="F91" i="73"/>
  <c r="F130" i="73"/>
  <c r="BH56" i="1"/>
  <c r="BI56" i="1" s="1"/>
  <c r="BI50" i="1"/>
  <c r="BN50" i="1" s="1"/>
  <c r="BR50" i="1" s="1"/>
  <c r="BV50" i="1" s="1"/>
  <c r="BZ50" i="1" s="1"/>
  <c r="CD50" i="1" s="1"/>
  <c r="CH50" i="1" s="1"/>
  <c r="DA52" i="20"/>
  <c r="DK18" i="20"/>
  <c r="F98" i="73"/>
  <c r="AZ55" i="1"/>
  <c r="L45" i="73"/>
  <c r="L69" i="73" s="1"/>
  <c r="CB55" i="1"/>
  <c r="CC55" i="1" s="1"/>
  <c r="E76" i="15"/>
  <c r="E68" i="15"/>
  <c r="AT52" i="1"/>
  <c r="Y16" i="20"/>
  <c r="AO52" i="1"/>
  <c r="BE50" i="1"/>
  <c r="AQ16" i="20"/>
  <c r="BF50" i="1"/>
  <c r="D45" i="73"/>
  <c r="J51" i="73"/>
  <c r="J130" i="73"/>
  <c r="J91" i="73"/>
  <c r="F87" i="73"/>
  <c r="F126" i="73"/>
  <c r="F47" i="73"/>
  <c r="D67" i="15"/>
  <c r="D153" i="5"/>
  <c r="D154" i="5" s="1"/>
  <c r="D62" i="15"/>
  <c r="D62" i="52"/>
  <c r="J62" i="52" s="1"/>
  <c r="D61" i="52"/>
  <c r="J61" i="52" s="1"/>
  <c r="D64" i="52"/>
  <c r="J64" i="52" s="1"/>
  <c r="D63" i="52"/>
  <c r="J63" i="52" s="1"/>
  <c r="O54" i="73"/>
  <c r="O94" i="73"/>
  <c r="O133" i="73"/>
  <c r="D111" i="52"/>
  <c r="J111" i="52" s="1"/>
  <c r="K118" i="52" s="1"/>
  <c r="D110" i="52"/>
  <c r="J110" i="52" s="1"/>
  <c r="D113" i="52"/>
  <c r="J113" i="52" s="1"/>
  <c r="D112" i="52"/>
  <c r="J112" i="52" s="1"/>
  <c r="CF55" i="1"/>
  <c r="CG55" i="1" s="1"/>
  <c r="CG50" i="1"/>
  <c r="D136" i="73"/>
  <c r="D97" i="73"/>
  <c r="D57" i="73"/>
  <c r="K91" i="73"/>
  <c r="K130" i="73"/>
  <c r="K51" i="73"/>
  <c r="AF73" i="2"/>
  <c r="AF82" i="2"/>
  <c r="AF71" i="2"/>
  <c r="AF76" i="2"/>
  <c r="AF120" i="2"/>
  <c r="AF72" i="2"/>
  <c r="C45" i="73"/>
  <c r="C69" i="73" s="1"/>
  <c r="C85" i="73"/>
  <c r="C89" i="73" s="1"/>
  <c r="C108" i="73" s="1"/>
  <c r="AJ16" i="20"/>
  <c r="AX53" i="1"/>
  <c r="AW53" i="1"/>
  <c r="AS16" i="20"/>
  <c r="BE52" i="1"/>
  <c r="BF52" i="1"/>
  <c r="DJ52" i="20"/>
  <c r="F58" i="73"/>
  <c r="L124" i="73"/>
  <c r="F63" i="73"/>
  <c r="F103" i="73" s="1"/>
  <c r="P130" i="73"/>
  <c r="P51" i="73"/>
  <c r="DB14" i="20"/>
  <c r="BI51" i="1"/>
  <c r="BN51" i="1" s="1"/>
  <c r="AW16" i="20"/>
  <c r="G45" i="73"/>
  <c r="G30" i="73"/>
  <c r="C98" i="73"/>
  <c r="C58" i="73"/>
  <c r="C137" i="73"/>
  <c r="AP120" i="2"/>
  <c r="B62" i="15"/>
  <c r="B67" i="15"/>
  <c r="B153" i="5"/>
  <c r="B154" i="5" s="1"/>
  <c r="G10" i="73"/>
  <c r="G29" i="73" s="1"/>
  <c r="DG42" i="20"/>
  <c r="C124" i="73"/>
  <c r="C128" i="73" s="1"/>
  <c r="C150" i="73" s="1"/>
  <c r="M35" i="73"/>
  <c r="M167" i="73" s="1"/>
  <c r="M165" i="73" s="1"/>
  <c r="BJ50" i="1"/>
  <c r="DQ20" i="20"/>
  <c r="R15" i="73"/>
  <c r="BI52" i="1"/>
  <c r="BN52" i="1" s="1"/>
  <c r="BR52" i="1" s="1"/>
  <c r="AX16" i="20"/>
  <c r="BJ52" i="1"/>
  <c r="P63" i="73"/>
  <c r="P144" i="73"/>
  <c r="P142" i="73" s="1"/>
  <c r="BB52" i="1"/>
  <c r="BB51" i="1"/>
  <c r="AM16" i="20"/>
  <c r="AT56" i="1"/>
  <c r="AO56" i="1"/>
  <c r="BA50" i="1"/>
  <c r="AL16" i="20"/>
  <c r="BB50" i="1"/>
  <c r="BI53" i="1"/>
  <c r="BN53" i="1" s="1"/>
  <c r="AY16" i="20"/>
  <c r="AO53" i="1"/>
  <c r="AT53" i="1"/>
  <c r="Z16" i="20"/>
  <c r="DK49" i="20"/>
  <c r="DC49" i="20"/>
  <c r="H47" i="73"/>
  <c r="H126" i="73"/>
  <c r="H87" i="73"/>
  <c r="L130" i="73"/>
  <c r="L91" i="73"/>
  <c r="L51" i="73"/>
  <c r="H85" i="73"/>
  <c r="H45" i="73"/>
  <c r="H10" i="73"/>
  <c r="H29" i="73" s="1"/>
  <c r="H124" i="73"/>
  <c r="H165" i="73" s="1"/>
  <c r="H35" i="73"/>
  <c r="D68" i="52"/>
  <c r="J68" i="52" s="1"/>
  <c r="D70" i="52"/>
  <c r="J70" i="52" s="1"/>
  <c r="DB40" i="20"/>
  <c r="C10" i="73"/>
  <c r="C13" i="73" s="1"/>
  <c r="G85" i="73"/>
  <c r="G109" i="73" s="1"/>
  <c r="BH55" i="1"/>
  <c r="BI55" i="1" s="1"/>
  <c r="BN55" i="1" s="1"/>
  <c r="X20" i="15"/>
  <c r="P20" i="15"/>
  <c r="CR56" i="1"/>
  <c r="CR55" i="1"/>
  <c r="W178" i="5"/>
  <c r="AG120" i="9"/>
  <c r="BD80" i="20" s="1"/>
  <c r="W116" i="5"/>
  <c r="W181" i="5" s="1"/>
  <c r="W182" i="5" s="1"/>
  <c r="DG66" i="20"/>
  <c r="V117" i="5"/>
  <c r="V161" i="5"/>
  <c r="DM69" i="20" s="1"/>
  <c r="P161" i="5"/>
  <c r="DG69" i="20" s="1"/>
  <c r="AF85" i="5"/>
  <c r="F91" i="5"/>
  <c r="F92" i="5" s="1"/>
  <c r="P86" i="52"/>
  <c r="O173" i="52" s="1"/>
  <c r="S131" i="5"/>
  <c r="S88" i="5" s="1"/>
  <c r="S85" i="5" s="1"/>
  <c r="S94" i="5" s="1"/>
  <c r="DM80" i="20"/>
  <c r="DD66" i="20"/>
  <c r="W129" i="5"/>
  <c r="S183" i="5"/>
  <c r="S184" i="5" s="1"/>
  <c r="P86" i="5"/>
  <c r="P151" i="5" s="1"/>
  <c r="G169" i="73"/>
  <c r="J48" i="52"/>
  <c r="K48" i="52" s="1"/>
  <c r="J36" i="52"/>
  <c r="I69" i="52"/>
  <c r="I62" i="52"/>
  <c r="J47" i="52"/>
  <c r="K47" i="52" s="1"/>
  <c r="Y231" i="5"/>
  <c r="Y232" i="5" s="1"/>
  <c r="Z221" i="5"/>
  <c r="Z224" i="5" s="1"/>
  <c r="DQ73" i="20" s="1"/>
  <c r="L94" i="5"/>
  <c r="V94" i="5"/>
  <c r="W86" i="5"/>
  <c r="W24" i="15" s="1"/>
  <c r="M86" i="5"/>
  <c r="Q89" i="5"/>
  <c r="DH65" i="20"/>
  <c r="DN66" i="20"/>
  <c r="L161" i="5"/>
  <c r="DC69" i="20" s="1"/>
  <c r="F94" i="5"/>
  <c r="G86" i="5"/>
  <c r="G151" i="5" s="1"/>
  <c r="AT39" i="20"/>
  <c r="BV66" i="20"/>
  <c r="CE52" i="20"/>
  <c r="AY18" i="20"/>
  <c r="AY21" i="20" s="1"/>
  <c r="AY44" i="20" s="1"/>
  <c r="CF18" i="20"/>
  <c r="CF21" i="20" s="1"/>
  <c r="CF44" i="20" s="1"/>
  <c r="CF82" i="20" s="1"/>
  <c r="CE67" i="20"/>
  <c r="AC21" i="20"/>
  <c r="AC43" i="20" s="1"/>
  <c r="CH67" i="20"/>
  <c r="DB49" i="20"/>
  <c r="D39" i="20"/>
  <c r="BW67" i="20"/>
  <c r="AC33" i="20"/>
  <c r="AC46" i="20" s="1"/>
  <c r="BK67" i="20"/>
  <c r="CJ52" i="20"/>
  <c r="CG67" i="20"/>
  <c r="H39" i="20"/>
  <c r="H18" i="20"/>
  <c r="AE18" i="20"/>
  <c r="AG18" i="20"/>
  <c r="AG21" i="20" s="1"/>
  <c r="BS39" i="20"/>
  <c r="DJ49" i="20"/>
  <c r="DJ40" i="20"/>
  <c r="DF42" i="20"/>
  <c r="AI39" i="20"/>
  <c r="U18" i="20"/>
  <c r="U21" i="20" s="1"/>
  <c r="U44" i="20" s="1"/>
  <c r="BW18" i="20"/>
  <c r="BW39" i="20"/>
  <c r="BB52" i="20"/>
  <c r="AJ18" i="20"/>
  <c r="AJ33" i="20" s="1"/>
  <c r="AW40" i="20"/>
  <c r="AL18" i="20"/>
  <c r="CT39" i="20"/>
  <c r="BG18" i="20"/>
  <c r="BG41" i="20" s="1"/>
  <c r="BV33" i="20"/>
  <c r="BV46" i="20" s="1"/>
  <c r="BV21" i="20"/>
  <c r="AV18" i="20"/>
  <c r="AV21" i="20" s="1"/>
  <c r="AV43" i="20" s="1"/>
  <c r="AQ18" i="20"/>
  <c r="AQ21" i="20" s="1"/>
  <c r="BQ18" i="20"/>
  <c r="BQ21" i="20" s="1"/>
  <c r="G110" i="52"/>
  <c r="T187" i="5"/>
  <c r="T188" i="5" s="1"/>
  <c r="AX127" i="9"/>
  <c r="H40" i="52"/>
  <c r="I47" i="52" s="1"/>
  <c r="G133" i="52"/>
  <c r="G75" i="73"/>
  <c r="Y106" i="5"/>
  <c r="Y173" i="5" s="1"/>
  <c r="G54" i="52"/>
  <c r="U187" i="5"/>
  <c r="V122" i="5"/>
  <c r="V123" i="5" s="1"/>
  <c r="U123" i="5"/>
  <c r="L113" i="2"/>
  <c r="T123" i="5"/>
  <c r="AG117" i="9"/>
  <c r="BA80" i="20" s="1"/>
  <c r="X173" i="5"/>
  <c r="X174" i="5" s="1"/>
  <c r="S168" i="5"/>
  <c r="DN80" i="20"/>
  <c r="G47" i="52"/>
  <c r="AJ96" i="9"/>
  <c r="AS96" i="9" s="1"/>
  <c r="G48" i="52"/>
  <c r="AB105" i="10"/>
  <c r="AD105" i="10" s="1"/>
  <c r="AF112" i="10" s="1"/>
  <c r="H117" i="52"/>
  <c r="I117" i="52" s="1"/>
  <c r="AJ110" i="9"/>
  <c r="AJ97" i="9"/>
  <c r="AS97" i="9" s="1"/>
  <c r="AL80" i="20"/>
  <c r="AJ113" i="9"/>
  <c r="L109" i="2"/>
  <c r="L121" i="2" s="1"/>
  <c r="P106" i="2"/>
  <c r="R106" i="2" s="1"/>
  <c r="T106" i="2" s="1"/>
  <c r="F58" i="52"/>
  <c r="J58" i="52" s="1"/>
  <c r="W58" i="52" s="1"/>
  <c r="AN41" i="94"/>
  <c r="AP41" i="94" s="1"/>
  <c r="U247" i="5"/>
  <c r="AL38" i="94"/>
  <c r="AN45" i="94" s="1"/>
  <c r="AP45" i="94" s="1"/>
  <c r="V221" i="5"/>
  <c r="V231" i="5"/>
  <c r="U231" i="5"/>
  <c r="AW43" i="94"/>
  <c r="X234" i="5"/>
  <c r="I38" i="94"/>
  <c r="W15" i="5"/>
  <c r="W234" i="5"/>
  <c r="G94" i="5"/>
  <c r="T174" i="5"/>
  <c r="AJ84" i="9"/>
  <c r="AL85" i="9"/>
  <c r="AN85" i="9" s="1"/>
  <c r="J115" i="73"/>
  <c r="AJ98" i="9"/>
  <c r="H32" i="5"/>
  <c r="H61" i="5" s="1"/>
  <c r="AC80" i="20"/>
  <c r="AJ83" i="9"/>
  <c r="I62" i="5"/>
  <c r="CZ60" i="20" s="1"/>
  <c r="H94" i="5"/>
  <c r="AB87" i="10"/>
  <c r="AD87" i="10" s="1"/>
  <c r="AJ89" i="9"/>
  <c r="AG80" i="20"/>
  <c r="U126" i="5"/>
  <c r="V126" i="5" s="1"/>
  <c r="AB96" i="10"/>
  <c r="AD96" i="10" s="1"/>
  <c r="AF96" i="10" s="1"/>
  <c r="R89" i="5"/>
  <c r="R85" i="5"/>
  <c r="R86" i="5" s="1"/>
  <c r="AI127" i="9"/>
  <c r="AB126" i="10" s="1"/>
  <c r="AD126" i="10" s="1"/>
  <c r="AG127" i="9"/>
  <c r="DI65" i="20"/>
  <c r="G55" i="52"/>
  <c r="J71" i="52"/>
  <c r="H103" i="52"/>
  <c r="I110" i="52" s="1"/>
  <c r="G62" i="52"/>
  <c r="L153" i="5"/>
  <c r="L154" i="5" s="1"/>
  <c r="L67" i="15"/>
  <c r="L62" i="15"/>
  <c r="Y97" i="5"/>
  <c r="H131" i="52"/>
  <c r="G131" i="52"/>
  <c r="J131" i="52"/>
  <c r="K138" i="52" s="1"/>
  <c r="R83" i="89"/>
  <c r="Q119" i="89"/>
  <c r="R118" i="89"/>
  <c r="I126" i="73"/>
  <c r="I47" i="73"/>
  <c r="I87" i="73"/>
  <c r="BY60" i="77"/>
  <c r="BY67" i="77"/>
  <c r="BZ60" i="77"/>
  <c r="J119" i="89"/>
  <c r="I85" i="89"/>
  <c r="J120" i="89" s="1"/>
  <c r="BG31" i="20"/>
  <c r="Y35" i="11"/>
  <c r="U35" i="11"/>
  <c r="X41" i="11"/>
  <c r="T41" i="11"/>
  <c r="U153" i="5"/>
  <c r="U105" i="15"/>
  <c r="U62" i="15"/>
  <c r="CK93" i="1"/>
  <c r="CJ103" i="1"/>
  <c r="CK83" i="1"/>
  <c r="CP83" i="1"/>
  <c r="BG16" i="20"/>
  <c r="BQ51" i="1"/>
  <c r="BR51" i="1"/>
  <c r="BV51" i="1" s="1"/>
  <c r="BZ51" i="1" s="1"/>
  <c r="CD51" i="1" s="1"/>
  <c r="CH51" i="1" s="1"/>
  <c r="BP55" i="1"/>
  <c r="BP56" i="1"/>
  <c r="CC65" i="1"/>
  <c r="CH65" i="1"/>
  <c r="T105" i="15"/>
  <c r="T62" i="15"/>
  <c r="T153" i="5"/>
  <c r="DF52" i="20"/>
  <c r="BM55" i="1"/>
  <c r="CE18" i="20"/>
  <c r="CE39" i="20"/>
  <c r="I56" i="52"/>
  <c r="H124" i="52"/>
  <c r="F128" i="52"/>
  <c r="AS39" i="20"/>
  <c r="AS18" i="20"/>
  <c r="AX53" i="20" s="1"/>
  <c r="Y39" i="20"/>
  <c r="Y18" i="20"/>
  <c r="Y21" i="20" s="1"/>
  <c r="B134" i="89"/>
  <c r="C134" i="89"/>
  <c r="S13" i="74"/>
  <c r="BU42" i="20"/>
  <c r="T31" i="20"/>
  <c r="AJ193" i="1"/>
  <c r="P145" i="9"/>
  <c r="R145" i="9" s="1"/>
  <c r="P152" i="9"/>
  <c r="R152" i="9" s="1"/>
  <c r="N149" i="9"/>
  <c r="X145" i="9"/>
  <c r="CG66" i="1"/>
  <c r="CL66" i="1"/>
  <c r="M104" i="1"/>
  <c r="H135" i="1"/>
  <c r="M135" i="1" s="1"/>
  <c r="CO61" i="1"/>
  <c r="BX87" i="77"/>
  <c r="CN65" i="1"/>
  <c r="CO65" i="1" s="1"/>
  <c r="CN81" i="1"/>
  <c r="CN66" i="1"/>
  <c r="CO66" i="1" s="1"/>
  <c r="CP61" i="1"/>
  <c r="CN64" i="1"/>
  <c r="BA27" i="98" s="1"/>
  <c r="L76" i="73"/>
  <c r="AJ56" i="22"/>
  <c r="AN99" i="52"/>
  <c r="AM99" i="52"/>
  <c r="BD144" i="1"/>
  <c r="BE124" i="1"/>
  <c r="BD154" i="1"/>
  <c r="AB144" i="1"/>
  <c r="O8" i="73"/>
  <c r="AT67" i="2"/>
  <c r="W13" i="15"/>
  <c r="W20" i="15" s="1"/>
  <c r="AR67" i="2"/>
  <c r="DN12" i="20"/>
  <c r="DN14" i="20" s="1"/>
  <c r="N18" i="73"/>
  <c r="AF70" i="15"/>
  <c r="DM23" i="20"/>
  <c r="AR233" i="1"/>
  <c r="AT228" i="1"/>
  <c r="AX228" i="1"/>
  <c r="N24" i="15"/>
  <c r="C94" i="73"/>
  <c r="C54" i="73"/>
  <c r="C133" i="73"/>
  <c r="O121" i="89"/>
  <c r="AQ121" i="9"/>
  <c r="D128" i="9"/>
  <c r="D121" i="9"/>
  <c r="H121" i="9" s="1"/>
  <c r="H61" i="9"/>
  <c r="AF86" i="2"/>
  <c r="AW86" i="1"/>
  <c r="AW96" i="1"/>
  <c r="BB86" i="1"/>
  <c r="X139" i="9"/>
  <c r="P146" i="9"/>
  <c r="R146" i="9" s="1"/>
  <c r="P139" i="9"/>
  <c r="AQ105" i="9"/>
  <c r="X105" i="9"/>
  <c r="Z105" i="9" s="1"/>
  <c r="D112" i="9"/>
  <c r="H112" i="9" s="1"/>
  <c r="R112" i="9" s="1"/>
  <c r="D105" i="9"/>
  <c r="H105" i="9" s="1"/>
  <c r="R105" i="9" s="1"/>
  <c r="AN132" i="1"/>
  <c r="AN122" i="1"/>
  <c r="AS101" i="1"/>
  <c r="AO34" i="11"/>
  <c r="AN40" i="11"/>
  <c r="AK34" i="11"/>
  <c r="AJ40" i="11"/>
  <c r="BZ88" i="77"/>
  <c r="F69" i="2"/>
  <c r="F8" i="3" s="1"/>
  <c r="F15" i="3" s="1"/>
  <c r="F34" i="3" s="1"/>
  <c r="F58" i="3" s="1"/>
  <c r="F62" i="3" s="1"/>
  <c r="C77" i="15"/>
  <c r="C79" i="15"/>
  <c r="Z64" i="22"/>
  <c r="Z58" i="22"/>
  <c r="S64" i="15"/>
  <c r="S67" i="15" s="1"/>
  <c r="BU74" i="1"/>
  <c r="AN232" i="1"/>
  <c r="BP85" i="1"/>
  <c r="BP84" i="1"/>
  <c r="BV80" i="1"/>
  <c r="BP100" i="1"/>
  <c r="BQ90" i="1"/>
  <c r="BQ80" i="1"/>
  <c r="BP86" i="1"/>
  <c r="BR80" i="1"/>
  <c r="R65" i="77"/>
  <c r="N72" i="77"/>
  <c r="Y65" i="77"/>
  <c r="BQ64" i="1"/>
  <c r="BV64" i="1"/>
  <c r="BX48" i="77"/>
  <c r="BR64" i="1"/>
  <c r="BA95" i="1"/>
  <c r="BA85" i="1"/>
  <c r="X86" i="9"/>
  <c r="P86" i="9"/>
  <c r="BM96" i="77"/>
  <c r="BA96" i="77"/>
  <c r="BB96" i="77" s="1"/>
  <c r="DE66" i="20"/>
  <c r="DE80" i="20"/>
  <c r="T81" i="89"/>
  <c r="S117" i="89"/>
  <c r="BQ230" i="1"/>
  <c r="N135" i="52"/>
  <c r="AJ135" i="52"/>
  <c r="AB135" i="52"/>
  <c r="AF135" i="52"/>
  <c r="N68" i="77"/>
  <c r="R61" i="77"/>
  <c r="Y61" i="77"/>
  <c r="N62" i="77"/>
  <c r="D134" i="52"/>
  <c r="J134" i="52" s="1"/>
  <c r="CH17" i="20"/>
  <c r="BN41" i="20"/>
  <c r="BN33" i="20"/>
  <c r="BN46" i="20" s="1"/>
  <c r="H119" i="2"/>
  <c r="T80" i="89"/>
  <c r="S116" i="89"/>
  <c r="C18" i="20"/>
  <c r="C39" i="20"/>
  <c r="AJ100" i="1"/>
  <c r="AK90" i="1"/>
  <c r="AJ85" i="1"/>
  <c r="AJ86" i="1"/>
  <c r="AK80" i="1"/>
  <c r="AP80" i="1" s="1"/>
  <c r="AJ84" i="1"/>
  <c r="AL80" i="1"/>
  <c r="BJ66" i="1"/>
  <c r="BE66" i="1"/>
  <c r="BF66" i="1"/>
  <c r="AO99" i="52"/>
  <c r="AH71" i="3"/>
  <c r="AH72" i="3" s="1"/>
  <c r="AJ75" i="3"/>
  <c r="O153" i="5"/>
  <c r="O154" i="5" s="1"/>
  <c r="O105" i="15"/>
  <c r="O62" i="15"/>
  <c r="O67" i="15"/>
  <c r="BT181" i="1"/>
  <c r="BT190" i="1"/>
  <c r="BN31" i="20" s="1"/>
  <c r="AM111" i="52"/>
  <c r="AM104" i="52"/>
  <c r="AN104" i="52"/>
  <c r="Y96" i="1"/>
  <c r="AD86" i="1"/>
  <c r="CK36" i="1"/>
  <c r="CN131" i="1"/>
  <c r="CN121" i="1"/>
  <c r="AL163" i="9"/>
  <c r="AN163" i="9" s="1"/>
  <c r="AL170" i="9"/>
  <c r="K37" i="73"/>
  <c r="J129" i="73"/>
  <c r="J50" i="73"/>
  <c r="K76" i="73" s="1"/>
  <c r="J90" i="73"/>
  <c r="AL134" i="10"/>
  <c r="R134" i="10"/>
  <c r="P74" i="73"/>
  <c r="P166" i="73" s="1"/>
  <c r="CN134" i="1"/>
  <c r="CN124" i="1"/>
  <c r="CN144" i="1" s="1"/>
  <c r="Z18" i="20"/>
  <c r="Z41" i="20" s="1"/>
  <c r="R41" i="20"/>
  <c r="R21" i="20"/>
  <c r="R43" i="20" s="1"/>
  <c r="S182" i="5"/>
  <c r="DA12" i="20"/>
  <c r="DA14" i="20" s="1"/>
  <c r="DA39" i="20" s="1"/>
  <c r="J61" i="15"/>
  <c r="J13" i="15"/>
  <c r="J20" i="15" s="1"/>
  <c r="AD50" i="94"/>
  <c r="AA168" i="9"/>
  <c r="CG26" i="1"/>
  <c r="CG56" i="1"/>
  <c r="L120" i="89"/>
  <c r="L86" i="89"/>
  <c r="L87" i="89" s="1"/>
  <c r="L88" i="89" s="1"/>
  <c r="M119" i="89"/>
  <c r="F118" i="2"/>
  <c r="F112" i="2"/>
  <c r="BX55" i="1"/>
  <c r="BY51" i="1"/>
  <c r="BQ16" i="20" s="1"/>
  <c r="BX56" i="1"/>
  <c r="Z144" i="10"/>
  <c r="Z137" i="10"/>
  <c r="X70" i="9"/>
  <c r="Z70" i="9" s="1"/>
  <c r="AJ230" i="1"/>
  <c r="AL230" i="1" s="1"/>
  <c r="P70" i="9"/>
  <c r="R70" i="9" s="1"/>
  <c r="N72" i="9"/>
  <c r="CK39" i="20"/>
  <c r="CK18" i="20"/>
  <c r="CK21" i="20" s="1"/>
  <c r="BU53" i="1"/>
  <c r="BN16" i="20" s="1"/>
  <c r="AW212" i="1"/>
  <c r="BC76" i="77"/>
  <c r="BO76" i="77"/>
  <c r="V18" i="5"/>
  <c r="BE134" i="1"/>
  <c r="G89" i="73"/>
  <c r="AQ135" i="9"/>
  <c r="D142" i="9"/>
  <c r="H142" i="9" s="1"/>
  <c r="Z119" i="9"/>
  <c r="AL113" i="10"/>
  <c r="R113" i="10"/>
  <c r="BA59" i="20" s="1"/>
  <c r="W160" i="5"/>
  <c r="DN68" i="20" s="1"/>
  <c r="W9" i="5"/>
  <c r="W94" i="5"/>
  <c r="N94" i="73"/>
  <c r="N54" i="73"/>
  <c r="N133" i="73"/>
  <c r="O122" i="89"/>
  <c r="O87" i="89"/>
  <c r="DO40" i="20"/>
  <c r="BE55" i="1"/>
  <c r="K87" i="89"/>
  <c r="DJ31" i="1"/>
  <c r="DJ32" i="1"/>
  <c r="L107" i="15"/>
  <c r="L17" i="15"/>
  <c r="X68" i="2"/>
  <c r="X75" i="2" s="1"/>
  <c r="DC15" i="20"/>
  <c r="DC18" i="20" s="1"/>
  <c r="D11" i="73"/>
  <c r="L16" i="15"/>
  <c r="M17" i="15"/>
  <c r="BU52" i="1"/>
  <c r="BM16" i="20" s="1"/>
  <c r="BV52" i="1"/>
  <c r="BZ52" i="1" s="1"/>
  <c r="CD52" i="1" s="1"/>
  <c r="CH52" i="1" s="1"/>
  <c r="CC17" i="20"/>
  <c r="D127" i="52"/>
  <c r="J127" i="52" s="1"/>
  <c r="BP192" i="1"/>
  <c r="BT152" i="1"/>
  <c r="BT142" i="1"/>
  <c r="CL34" i="1"/>
  <c r="CK34" i="1"/>
  <c r="AP135" i="52"/>
  <c r="W15" i="15"/>
  <c r="W61" i="15" s="1"/>
  <c r="CP34" i="1"/>
  <c r="L43" i="11"/>
  <c r="H43" i="11"/>
  <c r="I37" i="11"/>
  <c r="M37" i="11"/>
  <c r="DO49" i="20"/>
  <c r="DO42" i="20"/>
  <c r="DO14" i="20"/>
  <c r="AN106" i="1"/>
  <c r="AS100" i="1"/>
  <c r="AN105" i="1"/>
  <c r="AN121" i="1"/>
  <c r="AN131" i="1"/>
  <c r="S62" i="15"/>
  <c r="S153" i="5"/>
  <c r="S105" i="15"/>
  <c r="CL39" i="20"/>
  <c r="BV67" i="20"/>
  <c r="BQ67" i="20"/>
  <c r="N114" i="52"/>
  <c r="AF114" i="52"/>
  <c r="AJ114" i="52"/>
  <c r="AB114" i="52"/>
  <c r="CD65" i="1"/>
  <c r="BY65" i="1"/>
  <c r="T17" i="20"/>
  <c r="AO209" i="1"/>
  <c r="AJ210" i="1"/>
  <c r="AJ213" i="1"/>
  <c r="AO213" i="1" s="1"/>
  <c r="H51" i="73"/>
  <c r="H130" i="73"/>
  <c r="H91" i="73"/>
  <c r="BF24" i="1"/>
  <c r="DA40" i="20"/>
  <c r="BU51" i="1"/>
  <c r="BL16" i="20" s="1"/>
  <c r="BL189" i="1"/>
  <c r="BC31" i="20" s="1"/>
  <c r="BL183" i="1"/>
  <c r="BL180" i="1"/>
  <c r="BL190" i="1" s="1"/>
  <c r="BD31" i="20" s="1"/>
  <c r="BX81" i="77"/>
  <c r="CK62" i="1"/>
  <c r="CJ82" i="1"/>
  <c r="CP62" i="1"/>
  <c r="CP29" i="20"/>
  <c r="C22" i="74" s="1"/>
  <c r="CR199" i="1"/>
  <c r="CR202" i="1"/>
  <c r="CP30" i="20"/>
  <c r="BQ53" i="1"/>
  <c r="BI16" i="20"/>
  <c r="BR53" i="1"/>
  <c r="BV53" i="1" s="1"/>
  <c r="BZ53" i="1" s="1"/>
  <c r="CD53" i="1" s="1"/>
  <c r="CH53" i="1" s="1"/>
  <c r="CC64" i="1"/>
  <c r="BX69" i="77"/>
  <c r="DI23" i="20"/>
  <c r="J18" i="73"/>
  <c r="AO22" i="52"/>
  <c r="AN22" i="52"/>
  <c r="AV152" i="1"/>
  <c r="AV142" i="1"/>
  <c r="AW122" i="1"/>
  <c r="CP24" i="1"/>
  <c r="P77" i="9"/>
  <c r="R77" i="9" s="1"/>
  <c r="BX86" i="1"/>
  <c r="BX102" i="1"/>
  <c r="BY82" i="1"/>
  <c r="BY92" i="1"/>
  <c r="CD82" i="1"/>
  <c r="AL83" i="77"/>
  <c r="W18" i="5"/>
  <c r="BO83" i="77"/>
  <c r="BC83" i="77"/>
  <c r="L13" i="73"/>
  <c r="L29" i="73"/>
  <c r="X153" i="5"/>
  <c r="X62" i="15"/>
  <c r="X67" i="15"/>
  <c r="X105" i="15"/>
  <c r="C6" i="92"/>
  <c r="J63" i="73"/>
  <c r="J103" i="73" s="1"/>
  <c r="J142" i="73"/>
  <c r="X138" i="9"/>
  <c r="N142" i="9"/>
  <c r="X142" i="9" s="1"/>
  <c r="AJ17" i="20"/>
  <c r="AW210" i="1"/>
  <c r="BA103" i="1"/>
  <c r="AV134" i="1"/>
  <c r="AV124" i="1"/>
  <c r="AC124" i="1"/>
  <c r="X154" i="1"/>
  <c r="X144" i="1"/>
  <c r="F72" i="52"/>
  <c r="H72" i="52" s="1"/>
  <c r="M166" i="52" s="1"/>
  <c r="J125" i="52"/>
  <c r="K132" i="52" s="1"/>
  <c r="G132" i="52"/>
  <c r="L121" i="89"/>
  <c r="K7" i="89"/>
  <c r="L5" i="89"/>
  <c r="BM34" i="11"/>
  <c r="BL40" i="11"/>
  <c r="BQ34" i="11"/>
  <c r="M120" i="89"/>
  <c r="N119" i="89"/>
  <c r="M85" i="89"/>
  <c r="AF72" i="52"/>
  <c r="AB72" i="52"/>
  <c r="AJ72" i="52"/>
  <c r="N72" i="52"/>
  <c r="AN72" i="52"/>
  <c r="AM62" i="52"/>
  <c r="AN62" i="52"/>
  <c r="AM69" i="52"/>
  <c r="AO62" i="52"/>
  <c r="CB122" i="1"/>
  <c r="CB132" i="1"/>
  <c r="CC101" i="1"/>
  <c r="BX179" i="1"/>
  <c r="BZ82" i="77"/>
  <c r="BY89" i="77"/>
  <c r="BB31" i="20"/>
  <c r="BL192" i="1"/>
  <c r="M34" i="11"/>
  <c r="Q34" i="11"/>
  <c r="L40" i="11"/>
  <c r="CJ65" i="1"/>
  <c r="CP60" i="1"/>
  <c r="CJ80" i="1"/>
  <c r="CK60" i="1"/>
  <c r="BX79" i="77"/>
  <c r="CJ64" i="1"/>
  <c r="BA20" i="98" s="1"/>
  <c r="CL60" i="1"/>
  <c r="CJ66" i="1"/>
  <c r="I24" i="73"/>
  <c r="DH29" i="20"/>
  <c r="Q94" i="15"/>
  <c r="DH30" i="20" s="1"/>
  <c r="AF88" i="15"/>
  <c r="R94" i="15"/>
  <c r="BY74" i="1"/>
  <c r="T64" i="15"/>
  <c r="L73" i="3"/>
  <c r="L78" i="3"/>
  <c r="AV105" i="1"/>
  <c r="AV121" i="1"/>
  <c r="AV131" i="1"/>
  <c r="BA100" i="1"/>
  <c r="AZ38" i="3"/>
  <c r="BB33" i="2"/>
  <c r="BP40" i="11"/>
  <c r="Z68" i="9"/>
  <c r="Z75" i="9"/>
  <c r="AR153" i="1"/>
  <c r="AR143" i="1"/>
  <c r="BJ56" i="1"/>
  <c r="AL62" i="77"/>
  <c r="BC62" i="77"/>
  <c r="BO62" i="77"/>
  <c r="T18" i="5"/>
  <c r="T25" i="5" s="1"/>
  <c r="AN79" i="52"/>
  <c r="BM95" i="77"/>
  <c r="BN95" i="77" s="1"/>
  <c r="BA95" i="77"/>
  <c r="BB95" i="77" s="1"/>
  <c r="BN34" i="1"/>
  <c r="AP86" i="52"/>
  <c r="AO86" i="52" s="1"/>
  <c r="BI34" i="1"/>
  <c r="BI232" i="1" s="1"/>
  <c r="P15" i="15"/>
  <c r="BJ34" i="1"/>
  <c r="K124" i="73"/>
  <c r="K85" i="73"/>
  <c r="K10" i="73"/>
  <c r="K45" i="73"/>
  <c r="K69" i="73" s="1"/>
  <c r="K30" i="73"/>
  <c r="S68" i="5"/>
  <c r="DR16" i="20"/>
  <c r="AB45" i="15"/>
  <c r="P13" i="73"/>
  <c r="P29" i="73"/>
  <c r="P152" i="73" s="1"/>
  <c r="P150" i="73" s="1"/>
  <c r="J86" i="89"/>
  <c r="P85" i="89"/>
  <c r="J39" i="20"/>
  <c r="J18" i="20"/>
  <c r="R113" i="89"/>
  <c r="S77" i="89"/>
  <c r="T112" i="89" s="1"/>
  <c r="P64" i="22"/>
  <c r="X54" i="9"/>
  <c r="Z61" i="9" s="1"/>
  <c r="AB228" i="1"/>
  <c r="P61" i="9"/>
  <c r="N58" i="9"/>
  <c r="R126" i="9"/>
  <c r="T120" i="2"/>
  <c r="T72" i="2"/>
  <c r="T81" i="2"/>
  <c r="T76" i="2"/>
  <c r="T71" i="2"/>
  <c r="T73" i="2"/>
  <c r="BD101" i="1"/>
  <c r="BE91" i="1"/>
  <c r="BD84" i="1"/>
  <c r="BF84" i="1" s="1"/>
  <c r="BD86" i="1"/>
  <c r="BF86" i="1" s="1"/>
  <c r="BF81" i="1"/>
  <c r="BE81" i="1"/>
  <c r="CC74" i="1"/>
  <c r="U64" i="15"/>
  <c r="DL20" i="20"/>
  <c r="AO66" i="1"/>
  <c r="AT66" i="1"/>
  <c r="AP66" i="1"/>
  <c r="Z82" i="10"/>
  <c r="Z75" i="10"/>
  <c r="W70" i="15"/>
  <c r="BP183" i="1"/>
  <c r="BP180" i="1"/>
  <c r="BP190" i="1" s="1"/>
  <c r="BI31" i="20" s="1"/>
  <c r="BP189" i="1"/>
  <c r="BH31" i="20" s="1"/>
  <c r="Z153" i="10"/>
  <c r="AX36" i="1"/>
  <c r="BB36" i="1"/>
  <c r="AW36" i="1"/>
  <c r="AW234" i="1" s="1"/>
  <c r="O130" i="73"/>
  <c r="O51" i="73"/>
  <c r="O91" i="73"/>
  <c r="BU50" i="1"/>
  <c r="BK16" i="20" s="1"/>
  <c r="BT55" i="1"/>
  <c r="BT56" i="1"/>
  <c r="DL23" i="20"/>
  <c r="M18" i="73"/>
  <c r="CB17" i="20"/>
  <c r="D126" i="52"/>
  <c r="J126" i="52" s="1"/>
  <c r="CK35" i="1"/>
  <c r="AI17" i="20"/>
  <c r="AI33" i="20" s="1"/>
  <c r="AI46" i="20" s="1"/>
  <c r="AW209" i="1"/>
  <c r="AV213" i="1"/>
  <c r="BA213" i="1" s="1"/>
  <c r="AB161" i="52"/>
  <c r="O161" i="52"/>
  <c r="CO29" i="20"/>
  <c r="CB100" i="1"/>
  <c r="CC80" i="1"/>
  <c r="CD80" i="1"/>
  <c r="CC90" i="1"/>
  <c r="CH80" i="1"/>
  <c r="CB84" i="1"/>
  <c r="CB86" i="1"/>
  <c r="CB85" i="1"/>
  <c r="BX17" i="20"/>
  <c r="D120" i="52"/>
  <c r="AW132" i="1"/>
  <c r="BA132" i="1"/>
  <c r="L109" i="73"/>
  <c r="BT102" i="1"/>
  <c r="BZ82" i="1"/>
  <c r="BU82" i="1"/>
  <c r="BU92" i="1"/>
  <c r="BT86" i="1"/>
  <c r="BT84" i="1"/>
  <c r="CZ20" i="20"/>
  <c r="I65" i="15"/>
  <c r="I67" i="15"/>
  <c r="AN71" i="52"/>
  <c r="AM71" i="52"/>
  <c r="AO71" i="52"/>
  <c r="V62" i="22"/>
  <c r="AU166" i="9"/>
  <c r="AS170" i="9"/>
  <c r="BA84" i="1"/>
  <c r="BA94" i="1"/>
  <c r="AF131" i="1"/>
  <c r="AF105" i="1"/>
  <c r="AF106" i="1"/>
  <c r="AF121" i="1"/>
  <c r="CO56" i="1"/>
  <c r="AO86" i="1"/>
  <c r="AO96" i="1"/>
  <c r="BA55" i="1"/>
  <c r="DH24" i="20"/>
  <c r="I19" i="73"/>
  <c r="R73" i="15"/>
  <c r="W72" i="77"/>
  <c r="T79" i="77"/>
  <c r="H142" i="73"/>
  <c r="H63" i="73"/>
  <c r="H103" i="73" s="1"/>
  <c r="AM78" i="52"/>
  <c r="AO85" i="1"/>
  <c r="AO95" i="1"/>
  <c r="Z124" i="10"/>
  <c r="AH230" i="1"/>
  <c r="R112" i="10"/>
  <c r="AH112" i="10"/>
  <c r="AJ112" i="10" s="1"/>
  <c r="AL112" i="10"/>
  <c r="AL69" i="77"/>
  <c r="BC69" i="77"/>
  <c r="AL58" i="22"/>
  <c r="AB213" i="1"/>
  <c r="AG213" i="1" s="1"/>
  <c r="AG209" i="1"/>
  <c r="K120" i="89"/>
  <c r="CD24" i="1"/>
  <c r="BZ24" i="1"/>
  <c r="CG62" i="1"/>
  <c r="CW62" i="1" s="1"/>
  <c r="CF82" i="1"/>
  <c r="CH62" i="1"/>
  <c r="CF64" i="1"/>
  <c r="BA13" i="98" s="1"/>
  <c r="BX74" i="77"/>
  <c r="CL62" i="1"/>
  <c r="B47" i="10"/>
  <c r="B56" i="9"/>
  <c r="BS81" i="20"/>
  <c r="M141" i="9"/>
  <c r="V140" i="10"/>
  <c r="X140" i="10" s="1"/>
  <c r="Z147" i="10" s="1"/>
  <c r="M145" i="9"/>
  <c r="Q113" i="52"/>
  <c r="T113" i="52" s="1"/>
  <c r="Q117" i="52"/>
  <c r="T117" i="52" s="1"/>
  <c r="AO43" i="52"/>
  <c r="AM50" i="52"/>
  <c r="AM43" i="52"/>
  <c r="AN43" i="52"/>
  <c r="BP132" i="1"/>
  <c r="BU132" i="1" s="1"/>
  <c r="BU101" i="1"/>
  <c r="BP122" i="1"/>
  <c r="I104" i="1"/>
  <c r="D135" i="1"/>
  <c r="I135" i="1" s="1"/>
  <c r="BN83" i="1"/>
  <c r="BL103" i="1"/>
  <c r="BL84" i="1"/>
  <c r="BM83" i="1"/>
  <c r="BM93" i="1"/>
  <c r="BR83" i="1"/>
  <c r="D55" i="52"/>
  <c r="J55" i="52" s="1"/>
  <c r="D54" i="52"/>
  <c r="J54" i="52" s="1"/>
  <c r="D56" i="52"/>
  <c r="J56" i="52" s="1"/>
  <c r="K56" i="52" s="1"/>
  <c r="D57" i="52"/>
  <c r="J57" i="52" s="1"/>
  <c r="Z96" i="10"/>
  <c r="Z104" i="10"/>
  <c r="BZ73" i="77"/>
  <c r="BY73" i="77"/>
  <c r="BT193" i="1"/>
  <c r="BK31" i="20"/>
  <c r="BT192" i="1"/>
  <c r="AN29" i="52"/>
  <c r="AO29" i="52"/>
  <c r="AM29" i="52"/>
  <c r="BQ36" i="1"/>
  <c r="BQ234" i="1" s="1"/>
  <c r="AI113" i="52"/>
  <c r="AL113" i="52"/>
  <c r="AI120" i="52"/>
  <c r="AJ113" i="52"/>
  <c r="AW92" i="1"/>
  <c r="AX82" i="1"/>
  <c r="AW82" i="1"/>
  <c r="AV84" i="1"/>
  <c r="BB82" i="1"/>
  <c r="AV102" i="1"/>
  <c r="AV104" i="1" s="1"/>
  <c r="Z6" i="74"/>
  <c r="Y6" i="74"/>
  <c r="AS213" i="1"/>
  <c r="AR231" i="1"/>
  <c r="AT231" i="1" s="1"/>
  <c r="X85" i="9"/>
  <c r="Z85" i="9" s="1"/>
  <c r="P85" i="9"/>
  <c r="R85" i="9" s="1"/>
  <c r="AL106" i="52"/>
  <c r="AI106" i="52"/>
  <c r="AJ106" i="52"/>
  <c r="X105" i="1"/>
  <c r="X131" i="1"/>
  <c r="X121" i="1"/>
  <c r="X106" i="1"/>
  <c r="AC100" i="1"/>
  <c r="AX64" i="1"/>
  <c r="AS64" i="1"/>
  <c r="BY65" i="77"/>
  <c r="BZ65" i="77"/>
  <c r="L74" i="15"/>
  <c r="DC24" i="20"/>
  <c r="D19" i="73"/>
  <c r="AK36" i="11"/>
  <c r="AJ42" i="11"/>
  <c r="DH20" i="20"/>
  <c r="I15" i="73"/>
  <c r="CC83" i="1"/>
  <c r="CC93" i="1"/>
  <c r="CB103" i="1"/>
  <c r="X76" i="2"/>
  <c r="X81" i="2"/>
  <c r="X71" i="2"/>
  <c r="X73" i="2"/>
  <c r="X72" i="2"/>
  <c r="X120" i="2"/>
  <c r="AO36" i="11"/>
  <c r="AL228" i="1"/>
  <c r="B62" i="10"/>
  <c r="B71" i="9"/>
  <c r="U91" i="15"/>
  <c r="V90" i="15"/>
  <c r="H58" i="9"/>
  <c r="AN58" i="9" s="1"/>
  <c r="H58" i="73"/>
  <c r="H98" i="73"/>
  <c r="H137" i="73"/>
  <c r="BJ55" i="1"/>
  <c r="BI35" i="1"/>
  <c r="BJ35" i="1"/>
  <c r="AL89" i="2"/>
  <c r="Z71" i="9"/>
  <c r="S20" i="15"/>
  <c r="AL72" i="2"/>
  <c r="AL73" i="2"/>
  <c r="AL82" i="2"/>
  <c r="AL71" i="2"/>
  <c r="AL81" i="2"/>
  <c r="AL76" i="2"/>
  <c r="AL120" i="2"/>
  <c r="P133" i="9"/>
  <c r="AF15" i="15"/>
  <c r="DM15" i="20"/>
  <c r="V44" i="15"/>
  <c r="AQ68" i="2"/>
  <c r="V82" i="89"/>
  <c r="L35" i="73"/>
  <c r="AP231" i="1"/>
  <c r="X15" i="5"/>
  <c r="Q84" i="89"/>
  <c r="AC91" i="1"/>
  <c r="AD81" i="1"/>
  <c r="AC81" i="1"/>
  <c r="AB101" i="1"/>
  <c r="AB86" i="1"/>
  <c r="AB84" i="1"/>
  <c r="AH81" i="1"/>
  <c r="AB85" i="1"/>
  <c r="AD85" i="1" s="1"/>
  <c r="AJ107" i="52"/>
  <c r="AB107" i="52"/>
  <c r="AF107" i="52"/>
  <c r="N107" i="52"/>
  <c r="R13" i="74"/>
  <c r="BP42" i="20"/>
  <c r="CG36" i="1"/>
  <c r="AQ103" i="9"/>
  <c r="D103" i="9"/>
  <c r="H103" i="9" s="1"/>
  <c r="AF7" i="15"/>
  <c r="V33" i="15"/>
  <c r="N6" i="73"/>
  <c r="DM10" i="20"/>
  <c r="V8" i="15"/>
  <c r="V13" i="15"/>
  <c r="V41" i="15"/>
  <c r="V27" i="15"/>
  <c r="V59" i="15"/>
  <c r="V38" i="15"/>
  <c r="V36" i="15"/>
  <c r="V52" i="15"/>
  <c r="V19" i="15"/>
  <c r="AQ66" i="2"/>
  <c r="V31" i="15"/>
  <c r="V61" i="15"/>
  <c r="E137" i="73"/>
  <c r="E58" i="73"/>
  <c r="E98" i="73"/>
  <c r="P141" i="9"/>
  <c r="P148" i="9"/>
  <c r="D130" i="73"/>
  <c r="D91" i="73"/>
  <c r="D51" i="73"/>
  <c r="N33" i="15"/>
  <c r="N36" i="15"/>
  <c r="F6" i="73"/>
  <c r="F30" i="73" s="1"/>
  <c r="N74" i="15"/>
  <c r="N59" i="15"/>
  <c r="N27" i="15"/>
  <c r="N19" i="15"/>
  <c r="AB66" i="2"/>
  <c r="N38" i="15"/>
  <c r="N31" i="15"/>
  <c r="N41" i="15"/>
  <c r="DE10" i="20"/>
  <c r="DE40" i="20" s="1"/>
  <c r="O8" i="15"/>
  <c r="N91" i="15"/>
  <c r="N61" i="15"/>
  <c r="N13" i="15"/>
  <c r="N52" i="15"/>
  <c r="N46" i="15"/>
  <c r="BX199" i="1"/>
  <c r="BQ30" i="20"/>
  <c r="BX203" i="1"/>
  <c r="AZ41" i="11"/>
  <c r="BA35" i="11"/>
  <c r="AV41" i="11"/>
  <c r="AW35" i="11"/>
  <c r="BD85" i="1"/>
  <c r="BB64" i="1"/>
  <c r="AW64" i="1"/>
  <c r="X141" i="9"/>
  <c r="O63" i="73"/>
  <c r="O144" i="73"/>
  <c r="O142" i="73" s="1"/>
  <c r="AE17" i="20"/>
  <c r="S112" i="89"/>
  <c r="T60" i="77"/>
  <c r="Y53" i="77"/>
  <c r="W53" i="77"/>
  <c r="T55" i="77"/>
  <c r="N65" i="15"/>
  <c r="AS66" i="1"/>
  <c r="AX66" i="1"/>
  <c r="BP213" i="1"/>
  <c r="AO64" i="52"/>
  <c r="AN64" i="52"/>
  <c r="AM64" i="52"/>
  <c r="AC134" i="1"/>
  <c r="BQ74" i="1"/>
  <c r="R64" i="15"/>
  <c r="BU83" i="1"/>
  <c r="BT103" i="1"/>
  <c r="BU93" i="1"/>
  <c r="BZ68" i="77"/>
  <c r="BY68" i="77"/>
  <c r="AT71" i="2"/>
  <c r="AV71" i="2" s="1"/>
  <c r="AX71" i="2" s="1"/>
  <c r="AZ71" i="2" s="1"/>
  <c r="BB71" i="2" s="1"/>
  <c r="BD71" i="2" s="1"/>
  <c r="BF71" i="2" s="1"/>
  <c r="AT73" i="2"/>
  <c r="AV73" i="2" s="1"/>
  <c r="AX73" i="2" s="1"/>
  <c r="AZ73" i="2" s="1"/>
  <c r="BB73" i="2" s="1"/>
  <c r="BD73" i="2" s="1"/>
  <c r="BF73" i="2" s="1"/>
  <c r="AT76" i="2"/>
  <c r="AV76" i="2" s="1"/>
  <c r="AX76" i="2" s="1"/>
  <c r="AZ76" i="2" s="1"/>
  <c r="BB76" i="2" s="1"/>
  <c r="BD76" i="2" s="1"/>
  <c r="BF76" i="2" s="1"/>
  <c r="AT72" i="2"/>
  <c r="AV72" i="2" s="1"/>
  <c r="AX72" i="2" s="1"/>
  <c r="AZ72" i="2" s="1"/>
  <c r="BB72" i="2" s="1"/>
  <c r="BD72" i="2" s="1"/>
  <c r="BF72" i="2" s="1"/>
  <c r="W8" i="15"/>
  <c r="R62" i="15"/>
  <c r="R105" i="15"/>
  <c r="R153" i="5"/>
  <c r="R154" i="5" s="1"/>
  <c r="G128" i="73"/>
  <c r="N16" i="15"/>
  <c r="BA93" i="77"/>
  <c r="AK97" i="77"/>
  <c r="BM93" i="77"/>
  <c r="I17" i="15"/>
  <c r="H17" i="15"/>
  <c r="CY15" i="20"/>
  <c r="CY40" i="20" s="1"/>
  <c r="H16" i="15"/>
  <c r="B52" i="10"/>
  <c r="B61" i="9"/>
  <c r="N63" i="73"/>
  <c r="N144" i="73"/>
  <c r="N142" i="73" s="1"/>
  <c r="BJ36" i="1"/>
  <c r="BI36" i="1"/>
  <c r="AP228" i="1"/>
  <c r="BI123" i="1"/>
  <c r="BH143" i="1"/>
  <c r="BH153" i="1"/>
  <c r="BI153" i="1" s="1"/>
  <c r="BM153" i="1" s="1"/>
  <c r="BA96" i="1"/>
  <c r="BA86" i="1"/>
  <c r="BO90" i="77"/>
  <c r="AL90" i="77"/>
  <c r="X18" i="5"/>
  <c r="BC90" i="77"/>
  <c r="T115" i="89"/>
  <c r="U79" i="89"/>
  <c r="DB60" i="1"/>
  <c r="DE58" i="1" s="1"/>
  <c r="N88" i="89"/>
  <c r="BF64" i="1"/>
  <c r="BE64" i="1"/>
  <c r="CY12" i="20"/>
  <c r="CY14" i="20" s="1"/>
  <c r="H13" i="15"/>
  <c r="H20" i="15" s="1"/>
  <c r="AN133" i="1"/>
  <c r="AN123" i="1"/>
  <c r="AS102" i="1"/>
  <c r="Z62" i="9"/>
  <c r="AJ190" i="1"/>
  <c r="U31" i="20" s="1"/>
  <c r="AN177" i="1"/>
  <c r="BY72" i="77"/>
  <c r="BZ72" i="77"/>
  <c r="CG81" i="1"/>
  <c r="CF101" i="1"/>
  <c r="CG101" i="1" s="1"/>
  <c r="CF86" i="1"/>
  <c r="CG96" i="1" s="1"/>
  <c r="CH81" i="1"/>
  <c r="CF85" i="1"/>
  <c r="CG91" i="1"/>
  <c r="P90" i="9"/>
  <c r="R90" i="9" s="1"/>
  <c r="X90" i="9"/>
  <c r="AV229" i="1"/>
  <c r="BB230" i="1"/>
  <c r="BB65" i="1"/>
  <c r="AW65" i="1"/>
  <c r="CF141" i="1"/>
  <c r="CF151" i="1"/>
  <c r="CO35" i="1"/>
  <c r="AD17" i="20"/>
  <c r="AD33" i="20" s="1"/>
  <c r="AS209" i="1"/>
  <c r="Y85" i="1"/>
  <c r="Y95" i="1"/>
  <c r="U76" i="89"/>
  <c r="F94" i="73"/>
  <c r="F133" i="73"/>
  <c r="F54" i="73"/>
  <c r="L170" i="73"/>
  <c r="R161" i="10"/>
  <c r="T160" i="10"/>
  <c r="AH161" i="10"/>
  <c r="AJ161" i="10" s="1"/>
  <c r="F53" i="15"/>
  <c r="F52" i="15"/>
  <c r="AS80" i="1"/>
  <c r="AR100" i="1"/>
  <c r="AX80" i="1"/>
  <c r="AR85" i="1"/>
  <c r="AT85" i="1" s="1"/>
  <c r="AR86" i="1"/>
  <c r="AS90" i="1"/>
  <c r="AR84" i="1"/>
  <c r="BQ93" i="1"/>
  <c r="BQ83" i="1"/>
  <c r="BP103" i="1"/>
  <c r="BV83" i="1"/>
  <c r="AN127" i="52"/>
  <c r="G13" i="15"/>
  <c r="G20" i="15" s="1"/>
  <c r="CX12" i="20"/>
  <c r="CX14" i="20" s="1"/>
  <c r="CX39" i="20" s="1"/>
  <c r="G61" i="15"/>
  <c r="DA20" i="20"/>
  <c r="J65" i="15"/>
  <c r="BP102" i="1"/>
  <c r="BR82" i="1"/>
  <c r="BQ92" i="1"/>
  <c r="BQ82" i="1"/>
  <c r="BV82" i="1"/>
  <c r="AZ131" i="1"/>
  <c r="AZ105" i="1"/>
  <c r="AZ121" i="1"/>
  <c r="AZ106" i="1"/>
  <c r="AZ104" i="1"/>
  <c r="BQ232" i="1"/>
  <c r="X160" i="5"/>
  <c r="DO68" i="20" s="1"/>
  <c r="X9" i="5"/>
  <c r="D170" i="9"/>
  <c r="AQ170" i="9"/>
  <c r="F170" i="9"/>
  <c r="AF12" i="15"/>
  <c r="N8" i="73"/>
  <c r="AQ67" i="2"/>
  <c r="DM12" i="20"/>
  <c r="F129" i="73"/>
  <c r="F50" i="73"/>
  <c r="F90" i="73"/>
  <c r="G37" i="73"/>
  <c r="L89" i="73"/>
  <c r="L114" i="73"/>
  <c r="BE96" i="77"/>
  <c r="BF96" i="77" s="1"/>
  <c r="E96" i="77"/>
  <c r="AO96" i="77"/>
  <c r="AP96" i="77" s="1"/>
  <c r="AH52" i="94"/>
  <c r="AF52" i="94" s="1"/>
  <c r="AG52" i="94" s="1"/>
  <c r="AE170" i="9"/>
  <c r="AC170" i="9" s="1"/>
  <c r="AD170" i="9" s="1"/>
  <c r="T78" i="89"/>
  <c r="S114" i="89"/>
  <c r="P97" i="9"/>
  <c r="R97" i="9" s="1"/>
  <c r="R89" i="9"/>
  <c r="P30" i="73"/>
  <c r="P156" i="73" s="1"/>
  <c r="P154" i="73" s="1"/>
  <c r="P50" i="73"/>
  <c r="P90" i="73"/>
  <c r="BN61" i="1"/>
  <c r="BH66" i="1"/>
  <c r="BI66" i="1" s="1"/>
  <c r="BN66" i="1" s="1"/>
  <c r="BR66" i="1" s="1"/>
  <c r="BV66" i="1" s="1"/>
  <c r="BZ66" i="1" s="1"/>
  <c r="BI61" i="1"/>
  <c r="BH81" i="1"/>
  <c r="BH65" i="1"/>
  <c r="BJ61" i="1"/>
  <c r="BH64" i="1"/>
  <c r="BJ64" i="1" s="1"/>
  <c r="AT80" i="1"/>
  <c r="BO55" i="77"/>
  <c r="S18" i="5"/>
  <c r="AL111" i="10"/>
  <c r="R111" i="10"/>
  <c r="AH111" i="10"/>
  <c r="AJ111" i="10" s="1"/>
  <c r="P89" i="73"/>
  <c r="P114" i="73"/>
  <c r="P168" i="73" s="1"/>
  <c r="H43" i="52"/>
  <c r="I43" i="52" s="1"/>
  <c r="G43" i="52"/>
  <c r="G134" i="52"/>
  <c r="E115" i="73"/>
  <c r="H125" i="52"/>
  <c r="I132" i="52" s="1"/>
  <c r="AL92" i="9"/>
  <c r="AN92" i="9" s="1"/>
  <c r="H126" i="52"/>
  <c r="F135" i="52"/>
  <c r="H135" i="52" s="1"/>
  <c r="H115" i="73"/>
  <c r="H134" i="52"/>
  <c r="G138" i="52"/>
  <c r="G125" i="52"/>
  <c r="G57" i="52"/>
  <c r="J133" i="52"/>
  <c r="K140" i="52" s="1"/>
  <c r="H133" i="52"/>
  <c r="AB151" i="10"/>
  <c r="AD151" i="10" s="1"/>
  <c r="AI153" i="9"/>
  <c r="H91" i="52"/>
  <c r="J42" i="52"/>
  <c r="K49" i="52" s="1"/>
  <c r="H61" i="52"/>
  <c r="I61" i="52" s="1"/>
  <c r="G50" i="52"/>
  <c r="I55" i="52"/>
  <c r="F51" i="52"/>
  <c r="G49" i="52"/>
  <c r="H50" i="52"/>
  <c r="I57" i="52" s="1"/>
  <c r="F44" i="52"/>
  <c r="J44" i="52" s="1"/>
  <c r="H138" i="52"/>
  <c r="H169" i="73"/>
  <c r="G140" i="52"/>
  <c r="K115" i="73"/>
  <c r="K75" i="73"/>
  <c r="K169" i="73"/>
  <c r="H68" i="52"/>
  <c r="H111" i="52"/>
  <c r="I118" i="52" s="1"/>
  <c r="G119" i="52"/>
  <c r="H70" i="52"/>
  <c r="DF66" i="20"/>
  <c r="I41" i="52"/>
  <c r="G111" i="52"/>
  <c r="H153" i="5"/>
  <c r="H154" i="5" s="1"/>
  <c r="H67" i="15"/>
  <c r="H62" i="15"/>
  <c r="J119" i="2"/>
  <c r="J113" i="2"/>
  <c r="G118" i="52"/>
  <c r="H113" i="52"/>
  <c r="AY124" i="9"/>
  <c r="F93" i="52"/>
  <c r="H93" i="52" s="1"/>
  <c r="F114" i="52"/>
  <c r="T167" i="52" s="1"/>
  <c r="L75" i="73"/>
  <c r="L115" i="73"/>
  <c r="L169" i="73"/>
  <c r="N75" i="73"/>
  <c r="N115" i="73"/>
  <c r="N169" i="73"/>
  <c r="H92" i="52"/>
  <c r="I99" i="52" s="1"/>
  <c r="J92" i="52"/>
  <c r="O115" i="73"/>
  <c r="O169" i="73"/>
  <c r="O75" i="73"/>
  <c r="G68" i="52"/>
  <c r="F65" i="52"/>
  <c r="I49" i="52"/>
  <c r="G70" i="52"/>
  <c r="H63" i="52"/>
  <c r="G63" i="52"/>
  <c r="AS90" i="9"/>
  <c r="H104" i="52"/>
  <c r="J104" i="52"/>
  <c r="F107" i="52"/>
  <c r="J107" i="52" s="1"/>
  <c r="H76" i="52"/>
  <c r="I76" i="52" s="1"/>
  <c r="G99" i="52"/>
  <c r="J89" i="52"/>
  <c r="H89" i="52"/>
  <c r="J141" i="52"/>
  <c r="G71" i="52"/>
  <c r="G64" i="52"/>
  <c r="H64" i="52"/>
  <c r="DE70" i="20"/>
  <c r="W74" i="5"/>
  <c r="T182" i="5"/>
  <c r="G92" i="52"/>
  <c r="H85" i="52"/>
  <c r="J85" i="52"/>
  <c r="DA80" i="20"/>
  <c r="DA66" i="20"/>
  <c r="M173" i="52"/>
  <c r="AA173" i="52" s="1"/>
  <c r="DI72" i="20"/>
  <c r="AL180" i="5"/>
  <c r="AL181" i="5" s="1"/>
  <c r="R182" i="5"/>
  <c r="U178" i="5"/>
  <c r="V178" i="5"/>
  <c r="DE71" i="20"/>
  <c r="N220" i="5"/>
  <c r="O6" i="5"/>
  <c r="AX118" i="9"/>
  <c r="AY125" i="9" s="1"/>
  <c r="AW119" i="9"/>
  <c r="J82" i="52"/>
  <c r="G89" i="52"/>
  <c r="F86" i="52"/>
  <c r="H82" i="52"/>
  <c r="K161" i="5"/>
  <c r="L86" i="5"/>
  <c r="P51" i="52"/>
  <c r="K86" i="5"/>
  <c r="K94" i="5"/>
  <c r="R174" i="5"/>
  <c r="R177" i="5"/>
  <c r="R178" i="5" s="1"/>
  <c r="Q170" i="5"/>
  <c r="Q168" i="5"/>
  <c r="R170" i="5"/>
  <c r="X129" i="5"/>
  <c r="Y128" i="5"/>
  <c r="AD113" i="10"/>
  <c r="P24" i="15"/>
  <c r="T69" i="5"/>
  <c r="H84" i="52"/>
  <c r="J84" i="52"/>
  <c r="G91" i="52"/>
  <c r="J161" i="5"/>
  <c r="J94" i="5"/>
  <c r="J86" i="5"/>
  <c r="P44" i="52"/>
  <c r="G77" i="5"/>
  <c r="U120" i="5"/>
  <c r="T121" i="5"/>
  <c r="T185" i="5"/>
  <c r="T186" i="5" s="1"/>
  <c r="T118" i="5"/>
  <c r="M24" i="15"/>
  <c r="AU92" i="9"/>
  <c r="Y102" i="5"/>
  <c r="X169" i="5"/>
  <c r="X103" i="5"/>
  <c r="M115" i="73"/>
  <c r="M169" i="73"/>
  <c r="M75" i="73"/>
  <c r="N119" i="2"/>
  <c r="N113" i="2"/>
  <c r="S174" i="5"/>
  <c r="R168" i="5"/>
  <c r="G106" i="52"/>
  <c r="G113" i="52"/>
  <c r="H106" i="52"/>
  <c r="J106" i="52"/>
  <c r="I94" i="5"/>
  <c r="I86" i="5"/>
  <c r="P37" i="52"/>
  <c r="O86" i="5"/>
  <c r="O151" i="5" s="1"/>
  <c r="P79" i="52"/>
  <c r="N173" i="52" s="1"/>
  <c r="O161" i="5"/>
  <c r="DF69" i="20" s="1"/>
  <c r="O94" i="5"/>
  <c r="O95" i="5" s="1"/>
  <c r="H86" i="5"/>
  <c r="H151" i="5" s="1"/>
  <c r="H161" i="5"/>
  <c r="Q161" i="5"/>
  <c r="DH69" i="20" s="1"/>
  <c r="Q94" i="5"/>
  <c r="Q86" i="5"/>
  <c r="P93" i="52"/>
  <c r="P173" i="52" s="1"/>
  <c r="H105" i="52"/>
  <c r="J105" i="52"/>
  <c r="G112" i="52"/>
  <c r="J33" i="52"/>
  <c r="K40" i="52" s="1"/>
  <c r="H33" i="52"/>
  <c r="F37" i="52"/>
  <c r="G40" i="52"/>
  <c r="T168" i="5"/>
  <c r="S177" i="5"/>
  <c r="AJ104" i="9"/>
  <c r="AR80" i="20"/>
  <c r="AB103" i="10"/>
  <c r="AD103" i="10" s="1"/>
  <c r="AF103" i="10" s="1"/>
  <c r="H35" i="52"/>
  <c r="I42" i="52" s="1"/>
  <c r="J35" i="52"/>
  <c r="G42" i="52"/>
  <c r="I48" i="52"/>
  <c r="F109" i="2"/>
  <c r="F113" i="2"/>
  <c r="F119" i="2"/>
  <c r="U125" i="5"/>
  <c r="V124" i="5"/>
  <c r="AB102" i="10"/>
  <c r="AD102" i="10" s="1"/>
  <c r="AF109" i="10" s="1"/>
  <c r="AQ80" i="20"/>
  <c r="AJ103" i="9"/>
  <c r="D113" i="2"/>
  <c r="D119" i="2"/>
  <c r="D109" i="2"/>
  <c r="DB66" i="20"/>
  <c r="CY66" i="20"/>
  <c r="CZ66" i="20"/>
  <c r="K41" i="52"/>
  <c r="AJ105" i="9"/>
  <c r="AB104" i="10"/>
  <c r="AD104" i="10" s="1"/>
  <c r="AS80" i="20"/>
  <c r="AJ106" i="9"/>
  <c r="AO80" i="20"/>
  <c r="AJ99" i="9"/>
  <c r="J83" i="52"/>
  <c r="H83" i="52"/>
  <c r="AW35" i="94"/>
  <c r="AN44" i="94"/>
  <c r="AP44" i="94" s="1"/>
  <c r="AW41" i="94"/>
  <c r="AA52" i="94"/>
  <c r="AC52" i="94" s="1"/>
  <c r="AN37" i="94"/>
  <c r="AP37" i="94" s="1"/>
  <c r="I52" i="94"/>
  <c r="Q48" i="94"/>
  <c r="S48" i="94" s="1"/>
  <c r="O55" i="94"/>
  <c r="Q55" i="94" s="1"/>
  <c r="S55" i="94" s="1"/>
  <c r="M34" i="94"/>
  <c r="K38" i="94"/>
  <c r="L34" i="94"/>
  <c r="L35" i="94"/>
  <c r="AA55" i="94"/>
  <c r="AC55" i="94" s="1"/>
  <c r="O45" i="94"/>
  <c r="Q52" i="94" s="1"/>
  <c r="O49" i="94"/>
  <c r="AC48" i="94"/>
  <c r="D59" i="94"/>
  <c r="I59" i="94" s="1"/>
  <c r="O35" i="94"/>
  <c r="O31" i="94"/>
  <c r="AU31" i="94"/>
  <c r="AA31" i="94"/>
  <c r="AW36" i="94"/>
  <c r="CU21" i="20"/>
  <c r="CU26" i="20" s="1"/>
  <c r="CU33" i="20"/>
  <c r="CU46" i="20" s="1"/>
  <c r="BR67" i="20"/>
  <c r="CH39" i="20"/>
  <c r="BN21" i="20"/>
  <c r="BN44" i="20" s="1"/>
  <c r="K39" i="20"/>
  <c r="BB18" i="20"/>
  <c r="BB39" i="20"/>
  <c r="CZ39" i="20"/>
  <c r="CZ18" i="20"/>
  <c r="BF18" i="20"/>
  <c r="BF39" i="20"/>
  <c r="BK66" i="20" s="1"/>
  <c r="BQ33" i="20"/>
  <c r="AI21" i="20"/>
  <c r="U26" i="20"/>
  <c r="U28" i="20" s="1"/>
  <c r="BK41" i="20"/>
  <c r="N18" i="20"/>
  <c r="S53" i="20" s="1"/>
  <c r="N39" i="20"/>
  <c r="CA18" i="20"/>
  <c r="CA39" i="20"/>
  <c r="CA66" i="20" s="1"/>
  <c r="AV33" i="20"/>
  <c r="AV46" i="20" s="1"/>
  <c r="BA39" i="20"/>
  <c r="BA18" i="20"/>
  <c r="CF67" i="20"/>
  <c r="DC39" i="20"/>
  <c r="CT41" i="20"/>
  <c r="CT33" i="20"/>
  <c r="CT46" i="20" s="1"/>
  <c r="CT21" i="20"/>
  <c r="BZ39" i="20"/>
  <c r="BZ18" i="20"/>
  <c r="W18" i="20"/>
  <c r="AB53" i="20" s="1"/>
  <c r="Y33" i="20"/>
  <c r="Y46" i="20" s="1"/>
  <c r="AO39" i="20"/>
  <c r="AO18" i="20"/>
  <c r="DF39" i="20"/>
  <c r="DF18" i="20"/>
  <c r="BH39" i="20"/>
  <c r="BH18" i="20"/>
  <c r="CV41" i="20"/>
  <c r="CV33" i="20"/>
  <c r="CV46" i="20" s="1"/>
  <c r="CV21" i="20"/>
  <c r="AR18" i="20"/>
  <c r="AR39" i="20"/>
  <c r="CW21" i="20"/>
  <c r="CW41" i="20"/>
  <c r="CW53" i="20"/>
  <c r="CW33" i="20"/>
  <c r="S21" i="20"/>
  <c r="S33" i="20"/>
  <c r="S41" i="20"/>
  <c r="BU67" i="20"/>
  <c r="S26" i="74"/>
  <c r="F39" i="20"/>
  <c r="F18" i="20"/>
  <c r="E35" i="74"/>
  <c r="J35" i="74" s="1"/>
  <c r="AX33" i="20"/>
  <c r="AX41" i="20"/>
  <c r="AX21" i="20"/>
  <c r="BK46" i="20"/>
  <c r="R46" i="20"/>
  <c r="CH53" i="20"/>
  <c r="CH21" i="20"/>
  <c r="P21" i="20"/>
  <c r="P41" i="20"/>
  <c r="P33" i="20"/>
  <c r="P53" i="20"/>
  <c r="AT41" i="20"/>
  <c r="AT33" i="20"/>
  <c r="AT21" i="20"/>
  <c r="AM46" i="20"/>
  <c r="BL18" i="20"/>
  <c r="BL39" i="20"/>
  <c r="BS67" i="20"/>
  <c r="BN67" i="20"/>
  <c r="AB41" i="20"/>
  <c r="AB33" i="20"/>
  <c r="AB21" i="20"/>
  <c r="AH39" i="20"/>
  <c r="AH18" i="20"/>
  <c r="T39" i="20"/>
  <c r="T18" i="20"/>
  <c r="CJ33" i="20"/>
  <c r="CJ21" i="20"/>
  <c r="BI21" i="20"/>
  <c r="BI41" i="20"/>
  <c r="BN53" i="20"/>
  <c r="BI33" i="20"/>
  <c r="R44" i="20"/>
  <c r="X18" i="20"/>
  <c r="X39" i="20"/>
  <c r="M39" i="20"/>
  <c r="M18" i="20"/>
  <c r="BP39" i="20"/>
  <c r="R8" i="74"/>
  <c r="BP18" i="20"/>
  <c r="CM18" i="20"/>
  <c r="CM33" i="20" s="1"/>
  <c r="CM39" i="20"/>
  <c r="AM44" i="20"/>
  <c r="AM26" i="20"/>
  <c r="AM43" i="20"/>
  <c r="AN18" i="20"/>
  <c r="AN39" i="20"/>
  <c r="BP67" i="20"/>
  <c r="R26" i="74"/>
  <c r="BM18" i="20"/>
  <c r="BM39" i="20"/>
  <c r="CG39" i="20"/>
  <c r="CG18" i="20"/>
  <c r="CL53" i="20" s="1"/>
  <c r="K41" i="20"/>
  <c r="K33" i="20"/>
  <c r="K21" i="20"/>
  <c r="AD41" i="20"/>
  <c r="AD53" i="20"/>
  <c r="AD21" i="20"/>
  <c r="AJ41" i="20"/>
  <c r="I39" i="20"/>
  <c r="I18" i="20"/>
  <c r="AL21" i="20"/>
  <c r="U35" i="74"/>
  <c r="Z35" i="74" s="1"/>
  <c r="W9" i="74"/>
  <c r="S8" i="74"/>
  <c r="BU39" i="20"/>
  <c r="BU18" i="20"/>
  <c r="AW39" i="20"/>
  <c r="AW18" i="20"/>
  <c r="BS21" i="20"/>
  <c r="BS53" i="20"/>
  <c r="BS41" i="20"/>
  <c r="D41" i="20"/>
  <c r="D21" i="20"/>
  <c r="D33" i="20"/>
  <c r="D46" i="20" s="1"/>
  <c r="O18" i="20"/>
  <c r="O39" i="20"/>
  <c r="AQ33" i="20"/>
  <c r="AE21" i="20"/>
  <c r="BD18" i="20"/>
  <c r="BI53" i="20" s="1"/>
  <c r="BD39" i="20"/>
  <c r="E39" i="20"/>
  <c r="E18" i="20"/>
  <c r="BR18" i="20"/>
  <c r="BR39" i="20"/>
  <c r="BZ67" i="20"/>
  <c r="CB39" i="20"/>
  <c r="CB18" i="20"/>
  <c r="AG33" i="20"/>
  <c r="CL33" i="20"/>
  <c r="CL41" i="20"/>
  <c r="CL21" i="20"/>
  <c r="AC35" i="94"/>
  <c r="AW44" i="94"/>
  <c r="AW37" i="94"/>
  <c r="AU38" i="94"/>
  <c r="AZ51" i="3"/>
  <c r="BB12" i="3"/>
  <c r="BD19" i="2"/>
  <c r="BB25" i="3"/>
  <c r="BD13" i="2"/>
  <c r="BD9" i="2"/>
  <c r="AM145" i="52"/>
  <c r="AE149" i="52"/>
  <c r="AL135" i="52"/>
  <c r="AN135" i="52" s="1"/>
  <c r="AN134" i="52"/>
  <c r="T74" i="89"/>
  <c r="T110" i="89" s="1"/>
  <c r="T147" i="89" s="1"/>
  <c r="T8" i="89"/>
  <c r="S8" i="89"/>
  <c r="S74" i="89"/>
  <c r="S110" i="89" s="1"/>
  <c r="S147" i="89" s="1"/>
  <c r="M187" i="89"/>
  <c r="M74" i="89"/>
  <c r="M110" i="89" s="1"/>
  <c r="M147" i="89" s="1"/>
  <c r="O74" i="89"/>
  <c r="O110" i="89" s="1"/>
  <c r="O147" i="89" s="1"/>
  <c r="O8" i="89"/>
  <c r="O187" i="89"/>
  <c r="N187" i="89"/>
  <c r="N74" i="89"/>
  <c r="N110" i="89" s="1"/>
  <c r="N147" i="89" s="1"/>
  <c r="N8" i="89"/>
  <c r="L8" i="89"/>
  <c r="L74" i="89"/>
  <c r="L110" i="89" s="1"/>
  <c r="L147" i="89" s="1"/>
  <c r="R74" i="89"/>
  <c r="R110" i="89" s="1"/>
  <c r="R147" i="89" s="1"/>
  <c r="R8" i="89"/>
  <c r="U8" i="89"/>
  <c r="U74" i="89"/>
  <c r="U110" i="89" s="1"/>
  <c r="U147" i="89" s="1"/>
  <c r="H118" i="89"/>
  <c r="I117" i="89"/>
  <c r="H83" i="89"/>
  <c r="H84" i="89" s="1"/>
  <c r="W8" i="89"/>
  <c r="W74" i="89"/>
  <c r="W110" i="89" s="1"/>
  <c r="W147" i="89" s="1"/>
  <c r="P74" i="89"/>
  <c r="P110" i="89" s="1"/>
  <c r="P147" i="89" s="1"/>
  <c r="P187" i="89"/>
  <c r="P8" i="89"/>
  <c r="Q74" i="89"/>
  <c r="Q110" i="89" s="1"/>
  <c r="Q147" i="89" s="1"/>
  <c r="Q8" i="89"/>
  <c r="V8" i="89"/>
  <c r="V74" i="89"/>
  <c r="V110" i="89" s="1"/>
  <c r="V147" i="89" s="1"/>
  <c r="L190" i="89"/>
  <c r="U188" i="5" l="1"/>
  <c r="L165" i="73"/>
  <c r="Z33" i="20"/>
  <c r="AE55" i="20" s="1"/>
  <c r="R120" i="10"/>
  <c r="AM127" i="52"/>
  <c r="Z21" i="20"/>
  <c r="BC13" i="98"/>
  <c r="BB13" i="98"/>
  <c r="P86" i="89"/>
  <c r="D155" i="9"/>
  <c r="H155" i="9" s="1"/>
  <c r="AN155" i="9" s="1"/>
  <c r="AQ148" i="9"/>
  <c r="AS148" i="9" s="1"/>
  <c r="D148" i="9"/>
  <c r="H148" i="9" s="1"/>
  <c r="AN148" i="9" s="1"/>
  <c r="AU159" i="9"/>
  <c r="AU152" i="9"/>
  <c r="X19" i="98"/>
  <c r="Y19" i="98"/>
  <c r="AH19" i="98"/>
  <c r="X26" i="98"/>
  <c r="AP82" i="2"/>
  <c r="AP81" i="2"/>
  <c r="Z53" i="20"/>
  <c r="BC41" i="20"/>
  <c r="CJ41" i="20"/>
  <c r="AI41" i="20"/>
  <c r="G79" i="5"/>
  <c r="G80" i="5" s="1"/>
  <c r="BY75" i="77"/>
  <c r="V107" i="15"/>
  <c r="V16" i="15"/>
  <c r="U18" i="5"/>
  <c r="L116" i="73"/>
  <c r="DL42" i="20"/>
  <c r="CL65" i="1"/>
  <c r="Z112" i="9"/>
  <c r="AL76" i="77"/>
  <c r="G117" i="52"/>
  <c r="DL49" i="20"/>
  <c r="AP72" i="2"/>
  <c r="AP71" i="2"/>
  <c r="D74" i="73"/>
  <c r="J98" i="52"/>
  <c r="K98" i="52" s="1"/>
  <c r="BB55" i="1"/>
  <c r="M47" i="73"/>
  <c r="R84" i="9"/>
  <c r="AJ191" i="1"/>
  <c r="J93" i="15" s="1"/>
  <c r="DA31" i="20" s="1"/>
  <c r="K20" i="15"/>
  <c r="W13" i="5"/>
  <c r="X13" i="5"/>
  <c r="AF132" i="1"/>
  <c r="AF122" i="1"/>
  <c r="BL122" i="1"/>
  <c r="BL132" i="1"/>
  <c r="BQ132" i="1" s="1"/>
  <c r="BQ101" i="1"/>
  <c r="R73" i="77"/>
  <c r="N80" i="77"/>
  <c r="P79" i="9"/>
  <c r="AH68" i="2"/>
  <c r="AH75" i="2" s="1"/>
  <c r="I11" i="73"/>
  <c r="Q107" i="15"/>
  <c r="Q44" i="15"/>
  <c r="DH15" i="20"/>
  <c r="DI52" i="20" s="1"/>
  <c r="R17" i="15"/>
  <c r="BC11" i="98"/>
  <c r="BB11" i="98"/>
  <c r="J45" i="73"/>
  <c r="J49" i="73" s="1"/>
  <c r="J85" i="73"/>
  <c r="J89" i="73" s="1"/>
  <c r="J92" i="73" s="1"/>
  <c r="J10" i="73"/>
  <c r="J124" i="73"/>
  <c r="J128" i="73" s="1"/>
  <c r="N74" i="77"/>
  <c r="R67" i="77"/>
  <c r="AR73" i="2"/>
  <c r="AR120" i="2"/>
  <c r="AR72" i="2"/>
  <c r="AR76" i="2"/>
  <c r="AR82" i="2"/>
  <c r="AR71" i="2"/>
  <c r="CN123" i="1"/>
  <c r="CN143" i="1" s="1"/>
  <c r="CN133" i="1"/>
  <c r="AS55" i="1"/>
  <c r="AT55" i="1"/>
  <c r="AG53" i="20"/>
  <c r="R26" i="20"/>
  <c r="BG53" i="20"/>
  <c r="DJ18" i="20"/>
  <c r="H97" i="52"/>
  <c r="I104" i="52" s="1"/>
  <c r="R148" i="9"/>
  <c r="P120" i="89"/>
  <c r="V17" i="15"/>
  <c r="AJ232" i="1"/>
  <c r="AL232" i="1" s="1"/>
  <c r="BO69" i="77"/>
  <c r="K35" i="73"/>
  <c r="BB20" i="98"/>
  <c r="BC20" i="98"/>
  <c r="CL24" i="1"/>
  <c r="CR203" i="1"/>
  <c r="CR163" i="1"/>
  <c r="CH33" i="20"/>
  <c r="BC27" i="98"/>
  <c r="BB27" i="98"/>
  <c r="F68" i="15"/>
  <c r="AP76" i="2"/>
  <c r="K117" i="52"/>
  <c r="AP73" i="2"/>
  <c r="BF56" i="1"/>
  <c r="AS72" i="9"/>
  <c r="AU72" i="9" s="1"/>
  <c r="R141" i="10"/>
  <c r="R64" i="9"/>
  <c r="J34" i="98"/>
  <c r="Y14" i="5"/>
  <c r="AL75" i="77"/>
  <c r="AL68" i="77"/>
  <c r="BC68" i="77"/>
  <c r="BO68" i="77"/>
  <c r="DI14" i="20"/>
  <c r="BC10" i="98"/>
  <c r="BB10" i="98"/>
  <c r="AG86" i="1"/>
  <c r="AG96" i="1"/>
  <c r="BJ83" i="1"/>
  <c r="BI93" i="1"/>
  <c r="BH103" i="1"/>
  <c r="BI83" i="1"/>
  <c r="AJ82" i="2"/>
  <c r="AJ81" i="2"/>
  <c r="AJ73" i="2"/>
  <c r="G141" i="52"/>
  <c r="G78" i="52"/>
  <c r="G96" i="52"/>
  <c r="J96" i="52"/>
  <c r="K103" i="52" s="1"/>
  <c r="G77" i="52"/>
  <c r="AS91" i="9"/>
  <c r="G120" i="52"/>
  <c r="G83" i="52"/>
  <c r="J76" i="52"/>
  <c r="K76" i="52" s="1"/>
  <c r="J77" i="52"/>
  <c r="K77" i="52" s="1"/>
  <c r="G103" i="52"/>
  <c r="G124" i="52"/>
  <c r="H77" i="52"/>
  <c r="I84" i="52" s="1"/>
  <c r="I127" i="52"/>
  <c r="G104" i="52"/>
  <c r="F142" i="52"/>
  <c r="H142" i="52" s="1"/>
  <c r="I120" i="52"/>
  <c r="F100" i="52"/>
  <c r="J100" i="52" s="1"/>
  <c r="R170" i="52" s="1"/>
  <c r="H78" i="52"/>
  <c r="I78" i="52" s="1"/>
  <c r="J200" i="5"/>
  <c r="G105" i="52"/>
  <c r="J78" i="52"/>
  <c r="K78" i="52" s="1"/>
  <c r="G98" i="52"/>
  <c r="AF87" i="10"/>
  <c r="J75" i="52"/>
  <c r="K82" i="52" s="1"/>
  <c r="AO34" i="98"/>
  <c r="AQ34" i="98" s="1"/>
  <c r="G126" i="52"/>
  <c r="F121" i="52"/>
  <c r="H121" i="52" s="1"/>
  <c r="G127" i="52"/>
  <c r="F79" i="52"/>
  <c r="H79" i="52" s="1"/>
  <c r="I79" i="52" s="1"/>
  <c r="H139" i="52"/>
  <c r="I139" i="52" s="1"/>
  <c r="G139" i="52"/>
  <c r="G82" i="52"/>
  <c r="H119" i="52"/>
  <c r="I119" i="52" s="1"/>
  <c r="G75" i="52"/>
  <c r="AB119" i="10"/>
  <c r="AD119" i="10" s="1"/>
  <c r="AF126" i="10" s="1"/>
  <c r="J120" i="52"/>
  <c r="K120" i="52" s="1"/>
  <c r="AJ93" i="9"/>
  <c r="BS97" i="77"/>
  <c r="M57" i="94"/>
  <c r="N58" i="94" s="1"/>
  <c r="AA56" i="94"/>
  <c r="AC56" i="94" s="1"/>
  <c r="D177" i="9"/>
  <c r="H177" i="9" s="1"/>
  <c r="AQ177" i="9"/>
  <c r="AA34" i="98"/>
  <c r="CR166" i="1"/>
  <c r="H22" i="74"/>
  <c r="G22" i="74"/>
  <c r="BL153" i="1"/>
  <c r="BL143" i="1"/>
  <c r="BM143" i="1" s="1"/>
  <c r="O58" i="94"/>
  <c r="Q58" i="94" s="1"/>
  <c r="S58" i="94" s="1"/>
  <c r="CZ61" i="20"/>
  <c r="J64" i="5"/>
  <c r="DC71" i="20"/>
  <c r="U45" i="20"/>
  <c r="CL83" i="1"/>
  <c r="K69" i="52"/>
  <c r="T68" i="77"/>
  <c r="Y68" i="77" s="1"/>
  <c r="W61" i="77"/>
  <c r="V238" i="5"/>
  <c r="V251" i="5" s="1"/>
  <c r="V246" i="5"/>
  <c r="V247" i="5" s="1"/>
  <c r="BL131" i="1"/>
  <c r="BL121" i="1"/>
  <c r="BM100" i="1"/>
  <c r="BL106" i="1"/>
  <c r="BL105" i="1"/>
  <c r="CX40" i="20"/>
  <c r="CX49" i="20"/>
  <c r="CJ101" i="1"/>
  <c r="CK81" i="1"/>
  <c r="CK91" i="1"/>
  <c r="BX21" i="20"/>
  <c r="BX41" i="20"/>
  <c r="AL56" i="10"/>
  <c r="R56" i="10"/>
  <c r="AO95" i="77"/>
  <c r="AP95" i="77" s="1"/>
  <c r="AE169" i="9"/>
  <c r="AC169" i="9" s="1"/>
  <c r="AD169" i="9" s="1"/>
  <c r="E95" i="77"/>
  <c r="AH51" i="94"/>
  <c r="AF51" i="94" s="1"/>
  <c r="AG51" i="94" s="1"/>
  <c r="BE95" i="77"/>
  <c r="BF95" i="77" s="1"/>
  <c r="AO64" i="1"/>
  <c r="AP64" i="1"/>
  <c r="BX142" i="1"/>
  <c r="BX152" i="1"/>
  <c r="CC152" i="1" s="1"/>
  <c r="AJ21" i="20"/>
  <c r="AJ26" i="20" s="1"/>
  <c r="U53" i="20"/>
  <c r="BK53" i="20"/>
  <c r="CY49" i="20"/>
  <c r="CF84" i="1"/>
  <c r="CG84" i="1" s="1"/>
  <c r="BZ83" i="1"/>
  <c r="AV106" i="1"/>
  <c r="BA106" i="1" s="1"/>
  <c r="AC144" i="1"/>
  <c r="BL181" i="1"/>
  <c r="BB24" i="1"/>
  <c r="BY122" i="1"/>
  <c r="C92" i="73"/>
  <c r="C105" i="73" s="1"/>
  <c r="AR234" i="1"/>
  <c r="G13" i="73"/>
  <c r="G31" i="73" s="1"/>
  <c r="BP193" i="1"/>
  <c r="F71" i="15"/>
  <c r="C49" i="73"/>
  <c r="BM80" i="77"/>
  <c r="BZ80" i="77"/>
  <c r="H91" i="9"/>
  <c r="R91" i="9" s="1"/>
  <c r="Z111" i="9"/>
  <c r="Z104" i="9"/>
  <c r="AJ134" i="1"/>
  <c r="AJ124" i="1"/>
  <c r="AK103" i="1"/>
  <c r="R91" i="10"/>
  <c r="AJ59" i="20" s="1"/>
  <c r="K142" i="73"/>
  <c r="K63" i="73"/>
  <c r="K103" i="73" s="1"/>
  <c r="Y52" i="77"/>
  <c r="AA52" i="77" s="1"/>
  <c r="T59" i="77"/>
  <c r="W52" i="77"/>
  <c r="R118" i="9"/>
  <c r="Z126" i="9"/>
  <c r="AZ142" i="1"/>
  <c r="AZ152" i="1"/>
  <c r="BA152" i="1" s="1"/>
  <c r="AU153" i="9"/>
  <c r="AS156" i="9"/>
  <c r="V120" i="2"/>
  <c r="V81" i="2"/>
  <c r="V72" i="2"/>
  <c r="V71" i="2"/>
  <c r="V76" i="2"/>
  <c r="V73" i="2"/>
  <c r="L120" i="10"/>
  <c r="L127" i="10"/>
  <c r="BT105" i="1"/>
  <c r="BT121" i="1"/>
  <c r="BY100" i="1"/>
  <c r="BT131" i="1"/>
  <c r="BM95" i="1"/>
  <c r="BM85" i="1"/>
  <c r="AJ122" i="1"/>
  <c r="AJ132" i="1"/>
  <c r="AK132" i="1" s="1"/>
  <c r="AK101" i="1"/>
  <c r="BY213" i="1"/>
  <c r="CC213" i="1"/>
  <c r="AB93" i="52"/>
  <c r="N93" i="52"/>
  <c r="AJ93" i="52"/>
  <c r="AN93" i="52"/>
  <c r="AF93" i="52"/>
  <c r="AQ106" i="9"/>
  <c r="AS106" i="9" s="1"/>
  <c r="D106" i="9"/>
  <c r="H106" i="9" s="1"/>
  <c r="AU65" i="9"/>
  <c r="CD83" i="1"/>
  <c r="W247" i="5"/>
  <c r="BY64" i="1"/>
  <c r="BX62" i="77"/>
  <c r="CD64" i="1"/>
  <c r="BZ64" i="1"/>
  <c r="AU78" i="9"/>
  <c r="AK102" i="1"/>
  <c r="AJ123" i="1"/>
  <c r="AJ133" i="1"/>
  <c r="AK133" i="1" s="1"/>
  <c r="Z152" i="10"/>
  <c r="Z159" i="10"/>
  <c r="N65" i="52"/>
  <c r="AF65" i="52"/>
  <c r="AJ65" i="52"/>
  <c r="AB65" i="52"/>
  <c r="AN65" i="52"/>
  <c r="BD131" i="1"/>
  <c r="BI131" i="1" s="1"/>
  <c r="BD121" i="1"/>
  <c r="BI100" i="1"/>
  <c r="AP229" i="1"/>
  <c r="AN233" i="1"/>
  <c r="AT233" i="1" s="1"/>
  <c r="Q19" i="15"/>
  <c r="Q8" i="15"/>
  <c r="Q38" i="15"/>
  <c r="Q59" i="15"/>
  <c r="Q52" i="15"/>
  <c r="Q16" i="15"/>
  <c r="AH66" i="2"/>
  <c r="Q27" i="15"/>
  <c r="DH10" i="20"/>
  <c r="Q46" i="15"/>
  <c r="Q33" i="15"/>
  <c r="Q41" i="15"/>
  <c r="Q31" i="15"/>
  <c r="Q22" i="15"/>
  <c r="Q14" i="15" s="1"/>
  <c r="R8" i="15"/>
  <c r="I6" i="73"/>
  <c r="Q36" i="15"/>
  <c r="Q61" i="15"/>
  <c r="Q91" i="15"/>
  <c r="Q13" i="15"/>
  <c r="AQ41" i="20"/>
  <c r="BX53" i="20"/>
  <c r="BK21" i="20"/>
  <c r="BK44" i="20" s="1"/>
  <c r="H170" i="9"/>
  <c r="AN170" i="9" s="1"/>
  <c r="AL128" i="52"/>
  <c r="AM135" i="52" s="1"/>
  <c r="CL81" i="1"/>
  <c r="AO102" i="1"/>
  <c r="AJ233" i="1"/>
  <c r="AL233" i="1" s="1"/>
  <c r="AT64" i="1"/>
  <c r="Q74" i="15"/>
  <c r="AC154" i="1"/>
  <c r="C109" i="73"/>
  <c r="AN234" i="1"/>
  <c r="AT234" i="1" s="1"/>
  <c r="AL90" i="9"/>
  <c r="AN90" i="9" s="1"/>
  <c r="Z125" i="9"/>
  <c r="W243" i="5"/>
  <c r="W238" i="5"/>
  <c r="W251" i="5" s="1"/>
  <c r="Z98" i="9"/>
  <c r="AB153" i="1"/>
  <c r="AG123" i="1"/>
  <c r="AB143" i="1"/>
  <c r="AC123" i="1"/>
  <c r="AG94" i="1"/>
  <c r="AG84" i="1"/>
  <c r="AL77" i="10"/>
  <c r="R77" i="10"/>
  <c r="AH59" i="20" s="1"/>
  <c r="AW66" i="1"/>
  <c r="BB66" i="1"/>
  <c r="DJ63" i="20"/>
  <c r="BP191" i="1"/>
  <c r="AF134" i="1"/>
  <c r="AK134" i="1" s="1"/>
  <c r="AF124" i="1"/>
  <c r="D10" i="73"/>
  <c r="D29" i="73" s="1"/>
  <c r="D85" i="73"/>
  <c r="DC70" i="20"/>
  <c r="K62" i="15"/>
  <c r="K67" i="15"/>
  <c r="K153" i="5"/>
  <c r="K154" i="5" s="1"/>
  <c r="X65" i="9"/>
  <c r="H93" i="9"/>
  <c r="BU95" i="1"/>
  <c r="BU85" i="1"/>
  <c r="AM79" i="52"/>
  <c r="X79" i="9"/>
  <c r="Z86" i="9"/>
  <c r="AT230" i="1"/>
  <c r="I32" i="5"/>
  <c r="I61" i="5" s="1"/>
  <c r="T37" i="52" s="1"/>
  <c r="CY59" i="20"/>
  <c r="CY81" i="20" s="1"/>
  <c r="AR144" i="1"/>
  <c r="AR154" i="1"/>
  <c r="BX121" i="1"/>
  <c r="BX131" i="1"/>
  <c r="BX136" i="1" s="1"/>
  <c r="BX105" i="1"/>
  <c r="S31" i="20"/>
  <c r="AJ192" i="1"/>
  <c r="BZ75" i="77"/>
  <c r="BU75" i="77"/>
  <c r="AN103" i="1"/>
  <c r="AT83" i="1"/>
  <c r="AN84" i="1"/>
  <c r="AO93" i="1"/>
  <c r="AO83" i="1"/>
  <c r="AG103" i="1"/>
  <c r="AG41" i="20"/>
  <c r="AG124" i="9"/>
  <c r="AB123" i="10" s="1"/>
  <c r="AD123" i="10" s="1"/>
  <c r="M151" i="5"/>
  <c r="AS210" i="1"/>
  <c r="Q65" i="15"/>
  <c r="AW213" i="1"/>
  <c r="Z146" i="10"/>
  <c r="BL193" i="1"/>
  <c r="C29" i="73"/>
  <c r="BA56" i="1"/>
  <c r="AL53" i="20"/>
  <c r="AE53" i="20"/>
  <c r="AA58" i="94"/>
  <c r="AC58" i="94" s="1"/>
  <c r="D124" i="73"/>
  <c r="T140" i="10"/>
  <c r="AL141" i="10"/>
  <c r="H86" i="9"/>
  <c r="R86" i="9" s="1"/>
  <c r="E6" i="73"/>
  <c r="F35" i="73" s="1"/>
  <c r="M41" i="15"/>
  <c r="M46" i="15"/>
  <c r="M65" i="15"/>
  <c r="DD10" i="20"/>
  <c r="DE49" i="20" s="1"/>
  <c r="M38" i="15"/>
  <c r="M33" i="15"/>
  <c r="M52" i="15"/>
  <c r="M91" i="15"/>
  <c r="M13" i="15"/>
  <c r="M59" i="15"/>
  <c r="M74" i="15"/>
  <c r="M19" i="15"/>
  <c r="M31" i="15"/>
  <c r="Z66" i="2"/>
  <c r="M61" i="15"/>
  <c r="M8" i="15"/>
  <c r="M22" i="15"/>
  <c r="M36" i="15"/>
  <c r="M27" i="15"/>
  <c r="BY95" i="1"/>
  <c r="BY85" i="1"/>
  <c r="Q6" i="15"/>
  <c r="BP17" i="1"/>
  <c r="X122" i="1"/>
  <c r="X132" i="1"/>
  <c r="X136" i="1" s="1"/>
  <c r="AH231" i="1"/>
  <c r="AF232" i="1"/>
  <c r="BX103" i="1"/>
  <c r="BY93" i="1"/>
  <c r="BY83" i="1"/>
  <c r="AC133" i="1"/>
  <c r="AG133" i="1"/>
  <c r="M161" i="5"/>
  <c r="DD69" i="20" s="1"/>
  <c r="M94" i="5"/>
  <c r="N95" i="5" s="1"/>
  <c r="M26" i="5"/>
  <c r="N26" i="5"/>
  <c r="AF91" i="2"/>
  <c r="AH90" i="2"/>
  <c r="CG83" i="1"/>
  <c r="CG93" i="1"/>
  <c r="CF103" i="1"/>
  <c r="CK103" i="1" s="1"/>
  <c r="R127" i="10"/>
  <c r="AL127" i="10"/>
  <c r="BN24" i="1"/>
  <c r="BR24" i="1"/>
  <c r="AY26" i="20"/>
  <c r="AY45" i="20" s="1"/>
  <c r="I134" i="52"/>
  <c r="AU170" i="9"/>
  <c r="BY55" i="77"/>
  <c r="H128" i="9"/>
  <c r="AL121" i="52"/>
  <c r="AN121" i="52" s="1"/>
  <c r="AN120" i="52"/>
  <c r="BM86" i="1"/>
  <c r="BM96" i="1"/>
  <c r="H79" i="9"/>
  <c r="R79" i="9" s="1"/>
  <c r="R63" i="10"/>
  <c r="AB59" i="20" s="1"/>
  <c r="AL63" i="10"/>
  <c r="AL49" i="10"/>
  <c r="U41" i="20"/>
  <c r="BM123" i="1"/>
  <c r="BX33" i="20"/>
  <c r="BX46" i="20" s="1"/>
  <c r="BP181" i="1"/>
  <c r="BN232" i="1"/>
  <c r="BR232" i="1" s="1"/>
  <c r="BV232" i="1" s="1"/>
  <c r="BZ232" i="1" s="1"/>
  <c r="BL191" i="1"/>
  <c r="H95" i="5"/>
  <c r="BF55" i="1"/>
  <c r="CC53" i="20"/>
  <c r="AN82" i="9"/>
  <c r="M85" i="73"/>
  <c r="M30" i="73"/>
  <c r="M156" i="73" s="1"/>
  <c r="M154" i="73" s="1"/>
  <c r="M45" i="73"/>
  <c r="M69" i="73" s="1"/>
  <c r="M155" i="73" s="1"/>
  <c r="BZ61" i="77"/>
  <c r="BY61" i="77"/>
  <c r="AU71" i="9"/>
  <c r="AU82" i="9"/>
  <c r="AT229" i="1"/>
  <c r="M107" i="15"/>
  <c r="DD15" i="20"/>
  <c r="Z68" i="2"/>
  <c r="Z75" i="2" s="1"/>
  <c r="E11" i="73"/>
  <c r="M16" i="15"/>
  <c r="N17" i="15"/>
  <c r="CB123" i="1"/>
  <c r="CB143" i="1" s="1"/>
  <c r="CB133" i="1"/>
  <c r="M89" i="73"/>
  <c r="AE168" i="9"/>
  <c r="AC168" i="9" s="1"/>
  <c r="AD168" i="9" s="1"/>
  <c r="AO94" i="77"/>
  <c r="AP94" i="77" s="1"/>
  <c r="E94" i="77"/>
  <c r="AH50" i="94"/>
  <c r="AF50" i="94" s="1"/>
  <c r="AG50" i="94" s="1"/>
  <c r="BE94" i="77"/>
  <c r="E126" i="73"/>
  <c r="E87" i="73"/>
  <c r="E47" i="73"/>
  <c r="Z83" i="9"/>
  <c r="Z76" i="9"/>
  <c r="H65" i="9"/>
  <c r="AN65" i="9" s="1"/>
  <c r="AX49" i="2"/>
  <c r="AZ49" i="2" s="1"/>
  <c r="BB49" i="2" s="1"/>
  <c r="BD49" i="2" s="1"/>
  <c r="BF49" i="2" s="1"/>
  <c r="AV50" i="2"/>
  <c r="AV52" i="2" s="1"/>
  <c r="CH61" i="20" s="1"/>
  <c r="AL70" i="10"/>
  <c r="R70" i="10"/>
  <c r="AG59" i="20" s="1"/>
  <c r="DL14" i="20"/>
  <c r="AN38" i="94"/>
  <c r="AP38" i="94" s="1"/>
  <c r="K110" i="52"/>
  <c r="AO79" i="52"/>
  <c r="AC173" i="52"/>
  <c r="K50" i="52"/>
  <c r="K43" i="52"/>
  <c r="W117" i="5"/>
  <c r="H76" i="5"/>
  <c r="H91" i="5" s="1"/>
  <c r="R204" i="5"/>
  <c r="X116" i="5"/>
  <c r="X181" i="5" s="1"/>
  <c r="X182" i="5" s="1"/>
  <c r="AL98" i="9"/>
  <c r="AN98" i="9" s="1"/>
  <c r="M67" i="5"/>
  <c r="AL41" i="20"/>
  <c r="AE33" i="20"/>
  <c r="BV53" i="20"/>
  <c r="CC41" i="20"/>
  <c r="CC33" i="20"/>
  <c r="CH55" i="20" s="1"/>
  <c r="AQ53" i="20"/>
  <c r="BC21" i="20"/>
  <c r="BC43" i="20" s="1"/>
  <c r="Y41" i="20"/>
  <c r="CC21" i="20"/>
  <c r="CC44" i="20" s="1"/>
  <c r="CC82" i="20" s="1"/>
  <c r="AJ53" i="20"/>
  <c r="BC33" i="20"/>
  <c r="BC46" i="20" s="1"/>
  <c r="AL33" i="20"/>
  <c r="AL46" i="20" s="1"/>
  <c r="CX18" i="20"/>
  <c r="CX41" i="20" s="1"/>
  <c r="BN56" i="1"/>
  <c r="BR56" i="1" s="1"/>
  <c r="BV56" i="1" s="1"/>
  <c r="BZ56" i="1" s="1"/>
  <c r="CD56" i="1" s="1"/>
  <c r="CH56" i="1" s="1"/>
  <c r="CL56" i="1" s="1"/>
  <c r="CP56" i="1" s="1"/>
  <c r="CT56" i="1" s="1"/>
  <c r="CV53" i="20"/>
  <c r="M124" i="73"/>
  <c r="M128" i="73" s="1"/>
  <c r="M13" i="73"/>
  <c r="M38" i="73" s="1"/>
  <c r="K57" i="52"/>
  <c r="K119" i="52"/>
  <c r="D128" i="73"/>
  <c r="L49" i="73"/>
  <c r="P143" i="73"/>
  <c r="P103" i="73"/>
  <c r="P145" i="73" s="1"/>
  <c r="B71" i="15"/>
  <c r="B68" i="15"/>
  <c r="B76" i="15"/>
  <c r="D76" i="15"/>
  <c r="D68" i="15"/>
  <c r="D71" i="15"/>
  <c r="G69" i="73"/>
  <c r="G49" i="73"/>
  <c r="I40" i="52"/>
  <c r="D165" i="73"/>
  <c r="C131" i="73"/>
  <c r="C147" i="73" s="1"/>
  <c r="F79" i="15"/>
  <c r="L69" i="2"/>
  <c r="L8" i="3" s="1"/>
  <c r="L15" i="3" s="1"/>
  <c r="L34" i="3" s="1"/>
  <c r="L58" i="3" s="1"/>
  <c r="L62" i="3" s="1"/>
  <c r="F77" i="15"/>
  <c r="R94" i="73"/>
  <c r="R54" i="73"/>
  <c r="R133" i="73"/>
  <c r="DB39" i="20"/>
  <c r="DB18" i="20"/>
  <c r="D49" i="73"/>
  <c r="D68" i="73" s="1"/>
  <c r="L128" i="73"/>
  <c r="L131" i="73" s="1"/>
  <c r="H89" i="73"/>
  <c r="H108" i="73" s="1"/>
  <c r="AX56" i="1"/>
  <c r="AW56" i="1"/>
  <c r="DK41" i="20"/>
  <c r="L154" i="73"/>
  <c r="H114" i="73"/>
  <c r="AX55" i="1"/>
  <c r="AW55" i="1"/>
  <c r="BB56" i="1"/>
  <c r="DK53" i="20"/>
  <c r="K99" i="52"/>
  <c r="H128" i="73"/>
  <c r="H150" i="73" s="1"/>
  <c r="AH64" i="15"/>
  <c r="DR20" i="20"/>
  <c r="S15" i="73"/>
  <c r="M31" i="73"/>
  <c r="H74" i="73"/>
  <c r="H49" i="73"/>
  <c r="H68" i="73" s="1"/>
  <c r="E77" i="15"/>
  <c r="E79" i="15"/>
  <c r="J69" i="2"/>
  <c r="J8" i="3" s="1"/>
  <c r="J15" i="3" s="1"/>
  <c r="J34" i="3" s="1"/>
  <c r="J58" i="3" s="1"/>
  <c r="J62" i="3" s="1"/>
  <c r="DK33" i="20"/>
  <c r="DK46" i="20" s="1"/>
  <c r="DA18" i="20"/>
  <c r="DA36" i="20" s="1"/>
  <c r="C154" i="73"/>
  <c r="S132" i="5"/>
  <c r="S89" i="5"/>
  <c r="G95" i="5"/>
  <c r="AI134" i="9"/>
  <c r="AB133" i="10" s="1"/>
  <c r="AD133" i="10" s="1"/>
  <c r="AF133" i="10" s="1"/>
  <c r="W95" i="5"/>
  <c r="DJ65" i="20"/>
  <c r="DJ66" i="20" s="1"/>
  <c r="W122" i="5"/>
  <c r="X122" i="5" s="1"/>
  <c r="Z106" i="5"/>
  <c r="AA106" i="5" s="1"/>
  <c r="AL96" i="9"/>
  <c r="AN96" i="9" s="1"/>
  <c r="K54" i="52"/>
  <c r="J135" i="52"/>
  <c r="W135" i="52" s="1"/>
  <c r="P107" i="2"/>
  <c r="P113" i="2" s="1"/>
  <c r="I96" i="52"/>
  <c r="AA221" i="5"/>
  <c r="AA224" i="5" s="1"/>
  <c r="DR73" i="20" s="1"/>
  <c r="Z231" i="5"/>
  <c r="Z232" i="5" s="1"/>
  <c r="DH66" i="20"/>
  <c r="DH80" i="20"/>
  <c r="V187" i="5"/>
  <c r="V188" i="5" s="1"/>
  <c r="S178" i="5"/>
  <c r="CE53" i="20"/>
  <c r="AC44" i="20"/>
  <c r="AY43" i="20"/>
  <c r="AY41" i="20"/>
  <c r="AY33" i="20"/>
  <c r="AY46" i="20" s="1"/>
  <c r="CF41" i="20"/>
  <c r="AY53" i="20"/>
  <c r="AC26" i="20"/>
  <c r="AC45" i="20" s="1"/>
  <c r="AE41" i="20"/>
  <c r="CF43" i="20"/>
  <c r="H41" i="20"/>
  <c r="H21" i="20"/>
  <c r="CF26" i="20"/>
  <c r="CF28" i="20" s="1"/>
  <c r="U43" i="20"/>
  <c r="CF33" i="20"/>
  <c r="CF46" i="20" s="1"/>
  <c r="H33" i="20"/>
  <c r="H46" i="20" s="1"/>
  <c r="AV41" i="20"/>
  <c r="CK53" i="20"/>
  <c r="CB66" i="20"/>
  <c r="AV53" i="20"/>
  <c r="BM66" i="20"/>
  <c r="CK33" i="20"/>
  <c r="CK46" i="20" s="1"/>
  <c r="CE41" i="20"/>
  <c r="BG21" i="20"/>
  <c r="BG44" i="20" s="1"/>
  <c r="AV26" i="20"/>
  <c r="BQ41" i="20"/>
  <c r="BV68" i="20" s="1"/>
  <c r="CK41" i="20"/>
  <c r="BW33" i="20"/>
  <c r="BW46" i="20" s="1"/>
  <c r="BW41" i="20"/>
  <c r="BW21" i="20"/>
  <c r="BV43" i="20"/>
  <c r="BV26" i="20"/>
  <c r="BV44" i="20"/>
  <c r="CE33" i="20"/>
  <c r="CJ55" i="20" s="1"/>
  <c r="AV44" i="20"/>
  <c r="CE21" i="20"/>
  <c r="CE26" i="20" s="1"/>
  <c r="CJ53" i="20"/>
  <c r="BG33" i="20"/>
  <c r="BG46" i="20" s="1"/>
  <c r="BS66" i="20"/>
  <c r="BX66" i="20"/>
  <c r="AS83" i="9"/>
  <c r="AU90" i="9" s="1"/>
  <c r="K125" i="52"/>
  <c r="G58" i="52"/>
  <c r="Y107" i="5"/>
  <c r="X177" i="5"/>
  <c r="X178" i="5" s="1"/>
  <c r="H58" i="52"/>
  <c r="AL97" i="9"/>
  <c r="AN97" i="9" s="1"/>
  <c r="AB116" i="10"/>
  <c r="AD116" i="10" s="1"/>
  <c r="AF116" i="10" s="1"/>
  <c r="AJ117" i="9"/>
  <c r="AS117" i="9" s="1"/>
  <c r="AG118" i="9"/>
  <c r="AB117" i="10" s="1"/>
  <c r="AD117" i="10" s="1"/>
  <c r="AF117" i="10" s="1"/>
  <c r="I131" i="52"/>
  <c r="P107" i="52"/>
  <c r="S173" i="52" s="1"/>
  <c r="S161" i="5"/>
  <c r="DJ69" i="20" s="1"/>
  <c r="AJ86" i="9"/>
  <c r="AJ114" i="9"/>
  <c r="AF94" i="10"/>
  <c r="AF105" i="10"/>
  <c r="AS84" i="9"/>
  <c r="AD91" i="10"/>
  <c r="AL91" i="9"/>
  <c r="AN91" i="9" s="1"/>
  <c r="G135" i="52"/>
  <c r="I103" i="52"/>
  <c r="I124" i="52"/>
  <c r="U243" i="5"/>
  <c r="U244" i="5" s="1"/>
  <c r="U232" i="5"/>
  <c r="U234" i="5"/>
  <c r="U235" i="5" s="1"/>
  <c r="W232" i="5"/>
  <c r="V232" i="5"/>
  <c r="V243" i="5"/>
  <c r="V234" i="5"/>
  <c r="Y234" i="5"/>
  <c r="Y235" i="5" s="1"/>
  <c r="DI66" i="20"/>
  <c r="DI80" i="20"/>
  <c r="M167" i="52"/>
  <c r="BI80" i="20"/>
  <c r="AJ131" i="9"/>
  <c r="J62" i="5"/>
  <c r="AS98" i="9"/>
  <c r="K141" i="52"/>
  <c r="J72" i="52"/>
  <c r="M170" i="52" s="1"/>
  <c r="I133" i="52"/>
  <c r="W19" i="5"/>
  <c r="AS89" i="9"/>
  <c r="AU89" i="9" s="1"/>
  <c r="AL89" i="9"/>
  <c r="AN89" i="9" s="1"/>
  <c r="P95" i="5"/>
  <c r="P100" i="52"/>
  <c r="R173" i="52" s="1"/>
  <c r="R94" i="5"/>
  <c r="S95" i="5" s="1"/>
  <c r="R161" i="5"/>
  <c r="DI69" i="20" s="1"/>
  <c r="U127" i="5"/>
  <c r="K96" i="52"/>
  <c r="AD98" i="10"/>
  <c r="S86" i="5"/>
  <c r="S24" i="15" s="1"/>
  <c r="S177" i="52" s="1"/>
  <c r="I95" i="5"/>
  <c r="W25" i="5"/>
  <c r="X235" i="5"/>
  <c r="K134" i="52"/>
  <c r="H51" i="52"/>
  <c r="K75" i="52"/>
  <c r="J51" i="52"/>
  <c r="K58" i="52" s="1"/>
  <c r="V167" i="52"/>
  <c r="I125" i="52"/>
  <c r="I98" i="52"/>
  <c r="CY18" i="20"/>
  <c r="CZ53" i="20" s="1"/>
  <c r="CY39" i="20"/>
  <c r="CL53" i="1"/>
  <c r="CP53" i="1" s="1"/>
  <c r="CT53" i="1" s="1"/>
  <c r="CC16" i="20"/>
  <c r="T154" i="5"/>
  <c r="K126" i="52"/>
  <c r="K133" i="52"/>
  <c r="CA16" i="20"/>
  <c r="CL51" i="1"/>
  <c r="CP51" i="1" s="1"/>
  <c r="CT51" i="1" s="1"/>
  <c r="BI65" i="1"/>
  <c r="BN65" i="1" s="1"/>
  <c r="BR65" i="1" s="1"/>
  <c r="BV65" i="1" s="1"/>
  <c r="BZ65" i="1" s="1"/>
  <c r="BJ65" i="1"/>
  <c r="AZ137" i="1"/>
  <c r="AZ136" i="1"/>
  <c r="BE131" i="1"/>
  <c r="CG85" i="1"/>
  <c r="CG95" i="1"/>
  <c r="AL97" i="77"/>
  <c r="AB71" i="2"/>
  <c r="AB76" i="2"/>
  <c r="AB120" i="2"/>
  <c r="AB73" i="2"/>
  <c r="AB72" i="2"/>
  <c r="AB81" i="2"/>
  <c r="I94" i="73"/>
  <c r="I54" i="73"/>
  <c r="I133" i="73"/>
  <c r="X135" i="1"/>
  <c r="AC161" i="52"/>
  <c r="P161" i="52"/>
  <c r="CD84" i="1"/>
  <c r="BY84" i="1"/>
  <c r="BY94" i="1"/>
  <c r="P72" i="9"/>
  <c r="R72" i="9" s="1"/>
  <c r="X72" i="9"/>
  <c r="Z72" i="9" s="1"/>
  <c r="W62" i="15"/>
  <c r="W105" i="15"/>
  <c r="W153" i="5"/>
  <c r="W67" i="15"/>
  <c r="W71" i="15" s="1"/>
  <c r="AK61" i="15"/>
  <c r="AK63" i="15" s="1"/>
  <c r="CO81" i="1"/>
  <c r="CP81" i="1"/>
  <c r="CO91" i="1"/>
  <c r="CN101" i="1"/>
  <c r="CN84" i="1"/>
  <c r="CN85" i="1"/>
  <c r="CN86" i="1"/>
  <c r="Z145" i="9"/>
  <c r="Z152" i="9"/>
  <c r="BH85" i="1"/>
  <c r="BH101" i="1"/>
  <c r="BI81" i="1"/>
  <c r="BN81" i="1"/>
  <c r="BI91" i="1"/>
  <c r="BH86" i="1"/>
  <c r="BH84" i="1"/>
  <c r="BJ84" i="1" s="1"/>
  <c r="BQ102" i="1"/>
  <c r="BP123" i="1"/>
  <c r="BU102" i="1"/>
  <c r="BP133" i="1"/>
  <c r="BP134" i="1"/>
  <c r="BU103" i="1"/>
  <c r="BP124" i="1"/>
  <c r="BA97" i="77"/>
  <c r="BB93" i="77"/>
  <c r="R65" i="15"/>
  <c r="J15" i="73"/>
  <c r="DI20" i="20"/>
  <c r="N67" i="15"/>
  <c r="N62" i="15"/>
  <c r="N153" i="5"/>
  <c r="N154" i="5" s="1"/>
  <c r="N105" i="15"/>
  <c r="N89" i="89"/>
  <c r="N90" i="89" s="1"/>
  <c r="BJ81" i="1"/>
  <c r="BY69" i="77"/>
  <c r="BZ69" i="77"/>
  <c r="W107" i="15"/>
  <c r="AR68" i="2"/>
  <c r="AR75" i="2" s="1"/>
  <c r="W16" i="15"/>
  <c r="W17" i="15"/>
  <c r="AT68" i="2"/>
  <c r="AT75" i="2" s="1"/>
  <c r="AV75" i="2" s="1"/>
  <c r="AX75" i="2" s="1"/>
  <c r="AZ75" i="2" s="1"/>
  <c r="BB75" i="2" s="1"/>
  <c r="BD75" i="2" s="1"/>
  <c r="BF75" i="2" s="1"/>
  <c r="DN15" i="20"/>
  <c r="DN18" i="20" s="1"/>
  <c r="O11" i="73"/>
  <c r="X17" i="15"/>
  <c r="T114" i="89"/>
  <c r="U78" i="89"/>
  <c r="N47" i="73"/>
  <c r="N87" i="73"/>
  <c r="D150" i="73"/>
  <c r="AA53" i="77"/>
  <c r="Y55" i="77"/>
  <c r="AA55" i="77" s="1"/>
  <c r="V91" i="15"/>
  <c r="W90" i="15"/>
  <c r="DH42" i="20"/>
  <c r="BP152" i="1"/>
  <c r="BU152" i="1" s="1"/>
  <c r="BU122" i="1"/>
  <c r="BP142" i="1"/>
  <c r="BU142" i="1" s="1"/>
  <c r="CL64" i="1"/>
  <c r="BX76" i="77"/>
  <c r="CG64" i="1"/>
  <c r="BU94" i="1"/>
  <c r="BZ84" i="1"/>
  <c r="BU84" i="1"/>
  <c r="M97" i="73"/>
  <c r="M57" i="73"/>
  <c r="J150" i="73"/>
  <c r="J131" i="73"/>
  <c r="DO39" i="20"/>
  <c r="DO18" i="20"/>
  <c r="BY152" i="1"/>
  <c r="BE144" i="1"/>
  <c r="G51" i="52"/>
  <c r="I50" i="52"/>
  <c r="CG151" i="1"/>
  <c r="Z90" i="9"/>
  <c r="Z97" i="9"/>
  <c r="W60" i="77"/>
  <c r="Y60" i="77"/>
  <c r="T67" i="77"/>
  <c r="T62" i="77"/>
  <c r="BR30" i="20"/>
  <c r="BX200" i="1"/>
  <c r="J87" i="89"/>
  <c r="CB104" i="1"/>
  <c r="CG100" i="1"/>
  <c r="CB121" i="1"/>
  <c r="CB131" i="1"/>
  <c r="CB106" i="1"/>
  <c r="CB105" i="1"/>
  <c r="CC100" i="1"/>
  <c r="AF68" i="2"/>
  <c r="AF75" i="2" s="1"/>
  <c r="DG15" i="20"/>
  <c r="P107" i="15"/>
  <c r="P44" i="15"/>
  <c r="P17" i="15"/>
  <c r="P16" i="15"/>
  <c r="H11" i="73"/>
  <c r="P61" i="15"/>
  <c r="Q17" i="15"/>
  <c r="L71" i="3"/>
  <c r="L72" i="3" s="1"/>
  <c r="L122" i="89"/>
  <c r="J154" i="73"/>
  <c r="K170" i="73"/>
  <c r="AJ71" i="3"/>
  <c r="AJ72" i="3" s="1"/>
  <c r="AL75" i="3"/>
  <c r="J52" i="73"/>
  <c r="J68" i="73"/>
  <c r="AP230" i="1"/>
  <c r="AS122" i="1"/>
  <c r="AN142" i="1"/>
  <c r="AN152" i="1"/>
  <c r="AO122" i="1"/>
  <c r="AS21" i="20"/>
  <c r="AS43" i="20" s="1"/>
  <c r="CU44" i="20"/>
  <c r="K42" i="52"/>
  <c r="S19" i="5"/>
  <c r="S25" i="5"/>
  <c r="S26" i="5" s="1"/>
  <c r="L92" i="73"/>
  <c r="L108" i="73"/>
  <c r="G90" i="77"/>
  <c r="X97" i="5"/>
  <c r="AZ135" i="1"/>
  <c r="AS96" i="1"/>
  <c r="AS86" i="1"/>
  <c r="AX86" i="1"/>
  <c r="V76" i="89"/>
  <c r="DH58" i="1"/>
  <c r="BI143" i="1"/>
  <c r="N103" i="73"/>
  <c r="N145" i="73" s="1"/>
  <c r="N143" i="73"/>
  <c r="CY52" i="20"/>
  <c r="CZ52" i="20"/>
  <c r="M129" i="73"/>
  <c r="M170" i="73" s="1"/>
  <c r="O143" i="73"/>
  <c r="O103" i="73"/>
  <c r="O145" i="73" s="1"/>
  <c r="DE14" i="20"/>
  <c r="DE42" i="20"/>
  <c r="DF49" i="20"/>
  <c r="V20" i="15"/>
  <c r="AH85" i="1"/>
  <c r="AC95" i="1"/>
  <c r="AC85" i="1"/>
  <c r="W82" i="89"/>
  <c r="B69" i="10"/>
  <c r="B78" i="9"/>
  <c r="B85" i="9" s="1"/>
  <c r="B92" i="9" s="1"/>
  <c r="B99" i="9" s="1"/>
  <c r="B106" i="9" s="1"/>
  <c r="B113" i="9" s="1"/>
  <c r="B120" i="9" s="1"/>
  <c r="B127" i="9" s="1"/>
  <c r="B134" i="9" s="1"/>
  <c r="B141" i="9" s="1"/>
  <c r="B148" i="9" s="1"/>
  <c r="B155" i="9" s="1"/>
  <c r="B162" i="9" s="1"/>
  <c r="B169" i="9" s="1"/>
  <c r="B176" i="9" s="1"/>
  <c r="AM106" i="52"/>
  <c r="AN106" i="52"/>
  <c r="CG92" i="1"/>
  <c r="CG82" i="1"/>
  <c r="CL82" i="1"/>
  <c r="CF102" i="1"/>
  <c r="CF104" i="1" s="1"/>
  <c r="CH82" i="1"/>
  <c r="CC95" i="1"/>
  <c r="CH85" i="1"/>
  <c r="CC85" i="1"/>
  <c r="CD85" i="1"/>
  <c r="BZ16" i="20"/>
  <c r="CL50" i="1"/>
  <c r="CP50" i="1" s="1"/>
  <c r="CT50" i="1" s="1"/>
  <c r="DN23" i="20"/>
  <c r="O18" i="73"/>
  <c r="AB233" i="1"/>
  <c r="AB234" i="1"/>
  <c r="AD228" i="1"/>
  <c r="AB232" i="1"/>
  <c r="AH228" i="1"/>
  <c r="P121" i="89"/>
  <c r="Q85" i="89"/>
  <c r="K13" i="73"/>
  <c r="K29" i="73"/>
  <c r="AV136" i="1"/>
  <c r="BA131" i="1"/>
  <c r="CP66" i="1"/>
  <c r="CK66" i="1"/>
  <c r="CP65" i="1"/>
  <c r="CK65" i="1"/>
  <c r="CD86" i="1"/>
  <c r="BY86" i="1"/>
  <c r="BY96" i="1"/>
  <c r="BD59" i="20"/>
  <c r="BU59" i="20"/>
  <c r="AK96" i="1"/>
  <c r="AK86" i="1"/>
  <c r="AP86" i="1" s="1"/>
  <c r="AL86" i="1"/>
  <c r="Z65" i="77"/>
  <c r="AA65" i="77"/>
  <c r="BP121" i="1"/>
  <c r="BU100" i="1"/>
  <c r="BP106" i="1"/>
  <c r="BQ100" i="1"/>
  <c r="BP131" i="1"/>
  <c r="BP104" i="1"/>
  <c r="BP105" i="1"/>
  <c r="AS132" i="1"/>
  <c r="X13" i="74"/>
  <c r="W13" i="74"/>
  <c r="H128" i="52"/>
  <c r="V166" i="52" s="1"/>
  <c r="J128" i="52"/>
  <c r="P92" i="73"/>
  <c r="P108" i="73"/>
  <c r="P153" i="73" s="1"/>
  <c r="S159" i="5"/>
  <c r="DJ72" i="20" s="1"/>
  <c r="W55" i="77"/>
  <c r="N20" i="15"/>
  <c r="AC45" i="15"/>
  <c r="DT16" i="20" s="1"/>
  <c r="DS16" i="20"/>
  <c r="DK20" i="20"/>
  <c r="T65" i="15"/>
  <c r="L15" i="73"/>
  <c r="L16" i="73" s="1"/>
  <c r="C7" i="92"/>
  <c r="C9" i="92"/>
  <c r="C10" i="92" s="1"/>
  <c r="B59" i="10"/>
  <c r="B68" i="9"/>
  <c r="BE95" i="1"/>
  <c r="BE85" i="1"/>
  <c r="U19" i="5"/>
  <c r="U25" i="5"/>
  <c r="K121" i="89"/>
  <c r="J88" i="89"/>
  <c r="I63" i="73"/>
  <c r="I103" i="73" s="1"/>
  <c r="I142" i="73"/>
  <c r="AX229" i="1"/>
  <c r="BB229" i="1"/>
  <c r="AV233" i="1"/>
  <c r="AV234" i="1"/>
  <c r="CG86" i="1"/>
  <c r="X58" i="9"/>
  <c r="Z65" i="9" s="1"/>
  <c r="P65" i="9"/>
  <c r="BA142" i="1"/>
  <c r="AW142" i="1"/>
  <c r="U17" i="20"/>
  <c r="U33" i="20" s="1"/>
  <c r="U46" i="20" s="1"/>
  <c r="AK210" i="1"/>
  <c r="AO210" i="1"/>
  <c r="D50" i="73"/>
  <c r="D129" i="73"/>
  <c r="D131" i="73" s="1"/>
  <c r="D90" i="73"/>
  <c r="E37" i="73"/>
  <c r="D30" i="73"/>
  <c r="D37" i="73"/>
  <c r="AK84" i="1"/>
  <c r="AP84" i="1" s="1"/>
  <c r="AK94" i="1"/>
  <c r="AL84" i="1"/>
  <c r="U81" i="89"/>
  <c r="T117" i="89"/>
  <c r="BZ87" i="77"/>
  <c r="BY87" i="77"/>
  <c r="AS41" i="20"/>
  <c r="K131" i="52"/>
  <c r="AQ110" i="9"/>
  <c r="AS110" i="9" s="1"/>
  <c r="D110" i="9"/>
  <c r="H110" i="9" s="1"/>
  <c r="D117" i="9"/>
  <c r="H117" i="9" s="1"/>
  <c r="DA71" i="20"/>
  <c r="U65" i="15"/>
  <c r="M15" i="73"/>
  <c r="D13" i="73"/>
  <c r="BY55" i="1"/>
  <c r="P52" i="73"/>
  <c r="P68" i="73"/>
  <c r="P151" i="73" s="1"/>
  <c r="O47" i="73"/>
  <c r="O49" i="73" s="1"/>
  <c r="O87" i="73"/>
  <c r="O89" i="73" s="1"/>
  <c r="O10" i="73"/>
  <c r="AS33" i="20"/>
  <c r="AS46" i="20" s="1"/>
  <c r="CU43" i="20"/>
  <c r="W21" i="20"/>
  <c r="W26" i="20" s="1"/>
  <c r="S204" i="5"/>
  <c r="I141" i="52"/>
  <c r="I75" i="52"/>
  <c r="G116" i="73"/>
  <c r="AS95" i="1"/>
  <c r="AS85" i="1"/>
  <c r="AX85" i="1"/>
  <c r="CF122" i="1"/>
  <c r="CF132" i="1"/>
  <c r="CG132" i="1" s="1"/>
  <c r="CF105" i="1"/>
  <c r="AN178" i="1"/>
  <c r="AN182" i="1" s="1"/>
  <c r="AN187" i="1"/>
  <c r="AN143" i="1"/>
  <c r="AN153" i="1"/>
  <c r="AS123" i="1"/>
  <c r="X19" i="5"/>
  <c r="X25" i="5"/>
  <c r="R67" i="15"/>
  <c r="Z141" i="9"/>
  <c r="Z148" i="9"/>
  <c r="L52" i="73"/>
  <c r="L68" i="73"/>
  <c r="D137" i="73"/>
  <c r="D58" i="73"/>
  <c r="D98" i="73"/>
  <c r="BT191" i="1"/>
  <c r="B54" i="10"/>
  <c r="B63" i="9"/>
  <c r="AT86" i="1"/>
  <c r="AF151" i="1"/>
  <c r="AF125" i="1"/>
  <c r="AF141" i="1"/>
  <c r="AG121" i="1"/>
  <c r="CH86" i="1"/>
  <c r="CC86" i="1"/>
  <c r="CC96" i="1"/>
  <c r="BU56" i="1"/>
  <c r="T68" i="5"/>
  <c r="K89" i="73"/>
  <c r="K109" i="73"/>
  <c r="T19" i="5"/>
  <c r="BA121" i="1"/>
  <c r="AV151" i="1"/>
  <c r="AV141" i="1"/>
  <c r="AV126" i="1"/>
  <c r="M87" i="89"/>
  <c r="AN136" i="1"/>
  <c r="AN137" i="1"/>
  <c r="O123" i="89"/>
  <c r="O88" i="89"/>
  <c r="O89" i="89" s="1"/>
  <c r="O90" i="89" s="1"/>
  <c r="AK85" i="1"/>
  <c r="AP85" i="1" s="1"/>
  <c r="AK95" i="1"/>
  <c r="AL85" i="1"/>
  <c r="C41" i="20"/>
  <c r="C33" i="20"/>
  <c r="H53" i="20"/>
  <c r="C21" i="20"/>
  <c r="BF85" i="1"/>
  <c r="Y72" i="77"/>
  <c r="R72" i="77"/>
  <c r="N79" i="77"/>
  <c r="DJ20" i="20"/>
  <c r="DJ21" i="20" s="1"/>
  <c r="DJ44" i="20" s="1"/>
  <c r="K15" i="73"/>
  <c r="S65" i="15"/>
  <c r="Z146" i="9"/>
  <c r="Z139" i="9"/>
  <c r="CO64" i="1"/>
  <c r="BX90" i="77"/>
  <c r="B135" i="89"/>
  <c r="C135" i="89"/>
  <c r="G16" i="73"/>
  <c r="I86" i="89"/>
  <c r="J121" i="89" s="1"/>
  <c r="P69" i="73"/>
  <c r="R69" i="73" s="1"/>
  <c r="BB84" i="1"/>
  <c r="AW94" i="1"/>
  <c r="AW84" i="1"/>
  <c r="J69" i="73"/>
  <c r="C82" i="15"/>
  <c r="CJ124" i="1"/>
  <c r="CJ134" i="1"/>
  <c r="CO103" i="1"/>
  <c r="H194" i="5"/>
  <c r="AQ120" i="9"/>
  <c r="D120" i="9"/>
  <c r="H120" i="9" s="1"/>
  <c r="BY74" i="77"/>
  <c r="BZ74" i="77"/>
  <c r="W79" i="77"/>
  <c r="T86" i="77"/>
  <c r="BY81" i="77"/>
  <c r="BZ81" i="77"/>
  <c r="J62" i="15"/>
  <c r="J153" i="5"/>
  <c r="J154" i="5" s="1"/>
  <c r="J67" i="15"/>
  <c r="CN141" i="1"/>
  <c r="BQ96" i="1"/>
  <c r="BQ86" i="1"/>
  <c r="C16" i="73"/>
  <c r="C31" i="73"/>
  <c r="C26" i="73"/>
  <c r="P149" i="9"/>
  <c r="R149" i="9" s="1"/>
  <c r="X149" i="9"/>
  <c r="Z149" i="9" s="1"/>
  <c r="AX84" i="1"/>
  <c r="AS94" i="1"/>
  <c r="AS84" i="1"/>
  <c r="DM40" i="20"/>
  <c r="DM52" i="20"/>
  <c r="J33" i="20"/>
  <c r="J46" i="20" s="1"/>
  <c r="J41" i="20"/>
  <c r="J21" i="20"/>
  <c r="CH64" i="1"/>
  <c r="L76" i="15"/>
  <c r="L68" i="15"/>
  <c r="L71" i="15"/>
  <c r="CG94" i="1"/>
  <c r="BU86" i="1"/>
  <c r="BU96" i="1"/>
  <c r="BD122" i="1"/>
  <c r="BD132" i="1"/>
  <c r="BE101" i="1"/>
  <c r="BI101" i="1"/>
  <c r="BD105" i="1"/>
  <c r="BE105" i="1" s="1"/>
  <c r="BD106" i="1"/>
  <c r="BE106" i="1" s="1"/>
  <c r="BD104" i="1"/>
  <c r="BE104" i="1" s="1"/>
  <c r="K74" i="73"/>
  <c r="K49" i="73"/>
  <c r="BQ122" i="1"/>
  <c r="BX133" i="1"/>
  <c r="BX123" i="1"/>
  <c r="CC102" i="1"/>
  <c r="BX106" i="1"/>
  <c r="CR200" i="1"/>
  <c r="CR164" i="1" s="1"/>
  <c r="CQ30" i="20"/>
  <c r="DC52" i="20"/>
  <c r="DC40" i="20"/>
  <c r="DD52" i="20"/>
  <c r="R139" i="9"/>
  <c r="CV55" i="20"/>
  <c r="W33" i="20"/>
  <c r="W46" i="20" s="1"/>
  <c r="BN68" i="20"/>
  <c r="I138" i="52"/>
  <c r="BI64" i="1"/>
  <c r="BN64" i="1"/>
  <c r="P109" i="73"/>
  <c r="P157" i="73" s="1"/>
  <c r="G76" i="73"/>
  <c r="AZ151" i="1"/>
  <c r="AZ141" i="1"/>
  <c r="AZ127" i="1"/>
  <c r="AZ125" i="1"/>
  <c r="BE121" i="1"/>
  <c r="AZ126" i="1"/>
  <c r="AS133" i="1"/>
  <c r="DH59" i="1"/>
  <c r="DH37" i="1"/>
  <c r="DH60" i="1" s="1"/>
  <c r="DE37" i="1"/>
  <c r="DE59" i="1"/>
  <c r="BQ213" i="1"/>
  <c r="BU213" i="1"/>
  <c r="F45" i="73"/>
  <c r="F85" i="73"/>
  <c r="F10" i="73"/>
  <c r="F124" i="73"/>
  <c r="G35" i="73"/>
  <c r="R141" i="9"/>
  <c r="DM14" i="20"/>
  <c r="DN49" i="20"/>
  <c r="DM49" i="20"/>
  <c r="DM42" i="20"/>
  <c r="AC94" i="1"/>
  <c r="AC84" i="1"/>
  <c r="AH84" i="1"/>
  <c r="AD84" i="1"/>
  <c r="P122" i="89"/>
  <c r="Q86" i="89"/>
  <c r="BI233" i="1"/>
  <c r="BN233" i="1" s="1"/>
  <c r="BR233" i="1" s="1"/>
  <c r="BV233" i="1" s="1"/>
  <c r="BZ233" i="1" s="1"/>
  <c r="BN35" i="1"/>
  <c r="BR35" i="1" s="1"/>
  <c r="BV35" i="1" s="1"/>
  <c r="BZ35" i="1" s="1"/>
  <c r="CD35" i="1" s="1"/>
  <c r="CH35" i="1" s="1"/>
  <c r="CL35" i="1" s="1"/>
  <c r="CP35" i="1" s="1"/>
  <c r="L74" i="73"/>
  <c r="CB124" i="1"/>
  <c r="CB134" i="1"/>
  <c r="CG103" i="1"/>
  <c r="CC103" i="1"/>
  <c r="X151" i="1"/>
  <c r="X141" i="1"/>
  <c r="AC121" i="1"/>
  <c r="BA102" i="1"/>
  <c r="AV123" i="1"/>
  <c r="AV125" i="1" s="1"/>
  <c r="AV133" i="1"/>
  <c r="AW102" i="1"/>
  <c r="AM113" i="52"/>
  <c r="AN113" i="52"/>
  <c r="AM120" i="52"/>
  <c r="AL114" i="52"/>
  <c r="R74" i="15"/>
  <c r="S73" i="15"/>
  <c r="J19" i="73"/>
  <c r="DI24" i="20"/>
  <c r="Z77" i="9"/>
  <c r="CH84" i="1"/>
  <c r="CC84" i="1"/>
  <c r="CC94" i="1"/>
  <c r="DB70" i="20"/>
  <c r="BU55" i="1"/>
  <c r="BA105" i="1"/>
  <c r="CK64" i="1"/>
  <c r="BX83" i="77"/>
  <c r="CP64" i="1"/>
  <c r="CC132" i="1"/>
  <c r="AV144" i="1"/>
  <c r="BA124" i="1"/>
  <c r="AW124" i="1"/>
  <c r="AV154" i="1"/>
  <c r="L26" i="73"/>
  <c r="L31" i="73"/>
  <c r="L38" i="73"/>
  <c r="CK82" i="1"/>
  <c r="CK92" i="1"/>
  <c r="CJ102" i="1"/>
  <c r="CP82" i="1"/>
  <c r="P87" i="89"/>
  <c r="AN151" i="1"/>
  <c r="AN141" i="1"/>
  <c r="AN127" i="1"/>
  <c r="AN126" i="1"/>
  <c r="BY142" i="1"/>
  <c r="CL52" i="1"/>
  <c r="CP52" i="1" s="1"/>
  <c r="CT52" i="1" s="1"/>
  <c r="CB16" i="20"/>
  <c r="V19" i="5"/>
  <c r="V25" i="5"/>
  <c r="L89" i="89"/>
  <c r="AK213" i="1"/>
  <c r="AL107" i="52"/>
  <c r="O71" i="15"/>
  <c r="O68" i="15"/>
  <c r="O76" i="15"/>
  <c r="R62" i="77"/>
  <c r="O62" i="77"/>
  <c r="BQ84" i="1"/>
  <c r="BV84" i="1"/>
  <c r="BQ94" i="1"/>
  <c r="R61" i="9"/>
  <c r="AR232" i="1"/>
  <c r="AT232" i="1" s="1"/>
  <c r="DN39" i="20"/>
  <c r="BQ56" i="1"/>
  <c r="U67" i="15"/>
  <c r="Q36" i="73"/>
  <c r="Q115" i="73" s="1"/>
  <c r="U115" i="89"/>
  <c r="V79" i="89"/>
  <c r="AB122" i="1"/>
  <c r="AB132" i="1"/>
  <c r="AB105" i="1"/>
  <c r="AG105" i="1" s="1"/>
  <c r="AB106" i="1"/>
  <c r="AG106" i="1" s="1"/>
  <c r="AG101" i="1"/>
  <c r="AB104" i="1"/>
  <c r="AC104" i="1" s="1"/>
  <c r="AC101" i="1"/>
  <c r="AF137" i="1"/>
  <c r="AF136" i="1"/>
  <c r="AG131" i="1"/>
  <c r="BE94" i="1"/>
  <c r="BE84" i="1"/>
  <c r="S68" i="15"/>
  <c r="S71" i="15"/>
  <c r="DJ82" i="20" s="1"/>
  <c r="S76" i="15"/>
  <c r="BY56" i="1"/>
  <c r="H192" i="5"/>
  <c r="BI234" i="1"/>
  <c r="BN234" i="1" s="1"/>
  <c r="BR234" i="1" s="1"/>
  <c r="BV234" i="1" s="1"/>
  <c r="BZ234" i="1" s="1"/>
  <c r="BN36" i="1"/>
  <c r="BR36" i="1" s="1"/>
  <c r="BV36" i="1" s="1"/>
  <c r="BZ36" i="1" s="1"/>
  <c r="CD36" i="1" s="1"/>
  <c r="CH36" i="1" s="1"/>
  <c r="CL36" i="1" s="1"/>
  <c r="CP36" i="1" s="1"/>
  <c r="CJ85" i="1"/>
  <c r="CJ100" i="1"/>
  <c r="CK80" i="1"/>
  <c r="CP80" i="1"/>
  <c r="CJ86" i="1"/>
  <c r="CL86" i="1" s="1"/>
  <c r="CJ84" i="1"/>
  <c r="CK90" i="1"/>
  <c r="CL80" i="1"/>
  <c r="BX180" i="1"/>
  <c r="BX189" i="1"/>
  <c r="BR31" i="20" s="1"/>
  <c r="R68" i="77"/>
  <c r="N75" i="77"/>
  <c r="AP232" i="1"/>
  <c r="AT84" i="1"/>
  <c r="V62" i="15"/>
  <c r="V153" i="5"/>
  <c r="V105" i="15"/>
  <c r="V67" i="15"/>
  <c r="DA70" i="20"/>
  <c r="BM94" i="1"/>
  <c r="BM84" i="1"/>
  <c r="BR84" i="1"/>
  <c r="I192" i="5"/>
  <c r="AV135" i="1"/>
  <c r="BA104" i="1"/>
  <c r="DI30" i="20"/>
  <c r="S94" i="15"/>
  <c r="X76" i="15"/>
  <c r="X71" i="15"/>
  <c r="DO82" i="20" s="1"/>
  <c r="X68" i="15"/>
  <c r="N97" i="73"/>
  <c r="N57" i="73"/>
  <c r="T67" i="15"/>
  <c r="BN43" i="20"/>
  <c r="N50" i="73"/>
  <c r="N30" i="73"/>
  <c r="N156" i="73" s="1"/>
  <c r="N154" i="73" s="1"/>
  <c r="N37" i="73"/>
  <c r="N90" i="73"/>
  <c r="AN89" i="2"/>
  <c r="BL134" i="1"/>
  <c r="BL124" i="1"/>
  <c r="BQ103" i="1"/>
  <c r="BL104" i="1"/>
  <c r="BM103" i="1"/>
  <c r="DB71" i="20"/>
  <c r="AW152" i="1"/>
  <c r="BY88" i="77"/>
  <c r="CE66" i="20"/>
  <c r="G93" i="52"/>
  <c r="K84" i="52"/>
  <c r="I140" i="52"/>
  <c r="G170" i="73"/>
  <c r="J108" i="73"/>
  <c r="G62" i="15"/>
  <c r="G67" i="15"/>
  <c r="G153" i="5"/>
  <c r="G154" i="5" s="1"/>
  <c r="AR131" i="1"/>
  <c r="AS131" i="1" s="1"/>
  <c r="AR121" i="1"/>
  <c r="AS121" i="1" s="1"/>
  <c r="AR105" i="1"/>
  <c r="AW105" i="1" s="1"/>
  <c r="AW100" i="1"/>
  <c r="AR104" i="1"/>
  <c r="AR106" i="1"/>
  <c r="AW106" i="1" s="1"/>
  <c r="K62" i="52"/>
  <c r="K55" i="52"/>
  <c r="BN93" i="77"/>
  <c r="BM97" i="77"/>
  <c r="G131" i="73"/>
  <c r="G150" i="73"/>
  <c r="BT134" i="1"/>
  <c r="BT124" i="1"/>
  <c r="N35" i="73"/>
  <c r="N167" i="73" s="1"/>
  <c r="N165" i="73" s="1"/>
  <c r="N124" i="73" s="1"/>
  <c r="N85" i="73"/>
  <c r="N45" i="73"/>
  <c r="N10" i="73"/>
  <c r="O35" i="73"/>
  <c r="O167" i="73" s="1"/>
  <c r="O165" i="73" s="1"/>
  <c r="AC86" i="1"/>
  <c r="AC96" i="1"/>
  <c r="AH86" i="1"/>
  <c r="Q120" i="89"/>
  <c r="R84" i="89"/>
  <c r="AJ234" i="1"/>
  <c r="AL234" i="1" s="1"/>
  <c r="AC131" i="1"/>
  <c r="I137" i="73"/>
  <c r="I58" i="73"/>
  <c r="I98" i="73"/>
  <c r="I194" i="5"/>
  <c r="I76" i="15"/>
  <c r="I68" i="15"/>
  <c r="I71" i="15"/>
  <c r="I45" i="15" s="1"/>
  <c r="BT123" i="1"/>
  <c r="BY102" i="1"/>
  <c r="BT133" i="1"/>
  <c r="BT104" i="1"/>
  <c r="BT106" i="1"/>
  <c r="BY106" i="1" s="1"/>
  <c r="BE86" i="1"/>
  <c r="BJ86" i="1"/>
  <c r="BE96" i="1"/>
  <c r="T77" i="89"/>
  <c r="U112" i="89" s="1"/>
  <c r="S113" i="89"/>
  <c r="P26" i="73"/>
  <c r="P16" i="73"/>
  <c r="P31" i="73"/>
  <c r="K165" i="73"/>
  <c r="K128" i="73"/>
  <c r="K154" i="73"/>
  <c r="BD33" i="2"/>
  <c r="BB38" i="3"/>
  <c r="BZ79" i="77"/>
  <c r="BY86" i="77"/>
  <c r="BY79" i="77"/>
  <c r="BX183" i="1"/>
  <c r="CG122" i="1"/>
  <c r="CC122" i="1"/>
  <c r="CB142" i="1"/>
  <c r="M121" i="89"/>
  <c r="M86" i="89"/>
  <c r="N120" i="89"/>
  <c r="J7" i="89"/>
  <c r="K5" i="89"/>
  <c r="K9" i="89"/>
  <c r="AW134" i="1"/>
  <c r="BA134" i="1"/>
  <c r="J57" i="73"/>
  <c r="J136" i="73"/>
  <c r="J97" i="73"/>
  <c r="K88" i="89"/>
  <c r="L123" i="89" s="1"/>
  <c r="G92" i="73"/>
  <c r="G108" i="73"/>
  <c r="K116" i="73"/>
  <c r="D127" i="9"/>
  <c r="H127" i="9" s="1"/>
  <c r="AQ127" i="9"/>
  <c r="AK100" i="1"/>
  <c r="AJ106" i="1"/>
  <c r="AJ121" i="1"/>
  <c r="AK121" i="1" s="1"/>
  <c r="AJ104" i="1"/>
  <c r="AJ131" i="1"/>
  <c r="AO100" i="1"/>
  <c r="AJ105" i="1"/>
  <c r="T116" i="89"/>
  <c r="U80" i="89"/>
  <c r="AA61" i="77"/>
  <c r="Z61" i="77"/>
  <c r="N69" i="77"/>
  <c r="BQ95" i="1"/>
  <c r="BQ85" i="1"/>
  <c r="AH86" i="2"/>
  <c r="BE154" i="1"/>
  <c r="BR55" i="1"/>
  <c r="BV55" i="1" s="1"/>
  <c r="BZ55" i="1" s="1"/>
  <c r="CD55" i="1" s="1"/>
  <c r="CH55" i="1" s="1"/>
  <c r="CL55" i="1" s="1"/>
  <c r="CP55" i="1" s="1"/>
  <c r="CT55" i="1" s="1"/>
  <c r="BQ55" i="1"/>
  <c r="S83" i="89"/>
  <c r="R119" i="89"/>
  <c r="S118" i="89"/>
  <c r="I142" i="52"/>
  <c r="K111" i="52"/>
  <c r="AB152" i="10"/>
  <c r="AD152" i="10" s="1"/>
  <c r="AI154" i="9"/>
  <c r="AB153" i="10" s="1"/>
  <c r="AD153" i="10" s="1"/>
  <c r="H114" i="52"/>
  <c r="T166" i="52" s="1"/>
  <c r="I68" i="52"/>
  <c r="H44" i="52"/>
  <c r="P167" i="52"/>
  <c r="I111" i="52"/>
  <c r="U167" i="52"/>
  <c r="AH167" i="52" s="1"/>
  <c r="J93" i="52"/>
  <c r="W93" i="52" s="1"/>
  <c r="G114" i="52"/>
  <c r="J114" i="52"/>
  <c r="K114" i="52" s="1"/>
  <c r="J142" i="52"/>
  <c r="H71" i="15"/>
  <c r="H68" i="15"/>
  <c r="H76" i="15"/>
  <c r="K91" i="52"/>
  <c r="H107" i="52"/>
  <c r="G107" i="52"/>
  <c r="K61" i="52"/>
  <c r="K68" i="52"/>
  <c r="I63" i="52"/>
  <c r="I70" i="52"/>
  <c r="K104" i="52"/>
  <c r="I64" i="52"/>
  <c r="I71" i="52"/>
  <c r="H65" i="52"/>
  <c r="J65" i="52"/>
  <c r="G65" i="52"/>
  <c r="L167" i="52"/>
  <c r="G72" i="52"/>
  <c r="I83" i="52"/>
  <c r="G142" i="52"/>
  <c r="S167" i="52"/>
  <c r="K64" i="52"/>
  <c r="K71" i="52"/>
  <c r="K63" i="52"/>
  <c r="K70" i="52"/>
  <c r="AU97" i="9"/>
  <c r="H77" i="5"/>
  <c r="DN64" i="20"/>
  <c r="X74" i="5"/>
  <c r="DO64" i="20" s="1"/>
  <c r="AL106" i="9"/>
  <c r="AN106" i="9" s="1"/>
  <c r="AL113" i="9"/>
  <c r="I90" i="52"/>
  <c r="W44" i="52"/>
  <c r="I106" i="52"/>
  <c r="I113" i="52"/>
  <c r="U185" i="5"/>
  <c r="U186" i="5" s="1"/>
  <c r="V120" i="5"/>
  <c r="U121" i="5"/>
  <c r="U118" i="5"/>
  <c r="J24" i="15"/>
  <c r="J151" i="5"/>
  <c r="J32" i="5"/>
  <c r="J61" i="5" s="1"/>
  <c r="DA59" i="20" s="1"/>
  <c r="O167" i="52"/>
  <c r="H86" i="52"/>
  <c r="I93" i="52" s="1"/>
  <c r="J86" i="52"/>
  <c r="O220" i="5"/>
  <c r="P6" i="5"/>
  <c r="K92" i="52"/>
  <c r="X117" i="5"/>
  <c r="Q95" i="5"/>
  <c r="AF94" i="5"/>
  <c r="K113" i="52"/>
  <c r="K106" i="52"/>
  <c r="I82" i="52"/>
  <c r="I89" i="52"/>
  <c r="AF104" i="10"/>
  <c r="AF111" i="10"/>
  <c r="V125" i="5"/>
  <c r="W124" i="5"/>
  <c r="K90" i="52"/>
  <c r="AS104" i="9"/>
  <c r="AL104" i="9"/>
  <c r="AN104" i="9" s="1"/>
  <c r="AL111" i="9"/>
  <c r="AN111" i="9" s="1"/>
  <c r="I105" i="52"/>
  <c r="I112" i="52"/>
  <c r="I91" i="52"/>
  <c r="Y174" i="5"/>
  <c r="Y177" i="5"/>
  <c r="K89" i="52"/>
  <c r="AS99" i="9"/>
  <c r="AU99" i="9" s="1"/>
  <c r="AL99" i="9"/>
  <c r="AN99" i="9" s="1"/>
  <c r="AL103" i="9"/>
  <c r="AN103" i="9" s="1"/>
  <c r="AJ107" i="9"/>
  <c r="AS103" i="9"/>
  <c r="F115" i="2"/>
  <c r="F121" i="2"/>
  <c r="K105" i="52"/>
  <c r="K112" i="52"/>
  <c r="CY67" i="20"/>
  <c r="V127" i="5"/>
  <c r="W126" i="5"/>
  <c r="J95" i="5"/>
  <c r="U69" i="5"/>
  <c r="K95" i="5"/>
  <c r="L95" i="5"/>
  <c r="DF71" i="20"/>
  <c r="I92" i="52"/>
  <c r="S170" i="52"/>
  <c r="AL105" i="9"/>
  <c r="AN105" i="9" s="1"/>
  <c r="AL112" i="9"/>
  <c r="AN112" i="9" s="1"/>
  <c r="AS105" i="9"/>
  <c r="AF102" i="10"/>
  <c r="AD106" i="10"/>
  <c r="AB173" i="52"/>
  <c r="X170" i="5"/>
  <c r="X168" i="5"/>
  <c r="K151" i="5"/>
  <c r="K24" i="15"/>
  <c r="H37" i="52"/>
  <c r="J37" i="52"/>
  <c r="K44" i="52" s="1"/>
  <c r="Q24" i="15"/>
  <c r="G44" i="52"/>
  <c r="T178" i="5"/>
  <c r="R151" i="5"/>
  <c r="R24" i="15"/>
  <c r="R177" i="52" s="1"/>
  <c r="O24" i="15"/>
  <c r="P166" i="52"/>
  <c r="Y103" i="5"/>
  <c r="Z102" i="5"/>
  <c r="Y169" i="5"/>
  <c r="AX120" i="9"/>
  <c r="AY127" i="9" s="1"/>
  <c r="AX119" i="9"/>
  <c r="AY126" i="9" s="1"/>
  <c r="AL110" i="9"/>
  <c r="DF70" i="20"/>
  <c r="V106" i="2"/>
  <c r="T107" i="2"/>
  <c r="D110" i="2"/>
  <c r="D122" i="2" s="1"/>
  <c r="F110" i="2"/>
  <c r="F122" i="2" s="1"/>
  <c r="D121" i="2"/>
  <c r="D115" i="2"/>
  <c r="AD173" i="52"/>
  <c r="AJ100" i="9"/>
  <c r="I151" i="5"/>
  <c r="I24" i="15"/>
  <c r="AF110" i="10"/>
  <c r="T183" i="5"/>
  <c r="T184" i="5" s="1"/>
  <c r="T131" i="5"/>
  <c r="T119" i="5"/>
  <c r="Z128" i="5"/>
  <c r="Y129" i="5"/>
  <c r="L151" i="5"/>
  <c r="L24" i="15"/>
  <c r="S52" i="94"/>
  <c r="AW38" i="94"/>
  <c r="AW45" i="94"/>
  <c r="Q56" i="94"/>
  <c r="S56" i="94" s="1"/>
  <c r="Y15" i="5"/>
  <c r="AA34" i="94"/>
  <c r="M38" i="94"/>
  <c r="O34" i="94"/>
  <c r="N34" i="94"/>
  <c r="N35" i="94"/>
  <c r="Q35" i="94"/>
  <c r="S35" i="94" s="1"/>
  <c r="W41" i="20"/>
  <c r="W53" i="20"/>
  <c r="BK26" i="20"/>
  <c r="BK45" i="20" s="1"/>
  <c r="BN26" i="20"/>
  <c r="BN28" i="20" s="1"/>
  <c r="CH66" i="20"/>
  <c r="BB41" i="20"/>
  <c r="BB21" i="20"/>
  <c r="BB33" i="20"/>
  <c r="BB46" i="20" s="1"/>
  <c r="AO33" i="20"/>
  <c r="AO46" i="20" s="1"/>
  <c r="AO21" i="20"/>
  <c r="AO41" i="20"/>
  <c r="CT26" i="20"/>
  <c r="CT45" i="20" s="1"/>
  <c r="CT44" i="20"/>
  <c r="CT43" i="20"/>
  <c r="AI43" i="20"/>
  <c r="AI26" i="20"/>
  <c r="AI44" i="20"/>
  <c r="DJ33" i="20"/>
  <c r="DK55" i="20" s="1"/>
  <c r="CF66" i="20"/>
  <c r="CF53" i="20"/>
  <c r="CA33" i="20"/>
  <c r="CA21" i="20"/>
  <c r="CA41" i="20"/>
  <c r="CA53" i="20"/>
  <c r="BQ43" i="20"/>
  <c r="BQ44" i="20"/>
  <c r="BQ26" i="20"/>
  <c r="CK26" i="20"/>
  <c r="CK44" i="20"/>
  <c r="CK82" i="20" s="1"/>
  <c r="CK43" i="20"/>
  <c r="N41" i="20"/>
  <c r="N21" i="20"/>
  <c r="N33" i="20"/>
  <c r="N46" i="20" s="1"/>
  <c r="CZ21" i="20"/>
  <c r="CZ33" i="20"/>
  <c r="CZ46" i="20" s="1"/>
  <c r="CZ41" i="20"/>
  <c r="CZ36" i="20"/>
  <c r="DJ41" i="20"/>
  <c r="AT53" i="20"/>
  <c r="BH21" i="20"/>
  <c r="BH41" i="20"/>
  <c r="BH33" i="20"/>
  <c r="BH46" i="20" s="1"/>
  <c r="BH53" i="20"/>
  <c r="BG43" i="20"/>
  <c r="AO53" i="20"/>
  <c r="Y26" i="20"/>
  <c r="Y43" i="20"/>
  <c r="Y44" i="20"/>
  <c r="CV43" i="20"/>
  <c r="CV26" i="20"/>
  <c r="CV44" i="20"/>
  <c r="DF21" i="20"/>
  <c r="DF36" i="20"/>
  <c r="DF33" i="20"/>
  <c r="DF41" i="20"/>
  <c r="AV28" i="20"/>
  <c r="AV45" i="20"/>
  <c r="BQ46" i="20"/>
  <c r="BV55" i="20"/>
  <c r="AR41" i="20"/>
  <c r="AR33" i="20"/>
  <c r="AR21" i="20"/>
  <c r="AR53" i="20"/>
  <c r="BZ41" i="20"/>
  <c r="BZ21" i="20"/>
  <c r="BZ33" i="20"/>
  <c r="BZ46" i="20" s="1"/>
  <c r="DC21" i="20"/>
  <c r="DC53" i="20"/>
  <c r="DC36" i="20"/>
  <c r="DC41" i="20"/>
  <c r="DC33" i="20"/>
  <c r="BA41" i="20"/>
  <c r="BA33" i="20"/>
  <c r="BA21" i="20"/>
  <c r="BA53" i="20"/>
  <c r="BF21" i="20"/>
  <c r="BF41" i="20"/>
  <c r="BK68" i="20" s="1"/>
  <c r="BF53" i="20"/>
  <c r="BF33" i="20"/>
  <c r="AG46" i="20"/>
  <c r="AG55" i="20"/>
  <c r="BR33" i="20"/>
  <c r="BW53" i="20"/>
  <c r="BR53" i="20"/>
  <c r="BR41" i="20"/>
  <c r="BR21" i="20"/>
  <c r="AQ43" i="20"/>
  <c r="AQ26" i="20"/>
  <c r="AQ44" i="20"/>
  <c r="BU41" i="20"/>
  <c r="BU53" i="20"/>
  <c r="S36" i="74" s="1"/>
  <c r="BU21" i="20"/>
  <c r="S11" i="74"/>
  <c r="BU33" i="20"/>
  <c r="BZ53" i="20"/>
  <c r="Z26" i="20"/>
  <c r="Z43" i="20"/>
  <c r="Z44" i="20"/>
  <c r="CU45" i="20"/>
  <c r="CU28" i="20"/>
  <c r="AD44" i="20"/>
  <c r="AD43" i="20"/>
  <c r="AD26" i="20"/>
  <c r="CG53" i="20"/>
  <c r="CG33" i="20"/>
  <c r="CL55" i="20" s="1"/>
  <c r="CG21" i="20"/>
  <c r="CG41" i="20"/>
  <c r="R28" i="20"/>
  <c r="R45" i="20"/>
  <c r="CH46" i="20"/>
  <c r="CW46" i="20"/>
  <c r="CW55" i="20"/>
  <c r="AE46" i="20"/>
  <c r="S25" i="74"/>
  <c r="BU66" i="20"/>
  <c r="BZ66" i="20"/>
  <c r="CG66" i="20"/>
  <c r="R11" i="74"/>
  <c r="U36" i="74" s="1"/>
  <c r="Z36" i="74" s="1"/>
  <c r="BP21" i="20"/>
  <c r="BP53" i="20"/>
  <c r="R36" i="74" s="1"/>
  <c r="BP33" i="20"/>
  <c r="BP41" i="20"/>
  <c r="BI46" i="20"/>
  <c r="BN55" i="20"/>
  <c r="CJ46" i="20"/>
  <c r="AB26" i="20"/>
  <c r="AB43" i="20"/>
  <c r="AB44" i="20"/>
  <c r="BL66" i="20"/>
  <c r="BQ66" i="20"/>
  <c r="AT44" i="20"/>
  <c r="AT26" i="20"/>
  <c r="AT43" i="20"/>
  <c r="P46" i="20"/>
  <c r="P55" i="20"/>
  <c r="AG43" i="20"/>
  <c r="AG44" i="20"/>
  <c r="AG26" i="20"/>
  <c r="BR66" i="20"/>
  <c r="BW66" i="20"/>
  <c r="AQ55" i="20"/>
  <c r="AQ46" i="20"/>
  <c r="AN53" i="20"/>
  <c r="AN41" i="20"/>
  <c r="AN21" i="20"/>
  <c r="AN33" i="20"/>
  <c r="AS53" i="20"/>
  <c r="AE43" i="20"/>
  <c r="AE26" i="20"/>
  <c r="AE44" i="20"/>
  <c r="BS68" i="20"/>
  <c r="BX68" i="20"/>
  <c r="W8" i="74"/>
  <c r="Y8" i="74"/>
  <c r="X8" i="74"/>
  <c r="AL43" i="20"/>
  <c r="AL44" i="20"/>
  <c r="AL26" i="20"/>
  <c r="AD55" i="20"/>
  <c r="AD46" i="20"/>
  <c r="AI55" i="20"/>
  <c r="CM55" i="20"/>
  <c r="CM46" i="20"/>
  <c r="T33" i="20"/>
  <c r="T41" i="20"/>
  <c r="T53" i="20"/>
  <c r="T21" i="20"/>
  <c r="Y53" i="20"/>
  <c r="AH41" i="20"/>
  <c r="AH21" i="20"/>
  <c r="AH33" i="20"/>
  <c r="AH53" i="20"/>
  <c r="AM53" i="20"/>
  <c r="BL33" i="20"/>
  <c r="BQ53" i="20"/>
  <c r="BL41" i="20"/>
  <c r="BL53" i="20"/>
  <c r="BL21" i="20"/>
  <c r="AX43" i="20"/>
  <c r="AX26" i="20"/>
  <c r="AX44" i="20"/>
  <c r="CL44" i="20"/>
  <c r="CL82" i="20" s="1"/>
  <c r="CL26" i="20"/>
  <c r="CL43" i="20"/>
  <c r="E21" i="20"/>
  <c r="E33" i="20"/>
  <c r="E41" i="20"/>
  <c r="J53" i="20"/>
  <c r="BS46" i="20"/>
  <c r="BS55" i="20"/>
  <c r="BX55" i="20"/>
  <c r="AJ44" i="20"/>
  <c r="AM28" i="20"/>
  <c r="AM45" i="20"/>
  <c r="R25" i="74"/>
  <c r="BP66" i="20"/>
  <c r="X33" i="20"/>
  <c r="X21" i="20"/>
  <c r="X53" i="20"/>
  <c r="X41" i="20"/>
  <c r="AC53" i="20"/>
  <c r="AB46" i="20"/>
  <c r="P43" i="20"/>
  <c r="P44" i="20"/>
  <c r="P26" i="20"/>
  <c r="S46" i="20"/>
  <c r="CW44" i="20"/>
  <c r="CW43" i="20"/>
  <c r="CW26" i="20"/>
  <c r="CB41" i="20"/>
  <c r="CB68" i="20" s="1"/>
  <c r="CB53" i="20"/>
  <c r="CB33" i="20"/>
  <c r="CB21" i="20"/>
  <c r="K44" i="20"/>
  <c r="K26" i="20"/>
  <c r="K43" i="20"/>
  <c r="BM21" i="20"/>
  <c r="BM41" i="20"/>
  <c r="BM53" i="20"/>
  <c r="BM33" i="20"/>
  <c r="BI43" i="20"/>
  <c r="BI44" i="20"/>
  <c r="BI26" i="20"/>
  <c r="F41" i="20"/>
  <c r="F33" i="20"/>
  <c r="F46" i="20" s="1"/>
  <c r="F21" i="20"/>
  <c r="S43" i="20"/>
  <c r="S26" i="20"/>
  <c r="S44" i="20"/>
  <c r="D43" i="20"/>
  <c r="D44" i="20"/>
  <c r="D26" i="20"/>
  <c r="BS44" i="20"/>
  <c r="BS43" i="20"/>
  <c r="BS26" i="20"/>
  <c r="I33" i="20"/>
  <c r="I53" i="20"/>
  <c r="I21" i="20"/>
  <c r="N53" i="20"/>
  <c r="I41" i="20"/>
  <c r="AJ46" i="20"/>
  <c r="AJ55" i="20"/>
  <c r="K53" i="20"/>
  <c r="AV55" i="20"/>
  <c r="CH44" i="20"/>
  <c r="CH43" i="20"/>
  <c r="CH26" i="20"/>
  <c r="M33" i="20"/>
  <c r="M21" i="20"/>
  <c r="M53" i="20"/>
  <c r="R53" i="20"/>
  <c r="M41" i="20"/>
  <c r="AT46" i="20"/>
  <c r="AX46" i="20"/>
  <c r="CL46" i="20"/>
  <c r="BD33" i="20"/>
  <c r="BI55" i="20" s="1"/>
  <c r="BD41" i="20"/>
  <c r="BD21" i="20"/>
  <c r="BD53" i="20"/>
  <c r="O33" i="20"/>
  <c r="O53" i="20"/>
  <c r="O21" i="20"/>
  <c r="O41" i="20"/>
  <c r="AW33" i="20"/>
  <c r="AW41" i="20"/>
  <c r="AW21" i="20"/>
  <c r="AW53" i="20"/>
  <c r="BB53" i="20"/>
  <c r="K46" i="20"/>
  <c r="CM53" i="20"/>
  <c r="CM41" i="20"/>
  <c r="CM21" i="20"/>
  <c r="CJ43" i="20"/>
  <c r="CJ26" i="20"/>
  <c r="CJ44" i="20"/>
  <c r="DB53" i="20"/>
  <c r="AY28" i="20"/>
  <c r="Y26" i="74"/>
  <c r="X26" i="74"/>
  <c r="W26" i="74"/>
  <c r="BB51" i="3"/>
  <c r="BD12" i="3"/>
  <c r="BF19" i="2"/>
  <c r="BF13" i="2"/>
  <c r="BF25" i="3" s="1"/>
  <c r="BD25" i="3"/>
  <c r="BF9" i="2"/>
  <c r="H120" i="89"/>
  <c r="I119" i="89"/>
  <c r="H119" i="89"/>
  <c r="I118" i="89"/>
  <c r="H85" i="89"/>
  <c r="K190" i="89"/>
  <c r="Q37" i="52" l="1"/>
  <c r="U37" i="52" s="1"/>
  <c r="CJ82" i="20"/>
  <c r="N87" i="77"/>
  <c r="R80" i="77"/>
  <c r="AF142" i="1"/>
  <c r="AF152" i="1"/>
  <c r="AF157" i="1" s="1"/>
  <c r="Z46" i="20"/>
  <c r="BC26" i="20"/>
  <c r="N166" i="52"/>
  <c r="AB166" i="52" s="1"/>
  <c r="G79" i="52"/>
  <c r="X137" i="1"/>
  <c r="K114" i="73"/>
  <c r="AF127" i="1"/>
  <c r="BM131" i="1"/>
  <c r="AU163" i="9"/>
  <c r="DI39" i="20"/>
  <c r="DI18" i="20"/>
  <c r="AU148" i="9"/>
  <c r="AU155" i="9"/>
  <c r="AS149" i="9"/>
  <c r="AU149" i="9" s="1"/>
  <c r="AS26" i="20"/>
  <c r="BC44" i="20"/>
  <c r="BK43" i="20"/>
  <c r="G86" i="52"/>
  <c r="H79" i="5"/>
  <c r="H80" i="5" s="1"/>
  <c r="I97" i="52"/>
  <c r="J109" i="73"/>
  <c r="AF126" i="1"/>
  <c r="AP233" i="1"/>
  <c r="CC68" i="20"/>
  <c r="M59" i="94"/>
  <c r="O59" i="94" s="1"/>
  <c r="Q59" i="94" s="1"/>
  <c r="S59" i="94" s="1"/>
  <c r="J29" i="73"/>
  <c r="J13" i="73"/>
  <c r="BL152" i="1"/>
  <c r="BQ152" i="1" s="1"/>
  <c r="BL142" i="1"/>
  <c r="BB59" i="20"/>
  <c r="BK59" i="20"/>
  <c r="I50" i="73"/>
  <c r="J76" i="73" s="1"/>
  <c r="I129" i="73"/>
  <c r="J170" i="73" s="1"/>
  <c r="J37" i="73"/>
  <c r="I90" i="73"/>
  <c r="J116" i="73" s="1"/>
  <c r="AL100" i="9"/>
  <c r="AN100" i="9" s="1"/>
  <c r="I85" i="52"/>
  <c r="BI103" i="1"/>
  <c r="BH124" i="1"/>
  <c r="BH134" i="1"/>
  <c r="BI134" i="1" s="1"/>
  <c r="BM134" i="1" s="1"/>
  <c r="N81" i="77"/>
  <c r="R74" i="77"/>
  <c r="I77" i="52"/>
  <c r="K127" i="52"/>
  <c r="AF119" i="10"/>
  <c r="J121" i="52"/>
  <c r="K121" i="52" s="1"/>
  <c r="G128" i="52"/>
  <c r="G121" i="52"/>
  <c r="K107" i="52"/>
  <c r="K83" i="52"/>
  <c r="H100" i="52"/>
  <c r="R166" i="52" s="1"/>
  <c r="G100" i="52"/>
  <c r="R167" i="52"/>
  <c r="AF167" i="52" s="1"/>
  <c r="AU98" i="9"/>
  <c r="K85" i="52"/>
  <c r="AJ124" i="9"/>
  <c r="AS124" i="9" s="1"/>
  <c r="AG125" i="9"/>
  <c r="AJ125" i="9" s="1"/>
  <c r="P119" i="2"/>
  <c r="BF80" i="20"/>
  <c r="BB80" i="20"/>
  <c r="I126" i="52"/>
  <c r="N167" i="52"/>
  <c r="AC167" i="52" s="1"/>
  <c r="J79" i="52"/>
  <c r="W79" i="52" s="1"/>
  <c r="N172" i="52" s="1"/>
  <c r="AA57" i="94"/>
  <c r="AC57" i="94" s="1"/>
  <c r="O57" i="94"/>
  <c r="Q57" i="94" s="1"/>
  <c r="S57" i="94" s="1"/>
  <c r="AC34" i="98"/>
  <c r="U68" i="5"/>
  <c r="DK63" i="20"/>
  <c r="X142" i="1"/>
  <c r="X147" i="1" s="1"/>
  <c r="X152" i="1"/>
  <c r="Q105" i="15"/>
  <c r="Q62" i="15"/>
  <c r="Q153" i="5"/>
  <c r="Q154" i="5" s="1"/>
  <c r="Q67" i="15"/>
  <c r="AF67" i="15" s="1"/>
  <c r="BL151" i="1"/>
  <c r="BL141" i="1"/>
  <c r="BM121" i="1"/>
  <c r="BL127" i="1"/>
  <c r="BL126" i="1"/>
  <c r="CL84" i="1"/>
  <c r="AN128" i="52"/>
  <c r="J192" i="5"/>
  <c r="DA60" i="20"/>
  <c r="DI49" i="20"/>
  <c r="DH40" i="20"/>
  <c r="DH49" i="20"/>
  <c r="DH14" i="20"/>
  <c r="BN80" i="77"/>
  <c r="BM82" i="77"/>
  <c r="BO80" i="77"/>
  <c r="BN87" i="77"/>
  <c r="CA80" i="77"/>
  <c r="CJ122" i="1"/>
  <c r="CJ132" i="1"/>
  <c r="CK132" i="1" s="1"/>
  <c r="BQ134" i="1"/>
  <c r="X126" i="1"/>
  <c r="G26" i="73"/>
  <c r="AM128" i="52"/>
  <c r="AO132" i="1"/>
  <c r="M26" i="73"/>
  <c r="M40" i="73" s="1"/>
  <c r="BV75" i="77"/>
  <c r="BV82" i="77"/>
  <c r="CA75" i="77"/>
  <c r="I85" i="73"/>
  <c r="I45" i="73"/>
  <c r="J35" i="73"/>
  <c r="I124" i="73"/>
  <c r="I10" i="73"/>
  <c r="I35" i="73"/>
  <c r="I30" i="73"/>
  <c r="AJ152" i="1"/>
  <c r="AJ142" i="1"/>
  <c r="AK142" i="1" s="1"/>
  <c r="AK122" i="1"/>
  <c r="M74" i="73"/>
  <c r="M166" i="73" s="1"/>
  <c r="M108" i="73"/>
  <c r="M153" i="73" s="1"/>
  <c r="M92" i="73"/>
  <c r="M117" i="73" s="1"/>
  <c r="BP59" i="20"/>
  <c r="BC59" i="20"/>
  <c r="BX151" i="1"/>
  <c r="BX126" i="1"/>
  <c r="BX141" i="1"/>
  <c r="BX146" i="1" s="1"/>
  <c r="DA61" i="20"/>
  <c r="K64" i="5"/>
  <c r="CF134" i="1"/>
  <c r="CG134" i="1" s="1"/>
  <c r="CF124" i="1"/>
  <c r="BX134" i="1"/>
  <c r="BY134" i="1" s="1"/>
  <c r="BX124" i="1"/>
  <c r="AG153" i="1"/>
  <c r="AC153" i="1"/>
  <c r="AK123" i="1"/>
  <c r="AJ143" i="1"/>
  <c r="AK143" i="1" s="1"/>
  <c r="AJ153" i="1"/>
  <c r="AK153" i="1" s="1"/>
  <c r="W59" i="77"/>
  <c r="Y59" i="77"/>
  <c r="T66" i="77"/>
  <c r="AJ154" i="1"/>
  <c r="AJ144" i="1"/>
  <c r="BL137" i="1"/>
  <c r="BL136" i="1"/>
  <c r="BC55" i="20"/>
  <c r="AJ86" i="2"/>
  <c r="Z79" i="9"/>
  <c r="X125" i="1"/>
  <c r="I87" i="89"/>
  <c r="BA136" i="1"/>
  <c r="BF94" i="77"/>
  <c r="E90" i="73"/>
  <c r="E129" i="73"/>
  <c r="E50" i="73"/>
  <c r="E76" i="73" s="1"/>
  <c r="E30" i="73"/>
  <c r="F37" i="73"/>
  <c r="AG134" i="1"/>
  <c r="E124" i="73"/>
  <c r="E128" i="73" s="1"/>
  <c r="E85" i="73"/>
  <c r="F114" i="73" s="1"/>
  <c r="E10" i="73"/>
  <c r="E45" i="73"/>
  <c r="E35" i="73"/>
  <c r="AO94" i="1"/>
  <c r="AO84" i="1"/>
  <c r="AH73" i="2"/>
  <c r="AH120" i="2"/>
  <c r="AH72" i="2"/>
  <c r="AH76" i="2"/>
  <c r="AH81" i="2"/>
  <c r="AH71" i="2"/>
  <c r="AH82" i="2"/>
  <c r="AH91" i="2"/>
  <c r="AJ90" i="2"/>
  <c r="M153" i="5"/>
  <c r="M154" i="5" s="1"/>
  <c r="M62" i="15"/>
  <c r="M67" i="15"/>
  <c r="BY131" i="1"/>
  <c r="BT136" i="1"/>
  <c r="BY136" i="1" s="1"/>
  <c r="C68" i="73"/>
  <c r="C52" i="73"/>
  <c r="BX26" i="20"/>
  <c r="BX44" i="20"/>
  <c r="BX43" i="20"/>
  <c r="DL39" i="20"/>
  <c r="DL18" i="20"/>
  <c r="AN134" i="1"/>
  <c r="AS134" i="1" s="1"/>
  <c r="AS103" i="1"/>
  <c r="AN124" i="1"/>
  <c r="AO124" i="1" s="1"/>
  <c r="AN104" i="1"/>
  <c r="AN135" i="1" s="1"/>
  <c r="D89" i="73"/>
  <c r="D114" i="73"/>
  <c r="T75" i="77"/>
  <c r="W68" i="77"/>
  <c r="AJ43" i="20"/>
  <c r="AN110" i="9"/>
  <c r="Y116" i="5"/>
  <c r="Z116" i="5" s="1"/>
  <c r="BY103" i="1"/>
  <c r="X127" i="1"/>
  <c r="AO133" i="1"/>
  <c r="CC106" i="1"/>
  <c r="AO123" i="1"/>
  <c r="R65" i="9"/>
  <c r="C110" i="73"/>
  <c r="N67" i="5"/>
  <c r="DE62" i="20" s="1"/>
  <c r="DD62" i="20"/>
  <c r="DD40" i="20"/>
  <c r="DE52" i="20"/>
  <c r="I76" i="5"/>
  <c r="I79" i="5" s="1"/>
  <c r="I80" i="5" s="1"/>
  <c r="CZ59" i="20"/>
  <c r="CZ81" i="20" s="1"/>
  <c r="Q20" i="15"/>
  <c r="BY62" i="77"/>
  <c r="BZ62" i="77"/>
  <c r="BT151" i="1"/>
  <c r="BT141" i="1"/>
  <c r="BY121" i="1"/>
  <c r="BT126" i="1"/>
  <c r="BY126" i="1" s="1"/>
  <c r="M95" i="5"/>
  <c r="DA41" i="20"/>
  <c r="J194" i="5"/>
  <c r="C95" i="73"/>
  <c r="C111" i="73" s="1"/>
  <c r="M49" i="73"/>
  <c r="Z81" i="2"/>
  <c r="Z120" i="2"/>
  <c r="Z76" i="2"/>
  <c r="Z72" i="2"/>
  <c r="Z73" i="2"/>
  <c r="Z71" i="2"/>
  <c r="K71" i="15"/>
  <c r="K68" i="15"/>
  <c r="K76" i="15"/>
  <c r="BA135" i="1"/>
  <c r="AF61" i="15"/>
  <c r="BX104" i="1"/>
  <c r="CK101" i="1"/>
  <c r="M109" i="73"/>
  <c r="M157" i="73" s="1"/>
  <c r="M114" i="73"/>
  <c r="M168" i="73" s="1"/>
  <c r="M20" i="15"/>
  <c r="DD49" i="20"/>
  <c r="DD14" i="20"/>
  <c r="DD42" i="20"/>
  <c r="AG124" i="1"/>
  <c r="AF154" i="1"/>
  <c r="AF144" i="1"/>
  <c r="AK124" i="1"/>
  <c r="AG143" i="1"/>
  <c r="AC143" i="1"/>
  <c r="BI121" i="1"/>
  <c r="BD141" i="1"/>
  <c r="BI141" i="1" s="1"/>
  <c r="BD151" i="1"/>
  <c r="BI151" i="1" s="1"/>
  <c r="BM151" i="1" s="1"/>
  <c r="BY105" i="1"/>
  <c r="AO103" i="1"/>
  <c r="M202" i="5"/>
  <c r="W187" i="5"/>
  <c r="W188" i="5" s="1"/>
  <c r="W123" i="5"/>
  <c r="Z107" i="5"/>
  <c r="CF45" i="20"/>
  <c r="CX33" i="20"/>
  <c r="CX55" i="20" s="1"/>
  <c r="W44" i="20"/>
  <c r="AL55" i="20"/>
  <c r="BG26" i="20"/>
  <c r="BG28" i="20" s="1"/>
  <c r="DJ80" i="20"/>
  <c r="CC55" i="20"/>
  <c r="CC43" i="20"/>
  <c r="CC26" i="20"/>
  <c r="CC46" i="20"/>
  <c r="CX53" i="20"/>
  <c r="W43" i="20"/>
  <c r="CX21" i="20"/>
  <c r="CH68" i="20"/>
  <c r="M131" i="73"/>
  <c r="M158" i="73" s="1"/>
  <c r="M126" i="73"/>
  <c r="DA53" i="20"/>
  <c r="DA21" i="20"/>
  <c r="L150" i="73"/>
  <c r="DA33" i="20"/>
  <c r="DB55" i="20" s="1"/>
  <c r="I58" i="52"/>
  <c r="H69" i="2"/>
  <c r="H8" i="3" s="1"/>
  <c r="H15" i="3" s="1"/>
  <c r="H34" i="3" s="1"/>
  <c r="H58" i="3" s="1"/>
  <c r="D79" i="15"/>
  <c r="D80" i="15" s="1"/>
  <c r="D77" i="15"/>
  <c r="B77" i="15"/>
  <c r="D69" i="2"/>
  <c r="D8" i="3" s="1"/>
  <c r="D15" i="3" s="1"/>
  <c r="D34" i="3" s="1"/>
  <c r="D58" i="3" s="1"/>
  <c r="B79" i="15"/>
  <c r="K142" i="52"/>
  <c r="C134" i="73"/>
  <c r="C139" i="73" s="1"/>
  <c r="C141" i="73" s="1"/>
  <c r="K135" i="52"/>
  <c r="C158" i="73"/>
  <c r="G52" i="73"/>
  <c r="G68" i="73"/>
  <c r="E82" i="15"/>
  <c r="S133" i="73"/>
  <c r="S54" i="73"/>
  <c r="S94" i="73"/>
  <c r="DT20" i="20"/>
  <c r="DS20" i="20"/>
  <c r="T15" i="73"/>
  <c r="F82" i="15"/>
  <c r="F80" i="15"/>
  <c r="DB36" i="20"/>
  <c r="DB33" i="20"/>
  <c r="DB46" i="20" s="1"/>
  <c r="DB41" i="20"/>
  <c r="DB21" i="20"/>
  <c r="AL86" i="9"/>
  <c r="AN86" i="9" s="1"/>
  <c r="Z173" i="5"/>
  <c r="Z174" i="5" s="1"/>
  <c r="R113" i="2"/>
  <c r="W100" i="52"/>
  <c r="X100" i="52" s="1"/>
  <c r="AU117" i="9"/>
  <c r="AL117" i="9"/>
  <c r="AN117" i="9" s="1"/>
  <c r="AS86" i="9"/>
  <c r="AB221" i="5"/>
  <c r="AB224" i="5" s="1"/>
  <c r="DS73" i="20" s="1"/>
  <c r="AA231" i="5"/>
  <c r="AA232" i="5" s="1"/>
  <c r="AJ118" i="9"/>
  <c r="AL118" i="9" s="1"/>
  <c r="AN118" i="9" s="1"/>
  <c r="AC28" i="20"/>
  <c r="CE43" i="20"/>
  <c r="H26" i="20"/>
  <c r="H43" i="20"/>
  <c r="H44" i="20"/>
  <c r="AB55" i="20"/>
  <c r="CE46" i="20"/>
  <c r="U55" i="20"/>
  <c r="Z55" i="20"/>
  <c r="CE44" i="20"/>
  <c r="CE82" i="20" s="1"/>
  <c r="AY55" i="20"/>
  <c r="BW26" i="20"/>
  <c r="BW43" i="20"/>
  <c r="BW44" i="20"/>
  <c r="BN45" i="20"/>
  <c r="AO55" i="20"/>
  <c r="CK55" i="20"/>
  <c r="AS44" i="20"/>
  <c r="DJ43" i="20"/>
  <c r="CE55" i="20"/>
  <c r="CE68" i="20"/>
  <c r="AT55" i="20"/>
  <c r="S55" i="20"/>
  <c r="W55" i="20"/>
  <c r="BV28" i="20"/>
  <c r="BV45" i="20"/>
  <c r="Y178" i="5"/>
  <c r="AL93" i="9"/>
  <c r="AN93" i="9" s="1"/>
  <c r="AS100" i="9"/>
  <c r="W107" i="52"/>
  <c r="AG119" i="9"/>
  <c r="AJ119" i="9" s="1"/>
  <c r="AU91" i="9"/>
  <c r="I51" i="52"/>
  <c r="AF173" i="52"/>
  <c r="K51" i="52"/>
  <c r="W72" i="52"/>
  <c r="M172" i="52" s="1"/>
  <c r="W51" i="52"/>
  <c r="AA167" i="52"/>
  <c r="V235" i="5"/>
  <c r="W244" i="5"/>
  <c r="V244" i="5"/>
  <c r="W235" i="5"/>
  <c r="AU96" i="9"/>
  <c r="R95" i="5"/>
  <c r="AE173" i="52"/>
  <c r="AS93" i="9"/>
  <c r="W154" i="5"/>
  <c r="AS131" i="9"/>
  <c r="AJ135" i="9"/>
  <c r="AL142" i="9" s="1"/>
  <c r="AN142" i="9" s="1"/>
  <c r="AL138" i="9"/>
  <c r="AN138" i="9" s="1"/>
  <c r="S151" i="5"/>
  <c r="W26" i="5"/>
  <c r="T26" i="5"/>
  <c r="K62" i="5"/>
  <c r="DB60" i="20" s="1"/>
  <c r="CY41" i="20"/>
  <c r="CY53" i="20"/>
  <c r="K100" i="52"/>
  <c r="CY33" i="20"/>
  <c r="I100" i="52"/>
  <c r="CY21" i="20"/>
  <c r="CY43" i="20" s="1"/>
  <c r="P170" i="52"/>
  <c r="AE170" i="52" s="1"/>
  <c r="AD155" i="10"/>
  <c r="AV145" i="1"/>
  <c r="AV155" i="1"/>
  <c r="Z69" i="2"/>
  <c r="BA125" i="1"/>
  <c r="N129" i="73"/>
  <c r="N170" i="73" s="1"/>
  <c r="O124" i="73"/>
  <c r="DN83" i="20"/>
  <c r="DN82" i="20"/>
  <c r="D158" i="73"/>
  <c r="D171" i="73"/>
  <c r="D134" i="73"/>
  <c r="D147" i="73"/>
  <c r="D173" i="73" s="1"/>
  <c r="Q87" i="89"/>
  <c r="P123" i="89"/>
  <c r="F89" i="73"/>
  <c r="G114" i="73"/>
  <c r="BD152" i="1"/>
  <c r="BD142" i="1"/>
  <c r="BE122" i="1"/>
  <c r="BD127" i="1"/>
  <c r="BE127" i="1" s="1"/>
  <c r="BD125" i="1"/>
  <c r="BD126" i="1"/>
  <c r="BE126" i="1" s="1"/>
  <c r="M123" i="89"/>
  <c r="N122" i="89"/>
  <c r="CF135" i="1"/>
  <c r="P55" i="73"/>
  <c r="P70" i="73"/>
  <c r="P65" i="73"/>
  <c r="D76" i="73"/>
  <c r="D69" i="73"/>
  <c r="D52" i="73"/>
  <c r="DG52" i="20"/>
  <c r="DG40" i="20"/>
  <c r="DH52" i="20"/>
  <c r="DG18" i="20"/>
  <c r="V78" i="89"/>
  <c r="U114" i="89"/>
  <c r="AJ135" i="1"/>
  <c r="AO104" i="1"/>
  <c r="AK104" i="1"/>
  <c r="M122" i="89"/>
  <c r="N121" i="89"/>
  <c r="BD38" i="3"/>
  <c r="BF33" i="2"/>
  <c r="BF38" i="3" s="1"/>
  <c r="CZ16" i="20"/>
  <c r="I46" i="15"/>
  <c r="N74" i="73"/>
  <c r="N166" i="73" s="1"/>
  <c r="N49" i="73"/>
  <c r="O74" i="73"/>
  <c r="O166" i="73" s="1"/>
  <c r="G68" i="15"/>
  <c r="G76" i="15"/>
  <c r="G71" i="15"/>
  <c r="I36" i="73"/>
  <c r="DH50" i="20"/>
  <c r="BL154" i="1"/>
  <c r="BQ124" i="1"/>
  <c r="BM124" i="1"/>
  <c r="BL144" i="1"/>
  <c r="BL125" i="1"/>
  <c r="X77" i="15"/>
  <c r="AV69" i="2"/>
  <c r="X79" i="15"/>
  <c r="CJ131" i="1"/>
  <c r="CJ121" i="1"/>
  <c r="CJ104" i="1"/>
  <c r="CJ106" i="1"/>
  <c r="CO100" i="1"/>
  <c r="CJ105" i="1"/>
  <c r="CK100" i="1"/>
  <c r="AG104" i="1"/>
  <c r="AB135" i="1"/>
  <c r="AG135" i="1" s="1"/>
  <c r="W79" i="89"/>
  <c r="V115" i="89"/>
  <c r="AN156" i="1"/>
  <c r="AN157" i="1"/>
  <c r="AM114" i="52"/>
  <c r="AN114" i="52"/>
  <c r="AM121" i="52"/>
  <c r="CC134" i="1"/>
  <c r="F49" i="73"/>
  <c r="F74" i="73"/>
  <c r="G74" i="73"/>
  <c r="CR29" i="20"/>
  <c r="CR30" i="20"/>
  <c r="CR201" i="1"/>
  <c r="L79" i="15"/>
  <c r="X69" i="2"/>
  <c r="L85" i="15"/>
  <c r="L77" i="15"/>
  <c r="T93" i="77"/>
  <c r="W86" i="77"/>
  <c r="Z72" i="77"/>
  <c r="AA72" i="77"/>
  <c r="AQ113" i="9"/>
  <c r="AS113" i="9" s="1"/>
  <c r="AS114" i="9" s="1"/>
  <c r="D113" i="9"/>
  <c r="H113" i="9" s="1"/>
  <c r="AN113" i="9" s="1"/>
  <c r="AF155" i="1"/>
  <c r="AF145" i="1"/>
  <c r="U154" i="5"/>
  <c r="U26" i="5"/>
  <c r="BU105" i="1"/>
  <c r="BQ105" i="1"/>
  <c r="AL71" i="3"/>
  <c r="AL72" i="3" s="1"/>
  <c r="AN75" i="3"/>
  <c r="CB141" i="1"/>
  <c r="CG121" i="1"/>
  <c r="CB126" i="1"/>
  <c r="CB127" i="1"/>
  <c r="CB125" i="1"/>
  <c r="CC121" i="1"/>
  <c r="U62" i="77"/>
  <c r="W62" i="77"/>
  <c r="T159" i="5"/>
  <c r="DK72" i="20" s="1"/>
  <c r="J133" i="73"/>
  <c r="J134" i="73" s="1"/>
  <c r="J94" i="73"/>
  <c r="J95" i="73" s="1"/>
  <c r="J54" i="73"/>
  <c r="J55" i="73" s="1"/>
  <c r="R161" i="52"/>
  <c r="AD161" i="52"/>
  <c r="Y135" i="1"/>
  <c r="T204" i="5"/>
  <c r="AU110" i="9"/>
  <c r="T83" i="89"/>
  <c r="S119" i="89"/>
  <c r="T118" i="89"/>
  <c r="AL86" i="2"/>
  <c r="AJ141" i="1"/>
  <c r="AK141" i="1" s="1"/>
  <c r="AO121" i="1"/>
  <c r="AJ126" i="1"/>
  <c r="AO126" i="1" s="1"/>
  <c r="AJ125" i="1"/>
  <c r="AK125" i="1" s="1"/>
  <c r="AJ127" i="1"/>
  <c r="AO127" i="1" s="1"/>
  <c r="AJ151" i="1"/>
  <c r="AK151" i="1" s="1"/>
  <c r="K8" i="89"/>
  <c r="K187" i="89"/>
  <c r="K74" i="89"/>
  <c r="K110" i="89" s="1"/>
  <c r="K147" i="89" s="1"/>
  <c r="BQ142" i="1"/>
  <c r="N89" i="73"/>
  <c r="N114" i="73"/>
  <c r="N168" i="73" s="1"/>
  <c r="O114" i="73"/>
  <c r="O168" i="73" s="1"/>
  <c r="BX190" i="1"/>
  <c r="BS31" i="20" s="1"/>
  <c r="CB177" i="1"/>
  <c r="CK85" i="1"/>
  <c r="CK95" i="1"/>
  <c r="CP85" i="1"/>
  <c r="AM107" i="52"/>
  <c r="AN107" i="52"/>
  <c r="CB144" i="1"/>
  <c r="CC124" i="1"/>
  <c r="Q122" i="89"/>
  <c r="R86" i="89"/>
  <c r="K52" i="73"/>
  <c r="K68" i="73"/>
  <c r="BD135" i="1"/>
  <c r="BE135" i="1" s="1"/>
  <c r="J26" i="20"/>
  <c r="J44" i="20"/>
  <c r="J43" i="20"/>
  <c r="AC105" i="1"/>
  <c r="CO134" i="1"/>
  <c r="CK134" i="1"/>
  <c r="C136" i="89"/>
  <c r="B136" i="89"/>
  <c r="AG151" i="1"/>
  <c r="AC106" i="1"/>
  <c r="L147" i="73"/>
  <c r="L158" i="73"/>
  <c r="W31" i="20"/>
  <c r="CF136" i="1"/>
  <c r="F109" i="73"/>
  <c r="J122" i="89"/>
  <c r="L54" i="73"/>
  <c r="L55" i="73" s="1"/>
  <c r="L133" i="73"/>
  <c r="L134" i="73" s="1"/>
  <c r="L94" i="73"/>
  <c r="L95" i="73" s="1"/>
  <c r="BU104" i="1"/>
  <c r="BP135" i="1"/>
  <c r="X9" i="15"/>
  <c r="P36" i="73"/>
  <c r="DO50" i="20"/>
  <c r="J70" i="73"/>
  <c r="J65" i="73"/>
  <c r="P153" i="5"/>
  <c r="P154" i="5" s="1"/>
  <c r="P62" i="15"/>
  <c r="P67" i="15"/>
  <c r="P105" i="15"/>
  <c r="K122" i="89"/>
  <c r="W67" i="77"/>
  <c r="T74" i="77"/>
  <c r="Y67" i="77"/>
  <c r="T69" i="77"/>
  <c r="BP144" i="1"/>
  <c r="BP154" i="1"/>
  <c r="BU124" i="1"/>
  <c r="BN84" i="1"/>
  <c r="BI94" i="1"/>
  <c r="BI84" i="1"/>
  <c r="CQ29" i="20"/>
  <c r="CR167" i="1"/>
  <c r="G32" i="73"/>
  <c r="G21" i="73"/>
  <c r="G23" i="73" s="1"/>
  <c r="AF146" i="1"/>
  <c r="AG141" i="1"/>
  <c r="AF147" i="1"/>
  <c r="O68" i="73"/>
  <c r="O151" i="73" s="1"/>
  <c r="Q121" i="89"/>
  <c r="R85" i="89"/>
  <c r="BI95" i="1"/>
  <c r="BI85" i="1"/>
  <c r="BN85" i="1" s="1"/>
  <c r="BR85" i="1" s="1"/>
  <c r="BV85" i="1" s="1"/>
  <c r="BZ85" i="1" s="1"/>
  <c r="AO106" i="1"/>
  <c r="AK106" i="1"/>
  <c r="CC142" i="1"/>
  <c r="I85" i="15"/>
  <c r="R69" i="2"/>
  <c r="I77" i="15"/>
  <c r="I79" i="15"/>
  <c r="I82" i="15" s="1"/>
  <c r="BT144" i="1"/>
  <c r="BT154" i="1"/>
  <c r="BY124" i="1"/>
  <c r="DN33" i="20"/>
  <c r="DN46" i="20" s="1"/>
  <c r="DN21" i="20"/>
  <c r="DN41" i="20"/>
  <c r="CJ123" i="1"/>
  <c r="CJ133" i="1"/>
  <c r="CO133" i="1" s="1"/>
  <c r="CO102" i="1"/>
  <c r="L32" i="73"/>
  <c r="BA154" i="1"/>
  <c r="AW154" i="1"/>
  <c r="BZ83" i="77"/>
  <c r="BY83" i="77"/>
  <c r="BX135" i="1"/>
  <c r="CC104" i="1"/>
  <c r="I135" i="52"/>
  <c r="J89" i="89"/>
  <c r="J90" i="89" s="1"/>
  <c r="J91" i="89" s="1"/>
  <c r="X154" i="5"/>
  <c r="X26" i="5"/>
  <c r="CF142" i="1"/>
  <c r="CF152" i="1"/>
  <c r="CK122" i="1"/>
  <c r="CF126" i="1"/>
  <c r="BU131" i="1"/>
  <c r="BP136" i="1"/>
  <c r="BP137" i="1"/>
  <c r="BQ131" i="1"/>
  <c r="AD232" i="1"/>
  <c r="AH232" i="1"/>
  <c r="CK102" i="1"/>
  <c r="CF123" i="1"/>
  <c r="CF125" i="1" s="1"/>
  <c r="CF133" i="1"/>
  <c r="CF137" i="1" s="1"/>
  <c r="CG102" i="1"/>
  <c r="M147" i="73"/>
  <c r="M173" i="73" s="1"/>
  <c r="W76" i="89"/>
  <c r="H50" i="73"/>
  <c r="H30" i="73"/>
  <c r="H13" i="73"/>
  <c r="H37" i="73"/>
  <c r="H90" i="73"/>
  <c r="H129" i="73"/>
  <c r="I37" i="73"/>
  <c r="CB135" i="1"/>
  <c r="CG135" i="1" s="1"/>
  <c r="CG104" i="1"/>
  <c r="Z60" i="77"/>
  <c r="AA60" i="77"/>
  <c r="Y62" i="77"/>
  <c r="BI96" i="1"/>
  <c r="BI86" i="1"/>
  <c r="BN86" i="1" s="1"/>
  <c r="BR86" i="1" s="1"/>
  <c r="BV86" i="1" s="1"/>
  <c r="BZ86" i="1" s="1"/>
  <c r="CO86" i="1"/>
  <c r="CO96" i="1"/>
  <c r="W68" i="15"/>
  <c r="W76" i="15"/>
  <c r="K123" i="89"/>
  <c r="Y19" i="5"/>
  <c r="Z18" i="5"/>
  <c r="AA18" i="5" s="1"/>
  <c r="AB18" i="5" s="1"/>
  <c r="AC18" i="5" s="1"/>
  <c r="AX55" i="20"/>
  <c r="V80" i="89"/>
  <c r="U116" i="89"/>
  <c r="I7" i="89"/>
  <c r="J5" i="89"/>
  <c r="J9" i="89"/>
  <c r="T76" i="15"/>
  <c r="T71" i="15"/>
  <c r="DK82" i="20" s="1"/>
  <c r="T68" i="15"/>
  <c r="R75" i="77"/>
  <c r="N82" i="77"/>
  <c r="Y75" i="77"/>
  <c r="S85" i="15"/>
  <c r="AL69" i="2"/>
  <c r="S77" i="15"/>
  <c r="S79" i="15"/>
  <c r="J58" i="73"/>
  <c r="J137" i="73"/>
  <c r="J98" i="73"/>
  <c r="X146" i="1"/>
  <c r="AC141" i="1"/>
  <c r="DE60" i="1"/>
  <c r="C21" i="73"/>
  <c r="C23" i="73" s="1"/>
  <c r="C32" i="73"/>
  <c r="J76" i="15"/>
  <c r="J68" i="15"/>
  <c r="J71" i="15"/>
  <c r="J45" i="15" s="1"/>
  <c r="CJ144" i="1"/>
  <c r="CO124" i="1"/>
  <c r="CJ154" i="1"/>
  <c r="K133" i="73"/>
  <c r="K54" i="73"/>
  <c r="K94" i="73"/>
  <c r="C43" i="20"/>
  <c r="C26" i="20"/>
  <c r="C44" i="20"/>
  <c r="AK127" i="1"/>
  <c r="L65" i="73"/>
  <c r="L70" i="73"/>
  <c r="DK42" i="20"/>
  <c r="DK21" i="20"/>
  <c r="P95" i="73"/>
  <c r="P110" i="73"/>
  <c r="P105" i="73"/>
  <c r="DE39" i="20"/>
  <c r="DE18" i="20"/>
  <c r="DO53" i="20"/>
  <c r="DO21" i="20"/>
  <c r="DO41" i="20"/>
  <c r="DO33" i="20"/>
  <c r="J158" i="73"/>
  <c r="J147" i="73"/>
  <c r="BB97" i="77"/>
  <c r="BC97" i="77"/>
  <c r="BU134" i="1"/>
  <c r="CO85" i="1"/>
  <c r="CO95" i="1"/>
  <c r="AJ137" i="1"/>
  <c r="AO137" i="1" s="1"/>
  <c r="AO131" i="1"/>
  <c r="AJ136" i="1"/>
  <c r="AO136" i="1" s="1"/>
  <c r="N76" i="73"/>
  <c r="N69" i="73"/>
  <c r="N155" i="73" s="1"/>
  <c r="T94" i="15"/>
  <c r="DJ30" i="20"/>
  <c r="AZ156" i="1"/>
  <c r="AZ157" i="1"/>
  <c r="BE151" i="1"/>
  <c r="R68" i="15"/>
  <c r="R76" i="15"/>
  <c r="R71" i="15"/>
  <c r="DI82" i="20" s="1"/>
  <c r="O97" i="73"/>
  <c r="O57" i="73"/>
  <c r="CB137" i="1"/>
  <c r="CG131" i="1"/>
  <c r="CB136" i="1"/>
  <c r="CC131" i="1"/>
  <c r="AW104" i="1"/>
  <c r="AR135" i="1"/>
  <c r="AW135" i="1" s="1"/>
  <c r="AP89" i="2"/>
  <c r="K124" i="89"/>
  <c r="BY104" i="1"/>
  <c r="BT135" i="1"/>
  <c r="BY135" i="1" s="1"/>
  <c r="J110" i="73"/>
  <c r="J105" i="73"/>
  <c r="N116" i="73"/>
  <c r="N109" i="73"/>
  <c r="N157" i="73" s="1"/>
  <c r="BL82" i="20"/>
  <c r="BN82" i="20"/>
  <c r="BM82" i="20"/>
  <c r="BK82" i="20"/>
  <c r="AK131" i="1"/>
  <c r="S74" i="15"/>
  <c r="K19" i="73"/>
  <c r="DJ24" i="20"/>
  <c r="T73" i="15"/>
  <c r="F128" i="73"/>
  <c r="G165" i="73"/>
  <c r="BE125" i="1"/>
  <c r="AZ155" i="1"/>
  <c r="AZ145" i="1"/>
  <c r="BX143" i="1"/>
  <c r="CC123" i="1"/>
  <c r="BX153" i="1"/>
  <c r="BX125" i="1"/>
  <c r="BX127" i="1"/>
  <c r="CC127" i="1" s="1"/>
  <c r="DJ42" i="20"/>
  <c r="O125" i="89"/>
  <c r="BA126" i="1"/>
  <c r="AN188" i="1"/>
  <c r="X31" i="20" s="1"/>
  <c r="AN179" i="1"/>
  <c r="BJ85" i="1"/>
  <c r="BU106" i="1"/>
  <c r="BQ106" i="1"/>
  <c r="AS152" i="1"/>
  <c r="AO152" i="1"/>
  <c r="O90" i="73"/>
  <c r="O92" i="73" s="1"/>
  <c r="P117" i="73" s="1"/>
  <c r="O37" i="73"/>
  <c r="O50" i="73"/>
  <c r="O52" i="73" s="1"/>
  <c r="P78" i="73" s="1"/>
  <c r="O30" i="73"/>
  <c r="O156" i="73" s="1"/>
  <c r="O154" i="73" s="1"/>
  <c r="P37" i="73"/>
  <c r="BQ133" i="1"/>
  <c r="BU133" i="1"/>
  <c r="CO84" i="1"/>
  <c r="CO94" i="1"/>
  <c r="BH55" i="20"/>
  <c r="R69" i="77"/>
  <c r="O69" i="77"/>
  <c r="AO105" i="1"/>
  <c r="AK105" i="1"/>
  <c r="G95" i="73"/>
  <c r="G105" i="73"/>
  <c r="G110" i="73"/>
  <c r="AS105" i="1"/>
  <c r="BY133" i="1"/>
  <c r="BT137" i="1"/>
  <c r="R120" i="89"/>
  <c r="S84" i="89"/>
  <c r="G158" i="73"/>
  <c r="G134" i="73"/>
  <c r="G147" i="73"/>
  <c r="AW121" i="1"/>
  <c r="AR127" i="1"/>
  <c r="AS127" i="1" s="1"/>
  <c r="AR126" i="1"/>
  <c r="AW126" i="1" s="1"/>
  <c r="AR125" i="1"/>
  <c r="AR141" i="1"/>
  <c r="AS141" i="1" s="1"/>
  <c r="AR151" i="1"/>
  <c r="AS151" i="1" s="1"/>
  <c r="F154" i="73"/>
  <c r="Z68" i="77"/>
  <c r="AA68" i="77"/>
  <c r="CK86" i="1"/>
  <c r="CP86" i="1"/>
  <c r="CK96" i="1"/>
  <c r="AB142" i="1"/>
  <c r="AB125" i="1"/>
  <c r="AB127" i="1"/>
  <c r="AG127" i="1" s="1"/>
  <c r="AB126" i="1"/>
  <c r="AG126" i="1" s="1"/>
  <c r="AB152" i="1"/>
  <c r="AG122" i="1"/>
  <c r="AC122" i="1"/>
  <c r="AW144" i="1"/>
  <c r="BA144" i="1"/>
  <c r="BA133" i="1"/>
  <c r="AW133" i="1"/>
  <c r="X157" i="1"/>
  <c r="X156" i="1"/>
  <c r="AC151" i="1"/>
  <c r="F13" i="73"/>
  <c r="F29" i="73"/>
  <c r="CC133" i="1"/>
  <c r="BX137" i="1"/>
  <c r="D83" i="15"/>
  <c r="C85" i="15"/>
  <c r="C83" i="15"/>
  <c r="I88" i="89"/>
  <c r="N83" i="77"/>
  <c r="N86" i="77"/>
  <c r="R79" i="77"/>
  <c r="Y79" i="77"/>
  <c r="C46" i="20"/>
  <c r="H55" i="20"/>
  <c r="O124" i="89"/>
  <c r="O91" i="89"/>
  <c r="BA141" i="1"/>
  <c r="AV146" i="1"/>
  <c r="K108" i="73"/>
  <c r="K92" i="73"/>
  <c r="L117" i="73" s="1"/>
  <c r="N91" i="89"/>
  <c r="O126" i="89" s="1"/>
  <c r="CF106" i="1"/>
  <c r="O13" i="73"/>
  <c r="O29" i="73"/>
  <c r="O152" i="73" s="1"/>
  <c r="O150" i="73" s="1"/>
  <c r="M54" i="73"/>
  <c r="M94" i="73"/>
  <c r="M133" i="73"/>
  <c r="M134" i="73" s="1"/>
  <c r="M16" i="73"/>
  <c r="D116" i="73"/>
  <c r="E116" i="73"/>
  <c r="D109" i="73"/>
  <c r="AX233" i="1"/>
  <c r="BB233" i="1"/>
  <c r="AS106" i="1"/>
  <c r="B66" i="10"/>
  <c r="B75" i="9"/>
  <c r="B82" i="9" s="1"/>
  <c r="B89" i="9" s="1"/>
  <c r="B96" i="9" s="1"/>
  <c r="B103" i="9" s="1"/>
  <c r="B110" i="9" s="1"/>
  <c r="B117" i="9" s="1"/>
  <c r="B124" i="9" s="1"/>
  <c r="B131" i="9" s="1"/>
  <c r="B138" i="9" s="1"/>
  <c r="B145" i="9" s="1"/>
  <c r="B152" i="9" s="1"/>
  <c r="B159" i="9" s="1"/>
  <c r="B166" i="9" s="1"/>
  <c r="B173" i="9" s="1"/>
  <c r="AD233" i="1"/>
  <c r="AH233" i="1"/>
  <c r="AS142" i="1"/>
  <c r="AO142" i="1"/>
  <c r="L90" i="89"/>
  <c r="L91" i="89" s="1"/>
  <c r="CG105" i="1"/>
  <c r="CC105" i="1"/>
  <c r="BZ76" i="77"/>
  <c r="BY76" i="77"/>
  <c r="DN40" i="20"/>
  <c r="DN52" i="20"/>
  <c r="DO52" i="20"/>
  <c r="CN122" i="1"/>
  <c r="CN132" i="1"/>
  <c r="CO101" i="1"/>
  <c r="CN104" i="1"/>
  <c r="CN135" i="1" s="1"/>
  <c r="CN105" i="1"/>
  <c r="CN106" i="1"/>
  <c r="CL85" i="1"/>
  <c r="S154" i="5"/>
  <c r="BT143" i="1"/>
  <c r="BT153" i="1"/>
  <c r="BY123" i="1"/>
  <c r="BT125" i="1"/>
  <c r="BT127" i="1"/>
  <c r="N13" i="73"/>
  <c r="N29" i="73"/>
  <c r="N152" i="73" s="1"/>
  <c r="N150" i="73" s="1"/>
  <c r="N128" i="73" s="1"/>
  <c r="AN146" i="1"/>
  <c r="AN147" i="1"/>
  <c r="DM18" i="20"/>
  <c r="DN53" i="20" s="1"/>
  <c r="DM39" i="20"/>
  <c r="BZ90" i="77"/>
  <c r="BY90" i="77"/>
  <c r="AV156" i="1"/>
  <c r="BA156" i="1" s="1"/>
  <c r="BA151" i="1"/>
  <c r="AS143" i="1"/>
  <c r="AO143" i="1"/>
  <c r="DI42" i="20"/>
  <c r="C100" i="73"/>
  <c r="C102" i="73" s="1"/>
  <c r="K150" i="73"/>
  <c r="K131" i="73"/>
  <c r="L171" i="73" s="1"/>
  <c r="T113" i="89"/>
  <c r="U77" i="89"/>
  <c r="V112" i="89" s="1"/>
  <c r="V68" i="15"/>
  <c r="V76" i="15"/>
  <c r="V71" i="15"/>
  <c r="DI21" i="20"/>
  <c r="Q151" i="5"/>
  <c r="V154" i="5"/>
  <c r="CK84" i="1"/>
  <c r="CP84" i="1"/>
  <c r="CK94" i="1"/>
  <c r="AG132" i="1"/>
  <c r="AB136" i="1"/>
  <c r="AG136" i="1" s="1"/>
  <c r="AB137" i="1"/>
  <c r="AG137" i="1" s="1"/>
  <c r="AC132" i="1"/>
  <c r="Q75" i="73"/>
  <c r="Q169" i="73"/>
  <c r="U76" i="15"/>
  <c r="U68" i="15"/>
  <c r="U71" i="15"/>
  <c r="DL82" i="20" s="1"/>
  <c r="F69" i="73"/>
  <c r="V81" i="89"/>
  <c r="U117" i="89"/>
  <c r="BB234" i="1"/>
  <c r="AX234" i="1"/>
  <c r="C11" i="92"/>
  <c r="K89" i="89"/>
  <c r="K31" i="73"/>
  <c r="K26" i="73"/>
  <c r="K16" i="73"/>
  <c r="AD234" i="1"/>
  <c r="AH234" i="1"/>
  <c r="L110" i="73"/>
  <c r="L105" i="73"/>
  <c r="W91" i="15"/>
  <c r="X90" i="15"/>
  <c r="N68" i="15"/>
  <c r="N71" i="15"/>
  <c r="N76" i="15"/>
  <c r="M88" i="89"/>
  <c r="P32" i="73"/>
  <c r="P161" i="73" s="1"/>
  <c r="P159" i="73" s="1"/>
  <c r="C159" i="73"/>
  <c r="BO97" i="77"/>
  <c r="BN97" i="77"/>
  <c r="AW131" i="1"/>
  <c r="AR137" i="1"/>
  <c r="AS137" i="1" s="1"/>
  <c r="AR136" i="1"/>
  <c r="AW136" i="1" s="1"/>
  <c r="BL135" i="1"/>
  <c r="BQ104" i="1"/>
  <c r="AD69" i="2"/>
  <c r="O79" i="15"/>
  <c r="O77" i="15"/>
  <c r="O85" i="15"/>
  <c r="W151" i="5"/>
  <c r="AF25" i="5"/>
  <c r="V26" i="5"/>
  <c r="BA123" i="1"/>
  <c r="AV153" i="1"/>
  <c r="AV157" i="1" s="1"/>
  <c r="BA157" i="1" s="1"/>
  <c r="AV143" i="1"/>
  <c r="AV147" i="1" s="1"/>
  <c r="AW123" i="1"/>
  <c r="AZ147" i="1"/>
  <c r="AZ146" i="1"/>
  <c r="BD137" i="1"/>
  <c r="BE137" i="1" s="1"/>
  <c r="BD136" i="1"/>
  <c r="BE132" i="1"/>
  <c r="P155" i="73"/>
  <c r="N76" i="77"/>
  <c r="AV127" i="1"/>
  <c r="BA127" i="1" s="1"/>
  <c r="B70" i="9"/>
  <c r="B61" i="10"/>
  <c r="AS153" i="1"/>
  <c r="CK105" i="1"/>
  <c r="O108" i="73"/>
  <c r="O153" i="73" s="1"/>
  <c r="D31" i="73"/>
  <c r="D26" i="73"/>
  <c r="D38" i="73"/>
  <c r="D16" i="73"/>
  <c r="D170" i="73"/>
  <c r="E170" i="73"/>
  <c r="D154" i="73"/>
  <c r="W128" i="52"/>
  <c r="V172" i="52" s="1"/>
  <c r="V170" i="52"/>
  <c r="BP141" i="1"/>
  <c r="BU121" i="1"/>
  <c r="BP126" i="1"/>
  <c r="BQ121" i="1"/>
  <c r="BP125" i="1"/>
  <c r="BP127" i="1"/>
  <c r="BP151" i="1"/>
  <c r="AS104" i="1"/>
  <c r="AV137" i="1"/>
  <c r="BA137" i="1" s="1"/>
  <c r="P88" i="89"/>
  <c r="N92" i="89"/>
  <c r="CG106" i="1"/>
  <c r="CB197" i="1"/>
  <c r="BX187" i="1"/>
  <c r="BS30" i="20"/>
  <c r="BX201" i="1"/>
  <c r="BX188" i="1" s="1"/>
  <c r="BQ31" i="20" s="1"/>
  <c r="BU123" i="1"/>
  <c r="BP153" i="1"/>
  <c r="BQ123" i="1"/>
  <c r="BP143" i="1"/>
  <c r="BM101" i="1"/>
  <c r="BH106" i="1"/>
  <c r="BM106" i="1" s="1"/>
  <c r="BH104" i="1"/>
  <c r="BH122" i="1"/>
  <c r="BI122" i="1" s="1"/>
  <c r="BH132" i="1"/>
  <c r="BI132" i="1" s="1"/>
  <c r="BM132" i="1" s="1"/>
  <c r="BH105" i="1"/>
  <c r="BM105" i="1" s="1"/>
  <c r="AP234" i="1"/>
  <c r="BX181" i="1"/>
  <c r="K93" i="52"/>
  <c r="I114" i="52"/>
  <c r="I121" i="52"/>
  <c r="K79" i="52"/>
  <c r="I44" i="52"/>
  <c r="AL107" i="9"/>
  <c r="AN107" i="9" s="1"/>
  <c r="I128" i="52"/>
  <c r="U166" i="52"/>
  <c r="AE166" i="52"/>
  <c r="T170" i="52"/>
  <c r="AG170" i="52" s="1"/>
  <c r="U170" i="52"/>
  <c r="K128" i="52"/>
  <c r="S166" i="52"/>
  <c r="AF166" i="52" s="1"/>
  <c r="H85" i="15"/>
  <c r="H79" i="15"/>
  <c r="H77" i="15"/>
  <c r="P69" i="2"/>
  <c r="AI167" i="52"/>
  <c r="W65" i="52"/>
  <c r="K72" i="52"/>
  <c r="L170" i="52"/>
  <c r="AA170" i="52" s="1"/>
  <c r="K65" i="52"/>
  <c r="AG167" i="52"/>
  <c r="L166" i="52"/>
  <c r="AA166" i="52" s="1"/>
  <c r="I72" i="52"/>
  <c r="I65" i="52"/>
  <c r="AJ120" i="9"/>
  <c r="P220" i="5"/>
  <c r="Q6" i="5"/>
  <c r="Y168" i="5"/>
  <c r="Y170" i="5"/>
  <c r="AL114" i="9"/>
  <c r="AN114" i="9" s="1"/>
  <c r="DG71" i="20"/>
  <c r="W120" i="5"/>
  <c r="V185" i="5"/>
  <c r="V186" i="5" s="1"/>
  <c r="V121" i="5"/>
  <c r="AU105" i="9"/>
  <c r="AU112" i="9"/>
  <c r="X187" i="5"/>
  <c r="X188" i="5" s="1"/>
  <c r="X123" i="5"/>
  <c r="Y122" i="5"/>
  <c r="AU104" i="9"/>
  <c r="AU111" i="9"/>
  <c r="I91" i="5"/>
  <c r="AA128" i="5"/>
  <c r="Z129" i="5"/>
  <c r="Z103" i="5"/>
  <c r="AA102" i="5"/>
  <c r="Z169" i="5"/>
  <c r="V69" i="5"/>
  <c r="AS107" i="9"/>
  <c r="AU103" i="9"/>
  <c r="AD167" i="52"/>
  <c r="X124" i="5"/>
  <c r="W125" i="5"/>
  <c r="W86" i="52"/>
  <c r="X93" i="52" s="1"/>
  <c r="O170" i="52"/>
  <c r="K32" i="5"/>
  <c r="K61" i="5" s="1"/>
  <c r="DB59" i="20" s="1"/>
  <c r="J76" i="5"/>
  <c r="DA81" i="20"/>
  <c r="Q44" i="52"/>
  <c r="T44" i="52"/>
  <c r="AU106" i="9"/>
  <c r="V37" i="52"/>
  <c r="W37" i="52"/>
  <c r="AF170" i="52"/>
  <c r="Y74" i="5"/>
  <c r="DP64" i="20" s="1"/>
  <c r="T113" i="2"/>
  <c r="T119" i="2"/>
  <c r="W127" i="5"/>
  <c r="X126" i="5"/>
  <c r="AG126" i="9"/>
  <c r="O166" i="52"/>
  <c r="AC166" i="52" s="1"/>
  <c r="I86" i="52"/>
  <c r="P172" i="52"/>
  <c r="V107" i="2"/>
  <c r="X106" i="2"/>
  <c r="AB106" i="5"/>
  <c r="AA173" i="5"/>
  <c r="AA107" i="5"/>
  <c r="T132" i="5"/>
  <c r="T88" i="5"/>
  <c r="U132" i="5"/>
  <c r="DG70" i="20"/>
  <c r="AF123" i="10"/>
  <c r="U119" i="5"/>
  <c r="V118" i="5"/>
  <c r="U183" i="5"/>
  <c r="U184" i="5" s="1"/>
  <c r="Q34" i="94"/>
  <c r="S34" i="94" s="1"/>
  <c r="Q41" i="94"/>
  <c r="S41" i="94" s="1"/>
  <c r="O42" i="94"/>
  <c r="O38" i="94"/>
  <c r="AA38" i="94"/>
  <c r="AC34" i="94"/>
  <c r="AC41" i="94"/>
  <c r="BK28" i="20"/>
  <c r="BG55" i="20"/>
  <c r="BB43" i="20"/>
  <c r="BB44" i="20"/>
  <c r="BB26" i="20"/>
  <c r="BM68" i="20"/>
  <c r="BA26" i="20"/>
  <c r="BA43" i="20"/>
  <c r="BA44" i="20"/>
  <c r="AR46" i="20"/>
  <c r="AR55" i="20"/>
  <c r="AI45" i="20"/>
  <c r="AI28" i="20"/>
  <c r="BA46" i="20"/>
  <c r="BA55" i="20"/>
  <c r="CV45" i="20"/>
  <c r="CV28" i="20"/>
  <c r="CV54" i="20" s="1"/>
  <c r="Y45" i="20"/>
  <c r="Y28" i="20"/>
  <c r="CZ43" i="20"/>
  <c r="CZ26" i="20"/>
  <c r="CZ44" i="20"/>
  <c r="CK28" i="20"/>
  <c r="CK54" i="20" s="1"/>
  <c r="CK45" i="20"/>
  <c r="DC26" i="20"/>
  <c r="DC43" i="20"/>
  <c r="DC44" i="20"/>
  <c r="AO43" i="20"/>
  <c r="AO26" i="20"/>
  <c r="AO44" i="20"/>
  <c r="DJ46" i="20"/>
  <c r="BZ43" i="20"/>
  <c r="BZ26" i="20"/>
  <c r="BZ44" i="20"/>
  <c r="BZ82" i="20" s="1"/>
  <c r="BQ28" i="20"/>
  <c r="BQ45" i="20"/>
  <c r="CA68" i="20"/>
  <c r="CF68" i="20"/>
  <c r="BF43" i="20"/>
  <c r="BF26" i="20"/>
  <c r="BF44" i="20"/>
  <c r="AR26" i="20"/>
  <c r="AR44" i="20"/>
  <c r="AR43" i="20"/>
  <c r="DF26" i="20"/>
  <c r="DF43" i="20"/>
  <c r="DF44" i="20"/>
  <c r="BK55" i="20"/>
  <c r="BF46" i="20"/>
  <c r="BF55" i="20"/>
  <c r="DC46" i="20"/>
  <c r="BH44" i="20"/>
  <c r="BH43" i="20"/>
  <c r="BH26" i="20"/>
  <c r="N26" i="20"/>
  <c r="N43" i="20"/>
  <c r="N44" i="20"/>
  <c r="CA26" i="20"/>
  <c r="CA44" i="20"/>
  <c r="CA82" i="20" s="1"/>
  <c r="CA43" i="20"/>
  <c r="K55" i="20"/>
  <c r="DF46" i="20"/>
  <c r="CF55" i="20"/>
  <c r="CA46" i="20"/>
  <c r="CA55" i="20"/>
  <c r="O46" i="20"/>
  <c r="O55" i="20"/>
  <c r="D28" i="20"/>
  <c r="D45" i="20"/>
  <c r="W45" i="20"/>
  <c r="W28" i="20"/>
  <c r="W54" i="20" s="1"/>
  <c r="S27" i="74"/>
  <c r="BZ68" i="20"/>
  <c r="BU68" i="20"/>
  <c r="CM26" i="20"/>
  <c r="CM43" i="20"/>
  <c r="CM44" i="20"/>
  <c r="I44" i="20"/>
  <c r="I26" i="20"/>
  <c r="I43" i="20"/>
  <c r="BM46" i="20"/>
  <c r="BM55" i="20"/>
  <c r="CX46" i="20"/>
  <c r="AX28" i="20"/>
  <c r="AX45" i="20"/>
  <c r="T46" i="20"/>
  <c r="T55" i="20"/>
  <c r="Y55" i="20"/>
  <c r="AN55" i="20"/>
  <c r="AN46" i="20"/>
  <c r="BP26" i="20"/>
  <c r="BP44" i="20"/>
  <c r="R29" i="74" s="1"/>
  <c r="BP43" i="20"/>
  <c r="R28" i="74" s="1"/>
  <c r="R15" i="74"/>
  <c r="BR55" i="20"/>
  <c r="BR46" i="20"/>
  <c r="BW55" i="20"/>
  <c r="AW26" i="20"/>
  <c r="AW44" i="20"/>
  <c r="AW43" i="20"/>
  <c r="BD43" i="20"/>
  <c r="BD26" i="20"/>
  <c r="BD44" i="20"/>
  <c r="M43" i="20"/>
  <c r="M26" i="20"/>
  <c r="M44" i="20"/>
  <c r="S28" i="20"/>
  <c r="S45" i="20"/>
  <c r="AH46" i="20"/>
  <c r="AH55" i="20"/>
  <c r="AM55" i="20"/>
  <c r="AL45" i="20"/>
  <c r="AL28" i="20"/>
  <c r="AN26" i="20"/>
  <c r="AN44" i="20"/>
  <c r="AN43" i="20"/>
  <c r="AT45" i="20"/>
  <c r="AT28" i="20"/>
  <c r="Z28" i="20"/>
  <c r="Z54" i="20" s="1"/>
  <c r="Z45" i="20"/>
  <c r="AH26" i="20"/>
  <c r="AH43" i="20"/>
  <c r="AH44" i="20"/>
  <c r="AS55" i="20"/>
  <c r="F43" i="20"/>
  <c r="F26" i="20"/>
  <c r="F44" i="20"/>
  <c r="BM26" i="20"/>
  <c r="BM43" i="20"/>
  <c r="BM44" i="20"/>
  <c r="BU46" i="20"/>
  <c r="BU55" i="20"/>
  <c r="BZ55" i="20"/>
  <c r="BS28" i="20"/>
  <c r="BS45" i="20"/>
  <c r="CB26" i="20"/>
  <c r="CB44" i="20"/>
  <c r="CB82" i="20" s="1"/>
  <c r="CB43" i="20"/>
  <c r="CW45" i="20"/>
  <c r="CW28" i="20"/>
  <c r="X55" i="20"/>
  <c r="X46" i="20"/>
  <c r="AC55" i="20"/>
  <c r="E46" i="20"/>
  <c r="J55" i="20"/>
  <c r="BL68" i="20"/>
  <c r="BQ68" i="20"/>
  <c r="CG26" i="20"/>
  <c r="CG44" i="20"/>
  <c r="CG82" i="20" s="1"/>
  <c r="CG43" i="20"/>
  <c r="BC28" i="20"/>
  <c r="BC45" i="20"/>
  <c r="X11" i="74"/>
  <c r="W11" i="74"/>
  <c r="Y11" i="74"/>
  <c r="BR43" i="20"/>
  <c r="BR26" i="20"/>
  <c r="BR44" i="20"/>
  <c r="CH28" i="20"/>
  <c r="CH45" i="20"/>
  <c r="I55" i="20"/>
  <c r="I46" i="20"/>
  <c r="N55" i="20"/>
  <c r="BL43" i="20"/>
  <c r="BL44" i="20"/>
  <c r="BL26" i="20"/>
  <c r="AW46" i="20"/>
  <c r="BB55" i="20"/>
  <c r="AW55" i="20"/>
  <c r="X26" i="20"/>
  <c r="X44" i="20"/>
  <c r="X43" i="20"/>
  <c r="CG68" i="20"/>
  <c r="DA26" i="20"/>
  <c r="DA44" i="20"/>
  <c r="DA43" i="20"/>
  <c r="CJ28" i="20"/>
  <c r="CJ45" i="20"/>
  <c r="O43" i="20"/>
  <c r="O26" i="20"/>
  <c r="O44" i="20"/>
  <c r="BI28" i="20"/>
  <c r="BN54" i="20" s="1"/>
  <c r="BI45" i="20"/>
  <c r="K28" i="20"/>
  <c r="K45" i="20"/>
  <c r="CB46" i="20"/>
  <c r="CB55" i="20"/>
  <c r="P28" i="20"/>
  <c r="P45" i="20"/>
  <c r="E43" i="20"/>
  <c r="E44" i="20"/>
  <c r="E26" i="20"/>
  <c r="T43" i="20"/>
  <c r="T26" i="20"/>
  <c r="T44" i="20"/>
  <c r="BP68" i="20"/>
  <c r="R27" i="74"/>
  <c r="X25" i="74"/>
  <c r="W25" i="74"/>
  <c r="Y25" i="74"/>
  <c r="CG55" i="20"/>
  <c r="CG46" i="20"/>
  <c r="BU26" i="20"/>
  <c r="S15" i="74"/>
  <c r="BU43" i="20"/>
  <c r="S28" i="74" s="1"/>
  <c r="BU44" i="20"/>
  <c r="S29" i="74" s="1"/>
  <c r="BR68" i="20"/>
  <c r="BW68" i="20"/>
  <c r="AS45" i="20"/>
  <c r="AS28" i="20"/>
  <c r="CL45" i="20"/>
  <c r="CL28" i="20"/>
  <c r="AB28" i="20"/>
  <c r="AB45" i="20"/>
  <c r="AD45" i="20"/>
  <c r="AD28" i="20"/>
  <c r="M46" i="20"/>
  <c r="M55" i="20"/>
  <c r="R55" i="20"/>
  <c r="AJ28" i="20"/>
  <c r="AJ45" i="20"/>
  <c r="AE28" i="20"/>
  <c r="AE45" i="20"/>
  <c r="CE45" i="20"/>
  <c r="CE28" i="20"/>
  <c r="AQ45" i="20"/>
  <c r="AQ28" i="20"/>
  <c r="BD46" i="20"/>
  <c r="BD55" i="20"/>
  <c r="CH82" i="20"/>
  <c r="DA46" i="20"/>
  <c r="BQ55" i="20"/>
  <c r="BL55" i="20"/>
  <c r="BL46" i="20"/>
  <c r="AG28" i="20"/>
  <c r="AG45" i="20"/>
  <c r="BP46" i="20"/>
  <c r="BP55" i="20"/>
  <c r="BD51" i="3"/>
  <c r="BF12" i="3"/>
  <c r="BF51" i="3" s="1"/>
  <c r="I120" i="89"/>
  <c r="H121" i="89"/>
  <c r="H86" i="89"/>
  <c r="H87" i="89" s="1"/>
  <c r="J190" i="89"/>
  <c r="Y181" i="5" l="1"/>
  <c r="Y182" i="5" s="1"/>
  <c r="I77" i="5"/>
  <c r="O67" i="5"/>
  <c r="DF62" i="20" s="1"/>
  <c r="AS135" i="1"/>
  <c r="AA59" i="94"/>
  <c r="AC59" i="94" s="1"/>
  <c r="BU135" i="1"/>
  <c r="J31" i="73"/>
  <c r="J26" i="73"/>
  <c r="K40" i="73" s="1"/>
  <c r="J16" i="73"/>
  <c r="DA55" i="20"/>
  <c r="AO153" i="1"/>
  <c r="AS126" i="1"/>
  <c r="CF127" i="1"/>
  <c r="CO106" i="1"/>
  <c r="AC125" i="1"/>
  <c r="N94" i="77"/>
  <c r="R87" i="77"/>
  <c r="BG80" i="20"/>
  <c r="K38" i="73"/>
  <c r="M95" i="73"/>
  <c r="AF156" i="1"/>
  <c r="W115" i="89"/>
  <c r="BA145" i="1"/>
  <c r="DI41" i="20"/>
  <c r="DI33" i="20"/>
  <c r="DJ53" i="20"/>
  <c r="BE141" i="1"/>
  <c r="BY127" i="1"/>
  <c r="F165" i="73"/>
  <c r="AO134" i="1"/>
  <c r="AK152" i="1"/>
  <c r="N88" i="77"/>
  <c r="R81" i="77"/>
  <c r="BI124" i="1"/>
  <c r="BH154" i="1"/>
  <c r="BI154" i="1" s="1"/>
  <c r="BM154" i="1" s="1"/>
  <c r="BH144" i="1"/>
  <c r="BI144" i="1" s="1"/>
  <c r="AU156" i="9"/>
  <c r="AL124" i="9"/>
  <c r="AN124" i="9" s="1"/>
  <c r="AL131" i="9"/>
  <c r="AE167" i="52"/>
  <c r="I107" i="52"/>
  <c r="N170" i="52"/>
  <c r="AB170" i="52" s="1"/>
  <c r="K86" i="52"/>
  <c r="AB167" i="52"/>
  <c r="N202" i="5"/>
  <c r="AB124" i="10"/>
  <c r="AD124" i="10" s="1"/>
  <c r="AF124" i="10" s="1"/>
  <c r="CF144" i="1"/>
  <c r="CG144" i="1" s="1"/>
  <c r="CF154" i="1"/>
  <c r="CG154" i="1" s="1"/>
  <c r="AK126" i="1"/>
  <c r="D108" i="73"/>
  <c r="D92" i="73"/>
  <c r="M68" i="15"/>
  <c r="M76" i="15"/>
  <c r="M71" i="15"/>
  <c r="E131" i="73"/>
  <c r="E150" i="73"/>
  <c r="AS118" i="9"/>
  <c r="AU118" i="9" s="1"/>
  <c r="AF153" i="5"/>
  <c r="BI105" i="1"/>
  <c r="BU154" i="1"/>
  <c r="CG124" i="1"/>
  <c r="CY55" i="20"/>
  <c r="AK144" i="1"/>
  <c r="AG144" i="1"/>
  <c r="K77" i="15"/>
  <c r="K79" i="15"/>
  <c r="K82" i="15" s="1"/>
  <c r="V69" i="2"/>
  <c r="V8" i="3" s="1"/>
  <c r="K85" i="15"/>
  <c r="L86" i="15" s="1"/>
  <c r="BX28" i="20"/>
  <c r="BX54" i="20" s="1"/>
  <c r="BX45" i="20"/>
  <c r="M105" i="73"/>
  <c r="M110" i="73"/>
  <c r="BO82" i="77"/>
  <c r="CA82" i="77"/>
  <c r="BN82" i="77"/>
  <c r="BM141" i="1"/>
  <c r="BL146" i="1"/>
  <c r="BL147" i="1"/>
  <c r="E89" i="73"/>
  <c r="E114" i="73"/>
  <c r="Y117" i="5"/>
  <c r="AK154" i="1"/>
  <c r="AG154" i="1"/>
  <c r="AN154" i="1"/>
  <c r="AS154" i="1" s="1"/>
  <c r="AN144" i="1"/>
  <c r="AS144" i="1" s="1"/>
  <c r="AS124" i="1"/>
  <c r="AN125" i="1"/>
  <c r="C65" i="73"/>
  <c r="C70" i="73"/>
  <c r="C55" i="73"/>
  <c r="DB61" i="20"/>
  <c r="L64" i="5"/>
  <c r="K194" i="5"/>
  <c r="I13" i="73"/>
  <c r="I29" i="73"/>
  <c r="BL157" i="1"/>
  <c r="BL156" i="1"/>
  <c r="AK136" i="1"/>
  <c r="AL90" i="2"/>
  <c r="AJ91" i="2"/>
  <c r="I165" i="73"/>
  <c r="I128" i="73"/>
  <c r="J165" i="73"/>
  <c r="I154" i="73"/>
  <c r="J92" i="89"/>
  <c r="Y125" i="1"/>
  <c r="AC126" i="1"/>
  <c r="M68" i="73"/>
  <c r="M151" i="73" s="1"/>
  <c r="M52" i="73"/>
  <c r="M55" i="73" s="1"/>
  <c r="M71" i="73" s="1"/>
  <c r="M160" i="73" s="1"/>
  <c r="E69" i="73"/>
  <c r="F76" i="73"/>
  <c r="AO154" i="1"/>
  <c r="BV54" i="20"/>
  <c r="CC137" i="1"/>
  <c r="CK124" i="1"/>
  <c r="M171" i="73"/>
  <c r="AS136" i="1"/>
  <c r="X145" i="1"/>
  <c r="DD39" i="20"/>
  <c r="DD18" i="20"/>
  <c r="BT146" i="1"/>
  <c r="BY146" i="1" s="1"/>
  <c r="BY141" i="1"/>
  <c r="DL41" i="20"/>
  <c r="DL53" i="20"/>
  <c r="DL33" i="20"/>
  <c r="DL21" i="20"/>
  <c r="E49" i="73"/>
  <c r="E74" i="73"/>
  <c r="E154" i="73"/>
  <c r="F170" i="73"/>
  <c r="W66" i="77"/>
  <c r="T73" i="77"/>
  <c r="Y66" i="77"/>
  <c r="BX144" i="1"/>
  <c r="CC144" i="1" s="1"/>
  <c r="BX154" i="1"/>
  <c r="CC154" i="1" s="1"/>
  <c r="J74" i="73"/>
  <c r="I69" i="73"/>
  <c r="I74" i="73"/>
  <c r="I49" i="73"/>
  <c r="CJ142" i="1"/>
  <c r="CK142" i="1" s="1"/>
  <c r="CJ152" i="1"/>
  <c r="V68" i="5"/>
  <c r="DL63" i="20"/>
  <c r="AN192" i="1"/>
  <c r="DH18" i="20"/>
  <c r="DH39" i="20"/>
  <c r="Q68" i="15"/>
  <c r="Q71" i="15"/>
  <c r="Q76" i="15"/>
  <c r="AW137" i="1"/>
  <c r="AC137" i="1"/>
  <c r="E80" i="15"/>
  <c r="BT156" i="1"/>
  <c r="BY151" i="1"/>
  <c r="W75" i="77"/>
  <c r="T82" i="77"/>
  <c r="Y82" i="77" s="1"/>
  <c r="E29" i="73"/>
  <c r="E13" i="73"/>
  <c r="E109" i="73"/>
  <c r="F116" i="73"/>
  <c r="Z59" i="77"/>
  <c r="AA59" i="77"/>
  <c r="CC151" i="1"/>
  <c r="BX156" i="1"/>
  <c r="CC156" i="1" s="1"/>
  <c r="J114" i="73"/>
  <c r="I109" i="73"/>
  <c r="I114" i="73"/>
  <c r="I89" i="73"/>
  <c r="E165" i="73"/>
  <c r="X107" i="52"/>
  <c r="Z74" i="5"/>
  <c r="Z177" i="5"/>
  <c r="Z178" i="5" s="1"/>
  <c r="CC45" i="20"/>
  <c r="CC28" i="20"/>
  <c r="BG45" i="20"/>
  <c r="AG54" i="20"/>
  <c r="CX26" i="20"/>
  <c r="CX45" i="20" s="1"/>
  <c r="CX43" i="20"/>
  <c r="CX44" i="20"/>
  <c r="L40" i="73"/>
  <c r="J100" i="73"/>
  <c r="J102" i="73" s="1"/>
  <c r="D59" i="3"/>
  <c r="F57" i="3" s="1"/>
  <c r="D62" i="3"/>
  <c r="DC55" i="20"/>
  <c r="S172" i="52"/>
  <c r="E85" i="15"/>
  <c r="E86" i="15" s="1"/>
  <c r="E83" i="15"/>
  <c r="F85" i="15"/>
  <c r="F83" i="15"/>
  <c r="H59" i="3"/>
  <c r="H62" i="3"/>
  <c r="DB26" i="20"/>
  <c r="DB43" i="20"/>
  <c r="DB44" i="20"/>
  <c r="T54" i="73"/>
  <c r="T94" i="73"/>
  <c r="T133" i="73"/>
  <c r="B80" i="15"/>
  <c r="C80" i="15"/>
  <c r="G70" i="73"/>
  <c r="G65" i="73"/>
  <c r="G55" i="73"/>
  <c r="R172" i="52"/>
  <c r="AE172" i="52" s="1"/>
  <c r="BC80" i="20"/>
  <c r="AB118" i="10"/>
  <c r="AD118" i="10" s="1"/>
  <c r="AF118" i="10" s="1"/>
  <c r="AB231" i="5"/>
  <c r="AB232" i="5" s="1"/>
  <c r="AC221" i="5"/>
  <c r="AC224" i="5" s="1"/>
  <c r="DT73" i="20" s="1"/>
  <c r="H45" i="20"/>
  <c r="H28" i="20"/>
  <c r="BW45" i="20"/>
  <c r="BW28" i="20"/>
  <c r="CZ55" i="20"/>
  <c r="DI43" i="20"/>
  <c r="X79" i="52"/>
  <c r="AB172" i="52"/>
  <c r="AU100" i="9"/>
  <c r="AU107" i="9"/>
  <c r="CY46" i="20"/>
  <c r="AU93" i="9"/>
  <c r="CY44" i="20"/>
  <c r="L62" i="5"/>
  <c r="DC60" i="20" s="1"/>
  <c r="K192" i="5"/>
  <c r="AU138" i="9"/>
  <c r="AS135" i="9"/>
  <c r="AU142" i="9" s="1"/>
  <c r="CY26" i="20"/>
  <c r="CY28" i="20" s="1"/>
  <c r="X135" i="52"/>
  <c r="AU113" i="9"/>
  <c r="AI170" i="52"/>
  <c r="J60" i="73"/>
  <c r="J62" i="73" s="1"/>
  <c r="J71" i="73"/>
  <c r="N131" i="73"/>
  <c r="N126" i="73"/>
  <c r="J93" i="89"/>
  <c r="F26" i="73"/>
  <c r="F16" i="73"/>
  <c r="F31" i="73"/>
  <c r="F38" i="73"/>
  <c r="G38" i="73"/>
  <c r="AR145" i="1"/>
  <c r="AW145" i="1" s="1"/>
  <c r="AW125" i="1"/>
  <c r="AR155" i="1"/>
  <c r="AW155" i="1" s="1"/>
  <c r="O76" i="73"/>
  <c r="O69" i="73"/>
  <c r="O155" i="73" s="1"/>
  <c r="P76" i="73"/>
  <c r="DK30" i="20"/>
  <c r="U94" i="15"/>
  <c r="J139" i="73"/>
  <c r="J141" i="73" s="1"/>
  <c r="P111" i="73"/>
  <c r="P162" i="73" s="1"/>
  <c r="H7" i="89"/>
  <c r="I5" i="89"/>
  <c r="I9" i="89"/>
  <c r="CG133" i="1"/>
  <c r="CK133" i="1"/>
  <c r="BU137" i="1"/>
  <c r="BQ137" i="1"/>
  <c r="DN43" i="20"/>
  <c r="W69" i="77"/>
  <c r="U159" i="5"/>
  <c r="U69" i="77"/>
  <c r="K55" i="73"/>
  <c r="K70" i="73"/>
  <c r="K78" i="73"/>
  <c r="K65" i="73"/>
  <c r="K80" i="73" s="1"/>
  <c r="CB145" i="1"/>
  <c r="CG125" i="1"/>
  <c r="CJ135" i="1"/>
  <c r="CO135" i="1" s="1"/>
  <c r="CO104" i="1"/>
  <c r="BL155" i="1"/>
  <c r="BL145" i="1"/>
  <c r="BQ125" i="1"/>
  <c r="BE142" i="1"/>
  <c r="BD146" i="1"/>
  <c r="BE146" i="1" s="1"/>
  <c r="BD147" i="1"/>
  <c r="BE147" i="1" s="1"/>
  <c r="P89" i="89"/>
  <c r="P90" i="89" s="1"/>
  <c r="BU126" i="1"/>
  <c r="BQ126" i="1"/>
  <c r="BA143" i="1"/>
  <c r="AW143" i="1"/>
  <c r="BQ135" i="1"/>
  <c r="DM82" i="20"/>
  <c r="DM83" i="20"/>
  <c r="N26" i="73"/>
  <c r="N40" i="73" s="1"/>
  <c r="N31" i="73"/>
  <c r="N16" i="73"/>
  <c r="N38" i="73"/>
  <c r="BA146" i="1"/>
  <c r="C86" i="15"/>
  <c r="D86" i="15"/>
  <c r="AS125" i="1"/>
  <c r="AB156" i="1"/>
  <c r="AG156" i="1" s="1"/>
  <c r="AG152" i="1"/>
  <c r="AB157" i="1"/>
  <c r="AG157" i="1" s="1"/>
  <c r="AC152" i="1"/>
  <c r="S120" i="89"/>
  <c r="T84" i="89"/>
  <c r="G100" i="73"/>
  <c r="G102" i="73" s="1"/>
  <c r="G111" i="73"/>
  <c r="CG137" i="1"/>
  <c r="DO46" i="20"/>
  <c r="DO55" i="20"/>
  <c r="M111" i="73"/>
  <c r="M162" i="73" s="1"/>
  <c r="H154" i="73"/>
  <c r="H170" i="73"/>
  <c r="H131" i="73"/>
  <c r="I170" i="73"/>
  <c r="CK123" i="1"/>
  <c r="CF153" i="1"/>
  <c r="CF157" i="1" s="1"/>
  <c r="CF143" i="1"/>
  <c r="CF147" i="1" s="1"/>
  <c r="CG123" i="1"/>
  <c r="BU136" i="1"/>
  <c r="BQ136" i="1"/>
  <c r="Z67" i="77"/>
  <c r="AA67" i="77"/>
  <c r="Y69" i="77"/>
  <c r="J159" i="73"/>
  <c r="CG127" i="1"/>
  <c r="CJ126" i="1"/>
  <c r="CJ141" i="1"/>
  <c r="CO121" i="1"/>
  <c r="CJ151" i="1"/>
  <c r="CJ127" i="1"/>
  <c r="CK127" i="1" s="1"/>
  <c r="CJ125" i="1"/>
  <c r="CK121" i="1"/>
  <c r="BQ144" i="1"/>
  <c r="N52" i="73"/>
  <c r="O78" i="73" s="1"/>
  <c r="N68" i="73"/>
  <c r="N151" i="73" s="1"/>
  <c r="M89" i="89"/>
  <c r="J111" i="73"/>
  <c r="DG21" i="20"/>
  <c r="DG36" i="20"/>
  <c r="DG33" i="20"/>
  <c r="DG41" i="20"/>
  <c r="DG53" i="20"/>
  <c r="BE152" i="1"/>
  <c r="BD157" i="1"/>
  <c r="BE157" i="1" s="1"/>
  <c r="BD156" i="1"/>
  <c r="Q123" i="89"/>
  <c r="R87" i="89"/>
  <c r="O128" i="73"/>
  <c r="O126" i="73" s="1"/>
  <c r="O129" i="73"/>
  <c r="O170" i="73" s="1"/>
  <c r="P124" i="73"/>
  <c r="BU125" i="1"/>
  <c r="BP155" i="1"/>
  <c r="BP145" i="1"/>
  <c r="O110" i="73"/>
  <c r="O95" i="73"/>
  <c r="O105" i="73"/>
  <c r="O82" i="15"/>
  <c r="K125" i="89"/>
  <c r="L124" i="89"/>
  <c r="K90" i="89"/>
  <c r="K110" i="73"/>
  <c r="K95" i="73"/>
  <c r="K117" i="73"/>
  <c r="K105" i="73"/>
  <c r="K119" i="73" s="1"/>
  <c r="I89" i="89"/>
  <c r="AN180" i="1"/>
  <c r="AN189" i="1"/>
  <c r="Y31" i="20" s="1"/>
  <c r="K58" i="73"/>
  <c r="K137" i="73"/>
  <c r="K98" i="73"/>
  <c r="CG136" i="1"/>
  <c r="CC136" i="1"/>
  <c r="DE33" i="20"/>
  <c r="DE21" i="20"/>
  <c r="DE41" i="20"/>
  <c r="DF53" i="20"/>
  <c r="DE53" i="20"/>
  <c r="DE36" i="20"/>
  <c r="J85" i="15"/>
  <c r="J77" i="15"/>
  <c r="T69" i="2"/>
  <c r="J79" i="15"/>
  <c r="CF155" i="1"/>
  <c r="CF145" i="1"/>
  <c r="CK125" i="1"/>
  <c r="J123" i="89"/>
  <c r="CB178" i="1"/>
  <c r="CB182" i="1" s="1"/>
  <c r="CB187" i="1"/>
  <c r="V114" i="89"/>
  <c r="W78" i="89"/>
  <c r="W114" i="89" s="1"/>
  <c r="BH135" i="1"/>
  <c r="BI135" i="1" s="1"/>
  <c r="BM135" i="1" s="1"/>
  <c r="BM104" i="1"/>
  <c r="AD8" i="3"/>
  <c r="AD78" i="2"/>
  <c r="U204" i="5"/>
  <c r="BA153" i="1"/>
  <c r="AW153" i="1"/>
  <c r="N93" i="89"/>
  <c r="AW127" i="1"/>
  <c r="F131" i="73"/>
  <c r="F150" i="73"/>
  <c r="DK43" i="20"/>
  <c r="DK44" i="20"/>
  <c r="CG152" i="1"/>
  <c r="CK152" i="1"/>
  <c r="CF156" i="1"/>
  <c r="P71" i="15"/>
  <c r="P68" i="15"/>
  <c r="P76" i="15"/>
  <c r="CG126" i="1"/>
  <c r="CC126" i="1"/>
  <c r="BU143" i="1"/>
  <c r="BQ143" i="1"/>
  <c r="D32" i="73"/>
  <c r="D21" i="73"/>
  <c r="D23" i="73" s="1"/>
  <c r="Y90" i="15"/>
  <c r="C13" i="92"/>
  <c r="X91" i="15"/>
  <c r="BY137" i="1"/>
  <c r="CC153" i="1"/>
  <c r="BX157" i="1"/>
  <c r="CC157" i="1" s="1"/>
  <c r="R122" i="89"/>
  <c r="S86" i="89"/>
  <c r="N92" i="73"/>
  <c r="N108" i="73"/>
  <c r="N153" i="73" s="1"/>
  <c r="DI44" i="20"/>
  <c r="DM53" i="20"/>
  <c r="DM33" i="20"/>
  <c r="DM41" i="20"/>
  <c r="DM21" i="20"/>
  <c r="L92" i="89"/>
  <c r="O26" i="73"/>
  <c r="O16" i="73"/>
  <c r="O31" i="73"/>
  <c r="O38" i="73"/>
  <c r="P38" i="73"/>
  <c r="O127" i="89"/>
  <c r="AB145" i="1"/>
  <c r="AG145" i="1" s="1"/>
  <c r="AB155" i="1"/>
  <c r="AG125" i="1"/>
  <c r="AC127" i="1"/>
  <c r="AR89" i="2"/>
  <c r="L71" i="73"/>
  <c r="C45" i="20"/>
  <c r="C28" i="20"/>
  <c r="CO144" i="1"/>
  <c r="AK137" i="1"/>
  <c r="BX82" i="20"/>
  <c r="BP82" i="20"/>
  <c r="BW82" i="20"/>
  <c r="BR82" i="20"/>
  <c r="BQ83" i="20"/>
  <c r="BS83" i="20"/>
  <c r="BQ82" i="20"/>
  <c r="BP83" i="20"/>
  <c r="BR83" i="20"/>
  <c r="BU82" i="20"/>
  <c r="BS82" i="20"/>
  <c r="BV82" i="20"/>
  <c r="H38" i="73"/>
  <c r="H26" i="73"/>
  <c r="H40" i="73" s="1"/>
  <c r="H16" i="73"/>
  <c r="H31" i="73"/>
  <c r="BI106" i="1"/>
  <c r="BU144" i="1"/>
  <c r="C137" i="89"/>
  <c r="B137" i="89"/>
  <c r="AJ155" i="1"/>
  <c r="AK155" i="1" s="1"/>
  <c r="AJ145" i="1"/>
  <c r="AK145" i="1" s="1"/>
  <c r="AO125" i="1"/>
  <c r="T119" i="89"/>
  <c r="U83" i="89"/>
  <c r="U118" i="89"/>
  <c r="AC135" i="1"/>
  <c r="CB147" i="1"/>
  <c r="CG141" i="1"/>
  <c r="CB146" i="1"/>
  <c r="CC141" i="1"/>
  <c r="F68" i="73"/>
  <c r="F52" i="73"/>
  <c r="AV78" i="2"/>
  <c r="AV8" i="3"/>
  <c r="BQ154" i="1"/>
  <c r="AC136" i="1"/>
  <c r="AO135" i="1"/>
  <c r="AK135" i="1"/>
  <c r="BD155" i="1"/>
  <c r="BD145" i="1"/>
  <c r="BE145" i="1" s="1"/>
  <c r="F92" i="73"/>
  <c r="F108" i="73"/>
  <c r="AL78" i="2"/>
  <c r="AL8" i="3"/>
  <c r="AJ147" i="1"/>
  <c r="AO147" i="1" s="1"/>
  <c r="AJ146" i="1"/>
  <c r="AO146" i="1" s="1"/>
  <c r="AO141" i="1"/>
  <c r="BA155" i="1"/>
  <c r="K21" i="73"/>
  <c r="K23" i="73" s="1"/>
  <c r="K32" i="73"/>
  <c r="L111" i="73"/>
  <c r="AF76" i="15"/>
  <c r="V79" i="15"/>
  <c r="AR69" i="2"/>
  <c r="AQ69" i="2"/>
  <c r="V77" i="15"/>
  <c r="V85" i="15"/>
  <c r="CO132" i="1"/>
  <c r="CN136" i="1"/>
  <c r="CN137" i="1"/>
  <c r="O109" i="73"/>
  <c r="O157" i="73" s="1"/>
  <c r="O116" i="73"/>
  <c r="P116" i="73"/>
  <c r="AA62" i="77"/>
  <c r="Z62" i="77"/>
  <c r="O70" i="73"/>
  <c r="O55" i="73"/>
  <c r="O65" i="73"/>
  <c r="P80" i="73" s="1"/>
  <c r="AO151" i="1"/>
  <c r="AJ157" i="1"/>
  <c r="AO157" i="1" s="1"/>
  <c r="AJ156" i="1"/>
  <c r="AO156" i="1" s="1"/>
  <c r="AN183" i="1"/>
  <c r="BU141" i="1"/>
  <c r="BP146" i="1"/>
  <c r="BQ141" i="1"/>
  <c r="BP147" i="1"/>
  <c r="Z79" i="77"/>
  <c r="AA79" i="77"/>
  <c r="CF146" i="1"/>
  <c r="J28" i="20"/>
  <c r="J45" i="20"/>
  <c r="I75" i="73"/>
  <c r="I169" i="73"/>
  <c r="I115" i="73"/>
  <c r="DI26" i="20"/>
  <c r="BU153" i="1"/>
  <c r="BQ153" i="1"/>
  <c r="BQ151" i="1"/>
  <c r="BP157" i="1"/>
  <c r="BP156" i="1"/>
  <c r="BU151" i="1"/>
  <c r="D40" i="73"/>
  <c r="Q155" i="73"/>
  <c r="W81" i="89"/>
  <c r="W117" i="89" s="1"/>
  <c r="V117" i="89"/>
  <c r="V77" i="89"/>
  <c r="U113" i="89"/>
  <c r="BY153" i="1"/>
  <c r="BT157" i="1"/>
  <c r="CK106" i="1"/>
  <c r="N93" i="77"/>
  <c r="Y86" i="77"/>
  <c r="R86" i="77"/>
  <c r="AG142" i="1"/>
  <c r="AB146" i="1"/>
  <c r="AG146" i="1" s="1"/>
  <c r="AB147" i="1"/>
  <c r="AG147" i="1" s="1"/>
  <c r="AC142" i="1"/>
  <c r="CC143" i="1"/>
  <c r="BX147" i="1"/>
  <c r="CC147" i="1" s="1"/>
  <c r="T74" i="15"/>
  <c r="L19" i="73"/>
  <c r="DK24" i="20"/>
  <c r="U73" i="15"/>
  <c r="BG82" i="20"/>
  <c r="BI82" i="20"/>
  <c r="BF82" i="20"/>
  <c r="BH82" i="20"/>
  <c r="L78" i="73"/>
  <c r="J46" i="15"/>
  <c r="AJ54" i="1"/>
  <c r="DA16" i="20"/>
  <c r="S82" i="15"/>
  <c r="Z75" i="77"/>
  <c r="AA75" i="77"/>
  <c r="T77" i="15"/>
  <c r="T79" i="15"/>
  <c r="AN69" i="2"/>
  <c r="T85" i="15"/>
  <c r="CG142" i="1"/>
  <c r="BE136" i="1"/>
  <c r="P75" i="73"/>
  <c r="P169" i="73"/>
  <c r="P115" i="73"/>
  <c r="BI104" i="1"/>
  <c r="AN71" i="3"/>
  <c r="AN72" i="3" s="1"/>
  <c r="AP75" i="3"/>
  <c r="X8" i="3"/>
  <c r="X78" i="2"/>
  <c r="CO105" i="1"/>
  <c r="P71" i="73"/>
  <c r="P160" i="73" s="1"/>
  <c r="BM122" i="1"/>
  <c r="BH127" i="1"/>
  <c r="BM127" i="1" s="1"/>
  <c r="BH126" i="1"/>
  <c r="BM126" i="1" s="1"/>
  <c r="BH152" i="1"/>
  <c r="BI152" i="1" s="1"/>
  <c r="BM152" i="1" s="1"/>
  <c r="BH125" i="1"/>
  <c r="BI125" i="1" s="1"/>
  <c r="BH142" i="1"/>
  <c r="BI142" i="1" s="1"/>
  <c r="M124" i="89"/>
  <c r="N123" i="89"/>
  <c r="M119" i="73"/>
  <c r="U79" i="15"/>
  <c r="U77" i="15"/>
  <c r="AP69" i="2"/>
  <c r="U85" i="15"/>
  <c r="K158" i="73"/>
  <c r="K147" i="73"/>
  <c r="K173" i="73" s="1"/>
  <c r="K134" i="73"/>
  <c r="K171" i="73"/>
  <c r="M32" i="73"/>
  <c r="M161" i="73" s="1"/>
  <c r="M159" i="73" s="1"/>
  <c r="M136" i="73" s="1"/>
  <c r="AW141" i="1"/>
  <c r="AR147" i="1"/>
  <c r="AW147" i="1" s="1"/>
  <c r="AR146" i="1"/>
  <c r="AW146" i="1" s="1"/>
  <c r="BE155" i="1"/>
  <c r="D159" i="73"/>
  <c r="D139" i="73"/>
  <c r="D141" i="73" s="1"/>
  <c r="D172" i="73" s="1"/>
  <c r="P124" i="89"/>
  <c r="Q88" i="89"/>
  <c r="N77" i="15"/>
  <c r="N79" i="15"/>
  <c r="N85" i="15"/>
  <c r="AB69" i="2"/>
  <c r="BP31" i="20"/>
  <c r="BX193" i="1"/>
  <c r="BX192" i="1"/>
  <c r="BX191" i="1"/>
  <c r="BA147" i="1"/>
  <c r="BX155" i="1"/>
  <c r="CC155" i="1" s="1"/>
  <c r="CC125" i="1"/>
  <c r="BX145" i="1"/>
  <c r="CC145" i="1" s="1"/>
  <c r="H116" i="73"/>
  <c r="H92" i="73"/>
  <c r="H109" i="73"/>
  <c r="I116" i="73"/>
  <c r="T81" i="77"/>
  <c r="W74" i="77"/>
  <c r="Y74" i="77"/>
  <c r="L159" i="73"/>
  <c r="CO131" i="1"/>
  <c r="CJ137" i="1"/>
  <c r="CO137" i="1" s="1"/>
  <c r="CJ136" i="1"/>
  <c r="CO136" i="1" s="1"/>
  <c r="CK131" i="1"/>
  <c r="CB203" i="1"/>
  <c r="CB202" i="1"/>
  <c r="CB201" i="1"/>
  <c r="BU30" i="20"/>
  <c r="O76" i="77"/>
  <c r="R76" i="77"/>
  <c r="BY125" i="1"/>
  <c r="BT155" i="1"/>
  <c r="BT145" i="1"/>
  <c r="BY145" i="1" s="1"/>
  <c r="CN142" i="1"/>
  <c r="CO122" i="1"/>
  <c r="CN126" i="1"/>
  <c r="CN145" i="1"/>
  <c r="CN127" i="1"/>
  <c r="AC157" i="1"/>
  <c r="DO44" i="20"/>
  <c r="DO43" i="20"/>
  <c r="V116" i="89"/>
  <c r="W80" i="89"/>
  <c r="W116" i="89" s="1"/>
  <c r="AT69" i="2"/>
  <c r="W77" i="15"/>
  <c r="W79" i="15"/>
  <c r="X80" i="15" s="1"/>
  <c r="BH136" i="1"/>
  <c r="BI136" i="1" s="1"/>
  <c r="BM136" i="1" s="1"/>
  <c r="BH137" i="1"/>
  <c r="BI137" i="1" s="1"/>
  <c r="BM137" i="1" s="1"/>
  <c r="BU127" i="1"/>
  <c r="BQ127" i="1"/>
  <c r="B68" i="10"/>
  <c r="B77" i="9"/>
  <c r="B84" i="9" s="1"/>
  <c r="B91" i="9" s="1"/>
  <c r="B98" i="9" s="1"/>
  <c r="B105" i="9" s="1"/>
  <c r="B112" i="9" s="1"/>
  <c r="B119" i="9" s="1"/>
  <c r="B126" i="9" s="1"/>
  <c r="B133" i="9" s="1"/>
  <c r="B140" i="9" s="1"/>
  <c r="B147" i="9" s="1"/>
  <c r="B154" i="9" s="1"/>
  <c r="B161" i="9" s="1"/>
  <c r="B168" i="9" s="1"/>
  <c r="B175" i="9" s="1"/>
  <c r="BY143" i="1"/>
  <c r="BT147" i="1"/>
  <c r="BY147" i="1" s="1"/>
  <c r="O92" i="89"/>
  <c r="R83" i="77"/>
  <c r="O83" i="77"/>
  <c r="I90" i="89"/>
  <c r="AR156" i="1"/>
  <c r="AW156" i="1" s="1"/>
  <c r="AW151" i="1"/>
  <c r="AR157" i="1"/>
  <c r="AW157" i="1" s="1"/>
  <c r="G159" i="73"/>
  <c r="G139" i="73"/>
  <c r="G141" i="73" s="1"/>
  <c r="AJ69" i="2"/>
  <c r="R79" i="15"/>
  <c r="S80" i="15" s="1"/>
  <c r="R77" i="15"/>
  <c r="R85" i="15"/>
  <c r="N89" i="77"/>
  <c r="R82" i="77"/>
  <c r="J74" i="89"/>
  <c r="J110" i="89" s="1"/>
  <c r="J147" i="89" s="1"/>
  <c r="J8" i="89"/>
  <c r="J187" i="89"/>
  <c r="H69" i="73"/>
  <c r="H76" i="73"/>
  <c r="H52" i="73"/>
  <c r="I76" i="73"/>
  <c r="J125" i="89"/>
  <c r="CC135" i="1"/>
  <c r="CO123" i="1"/>
  <c r="CJ153" i="1"/>
  <c r="CJ143" i="1"/>
  <c r="CO143" i="1" s="1"/>
  <c r="R121" i="89"/>
  <c r="S85" i="89"/>
  <c r="CR165" i="1"/>
  <c r="S161" i="52"/>
  <c r="AE161" i="52"/>
  <c r="DN44" i="20"/>
  <c r="L82" i="15"/>
  <c r="L83" i="15" s="1"/>
  <c r="L80" i="15"/>
  <c r="G79" i="15"/>
  <c r="H80" i="15" s="1"/>
  <c r="N69" i="2"/>
  <c r="N8" i="3" s="1"/>
  <c r="N15" i="3" s="1"/>
  <c r="N34" i="3" s="1"/>
  <c r="N58" i="3" s="1"/>
  <c r="G77" i="15"/>
  <c r="G85" i="15"/>
  <c r="G86" i="15" s="1"/>
  <c r="D70" i="73"/>
  <c r="D78" i="73"/>
  <c r="D55" i="73"/>
  <c r="D65" i="73"/>
  <c r="CK104" i="1"/>
  <c r="DJ26" i="20"/>
  <c r="Z8" i="3"/>
  <c r="Z78" i="2"/>
  <c r="AG166" i="52"/>
  <c r="AH170" i="52"/>
  <c r="AI166" i="52"/>
  <c r="AH166" i="52"/>
  <c r="AD166" i="52"/>
  <c r="I80" i="15"/>
  <c r="H82" i="15"/>
  <c r="I86" i="15"/>
  <c r="H86" i="15"/>
  <c r="AL120" i="9"/>
  <c r="AN120" i="9" s="1"/>
  <c r="AS120" i="9"/>
  <c r="AU120" i="9" s="1"/>
  <c r="AL119" i="9"/>
  <c r="AN119" i="9" s="1"/>
  <c r="AS119" i="9"/>
  <c r="AU119" i="9" s="1"/>
  <c r="X65" i="52"/>
  <c r="L172" i="52"/>
  <c r="AA172" i="52" s="1"/>
  <c r="X72" i="52"/>
  <c r="AJ121" i="9"/>
  <c r="AL121" i="9" s="1"/>
  <c r="AN121" i="9" s="1"/>
  <c r="AD170" i="52"/>
  <c r="BH80" i="20"/>
  <c r="AB125" i="10"/>
  <c r="AD125" i="10" s="1"/>
  <c r="AJ127" i="9"/>
  <c r="AJ126" i="9"/>
  <c r="AA169" i="5"/>
  <c r="AA103" i="5"/>
  <c r="AB102" i="5"/>
  <c r="U89" i="5"/>
  <c r="T89" i="5"/>
  <c r="U85" i="5"/>
  <c r="DK65" i="20"/>
  <c r="AI141" i="9"/>
  <c r="T85" i="5"/>
  <c r="Y126" i="5"/>
  <c r="X127" i="5"/>
  <c r="V183" i="5"/>
  <c r="V184" i="5" s="1"/>
  <c r="V119" i="5"/>
  <c r="W118" i="5"/>
  <c r="AU124" i="9"/>
  <c r="AU131" i="9"/>
  <c r="O172" i="52"/>
  <c r="AC172" i="52" s="1"/>
  <c r="X86" i="52"/>
  <c r="AB128" i="5"/>
  <c r="AA129" i="5"/>
  <c r="W121" i="5"/>
  <c r="X120" i="5"/>
  <c r="W185" i="5"/>
  <c r="W186" i="5" s="1"/>
  <c r="X107" i="2"/>
  <c r="Z106" i="2"/>
  <c r="AL125" i="9"/>
  <c r="AN125" i="9" s="1"/>
  <c r="AS125" i="9"/>
  <c r="AL132" i="9"/>
  <c r="AA177" i="5"/>
  <c r="AA174" i="5"/>
  <c r="U44" i="52"/>
  <c r="V44" i="52"/>
  <c r="W69" i="5"/>
  <c r="AU114" i="9"/>
  <c r="Z122" i="5"/>
  <c r="Y123" i="5"/>
  <c r="Y187" i="5"/>
  <c r="Y188" i="5" s="1"/>
  <c r="AA116" i="5"/>
  <c r="Z181" i="5"/>
  <c r="Z182" i="5" s="1"/>
  <c r="Z117" i="5"/>
  <c r="J79" i="5"/>
  <c r="J80" i="5" s="1"/>
  <c r="J77" i="5"/>
  <c r="J91" i="5"/>
  <c r="DH70" i="20"/>
  <c r="V113" i="2"/>
  <c r="V119" i="2"/>
  <c r="K76" i="5"/>
  <c r="DB81" i="20"/>
  <c r="T51" i="52"/>
  <c r="Q51" i="52"/>
  <c r="L32" i="5"/>
  <c r="L61" i="5" s="1"/>
  <c r="DC59" i="20" s="1"/>
  <c r="Z168" i="5"/>
  <c r="Z170" i="5"/>
  <c r="Q220" i="5"/>
  <c r="R6" i="5"/>
  <c r="DH71" i="20"/>
  <c r="AB173" i="5"/>
  <c r="AC106" i="5"/>
  <c r="AB107" i="5"/>
  <c r="Y124" i="5"/>
  <c r="X125" i="5"/>
  <c r="I92" i="5"/>
  <c r="CZ67" i="20"/>
  <c r="AC45" i="94"/>
  <c r="AC38" i="94"/>
  <c r="Q38" i="94"/>
  <c r="S38" i="94" s="1"/>
  <c r="Q45" i="94"/>
  <c r="S45" i="94" s="1"/>
  <c r="Q42" i="94"/>
  <c r="S42" i="94" s="1"/>
  <c r="Q49" i="94"/>
  <c r="S49" i="94" s="1"/>
  <c r="BB45" i="20"/>
  <c r="BB28" i="20"/>
  <c r="BG54" i="20" s="1"/>
  <c r="CJ54" i="20"/>
  <c r="AE54" i="20"/>
  <c r="DF45" i="20"/>
  <c r="DF35" i="20"/>
  <c r="DF28" i="20"/>
  <c r="AR28" i="20"/>
  <c r="AR54" i="20" s="1"/>
  <c r="AR45" i="20"/>
  <c r="BF45" i="20"/>
  <c r="BF28" i="20"/>
  <c r="AO45" i="20"/>
  <c r="AO28" i="20"/>
  <c r="AT54" i="20" s="1"/>
  <c r="CW54" i="20"/>
  <c r="BZ28" i="20"/>
  <c r="CE54" i="20" s="1"/>
  <c r="BZ45" i="20"/>
  <c r="BA45" i="20"/>
  <c r="BA28" i="20"/>
  <c r="BA54" i="20" s="1"/>
  <c r="N28" i="20"/>
  <c r="S54" i="20" s="1"/>
  <c r="N45" i="20"/>
  <c r="CZ28" i="20"/>
  <c r="CZ35" i="20"/>
  <c r="CZ45" i="20"/>
  <c r="DC35" i="20"/>
  <c r="DC28" i="20"/>
  <c r="DC45" i="20"/>
  <c r="CA45" i="20"/>
  <c r="CA28" i="20"/>
  <c r="BH28" i="20"/>
  <c r="BH54" i="20" s="1"/>
  <c r="BH45" i="20"/>
  <c r="AD54" i="20"/>
  <c r="AI54" i="20"/>
  <c r="Y29" i="74"/>
  <c r="X29" i="74"/>
  <c r="W29" i="74"/>
  <c r="X44" i="74"/>
  <c r="X42" i="74"/>
  <c r="X41" i="74"/>
  <c r="BC54" i="20"/>
  <c r="AW45" i="20"/>
  <c r="AW28" i="20"/>
  <c r="CM45" i="20"/>
  <c r="CM28" i="20"/>
  <c r="AB54" i="20"/>
  <c r="X15" i="74"/>
  <c r="W15" i="74"/>
  <c r="E45" i="20"/>
  <c r="E28" i="20"/>
  <c r="O28" i="20"/>
  <c r="O45" i="20"/>
  <c r="CB28" i="20"/>
  <c r="CB45" i="20"/>
  <c r="F28" i="20"/>
  <c r="K54" i="20" s="1"/>
  <c r="F45" i="20"/>
  <c r="BU28" i="20"/>
  <c r="BU45" i="20"/>
  <c r="S30" i="74" s="1"/>
  <c r="S19" i="74"/>
  <c r="E37" i="74"/>
  <c r="J37" i="74" s="1"/>
  <c r="CH54" i="20"/>
  <c r="BR45" i="20"/>
  <c r="BR28" i="20"/>
  <c r="BS54" i="20"/>
  <c r="AL54" i="20"/>
  <c r="CX28" i="20"/>
  <c r="CX54" i="20" s="1"/>
  <c r="P54" i="20"/>
  <c r="U54" i="20"/>
  <c r="M45" i="20"/>
  <c r="M28" i="20"/>
  <c r="CG28" i="20"/>
  <c r="CL54" i="20" s="1"/>
  <c r="CG45" i="20"/>
  <c r="AH28" i="20"/>
  <c r="AH45" i="20"/>
  <c r="AX54" i="20"/>
  <c r="I45" i="20"/>
  <c r="I28" i="20"/>
  <c r="AJ54" i="20"/>
  <c r="DA35" i="20"/>
  <c r="DA28" i="20"/>
  <c r="DA45" i="20"/>
  <c r="CM82" i="20"/>
  <c r="BL28" i="20"/>
  <c r="BL45" i="20"/>
  <c r="T45" i="20"/>
  <c r="T28" i="20"/>
  <c r="AN45" i="20"/>
  <c r="AN28" i="20"/>
  <c r="AN54" i="20" s="1"/>
  <c r="R19" i="74"/>
  <c r="BP45" i="20"/>
  <c r="R30" i="74" s="1"/>
  <c r="BP28" i="20"/>
  <c r="Y27" i="74"/>
  <c r="W27" i="74"/>
  <c r="X27" i="74"/>
  <c r="X43" i="74"/>
  <c r="X28" i="74"/>
  <c r="Y28" i="74"/>
  <c r="W28" i="74"/>
  <c r="X45" i="20"/>
  <c r="X28" i="20"/>
  <c r="AY54" i="20"/>
  <c r="AQ54" i="20"/>
  <c r="AV54" i="20"/>
  <c r="BM28" i="20"/>
  <c r="BM45" i="20"/>
  <c r="BD28" i="20"/>
  <c r="BD54" i="20" s="1"/>
  <c r="BD45" i="20"/>
  <c r="H123" i="89"/>
  <c r="I122" i="89"/>
  <c r="H88" i="89"/>
  <c r="H89" i="89" s="1"/>
  <c r="I121" i="89"/>
  <c r="H122" i="89"/>
  <c r="I191" i="89"/>
  <c r="I190" i="89"/>
  <c r="P67" i="5" l="1"/>
  <c r="DG62" i="20" s="1"/>
  <c r="O202" i="5"/>
  <c r="BY156" i="1"/>
  <c r="BY155" i="1"/>
  <c r="N95" i="77"/>
  <c r="R88" i="77"/>
  <c r="AK156" i="1"/>
  <c r="N90" i="77"/>
  <c r="D102" i="77" s="1"/>
  <c r="AS156" i="1"/>
  <c r="CK135" i="1"/>
  <c r="AO144" i="1"/>
  <c r="BM144" i="1"/>
  <c r="CK154" i="1"/>
  <c r="DJ55" i="20"/>
  <c r="DI46" i="20"/>
  <c r="J21" i="73"/>
  <c r="J23" i="73" s="1"/>
  <c r="K39" i="73" s="1"/>
  <c r="J32" i="73"/>
  <c r="AC156" i="1"/>
  <c r="BY157" i="1"/>
  <c r="BY144" i="1"/>
  <c r="AC170" i="52"/>
  <c r="AE176" i="9"/>
  <c r="AC176" i="9" s="1"/>
  <c r="AD176" i="9" s="1"/>
  <c r="AH58" i="94"/>
  <c r="AF58" i="94" s="1"/>
  <c r="AG58" i="94" s="1"/>
  <c r="Y73" i="77"/>
  <c r="W73" i="77"/>
  <c r="T80" i="77"/>
  <c r="I108" i="73"/>
  <c r="I92" i="73"/>
  <c r="DL44" i="20"/>
  <c r="DL43" i="20"/>
  <c r="J38" i="73"/>
  <c r="I26" i="73"/>
  <c r="J40" i="73" s="1"/>
  <c r="I31" i="73"/>
  <c r="I16" i="73"/>
  <c r="AA74" i="5"/>
  <c r="DQ64" i="20"/>
  <c r="DH21" i="20"/>
  <c r="DH41" i="20"/>
  <c r="DH33" i="20"/>
  <c r="DI53" i="20"/>
  <c r="DL46" i="20"/>
  <c r="DL55" i="20"/>
  <c r="AN90" i="2"/>
  <c r="AL91" i="2"/>
  <c r="DH53" i="20"/>
  <c r="DC61" i="20"/>
  <c r="L194" i="5"/>
  <c r="M64" i="5"/>
  <c r="AH62" i="20"/>
  <c r="V15" i="3"/>
  <c r="V34" i="3" s="1"/>
  <c r="AF125" i="10"/>
  <c r="E31" i="73"/>
  <c r="E26" i="73"/>
  <c r="E40" i="73" s="1"/>
  <c r="E16" i="73"/>
  <c r="E38" i="73"/>
  <c r="AN145" i="1"/>
  <c r="AS145" i="1" s="1"/>
  <c r="AN155" i="1"/>
  <c r="AO155" i="1" s="1"/>
  <c r="E92" i="73"/>
  <c r="E108" i="73"/>
  <c r="D105" i="73"/>
  <c r="D119" i="73" s="1"/>
  <c r="D95" i="73"/>
  <c r="D117" i="73"/>
  <c r="D110" i="73"/>
  <c r="T89" i="77"/>
  <c r="W82" i="77"/>
  <c r="E158" i="73"/>
  <c r="E147" i="73"/>
  <c r="E173" i="73" s="1"/>
  <c r="E134" i="73"/>
  <c r="E171" i="73"/>
  <c r="I52" i="73"/>
  <c r="I68" i="73"/>
  <c r="C60" i="73"/>
  <c r="C62" i="73" s="1"/>
  <c r="C71" i="73"/>
  <c r="M77" i="15"/>
  <c r="M79" i="15"/>
  <c r="M85" i="15"/>
  <c r="M86" i="15" s="1"/>
  <c r="E52" i="73"/>
  <c r="E68" i="73"/>
  <c r="T76" i="77"/>
  <c r="V159" i="5" s="1"/>
  <c r="CK144" i="1"/>
  <c r="CO126" i="1"/>
  <c r="F86" i="15"/>
  <c r="CC54" i="20"/>
  <c r="Q77" i="15"/>
  <c r="AH69" i="2"/>
  <c r="Q85" i="15"/>
  <c r="Q79" i="15"/>
  <c r="W68" i="5"/>
  <c r="DM63" i="20"/>
  <c r="M78" i="73"/>
  <c r="M65" i="73"/>
  <c r="M80" i="73" s="1"/>
  <c r="M70" i="73"/>
  <c r="I38" i="73"/>
  <c r="D80" i="73"/>
  <c r="R86" i="15"/>
  <c r="AC146" i="1"/>
  <c r="H54" i="20"/>
  <c r="Z66" i="77"/>
  <c r="AA66" i="77"/>
  <c r="DD36" i="20"/>
  <c r="DD41" i="20"/>
  <c r="DD53" i="20"/>
  <c r="DD33" i="20"/>
  <c r="DD21" i="20"/>
  <c r="I150" i="73"/>
  <c r="I131" i="73"/>
  <c r="BY154" i="1"/>
  <c r="AF172" i="52"/>
  <c r="AA178" i="5"/>
  <c r="DB28" i="20"/>
  <c r="DC54" i="20" s="1"/>
  <c r="DB45" i="20"/>
  <c r="DB35" i="20"/>
  <c r="G60" i="73"/>
  <c r="G62" i="73" s="1"/>
  <c r="G71" i="73"/>
  <c r="J57" i="3"/>
  <c r="J59" i="3" s="1"/>
  <c r="H8" i="2"/>
  <c r="H14" i="2" s="1"/>
  <c r="U86" i="15"/>
  <c r="S86" i="15"/>
  <c r="AF85" i="15"/>
  <c r="O86" i="15"/>
  <c r="AD120" i="10"/>
  <c r="AC231" i="5"/>
  <c r="AC232" i="5" s="1"/>
  <c r="J54" i="20"/>
  <c r="DI45" i="20"/>
  <c r="DI28" i="20"/>
  <c r="CB54" i="20"/>
  <c r="O54" i="20"/>
  <c r="CY45" i="20"/>
  <c r="L192" i="5"/>
  <c r="M62" i="5"/>
  <c r="DD60" i="20" s="1"/>
  <c r="V113" i="89"/>
  <c r="W77" i="89"/>
  <c r="W113" i="89" s="1"/>
  <c r="BU157" i="1"/>
  <c r="BQ157" i="1"/>
  <c r="DH55" i="20"/>
  <c r="DG55" i="20"/>
  <c r="DG46" i="20"/>
  <c r="O128" i="89"/>
  <c r="O93" i="89"/>
  <c r="AT78" i="2"/>
  <c r="AT8" i="3"/>
  <c r="AR75" i="3"/>
  <c r="AP71" i="3"/>
  <c r="AP72" i="3" s="1"/>
  <c r="CK137" i="1"/>
  <c r="V86" i="15"/>
  <c r="V83" i="89"/>
  <c r="U119" i="89"/>
  <c r="V118" i="89"/>
  <c r="L173" i="73"/>
  <c r="AT89" i="2"/>
  <c r="H158" i="73"/>
  <c r="H134" i="73"/>
  <c r="H171" i="73"/>
  <c r="H147" i="73"/>
  <c r="I171" i="73"/>
  <c r="F32" i="73"/>
  <c r="F21" i="73"/>
  <c r="F23" i="73" s="1"/>
  <c r="N62" i="3"/>
  <c r="N59" i="3"/>
  <c r="T88" i="77"/>
  <c r="W81" i="77"/>
  <c r="Y81" i="77"/>
  <c r="AS146" i="1"/>
  <c r="AP78" i="2"/>
  <c r="AP8" i="3"/>
  <c r="T86" i="15"/>
  <c r="AH86" i="15" s="1"/>
  <c r="AH85" i="15"/>
  <c r="BE156" i="1"/>
  <c r="L137" i="73"/>
  <c r="L139" i="73" s="1"/>
  <c r="L141" i="73" s="1"/>
  <c r="L58" i="73"/>
  <c r="L60" i="73" s="1"/>
  <c r="L62" i="73" s="1"/>
  <c r="L98" i="73"/>
  <c r="L100" i="73" s="1"/>
  <c r="L102" i="73" s="1"/>
  <c r="L21" i="73"/>
  <c r="L23" i="73" s="1"/>
  <c r="L39" i="73" s="1"/>
  <c r="AC147" i="1"/>
  <c r="L93" i="89"/>
  <c r="L94" i="89" s="1"/>
  <c r="AS155" i="1"/>
  <c r="BU31" i="20"/>
  <c r="J82" i="15"/>
  <c r="J80" i="15"/>
  <c r="K80" i="15"/>
  <c r="P128" i="73"/>
  <c r="P126" i="73" s="1"/>
  <c r="P129" i="73"/>
  <c r="P170" i="73" s="1"/>
  <c r="AN86" i="2"/>
  <c r="CK126" i="1"/>
  <c r="F40" i="73"/>
  <c r="G40" i="73"/>
  <c r="Z74" i="77"/>
  <c r="AA74" i="77"/>
  <c r="Y76" i="77"/>
  <c r="O90" i="77"/>
  <c r="R90" i="77"/>
  <c r="AJ62" i="20"/>
  <c r="Z15" i="3"/>
  <c r="Z34" i="3" s="1"/>
  <c r="D60" i="73"/>
  <c r="D62" i="73" s="1"/>
  <c r="D71" i="73"/>
  <c r="T161" i="52"/>
  <c r="AG161" i="52" s="1"/>
  <c r="AF161" i="52"/>
  <c r="CK136" i="1"/>
  <c r="AN8" i="3"/>
  <c r="AN78" i="2"/>
  <c r="S69" i="73"/>
  <c r="T69" i="73" s="1"/>
  <c r="R155" i="73"/>
  <c r="P126" i="89"/>
  <c r="Q90" i="89"/>
  <c r="BU147" i="1"/>
  <c r="BQ147" i="1"/>
  <c r="N95" i="73"/>
  <c r="N105" i="73"/>
  <c r="N119" i="73" s="1"/>
  <c r="N110" i="73"/>
  <c r="N117" i="73"/>
  <c r="AF69" i="2"/>
  <c r="P85" i="15"/>
  <c r="P77" i="15"/>
  <c r="P79" i="15"/>
  <c r="W112" i="89"/>
  <c r="J124" i="89"/>
  <c r="K126" i="89"/>
  <c r="L125" i="89"/>
  <c r="O117" i="73"/>
  <c r="DG43" i="20"/>
  <c r="DG44" i="20"/>
  <c r="DG26" i="20"/>
  <c r="CJ155" i="1"/>
  <c r="CK155" i="1" s="1"/>
  <c r="CJ145" i="1"/>
  <c r="CO145" i="1" s="1"/>
  <c r="CO125" i="1"/>
  <c r="N32" i="73"/>
  <c r="N161" i="73" s="1"/>
  <c r="N159" i="73" s="1"/>
  <c r="N94" i="89"/>
  <c r="N134" i="73"/>
  <c r="N171" i="73"/>
  <c r="N147" i="73"/>
  <c r="N173" i="73" s="1"/>
  <c r="N158" i="73"/>
  <c r="R82" i="15"/>
  <c r="AS157" i="1"/>
  <c r="K139" i="73"/>
  <c r="K141" i="73" s="1"/>
  <c r="K172" i="73" s="1"/>
  <c r="K159" i="73"/>
  <c r="U82" i="15"/>
  <c r="U80" i="15"/>
  <c r="I40" i="73"/>
  <c r="T80" i="15"/>
  <c r="T82" i="15"/>
  <c r="AR8" i="3"/>
  <c r="AR78" i="2"/>
  <c r="T86" i="89"/>
  <c r="S122" i="89"/>
  <c r="CB188" i="1"/>
  <c r="BV31" i="20" s="1"/>
  <c r="CB179" i="1"/>
  <c r="CK145" i="1"/>
  <c r="DE44" i="20"/>
  <c r="DE43" i="20"/>
  <c r="DE26" i="20"/>
  <c r="BU145" i="1"/>
  <c r="O131" i="73"/>
  <c r="CO127" i="1"/>
  <c r="AC145" i="1"/>
  <c r="BQ145" i="1"/>
  <c r="N80" i="15"/>
  <c r="N82" i="15"/>
  <c r="O83" i="15" s="1"/>
  <c r="AR177" i="1"/>
  <c r="AN190" i="1"/>
  <c r="AJ78" i="2"/>
  <c r="AJ8" i="3"/>
  <c r="O71" i="73"/>
  <c r="O160" i="73" s="1"/>
  <c r="AB8" i="3"/>
  <c r="AB78" i="2"/>
  <c r="BI127" i="1"/>
  <c r="BI126" i="1"/>
  <c r="F110" i="73"/>
  <c r="F117" i="73"/>
  <c r="F95" i="73"/>
  <c r="F105" i="73"/>
  <c r="G117" i="73"/>
  <c r="F134" i="73"/>
  <c r="F158" i="73"/>
  <c r="F147" i="73"/>
  <c r="F171" i="73"/>
  <c r="G171" i="73"/>
  <c r="DE46" i="20"/>
  <c r="DF55" i="20"/>
  <c r="BU155" i="1"/>
  <c r="CJ157" i="1"/>
  <c r="CK157" i="1" s="1"/>
  <c r="CJ156" i="1"/>
  <c r="CK156" i="1" s="1"/>
  <c r="CK151" i="1"/>
  <c r="Z69" i="77"/>
  <c r="AA69" i="77"/>
  <c r="CK143" i="1"/>
  <c r="CG143" i="1"/>
  <c r="BQ155" i="1"/>
  <c r="I8" i="89"/>
  <c r="I187" i="89"/>
  <c r="I74" i="89"/>
  <c r="I110" i="89" s="1"/>
  <c r="I147" i="89" s="1"/>
  <c r="AO54" i="20"/>
  <c r="DJ28" i="20"/>
  <c r="DJ45" i="20"/>
  <c r="AK147" i="1"/>
  <c r="H55" i="73"/>
  <c r="H70" i="73"/>
  <c r="H78" i="73"/>
  <c r="H65" i="73"/>
  <c r="I78" i="73"/>
  <c r="R89" i="77"/>
  <c r="Y89" i="77"/>
  <c r="N96" i="77"/>
  <c r="N97" i="77" s="1"/>
  <c r="L119" i="73"/>
  <c r="BH155" i="1"/>
  <c r="BI155" i="1" s="1"/>
  <c r="BM155" i="1" s="1"/>
  <c r="BM125" i="1"/>
  <c r="BH145" i="1"/>
  <c r="BM145" i="1" s="1"/>
  <c r="X15" i="3"/>
  <c r="X34" i="3" s="1"/>
  <c r="AI62" i="20"/>
  <c r="Y93" i="77"/>
  <c r="Z86" i="77"/>
  <c r="AA86" i="77"/>
  <c r="P91" i="89"/>
  <c r="I91" i="89"/>
  <c r="O32" i="73"/>
  <c r="O161" i="73" s="1"/>
  <c r="O159" i="73" s="1"/>
  <c r="D39" i="73"/>
  <c r="DK26" i="20"/>
  <c r="AV62" i="20"/>
  <c r="AD15" i="3"/>
  <c r="AD34" i="3" s="1"/>
  <c r="J86" i="15"/>
  <c r="K86" i="15"/>
  <c r="AN181" i="1"/>
  <c r="K92" i="15" s="1"/>
  <c r="O80" i="15"/>
  <c r="S87" i="89"/>
  <c r="R123" i="89"/>
  <c r="CK153" i="1"/>
  <c r="CG153" i="1"/>
  <c r="CG145" i="1"/>
  <c r="K60" i="73"/>
  <c r="K62" i="73" s="1"/>
  <c r="K79" i="73" s="1"/>
  <c r="K71" i="73"/>
  <c r="AK146" i="1"/>
  <c r="DL30" i="20"/>
  <c r="V94" i="15"/>
  <c r="T85" i="89"/>
  <c r="S121" i="89"/>
  <c r="DL24" i="20"/>
  <c r="DL26" i="20" s="1"/>
  <c r="V73" i="15"/>
  <c r="M19" i="73"/>
  <c r="U74" i="15"/>
  <c r="D13" i="92"/>
  <c r="Z90" i="15"/>
  <c r="CG157" i="1"/>
  <c r="G82" i="15"/>
  <c r="G83" i="15" s="1"/>
  <c r="G80" i="15"/>
  <c r="AX52" i="3"/>
  <c r="Y88" i="15"/>
  <c r="Z88" i="15" s="1"/>
  <c r="AA82" i="77"/>
  <c r="Z82" i="77"/>
  <c r="AS147" i="1"/>
  <c r="Q124" i="89"/>
  <c r="R88" i="89"/>
  <c r="BH147" i="1"/>
  <c r="BI147" i="1" s="1"/>
  <c r="BM147" i="1" s="1"/>
  <c r="BM142" i="1"/>
  <c r="BH146" i="1"/>
  <c r="BI146" i="1" s="1"/>
  <c r="BM146" i="1" s="1"/>
  <c r="AJ50" i="1"/>
  <c r="AJ51" i="1"/>
  <c r="AJ52" i="1"/>
  <c r="AJ53" i="1"/>
  <c r="AK54" i="1"/>
  <c r="AP54" i="1"/>
  <c r="BU146" i="1"/>
  <c r="BQ146" i="1"/>
  <c r="V80" i="15"/>
  <c r="V82" i="15"/>
  <c r="AL67" i="3"/>
  <c r="AL15" i="3"/>
  <c r="AL34" i="3" s="1"/>
  <c r="AL58" i="3" s="1"/>
  <c r="AL62" i="3" s="1"/>
  <c r="BD62" i="20"/>
  <c r="CG146" i="1"/>
  <c r="CC146" i="1"/>
  <c r="Q67" i="5"/>
  <c r="DH62" i="20" s="1"/>
  <c r="P202" i="5"/>
  <c r="AG155" i="1"/>
  <c r="AC155" i="1"/>
  <c r="DM43" i="20"/>
  <c r="DM44" i="20"/>
  <c r="CG155" i="1"/>
  <c r="M125" i="89"/>
  <c r="N124" i="89"/>
  <c r="P125" i="89"/>
  <c r="Q89" i="89"/>
  <c r="P119" i="73"/>
  <c r="W80" i="15"/>
  <c r="CO142" i="1"/>
  <c r="CN146" i="1"/>
  <c r="CN147" i="1"/>
  <c r="U76" i="77"/>
  <c r="W76" i="77"/>
  <c r="H117" i="73"/>
  <c r="H95" i="73"/>
  <c r="H110" i="73"/>
  <c r="H105" i="73"/>
  <c r="I117" i="73"/>
  <c r="BH157" i="1"/>
  <c r="BI157" i="1" s="1"/>
  <c r="BM157" i="1" s="1"/>
  <c r="BH156" i="1"/>
  <c r="BI156" i="1" s="1"/>
  <c r="BM156" i="1" s="1"/>
  <c r="BU156" i="1"/>
  <c r="BQ156" i="1"/>
  <c r="AV15" i="3"/>
  <c r="AV34" i="3" s="1"/>
  <c r="AV58" i="3" s="1"/>
  <c r="AV62" i="3" s="1"/>
  <c r="CH62" i="20"/>
  <c r="AV67" i="3"/>
  <c r="F70" i="73"/>
  <c r="F55" i="73"/>
  <c r="F78" i="73"/>
  <c r="F65" i="73"/>
  <c r="G78" i="73"/>
  <c r="CG147" i="1"/>
  <c r="B138" i="89"/>
  <c r="C138" i="89"/>
  <c r="H32" i="73"/>
  <c r="H21" i="73"/>
  <c r="H23" i="73" s="1"/>
  <c r="H39" i="73" s="1"/>
  <c r="O111" i="73"/>
  <c r="O162" i="73" s="1"/>
  <c r="K91" i="89"/>
  <c r="O40" i="73"/>
  <c r="P40" i="73"/>
  <c r="DM46" i="20"/>
  <c r="DM55" i="20"/>
  <c r="DN55" i="20"/>
  <c r="C14" i="92"/>
  <c r="C21" i="92"/>
  <c r="CG156" i="1"/>
  <c r="M90" i="89"/>
  <c r="AK157" i="1"/>
  <c r="L80" i="73"/>
  <c r="K100" i="73"/>
  <c r="K102" i="73" s="1"/>
  <c r="K118" i="73" s="1"/>
  <c r="K111" i="73"/>
  <c r="N70" i="73"/>
  <c r="N55" i="73"/>
  <c r="N65" i="73"/>
  <c r="N80" i="73" s="1"/>
  <c r="N78" i="73"/>
  <c r="CJ146" i="1"/>
  <c r="CJ147" i="1"/>
  <c r="CK147" i="1" s="1"/>
  <c r="CO141" i="1"/>
  <c r="CK141" i="1"/>
  <c r="T120" i="89"/>
  <c r="U84" i="89"/>
  <c r="AN193" i="1"/>
  <c r="H5" i="89"/>
  <c r="H9" i="89"/>
  <c r="J94" i="89"/>
  <c r="AS121" i="9"/>
  <c r="AU121" i="9" s="1"/>
  <c r="I83" i="15"/>
  <c r="T94" i="5"/>
  <c r="T95" i="5" s="1"/>
  <c r="T161" i="5"/>
  <c r="DK69" i="20" s="1"/>
  <c r="P114" i="52"/>
  <c r="T86" i="5"/>
  <c r="AI145" i="9"/>
  <c r="AB140" i="10"/>
  <c r="AD140" i="10" s="1"/>
  <c r="DI70" i="20"/>
  <c r="AA117" i="5"/>
  <c r="AA181" i="5"/>
  <c r="AA182" i="5" s="1"/>
  <c r="AB116" i="5"/>
  <c r="AL127" i="9"/>
  <c r="AN127" i="9" s="1"/>
  <c r="AS127" i="9"/>
  <c r="AL134" i="9"/>
  <c r="AC128" i="5"/>
  <c r="AC129" i="5" s="1"/>
  <c r="AB129" i="5"/>
  <c r="T58" i="52"/>
  <c r="DC81" i="20"/>
  <c r="Q58" i="52"/>
  <c r="M32" i="5"/>
  <c r="M61" i="5" s="1"/>
  <c r="DD59" i="20" s="1"/>
  <c r="L76" i="5"/>
  <c r="Z187" i="5"/>
  <c r="Z188" i="5" s="1"/>
  <c r="AA122" i="5"/>
  <c r="Z123" i="5"/>
  <c r="DK80" i="20"/>
  <c r="DL66" i="20"/>
  <c r="DK66" i="20"/>
  <c r="U51" i="52"/>
  <c r="V51" i="52"/>
  <c r="W119" i="5"/>
  <c r="X118" i="5"/>
  <c r="W183" i="5"/>
  <c r="W184" i="5" s="1"/>
  <c r="X69" i="5"/>
  <c r="X121" i="5"/>
  <c r="Y120" i="5"/>
  <c r="X185" i="5"/>
  <c r="X186" i="5" s="1"/>
  <c r="AC102" i="5"/>
  <c r="AB169" i="5"/>
  <c r="AB103" i="5"/>
  <c r="AB174" i="5"/>
  <c r="AB177" i="5"/>
  <c r="AB178" i="5" s="1"/>
  <c r="X119" i="2"/>
  <c r="X113" i="2"/>
  <c r="AA170" i="5"/>
  <c r="AA168" i="5"/>
  <c r="Y125" i="5"/>
  <c r="Z124" i="5"/>
  <c r="U161" i="5"/>
  <c r="DL69" i="20" s="1"/>
  <c r="P121" i="52"/>
  <c r="V86" i="5"/>
  <c r="U94" i="5"/>
  <c r="U86" i="5"/>
  <c r="R220" i="5"/>
  <c r="S6" i="5"/>
  <c r="K77" i="5"/>
  <c r="K79" i="5"/>
  <c r="K80" i="5" s="1"/>
  <c r="K91" i="5"/>
  <c r="AD172" i="52"/>
  <c r="AC173" i="5"/>
  <c r="AC107" i="5"/>
  <c r="Z107" i="2"/>
  <c r="AB106" i="2"/>
  <c r="DI71" i="20"/>
  <c r="AS126" i="9"/>
  <c r="AL126" i="9"/>
  <c r="AN126" i="9" s="1"/>
  <c r="AL133" i="9"/>
  <c r="DA67" i="20"/>
  <c r="J92" i="5"/>
  <c r="AU125" i="9"/>
  <c r="AU132" i="9"/>
  <c r="Z126" i="5"/>
  <c r="Y127" i="5"/>
  <c r="AD127" i="10"/>
  <c r="AJ128" i="9"/>
  <c r="AS54" i="20"/>
  <c r="BF54" i="20"/>
  <c r="BK54" i="20"/>
  <c r="CF54" i="20"/>
  <c r="CA54" i="20"/>
  <c r="BM54" i="20"/>
  <c r="CY54" i="20"/>
  <c r="CZ54" i="20"/>
  <c r="AW54" i="20"/>
  <c r="BB54" i="20"/>
  <c r="M54" i="20"/>
  <c r="R54" i="20"/>
  <c r="X54" i="20"/>
  <c r="AC54" i="20"/>
  <c r="AH54" i="20"/>
  <c r="AM54" i="20"/>
  <c r="W30" i="74"/>
  <c r="Y30" i="74"/>
  <c r="X30" i="74"/>
  <c r="T54" i="20"/>
  <c r="Y54" i="20"/>
  <c r="BI54" i="20"/>
  <c r="W19" i="74"/>
  <c r="Y19" i="74"/>
  <c r="X19" i="74"/>
  <c r="X40" i="74"/>
  <c r="CM54" i="20"/>
  <c r="DA54" i="20"/>
  <c r="CG54" i="20"/>
  <c r="BR54" i="20"/>
  <c r="BW54" i="20"/>
  <c r="S21" i="74"/>
  <c r="BU54" i="20"/>
  <c r="S37" i="74" s="1"/>
  <c r="BZ54" i="20"/>
  <c r="R21" i="74"/>
  <c r="U37" i="74" s="1"/>
  <c r="Z37" i="74" s="1"/>
  <c r="BP54" i="20"/>
  <c r="R37" i="74" s="1"/>
  <c r="BL54" i="20"/>
  <c r="BQ54" i="20"/>
  <c r="I54" i="20"/>
  <c r="N54" i="20"/>
  <c r="H90" i="89"/>
  <c r="I123" i="89"/>
  <c r="H124" i="89"/>
  <c r="I124" i="89"/>
  <c r="H125" i="89"/>
  <c r="H190" i="89"/>
  <c r="CO146" i="1" l="1"/>
  <c r="N86" i="15"/>
  <c r="Q82" i="15"/>
  <c r="Y80" i="77"/>
  <c r="W80" i="77"/>
  <c r="T87" i="77"/>
  <c r="T90" i="77" s="1"/>
  <c r="D103" i="77" s="1"/>
  <c r="R80" i="15"/>
  <c r="AH8" i="3"/>
  <c r="AH78" i="2"/>
  <c r="DD46" i="20"/>
  <c r="DD55" i="20"/>
  <c r="E21" i="73"/>
  <c r="E23" i="73" s="1"/>
  <c r="E39" i="73" s="1"/>
  <c r="E32" i="73"/>
  <c r="DD61" i="20"/>
  <c r="N64" i="5"/>
  <c r="M194" i="5"/>
  <c r="AF79" i="15"/>
  <c r="U83" i="15"/>
  <c r="D79" i="73"/>
  <c r="T83" i="77"/>
  <c r="W159" i="5" s="1"/>
  <c r="I55" i="73"/>
  <c r="J78" i="73"/>
  <c r="I70" i="73"/>
  <c r="I65" i="73"/>
  <c r="J80" i="73" s="1"/>
  <c r="AO145" i="1"/>
  <c r="AB74" i="5"/>
  <c r="DR64" i="20"/>
  <c r="R83" i="15"/>
  <c r="DD43" i="20"/>
  <c r="DD44" i="20"/>
  <c r="DD26" i="20"/>
  <c r="E55" i="73"/>
  <c r="E78" i="73"/>
  <c r="E70" i="73"/>
  <c r="E65" i="73"/>
  <c r="E80" i="73" s="1"/>
  <c r="D111" i="73"/>
  <c r="D100" i="73"/>
  <c r="D102" i="73" s="1"/>
  <c r="D118" i="73" s="1"/>
  <c r="Z73" i="77"/>
  <c r="AA73" i="77"/>
  <c r="M80" i="15"/>
  <c r="M82" i="15"/>
  <c r="M83" i="15" s="1"/>
  <c r="W89" i="77"/>
  <c r="T96" i="77"/>
  <c r="E110" i="73"/>
  <c r="E95" i="73"/>
  <c r="E117" i="73"/>
  <c r="E105" i="73"/>
  <c r="E119" i="73" s="1"/>
  <c r="DH26" i="20"/>
  <c r="DH44" i="20"/>
  <c r="DH43" i="20"/>
  <c r="I21" i="73"/>
  <c r="I23" i="73" s="1"/>
  <c r="J39" i="73" s="1"/>
  <c r="I32" i="73"/>
  <c r="AF86" i="15"/>
  <c r="E159" i="73"/>
  <c r="E139" i="73"/>
  <c r="E141" i="73" s="1"/>
  <c r="E172" i="73" s="1"/>
  <c r="V58" i="3"/>
  <c r="V62" i="3" s="1"/>
  <c r="DH46" i="20"/>
  <c r="DI55" i="20"/>
  <c r="CK146" i="1"/>
  <c r="DB54" i="20"/>
  <c r="DE55" i="20"/>
  <c r="I134" i="73"/>
  <c r="J171" i="73"/>
  <c r="I158" i="73"/>
  <c r="I147" i="73"/>
  <c r="J173" i="73" s="1"/>
  <c r="DN63" i="20"/>
  <c r="X68" i="5"/>
  <c r="AP90" i="2"/>
  <c r="AN91" i="2"/>
  <c r="I110" i="73"/>
  <c r="J117" i="73"/>
  <c r="I95" i="73"/>
  <c r="I105" i="73"/>
  <c r="J119" i="73" s="1"/>
  <c r="O119" i="73"/>
  <c r="AF82" i="15"/>
  <c r="L57" i="3"/>
  <c r="J8" i="2"/>
  <c r="J14" i="2" s="1"/>
  <c r="H83" i="15"/>
  <c r="H25" i="2"/>
  <c r="H61" i="2" s="1"/>
  <c r="H97" i="2"/>
  <c r="H99" i="2" s="1"/>
  <c r="I39" i="73"/>
  <c r="DJ54" i="20"/>
  <c r="N62" i="5"/>
  <c r="DE60" i="20" s="1"/>
  <c r="J92" i="9"/>
  <c r="M192" i="5"/>
  <c r="C139" i="89"/>
  <c r="B139" i="89"/>
  <c r="X58" i="3"/>
  <c r="X62" i="3" s="1"/>
  <c r="CB189" i="1"/>
  <c r="CB180" i="1"/>
  <c r="CB183" i="1"/>
  <c r="N136" i="73"/>
  <c r="J83" i="15"/>
  <c r="K83" i="15"/>
  <c r="AD58" i="3"/>
  <c r="AD62" i="3" s="1"/>
  <c r="H80" i="73"/>
  <c r="K92" i="89"/>
  <c r="N95" i="89"/>
  <c r="AN15" i="3"/>
  <c r="AN34" i="3" s="1"/>
  <c r="AN58" i="3" s="1"/>
  <c r="AN62" i="3" s="1"/>
  <c r="AN67" i="3"/>
  <c r="AA76" i="77"/>
  <c r="Z76" i="77"/>
  <c r="CB192" i="1"/>
  <c r="N8" i="2"/>
  <c r="N60" i="3"/>
  <c r="P57" i="3"/>
  <c r="P59" i="3" s="1"/>
  <c r="M126" i="89"/>
  <c r="N125" i="89"/>
  <c r="M91" i="89"/>
  <c r="M92" i="89" s="1"/>
  <c r="K93" i="77"/>
  <c r="AS93" i="77"/>
  <c r="BI93" i="77"/>
  <c r="H119" i="73"/>
  <c r="M98" i="73"/>
  <c r="M100" i="73" s="1"/>
  <c r="M102" i="73" s="1"/>
  <c r="M118" i="73" s="1"/>
  <c r="M58" i="73"/>
  <c r="M60" i="73" s="1"/>
  <c r="M62" i="73" s="1"/>
  <c r="M79" i="73" s="1"/>
  <c r="M137" i="73"/>
  <c r="M139" i="73" s="1"/>
  <c r="M141" i="73" s="1"/>
  <c r="M172" i="73" s="1"/>
  <c r="M21" i="73"/>
  <c r="M23" i="73" s="1"/>
  <c r="M39" i="73" s="1"/>
  <c r="AB15" i="3"/>
  <c r="AB34" i="3" s="1"/>
  <c r="AL62" i="20"/>
  <c r="DG28" i="20"/>
  <c r="DG35" i="20"/>
  <c r="DG45" i="20"/>
  <c r="CB193" i="1"/>
  <c r="W83" i="89"/>
  <c r="V119" i="89"/>
  <c r="W118" i="89"/>
  <c r="AT67" i="3"/>
  <c r="AT15" i="3"/>
  <c r="AT34" i="3" s="1"/>
  <c r="AT58" i="3" s="1"/>
  <c r="AT62" i="3" s="1"/>
  <c r="CG62" i="20"/>
  <c r="O97" i="77"/>
  <c r="F80" i="73"/>
  <c r="G80" i="73"/>
  <c r="J126" i="89"/>
  <c r="G119" i="73"/>
  <c r="L95" i="89"/>
  <c r="O94" i="89"/>
  <c r="H60" i="73"/>
  <c r="H62" i="73" s="1"/>
  <c r="H71" i="73"/>
  <c r="F100" i="73"/>
  <c r="F102" i="73" s="1"/>
  <c r="F111" i="73"/>
  <c r="DE45" i="20"/>
  <c r="DE28" i="20"/>
  <c r="DE35" i="20"/>
  <c r="Q126" i="89"/>
  <c r="R90" i="89"/>
  <c r="J95" i="89"/>
  <c r="J96" i="89" s="1"/>
  <c r="CO147" i="1"/>
  <c r="F60" i="73"/>
  <c r="F62" i="73" s="1"/>
  <c r="F71" i="73"/>
  <c r="V83" i="15"/>
  <c r="AP52" i="1"/>
  <c r="AK52" i="1"/>
  <c r="T16" i="20"/>
  <c r="AX134" i="2"/>
  <c r="AZ52" i="3"/>
  <c r="AX55" i="3"/>
  <c r="BI145" i="1"/>
  <c r="J96" i="77"/>
  <c r="D33" i="98" s="1"/>
  <c r="F159" i="73"/>
  <c r="F139" i="73"/>
  <c r="F141" i="73" s="1"/>
  <c r="Z31" i="20"/>
  <c r="AN191" i="1"/>
  <c r="K93" i="15" s="1"/>
  <c r="DB31" i="20" s="1"/>
  <c r="AH82" i="15"/>
  <c r="T83" i="15"/>
  <c r="AH83" i="15" s="1"/>
  <c r="AP86" i="2"/>
  <c r="AR86" i="2" s="1"/>
  <c r="AT86" i="2" s="1"/>
  <c r="AV86" i="2" s="1"/>
  <c r="AX86" i="2" s="1"/>
  <c r="AZ86" i="2" s="1"/>
  <c r="BB86" i="2" s="1"/>
  <c r="BD86" i="2" s="1"/>
  <c r="BF86" i="2" s="1"/>
  <c r="P131" i="73"/>
  <c r="L118" i="73"/>
  <c r="H139" i="73"/>
  <c r="H141" i="73" s="1"/>
  <c r="H159" i="73"/>
  <c r="AV89" i="2"/>
  <c r="S83" i="15"/>
  <c r="K127" i="89"/>
  <c r="L126" i="89"/>
  <c r="N71" i="73"/>
  <c r="N160" i="73" s="1"/>
  <c r="Q125" i="89"/>
  <c r="R89" i="89"/>
  <c r="R124" i="89"/>
  <c r="S88" i="89"/>
  <c r="I92" i="89"/>
  <c r="H173" i="73"/>
  <c r="H100" i="73"/>
  <c r="H102" i="73" s="1"/>
  <c r="H111" i="73"/>
  <c r="U16" i="20"/>
  <c r="AK53" i="1"/>
  <c r="AP53" i="1"/>
  <c r="C36" i="92"/>
  <c r="C38" i="92" s="1"/>
  <c r="H39" i="92" s="1"/>
  <c r="DP29" i="20"/>
  <c r="Q24" i="73"/>
  <c r="Q144" i="73" s="1"/>
  <c r="Q142" i="73" s="1"/>
  <c r="DL28" i="20"/>
  <c r="DL45" i="20"/>
  <c r="T121" i="89"/>
  <c r="U85" i="89"/>
  <c r="DK45" i="20"/>
  <c r="DK28" i="20"/>
  <c r="DK54" i="20" s="1"/>
  <c r="P80" i="15"/>
  <c r="P82" i="15"/>
  <c r="Q80" i="15"/>
  <c r="N111" i="73"/>
  <c r="N162" i="73" s="1"/>
  <c r="AA81" i="77"/>
  <c r="Z81" i="77"/>
  <c r="Y83" i="77"/>
  <c r="H8" i="89"/>
  <c r="H74" i="89"/>
  <c r="H110" i="89" s="1"/>
  <c r="H147" i="89" s="1"/>
  <c r="C155" i="89" s="1" a="1"/>
  <c r="H187" i="89"/>
  <c r="V84" i="89"/>
  <c r="U120" i="89"/>
  <c r="AP51" i="1"/>
  <c r="S16" i="20"/>
  <c r="AK51" i="1"/>
  <c r="DM30" i="20"/>
  <c r="W94" i="15"/>
  <c r="S123" i="89"/>
  <c r="T87" i="89"/>
  <c r="Q91" i="89"/>
  <c r="P127" i="89"/>
  <c r="P92" i="89"/>
  <c r="Z89" i="77"/>
  <c r="AA89" i="77"/>
  <c r="Y96" i="77"/>
  <c r="AJ15" i="3"/>
  <c r="AJ34" i="3" s="1"/>
  <c r="BC62" i="20"/>
  <c r="AJ67" i="3"/>
  <c r="AR178" i="1"/>
  <c r="AR182" i="1" s="1"/>
  <c r="AR187" i="1"/>
  <c r="O158" i="73"/>
  <c r="O171" i="73"/>
  <c r="O134" i="73"/>
  <c r="O147" i="73"/>
  <c r="O173" i="73" s="1"/>
  <c r="T122" i="89"/>
  <c r="U86" i="89"/>
  <c r="P86" i="15"/>
  <c r="Q86" i="15"/>
  <c r="L79" i="73"/>
  <c r="AP15" i="3"/>
  <c r="AP34" i="3" s="1"/>
  <c r="AP58" i="3" s="1"/>
  <c r="AP62" i="3" s="1"/>
  <c r="CE62" i="20"/>
  <c r="AP67" i="3"/>
  <c r="W88" i="77"/>
  <c r="T95" i="77"/>
  <c r="Y88" i="77"/>
  <c r="O129" i="89"/>
  <c r="N19" i="73"/>
  <c r="W73" i="15"/>
  <c r="V74" i="15"/>
  <c r="DM24" i="20"/>
  <c r="DM26" i="20" s="1"/>
  <c r="F173" i="73"/>
  <c r="G173" i="73"/>
  <c r="R67" i="5"/>
  <c r="DI62" i="20" s="1"/>
  <c r="Q202" i="5"/>
  <c r="R16" i="20"/>
  <c r="AK50" i="1"/>
  <c r="AJ55" i="1"/>
  <c r="AP50" i="1"/>
  <c r="AJ56" i="1"/>
  <c r="AA90" i="15"/>
  <c r="E13" i="92"/>
  <c r="AR15" i="3"/>
  <c r="AR34" i="3" s="1"/>
  <c r="AR58" i="3" s="1"/>
  <c r="AR62" i="3" s="1"/>
  <c r="AR67" i="3"/>
  <c r="CF62" i="20"/>
  <c r="AF78" i="2"/>
  <c r="AF8" i="3"/>
  <c r="S155" i="73"/>
  <c r="T155" i="73"/>
  <c r="Z58" i="3"/>
  <c r="Z62" i="3" s="1"/>
  <c r="O80" i="73"/>
  <c r="L172" i="73"/>
  <c r="G39" i="73"/>
  <c r="AR71" i="3"/>
  <c r="AR72" i="3" s="1"/>
  <c r="AT75" i="3"/>
  <c r="AA126" i="5"/>
  <c r="Z127" i="5"/>
  <c r="Z113" i="2"/>
  <c r="Z119" i="2"/>
  <c r="Y69" i="5"/>
  <c r="T151" i="5"/>
  <c r="T24" i="15"/>
  <c r="T177" i="52" s="1"/>
  <c r="AA124" i="5"/>
  <c r="Z125" i="5"/>
  <c r="AF140" i="10"/>
  <c r="AF147" i="10"/>
  <c r="AC177" i="5"/>
  <c r="AC178" i="5" s="1"/>
  <c r="AC174" i="5"/>
  <c r="AB170" i="5"/>
  <c r="AB168" i="5"/>
  <c r="L77" i="5"/>
  <c r="L79" i="5"/>
  <c r="L80" i="5" s="1"/>
  <c r="L91" i="5"/>
  <c r="T173" i="52"/>
  <c r="AG173" i="52" s="1"/>
  <c r="W114" i="52"/>
  <c r="AD106" i="2"/>
  <c r="AB107" i="2"/>
  <c r="U173" i="52"/>
  <c r="W121" i="52"/>
  <c r="AU126" i="9"/>
  <c r="AU133" i="9"/>
  <c r="AS128" i="9"/>
  <c r="Y118" i="5"/>
  <c r="X119" i="5"/>
  <c r="X183" i="5"/>
  <c r="X184" i="5" s="1"/>
  <c r="X131" i="5"/>
  <c r="DJ70" i="20"/>
  <c r="U24" i="15"/>
  <c r="U177" i="52" s="1"/>
  <c r="U151" i="5"/>
  <c r="AC103" i="5"/>
  <c r="AC169" i="5"/>
  <c r="N32" i="5"/>
  <c r="N61" i="5" s="1"/>
  <c r="DE59" i="20" s="1"/>
  <c r="Q65" i="52"/>
  <c r="DD81" i="20"/>
  <c r="T65" i="52"/>
  <c r="M76" i="5"/>
  <c r="M31" i="5"/>
  <c r="AL135" i="9"/>
  <c r="AL128" i="9"/>
  <c r="AN128" i="9" s="1"/>
  <c r="Y185" i="5"/>
  <c r="Y186" i="5" s="1"/>
  <c r="Z120" i="5"/>
  <c r="Y121" i="5"/>
  <c r="V24" i="15"/>
  <c r="V177" i="52" s="1"/>
  <c r="V151" i="5"/>
  <c r="AU134" i="9"/>
  <c r="AU127" i="9"/>
  <c r="S220" i="5"/>
  <c r="T6" i="5"/>
  <c r="AI146" i="9"/>
  <c r="AB144" i="10"/>
  <c r="AD144" i="10" s="1"/>
  <c r="AB122" i="5"/>
  <c r="AA123" i="5"/>
  <c r="AA187" i="5"/>
  <c r="AA188" i="5" s="1"/>
  <c r="AB181" i="5"/>
  <c r="AB182" i="5" s="1"/>
  <c r="AB117" i="5"/>
  <c r="AC116" i="5"/>
  <c r="DJ71" i="20"/>
  <c r="DB67" i="20"/>
  <c r="K92" i="5"/>
  <c r="U95" i="5"/>
  <c r="V95" i="5"/>
  <c r="U58" i="52"/>
  <c r="V58" i="52"/>
  <c r="X46" i="74"/>
  <c r="Y21" i="74"/>
  <c r="X21" i="74"/>
  <c r="W21" i="74"/>
  <c r="H126" i="89"/>
  <c r="I125" i="89"/>
  <c r="H91" i="89"/>
  <c r="I80" i="73" l="1"/>
  <c r="N83" i="15"/>
  <c r="AF83" i="15" s="1"/>
  <c r="CR13" i="1"/>
  <c r="E33" i="98"/>
  <c r="W33" i="98"/>
  <c r="AK33" i="98"/>
  <c r="S33" i="98"/>
  <c r="DO63" i="20"/>
  <c r="Y68" i="5"/>
  <c r="E100" i="73"/>
  <c r="E102" i="73" s="1"/>
  <c r="E118" i="73" s="1"/>
  <c r="E111" i="73"/>
  <c r="I100" i="73"/>
  <c r="I102" i="73" s="1"/>
  <c r="J118" i="73" s="1"/>
  <c r="I111" i="73"/>
  <c r="I173" i="73"/>
  <c r="W83" i="77"/>
  <c r="I119" i="73"/>
  <c r="AH15" i="3"/>
  <c r="AH34" i="3" s="1"/>
  <c r="AH58" i="3" s="1"/>
  <c r="AH62" i="3" s="1"/>
  <c r="AH67" i="3"/>
  <c r="BB62" i="20"/>
  <c r="AH59" i="94"/>
  <c r="AF59" i="94" s="1"/>
  <c r="AG59" i="94" s="1"/>
  <c r="AE177" i="9"/>
  <c r="AC177" i="9" s="1"/>
  <c r="AD177" i="9" s="1"/>
  <c r="D104" i="77"/>
  <c r="E105" i="77" s="1"/>
  <c r="AC74" i="5"/>
  <c r="DT64" i="20" s="1"/>
  <c r="DS64" i="20"/>
  <c r="F39" i="73"/>
  <c r="U83" i="77"/>
  <c r="DD45" i="20"/>
  <c r="DD28" i="20"/>
  <c r="DD54" i="20" s="1"/>
  <c r="DD35" i="20"/>
  <c r="E71" i="73"/>
  <c r="E60" i="73"/>
  <c r="E62" i="73" s="1"/>
  <c r="E79" i="73" s="1"/>
  <c r="I60" i="73"/>
  <c r="I62" i="73" s="1"/>
  <c r="J79" i="73" s="1"/>
  <c r="I71" i="73"/>
  <c r="Z80" i="77"/>
  <c r="AA80" i="77"/>
  <c r="F119" i="73"/>
  <c r="O130" i="89"/>
  <c r="O95" i="89"/>
  <c r="O96" i="89" s="1"/>
  <c r="AR90" i="2"/>
  <c r="AP91" i="2"/>
  <c r="I139" i="73"/>
  <c r="I141" i="73" s="1"/>
  <c r="J172" i="73" s="1"/>
  <c r="I159" i="73"/>
  <c r="DH45" i="20"/>
  <c r="DH28" i="20"/>
  <c r="DI54" i="20" s="1"/>
  <c r="DE61" i="20"/>
  <c r="O64" i="5"/>
  <c r="N194" i="5"/>
  <c r="Y87" i="77"/>
  <c r="W87" i="77"/>
  <c r="T94" i="77"/>
  <c r="H118" i="2"/>
  <c r="H112" i="2"/>
  <c r="H109" i="2"/>
  <c r="J25" i="2"/>
  <c r="J97" i="2"/>
  <c r="J99" i="2" s="1"/>
  <c r="DL54" i="20"/>
  <c r="N92" i="9"/>
  <c r="N96" i="9"/>
  <c r="AJ81" i="20"/>
  <c r="L99" i="9"/>
  <c r="N192" i="5"/>
  <c r="O62" i="5"/>
  <c r="DF60" i="20" s="1"/>
  <c r="J99" i="9"/>
  <c r="P128" i="89"/>
  <c r="Q92" i="89"/>
  <c r="P93" i="89"/>
  <c r="P94" i="89" s="1"/>
  <c r="AT71" i="3"/>
  <c r="AT72" i="3" s="1"/>
  <c r="AV75" i="3"/>
  <c r="S124" i="89"/>
  <c r="T88" i="89"/>
  <c r="AX89" i="2"/>
  <c r="AB58" i="3"/>
  <c r="AB62" i="3" s="1"/>
  <c r="X45" i="74"/>
  <c r="X47" i="74" s="1"/>
  <c r="U90" i="77"/>
  <c r="W90" i="77"/>
  <c r="U122" i="89"/>
  <c r="V86" i="89"/>
  <c r="AB31" i="20"/>
  <c r="T123" i="89"/>
  <c r="U87" i="89"/>
  <c r="W84" i="89"/>
  <c r="V120" i="89"/>
  <c r="P83" i="15"/>
  <c r="Q83" i="15"/>
  <c r="R24" i="73"/>
  <c r="R144" i="73" s="1"/>
  <c r="R142" i="73" s="1"/>
  <c r="AA88" i="15"/>
  <c r="DQ29" i="20"/>
  <c r="H118" i="73"/>
  <c r="I118" i="73"/>
  <c r="I93" i="89"/>
  <c r="J127" i="89"/>
  <c r="H79" i="73"/>
  <c r="AE93" i="77"/>
  <c r="AH93" i="77"/>
  <c r="CS70" i="1"/>
  <c r="D172" i="10"/>
  <c r="AR145" i="52"/>
  <c r="CO10" i="20"/>
  <c r="CS10" i="1"/>
  <c r="BZ10" i="11" s="1"/>
  <c r="BZ16" i="11" s="1"/>
  <c r="BZ22" i="11" s="1"/>
  <c r="BZ28" i="11" s="1"/>
  <c r="BZ34" i="11" s="1"/>
  <c r="W93" i="77"/>
  <c r="R93" i="77"/>
  <c r="CB190" i="1"/>
  <c r="BX31" i="20" s="1"/>
  <c r="CF177" i="1"/>
  <c r="Z88" i="77"/>
  <c r="Y95" i="77"/>
  <c r="J95" i="77" s="1"/>
  <c r="D32" i="98" s="1"/>
  <c r="D39" i="98" s="1"/>
  <c r="AA88" i="77"/>
  <c r="R125" i="89"/>
  <c r="S89" i="89"/>
  <c r="BJ93" i="77"/>
  <c r="BW31" i="20"/>
  <c r="DM45" i="20"/>
  <c r="DM28" i="20"/>
  <c r="DM54" i="20" s="1"/>
  <c r="N137" i="73"/>
  <c r="N139" i="73" s="1"/>
  <c r="N141" i="73" s="1"/>
  <c r="N172" i="73" s="1"/>
  <c r="N58" i="73"/>
  <c r="N60" i="73" s="1"/>
  <c r="N62" i="73" s="1"/>
  <c r="N79" i="73" s="1"/>
  <c r="N98" i="73"/>
  <c r="N100" i="73" s="1"/>
  <c r="N102" i="73" s="1"/>
  <c r="N118" i="73" s="1"/>
  <c r="N21" i="73"/>
  <c r="N23" i="73" s="1"/>
  <c r="N39" i="73" s="1"/>
  <c r="Q127" i="89"/>
  <c r="R91" i="89"/>
  <c r="F172" i="73"/>
  <c r="G172" i="73"/>
  <c r="BB52" i="3"/>
  <c r="AZ134" i="2"/>
  <c r="AZ55" i="3"/>
  <c r="F79" i="73"/>
  <c r="G79" i="73"/>
  <c r="M127" i="89"/>
  <c r="N126" i="89"/>
  <c r="AB90" i="15"/>
  <c r="F13" i="92"/>
  <c r="AD90" i="15"/>
  <c r="R202" i="5"/>
  <c r="S67" i="5"/>
  <c r="DJ62" i="20" s="1"/>
  <c r="T97" i="77"/>
  <c r="AR179" i="1"/>
  <c r="AR188" i="1"/>
  <c r="AC31" i="20" s="1"/>
  <c r="DN30" i="20"/>
  <c r="X94" i="15"/>
  <c r="C161" i="89"/>
  <c r="C169" i="89"/>
  <c r="C163" i="89"/>
  <c r="C166" i="89"/>
  <c r="C158" i="89"/>
  <c r="C167" i="89"/>
  <c r="C159" i="89"/>
  <c r="C162" i="89"/>
  <c r="C168" i="89"/>
  <c r="C155" i="89"/>
  <c r="C165" i="89"/>
  <c r="C157" i="89"/>
  <c r="C164" i="89"/>
  <c r="C160" i="89"/>
  <c r="C156" i="89"/>
  <c r="U121" i="89"/>
  <c r="V85" i="89"/>
  <c r="H172" i="73"/>
  <c r="BI96" i="77"/>
  <c r="BJ96" i="77" s="1"/>
  <c r="K96" i="77"/>
  <c r="AS96" i="77"/>
  <c r="AT96" i="77" s="1"/>
  <c r="AG96" i="77"/>
  <c r="DF54" i="20"/>
  <c r="L96" i="89"/>
  <c r="AT93" i="77"/>
  <c r="R57" i="3"/>
  <c r="R59" i="3" s="1"/>
  <c r="P8" i="2"/>
  <c r="P60" i="3"/>
  <c r="AK56" i="1"/>
  <c r="AP56" i="1"/>
  <c r="O136" i="73"/>
  <c r="F5" i="89"/>
  <c r="H30" i="89" s="1"/>
  <c r="I24" i="92"/>
  <c r="H24" i="92"/>
  <c r="J24" i="92"/>
  <c r="C24" i="92"/>
  <c r="C25" i="92" s="1"/>
  <c r="G24" i="92"/>
  <c r="E24" i="92"/>
  <c r="F24" i="92"/>
  <c r="D24" i="92"/>
  <c r="AA93" i="77"/>
  <c r="W119" i="89"/>
  <c r="N96" i="89"/>
  <c r="P134" i="73"/>
  <c r="P158" i="73"/>
  <c r="P147" i="73"/>
  <c r="P173" i="73" s="1"/>
  <c r="P171" i="73"/>
  <c r="M128" i="89"/>
  <c r="N127" i="89"/>
  <c r="M93" i="89"/>
  <c r="DG54" i="20"/>
  <c r="N14" i="2"/>
  <c r="N55" i="2"/>
  <c r="AK55" i="1"/>
  <c r="AP55" i="1"/>
  <c r="AJ58" i="3"/>
  <c r="AJ62" i="3" s="1"/>
  <c r="Z83" i="77"/>
  <c r="AA83" i="77"/>
  <c r="G118" i="73"/>
  <c r="C140" i="89"/>
  <c r="B140" i="89"/>
  <c r="AF67" i="3"/>
  <c r="BA62" i="20"/>
  <c r="AF15" i="3"/>
  <c r="AF34" i="3" s="1"/>
  <c r="O19" i="73"/>
  <c r="DN24" i="20"/>
  <c r="DN26" i="20" s="1"/>
  <c r="W74" i="15"/>
  <c r="X73" i="15"/>
  <c r="J97" i="89"/>
  <c r="S90" i="89"/>
  <c r="R126" i="89"/>
  <c r="K128" i="89"/>
  <c r="L127" i="89"/>
  <c r="K93" i="89"/>
  <c r="CB181" i="1"/>
  <c r="Z185" i="5"/>
  <c r="Z186" i="5" s="1"/>
  <c r="Z121" i="5"/>
  <c r="AA120" i="5"/>
  <c r="AU135" i="9"/>
  <c r="AU128" i="9"/>
  <c r="AB187" i="5"/>
  <c r="AB188" i="5" s="1"/>
  <c r="AB123" i="5"/>
  <c r="AC122" i="5"/>
  <c r="DC67" i="20"/>
  <c r="L92" i="5"/>
  <c r="AA125" i="5"/>
  <c r="AB124" i="5"/>
  <c r="AF151" i="10"/>
  <c r="AC181" i="5"/>
  <c r="AC182" i="5" s="1"/>
  <c r="AC117" i="5"/>
  <c r="T220" i="5"/>
  <c r="U6" i="5"/>
  <c r="Q72" i="52"/>
  <c r="O32" i="5"/>
  <c r="O61" i="5" s="1"/>
  <c r="DF59" i="20" s="1"/>
  <c r="T72" i="52"/>
  <c r="DE81" i="20"/>
  <c r="N76" i="5"/>
  <c r="N91" i="5" s="1"/>
  <c r="N31" i="5"/>
  <c r="X88" i="5"/>
  <c r="X132" i="5"/>
  <c r="AH173" i="52"/>
  <c r="AI173" i="52"/>
  <c r="M79" i="5"/>
  <c r="M80" i="5" s="1"/>
  <c r="M91" i="5"/>
  <c r="M77" i="5"/>
  <c r="AI147" i="9"/>
  <c r="AB146" i="10" s="1"/>
  <c r="AD146" i="10" s="1"/>
  <c r="AB145" i="10"/>
  <c r="AD145" i="10" s="1"/>
  <c r="U65" i="52"/>
  <c r="L169" i="52" s="1"/>
  <c r="V65" i="52"/>
  <c r="L171" i="52" s="1"/>
  <c r="U172" i="52"/>
  <c r="X121" i="52"/>
  <c r="X128" i="52"/>
  <c r="W136" i="52"/>
  <c r="AB126" i="5"/>
  <c r="AA127" i="5"/>
  <c r="AC168" i="5"/>
  <c r="AC170" i="5"/>
  <c r="AB113" i="2"/>
  <c r="AB119" i="2"/>
  <c r="AF106" i="2"/>
  <c r="AD107" i="2"/>
  <c r="Y119" i="5"/>
  <c r="Y183" i="5"/>
  <c r="Y184" i="5" s="1"/>
  <c r="Z118" i="5"/>
  <c r="Y131" i="5"/>
  <c r="X114" i="52"/>
  <c r="T172" i="52"/>
  <c r="AG172" i="52" s="1"/>
  <c r="W129" i="52"/>
  <c r="Z69" i="5"/>
  <c r="H127" i="89"/>
  <c r="I126" i="89"/>
  <c r="H92" i="89"/>
  <c r="CR12" i="1" l="1"/>
  <c r="K32" i="98" s="1"/>
  <c r="E32" i="98"/>
  <c r="AK32" i="98"/>
  <c r="AL32" i="98" s="1"/>
  <c r="W32" i="98"/>
  <c r="S32" i="98"/>
  <c r="AL33" i="98"/>
  <c r="AH33" i="98"/>
  <c r="X33" i="98"/>
  <c r="K33" i="98"/>
  <c r="CR33" i="1"/>
  <c r="R33" i="98"/>
  <c r="U33" i="98" s="1"/>
  <c r="P33" i="98"/>
  <c r="F33" i="98"/>
  <c r="AA87" i="77"/>
  <c r="Y94" i="77"/>
  <c r="J94" i="77" s="1"/>
  <c r="Z87" i="77"/>
  <c r="Y90" i="77"/>
  <c r="Z90" i="77" s="1"/>
  <c r="CR60" i="1"/>
  <c r="W120" i="89"/>
  <c r="DF61" i="20"/>
  <c r="O194" i="5"/>
  <c r="P64" i="5"/>
  <c r="DH54" i="20"/>
  <c r="O131" i="89"/>
  <c r="I172" i="73"/>
  <c r="I79" i="73"/>
  <c r="DP63" i="20"/>
  <c r="Z68" i="5"/>
  <c r="F118" i="73"/>
  <c r="DE54" i="20"/>
  <c r="AR192" i="1"/>
  <c r="AT90" i="2"/>
  <c r="AR91" i="2"/>
  <c r="J61" i="2"/>
  <c r="H110" i="2"/>
  <c r="H122" i="2" s="1"/>
  <c r="H115" i="2"/>
  <c r="H121" i="2"/>
  <c r="J109" i="2"/>
  <c r="J118" i="2"/>
  <c r="L112" i="2"/>
  <c r="J112" i="2"/>
  <c r="V97" i="10"/>
  <c r="Q71" i="52"/>
  <c r="T71" i="52" s="1"/>
  <c r="Q75" i="52"/>
  <c r="T75" i="52" s="1"/>
  <c r="AO81" i="20"/>
  <c r="N99" i="9"/>
  <c r="N103" i="9"/>
  <c r="P62" i="5"/>
  <c r="DG60" i="20" s="1"/>
  <c r="J106" i="9"/>
  <c r="O192" i="5"/>
  <c r="X96" i="9"/>
  <c r="Z96" i="9" s="1"/>
  <c r="P96" i="9"/>
  <c r="R96" i="9" s="1"/>
  <c r="P92" i="9"/>
  <c r="R92" i="9" s="1"/>
  <c r="X92" i="9"/>
  <c r="Z92" i="9" s="1"/>
  <c r="AV231" i="1"/>
  <c r="N93" i="9"/>
  <c r="AS95" i="77"/>
  <c r="K95" i="77"/>
  <c r="BI95" i="77"/>
  <c r="AG95" i="77"/>
  <c r="T90" i="89"/>
  <c r="S126" i="89"/>
  <c r="P130" i="89"/>
  <c r="Q94" i="89"/>
  <c r="K129" i="89"/>
  <c r="L128" i="89"/>
  <c r="K94" i="89"/>
  <c r="J98" i="89"/>
  <c r="AF58" i="3"/>
  <c r="AF62" i="3" s="1"/>
  <c r="P14" i="2"/>
  <c r="P55" i="2"/>
  <c r="CO42" i="20"/>
  <c r="CO49" i="20"/>
  <c r="J128" i="89"/>
  <c r="I94" i="89"/>
  <c r="P95" i="89"/>
  <c r="P136" i="73"/>
  <c r="R60" i="3"/>
  <c r="R8" i="2"/>
  <c r="T57" i="3"/>
  <c r="T59" i="3" s="1"/>
  <c r="AJ145" i="52"/>
  <c r="N145" i="52"/>
  <c r="AN145" i="52"/>
  <c r="AF145" i="52"/>
  <c r="AB145" i="52"/>
  <c r="AZ89" i="2"/>
  <c r="DO30" i="20"/>
  <c r="Y94" i="15"/>
  <c r="N97" i="89"/>
  <c r="U97" i="77"/>
  <c r="W86" i="89"/>
  <c r="V122" i="89"/>
  <c r="DO24" i="20"/>
  <c r="DO26" i="20" s="1"/>
  <c r="X74" i="15"/>
  <c r="P19" i="73"/>
  <c r="Y73" i="15"/>
  <c r="C141" i="89"/>
  <c r="B141" i="89"/>
  <c r="AH96" i="77"/>
  <c r="AI96" i="77" s="1"/>
  <c r="CR23" i="1"/>
  <c r="AI33" i="98" s="1"/>
  <c r="CS73" i="1"/>
  <c r="CS13" i="1"/>
  <c r="CR10" i="20"/>
  <c r="D175" i="10"/>
  <c r="L175" i="10" s="1"/>
  <c r="AR148" i="52"/>
  <c r="AE96" i="77"/>
  <c r="F96" i="77"/>
  <c r="W96" i="77"/>
  <c r="R96" i="77"/>
  <c r="O97" i="89"/>
  <c r="S125" i="89"/>
  <c r="T89" i="89"/>
  <c r="CT30" i="1"/>
  <c r="CO15" i="20"/>
  <c r="AP145" i="52"/>
  <c r="V87" i="89"/>
  <c r="U123" i="89"/>
  <c r="O58" i="73"/>
  <c r="O60" i="73" s="1"/>
  <c r="O62" i="73" s="1"/>
  <c r="O137" i="73"/>
  <c r="O139" i="73" s="1"/>
  <c r="O141" i="73" s="1"/>
  <c r="O172" i="73" s="1"/>
  <c r="O98" i="73"/>
  <c r="O100" i="73" s="1"/>
  <c r="O102" i="73" s="1"/>
  <c r="O21" i="73"/>
  <c r="O23" i="73" s="1"/>
  <c r="CF187" i="1"/>
  <c r="CF178" i="1"/>
  <c r="CF182" i="1" s="1"/>
  <c r="T124" i="89"/>
  <c r="U88" i="89"/>
  <c r="M129" i="89"/>
  <c r="N128" i="89"/>
  <c r="M94" i="89"/>
  <c r="G13" i="92"/>
  <c r="AC90" i="15"/>
  <c r="AA90" i="77"/>
  <c r="Q93" i="89"/>
  <c r="P129" i="89"/>
  <c r="L97" i="89"/>
  <c r="N25" i="2"/>
  <c r="N97" i="2"/>
  <c r="N99" i="2" s="1"/>
  <c r="P11" i="89"/>
  <c r="P31" i="89" s="1"/>
  <c r="U11" i="89"/>
  <c r="U31" i="89" s="1"/>
  <c r="O11" i="89"/>
  <c r="O31" i="89" s="1"/>
  <c r="N11" i="89"/>
  <c r="N31" i="89" s="1"/>
  <c r="L11" i="89"/>
  <c r="L31" i="89" s="1"/>
  <c r="T11" i="89"/>
  <c r="T31" i="89" s="1"/>
  <c r="M11" i="89"/>
  <c r="M31" i="89" s="1"/>
  <c r="H35" i="89"/>
  <c r="V11" i="89"/>
  <c r="V31" i="89" s="1"/>
  <c r="Q11" i="89"/>
  <c r="Q31" i="89" s="1"/>
  <c r="R11" i="89"/>
  <c r="R31" i="89" s="1"/>
  <c r="S11" i="89"/>
  <c r="S31" i="89" s="1"/>
  <c r="W11" i="89"/>
  <c r="W31" i="89" s="1"/>
  <c r="K11" i="89"/>
  <c r="K31" i="89" s="1"/>
  <c r="J11" i="89"/>
  <c r="J31" i="89" s="1"/>
  <c r="I11" i="89"/>
  <c r="I31" i="89" s="1"/>
  <c r="BB134" i="2"/>
  <c r="BD52" i="3"/>
  <c r="BB55" i="3"/>
  <c r="CB191" i="1"/>
  <c r="Y97" i="77"/>
  <c r="AX75" i="3"/>
  <c r="AZ75" i="3" s="1"/>
  <c r="BB75" i="3" s="1"/>
  <c r="BD75" i="3" s="1"/>
  <c r="BF75" i="3" s="1"/>
  <c r="AV71" i="3"/>
  <c r="AV72" i="3" s="1"/>
  <c r="AR180" i="1"/>
  <c r="AR181" i="1" s="1"/>
  <c r="L92" i="15" s="1"/>
  <c r="AR189" i="1"/>
  <c r="AR183" i="1"/>
  <c r="R127" i="89"/>
  <c r="S91" i="89"/>
  <c r="L172" i="10"/>
  <c r="DN45" i="20"/>
  <c r="DN28" i="20"/>
  <c r="DN54" i="20" s="1"/>
  <c r="W85" i="89"/>
  <c r="W121" i="89" s="1"/>
  <c r="V121" i="89"/>
  <c r="S55" i="15"/>
  <c r="T67" i="5"/>
  <c r="DK62" i="20" s="1"/>
  <c r="S82" i="5"/>
  <c r="S202" i="5"/>
  <c r="CS50" i="1"/>
  <c r="CO12" i="20"/>
  <c r="F172" i="10"/>
  <c r="DR29" i="20"/>
  <c r="AH88" i="15"/>
  <c r="S24" i="73"/>
  <c r="S144" i="73" s="1"/>
  <c r="S142" i="73" s="1"/>
  <c r="AB88" i="15"/>
  <c r="AA96" i="77"/>
  <c r="R92" i="89"/>
  <c r="Q128" i="89"/>
  <c r="AF107" i="2"/>
  <c r="AH106" i="2"/>
  <c r="DD67" i="20"/>
  <c r="M92" i="5"/>
  <c r="N77" i="5"/>
  <c r="N79" i="5"/>
  <c r="N80" i="5" s="1"/>
  <c r="AD113" i="2"/>
  <c r="AD119" i="2"/>
  <c r="U220" i="5"/>
  <c r="V6" i="5"/>
  <c r="Y132" i="5"/>
  <c r="Y88" i="5"/>
  <c r="V72" i="52"/>
  <c r="M171" i="52" s="1"/>
  <c r="AA171" i="52" s="1"/>
  <c r="U72" i="52"/>
  <c r="M169" i="52" s="1"/>
  <c r="AA169" i="52" s="1"/>
  <c r="AA121" i="5"/>
  <c r="AB120" i="5"/>
  <c r="AA185" i="5"/>
  <c r="AA186" i="5" s="1"/>
  <c r="DO65" i="20"/>
  <c r="X85" i="5"/>
  <c r="X89" i="5"/>
  <c r="AI169" i="9"/>
  <c r="AB168" i="10" s="1"/>
  <c r="AD168" i="10" s="1"/>
  <c r="AF168" i="10" s="1"/>
  <c r="O76" i="5"/>
  <c r="T79" i="52"/>
  <c r="L106" i="9"/>
  <c r="DF81" i="20"/>
  <c r="Q79" i="52"/>
  <c r="P32" i="5"/>
  <c r="P61" i="5" s="1"/>
  <c r="DG59" i="20" s="1"/>
  <c r="Z119" i="5"/>
  <c r="AA118" i="5"/>
  <c r="Z183" i="5"/>
  <c r="Z184" i="5" s="1"/>
  <c r="Z131" i="5"/>
  <c r="Z88" i="5" s="1"/>
  <c r="AF152" i="10"/>
  <c r="C50" i="74" s="1"/>
  <c r="AD148" i="10"/>
  <c r="AH172" i="52"/>
  <c r="AI172" i="52"/>
  <c r="AC123" i="5"/>
  <c r="AC187" i="5"/>
  <c r="AC188" i="5" s="1"/>
  <c r="AA69" i="5"/>
  <c r="AB127" i="5"/>
  <c r="AC126" i="5"/>
  <c r="AC127" i="5" s="1"/>
  <c r="AF153" i="10"/>
  <c r="AB125" i="5"/>
  <c r="AC124" i="5"/>
  <c r="AC125" i="5" s="1"/>
  <c r="H128" i="89"/>
  <c r="I127" i="89"/>
  <c r="H93" i="89"/>
  <c r="D34" i="98" l="1"/>
  <c r="E31" i="98"/>
  <c r="S31" i="98"/>
  <c r="AH32" i="98"/>
  <c r="X32" i="98"/>
  <c r="CT60" i="1"/>
  <c r="BA30" i="98"/>
  <c r="CR63" i="1"/>
  <c r="BA33" i="98" s="1"/>
  <c r="R32" i="98"/>
  <c r="U32" i="98" s="1"/>
  <c r="P32" i="98"/>
  <c r="F32" i="98"/>
  <c r="CS60" i="1"/>
  <c r="CR80" i="1"/>
  <c r="CS90" i="1" s="1"/>
  <c r="CO14" i="20"/>
  <c r="BX93" i="77"/>
  <c r="DQ63" i="20"/>
  <c r="AA68" i="5"/>
  <c r="W122" i="89"/>
  <c r="AS94" i="77"/>
  <c r="AT94" i="77" s="1"/>
  <c r="AG94" i="77"/>
  <c r="K94" i="77"/>
  <c r="BI94" i="77"/>
  <c r="BJ94" i="77" s="1"/>
  <c r="DG61" i="20"/>
  <c r="P194" i="5"/>
  <c r="Q64" i="5"/>
  <c r="J97" i="77"/>
  <c r="Y10" i="5" s="1"/>
  <c r="AV90" i="2"/>
  <c r="AT91" i="2"/>
  <c r="J110" i="2"/>
  <c r="J122" i="2" s="1"/>
  <c r="L115" i="2"/>
  <c r="J115" i="2"/>
  <c r="J121" i="2"/>
  <c r="L110" i="2"/>
  <c r="L122" i="2" s="1"/>
  <c r="N100" i="9"/>
  <c r="X99" i="9"/>
  <c r="Z99" i="9" s="1"/>
  <c r="P99" i="9"/>
  <c r="R99" i="9" s="1"/>
  <c r="X93" i="9"/>
  <c r="Z93" i="9" s="1"/>
  <c r="P93" i="9"/>
  <c r="R93" i="9" s="1"/>
  <c r="AV232" i="1"/>
  <c r="AX231" i="1"/>
  <c r="BB231" i="1"/>
  <c r="N106" i="9"/>
  <c r="AT81" i="20"/>
  <c r="N110" i="9"/>
  <c r="J113" i="9"/>
  <c r="P192" i="5"/>
  <c r="Q62" i="5"/>
  <c r="DH60" i="20" s="1"/>
  <c r="P103" i="9"/>
  <c r="R103" i="9" s="1"/>
  <c r="X103" i="9"/>
  <c r="Z103" i="9" s="1"/>
  <c r="V98" i="10"/>
  <c r="X97" i="10"/>
  <c r="Z97" i="10" s="1"/>
  <c r="L98" i="89"/>
  <c r="T202" i="5"/>
  <c r="U67" i="5"/>
  <c r="DL62" i="20" s="1"/>
  <c r="T82" i="5"/>
  <c r="T83" i="5" s="1"/>
  <c r="T55" i="15"/>
  <c r="O39" i="73"/>
  <c r="V23" i="73"/>
  <c r="X23" i="73" s="1"/>
  <c r="Y23" i="73" s="1"/>
  <c r="T125" i="89"/>
  <c r="U89" i="89"/>
  <c r="R55" i="2"/>
  <c r="R14" i="2"/>
  <c r="K130" i="89"/>
  <c r="L129" i="89"/>
  <c r="K95" i="89"/>
  <c r="CS12" i="1"/>
  <c r="CQ10" i="20"/>
  <c r="F95" i="77"/>
  <c r="CR22" i="1"/>
  <c r="AI32" i="98" s="1"/>
  <c r="AH95" i="77"/>
  <c r="AI95" i="77" s="1"/>
  <c r="CS72" i="1"/>
  <c r="R95" i="77"/>
  <c r="CR32" i="1"/>
  <c r="AR147" i="52"/>
  <c r="AE95" i="77"/>
  <c r="W95" i="77"/>
  <c r="AD31" i="20"/>
  <c r="AR193" i="1"/>
  <c r="Q129" i="89"/>
  <c r="R93" i="89"/>
  <c r="U124" i="89"/>
  <c r="V88" i="89"/>
  <c r="V102" i="73"/>
  <c r="X102" i="73" s="1"/>
  <c r="Y102" i="73" s="1"/>
  <c r="O118" i="73"/>
  <c r="CR49" i="20"/>
  <c r="CR42" i="20"/>
  <c r="AR191" i="1"/>
  <c r="L93" i="15" s="1"/>
  <c r="DC31" i="20" s="1"/>
  <c r="P97" i="2"/>
  <c r="P99" i="2" s="1"/>
  <c r="P25" i="2"/>
  <c r="BB89" i="2"/>
  <c r="BD134" i="2"/>
  <c r="BF52" i="3"/>
  <c r="BD55" i="3"/>
  <c r="V62" i="73"/>
  <c r="X62" i="73" s="1"/>
  <c r="Y62" i="73" s="1"/>
  <c r="O79" i="73"/>
  <c r="P98" i="73"/>
  <c r="P100" i="73" s="1"/>
  <c r="P102" i="73" s="1"/>
  <c r="P118" i="73" s="1"/>
  <c r="P137" i="73"/>
  <c r="P139" i="73" s="1"/>
  <c r="P141" i="73" s="1"/>
  <c r="P172" i="73" s="1"/>
  <c r="P58" i="73"/>
  <c r="P60" i="73" s="1"/>
  <c r="P62" i="73" s="1"/>
  <c r="P79" i="73" s="1"/>
  <c r="P21" i="73"/>
  <c r="P23" i="73" s="1"/>
  <c r="P39" i="73" s="1"/>
  <c r="Q130" i="89"/>
  <c r="R94" i="89"/>
  <c r="CT33" i="1"/>
  <c r="CR15" i="20"/>
  <c r="AP148" i="52"/>
  <c r="F175" i="10"/>
  <c r="T174" i="10" s="1"/>
  <c r="CS53" i="1"/>
  <c r="CR12" i="20"/>
  <c r="CR14" i="20" s="1"/>
  <c r="DP30" i="20"/>
  <c r="Z94" i="15"/>
  <c r="AT95" i="77"/>
  <c r="AR190" i="1"/>
  <c r="AE31" i="20" s="1"/>
  <c r="AV177" i="1"/>
  <c r="CO52" i="20"/>
  <c r="CO40" i="20"/>
  <c r="DP24" i="20"/>
  <c r="Z73" i="15"/>
  <c r="Q19" i="73"/>
  <c r="DS29" i="20"/>
  <c r="T24" i="73"/>
  <c r="T144" i="73" s="1"/>
  <c r="T142" i="73" s="1"/>
  <c r="AC88" i="15"/>
  <c r="Z97" i="77"/>
  <c r="N118" i="2"/>
  <c r="N112" i="2"/>
  <c r="N109" i="2"/>
  <c r="CF188" i="1"/>
  <c r="CA31" i="20" s="1"/>
  <c r="CF179" i="1"/>
  <c r="W87" i="89"/>
  <c r="V123" i="89"/>
  <c r="O98" i="89"/>
  <c r="DO28" i="20"/>
  <c r="DO54" i="20" s="1"/>
  <c r="DO45" i="20"/>
  <c r="Q95" i="89"/>
  <c r="P131" i="89"/>
  <c r="P96" i="89"/>
  <c r="N148" i="52"/>
  <c r="AF148" i="52"/>
  <c r="AB148" i="52"/>
  <c r="T60" i="3"/>
  <c r="V57" i="3"/>
  <c r="V59" i="3" s="1"/>
  <c r="T8" i="2"/>
  <c r="N98" i="89"/>
  <c r="BJ95" i="77"/>
  <c r="S92" i="89"/>
  <c r="R128" i="89"/>
  <c r="S127" i="89"/>
  <c r="T91" i="89"/>
  <c r="AA95" i="77"/>
  <c r="N61" i="2"/>
  <c r="N56" i="2"/>
  <c r="M130" i="89"/>
  <c r="N129" i="89"/>
  <c r="M95" i="89"/>
  <c r="BZ31" i="20"/>
  <c r="O132" i="89"/>
  <c r="I95" i="89"/>
  <c r="J129" i="89"/>
  <c r="J99" i="89"/>
  <c r="T126" i="89"/>
  <c r="U90" i="89"/>
  <c r="Q82" i="52"/>
  <c r="T82" i="52" s="1"/>
  <c r="V105" i="10"/>
  <c r="Q78" i="52"/>
  <c r="T78" i="52" s="1"/>
  <c r="AB121" i="5"/>
  <c r="AC120" i="5"/>
  <c r="AB185" i="5"/>
  <c r="AB186" i="5" s="1"/>
  <c r="V220" i="5"/>
  <c r="W6" i="5"/>
  <c r="Z132" i="5"/>
  <c r="O79" i="5"/>
  <c r="O80" i="5" s="1"/>
  <c r="O77" i="5"/>
  <c r="O91" i="5"/>
  <c r="AB118" i="5"/>
  <c r="AA183" i="5"/>
  <c r="AA184" i="5" s="1"/>
  <c r="AA119" i="5"/>
  <c r="AA131" i="5"/>
  <c r="DG81" i="20"/>
  <c r="L113" i="9"/>
  <c r="Q32" i="5"/>
  <c r="Q61" i="5" s="1"/>
  <c r="DH59" i="20" s="1"/>
  <c r="T86" i="52"/>
  <c r="Q86" i="52"/>
  <c r="P76" i="5"/>
  <c r="P142" i="52"/>
  <c r="W142" i="52" s="1"/>
  <c r="X142" i="52" s="1"/>
  <c r="X161" i="5"/>
  <c r="DO69" i="20" s="1"/>
  <c r="X86" i="5"/>
  <c r="X94" i="5"/>
  <c r="X95" i="5" s="1"/>
  <c r="AH107" i="2"/>
  <c r="AJ106" i="2"/>
  <c r="AB69" i="5"/>
  <c r="U79" i="52"/>
  <c r="N169" i="52" s="1"/>
  <c r="AB169" i="52" s="1"/>
  <c r="V79" i="52"/>
  <c r="N171" i="52" s="1"/>
  <c r="AB171" i="52" s="1"/>
  <c r="DO80" i="20"/>
  <c r="DO66" i="20"/>
  <c r="Y89" i="5"/>
  <c r="AI176" i="9"/>
  <c r="AB175" i="10" s="1"/>
  <c r="DP65" i="20"/>
  <c r="Y85" i="5"/>
  <c r="N92" i="5"/>
  <c r="DE67" i="20"/>
  <c r="AF119" i="2"/>
  <c r="AF113" i="2"/>
  <c r="I128" i="89"/>
  <c r="H129" i="89"/>
  <c r="H94" i="89"/>
  <c r="O5" i="95" l="1"/>
  <c r="O6" i="95" s="1"/>
  <c r="BZ12" i="11"/>
  <c r="K97" i="77"/>
  <c r="AS97" i="77"/>
  <c r="AX30" i="98"/>
  <c r="BC30" i="98"/>
  <c r="BB30" i="98"/>
  <c r="K31" i="98"/>
  <c r="CR14" i="1"/>
  <c r="AA97" i="77" s="1"/>
  <c r="W3" i="73"/>
  <c r="AL31" i="98"/>
  <c r="AK34" i="98"/>
  <c r="CT80" i="1"/>
  <c r="BI97" i="77"/>
  <c r="BK97" i="77" s="1"/>
  <c r="CS80" i="1"/>
  <c r="X31" i="98"/>
  <c r="AH31" i="98"/>
  <c r="W34" i="98"/>
  <c r="Y12" i="5"/>
  <c r="E34" i="98"/>
  <c r="G34" i="98"/>
  <c r="Y99" i="5" s="1"/>
  <c r="S34" i="98"/>
  <c r="CR83" i="1"/>
  <c r="CS83" i="1" s="1"/>
  <c r="CS63" i="1"/>
  <c r="BX96" i="77"/>
  <c r="BU96" i="77" s="1"/>
  <c r="CA96" i="77" s="1"/>
  <c r="CT63" i="1"/>
  <c r="BB33" i="98"/>
  <c r="AX33" i="98"/>
  <c r="BD33" i="98" s="1"/>
  <c r="BC33" i="98"/>
  <c r="AA94" i="77"/>
  <c r="R31" i="98"/>
  <c r="U31" i="98" s="1"/>
  <c r="P31" i="98"/>
  <c r="F31" i="98"/>
  <c r="CR16" i="1"/>
  <c r="CS76" i="1" s="1"/>
  <c r="BY93" i="77"/>
  <c r="CO18" i="20"/>
  <c r="CO39" i="20"/>
  <c r="BZ93" i="77"/>
  <c r="DH61" i="20"/>
  <c r="R64" i="5"/>
  <c r="Q194" i="5"/>
  <c r="DR63" i="20"/>
  <c r="AB68" i="5"/>
  <c r="CF192" i="1"/>
  <c r="AX90" i="2"/>
  <c r="AV91" i="2"/>
  <c r="AE94" i="77"/>
  <c r="AI31" i="98"/>
  <c r="D173" i="10"/>
  <c r="L173" i="10" s="1"/>
  <c r="W94" i="77"/>
  <c r="CS71" i="1"/>
  <c r="F94" i="77"/>
  <c r="AH94" i="77"/>
  <c r="AI94" i="77" s="1"/>
  <c r="CR15" i="1"/>
  <c r="AR146" i="52"/>
  <c r="CS11" i="1"/>
  <c r="N5" i="95" s="1"/>
  <c r="N6" i="95" s="1"/>
  <c r="CP10" i="20"/>
  <c r="C4" i="74" s="1"/>
  <c r="R94" i="77"/>
  <c r="CR62" i="1"/>
  <c r="BA32" i="98" s="1"/>
  <c r="AX32" i="98" s="1"/>
  <c r="X110" i="9"/>
  <c r="Z110" i="9" s="1"/>
  <c r="P110" i="9"/>
  <c r="R110" i="9" s="1"/>
  <c r="BB232" i="1"/>
  <c r="AX232" i="1"/>
  <c r="X106" i="9"/>
  <c r="Z106" i="9" s="1"/>
  <c r="P106" i="9"/>
  <c r="R106" i="9" s="1"/>
  <c r="N107" i="9"/>
  <c r="K117" i="9"/>
  <c r="N117" i="9"/>
  <c r="AY81" i="20"/>
  <c r="N113" i="9"/>
  <c r="Z10" i="5"/>
  <c r="R62" i="5"/>
  <c r="DI60" i="20" s="1"/>
  <c r="J120" i="9"/>
  <c r="X100" i="9"/>
  <c r="Z100" i="9" s="1"/>
  <c r="P100" i="9"/>
  <c r="R100" i="9" s="1"/>
  <c r="J100" i="89"/>
  <c r="CO23" i="20"/>
  <c r="P56" i="2"/>
  <c r="P61" i="2"/>
  <c r="R129" i="89"/>
  <c r="S93" i="89"/>
  <c r="M131" i="89"/>
  <c r="M96" i="89"/>
  <c r="N130" i="89"/>
  <c r="T14" i="2"/>
  <c r="T55" i="2"/>
  <c r="T77" i="2"/>
  <c r="Q96" i="89"/>
  <c r="P132" i="89"/>
  <c r="P97" i="89"/>
  <c r="AA73" i="15"/>
  <c r="DQ24" i="20"/>
  <c r="R19" i="73"/>
  <c r="CR39" i="20"/>
  <c r="CR18" i="20"/>
  <c r="P109" i="2"/>
  <c r="P110" i="2" s="1"/>
  <c r="P122" i="2" s="1"/>
  <c r="P118" i="2"/>
  <c r="P112" i="2"/>
  <c r="R25" i="2"/>
  <c r="R97" i="2"/>
  <c r="R99" i="2" s="1"/>
  <c r="U91" i="89"/>
  <c r="T127" i="89"/>
  <c r="X57" i="3"/>
  <c r="X59" i="3" s="1"/>
  <c r="V8" i="2"/>
  <c r="V60" i="3"/>
  <c r="W123" i="89"/>
  <c r="DT29" i="20"/>
  <c r="BF134" i="2"/>
  <c r="BF55" i="3"/>
  <c r="CQ49" i="20"/>
  <c r="CQ42" i="20"/>
  <c r="U125" i="89"/>
  <c r="V89" i="89"/>
  <c r="V67" i="5"/>
  <c r="DM62" i="20" s="1"/>
  <c r="U55" i="15"/>
  <c r="U82" i="5"/>
  <c r="U83" i="5" s="1"/>
  <c r="U202" i="5"/>
  <c r="J130" i="89"/>
  <c r="I96" i="89"/>
  <c r="S128" i="89"/>
  <c r="T92" i="89"/>
  <c r="R95" i="89"/>
  <c r="Q131" i="89"/>
  <c r="Q68" i="89"/>
  <c r="Q66" i="89" s="1"/>
  <c r="Q67" i="89" s="1"/>
  <c r="CF180" i="1"/>
  <c r="CF181" i="1" s="1"/>
  <c r="CF189" i="1"/>
  <c r="CF183" i="1"/>
  <c r="AB147" i="52"/>
  <c r="N147" i="52"/>
  <c r="AJ147" i="52"/>
  <c r="AF147" i="52"/>
  <c r="AN147" i="52"/>
  <c r="Y11" i="5"/>
  <c r="BJ97" i="77"/>
  <c r="CO21" i="20"/>
  <c r="CO53" i="20"/>
  <c r="CO33" i="20"/>
  <c r="AP147" i="52"/>
  <c r="CT32" i="1"/>
  <c r="CQ15" i="20"/>
  <c r="K131" i="89"/>
  <c r="K96" i="89"/>
  <c r="L130" i="89"/>
  <c r="Q137" i="73"/>
  <c r="Q98" i="73"/>
  <c r="Q58" i="73"/>
  <c r="AT97" i="77"/>
  <c r="AU97" i="77"/>
  <c r="S94" i="89"/>
  <c r="R130" i="89"/>
  <c r="L99" i="89"/>
  <c r="U126" i="89"/>
  <c r="V90" i="89"/>
  <c r="O99" i="89"/>
  <c r="BD89" i="2"/>
  <c r="V124" i="89"/>
  <c r="W88" i="89"/>
  <c r="CS52" i="1"/>
  <c r="CQ12" i="20"/>
  <c r="CQ14" i="20" s="1"/>
  <c r="N110" i="2"/>
  <c r="N122" i="2" s="1"/>
  <c r="N115" i="2"/>
  <c r="N121" i="2"/>
  <c r="AV178" i="1"/>
  <c r="AV182" i="1" s="1"/>
  <c r="AV187" i="1"/>
  <c r="CR52" i="20"/>
  <c r="CR40" i="20"/>
  <c r="CR100" i="1"/>
  <c r="N99" i="89"/>
  <c r="O134" i="89" s="1"/>
  <c r="O133" i="89"/>
  <c r="DQ30" i="20"/>
  <c r="AA94" i="15"/>
  <c r="X105" i="10"/>
  <c r="Z105" i="10" s="1"/>
  <c r="V106" i="10"/>
  <c r="AH119" i="2"/>
  <c r="AH113" i="2"/>
  <c r="AA88" i="5"/>
  <c r="AA132" i="5"/>
  <c r="Q93" i="52"/>
  <c r="L120" i="9"/>
  <c r="T93" i="52"/>
  <c r="R32" i="5"/>
  <c r="R61" i="5" s="1"/>
  <c r="DI59" i="20" s="1"/>
  <c r="DH81" i="20"/>
  <c r="Q76" i="5"/>
  <c r="X6" i="5"/>
  <c r="W220" i="5"/>
  <c r="AJ107" i="2"/>
  <c r="AL106" i="2"/>
  <c r="Q85" i="52"/>
  <c r="T85" i="52" s="1"/>
  <c r="M117" i="9"/>
  <c r="V112" i="10"/>
  <c r="X112" i="10" s="1"/>
  <c r="Q89" i="52"/>
  <c r="T89" i="52" s="1"/>
  <c r="X24" i="15"/>
  <c r="X151" i="5"/>
  <c r="AB183" i="5"/>
  <c r="AB184" i="5" s="1"/>
  <c r="AC118" i="5"/>
  <c r="AB119" i="5"/>
  <c r="AB131" i="5"/>
  <c r="U86" i="52"/>
  <c r="O169" i="52" s="1"/>
  <c r="AC169" i="52" s="1"/>
  <c r="V86" i="52"/>
  <c r="O171" i="52" s="1"/>
  <c r="AC171" i="52" s="1"/>
  <c r="AC185" i="5"/>
  <c r="AC186" i="5" s="1"/>
  <c r="AC121" i="5"/>
  <c r="P149" i="52"/>
  <c r="Y86" i="5"/>
  <c r="Z85" i="5"/>
  <c r="Z89" i="5"/>
  <c r="DQ65" i="20"/>
  <c r="DQ80" i="20" s="1"/>
  <c r="DP80" i="20"/>
  <c r="DP66" i="20"/>
  <c r="AC69" i="5"/>
  <c r="P91" i="5"/>
  <c r="P79" i="5"/>
  <c r="P80" i="5" s="1"/>
  <c r="P77" i="5"/>
  <c r="DF67" i="20"/>
  <c r="O92" i="5"/>
  <c r="I129" i="89"/>
  <c r="H130" i="89"/>
  <c r="H95" i="89"/>
  <c r="H33" i="89" s="1"/>
  <c r="F34" i="98" l="1"/>
  <c r="AE97" i="77"/>
  <c r="Y7" i="15"/>
  <c r="Y18" i="15" s="1"/>
  <c r="AH97" i="77"/>
  <c r="W97" i="77"/>
  <c r="CS74" i="1"/>
  <c r="R97" i="77"/>
  <c r="AR149" i="52"/>
  <c r="N149" i="52" s="1"/>
  <c r="P34" i="98"/>
  <c r="R34" i="98"/>
  <c r="U34" i="98" s="1"/>
  <c r="I4" i="74"/>
  <c r="H4" i="74"/>
  <c r="G4" i="74"/>
  <c r="DP50" i="20"/>
  <c r="Y9" i="15"/>
  <c r="Y13" i="5"/>
  <c r="Y25" i="5"/>
  <c r="Y26" i="5" s="1"/>
  <c r="AL34" i="98"/>
  <c r="AM34" i="98"/>
  <c r="AH34" i="98"/>
  <c r="X34" i="98"/>
  <c r="Y34" i="98"/>
  <c r="K34" i="98"/>
  <c r="CS14" i="1"/>
  <c r="BD30" i="98"/>
  <c r="AY30" i="98"/>
  <c r="Z11" i="5"/>
  <c r="CR93" i="1"/>
  <c r="CR23" i="20" s="1"/>
  <c r="CT83" i="1"/>
  <c r="CR36" i="1"/>
  <c r="CS36" i="1" s="1"/>
  <c r="DL31" i="1"/>
  <c r="BZ96" i="77"/>
  <c r="BY96" i="77"/>
  <c r="AY33" i="98"/>
  <c r="D176" i="10"/>
  <c r="L176" i="10" s="1"/>
  <c r="CR26" i="1"/>
  <c r="CS56" i="1" s="1"/>
  <c r="CR82" i="1"/>
  <c r="CS82" i="1" s="1"/>
  <c r="CR24" i="1"/>
  <c r="CS24" i="1" s="1"/>
  <c r="CT24" i="1" s="1"/>
  <c r="BX95" i="77"/>
  <c r="BY95" i="77" s="1"/>
  <c r="CS62" i="1"/>
  <c r="CS16" i="1"/>
  <c r="BC32" i="98"/>
  <c r="BB32" i="98"/>
  <c r="BD32" i="98"/>
  <c r="CO41" i="20"/>
  <c r="CP15" i="20"/>
  <c r="C9" i="74" s="1"/>
  <c r="AP146" i="52"/>
  <c r="CT31" i="1"/>
  <c r="CR35" i="1"/>
  <c r="AN146" i="52"/>
  <c r="AJ146" i="52"/>
  <c r="AF146" i="52"/>
  <c r="N146" i="52"/>
  <c r="AB146" i="52"/>
  <c r="CS15" i="1"/>
  <c r="CS75" i="1"/>
  <c r="DS63" i="20"/>
  <c r="AC68" i="5"/>
  <c r="DT63" i="20" s="1"/>
  <c r="CR34" i="1"/>
  <c r="Y15" i="15" s="1"/>
  <c r="CP42" i="20"/>
  <c r="CP49" i="20"/>
  <c r="C33" i="74" s="1"/>
  <c r="C53" i="74" s="1"/>
  <c r="AZ90" i="2"/>
  <c r="AX91" i="2"/>
  <c r="DI61" i="20"/>
  <c r="S64" i="5"/>
  <c r="R194" i="5"/>
  <c r="CR61" i="1"/>
  <c r="F173" i="10"/>
  <c r="F176" i="10" s="1"/>
  <c r="CS51" i="1"/>
  <c r="CP12" i="20"/>
  <c r="CR25" i="1"/>
  <c r="CS55" i="1" s="1"/>
  <c r="AA10" i="5"/>
  <c r="AH10" i="5" s="1"/>
  <c r="CT62" i="1"/>
  <c r="P113" i="9"/>
  <c r="R113" i="9" s="1"/>
  <c r="N114" i="9"/>
  <c r="X113" i="9"/>
  <c r="Z113" i="9" s="1"/>
  <c r="S62" i="5"/>
  <c r="DJ60" i="20" s="1"/>
  <c r="J127" i="9"/>
  <c r="X107" i="9"/>
  <c r="Z107" i="9" s="1"/>
  <c r="P107" i="9"/>
  <c r="R107" i="9" s="1"/>
  <c r="Q190" i="5"/>
  <c r="Q192" i="5"/>
  <c r="N120" i="9"/>
  <c r="K124" i="9"/>
  <c r="N124" i="9"/>
  <c r="BD81" i="20"/>
  <c r="K120" i="9"/>
  <c r="X117" i="9"/>
  <c r="Z117" i="9" s="1"/>
  <c r="P117" i="9"/>
  <c r="CR131" i="1"/>
  <c r="CR121" i="1"/>
  <c r="CS100" i="1"/>
  <c r="CR53" i="20"/>
  <c r="CR41" i="20"/>
  <c r="CR21" i="20"/>
  <c r="J101" i="89"/>
  <c r="CO43" i="20"/>
  <c r="CO26" i="20"/>
  <c r="S95" i="89"/>
  <c r="R131" i="89"/>
  <c r="R112" i="2"/>
  <c r="R109" i="2"/>
  <c r="R118" i="2"/>
  <c r="Z112" i="10"/>
  <c r="BF89" i="2"/>
  <c r="V126" i="89"/>
  <c r="W90" i="89"/>
  <c r="T128" i="89"/>
  <c r="U92" i="89"/>
  <c r="W67" i="5"/>
  <c r="V55" i="15"/>
  <c r="V82" i="5"/>
  <c r="V83" i="5" s="1"/>
  <c r="R61" i="2"/>
  <c r="R56" i="2"/>
  <c r="R58" i="73"/>
  <c r="R98" i="73"/>
  <c r="R137" i="73"/>
  <c r="R68" i="89"/>
  <c r="R66" i="89" s="1"/>
  <c r="R67" i="89" s="1"/>
  <c r="CQ40" i="20"/>
  <c r="CQ52" i="20"/>
  <c r="V125" i="89"/>
  <c r="W89" i="89"/>
  <c r="W125" i="89" s="1"/>
  <c r="T25" i="2"/>
  <c r="T97" i="2"/>
  <c r="T99" i="2" s="1"/>
  <c r="AG31" i="20"/>
  <c r="CQ18" i="20"/>
  <c r="CQ39" i="20"/>
  <c r="I97" i="89"/>
  <c r="J131" i="89"/>
  <c r="X60" i="3"/>
  <c r="Z57" i="3"/>
  <c r="Z59" i="3" s="1"/>
  <c r="X8" i="2"/>
  <c r="AB73" i="15"/>
  <c r="DR24" i="20"/>
  <c r="S19" i="73"/>
  <c r="AV179" i="1"/>
  <c r="AV188" i="1"/>
  <c r="AH31" i="20" s="1"/>
  <c r="W124" i="89"/>
  <c r="CB31" i="20"/>
  <c r="CF193" i="1"/>
  <c r="Y8" i="15"/>
  <c r="Y48" i="15" s="1"/>
  <c r="Q6" i="73"/>
  <c r="Q35" i="73" s="1"/>
  <c r="D4" i="92"/>
  <c r="DP10" i="20"/>
  <c r="Y59" i="15"/>
  <c r="Y91" i="15"/>
  <c r="P133" i="89"/>
  <c r="Q97" i="89"/>
  <c r="P98" i="89"/>
  <c r="M132" i="89"/>
  <c r="M97" i="89"/>
  <c r="N131" i="89"/>
  <c r="DR30" i="20"/>
  <c r="AD94" i="15"/>
  <c r="AB94" i="15"/>
  <c r="V77" i="2"/>
  <c r="V55" i="2"/>
  <c r="V14" i="2"/>
  <c r="T93" i="89"/>
  <c r="S129" i="89"/>
  <c r="N100" i="89"/>
  <c r="O135" i="89" s="1"/>
  <c r="CO46" i="20"/>
  <c r="CO55" i="20"/>
  <c r="CF190" i="1"/>
  <c r="CC31" i="20" s="1"/>
  <c r="CJ177" i="1"/>
  <c r="V91" i="89"/>
  <c r="U127" i="89"/>
  <c r="L100" i="89"/>
  <c r="O100" i="89"/>
  <c r="S130" i="89"/>
  <c r="T94" i="89"/>
  <c r="K132" i="89"/>
  <c r="K97" i="89"/>
  <c r="L131" i="89"/>
  <c r="P121" i="2"/>
  <c r="P115" i="2"/>
  <c r="Q132" i="89"/>
  <c r="R96" i="89"/>
  <c r="CO44" i="20"/>
  <c r="DQ66" i="20"/>
  <c r="AC119" i="5"/>
  <c r="AC183" i="5"/>
  <c r="AC184" i="5" s="1"/>
  <c r="AC131" i="5"/>
  <c r="Q96" i="52"/>
  <c r="T96" i="52" s="1"/>
  <c r="V119" i="10"/>
  <c r="X119" i="10" s="1"/>
  <c r="Z119" i="10" s="1"/>
  <c r="Q92" i="52"/>
  <c r="T92" i="52" s="1"/>
  <c r="M124" i="9"/>
  <c r="M120" i="9"/>
  <c r="AI124" i="9"/>
  <c r="AI125" i="9" s="1"/>
  <c r="AI126" i="9" s="1"/>
  <c r="U93" i="52"/>
  <c r="P169" i="52" s="1"/>
  <c r="AD169" i="52" s="1"/>
  <c r="V93" i="52"/>
  <c r="P171" i="52" s="1"/>
  <c r="AD171" i="52" s="1"/>
  <c r="AN106" i="2"/>
  <c r="AL107" i="2"/>
  <c r="Y24" i="15"/>
  <c r="AJ113" i="2"/>
  <c r="AJ119" i="2"/>
  <c r="DG67" i="20"/>
  <c r="P92" i="5"/>
  <c r="Z86" i="5"/>
  <c r="Z24" i="15" s="1"/>
  <c r="AB132" i="5"/>
  <c r="AB88" i="5"/>
  <c r="AH88" i="5"/>
  <c r="AA85" i="5"/>
  <c r="AA89" i="5"/>
  <c r="DR65" i="20"/>
  <c r="Q77" i="5"/>
  <c r="Q79" i="5"/>
  <c r="Q80" i="5" s="1"/>
  <c r="Q91" i="5"/>
  <c r="X220" i="5"/>
  <c r="Y6" i="5"/>
  <c r="R76" i="5"/>
  <c r="L127" i="9"/>
  <c r="Q100" i="52"/>
  <c r="DI81" i="20"/>
  <c r="T100" i="52"/>
  <c r="S32" i="5"/>
  <c r="S61" i="5" s="1"/>
  <c r="DJ59" i="20" s="1"/>
  <c r="I29" i="89"/>
  <c r="H24" i="89"/>
  <c r="H131" i="89"/>
  <c r="I130" i="89"/>
  <c r="H96" i="89"/>
  <c r="Y46" i="15" l="1"/>
  <c r="Y37" i="15"/>
  <c r="Y107" i="15" s="1"/>
  <c r="AF149" i="52"/>
  <c r="AB149" i="52"/>
  <c r="Y65" i="15"/>
  <c r="Y74" i="15"/>
  <c r="AX66" i="2"/>
  <c r="AX10" i="2" s="1"/>
  <c r="AX22" i="3" s="1"/>
  <c r="CT36" i="1"/>
  <c r="CP14" i="20"/>
  <c r="C8" i="74" s="1"/>
  <c r="C6" i="74"/>
  <c r="I9" i="74"/>
  <c r="G9" i="74"/>
  <c r="H9" i="74"/>
  <c r="CR103" i="1"/>
  <c r="CS103" i="1" s="1"/>
  <c r="CR44" i="20"/>
  <c r="CR92" i="1"/>
  <c r="CT82" i="1"/>
  <c r="CS26" i="1"/>
  <c r="Y12" i="15"/>
  <c r="DP12" i="20" s="1"/>
  <c r="DP14" i="20" s="1"/>
  <c r="BZ95" i="77"/>
  <c r="BU95" i="77"/>
  <c r="CA95" i="77" s="1"/>
  <c r="CS54" i="1"/>
  <c r="AI34" i="98"/>
  <c r="AY32" i="98"/>
  <c r="CT34" i="1"/>
  <c r="CR64" i="1"/>
  <c r="BA34" i="98" s="1"/>
  <c r="AX34" i="98" s="1"/>
  <c r="BA31" i="98"/>
  <c r="AX31" i="98" s="1"/>
  <c r="AP149" i="52"/>
  <c r="CS34" i="1"/>
  <c r="BB90" i="2"/>
  <c r="AZ91" i="2"/>
  <c r="CS25" i="1"/>
  <c r="CR81" i="1"/>
  <c r="BX94" i="77"/>
  <c r="CR65" i="1"/>
  <c r="CS61" i="1"/>
  <c r="CS59" i="1" s="1"/>
  <c r="CT61" i="1"/>
  <c r="CR66" i="1"/>
  <c r="CS35" i="1"/>
  <c r="CT35" i="1"/>
  <c r="CP40" i="20"/>
  <c r="C26" i="74" s="1"/>
  <c r="CP52" i="20"/>
  <c r="C35" i="74" s="1"/>
  <c r="DJ61" i="20"/>
  <c r="T64" i="5"/>
  <c r="S194" i="5"/>
  <c r="AB10" i="5"/>
  <c r="AA11" i="5"/>
  <c r="T62" i="5"/>
  <c r="DK60" i="20" s="1"/>
  <c r="S54" i="15"/>
  <c r="S79" i="5"/>
  <c r="P120" i="9"/>
  <c r="N121" i="9"/>
  <c r="X120" i="9"/>
  <c r="Z120" i="9" s="1"/>
  <c r="N127" i="9"/>
  <c r="K127" i="9"/>
  <c r="N131" i="9"/>
  <c r="BI81" i="20"/>
  <c r="K131" i="9"/>
  <c r="R190" i="5"/>
  <c r="R192" i="5"/>
  <c r="R117" i="9"/>
  <c r="X114" i="9"/>
  <c r="Z114" i="9" s="1"/>
  <c r="P114" i="9"/>
  <c r="R114" i="9" s="1"/>
  <c r="P124" i="9"/>
  <c r="X124" i="9"/>
  <c r="Z124" i="9" s="1"/>
  <c r="O101" i="89"/>
  <c r="S131" i="89"/>
  <c r="T95" i="89"/>
  <c r="S68" i="89"/>
  <c r="S66" i="89" s="1"/>
  <c r="S67" i="89" s="1"/>
  <c r="R132" i="89"/>
  <c r="S96" i="89"/>
  <c r="R149" i="52"/>
  <c r="Y23" i="15"/>
  <c r="S137" i="73"/>
  <c r="S98" i="73"/>
  <c r="S58" i="73"/>
  <c r="T118" i="2"/>
  <c r="T109" i="2"/>
  <c r="T112" i="2"/>
  <c r="W55" i="15"/>
  <c r="X55" i="15" s="1"/>
  <c r="W82" i="5"/>
  <c r="W83" i="5" s="1"/>
  <c r="X67" i="5"/>
  <c r="DO62" i="20" s="1"/>
  <c r="DN62" i="20"/>
  <c r="CO28" i="20"/>
  <c r="CO45" i="20"/>
  <c r="J102" i="89"/>
  <c r="CR141" i="1"/>
  <c r="CS121" i="1"/>
  <c r="L101" i="89"/>
  <c r="Q167" i="73"/>
  <c r="Q165" i="73" s="1"/>
  <c r="Q124" i="73" s="1"/>
  <c r="Q74" i="73"/>
  <c r="Q114" i="73"/>
  <c r="CQ33" i="20"/>
  <c r="CQ41" i="20"/>
  <c r="CQ53" i="20"/>
  <c r="CQ21" i="20"/>
  <c r="T56" i="2"/>
  <c r="T61" i="2"/>
  <c r="CS131" i="1"/>
  <c r="I98" i="89"/>
  <c r="J132" i="89"/>
  <c r="N101" i="89"/>
  <c r="O136" i="89" s="1"/>
  <c r="M133" i="89"/>
  <c r="M98" i="89"/>
  <c r="N132" i="89"/>
  <c r="DP17" i="20"/>
  <c r="AX9" i="3"/>
  <c r="Q12" i="73"/>
  <c r="Y53" i="15"/>
  <c r="Y52" i="15"/>
  <c r="CF191" i="1"/>
  <c r="DS24" i="20"/>
  <c r="AC73" i="15"/>
  <c r="DT24" i="20" s="1"/>
  <c r="T19" i="73"/>
  <c r="DP15" i="20"/>
  <c r="Q11" i="73"/>
  <c r="Y16" i="15"/>
  <c r="Y17" i="15"/>
  <c r="AX68" i="2"/>
  <c r="AX31" i="2" s="1"/>
  <c r="CR43" i="20"/>
  <c r="CR26" i="20"/>
  <c r="DP49" i="20"/>
  <c r="DP42" i="20"/>
  <c r="X55" i="2"/>
  <c r="X77" i="2"/>
  <c r="X80" i="2"/>
  <c r="X14" i="2"/>
  <c r="AV192" i="1"/>
  <c r="V92" i="89"/>
  <c r="U128" i="89"/>
  <c r="W126" i="89"/>
  <c r="T130" i="89"/>
  <c r="U94" i="89"/>
  <c r="V25" i="2"/>
  <c r="V97" i="2"/>
  <c r="V99" i="2" s="1"/>
  <c r="AV189" i="1"/>
  <c r="AV180" i="1"/>
  <c r="K133" i="89"/>
  <c r="K98" i="89"/>
  <c r="L132" i="89"/>
  <c r="V127" i="89"/>
  <c r="W91" i="89"/>
  <c r="U93" i="89"/>
  <c r="T129" i="89"/>
  <c r="R97" i="89"/>
  <c r="Q133" i="89"/>
  <c r="P134" i="89"/>
  <c r="Q98" i="89"/>
  <c r="P99" i="89"/>
  <c r="Z8" i="2"/>
  <c r="Z60" i="3"/>
  <c r="AB57" i="3"/>
  <c r="AB59" i="3" s="1"/>
  <c r="R110" i="2"/>
  <c r="R122" i="2" s="1"/>
  <c r="R121" i="2"/>
  <c r="R115" i="2"/>
  <c r="CJ187" i="1"/>
  <c r="CJ178" i="1"/>
  <c r="CJ182" i="1" s="1"/>
  <c r="DS30" i="20"/>
  <c r="AC94" i="15"/>
  <c r="DT30" i="20" s="1"/>
  <c r="D5" i="92"/>
  <c r="D14" i="92"/>
  <c r="AV183" i="1"/>
  <c r="T32" i="5"/>
  <c r="T61" i="5" s="1"/>
  <c r="DK59" i="20" s="1"/>
  <c r="Q107" i="52"/>
  <c r="L134" i="9"/>
  <c r="S76" i="5"/>
  <c r="T107" i="52"/>
  <c r="DJ81" i="20"/>
  <c r="DR66" i="20"/>
  <c r="DR80" i="20"/>
  <c r="AL113" i="2"/>
  <c r="AL119" i="2"/>
  <c r="U100" i="52"/>
  <c r="R169" i="52" s="1"/>
  <c r="AE169" i="52" s="1"/>
  <c r="V100" i="52"/>
  <c r="R171" i="52" s="1"/>
  <c r="AE171" i="52" s="1"/>
  <c r="AP106" i="2"/>
  <c r="AN107" i="2"/>
  <c r="Q99" i="52"/>
  <c r="T99" i="52" s="1"/>
  <c r="M131" i="9"/>
  <c r="V126" i="10"/>
  <c r="X126" i="10" s="1"/>
  <c r="Z126" i="10" s="1"/>
  <c r="Q103" i="52"/>
  <c r="T103" i="52" s="1"/>
  <c r="AI131" i="9"/>
  <c r="M127" i="9"/>
  <c r="DH67" i="20"/>
  <c r="Q92" i="5"/>
  <c r="AH85" i="5"/>
  <c r="AA86" i="5"/>
  <c r="AA24" i="15" s="1"/>
  <c r="AC88" i="5"/>
  <c r="AC132" i="5"/>
  <c r="R91" i="5"/>
  <c r="R77" i="5"/>
  <c r="R79" i="5"/>
  <c r="Y220" i="5"/>
  <c r="Z6" i="5"/>
  <c r="AB85" i="5"/>
  <c r="DS65" i="20"/>
  <c r="AB89" i="5"/>
  <c r="H37" i="89"/>
  <c r="H154" i="89"/>
  <c r="H153" i="89"/>
  <c r="I21" i="89"/>
  <c r="I131" i="89"/>
  <c r="H132" i="89"/>
  <c r="H97" i="89"/>
  <c r="CR102" i="1" l="1"/>
  <c r="CR94" i="1"/>
  <c r="AX12" i="2"/>
  <c r="AX13" i="3" s="1"/>
  <c r="AX40" i="2"/>
  <c r="AX28" i="3" s="1"/>
  <c r="AX11" i="2"/>
  <c r="CQ23" i="20"/>
  <c r="CQ26" i="20" s="1"/>
  <c r="CR134" i="1"/>
  <c r="CS134" i="1" s="1"/>
  <c r="CP18" i="20"/>
  <c r="C11" i="74" s="1"/>
  <c r="I11" i="74" s="1"/>
  <c r="CP39" i="20"/>
  <c r="C25" i="74" s="1"/>
  <c r="G26" i="74"/>
  <c r="H26" i="74"/>
  <c r="I26" i="74"/>
  <c r="G6" i="74"/>
  <c r="H6" i="74"/>
  <c r="I6" i="74"/>
  <c r="I8" i="74"/>
  <c r="G8" i="74"/>
  <c r="H8" i="74"/>
  <c r="CR133" i="1"/>
  <c r="CS133" i="1" s="1"/>
  <c r="CR124" i="1"/>
  <c r="CS124" i="1" s="1"/>
  <c r="CS102" i="1"/>
  <c r="BV95" i="77"/>
  <c r="AC10" i="5"/>
  <c r="AB11" i="5"/>
  <c r="AY34" i="98"/>
  <c r="BD34" i="98"/>
  <c r="Y61" i="15"/>
  <c r="Y62" i="15" s="1"/>
  <c r="AX67" i="2"/>
  <c r="Y13" i="15"/>
  <c r="Y20" i="15" s="1"/>
  <c r="Q8" i="73"/>
  <c r="Q10" i="73" s="1"/>
  <c r="Q29" i="73" s="1"/>
  <c r="Q108" i="73" s="1"/>
  <c r="CT64" i="1"/>
  <c r="BB31" i="98"/>
  <c r="BC31" i="98"/>
  <c r="BD31" i="98"/>
  <c r="BX97" i="77"/>
  <c r="BY97" i="77" s="1"/>
  <c r="BB34" i="98"/>
  <c r="BC34" i="98"/>
  <c r="CS64" i="1"/>
  <c r="CO54" i="20"/>
  <c r="DK61" i="20"/>
  <c r="U64" i="5"/>
  <c r="CR85" i="1"/>
  <c r="CS81" i="1"/>
  <c r="CR101" i="1"/>
  <c r="CT81" i="1"/>
  <c r="CR84" i="1"/>
  <c r="CR86" i="1"/>
  <c r="BZ94" i="77"/>
  <c r="BY94" i="77"/>
  <c r="BU94" i="77"/>
  <c r="BD90" i="2"/>
  <c r="BB91" i="2"/>
  <c r="CS66" i="1"/>
  <c r="CT66" i="1"/>
  <c r="CS65" i="1"/>
  <c r="CT65" i="1"/>
  <c r="X131" i="9"/>
  <c r="Z138" i="9" s="1"/>
  <c r="N135" i="9"/>
  <c r="P138" i="9"/>
  <c r="P131" i="9"/>
  <c r="R120" i="9"/>
  <c r="T79" i="5"/>
  <c r="T80" i="5" s="1"/>
  <c r="T54" i="15"/>
  <c r="U62" i="5"/>
  <c r="DL60" i="20" s="1"/>
  <c r="S192" i="5"/>
  <c r="S190" i="5"/>
  <c r="R124" i="9"/>
  <c r="X127" i="9"/>
  <c r="Z127" i="9" s="1"/>
  <c r="N128" i="9"/>
  <c r="P127" i="9"/>
  <c r="P134" i="9"/>
  <c r="X121" i="9"/>
  <c r="P121" i="9"/>
  <c r="R121" i="9" s="1"/>
  <c r="CR211" i="1"/>
  <c r="AX17" i="2"/>
  <c r="AX73" i="3"/>
  <c r="AX71" i="3" s="1"/>
  <c r="AX72" i="3" s="1"/>
  <c r="Q45" i="73"/>
  <c r="Q166" i="73"/>
  <c r="Z14" i="2"/>
  <c r="Z77" i="2"/>
  <c r="Z55" i="2"/>
  <c r="AI31" i="20"/>
  <c r="AV193" i="1"/>
  <c r="T137" i="73"/>
  <c r="T98" i="73"/>
  <c r="T58" i="73"/>
  <c r="Y67" i="5"/>
  <c r="DP62" i="20" s="1"/>
  <c r="X82" i="5"/>
  <c r="X83" i="5" s="1"/>
  <c r="U95" i="89"/>
  <c r="T131" i="89"/>
  <c r="T68" i="89"/>
  <c r="T66" i="89" s="1"/>
  <c r="T67" i="89" s="1"/>
  <c r="O102" i="89"/>
  <c r="K134" i="89"/>
  <c r="K99" i="89"/>
  <c r="L133" i="89"/>
  <c r="I99" i="89"/>
  <c r="J133" i="89"/>
  <c r="CS141" i="1"/>
  <c r="M134" i="89"/>
  <c r="M99" i="89"/>
  <c r="N133" i="89"/>
  <c r="CQ43" i="20"/>
  <c r="X50" i="15"/>
  <c r="Y55" i="15"/>
  <c r="F147" i="52"/>
  <c r="F148" i="52"/>
  <c r="F145" i="52"/>
  <c r="F146" i="52"/>
  <c r="S149" i="52"/>
  <c r="V118" i="2"/>
  <c r="V109" i="2"/>
  <c r="V112" i="2"/>
  <c r="V128" i="89"/>
  <c r="W92" i="89"/>
  <c r="Q37" i="73"/>
  <c r="Q30" i="73"/>
  <c r="Q109" i="73" s="1"/>
  <c r="S132" i="89"/>
  <c r="T96" i="89"/>
  <c r="V93" i="89"/>
  <c r="U129" i="89"/>
  <c r="V56" i="2"/>
  <c r="V61" i="2"/>
  <c r="DP40" i="20"/>
  <c r="DP52" i="20"/>
  <c r="N102" i="89"/>
  <c r="O137" i="89" s="1"/>
  <c r="T110" i="2"/>
  <c r="T122" i="2" s="1"/>
  <c r="T115" i="2"/>
  <c r="T121" i="2"/>
  <c r="AX30" i="2"/>
  <c r="H175" i="10"/>
  <c r="AX24" i="3"/>
  <c r="L102" i="89"/>
  <c r="P135" i="89"/>
  <c r="Q99" i="89"/>
  <c r="P100" i="89"/>
  <c r="W127" i="89"/>
  <c r="U130" i="89"/>
  <c r="V94" i="89"/>
  <c r="X97" i="2"/>
  <c r="X99" i="2" s="1"/>
  <c r="X25" i="2"/>
  <c r="DP39" i="20"/>
  <c r="DP18" i="20"/>
  <c r="CQ55" i="20"/>
  <c r="CQ46" i="20"/>
  <c r="AZ177" i="1"/>
  <c r="AV190" i="1"/>
  <c r="AJ31" i="20" s="1"/>
  <c r="S97" i="89"/>
  <c r="R133" i="89"/>
  <c r="J103" i="89"/>
  <c r="CJ179" i="1"/>
  <c r="CJ188" i="1"/>
  <c r="CF31" i="20" s="1"/>
  <c r="CE31" i="20"/>
  <c r="CJ192" i="1"/>
  <c r="AB60" i="3"/>
  <c r="AD57" i="3"/>
  <c r="AD59" i="3" s="1"/>
  <c r="AB8" i="2"/>
  <c r="Q134" i="89"/>
  <c r="R98" i="89"/>
  <c r="AV181" i="1"/>
  <c r="M92" i="15" s="1"/>
  <c r="CR28" i="20"/>
  <c r="CR54" i="20" s="1"/>
  <c r="CR45" i="20"/>
  <c r="Q91" i="73"/>
  <c r="Q130" i="73"/>
  <c r="Q51" i="73"/>
  <c r="Q168" i="73"/>
  <c r="Q85" i="73"/>
  <c r="AR106" i="2"/>
  <c r="AR107" i="2" s="1"/>
  <c r="AP107" i="2"/>
  <c r="S77" i="5"/>
  <c r="S91" i="5"/>
  <c r="M134" i="9"/>
  <c r="V133" i="10"/>
  <c r="X133" i="10" s="1"/>
  <c r="M138" i="9"/>
  <c r="Q110" i="52"/>
  <c r="T110" i="52" s="1"/>
  <c r="V124" i="52" s="1"/>
  <c r="AI138" i="9"/>
  <c r="Q106" i="52"/>
  <c r="T106" i="52" s="1"/>
  <c r="Z220" i="5"/>
  <c r="AA6" i="5"/>
  <c r="U107" i="52"/>
  <c r="S169" i="52" s="1"/>
  <c r="AF169" i="52" s="1"/>
  <c r="V107" i="52"/>
  <c r="S171" i="52" s="1"/>
  <c r="AF171" i="52" s="1"/>
  <c r="R80" i="5"/>
  <c r="S80" i="5"/>
  <c r="T76" i="5"/>
  <c r="U32" i="5"/>
  <c r="DK81" i="20"/>
  <c r="T114" i="52"/>
  <c r="Q114" i="52"/>
  <c r="AB130" i="10"/>
  <c r="AD130" i="10" s="1"/>
  <c r="AF130" i="10" s="1"/>
  <c r="AI132" i="9"/>
  <c r="R92" i="5"/>
  <c r="DI67" i="20"/>
  <c r="AC85" i="5"/>
  <c r="DT65" i="20"/>
  <c r="AC89" i="5"/>
  <c r="DS80" i="20"/>
  <c r="DS66" i="20"/>
  <c r="AB86" i="5"/>
  <c r="AB24" i="15" s="1"/>
  <c r="AN119" i="2"/>
  <c r="AN113" i="2"/>
  <c r="I154" i="89"/>
  <c r="J154" i="89" s="1"/>
  <c r="H171" i="89"/>
  <c r="I132" i="89"/>
  <c r="H133" i="89"/>
  <c r="H98" i="89"/>
  <c r="CR123" i="1" l="1"/>
  <c r="CR104" i="1"/>
  <c r="CQ44" i="20"/>
  <c r="H11" i="74"/>
  <c r="CP53" i="20"/>
  <c r="C36" i="74" s="1"/>
  <c r="CP33" i="20"/>
  <c r="CP46" i="20" s="1"/>
  <c r="G11" i="74"/>
  <c r="CP21" i="20"/>
  <c r="C15" i="74" s="1"/>
  <c r="H15" i="74" s="1"/>
  <c r="CP41" i="20"/>
  <c r="C27" i="74" s="1"/>
  <c r="H27" i="74" s="1"/>
  <c r="H25" i="74"/>
  <c r="I25" i="74"/>
  <c r="G25" i="74"/>
  <c r="CR144" i="1"/>
  <c r="CS144" i="1" s="1"/>
  <c r="Q68" i="73"/>
  <c r="Q151" i="73" s="1"/>
  <c r="AC11" i="5"/>
  <c r="Y105" i="15"/>
  <c r="Y153" i="5"/>
  <c r="Y154" i="5" s="1"/>
  <c r="Y67" i="15"/>
  <c r="Y68" i="15" s="1"/>
  <c r="D6" i="92"/>
  <c r="D9" i="92" s="1"/>
  <c r="D10" i="92" s="1"/>
  <c r="D11" i="92" s="1"/>
  <c r="Q13" i="73"/>
  <c r="Q26" i="73" s="1"/>
  <c r="Q40" i="73" s="1"/>
  <c r="BZ97" i="77"/>
  <c r="AY31" i="98"/>
  <c r="CT85" i="1"/>
  <c r="CS85" i="1"/>
  <c r="DL61" i="20"/>
  <c r="V64" i="5"/>
  <c r="AJ64" i="5"/>
  <c r="BV94" i="77"/>
  <c r="CA94" i="77"/>
  <c r="W128" i="89"/>
  <c r="CT86" i="1"/>
  <c r="CS86" i="1"/>
  <c r="CT84" i="1"/>
  <c r="CS84" i="1"/>
  <c r="CR132" i="1"/>
  <c r="CS101" i="1"/>
  <c r="CR105" i="1"/>
  <c r="CS105" i="1" s="1"/>
  <c r="CR122" i="1"/>
  <c r="CR106" i="1"/>
  <c r="CS106" i="1" s="1"/>
  <c r="BF90" i="2"/>
  <c r="BF91" i="2" s="1"/>
  <c r="BD91" i="2"/>
  <c r="CP23" i="20"/>
  <c r="CR95" i="1"/>
  <c r="CS95" i="1" s="1"/>
  <c r="CR96" i="1"/>
  <c r="CS96" i="1" s="1"/>
  <c r="U54" i="15"/>
  <c r="U61" i="5"/>
  <c r="V62" i="5"/>
  <c r="DM60" i="20" s="1"/>
  <c r="U79" i="5"/>
  <c r="U80" i="5" s="1"/>
  <c r="AJ62" i="5"/>
  <c r="R127" i="9"/>
  <c r="X135" i="9"/>
  <c r="Z142" i="9" s="1"/>
  <c r="P135" i="9"/>
  <c r="P142" i="9"/>
  <c r="R142" i="9" s="1"/>
  <c r="Z121" i="9"/>
  <c r="X122" i="9"/>
  <c r="R138" i="9"/>
  <c r="X128" i="9"/>
  <c r="Z128" i="9" s="1"/>
  <c r="P128" i="9"/>
  <c r="R128" i="9" s="1"/>
  <c r="S98" i="89"/>
  <c r="R134" i="89"/>
  <c r="AZ187" i="1"/>
  <c r="AZ178" i="1"/>
  <c r="AZ182" i="1"/>
  <c r="T132" i="89"/>
  <c r="U96" i="89"/>
  <c r="Y50" i="15"/>
  <c r="Z55" i="15"/>
  <c r="AB55" i="2"/>
  <c r="AB77" i="2"/>
  <c r="AB14" i="2"/>
  <c r="DP33" i="20"/>
  <c r="DP53" i="20"/>
  <c r="DP41" i="20"/>
  <c r="DP21" i="20"/>
  <c r="Q100" i="89"/>
  <c r="P136" i="89"/>
  <c r="P101" i="89"/>
  <c r="L103" i="89"/>
  <c r="O103" i="89"/>
  <c r="Z67" i="5"/>
  <c r="DQ62" i="20" s="1"/>
  <c r="Y82" i="5"/>
  <c r="Y83" i="5" s="1"/>
  <c r="V110" i="2"/>
  <c r="V122" i="2" s="1"/>
  <c r="V115" i="2"/>
  <c r="V121" i="2"/>
  <c r="AV191" i="1"/>
  <c r="M93" i="15" s="1"/>
  <c r="DD31" i="20" s="1"/>
  <c r="Q50" i="73"/>
  <c r="Q76" i="73" s="1"/>
  <c r="AF57" i="3"/>
  <c r="AF59" i="3" s="1"/>
  <c r="AD60" i="3"/>
  <c r="AD8" i="2"/>
  <c r="CJ189" i="1"/>
  <c r="CJ180" i="1"/>
  <c r="CJ181" i="1" s="1"/>
  <c r="R99" i="89"/>
  <c r="Q135" i="89"/>
  <c r="Q156" i="73"/>
  <c r="Q154" i="73" s="1"/>
  <c r="Q129" i="73" s="1"/>
  <c r="Q170" i="73" s="1"/>
  <c r="Q157" i="73"/>
  <c r="CQ45" i="20"/>
  <c r="CQ28" i="20"/>
  <c r="CQ54" i="20" s="1"/>
  <c r="J104" i="89"/>
  <c r="X56" i="2"/>
  <c r="X61" i="2"/>
  <c r="X79" i="2"/>
  <c r="N103" i="89"/>
  <c r="O138" i="89" s="1"/>
  <c r="W93" i="89"/>
  <c r="W129" i="89" s="1"/>
  <c r="V129" i="89"/>
  <c r="J147" i="52"/>
  <c r="K147" i="52" s="1"/>
  <c r="G147" i="52"/>
  <c r="H147" i="52"/>
  <c r="I147" i="52" s="1"/>
  <c r="I100" i="89"/>
  <c r="J134" i="89"/>
  <c r="Z97" i="2"/>
  <c r="Z99" i="2" s="1"/>
  <c r="Z25" i="2"/>
  <c r="W94" i="89"/>
  <c r="V130" i="89"/>
  <c r="AX36" i="2"/>
  <c r="AX27" i="3"/>
  <c r="AX30" i="3" s="1"/>
  <c r="F149" i="52"/>
  <c r="J145" i="52"/>
  <c r="K145" i="52" s="1"/>
  <c r="H145" i="52"/>
  <c r="I145" i="52" s="1"/>
  <c r="G145" i="52"/>
  <c r="M135" i="89"/>
  <c r="M100" i="89"/>
  <c r="N134" i="89"/>
  <c r="U131" i="89"/>
  <c r="V95" i="89"/>
  <c r="U68" i="89"/>
  <c r="U66" i="89" s="1"/>
  <c r="U67" i="89" s="1"/>
  <c r="D149" i="52"/>
  <c r="CR210" i="1"/>
  <c r="Q152" i="73"/>
  <c r="Q150" i="73" s="1"/>
  <c r="Q128" i="73" s="1"/>
  <c r="X109" i="2"/>
  <c r="X112" i="2"/>
  <c r="X118" i="2"/>
  <c r="N175" i="10"/>
  <c r="AD175" i="10"/>
  <c r="AF175" i="10" s="1"/>
  <c r="J146" i="52"/>
  <c r="K146" i="52" s="1"/>
  <c r="G146" i="52"/>
  <c r="H146" i="52"/>
  <c r="I146" i="52" s="1"/>
  <c r="T97" i="89"/>
  <c r="S133" i="89"/>
  <c r="H148" i="52"/>
  <c r="I148" i="52" s="1"/>
  <c r="G148" i="52"/>
  <c r="K135" i="89"/>
  <c r="K100" i="89"/>
  <c r="L134" i="89"/>
  <c r="CJ183" i="1"/>
  <c r="AA220" i="5"/>
  <c r="AB6" i="5"/>
  <c r="DJ67" i="20"/>
  <c r="S92" i="5"/>
  <c r="Z133" i="10"/>
  <c r="Z140" i="10"/>
  <c r="AP113" i="2"/>
  <c r="AP119" i="2"/>
  <c r="AR119" i="2"/>
  <c r="AR113" i="2"/>
  <c r="AB131" i="10"/>
  <c r="AD131" i="10" s="1"/>
  <c r="AF131" i="10" s="1"/>
  <c r="AI133" i="9"/>
  <c r="AB132" i="10" s="1"/>
  <c r="AD132" i="10" s="1"/>
  <c r="AF132" i="10" s="1"/>
  <c r="DT66" i="20"/>
  <c r="DT80" i="20"/>
  <c r="T77" i="5"/>
  <c r="T91" i="5"/>
  <c r="AC86" i="5"/>
  <c r="AC24" i="15" s="1"/>
  <c r="AI139" i="9"/>
  <c r="AB137" i="10"/>
  <c r="AD137" i="10" s="1"/>
  <c r="V114" i="52"/>
  <c r="T171" i="52" s="1"/>
  <c r="AG171" i="52" s="1"/>
  <c r="U114" i="52"/>
  <c r="T169" i="52" s="1"/>
  <c r="AG169" i="52" s="1"/>
  <c r="K154" i="89"/>
  <c r="L154" i="89" s="1"/>
  <c r="I133" i="89"/>
  <c r="H134" i="89"/>
  <c r="H99" i="89"/>
  <c r="CR125" i="1" l="1"/>
  <c r="CR143" i="1"/>
  <c r="CS143" i="1" s="1"/>
  <c r="CS123" i="1"/>
  <c r="CP55" i="20"/>
  <c r="CP43" i="20"/>
  <c r="C28" i="74" s="1"/>
  <c r="H28" i="74" s="1"/>
  <c r="G15" i="74"/>
  <c r="I27" i="74"/>
  <c r="G27" i="74"/>
  <c r="CP26" i="20"/>
  <c r="C19" i="74" s="1"/>
  <c r="C17" i="74"/>
  <c r="AJ66" i="5"/>
  <c r="D7" i="92"/>
  <c r="Q38" i="73"/>
  <c r="Q31" i="73"/>
  <c r="Q16" i="73"/>
  <c r="CP44" i="20"/>
  <c r="C29" i="74" s="1"/>
  <c r="CS132" i="1"/>
  <c r="CR136" i="1"/>
  <c r="CS136" i="1" s="1"/>
  <c r="CR137" i="1"/>
  <c r="CS137" i="1" s="1"/>
  <c r="CR135" i="1"/>
  <c r="CS135" i="1" s="1"/>
  <c r="CS104" i="1"/>
  <c r="U76" i="5"/>
  <c r="U77" i="5" s="1"/>
  <c r="DL59" i="20"/>
  <c r="DL81" i="20" s="1"/>
  <c r="DM61" i="20"/>
  <c r="W64" i="5"/>
  <c r="AK64" i="5"/>
  <c r="CR126" i="1"/>
  <c r="CS126" i="1" s="1"/>
  <c r="CR127" i="1"/>
  <c r="CS127" i="1" s="1"/>
  <c r="CR142" i="1"/>
  <c r="CS122" i="1"/>
  <c r="Q90" i="73"/>
  <c r="Q116" i="73" s="1"/>
  <c r="T121" i="52"/>
  <c r="Q121" i="52"/>
  <c r="V32" i="5"/>
  <c r="V54" i="15"/>
  <c r="V79" i="5"/>
  <c r="AK62" i="5"/>
  <c r="J155" i="9"/>
  <c r="V61" i="5"/>
  <c r="W62" i="5"/>
  <c r="L104" i="89"/>
  <c r="Q131" i="73"/>
  <c r="Q126" i="73"/>
  <c r="Z112" i="2"/>
  <c r="Z118" i="2"/>
  <c r="Z109" i="2"/>
  <c r="AB25" i="2"/>
  <c r="AB97" i="2"/>
  <c r="AB99" i="2" s="1"/>
  <c r="CR17" i="20"/>
  <c r="CR33" i="20" s="1"/>
  <c r="D148" i="52"/>
  <c r="J148" i="52" s="1"/>
  <c r="K148" i="52" s="1"/>
  <c r="M136" i="89"/>
  <c r="M101" i="89"/>
  <c r="N135" i="89"/>
  <c r="AX32" i="3"/>
  <c r="D17" i="92"/>
  <c r="D18" i="92" s="1"/>
  <c r="D21" i="92" s="1"/>
  <c r="D25" i="92" s="1"/>
  <c r="N104" i="89"/>
  <c r="O139" i="89" s="1"/>
  <c r="J105" i="89"/>
  <c r="AH57" i="3"/>
  <c r="AH59" i="3" s="1"/>
  <c r="AF8" i="2"/>
  <c r="AF60" i="3"/>
  <c r="O104" i="89"/>
  <c r="Q101" i="89"/>
  <c r="P137" i="89"/>
  <c r="P102" i="89"/>
  <c r="Q107" i="73"/>
  <c r="Q153" i="73"/>
  <c r="Z61" i="2"/>
  <c r="Z79" i="2"/>
  <c r="Z56" i="2"/>
  <c r="AD55" i="2"/>
  <c r="AD14" i="2"/>
  <c r="AD77" i="2"/>
  <c r="R135" i="89"/>
  <c r="S99" i="89"/>
  <c r="Q136" i="89"/>
  <c r="R100" i="89"/>
  <c r="Q49" i="73"/>
  <c r="DP43" i="20"/>
  <c r="U132" i="89"/>
  <c r="V96" i="89"/>
  <c r="AZ179" i="1"/>
  <c r="AZ188" i="1"/>
  <c r="AM31" i="20" s="1"/>
  <c r="Q89" i="73"/>
  <c r="U97" i="89"/>
  <c r="T133" i="89"/>
  <c r="X110" i="2"/>
  <c r="X122" i="2" s="1"/>
  <c r="X121" i="2"/>
  <c r="X115" i="2"/>
  <c r="CJ190" i="1"/>
  <c r="CH31" i="20" s="1"/>
  <c r="CN177" i="1"/>
  <c r="DP46" i="20"/>
  <c r="DP55" i="20"/>
  <c r="K136" i="89"/>
  <c r="K101" i="89"/>
  <c r="L135" i="89"/>
  <c r="I101" i="89"/>
  <c r="J135" i="89"/>
  <c r="Z50" i="15"/>
  <c r="AA55" i="15"/>
  <c r="V131" i="89"/>
  <c r="W95" i="89"/>
  <c r="V68" i="89"/>
  <c r="V66" i="89" s="1"/>
  <c r="V67" i="89" s="1"/>
  <c r="J149" i="52"/>
  <c r="G149" i="52"/>
  <c r="H149" i="52"/>
  <c r="I149" i="52" s="1"/>
  <c r="W130" i="89"/>
  <c r="CG31" i="20"/>
  <c r="CJ193" i="1"/>
  <c r="Z82" i="5"/>
  <c r="Z83" i="5" s="1"/>
  <c r="AA67" i="5"/>
  <c r="DR62" i="20" s="1"/>
  <c r="AL31" i="20"/>
  <c r="S134" i="89"/>
  <c r="T98" i="89"/>
  <c r="AI140" i="9"/>
  <c r="AB139" i="10" s="1"/>
  <c r="AD139" i="10" s="1"/>
  <c r="AB138" i="10"/>
  <c r="AD138" i="10" s="1"/>
  <c r="AF137" i="10"/>
  <c r="R50" i="74" s="1"/>
  <c r="AF144" i="10"/>
  <c r="S50" i="74" s="1"/>
  <c r="AB220" i="5"/>
  <c r="AC6" i="5"/>
  <c r="AC220" i="5" s="1"/>
  <c r="T92" i="5"/>
  <c r="DK67" i="20"/>
  <c r="M154" i="89"/>
  <c r="N154" i="89" s="1"/>
  <c r="O154" i="89" s="1"/>
  <c r="H135" i="89"/>
  <c r="I134" i="89"/>
  <c r="H100" i="89"/>
  <c r="I28" i="74" l="1"/>
  <c r="G28" i="74"/>
  <c r="CP45" i="20"/>
  <c r="C30" i="74" s="1"/>
  <c r="H30" i="74" s="1"/>
  <c r="CP28" i="20"/>
  <c r="C21" i="74" s="1"/>
  <c r="H40" i="74"/>
  <c r="H19" i="74"/>
  <c r="I19" i="74"/>
  <c r="G19" i="74"/>
  <c r="H44" i="74"/>
  <c r="I29" i="74"/>
  <c r="H29" i="74"/>
  <c r="G29" i="74"/>
  <c r="H42" i="74"/>
  <c r="H43" i="74"/>
  <c r="H41" i="74"/>
  <c r="G17" i="74"/>
  <c r="H17" i="74"/>
  <c r="U91" i="5"/>
  <c r="DL67" i="20" s="1"/>
  <c r="X64" i="5"/>
  <c r="DN61" i="20"/>
  <c r="CS142" i="1"/>
  <c r="CR146" i="1"/>
  <c r="CS146" i="1" s="1"/>
  <c r="CR147" i="1"/>
  <c r="CS147" i="1" s="1"/>
  <c r="Q128" i="52"/>
  <c r="V128" i="52" s="1"/>
  <c r="V171" i="52" s="1"/>
  <c r="DM59" i="20"/>
  <c r="DM81" i="20" s="1"/>
  <c r="AK66" i="5"/>
  <c r="CS125" i="1"/>
  <c r="CR145" i="1"/>
  <c r="CS145" i="1" s="1"/>
  <c r="AF79" i="5"/>
  <c r="V80" i="5"/>
  <c r="DN60" i="20"/>
  <c r="J162" i="9"/>
  <c r="W79" i="5"/>
  <c r="W80" i="5" s="1"/>
  <c r="X62" i="5"/>
  <c r="DO60" i="20" s="1"/>
  <c r="W54" i="15"/>
  <c r="X54" i="15" s="1"/>
  <c r="V76" i="5"/>
  <c r="T128" i="52"/>
  <c r="L155" i="9"/>
  <c r="AF61" i="5"/>
  <c r="W32" i="5"/>
  <c r="W61" i="5" s="1"/>
  <c r="Q135" i="52" s="1"/>
  <c r="U121" i="52"/>
  <c r="U169" i="52" s="1"/>
  <c r="AH169" i="52" s="1"/>
  <c r="V121" i="52"/>
  <c r="U171" i="52" s="1"/>
  <c r="AH171" i="52" s="1"/>
  <c r="K159" i="9"/>
  <c r="K155" i="9"/>
  <c r="N159" i="9"/>
  <c r="N155" i="9"/>
  <c r="U98" i="89"/>
  <c r="T134" i="89"/>
  <c r="AA50" i="15"/>
  <c r="AB55" i="15"/>
  <c r="Q52" i="73"/>
  <c r="Q47" i="73"/>
  <c r="AH60" i="3"/>
  <c r="AH8" i="2"/>
  <c r="AJ57" i="3"/>
  <c r="AJ59" i="3" s="1"/>
  <c r="M137" i="89"/>
  <c r="M102" i="89"/>
  <c r="N136" i="89"/>
  <c r="CN178" i="1"/>
  <c r="CN182" i="1" s="1"/>
  <c r="CN187" i="1"/>
  <c r="P138" i="89"/>
  <c r="Q102" i="89"/>
  <c r="P103" i="89"/>
  <c r="J106" i="89"/>
  <c r="U133" i="89"/>
  <c r="V97" i="89"/>
  <c r="AB67" i="5"/>
  <c r="DS62" i="20" s="1"/>
  <c r="AA82" i="5"/>
  <c r="AA83" i="5" s="1"/>
  <c r="K149" i="52"/>
  <c r="W149" i="52"/>
  <c r="X149" i="52" s="1"/>
  <c r="I102" i="89"/>
  <c r="J136" i="89"/>
  <c r="AZ189" i="1"/>
  <c r="AZ180" i="1"/>
  <c r="AZ181" i="1" s="1"/>
  <c r="N92" i="15" s="1"/>
  <c r="AZ183" i="1"/>
  <c r="T99" i="89"/>
  <c r="S135" i="89"/>
  <c r="AD25" i="2"/>
  <c r="AD97" i="2"/>
  <c r="AD99" i="2" s="1"/>
  <c r="R101" i="89"/>
  <c r="Q137" i="89"/>
  <c r="N105" i="89"/>
  <c r="CR46" i="20"/>
  <c r="CR55" i="20"/>
  <c r="Q87" i="73"/>
  <c r="Q92" i="73"/>
  <c r="V132" i="89"/>
  <c r="W96" i="89"/>
  <c r="W132" i="89" s="1"/>
  <c r="O105" i="89"/>
  <c r="AB112" i="2"/>
  <c r="AB118" i="2"/>
  <c r="AB109" i="2"/>
  <c r="Q158" i="73"/>
  <c r="Q134" i="73"/>
  <c r="Q171" i="73"/>
  <c r="Q147" i="73"/>
  <c r="Q173" i="73" s="1"/>
  <c r="AZ192" i="1"/>
  <c r="CJ191" i="1"/>
  <c r="W131" i="89"/>
  <c r="W68" i="89"/>
  <c r="W66" i="89" s="1"/>
  <c r="W67" i="89" s="1"/>
  <c r="K137" i="89"/>
  <c r="K102" i="89"/>
  <c r="L136" i="89"/>
  <c r="AB61" i="2"/>
  <c r="AB79" i="2"/>
  <c r="AB56" i="2"/>
  <c r="L105" i="89"/>
  <c r="AF55" i="2"/>
  <c r="AF77" i="2"/>
  <c r="AF14" i="2"/>
  <c r="R136" i="89"/>
  <c r="S100" i="89"/>
  <c r="Z110" i="2"/>
  <c r="Z122" i="2" s="1"/>
  <c r="Z115" i="2"/>
  <c r="Z121" i="2"/>
  <c r="AD141" i="10"/>
  <c r="AF139" i="10"/>
  <c r="AF146" i="10"/>
  <c r="AF138" i="10"/>
  <c r="AF145" i="10"/>
  <c r="B50" i="74" s="1"/>
  <c r="P154" i="89"/>
  <c r="I135" i="89"/>
  <c r="H136" i="89"/>
  <c r="H101" i="89"/>
  <c r="G30" i="74" l="1"/>
  <c r="CP54" i="20"/>
  <c r="C37" i="74" s="1"/>
  <c r="I30" i="74"/>
  <c r="G21" i="74"/>
  <c r="H21" i="74"/>
  <c r="H46" i="74"/>
  <c r="I21" i="74"/>
  <c r="U92" i="5"/>
  <c r="U128" i="52"/>
  <c r="V169" i="52" s="1"/>
  <c r="AI169" i="52" s="1"/>
  <c r="DO61" i="20"/>
  <c r="Y64" i="5"/>
  <c r="AF76" i="5"/>
  <c r="V91" i="5"/>
  <c r="V77" i="5"/>
  <c r="N156" i="9"/>
  <c r="X155" i="9"/>
  <c r="Z155" i="9" s="1"/>
  <c r="P155" i="9"/>
  <c r="R155" i="9" s="1"/>
  <c r="V135" i="52"/>
  <c r="U135" i="52"/>
  <c r="AI159" i="9"/>
  <c r="V154" i="10"/>
  <c r="X154" i="10" s="1"/>
  <c r="Z154" i="10" s="1"/>
  <c r="M155" i="9"/>
  <c r="CC81" i="20"/>
  <c r="Q131" i="52"/>
  <c r="T131" i="52" s="1"/>
  <c r="V131" i="52" s="1"/>
  <c r="Q127" i="52"/>
  <c r="T127" i="52" s="1"/>
  <c r="M159" i="9"/>
  <c r="P159" i="9"/>
  <c r="R159" i="9" s="1"/>
  <c r="X159" i="9"/>
  <c r="Z159" i="9" s="1"/>
  <c r="Y62" i="5"/>
  <c r="DP60" i="20" s="1"/>
  <c r="X79" i="5"/>
  <c r="X80" i="5" s="1"/>
  <c r="J169" i="9"/>
  <c r="X32" i="5"/>
  <c r="X61" i="5" s="1"/>
  <c r="DO59" i="20" s="1"/>
  <c r="DN59" i="20"/>
  <c r="DN81" i="20" s="1"/>
  <c r="L162" i="9"/>
  <c r="T135" i="52"/>
  <c r="W76" i="5"/>
  <c r="Y54" i="15"/>
  <c r="X49" i="15"/>
  <c r="X51" i="15" s="1"/>
  <c r="K162" i="9"/>
  <c r="N166" i="9"/>
  <c r="K166" i="9"/>
  <c r="N162" i="9"/>
  <c r="N163" i="9" s="1"/>
  <c r="AI171" i="52"/>
  <c r="L106" i="89"/>
  <c r="Q95" i="73"/>
  <c r="Q117" i="73"/>
  <c r="Q110" i="73"/>
  <c r="Q105" i="73"/>
  <c r="Q119" i="73" s="1"/>
  <c r="P139" i="89"/>
  <c r="Q103" i="89"/>
  <c r="P104" i="89"/>
  <c r="K138" i="89"/>
  <c r="K103" i="89"/>
  <c r="L137" i="89"/>
  <c r="AD56" i="2"/>
  <c r="AD79" i="2"/>
  <c r="AD61" i="2"/>
  <c r="Q138" i="89"/>
  <c r="R102" i="89"/>
  <c r="M138" i="89"/>
  <c r="M103" i="89"/>
  <c r="N137" i="89"/>
  <c r="I103" i="89"/>
  <c r="J137" i="89"/>
  <c r="AC55" i="15"/>
  <c r="AB50" i="15"/>
  <c r="AD118" i="2"/>
  <c r="AD109" i="2"/>
  <c r="AD112" i="2"/>
  <c r="AF25" i="2"/>
  <c r="AF97" i="2"/>
  <c r="AF99" i="2" s="1"/>
  <c r="N106" i="89"/>
  <c r="O141" i="89" s="1"/>
  <c r="AH77" i="2"/>
  <c r="AH55" i="2"/>
  <c r="AH14" i="2"/>
  <c r="AB110" i="2"/>
  <c r="AB122" i="2" s="1"/>
  <c r="AB115" i="2"/>
  <c r="AB121" i="2"/>
  <c r="U99" i="89"/>
  <c r="T135" i="89"/>
  <c r="CJ31" i="20"/>
  <c r="T100" i="89"/>
  <c r="S136" i="89"/>
  <c r="O106" i="89"/>
  <c r="BD177" i="1"/>
  <c r="AZ190" i="1"/>
  <c r="AC67" i="5"/>
  <c r="DT62" i="20" s="1"/>
  <c r="AB82" i="5"/>
  <c r="AB83" i="5" s="1"/>
  <c r="CN179" i="1"/>
  <c r="CN188" i="1"/>
  <c r="CK31" i="20" s="1"/>
  <c r="AJ60" i="3"/>
  <c r="AL57" i="3"/>
  <c r="AL59" i="3" s="1"/>
  <c r="AJ8" i="2"/>
  <c r="O140" i="89"/>
  <c r="R137" i="89"/>
  <c r="S101" i="89"/>
  <c r="AN31" i="20"/>
  <c r="AZ193" i="1"/>
  <c r="V133" i="89"/>
  <c r="W97" i="89"/>
  <c r="Q78" i="73"/>
  <c r="Q70" i="73"/>
  <c r="Q55" i="73"/>
  <c r="Q65" i="73"/>
  <c r="Q80" i="73" s="1"/>
  <c r="V98" i="89"/>
  <c r="U134" i="89"/>
  <c r="Q154" i="89"/>
  <c r="R154" i="89" s="1"/>
  <c r="I136" i="89"/>
  <c r="H137" i="89"/>
  <c r="H102" i="89"/>
  <c r="H45" i="74" l="1"/>
  <c r="H47" i="74" s="1"/>
  <c r="W133" i="89"/>
  <c r="O143" i="89"/>
  <c r="O153" i="89" s="1"/>
  <c r="DP61" i="20"/>
  <c r="Z64" i="5"/>
  <c r="T142" i="52"/>
  <c r="AC50" i="15"/>
  <c r="P163" i="9"/>
  <c r="R163" i="9" s="1"/>
  <c r="Q138" i="52"/>
  <c r="T138" i="52" s="1"/>
  <c r="V138" i="52" s="1"/>
  <c r="CH81" i="20"/>
  <c r="M162" i="9"/>
  <c r="V161" i="10"/>
  <c r="X161" i="10" s="1"/>
  <c r="Z161" i="10" s="1"/>
  <c r="Q134" i="52"/>
  <c r="T134" i="52" s="1"/>
  <c r="M166" i="9"/>
  <c r="AI166" i="9"/>
  <c r="Q142" i="52"/>
  <c r="Y32" i="5"/>
  <c r="Y61" i="5" s="1"/>
  <c r="DP59" i="20" s="1"/>
  <c r="DO81" i="20"/>
  <c r="L169" i="9"/>
  <c r="X76" i="5"/>
  <c r="P162" i="9"/>
  <c r="R162" i="9" s="1"/>
  <c r="X162" i="9"/>
  <c r="Z162" i="9" s="1"/>
  <c r="K173" i="9"/>
  <c r="K169" i="9"/>
  <c r="N169" i="9"/>
  <c r="N173" i="9"/>
  <c r="DM67" i="20"/>
  <c r="V92" i="5"/>
  <c r="AB158" i="10"/>
  <c r="AD158" i="10" s="1"/>
  <c r="AF158" i="10" s="1"/>
  <c r="AI160" i="9"/>
  <c r="X166" i="9"/>
  <c r="Z166" i="9" s="1"/>
  <c r="P166" i="9"/>
  <c r="R166" i="9" s="1"/>
  <c r="W77" i="5"/>
  <c r="W91" i="5"/>
  <c r="X163" i="9"/>
  <c r="Y49" i="15"/>
  <c r="Y51" i="15" s="1"/>
  <c r="Z54" i="15"/>
  <c r="Z62" i="5"/>
  <c r="DQ60" i="20" s="1"/>
  <c r="P156" i="9"/>
  <c r="R156" i="9" s="1"/>
  <c r="X156" i="9"/>
  <c r="Z156" i="9" s="1"/>
  <c r="O54" i="89"/>
  <c r="M139" i="89"/>
  <c r="M104" i="89"/>
  <c r="N138" i="89"/>
  <c r="AH97" i="2"/>
  <c r="AH99" i="2" s="1"/>
  <c r="AH25" i="2"/>
  <c r="AF118" i="2"/>
  <c r="AF112" i="2"/>
  <c r="AF109" i="2"/>
  <c r="T101" i="89"/>
  <c r="S137" i="89"/>
  <c r="AF61" i="2"/>
  <c r="AF79" i="2"/>
  <c r="AF56" i="2"/>
  <c r="S102" i="89"/>
  <c r="R138" i="89"/>
  <c r="S154" i="89"/>
  <c r="T154" i="89" s="1"/>
  <c r="U154" i="89" s="1"/>
  <c r="V154" i="89" s="1"/>
  <c r="AJ14" i="2"/>
  <c r="AJ77" i="2"/>
  <c r="AJ55" i="2"/>
  <c r="T136" i="89"/>
  <c r="U100" i="89"/>
  <c r="I104" i="89"/>
  <c r="J138" i="89"/>
  <c r="K139" i="89"/>
  <c r="K104" i="89"/>
  <c r="L138" i="89"/>
  <c r="BD187" i="1"/>
  <c r="BD178" i="1"/>
  <c r="V99" i="89"/>
  <c r="U135" i="89"/>
  <c r="W98" i="89"/>
  <c r="V134" i="89"/>
  <c r="AC82" i="5"/>
  <c r="AC83" i="5" s="1"/>
  <c r="P140" i="89"/>
  <c r="Q104" i="89"/>
  <c r="P105" i="89"/>
  <c r="CN189" i="1"/>
  <c r="CN180" i="1"/>
  <c r="AL8" i="2"/>
  <c r="AN57" i="3"/>
  <c r="AN59" i="3" s="1"/>
  <c r="AL60" i="3"/>
  <c r="AD110" i="2"/>
  <c r="AD122" i="2" s="1"/>
  <c r="AD115" i="2"/>
  <c r="AD121" i="2"/>
  <c r="AO31" i="20"/>
  <c r="AZ191" i="1"/>
  <c r="N93" i="15" s="1"/>
  <c r="DE31" i="20" s="1"/>
  <c r="CN192" i="1"/>
  <c r="R103" i="89"/>
  <c r="Q139" i="89"/>
  <c r="CN183" i="1"/>
  <c r="I137" i="89"/>
  <c r="H138" i="89"/>
  <c r="H103" i="89"/>
  <c r="O22" i="89" l="1"/>
  <c r="O161" i="89" s="1"/>
  <c r="DQ61" i="20"/>
  <c r="AA64" i="5"/>
  <c r="Z163" i="9"/>
  <c r="X173" i="9"/>
  <c r="Z173" i="9" s="1"/>
  <c r="N177" i="9"/>
  <c r="P173" i="9"/>
  <c r="DN67" i="20"/>
  <c r="W92" i="5"/>
  <c r="AJ51" i="94"/>
  <c r="N170" i="9"/>
  <c r="P176" i="9"/>
  <c r="R176" i="9" s="1"/>
  <c r="X169" i="9"/>
  <c r="P169" i="9"/>
  <c r="R169" i="9" s="1"/>
  <c r="AA62" i="5"/>
  <c r="DR60" i="20" s="1"/>
  <c r="Z49" i="15"/>
  <c r="AA54" i="15"/>
  <c r="X91" i="5"/>
  <c r="AG173" i="9" s="1"/>
  <c r="AJ173" i="9" s="1"/>
  <c r="X77" i="5"/>
  <c r="AI173" i="9"/>
  <c r="M173" i="9"/>
  <c r="Q141" i="52"/>
  <c r="T141" i="52" s="1"/>
  <c r="M169" i="9"/>
  <c r="V168" i="10"/>
  <c r="X168" i="10" s="1"/>
  <c r="Z168" i="10" s="1"/>
  <c r="Q145" i="52"/>
  <c r="T145" i="52" s="1"/>
  <c r="V145" i="52" s="1"/>
  <c r="AI167" i="9"/>
  <c r="AB165" i="10"/>
  <c r="AD165" i="10" s="1"/>
  <c r="AB159" i="10"/>
  <c r="AD159" i="10" s="1"/>
  <c r="AF159" i="10" s="1"/>
  <c r="AI161" i="9"/>
  <c r="AB160" i="10" s="1"/>
  <c r="AD160" i="10" s="1"/>
  <c r="AF160" i="10" s="1"/>
  <c r="Z32" i="5"/>
  <c r="Z61" i="5" s="1"/>
  <c r="DQ59" i="20" s="1"/>
  <c r="L176" i="9"/>
  <c r="T149" i="52"/>
  <c r="DP81" i="20"/>
  <c r="Y76" i="5"/>
  <c r="Q149" i="52"/>
  <c r="U142" i="52"/>
  <c r="V142" i="52"/>
  <c r="AN8" i="2"/>
  <c r="AP57" i="3"/>
  <c r="AP59" i="3" s="1"/>
  <c r="AN60" i="3"/>
  <c r="AQ31" i="20"/>
  <c r="AF121" i="2"/>
  <c r="AF115" i="2"/>
  <c r="AL14" i="2"/>
  <c r="AL55" i="2"/>
  <c r="AL77" i="2"/>
  <c r="W134" i="89"/>
  <c r="K140" i="89"/>
  <c r="K105" i="89"/>
  <c r="L139" i="89"/>
  <c r="V100" i="89"/>
  <c r="U136" i="89"/>
  <c r="T102" i="89"/>
  <c r="S138" i="89"/>
  <c r="BD179" i="1"/>
  <c r="BD183" i="1" s="1"/>
  <c r="BD188" i="1"/>
  <c r="AR31" i="20" s="1"/>
  <c r="AF110" i="2"/>
  <c r="AF122" i="2" s="1"/>
  <c r="CR177" i="1"/>
  <c r="CN190" i="1"/>
  <c r="CM31" i="20" s="1"/>
  <c r="AH79" i="2"/>
  <c r="AH56" i="2"/>
  <c r="AH61" i="2"/>
  <c r="CL31" i="20"/>
  <c r="U101" i="89"/>
  <c r="T137" i="89"/>
  <c r="P141" i="89"/>
  <c r="P143" i="89" s="1"/>
  <c r="Q105" i="89"/>
  <c r="P106" i="89"/>
  <c r="Q106" i="89" s="1"/>
  <c r="R106" i="89" s="1"/>
  <c r="S106" i="89" s="1"/>
  <c r="T106" i="89" s="1"/>
  <c r="U106" i="89" s="1"/>
  <c r="V106" i="89" s="1"/>
  <c r="W106" i="89" s="1"/>
  <c r="O59" i="89"/>
  <c r="O60" i="89" s="1"/>
  <c r="O51" i="89"/>
  <c r="CN193" i="1"/>
  <c r="W99" i="89"/>
  <c r="V135" i="89"/>
  <c r="AH109" i="2"/>
  <c r="AH110" i="2" s="1"/>
  <c r="AH122" i="2" s="1"/>
  <c r="AH118" i="2"/>
  <c r="AH112" i="2"/>
  <c r="R139" i="89"/>
  <c r="S103" i="89"/>
  <c r="Q140" i="89"/>
  <c r="R104" i="89"/>
  <c r="BD182" i="1"/>
  <c r="I105" i="89"/>
  <c r="J139" i="89"/>
  <c r="AJ97" i="2"/>
  <c r="AJ99" i="2" s="1"/>
  <c r="AJ25" i="2"/>
  <c r="M140" i="89"/>
  <c r="M105" i="89"/>
  <c r="N139" i="89"/>
  <c r="CN181" i="1"/>
  <c r="I138" i="89"/>
  <c r="H139" i="89"/>
  <c r="H104" i="89"/>
  <c r="W154" i="89"/>
  <c r="O32" i="89" l="1"/>
  <c r="DR61" i="20"/>
  <c r="AB64" i="5"/>
  <c r="CN191" i="1"/>
  <c r="BD192" i="1"/>
  <c r="AS173" i="9"/>
  <c r="AU173" i="9" s="1"/>
  <c r="AL173" i="9"/>
  <c r="Z76" i="5"/>
  <c r="DQ81" i="20"/>
  <c r="AA32" i="5"/>
  <c r="AA61" i="5" s="1"/>
  <c r="DR59" i="20" s="1"/>
  <c r="AB54" i="15"/>
  <c r="AA49" i="15"/>
  <c r="AD162" i="10"/>
  <c r="AF165" i="10"/>
  <c r="AL51" i="94"/>
  <c r="X240" i="5"/>
  <c r="Y240" i="5" s="1"/>
  <c r="Z240" i="5" s="1"/>
  <c r="AA240" i="5" s="1"/>
  <c r="AB240" i="5" s="1"/>
  <c r="AC240" i="5" s="1"/>
  <c r="U149" i="52"/>
  <c r="V149" i="52"/>
  <c r="AB166" i="10"/>
  <c r="AD166" i="10" s="1"/>
  <c r="AI168" i="9"/>
  <c r="AB167" i="10" s="1"/>
  <c r="AD167" i="10" s="1"/>
  <c r="AB62" i="5"/>
  <c r="DS60" i="20" s="1"/>
  <c r="Y77" i="5"/>
  <c r="Y91" i="5"/>
  <c r="AI174" i="9"/>
  <c r="AB172" i="10"/>
  <c r="AD172" i="10" s="1"/>
  <c r="AF172" i="10" s="1"/>
  <c r="AG174" i="9"/>
  <c r="AJ174" i="9" s="1"/>
  <c r="AJ55" i="94"/>
  <c r="AL55" i="94" s="1"/>
  <c r="X92" i="5"/>
  <c r="DO67" i="20"/>
  <c r="X170" i="9"/>
  <c r="Z170" i="9" s="1"/>
  <c r="P170" i="9"/>
  <c r="R170" i="9" s="1"/>
  <c r="X177" i="9"/>
  <c r="P177" i="9"/>
  <c r="R177" i="9" s="1"/>
  <c r="V175" i="10"/>
  <c r="X175" i="10" s="1"/>
  <c r="Z175" i="10" s="1"/>
  <c r="Q148" i="52"/>
  <c r="T148" i="52" s="1"/>
  <c r="M176" i="9"/>
  <c r="Z176" i="9"/>
  <c r="Z169" i="9"/>
  <c r="AJ112" i="2"/>
  <c r="AJ109" i="2"/>
  <c r="AJ118" i="2"/>
  <c r="P153" i="89"/>
  <c r="P54" i="89"/>
  <c r="P22" i="89"/>
  <c r="P161" i="89"/>
  <c r="Q161" i="89" s="1"/>
  <c r="R161" i="89" s="1"/>
  <c r="U102" i="89"/>
  <c r="T138" i="89"/>
  <c r="AH115" i="2"/>
  <c r="AH121" i="2"/>
  <c r="Q141" i="89"/>
  <c r="Q143" i="89" s="1"/>
  <c r="R105" i="89"/>
  <c r="I106" i="89"/>
  <c r="J141" i="89" s="1"/>
  <c r="J143" i="89" s="1"/>
  <c r="J140" i="89"/>
  <c r="R140" i="89"/>
  <c r="S104" i="89"/>
  <c r="U137" i="89"/>
  <c r="V101" i="89"/>
  <c r="V136" i="89"/>
  <c r="W100" i="89"/>
  <c r="AL97" i="2"/>
  <c r="AL99" i="2" s="1"/>
  <c r="AL25" i="2"/>
  <c r="AR57" i="3"/>
  <c r="AR59" i="3" s="1"/>
  <c r="AP60" i="3"/>
  <c r="AP8" i="2"/>
  <c r="W135" i="89"/>
  <c r="AN14" i="2"/>
  <c r="AN55" i="2"/>
  <c r="AN77" i="2"/>
  <c r="T103" i="89"/>
  <c r="S139" i="89"/>
  <c r="K141" i="89"/>
  <c r="K143" i="89" s="1"/>
  <c r="K106" i="89"/>
  <c r="L141" i="89" s="1"/>
  <c r="L143" i="89" s="1"/>
  <c r="L140" i="89"/>
  <c r="M141" i="89"/>
  <c r="M143" i="89" s="1"/>
  <c r="M106" i="89"/>
  <c r="N141" i="89" s="1"/>
  <c r="N140" i="89"/>
  <c r="AJ79" i="2"/>
  <c r="AJ61" i="2"/>
  <c r="AJ56" i="2"/>
  <c r="BD180" i="1"/>
  <c r="BD181" i="1" s="1"/>
  <c r="O92" i="15" s="1"/>
  <c r="BD189" i="1"/>
  <c r="CR178" i="1"/>
  <c r="CR182" i="1" s="1"/>
  <c r="CR187" i="1"/>
  <c r="I139" i="89"/>
  <c r="H140" i="89"/>
  <c r="H105" i="89"/>
  <c r="DS61" i="20" l="1"/>
  <c r="AC64" i="5"/>
  <c r="DT61" i="20" s="1"/>
  <c r="N172" i="10"/>
  <c r="Z177" i="9"/>
  <c r="AJ56" i="94"/>
  <c r="AS174" i="9"/>
  <c r="AU174" i="9" s="1"/>
  <c r="AL174" i="9"/>
  <c r="AN174" i="9" s="1"/>
  <c r="AB173" i="10"/>
  <c r="AD173" i="10" s="1"/>
  <c r="AF173" i="10" s="1"/>
  <c r="AI175" i="9"/>
  <c r="AF167" i="10"/>
  <c r="X237" i="5"/>
  <c r="X241" i="5"/>
  <c r="AG175" i="9"/>
  <c r="AF166" i="10"/>
  <c r="AU51" i="94"/>
  <c r="AL52" i="94"/>
  <c r="AN52" i="94" s="1"/>
  <c r="AP52" i="94" s="1"/>
  <c r="AN51" i="94"/>
  <c r="Z77" i="5"/>
  <c r="Z91" i="5"/>
  <c r="AC62" i="5"/>
  <c r="DT60" i="20" s="1"/>
  <c r="AB49" i="15"/>
  <c r="AC54" i="15"/>
  <c r="AB32" i="5"/>
  <c r="AB61" i="5" s="1"/>
  <c r="DS59" i="20" s="1"/>
  <c r="AA76" i="5"/>
  <c r="AH61" i="5"/>
  <c r="DR81" i="20"/>
  <c r="Y92" i="5"/>
  <c r="DP67" i="20"/>
  <c r="AN55" i="94"/>
  <c r="AP55" i="94" s="1"/>
  <c r="AU55" i="94"/>
  <c r="AW55" i="94" s="1"/>
  <c r="AD169" i="10"/>
  <c r="AL112" i="2"/>
  <c r="AL118" i="2"/>
  <c r="AL109" i="2"/>
  <c r="W136" i="89"/>
  <c r="CR179" i="1"/>
  <c r="CR188" i="1"/>
  <c r="CP31" i="20" s="1"/>
  <c r="U103" i="89"/>
  <c r="T139" i="89"/>
  <c r="P162" i="89"/>
  <c r="P32" i="89"/>
  <c r="K54" i="89"/>
  <c r="K153" i="89"/>
  <c r="K22" i="89"/>
  <c r="T104" i="89"/>
  <c r="S140" i="89"/>
  <c r="J54" i="89"/>
  <c r="J153" i="89"/>
  <c r="J22" i="89"/>
  <c r="V102" i="89"/>
  <c r="U138" i="89"/>
  <c r="P55" i="89"/>
  <c r="P59" i="89"/>
  <c r="P60" i="89" s="1"/>
  <c r="P51" i="89"/>
  <c r="P52" i="89" s="1"/>
  <c r="N143" i="89"/>
  <c r="AP14" i="2"/>
  <c r="AP77" i="2"/>
  <c r="AP55" i="2"/>
  <c r="R141" i="89"/>
  <c r="R143" i="89" s="1"/>
  <c r="S105" i="89"/>
  <c r="M54" i="89"/>
  <c r="M153" i="89"/>
  <c r="M22" i="89"/>
  <c r="Q54" i="89"/>
  <c r="Q153" i="89"/>
  <c r="Q22" i="89"/>
  <c r="AS31" i="20"/>
  <c r="BD193" i="1"/>
  <c r="AN97" i="2"/>
  <c r="AN99" i="2" s="1"/>
  <c r="AN25" i="2"/>
  <c r="AT57" i="3"/>
  <c r="AT59" i="3" s="1"/>
  <c r="AR60" i="3"/>
  <c r="AR8" i="2"/>
  <c r="V137" i="89"/>
  <c r="W101" i="89"/>
  <c r="AJ110" i="2"/>
  <c r="AJ122" i="2" s="1"/>
  <c r="AJ121" i="2"/>
  <c r="AJ115" i="2"/>
  <c r="CO31" i="20"/>
  <c r="BD190" i="1"/>
  <c r="AT31" i="20" s="1"/>
  <c r="BH177" i="1"/>
  <c r="L153" i="89"/>
  <c r="L54" i="89"/>
  <c r="L22" i="89"/>
  <c r="AL61" i="2"/>
  <c r="AL79" i="2"/>
  <c r="AL56" i="2"/>
  <c r="S161" i="89"/>
  <c r="T161" i="89" s="1"/>
  <c r="H141" i="89"/>
  <c r="H143" i="89" s="1"/>
  <c r="I140" i="89"/>
  <c r="H106" i="89"/>
  <c r="I141" i="89" s="1"/>
  <c r="CR192" i="1" l="1"/>
  <c r="J172" i="10"/>
  <c r="R172" i="10" s="1"/>
  <c r="P172" i="10"/>
  <c r="W137" i="89"/>
  <c r="X172" i="10"/>
  <c r="Z172" i="10" s="1"/>
  <c r="T172" i="10"/>
  <c r="X243" i="5"/>
  <c r="X244" i="5" s="1"/>
  <c r="X246" i="5"/>
  <c r="X247" i="5" s="1"/>
  <c r="AL56" i="94"/>
  <c r="AJ57" i="94"/>
  <c r="AJ175" i="9"/>
  <c r="AG176" i="9"/>
  <c r="AJ176" i="9" s="1"/>
  <c r="AC49" i="15"/>
  <c r="DQ67" i="20"/>
  <c r="Z92" i="5"/>
  <c r="AW51" i="94"/>
  <c r="AU52" i="94"/>
  <c r="AW52" i="94" s="1"/>
  <c r="AA91" i="5"/>
  <c r="AH76" i="5"/>
  <c r="AA77" i="5"/>
  <c r="DS81" i="20"/>
  <c r="AC32" i="5"/>
  <c r="AC61" i="5" s="1"/>
  <c r="DT59" i="20" s="1"/>
  <c r="AB76" i="5"/>
  <c r="AD176" i="10"/>
  <c r="X238" i="5"/>
  <c r="X251" i="5" s="1"/>
  <c r="AN79" i="2"/>
  <c r="AN56" i="2"/>
  <c r="AN61" i="2"/>
  <c r="Q59" i="89"/>
  <c r="Q60" i="89" s="1"/>
  <c r="Q51" i="89"/>
  <c r="Q52" i="89" s="1"/>
  <c r="Q55" i="89"/>
  <c r="Q162" i="89"/>
  <c r="R162" i="89" s="1"/>
  <c r="S162" i="89" s="1"/>
  <c r="AL110" i="2"/>
  <c r="AL122" i="2" s="1"/>
  <c r="AL115" i="2"/>
  <c r="AL121" i="2"/>
  <c r="AN118" i="2"/>
  <c r="AN109" i="2"/>
  <c r="AN112" i="2"/>
  <c r="U139" i="89"/>
  <c r="V103" i="89"/>
  <c r="CR189" i="1"/>
  <c r="CR180" i="1"/>
  <c r="CR190" i="1" s="1"/>
  <c r="CR31" i="20" s="1"/>
  <c r="CR183" i="1"/>
  <c r="BD191" i="1"/>
  <c r="O93" i="15" s="1"/>
  <c r="M159" i="89"/>
  <c r="M32" i="89"/>
  <c r="AP97" i="2"/>
  <c r="AP99" i="2" s="1"/>
  <c r="AP25" i="2"/>
  <c r="V138" i="89"/>
  <c r="W102" i="89"/>
  <c r="U104" i="89"/>
  <c r="T140" i="89"/>
  <c r="U161" i="89"/>
  <c r="V161" i="89" s="1"/>
  <c r="W161" i="89" s="1"/>
  <c r="L158" i="89"/>
  <c r="L32" i="89"/>
  <c r="N153" i="89"/>
  <c r="N54" i="89"/>
  <c r="N22" i="89"/>
  <c r="J156" i="89"/>
  <c r="J32" i="89"/>
  <c r="K157" i="89"/>
  <c r="K32" i="89"/>
  <c r="L59" i="89"/>
  <c r="L60" i="89" s="1"/>
  <c r="L51" i="89"/>
  <c r="L55" i="89"/>
  <c r="AR55" i="2"/>
  <c r="AR77" i="2"/>
  <c r="AR14" i="2"/>
  <c r="M59" i="89"/>
  <c r="M60" i="89" s="1"/>
  <c r="M55" i="89"/>
  <c r="M51" i="89"/>
  <c r="M52" i="89" s="1"/>
  <c r="I143" i="89"/>
  <c r="I22" i="89" s="1"/>
  <c r="I32" i="89" s="1"/>
  <c r="I30" i="89" s="1"/>
  <c r="Q163" i="89"/>
  <c r="Q32" i="89"/>
  <c r="S141" i="89"/>
  <c r="S143" i="89" s="1"/>
  <c r="T105" i="89"/>
  <c r="J51" i="89"/>
  <c r="J59" i="89"/>
  <c r="J60" i="89" s="1"/>
  <c r="K55" i="89"/>
  <c r="K51" i="89"/>
  <c r="K59" i="89"/>
  <c r="K60" i="89" s="1"/>
  <c r="BH187" i="1"/>
  <c r="BH178" i="1"/>
  <c r="BH182" i="1"/>
  <c r="AT8" i="2"/>
  <c r="AT60" i="3"/>
  <c r="AV57" i="3"/>
  <c r="AV59" i="3" s="1"/>
  <c r="R54" i="89"/>
  <c r="R153" i="89"/>
  <c r="R22" i="89"/>
  <c r="CR191" i="1" l="1"/>
  <c r="CR181" i="1"/>
  <c r="W138" i="89"/>
  <c r="I155" i="89"/>
  <c r="J155" i="89" s="1"/>
  <c r="J171" i="89" s="1"/>
  <c r="J23" i="89" s="1"/>
  <c r="J12" i="89" s="1"/>
  <c r="J13" i="89" s="1"/>
  <c r="I153" i="89"/>
  <c r="I54" i="89"/>
  <c r="J55" i="89" s="1"/>
  <c r="AL57" i="94"/>
  <c r="AN56" i="94"/>
  <c r="AP56" i="94" s="1"/>
  <c r="AU56" i="94"/>
  <c r="AW56" i="94" s="1"/>
  <c r="AA92" i="5"/>
  <c r="DR67" i="20"/>
  <c r="AL176" i="9"/>
  <c r="AN176" i="9" s="1"/>
  <c r="AS176" i="9"/>
  <c r="AU176" i="9" s="1"/>
  <c r="AB77" i="5"/>
  <c r="AB91" i="5"/>
  <c r="AS175" i="9"/>
  <c r="AL175" i="9"/>
  <c r="AN175" i="9" s="1"/>
  <c r="AJ177" i="9"/>
  <c r="AL177" i="9" s="1"/>
  <c r="AN177" i="9" s="1"/>
  <c r="DT81" i="20"/>
  <c r="AC76" i="5"/>
  <c r="J175" i="10"/>
  <c r="R175" i="10" s="1"/>
  <c r="P175" i="10"/>
  <c r="J173" i="10"/>
  <c r="P173" i="10"/>
  <c r="T173" i="10"/>
  <c r="N173" i="10"/>
  <c r="X173" i="10"/>
  <c r="Z173" i="10" s="1"/>
  <c r="AT14" i="2"/>
  <c r="AT25" i="2" s="1"/>
  <c r="AT55" i="2"/>
  <c r="AT77" i="2"/>
  <c r="T141" i="89"/>
  <c r="T143" i="89" s="1"/>
  <c r="U105" i="89"/>
  <c r="M158" i="89"/>
  <c r="N158" i="89" s="1"/>
  <c r="AX57" i="3"/>
  <c r="AV60" i="3"/>
  <c r="AV8" i="2"/>
  <c r="U140" i="89"/>
  <c r="V104" i="89"/>
  <c r="S153" i="89"/>
  <c r="S54" i="89"/>
  <c r="S22" i="89"/>
  <c r="AR25" i="2"/>
  <c r="AR97" i="2"/>
  <c r="AR99" i="2" s="1"/>
  <c r="L157" i="89"/>
  <c r="M157" i="89" s="1"/>
  <c r="N157" i="89" s="1"/>
  <c r="AP56" i="2"/>
  <c r="AP79" i="2"/>
  <c r="AP61" i="2"/>
  <c r="CQ31" i="20"/>
  <c r="CR193" i="1"/>
  <c r="AP109" i="2"/>
  <c r="AP112" i="2"/>
  <c r="AP118" i="2"/>
  <c r="V139" i="89"/>
  <c r="W103" i="89"/>
  <c r="W139" i="89" s="1"/>
  <c r="R164" i="89"/>
  <c r="R32" i="89"/>
  <c r="K52" i="89"/>
  <c r="R163" i="89"/>
  <c r="S163" i="89" s="1"/>
  <c r="T163" i="89" s="1"/>
  <c r="U163" i="89" s="1"/>
  <c r="K156" i="89"/>
  <c r="L156" i="89" s="1"/>
  <c r="M156" i="89" s="1"/>
  <c r="N156" i="89" s="1"/>
  <c r="T162" i="89"/>
  <c r="U162" i="89" s="1"/>
  <c r="V162" i="89" s="1"/>
  <c r="W162" i="89" s="1"/>
  <c r="BH179" i="1"/>
  <c r="BH188" i="1"/>
  <c r="AW31" i="20" s="1"/>
  <c r="N160" i="89"/>
  <c r="N32" i="89"/>
  <c r="N159" i="89"/>
  <c r="O159" i="89" s="1"/>
  <c r="R55" i="89"/>
  <c r="R51" i="89"/>
  <c r="R52" i="89" s="1"/>
  <c r="R59" i="89"/>
  <c r="R60" i="89" s="1"/>
  <c r="AV31" i="20"/>
  <c r="L52" i="89"/>
  <c r="N59" i="89"/>
  <c r="N60" i="89" s="1"/>
  <c r="N51" i="89"/>
  <c r="N55" i="89"/>
  <c r="O55" i="89"/>
  <c r="DF31" i="20"/>
  <c r="P93" i="15"/>
  <c r="AN110" i="2"/>
  <c r="AN122" i="2" s="1"/>
  <c r="AN115" i="2"/>
  <c r="AN121" i="2"/>
  <c r="I15" i="89"/>
  <c r="I38" i="89" s="1"/>
  <c r="I33" i="89"/>
  <c r="J29" i="89" s="1"/>
  <c r="I51" i="89" l="1"/>
  <c r="J52" i="89" s="1"/>
  <c r="O158" i="89"/>
  <c r="P158" i="89" s="1"/>
  <c r="I171" i="89"/>
  <c r="I23" i="89" s="1"/>
  <c r="I12" i="89" s="1"/>
  <c r="I13" i="89" s="1"/>
  <c r="I16" i="89" s="1"/>
  <c r="P159" i="89"/>
  <c r="Q159" i="89" s="1"/>
  <c r="O157" i="89"/>
  <c r="P157" i="89" s="1"/>
  <c r="O156" i="89"/>
  <c r="P156" i="89" s="1"/>
  <c r="V163" i="89"/>
  <c r="W163" i="89" s="1"/>
  <c r="AU57" i="94"/>
  <c r="AW57" i="94" s="1"/>
  <c r="AN57" i="94"/>
  <c r="AP57" i="94" s="1"/>
  <c r="DS67" i="20"/>
  <c r="AB92" i="5"/>
  <c r="AC91" i="5"/>
  <c r="AC77" i="5"/>
  <c r="AS177" i="9"/>
  <c r="AU177" i="9" s="1"/>
  <c r="AU175" i="9"/>
  <c r="R173" i="10"/>
  <c r="J176" i="10"/>
  <c r="R176" i="10" s="1"/>
  <c r="AR56" i="2"/>
  <c r="AR61" i="2"/>
  <c r="AR79" i="2"/>
  <c r="U141" i="89"/>
  <c r="U143" i="89" s="1"/>
  <c r="V105" i="89"/>
  <c r="AP110" i="2"/>
  <c r="AP122" i="2" s="1"/>
  <c r="AP121" i="2"/>
  <c r="AP115" i="2"/>
  <c r="S165" i="89"/>
  <c r="S32" i="89"/>
  <c r="T153" i="89"/>
  <c r="T54" i="89"/>
  <c r="T22" i="89"/>
  <c r="DG31" i="20"/>
  <c r="Q93" i="15"/>
  <c r="P92" i="15"/>
  <c r="Q92" i="15" s="1"/>
  <c r="S55" i="89"/>
  <c r="S59" i="89"/>
  <c r="S51" i="89"/>
  <c r="S52" i="89" s="1"/>
  <c r="S60" i="89"/>
  <c r="BH192" i="1"/>
  <c r="S164" i="89"/>
  <c r="T164" i="89" s="1"/>
  <c r="U164" i="89" s="1"/>
  <c r="V164" i="89" s="1"/>
  <c r="W164" i="89" s="1"/>
  <c r="W104" i="89"/>
  <c r="W140" i="89" s="1"/>
  <c r="V140" i="89"/>
  <c r="AT61" i="2"/>
  <c r="AT79" i="2"/>
  <c r="AT56" i="2"/>
  <c r="O160" i="89"/>
  <c r="P160" i="89" s="1"/>
  <c r="N52" i="89"/>
  <c r="O52" i="89"/>
  <c r="AV14" i="2"/>
  <c r="AV25" i="2" s="1"/>
  <c r="AV77" i="2"/>
  <c r="AV55" i="2"/>
  <c r="K155" i="89"/>
  <c r="K171" i="89" s="1"/>
  <c r="K23" i="89" s="1"/>
  <c r="K12" i="89" s="1"/>
  <c r="K13" i="89" s="1"/>
  <c r="BH180" i="1"/>
  <c r="BH190" i="1" s="1"/>
  <c r="AY31" i="20" s="1"/>
  <c r="BH189" i="1"/>
  <c r="BH191" i="1" s="1"/>
  <c r="AR118" i="2"/>
  <c r="AR109" i="2"/>
  <c r="AR112" i="2"/>
  <c r="BH183" i="1"/>
  <c r="J30" i="89"/>
  <c r="J15" i="89" s="1"/>
  <c r="J38" i="89" s="1"/>
  <c r="BH181" i="1" l="1"/>
  <c r="Q158" i="89"/>
  <c r="R158" i="89" s="1"/>
  <c r="S158" i="89" s="1"/>
  <c r="T158" i="89" s="1"/>
  <c r="U158" i="89" s="1"/>
  <c r="V158" i="89" s="1"/>
  <c r="W158" i="89" s="1"/>
  <c r="I24" i="89"/>
  <c r="I37" i="89" s="1"/>
  <c r="I39" i="89" s="1"/>
  <c r="R159" i="89"/>
  <c r="S159" i="89" s="1"/>
  <c r="T159" i="89" s="1"/>
  <c r="U159" i="89" s="1"/>
  <c r="V159" i="89" s="1"/>
  <c r="W159" i="89" s="1"/>
  <c r="L155" i="89"/>
  <c r="L171" i="89" s="1"/>
  <c r="L23" i="89" s="1"/>
  <c r="L12" i="89" s="1"/>
  <c r="L13" i="89" s="1"/>
  <c r="Q156" i="89"/>
  <c r="R156" i="89" s="1"/>
  <c r="DT67" i="20"/>
  <c r="AC92" i="5"/>
  <c r="AV79" i="2"/>
  <c r="AV61" i="2"/>
  <c r="AV56" i="2"/>
  <c r="T165" i="89"/>
  <c r="U165" i="89" s="1"/>
  <c r="V165" i="89" s="1"/>
  <c r="U153" i="89"/>
  <c r="U54" i="89"/>
  <c r="U22" i="89"/>
  <c r="AX31" i="20"/>
  <c r="BH193" i="1"/>
  <c r="DH31" i="20"/>
  <c r="R93" i="15"/>
  <c r="R92" i="15" s="1"/>
  <c r="T59" i="89"/>
  <c r="T60" i="89" s="1"/>
  <c r="T51" i="89"/>
  <c r="T52" i="89" s="1"/>
  <c r="T55" i="89"/>
  <c r="AR110" i="2"/>
  <c r="AR122" i="2" s="1"/>
  <c r="AR121" i="2"/>
  <c r="AR115" i="2"/>
  <c r="Q160" i="89"/>
  <c r="Q157" i="89"/>
  <c r="T166" i="89"/>
  <c r="T32" i="89"/>
  <c r="W105" i="89"/>
  <c r="W141" i="89" s="1"/>
  <c r="W143" i="89" s="1"/>
  <c r="V141" i="89"/>
  <c r="V143" i="89" s="1"/>
  <c r="J33" i="89"/>
  <c r="K29" i="89" s="1"/>
  <c r="J16" i="89"/>
  <c r="J21" i="89" l="1"/>
  <c r="J24" i="89" s="1"/>
  <c r="J37" i="89" s="1"/>
  <c r="J39" i="89" s="1"/>
  <c r="M155" i="89"/>
  <c r="M171" i="89" s="1"/>
  <c r="M23" i="89" s="1"/>
  <c r="M12" i="89" s="1"/>
  <c r="M13" i="89" s="1"/>
  <c r="I35" i="89"/>
  <c r="S156" i="89"/>
  <c r="T156" i="89" s="1"/>
  <c r="U156" i="89" s="1"/>
  <c r="V156" i="89" s="1"/>
  <c r="W156" i="89" s="1"/>
  <c r="U166" i="89"/>
  <c r="V166" i="89" s="1"/>
  <c r="R160" i="89"/>
  <c r="S160" i="89" s="1"/>
  <c r="T160" i="89" s="1"/>
  <c r="U160" i="89" s="1"/>
  <c r="V160" i="89" s="1"/>
  <c r="U167" i="89"/>
  <c r="V167" i="89" s="1"/>
  <c r="W167" i="89" s="1"/>
  <c r="U32" i="89"/>
  <c r="V153" i="89"/>
  <c r="V54" i="89"/>
  <c r="V22" i="89"/>
  <c r="U55" i="89"/>
  <c r="U51" i="89"/>
  <c r="U52" i="89" s="1"/>
  <c r="U59" i="89"/>
  <c r="U60" i="89" s="1"/>
  <c r="W153" i="89"/>
  <c r="W54" i="89"/>
  <c r="W22" i="89"/>
  <c r="S93" i="15"/>
  <c r="DI31" i="20"/>
  <c r="W165" i="89"/>
  <c r="R157" i="89"/>
  <c r="K30" i="89"/>
  <c r="K15" i="89" s="1"/>
  <c r="J35" i="89" l="1"/>
  <c r="K21" i="89"/>
  <c r="K24" i="89" s="1"/>
  <c r="L21" i="89" s="1"/>
  <c r="L24" i="89" s="1"/>
  <c r="N155" i="89"/>
  <c r="N171" i="89" s="1"/>
  <c r="N23" i="89" s="1"/>
  <c r="N12" i="89" s="1"/>
  <c r="N13" i="89" s="1"/>
  <c r="K33" i="89"/>
  <c r="L29" i="89" s="1"/>
  <c r="L30" i="89" s="1"/>
  <c r="L15" i="89" s="1"/>
  <c r="W160" i="89"/>
  <c r="DJ31" i="20"/>
  <c r="T93" i="15"/>
  <c r="W169" i="89"/>
  <c r="W32" i="89"/>
  <c r="W55" i="89"/>
  <c r="W51" i="89"/>
  <c r="W59" i="89"/>
  <c r="W60" i="89" s="1"/>
  <c r="V168" i="89"/>
  <c r="W168" i="89" s="1"/>
  <c r="V32" i="89"/>
  <c r="W166" i="89"/>
  <c r="V59" i="89"/>
  <c r="V60" i="89" s="1"/>
  <c r="V55" i="89"/>
  <c r="V51" i="89"/>
  <c r="V52" i="89" s="1"/>
  <c r="S157" i="89"/>
  <c r="T157" i="89" s="1"/>
  <c r="S92" i="15"/>
  <c r="T92" i="15" s="1"/>
  <c r="K38" i="89"/>
  <c r="K16" i="89"/>
  <c r="O155" i="89" l="1"/>
  <c r="P155" i="89" s="1"/>
  <c r="P171" i="89" s="1"/>
  <c r="P23" i="89" s="1"/>
  <c r="P12" i="89" s="1"/>
  <c r="P13" i="89" s="1"/>
  <c r="U157" i="89"/>
  <c r="V157" i="89" s="1"/>
  <c r="W157" i="89" s="1"/>
  <c r="K37" i="89"/>
  <c r="K39" i="89" s="1"/>
  <c r="K35" i="89"/>
  <c r="L33" i="89"/>
  <c r="M29" i="89" s="1"/>
  <c r="M30" i="89" s="1"/>
  <c r="M15" i="89" s="1"/>
  <c r="W52" i="89"/>
  <c r="U93" i="15"/>
  <c r="U92" i="15" s="1"/>
  <c r="DK31" i="20"/>
  <c r="M21" i="89"/>
  <c r="M24" i="89" s="1"/>
  <c r="L38" i="89"/>
  <c r="L16" i="89"/>
  <c r="Q155" i="89" l="1"/>
  <c r="Q171" i="89" s="1"/>
  <c r="Q23" i="89" s="1"/>
  <c r="Q12" i="89" s="1"/>
  <c r="O171" i="89"/>
  <c r="O23" i="89" s="1"/>
  <c r="O12" i="89" s="1"/>
  <c r="O13" i="89" s="1"/>
  <c r="L35" i="89"/>
  <c r="L37" i="89"/>
  <c r="L39" i="89" s="1"/>
  <c r="DL31" i="20"/>
  <c r="V93" i="15"/>
  <c r="V92" i="15" s="1"/>
  <c r="M33" i="89"/>
  <c r="N29" i="89" s="1"/>
  <c r="N21" i="89"/>
  <c r="N24" i="89" s="1"/>
  <c r="M38" i="89"/>
  <c r="M16" i="89"/>
  <c r="Q13" i="89" l="1"/>
  <c r="R155" i="89"/>
  <c r="S155" i="89" s="1"/>
  <c r="S171" i="89" s="1"/>
  <c r="S23" i="89" s="1"/>
  <c r="S12" i="89" s="1"/>
  <c r="DM31" i="20"/>
  <c r="W93" i="15"/>
  <c r="N30" i="89"/>
  <c r="N15" i="89" s="1"/>
  <c r="O21" i="89"/>
  <c r="O24" i="89" s="1"/>
  <c r="M37" i="89"/>
  <c r="M39" i="89" s="1"/>
  <c r="M35" i="89"/>
  <c r="R171" i="89" l="1"/>
  <c r="R23" i="89" s="1"/>
  <c r="R12" i="89" s="1"/>
  <c r="N33" i="89"/>
  <c r="O29" i="89" s="1"/>
  <c r="O30" i="89" s="1"/>
  <c r="O15" i="89" s="1"/>
  <c r="T155" i="89"/>
  <c r="U155" i="89" s="1"/>
  <c r="DN31" i="20"/>
  <c r="X93" i="15"/>
  <c r="W92" i="15"/>
  <c r="P21" i="89"/>
  <c r="P24" i="89" s="1"/>
  <c r="S13" i="89"/>
  <c r="N38" i="89"/>
  <c r="N16" i="89"/>
  <c r="R13" i="89" l="1"/>
  <c r="T171" i="89"/>
  <c r="T23" i="89" s="1"/>
  <c r="T12" i="89" s="1"/>
  <c r="T13" i="89" s="1"/>
  <c r="N35" i="89"/>
  <c r="N37" i="89"/>
  <c r="N39" i="89" s="1"/>
  <c r="X92" i="15"/>
  <c r="O33" i="89"/>
  <c r="O35" i="89" s="1"/>
  <c r="DO31" i="20"/>
  <c r="Y93" i="15"/>
  <c r="Q21" i="89"/>
  <c r="Q24" i="89" s="1"/>
  <c r="O38" i="89"/>
  <c r="O16" i="89"/>
  <c r="U171" i="89"/>
  <c r="U23" i="89" s="1"/>
  <c r="U12" i="89" s="1"/>
  <c r="U13" i="89" s="1"/>
  <c r="V155" i="89"/>
  <c r="Y92" i="15" l="1"/>
  <c r="DP31" i="20"/>
  <c r="Z93" i="15"/>
  <c r="P29" i="89"/>
  <c r="P30" i="89" s="1"/>
  <c r="P15" i="89" s="1"/>
  <c r="P16" i="89" s="1"/>
  <c r="O37" i="89"/>
  <c r="O39" i="89" s="1"/>
  <c r="W155" i="89"/>
  <c r="W171" i="89" s="1"/>
  <c r="W23" i="89" s="1"/>
  <c r="W12" i="89" s="1"/>
  <c r="W13" i="89" s="1"/>
  <c r="V171" i="89"/>
  <c r="V23" i="89" s="1"/>
  <c r="V12" i="89" s="1"/>
  <c r="V13" i="89" s="1"/>
  <c r="R21" i="89"/>
  <c r="R24" i="89" s="1"/>
  <c r="Z92" i="15" l="1"/>
  <c r="P38" i="89"/>
  <c r="P33" i="89"/>
  <c r="Q29" i="89" s="1"/>
  <c r="DQ31" i="20"/>
  <c r="AA93" i="15"/>
  <c r="S21" i="89"/>
  <c r="S24" i="89" s="1"/>
  <c r="AA92" i="15" l="1"/>
  <c r="P37" i="89"/>
  <c r="P39" i="89" s="1"/>
  <c r="P35" i="89"/>
  <c r="DR31" i="20"/>
  <c r="AD93" i="15"/>
  <c r="AB93" i="15"/>
  <c r="Q30" i="89"/>
  <c r="Q15" i="89" s="1"/>
  <c r="T21" i="89"/>
  <c r="T24" i="89" s="1"/>
  <c r="AB92" i="15" l="1"/>
  <c r="AD92" i="15"/>
  <c r="Q33" i="89"/>
  <c r="Q35" i="89" s="1"/>
  <c r="DS31" i="20"/>
  <c r="AC93" i="15"/>
  <c r="DT31" i="20" s="1"/>
  <c r="Q38" i="89"/>
  <c r="Q16" i="89"/>
  <c r="U21" i="89"/>
  <c r="U24" i="89" s="1"/>
  <c r="R29" i="89" l="1"/>
  <c r="R30" i="89" s="1"/>
  <c r="R15" i="89" s="1"/>
  <c r="Q37" i="89"/>
  <c r="Q39" i="89" s="1"/>
  <c r="AC92" i="15"/>
  <c r="V21" i="89"/>
  <c r="V24" i="89" s="1"/>
  <c r="R33" i="89" l="1"/>
  <c r="W21" i="89"/>
  <c r="W24" i="89" s="1"/>
  <c r="R38" i="89"/>
  <c r="R16" i="89"/>
  <c r="R37" i="89" l="1"/>
  <c r="R39" i="89" s="1"/>
  <c r="S29" i="89"/>
  <c r="S30" i="89" s="1"/>
  <c r="S15" i="89" s="1"/>
  <c r="R35" i="89"/>
  <c r="S38" i="89" l="1"/>
  <c r="S16" i="89"/>
  <c r="S33" i="89"/>
  <c r="T29" i="89" l="1"/>
  <c r="S37" i="89"/>
  <c r="S39" i="89" s="1"/>
  <c r="S35" i="89"/>
  <c r="T30" i="89" l="1"/>
  <c r="T15" i="89" l="1"/>
  <c r="T33" i="89"/>
  <c r="U29" i="89" l="1"/>
  <c r="T35" i="89"/>
  <c r="T37" i="89"/>
  <c r="T39" i="89" s="1"/>
  <c r="T38" i="89"/>
  <c r="T16" i="89"/>
  <c r="U30" i="89" l="1"/>
  <c r="U15" i="89" s="1"/>
  <c r="U33" i="89" l="1"/>
  <c r="U37" i="89" s="1"/>
  <c r="U39" i="89" s="1"/>
  <c r="U38" i="89"/>
  <c r="U16" i="89"/>
  <c r="U35" i="89" l="1"/>
  <c r="V29" i="89"/>
  <c r="V30" i="89" s="1"/>
  <c r="V15" i="89" s="1"/>
  <c r="V33" i="89" l="1"/>
  <c r="W29" i="89" s="1"/>
  <c r="V38" i="89"/>
  <c r="V16" i="89"/>
  <c r="V37" i="89" l="1"/>
  <c r="V39" i="89" s="1"/>
  <c r="V35" i="89"/>
  <c r="W30" i="89"/>
  <c r="W15" i="89" s="1"/>
  <c r="W33" i="89" l="1"/>
  <c r="W35" i="89" s="1"/>
  <c r="W38" i="89"/>
  <c r="W16" i="89"/>
  <c r="W37" i="89" l="1"/>
  <c r="W39" i="89" s="1"/>
  <c r="BN89" i="77" l="1"/>
  <c r="BN96" i="77"/>
  <c r="BV89" i="77"/>
  <c r="CA89" i="77" l="1"/>
  <c r="BV96" i="77"/>
  <c r="AJ141" i="52"/>
  <c r="AL141" i="52"/>
  <c r="AL142" i="52" s="1"/>
  <c r="AM142" i="52" s="1"/>
  <c r="AI141" i="52"/>
  <c r="AH148" i="52"/>
  <c r="AL148" i="52" s="1"/>
  <c r="AL149" i="52" s="1"/>
  <c r="AH149" i="52"/>
  <c r="AJ149" i="52" s="1"/>
  <c r="AJ148" i="52" l="1"/>
  <c r="AM141" i="52"/>
  <c r="AN141" i="52"/>
  <c r="AI149" i="52"/>
  <c r="AN149" i="52"/>
  <c r="AM149" i="52"/>
  <c r="AM148" i="52"/>
  <c r="AN148" i="52"/>
  <c r="AN142" i="52"/>
  <c r="Y241" i="5" l="1"/>
  <c r="Y237" i="5"/>
  <c r="Y238" i="5" s="1"/>
  <c r="Y251" i="5" s="1"/>
  <c r="AJ58" i="94"/>
  <c r="AL58" i="94" s="1"/>
  <c r="Z237" i="5"/>
  <c r="Z238" i="5" l="1"/>
  <c r="Z14" i="5" s="1"/>
  <c r="Z243" i="5"/>
  <c r="AN58" i="94"/>
  <c r="AP58" i="94" s="1"/>
  <c r="AU58" i="94"/>
  <c r="AL59" i="94"/>
  <c r="AN59" i="94" s="1"/>
  <c r="AP59" i="94" s="1"/>
  <c r="Z241" i="5"/>
  <c r="Y243" i="5"/>
  <c r="Y244" i="5" s="1"/>
  <c r="Y246" i="5"/>
  <c r="Y247" i="5" s="1"/>
  <c r="AA237" i="5" l="1"/>
  <c r="AA241" i="5"/>
  <c r="AW58" i="94"/>
  <c r="AU59" i="94"/>
  <c r="AW59" i="94" s="1"/>
  <c r="Z244" i="5"/>
  <c r="AA243" i="5" l="1"/>
  <c r="AA244" i="5" s="1"/>
  <c r="AA238" i="5"/>
  <c r="AB237" i="5"/>
  <c r="AB241" i="5"/>
  <c r="AC237" i="5" l="1"/>
  <c r="AC241" i="5"/>
  <c r="AB238" i="5"/>
  <c r="AB243" i="5"/>
  <c r="AB244" i="5" s="1"/>
  <c r="AC243" i="5" l="1"/>
  <c r="AC238" i="5"/>
  <c r="AC244" i="5" l="1"/>
  <c r="AD244" i="5"/>
  <c r="Z246" i="5" l="1"/>
  <c r="Z247" i="5" s="1"/>
  <c r="AA14" i="5"/>
  <c r="Z15" i="5"/>
  <c r="Z234" i="5"/>
  <c r="Z235" i="5" s="1"/>
  <c r="AB14" i="5" l="1"/>
  <c r="AC14" i="5" l="1"/>
  <c r="AB15" i="5" l="1"/>
  <c r="AA246" i="5"/>
  <c r="AC15" i="5"/>
  <c r="AA234" i="5"/>
  <c r="AA235" i="5" s="1"/>
  <c r="AC234" i="5"/>
  <c r="AB246" i="5"/>
  <c r="AB234" i="5"/>
  <c r="AC246" i="5"/>
  <c r="AA15" i="5"/>
  <c r="AC247" i="5" l="1"/>
  <c r="AB235" i="5"/>
  <c r="AC235" i="5"/>
  <c r="AB247" i="5"/>
  <c r="AA247" i="5"/>
  <c r="D93" i="77" l="1"/>
  <c r="E93" i="77" s="1"/>
  <c r="H173" i="9"/>
  <c r="R173" i="9" s="1"/>
  <c r="AN173" i="9" l="1"/>
  <c r="AE167" i="9"/>
  <c r="AC167" i="9" s="1"/>
  <c r="AD167" i="9" s="1"/>
  <c r="AO93" i="77"/>
  <c r="AH49" i="94"/>
  <c r="AF49" i="94" s="1"/>
  <c r="AG49" i="94" s="1"/>
  <c r="BE93" i="77"/>
  <c r="D97" i="77"/>
  <c r="AG93" i="77"/>
  <c r="AI93" i="77" s="1"/>
  <c r="F93" i="77"/>
  <c r="AP93" i="77" l="1"/>
  <c r="AO97" i="77"/>
  <c r="E97" i="77"/>
  <c r="Y8" i="5"/>
  <c r="AG97" i="77"/>
  <c r="AI97" i="77" s="1"/>
  <c r="F97" i="77"/>
  <c r="BF93" i="77"/>
  <c r="BE97" i="77"/>
  <c r="BU93" i="77"/>
  <c r="CA93" i="77" s="1"/>
  <c r="BF97" i="77" l="1"/>
  <c r="BG97" i="77"/>
  <c r="Z8" i="5"/>
  <c r="Y9" i="5"/>
  <c r="Y160" i="5"/>
  <c r="DP68" i="20" s="1"/>
  <c r="Y94" i="5"/>
  <c r="Y95" i="5" s="1"/>
  <c r="Y161" i="5"/>
  <c r="DP69" i="20" s="1"/>
  <c r="Y151" i="5"/>
  <c r="Y79" i="5"/>
  <c r="Y80" i="5" s="1"/>
  <c r="AP97" i="77"/>
  <c r="AQ97" i="77"/>
  <c r="BV93" i="77"/>
  <c r="BU97" i="77"/>
  <c r="BV97" i="77" s="1"/>
  <c r="CA97" i="77" l="1"/>
  <c r="Z9" i="5"/>
  <c r="AA8" i="5"/>
  <c r="Z160" i="5"/>
  <c r="DQ68" i="20" s="1"/>
  <c r="Z161" i="5"/>
  <c r="DQ69" i="20" s="1"/>
  <c r="Z12" i="5"/>
  <c r="Z94" i="5"/>
  <c r="Z95" i="5" s="1"/>
  <c r="Z79" i="5"/>
  <c r="Z80" i="5" s="1"/>
  <c r="AH8" i="5" l="1"/>
  <c r="AB8" i="5"/>
  <c r="AA9" i="5"/>
  <c r="AA160" i="5"/>
  <c r="DR68" i="20" s="1"/>
  <c r="AA161" i="5"/>
  <c r="DR69" i="20" s="1"/>
  <c r="AA94" i="5"/>
  <c r="AA12" i="5"/>
  <c r="AA79" i="5"/>
  <c r="Z13" i="5"/>
  <c r="Z25" i="5"/>
  <c r="Z26" i="5" l="1"/>
  <c r="Z7" i="15"/>
  <c r="AA95" i="5"/>
  <c r="AH94" i="5"/>
  <c r="AA80" i="5"/>
  <c r="AH79" i="5"/>
  <c r="AH12" i="5"/>
  <c r="AA13" i="5"/>
  <c r="AA25" i="5"/>
  <c r="AC8" i="5"/>
  <c r="AB160" i="5"/>
  <c r="DS68" i="20" s="1"/>
  <c r="AB9" i="5"/>
  <c r="AB161" i="5"/>
  <c r="DS69" i="20" s="1"/>
  <c r="AB94" i="5"/>
  <c r="AB95" i="5" s="1"/>
  <c r="AB12" i="5"/>
  <c r="AB79" i="5"/>
  <c r="AB80" i="5" s="1"/>
  <c r="AB13" i="5" l="1"/>
  <c r="AB25" i="5"/>
  <c r="AC160" i="5"/>
  <c r="DT68" i="20" s="1"/>
  <c r="AC9" i="5"/>
  <c r="AC12" i="5"/>
  <c r="AC161" i="5"/>
  <c r="DT69" i="20" s="1"/>
  <c r="AC94" i="5"/>
  <c r="AC95" i="5" s="1"/>
  <c r="AC79" i="5"/>
  <c r="AC80" i="5" s="1"/>
  <c r="Z8" i="15"/>
  <c r="Z48" i="15" s="1"/>
  <c r="Z37" i="15"/>
  <c r="Z91" i="15"/>
  <c r="Z65" i="15"/>
  <c r="Z46" i="15"/>
  <c r="Z59" i="15"/>
  <c r="E4" i="92"/>
  <c r="Z12" i="15"/>
  <c r="R6" i="73"/>
  <c r="R35" i="73" s="1"/>
  <c r="Z15" i="15"/>
  <c r="DQ10" i="20"/>
  <c r="Z74" i="15"/>
  <c r="Z18" i="15"/>
  <c r="Z23" i="15" s="1"/>
  <c r="AZ66" i="2"/>
  <c r="AA26" i="5"/>
  <c r="AH25" i="5"/>
  <c r="AA7" i="15"/>
  <c r="AA59" i="15" l="1"/>
  <c r="AA65" i="15"/>
  <c r="AA12" i="15"/>
  <c r="AA74" i="15"/>
  <c r="AA15" i="15"/>
  <c r="DR10" i="20"/>
  <c r="AA46" i="15"/>
  <c r="S6" i="73"/>
  <c r="S35" i="73" s="1"/>
  <c r="F4" i="92"/>
  <c r="BB66" i="2"/>
  <c r="AA91" i="15"/>
  <c r="AA37" i="15"/>
  <c r="AA8" i="15"/>
  <c r="AA48" i="15" s="1"/>
  <c r="AA18" i="15"/>
  <c r="AA23" i="15" s="1"/>
  <c r="AH7" i="15"/>
  <c r="AZ68" i="2"/>
  <c r="AZ31" i="2" s="1"/>
  <c r="R11" i="73"/>
  <c r="DQ15" i="20"/>
  <c r="Z17" i="15"/>
  <c r="Z107" i="15"/>
  <c r="DQ12" i="20"/>
  <c r="DQ14" i="20" s="1"/>
  <c r="AZ67" i="2"/>
  <c r="R8" i="73"/>
  <c r="R10" i="73" s="1"/>
  <c r="Z61" i="15"/>
  <c r="DQ42" i="20"/>
  <c r="DQ49" i="20"/>
  <c r="E5" i="92"/>
  <c r="E14" i="92"/>
  <c r="AZ40" i="2"/>
  <c r="AZ12" i="2"/>
  <c r="AZ11" i="2"/>
  <c r="AZ10" i="2"/>
  <c r="AZ22" i="3" s="1"/>
  <c r="AB7" i="15"/>
  <c r="AB26" i="5"/>
  <c r="R74" i="73"/>
  <c r="R114" i="73"/>
  <c r="R167" i="73"/>
  <c r="R165" i="73" s="1"/>
  <c r="R124" i="73" s="1"/>
  <c r="Z53" i="15"/>
  <c r="R12" i="73"/>
  <c r="AZ9" i="3"/>
  <c r="Z51" i="15"/>
  <c r="Z52" i="15"/>
  <c r="DQ17" i="20"/>
  <c r="AC13" i="5"/>
  <c r="AC25" i="5"/>
  <c r="AA61" i="15" l="1"/>
  <c r="AA153" i="5" s="1"/>
  <c r="DQ39" i="20"/>
  <c r="DQ18" i="20"/>
  <c r="S167" i="73"/>
  <c r="S165" i="73" s="1"/>
  <c r="S124" i="73" s="1"/>
  <c r="S74" i="73"/>
  <c r="S166" i="73" s="1"/>
  <c r="S114" i="73"/>
  <c r="S168" i="73" s="1"/>
  <c r="AC7" i="15"/>
  <c r="AC26" i="5"/>
  <c r="AB65" i="15"/>
  <c r="AB74" i="15"/>
  <c r="AB15" i="15"/>
  <c r="T6" i="73"/>
  <c r="G4" i="92"/>
  <c r="AB59" i="15"/>
  <c r="AB18" i="15"/>
  <c r="AB23" i="15" s="1"/>
  <c r="DS10" i="20"/>
  <c r="AB91" i="15"/>
  <c r="AB46" i="15"/>
  <c r="BD66" i="2"/>
  <c r="AB12" i="15"/>
  <c r="AB8" i="15"/>
  <c r="AB48" i="15" s="1"/>
  <c r="AB37" i="15"/>
  <c r="DQ40" i="20"/>
  <c r="DQ52" i="20"/>
  <c r="AH12" i="15"/>
  <c r="BB67" i="2"/>
  <c r="S8" i="73"/>
  <c r="S10" i="73" s="1"/>
  <c r="DR12" i="20"/>
  <c r="DR14" i="20" s="1"/>
  <c r="AZ13" i="3"/>
  <c r="R13" i="73"/>
  <c r="R29" i="73"/>
  <c r="AZ17" i="2"/>
  <c r="AZ73" i="3"/>
  <c r="AZ71" i="3" s="1"/>
  <c r="AZ72" i="3" s="1"/>
  <c r="R168" i="73"/>
  <c r="R85" i="73"/>
  <c r="R37" i="73"/>
  <c r="R30" i="73"/>
  <c r="BB11" i="2"/>
  <c r="BB40" i="2"/>
  <c r="BB10" i="2"/>
  <c r="BB22" i="3" s="1"/>
  <c r="BB12" i="2"/>
  <c r="BB13" i="3" s="1"/>
  <c r="DR42" i="20"/>
  <c r="DR49" i="20"/>
  <c r="R51" i="73"/>
  <c r="R130" i="73"/>
  <c r="R91" i="73"/>
  <c r="R166" i="73"/>
  <c r="R45" i="73"/>
  <c r="AZ30" i="2"/>
  <c r="AZ24" i="3"/>
  <c r="Z62" i="15"/>
  <c r="E6" i="92"/>
  <c r="Z105" i="15"/>
  <c r="Z67" i="15"/>
  <c r="Z153" i="5"/>
  <c r="Z154" i="5" s="1"/>
  <c r="AZ28" i="3"/>
  <c r="BB9" i="3"/>
  <c r="BB73" i="3" s="1"/>
  <c r="BB71" i="3" s="1"/>
  <c r="BB72" i="3" s="1"/>
  <c r="AA53" i="15"/>
  <c r="AA51" i="15"/>
  <c r="S12" i="73"/>
  <c r="DR17" i="20"/>
  <c r="AA52" i="15"/>
  <c r="F14" i="92"/>
  <c r="F5" i="92"/>
  <c r="DR15" i="20"/>
  <c r="AH15" i="15"/>
  <c r="BB68" i="2"/>
  <c r="BB31" i="2" s="1"/>
  <c r="AA107" i="15"/>
  <c r="S11" i="73"/>
  <c r="AA17" i="15"/>
  <c r="AH61" i="15" l="1"/>
  <c r="AA62" i="15"/>
  <c r="F6" i="92"/>
  <c r="F9" i="92" s="1"/>
  <c r="F10" i="92" s="1"/>
  <c r="F11" i="92" s="1"/>
  <c r="AA105" i="15"/>
  <c r="AA67" i="15"/>
  <c r="AA68" i="15" s="1"/>
  <c r="BB17" i="2"/>
  <c r="AH153" i="5"/>
  <c r="AA154" i="5"/>
  <c r="T8" i="73"/>
  <c r="T10" i="73" s="1"/>
  <c r="BD67" i="2"/>
  <c r="DS12" i="20"/>
  <c r="DS14" i="20" s="1"/>
  <c r="Z68" i="15"/>
  <c r="Z70" i="15"/>
  <c r="BB30" i="2"/>
  <c r="BB27" i="3" s="1"/>
  <c r="BB24" i="3"/>
  <c r="S85" i="73"/>
  <c r="AB61" i="15"/>
  <c r="BD40" i="2"/>
  <c r="BD12" i="2"/>
  <c r="BD13" i="3" s="1"/>
  <c r="BD11" i="2"/>
  <c r="BD10" i="2"/>
  <c r="T11" i="73"/>
  <c r="AB17" i="15"/>
  <c r="DS15" i="20"/>
  <c r="BD68" i="2"/>
  <c r="BD31" i="2" s="1"/>
  <c r="AB107" i="15"/>
  <c r="S30" i="73"/>
  <c r="S37" i="73"/>
  <c r="S13" i="73"/>
  <c r="S29" i="73"/>
  <c r="DS42" i="20"/>
  <c r="DS49" i="20"/>
  <c r="BB28" i="3"/>
  <c r="AZ36" i="2"/>
  <c r="AZ27" i="3"/>
  <c r="AZ30" i="3" s="1"/>
  <c r="R109" i="73"/>
  <c r="R157" i="73" s="1"/>
  <c r="R156" i="73"/>
  <c r="R154" i="73" s="1"/>
  <c r="R129" i="73" s="1"/>
  <c r="R170" i="73" s="1"/>
  <c r="AC18" i="15"/>
  <c r="AC23" i="15" s="1"/>
  <c r="DT10" i="20"/>
  <c r="AC59" i="15"/>
  <c r="AC74" i="15"/>
  <c r="AC46" i="15"/>
  <c r="AC37" i="15"/>
  <c r="AC65" i="15"/>
  <c r="BF66" i="2"/>
  <c r="AC12" i="15"/>
  <c r="AC15" i="15"/>
  <c r="AC17" i="15" s="1"/>
  <c r="AC91" i="15"/>
  <c r="AC8" i="15"/>
  <c r="AC48" i="15" s="1"/>
  <c r="DQ21" i="20"/>
  <c r="DQ33" i="20"/>
  <c r="DQ53" i="20"/>
  <c r="DQ41" i="20"/>
  <c r="DR52" i="20"/>
  <c r="DR40" i="20"/>
  <c r="R16" i="73"/>
  <c r="R31" i="73"/>
  <c r="R38" i="73"/>
  <c r="R26" i="73"/>
  <c r="R40" i="73" s="1"/>
  <c r="T35" i="73"/>
  <c r="S130" i="73"/>
  <c r="S91" i="73"/>
  <c r="S51" i="73"/>
  <c r="BD9" i="3"/>
  <c r="BD73" i="3" s="1"/>
  <c r="BD71" i="3" s="1"/>
  <c r="BD72" i="3" s="1"/>
  <c r="AB52" i="15"/>
  <c r="T12" i="73"/>
  <c r="DS17" i="20"/>
  <c r="AB53" i="15"/>
  <c r="AB51" i="15"/>
  <c r="E7" i="92"/>
  <c r="E9" i="92"/>
  <c r="E10" i="92" s="1"/>
  <c r="R50" i="73"/>
  <c r="R76" i="73" s="1"/>
  <c r="S45" i="73"/>
  <c r="R152" i="73"/>
  <c r="R150" i="73" s="1"/>
  <c r="R128" i="73" s="1"/>
  <c r="R68" i="73"/>
  <c r="R151" i="73" s="1"/>
  <c r="R108" i="73"/>
  <c r="R89" i="73" s="1"/>
  <c r="DR18" i="20"/>
  <c r="DR39" i="20"/>
  <c r="H4" i="92"/>
  <c r="G14" i="92"/>
  <c r="G5" i="92"/>
  <c r="AA70" i="15" l="1"/>
  <c r="AA76" i="15" s="1"/>
  <c r="BB69" i="2" s="1"/>
  <c r="AH67" i="15"/>
  <c r="F7" i="92"/>
  <c r="R49" i="73"/>
  <c r="R52" i="73" s="1"/>
  <c r="R65" i="73" s="1"/>
  <c r="R80" i="73" s="1"/>
  <c r="R87" i="73"/>
  <c r="S152" i="73"/>
  <c r="S150" i="73" s="1"/>
  <c r="S128" i="73" s="1"/>
  <c r="S68" i="73"/>
  <c r="S151" i="73" s="1"/>
  <c r="S109" i="73"/>
  <c r="S157" i="73" s="1"/>
  <c r="S156" i="73"/>
  <c r="S154" i="73" s="1"/>
  <c r="S129" i="73" s="1"/>
  <c r="S170" i="73" s="1"/>
  <c r="DR33" i="20"/>
  <c r="DR53" i="20"/>
  <c r="DR41" i="20"/>
  <c r="DR21" i="20"/>
  <c r="DR43" i="20" s="1"/>
  <c r="DQ43" i="20"/>
  <c r="DT15" i="20"/>
  <c r="DT40" i="20" s="1"/>
  <c r="BF68" i="2"/>
  <c r="BF31" i="2" s="1"/>
  <c r="AC107" i="15"/>
  <c r="DT42" i="20"/>
  <c r="DT49" i="20"/>
  <c r="BB30" i="3"/>
  <c r="BD28" i="3"/>
  <c r="S26" i="73"/>
  <c r="S40" i="73" s="1"/>
  <c r="S31" i="73"/>
  <c r="S38" i="73"/>
  <c r="S16" i="73"/>
  <c r="DS40" i="20"/>
  <c r="DS52" i="20"/>
  <c r="BD22" i="3"/>
  <c r="G6" i="92"/>
  <c r="AB105" i="15"/>
  <c r="AB153" i="5"/>
  <c r="AB154" i="5" s="1"/>
  <c r="AB67" i="15"/>
  <c r="AB62" i="15"/>
  <c r="R90" i="73"/>
  <c r="R116" i="73" s="1"/>
  <c r="Z76" i="15"/>
  <c r="DQ23" i="20"/>
  <c r="DQ44" i="20" s="1"/>
  <c r="R18" i="73"/>
  <c r="R32" i="73" s="1"/>
  <c r="R131" i="73"/>
  <c r="R126" i="73"/>
  <c r="AC52" i="15"/>
  <c r="AC53" i="15"/>
  <c r="BF9" i="3"/>
  <c r="BF73" i="3" s="1"/>
  <c r="BF71" i="3" s="1"/>
  <c r="BF72" i="3" s="1"/>
  <c r="DT17" i="20"/>
  <c r="AC51" i="15"/>
  <c r="DQ46" i="20"/>
  <c r="DQ55" i="20"/>
  <c r="S50" i="73"/>
  <c r="S76" i="73" s="1"/>
  <c r="BF67" i="2"/>
  <c r="DT12" i="20"/>
  <c r="DT14" i="20" s="1"/>
  <c r="E17" i="92"/>
  <c r="E18" i="92" s="1"/>
  <c r="E21" i="92" s="1"/>
  <c r="E25" i="92" s="1"/>
  <c r="AZ32" i="3"/>
  <c r="BD17" i="2"/>
  <c r="BD30" i="2"/>
  <c r="BD27" i="3" s="1"/>
  <c r="BD24" i="3"/>
  <c r="S108" i="73"/>
  <c r="S89" i="73" s="1"/>
  <c r="R153" i="73"/>
  <c r="E11" i="92"/>
  <c r="T74" i="73"/>
  <c r="T166" i="73" s="1"/>
  <c r="T114" i="73"/>
  <c r="T168" i="73" s="1"/>
  <c r="T167" i="73"/>
  <c r="T165" i="73" s="1"/>
  <c r="T124" i="73" s="1"/>
  <c r="I4" i="92"/>
  <c r="H6" i="92"/>
  <c r="H9" i="92" s="1"/>
  <c r="H10" i="92" s="1"/>
  <c r="H11" i="92" s="1"/>
  <c r="H13" i="92"/>
  <c r="AH70" i="15"/>
  <c r="T91" i="73"/>
  <c r="T130" i="73"/>
  <c r="T51" i="73"/>
  <c r="T29" i="73"/>
  <c r="T13" i="73"/>
  <c r="AC61" i="15"/>
  <c r="BF11" i="2"/>
  <c r="BF12" i="2"/>
  <c r="BF13" i="3" s="1"/>
  <c r="BF40" i="2"/>
  <c r="BF10" i="2"/>
  <c r="BF22" i="3" s="1"/>
  <c r="T30" i="73"/>
  <c r="T37" i="73"/>
  <c r="BB36" i="2"/>
  <c r="DS39" i="20"/>
  <c r="DS18" i="20"/>
  <c r="DR23" i="20" l="1"/>
  <c r="DR26" i="20" s="1"/>
  <c r="AA77" i="15"/>
  <c r="S18" i="73"/>
  <c r="S21" i="73" s="1"/>
  <c r="S23" i="73" s="1"/>
  <c r="AA79" i="15"/>
  <c r="AH76" i="15"/>
  <c r="BF17" i="2"/>
  <c r="R70" i="73"/>
  <c r="S49" i="73"/>
  <c r="S47" i="73" s="1"/>
  <c r="R47" i="73"/>
  <c r="R78" i="73"/>
  <c r="R21" i="73"/>
  <c r="R23" i="73" s="1"/>
  <c r="BF28" i="3"/>
  <c r="R55" i="73"/>
  <c r="BD30" i="3"/>
  <c r="BD32" i="3" s="1"/>
  <c r="T85" i="73"/>
  <c r="S87" i="73"/>
  <c r="DT18" i="20"/>
  <c r="DT33" i="20" s="1"/>
  <c r="DT39" i="20"/>
  <c r="T152" i="73"/>
  <c r="T150" i="73" s="1"/>
  <c r="T128" i="73" s="1"/>
  <c r="T68" i="73"/>
  <c r="T151" i="73" s="1"/>
  <c r="R111" i="73"/>
  <c r="R162" i="73" s="1"/>
  <c r="R161" i="73"/>
  <c r="R159" i="73" s="1"/>
  <c r="R71" i="73"/>
  <c r="R160" i="73" s="1"/>
  <c r="G9" i="92"/>
  <c r="G10" i="92" s="1"/>
  <c r="G11" i="92" s="1"/>
  <c r="G7" i="92"/>
  <c r="S131" i="73"/>
  <c r="S126" i="73"/>
  <c r="T108" i="73"/>
  <c r="T153" i="73" s="1"/>
  <c r="S153" i="73"/>
  <c r="BF30" i="2"/>
  <c r="BF36" i="2" s="1"/>
  <c r="BF24" i="3"/>
  <c r="S32" i="73"/>
  <c r="DS21" i="20"/>
  <c r="DS53" i="20"/>
  <c r="DS33" i="20"/>
  <c r="DS41" i="20"/>
  <c r="AC153" i="5"/>
  <c r="AC154" i="5" s="1"/>
  <c r="AC67" i="15"/>
  <c r="AC62" i="15"/>
  <c r="AC105" i="15"/>
  <c r="AB70" i="15"/>
  <c r="AB68" i="15"/>
  <c r="DT52" i="20"/>
  <c r="DQ26" i="20"/>
  <c r="BB8" i="3"/>
  <c r="BD36" i="2"/>
  <c r="T45" i="73"/>
  <c r="Z79" i="15"/>
  <c r="AZ69" i="2"/>
  <c r="Z77" i="15"/>
  <c r="T156" i="73"/>
  <c r="T154" i="73" s="1"/>
  <c r="T129" i="73" s="1"/>
  <c r="T170" i="73" s="1"/>
  <c r="T109" i="73"/>
  <c r="T157" i="73" s="1"/>
  <c r="T16" i="73"/>
  <c r="T31" i="73"/>
  <c r="T38" i="73"/>
  <c r="T26" i="73"/>
  <c r="T40" i="73" s="1"/>
  <c r="I6" i="92"/>
  <c r="I9" i="92" s="1"/>
  <c r="I10" i="92" s="1"/>
  <c r="I11" i="92" s="1"/>
  <c r="J4" i="92"/>
  <c r="I13" i="92"/>
  <c r="S90" i="73"/>
  <c r="S116" i="73" s="1"/>
  <c r="R171" i="73"/>
  <c r="R158" i="73"/>
  <c r="R134" i="73"/>
  <c r="R147" i="73"/>
  <c r="R173" i="73" s="1"/>
  <c r="BB32" i="3"/>
  <c r="F17" i="92"/>
  <c r="F18" i="92" s="1"/>
  <c r="F21" i="92" s="1"/>
  <c r="F25" i="92" s="1"/>
  <c r="DR55" i="20"/>
  <c r="DR46" i="20"/>
  <c r="AH79" i="15"/>
  <c r="R92" i="73"/>
  <c r="DR44" i="20" l="1"/>
  <c r="S52" i="73"/>
  <c r="S78" i="73" s="1"/>
  <c r="S39" i="73"/>
  <c r="T89" i="73"/>
  <c r="T87" i="73" s="1"/>
  <c r="G17" i="92"/>
  <c r="H17" i="92" s="1"/>
  <c r="AA80" i="15"/>
  <c r="R57" i="73"/>
  <c r="R60" i="73" s="1"/>
  <c r="R61" i="73" s="1"/>
  <c r="R63" i="73" s="1"/>
  <c r="R143" i="73" s="1"/>
  <c r="S92" i="73"/>
  <c r="S95" i="73" s="1"/>
  <c r="T131" i="73"/>
  <c r="T126" i="73"/>
  <c r="AB76" i="15"/>
  <c r="DS23" i="20"/>
  <c r="DS44" i="20" s="1"/>
  <c r="T18" i="73"/>
  <c r="T32" i="73" s="1"/>
  <c r="DS43" i="20"/>
  <c r="AZ8" i="3"/>
  <c r="T90" i="73"/>
  <c r="T116" i="73" s="1"/>
  <c r="DQ28" i="20"/>
  <c r="DQ45" i="20"/>
  <c r="S111" i="73"/>
  <c r="S162" i="73" s="1"/>
  <c r="S161" i="73"/>
  <c r="S159" i="73" s="1"/>
  <c r="S71" i="73"/>
  <c r="S160" i="73" s="1"/>
  <c r="DR45" i="20"/>
  <c r="DR28" i="20"/>
  <c r="T50" i="73"/>
  <c r="T76" i="73" s="1"/>
  <c r="T49" i="73"/>
  <c r="R110" i="73"/>
  <c r="R117" i="73"/>
  <c r="R95" i="73"/>
  <c r="R97" i="73" s="1"/>
  <c r="R100" i="73" s="1"/>
  <c r="R105" i="73"/>
  <c r="R119" i="73" s="1"/>
  <c r="R136" i="73"/>
  <c r="R139" i="73" s="1"/>
  <c r="R141" i="73" s="1"/>
  <c r="BF27" i="3"/>
  <c r="BF30" i="3" s="1"/>
  <c r="BF32" i="3" s="1"/>
  <c r="DS46" i="20"/>
  <c r="DS55" i="20"/>
  <c r="S55" i="73"/>
  <c r="BB67" i="3"/>
  <c r="BB15" i="3"/>
  <c r="BB34" i="3" s="1"/>
  <c r="BB58" i="3" s="1"/>
  <c r="BB62" i="3" s="1"/>
  <c r="S158" i="73"/>
  <c r="S134" i="73"/>
  <c r="S171" i="73"/>
  <c r="S147" i="73"/>
  <c r="S173" i="73" s="1"/>
  <c r="J13" i="92"/>
  <c r="J6" i="92"/>
  <c r="J9" i="92" s="1"/>
  <c r="J10" i="92" s="1"/>
  <c r="J11" i="92" s="1"/>
  <c r="DT46" i="20"/>
  <c r="DT55" i="20"/>
  <c r="AC70" i="15"/>
  <c r="DT23" i="20" s="1"/>
  <c r="AC68" i="15"/>
  <c r="DT21" i="20"/>
  <c r="DT41" i="20"/>
  <c r="DT53" i="20"/>
  <c r="S110" i="73" l="1"/>
  <c r="S65" i="73"/>
  <c r="S80" i="73" s="1"/>
  <c r="S70" i="73"/>
  <c r="S136" i="73"/>
  <c r="S139" i="73" s="1"/>
  <c r="S141" i="73" s="1"/>
  <c r="S172" i="73" s="1"/>
  <c r="S105" i="73"/>
  <c r="S119" i="73" s="1"/>
  <c r="S117" i="73"/>
  <c r="G18" i="92"/>
  <c r="G21" i="92" s="1"/>
  <c r="G25" i="92" s="1"/>
  <c r="DT44" i="20"/>
  <c r="S57" i="73"/>
  <c r="S60" i="73" s="1"/>
  <c r="S61" i="73" s="1"/>
  <c r="S63" i="73" s="1"/>
  <c r="S143" i="73" s="1"/>
  <c r="R62" i="73"/>
  <c r="T92" i="73"/>
  <c r="T95" i="73" s="1"/>
  <c r="AC76" i="15"/>
  <c r="BF69" i="2" s="1"/>
  <c r="T52" i="73"/>
  <c r="T55" i="73" s="1"/>
  <c r="S97" i="73"/>
  <c r="S100" i="73" s="1"/>
  <c r="S101" i="73" s="1"/>
  <c r="T47" i="73"/>
  <c r="H18" i="92"/>
  <c r="H21" i="92" s="1"/>
  <c r="H25" i="92" s="1"/>
  <c r="I17" i="92"/>
  <c r="T71" i="73"/>
  <c r="T160" i="73" s="1"/>
  <c r="T111" i="73"/>
  <c r="T162" i="73" s="1"/>
  <c r="T161" i="73"/>
  <c r="T159" i="73" s="1"/>
  <c r="T21" i="73"/>
  <c r="T23" i="73" s="1"/>
  <c r="T39" i="73" s="1"/>
  <c r="R101" i="73"/>
  <c r="R103" i="73" s="1"/>
  <c r="R145" i="73" s="1"/>
  <c r="AZ67" i="3"/>
  <c r="AZ15" i="3"/>
  <c r="AZ34" i="3" s="1"/>
  <c r="AZ58" i="3" s="1"/>
  <c r="DT26" i="20"/>
  <c r="DT43" i="20"/>
  <c r="DR54" i="20"/>
  <c r="DS26" i="20"/>
  <c r="AB79" i="15"/>
  <c r="AB80" i="15" s="1"/>
  <c r="BD69" i="2"/>
  <c r="AB77" i="15"/>
  <c r="T147" i="73"/>
  <c r="T173" i="73" s="1"/>
  <c r="T158" i="73"/>
  <c r="T134" i="73"/>
  <c r="T171" i="73"/>
  <c r="T70" i="73" l="1"/>
  <c r="T78" i="73"/>
  <c r="T65" i="73"/>
  <c r="T80" i="73" s="1"/>
  <c r="AC77" i="15"/>
  <c r="AC79" i="15"/>
  <c r="AC80" i="15" s="1"/>
  <c r="S103" i="73"/>
  <c r="S145" i="73" s="1"/>
  <c r="S62" i="73"/>
  <c r="S79" i="73" s="1"/>
  <c r="T136" i="73"/>
  <c r="T139" i="73" s="1"/>
  <c r="T141" i="73" s="1"/>
  <c r="T172" i="73" s="1"/>
  <c r="T105" i="73"/>
  <c r="T119" i="73" s="1"/>
  <c r="T117" i="73"/>
  <c r="T110" i="73"/>
  <c r="T97" i="73"/>
  <c r="T100" i="73" s="1"/>
  <c r="R102" i="73"/>
  <c r="BF8" i="3"/>
  <c r="DS28" i="20"/>
  <c r="DS54" i="20" s="1"/>
  <c r="DS45" i="20"/>
  <c r="BD8" i="3"/>
  <c r="AZ62" i="3"/>
  <c r="I18" i="92"/>
  <c r="I21" i="92" s="1"/>
  <c r="I25" i="92" s="1"/>
  <c r="J17" i="92"/>
  <c r="J18" i="92" s="1"/>
  <c r="J21" i="92" s="1"/>
  <c r="DT45" i="20"/>
  <c r="DT28" i="20"/>
  <c r="T57" i="73"/>
  <c r="T60" i="73" s="1"/>
  <c r="T61" i="73" s="1"/>
  <c r="T63" i="73" s="1"/>
  <c r="S102" i="73" l="1"/>
  <c r="S118" i="73" s="1"/>
  <c r="J26" i="92"/>
  <c r="J27" i="92" s="1"/>
  <c r="C42" i="92" s="1"/>
  <c r="J25" i="92"/>
  <c r="C41" i="92" s="1"/>
  <c r="DT54" i="20"/>
  <c r="T101" i="73"/>
  <c r="T103" i="73" s="1"/>
  <c r="BD15" i="3"/>
  <c r="BD34" i="3" s="1"/>
  <c r="BD58" i="3" s="1"/>
  <c r="BD62" i="3" s="1"/>
  <c r="BD67" i="3"/>
  <c r="T62" i="73"/>
  <c r="T79" i="73" s="1"/>
  <c r="T143" i="73"/>
  <c r="BF15" i="3"/>
  <c r="BF34" i="3" s="1"/>
  <c r="BF58" i="3" s="1"/>
  <c r="BF62" i="3" s="1"/>
  <c r="BF67" i="3"/>
  <c r="C43" i="92" l="1"/>
  <c r="T145" i="73"/>
  <c r="T102" i="73"/>
  <c r="T118" i="73" s="1"/>
  <c r="CS94" i="1" l="1"/>
  <c r="Y70" i="15"/>
  <c r="Y71" i="15" s="1"/>
  <c r="DP82" i="20" s="1"/>
  <c r="Y76" i="15"/>
  <c r="Y79" i="15" s="1"/>
  <c r="AX69" i="2"/>
  <c r="Y80" i="15" l="1"/>
  <c r="Z80" i="15"/>
  <c r="Q18" i="73"/>
  <c r="DP23" i="20"/>
  <c r="Y77" i="15"/>
  <c r="AX8" i="3"/>
  <c r="AX44" i="2" l="1"/>
  <c r="AX15" i="3"/>
  <c r="AX34" i="3" s="1"/>
  <c r="AX58" i="3" s="1"/>
  <c r="AX67" i="3"/>
  <c r="Q21" i="73"/>
  <c r="Q23" i="73" s="1"/>
  <c r="Q32" i="73"/>
  <c r="DP44" i="20"/>
  <c r="DP26" i="20"/>
  <c r="AZ44" i="2" l="1"/>
  <c r="AX50" i="2"/>
  <c r="Q39" i="73"/>
  <c r="R39" i="73"/>
  <c r="Q161" i="73"/>
  <c r="Q159" i="73" s="1"/>
  <c r="Q136" i="73" s="1"/>
  <c r="Q139" i="73" s="1"/>
  <c r="Q141" i="73" s="1"/>
  <c r="Q71" i="73"/>
  <c r="Q111" i="73"/>
  <c r="DP45" i="20"/>
  <c r="DP28" i="20"/>
  <c r="AX62" i="3"/>
  <c r="AX59" i="3"/>
  <c r="R172" i="73" l="1"/>
  <c r="Q172" i="73"/>
  <c r="AX60" i="3"/>
  <c r="AX8" i="2"/>
  <c r="AZ57" i="3"/>
  <c r="AZ59" i="3" s="1"/>
  <c r="Q162" i="73"/>
  <c r="Q97" i="73"/>
  <c r="Q100" i="73" s="1"/>
  <c r="DQ54" i="20"/>
  <c r="DP54" i="20"/>
  <c r="BB44" i="2"/>
  <c r="AZ50" i="2"/>
  <c r="Q57" i="73"/>
  <c r="Q60" i="73" s="1"/>
  <c r="Q160" i="73"/>
  <c r="AX52" i="2"/>
  <c r="AX78" i="2"/>
  <c r="AZ8" i="2" l="1"/>
  <c r="BB57" i="3"/>
  <c r="BB59" i="3" s="1"/>
  <c r="AZ60" i="3"/>
  <c r="Q61" i="73"/>
  <c r="Q63" i="73" s="1"/>
  <c r="Q62" i="73" s="1"/>
  <c r="X31" i="73" s="1"/>
  <c r="AX55" i="2"/>
  <c r="AX77" i="2"/>
  <c r="AX14" i="2"/>
  <c r="AX25" i="2" s="1"/>
  <c r="C31" i="92"/>
  <c r="AZ78" i="2"/>
  <c r="AZ52" i="2"/>
  <c r="Q101" i="73"/>
  <c r="BB50" i="2"/>
  <c r="BD44" i="2"/>
  <c r="AA5" i="73" l="1"/>
  <c r="R79" i="73"/>
  <c r="Q79" i="73"/>
  <c r="AX56" i="2"/>
  <c r="AX79" i="2"/>
  <c r="C45" i="92"/>
  <c r="C48" i="92" s="1"/>
  <c r="C49" i="92" s="1"/>
  <c r="C32" i="92"/>
  <c r="C39" i="92" s="1"/>
  <c r="BD50" i="2"/>
  <c r="BF44" i="2"/>
  <c r="BF50" i="2" s="1"/>
  <c r="Q103" i="73"/>
  <c r="Q143" i="73"/>
  <c r="AZ14" i="2"/>
  <c r="AZ25" i="2" s="1"/>
  <c r="AZ55" i="2"/>
  <c r="AZ77" i="2"/>
  <c r="BB52" i="2"/>
  <c r="BB78" i="2"/>
  <c r="AX61" i="2"/>
  <c r="BB60" i="3"/>
  <c r="BD57" i="3"/>
  <c r="BD59" i="3" s="1"/>
  <c r="BB8" i="2"/>
  <c r="BB77" i="2" l="1"/>
  <c r="BB14" i="2"/>
  <c r="BB25" i="2" s="1"/>
  <c r="BB61" i="2" s="1"/>
  <c r="BB55" i="2"/>
  <c r="BD60" i="3"/>
  <c r="BD8" i="2"/>
  <c r="BF57" i="3"/>
  <c r="BF59" i="3" s="1"/>
  <c r="BD52" i="2"/>
  <c r="BD78" i="2"/>
  <c r="BF52" i="2"/>
  <c r="BF78" i="2"/>
  <c r="Q145" i="73"/>
  <c r="Q102" i="73"/>
  <c r="AZ56" i="2"/>
  <c r="AZ79" i="2"/>
  <c r="AZ61" i="2"/>
  <c r="AA80" i="73" l="1"/>
  <c r="Q118" i="73"/>
  <c r="R118" i="73"/>
  <c r="BD77" i="2"/>
  <c r="BD55" i="2"/>
  <c r="BD14" i="2"/>
  <c r="BD25" i="2" s="1"/>
  <c r="BD61" i="2" s="1"/>
  <c r="BF60" i="3"/>
  <c r="BF8" i="2"/>
  <c r="BB56" i="2"/>
  <c r="BB79" i="2"/>
  <c r="BD79" i="2" l="1"/>
  <c r="BD56" i="2"/>
  <c r="BF55" i="2"/>
  <c r="BF77" i="2"/>
  <c r="BF14" i="2"/>
  <c r="BF25" i="2" s="1"/>
  <c r="BF79" i="2" l="1"/>
  <c r="BF56" i="2"/>
  <c r="BF61" i="2"/>
</calcChain>
</file>

<file path=xl/comments1.xml><?xml version="1.0" encoding="utf-8"?>
<comments xmlns="http://schemas.openxmlformats.org/spreadsheetml/2006/main">
  <authors>
    <author>solejay</author>
  </authors>
  <commentList>
    <comment ref="H45" authorId="0">
      <text>
        <r>
          <rPr>
            <b/>
            <sz val="8"/>
            <color indexed="81"/>
            <rFont val="Tahoma"/>
            <family val="2"/>
          </rPr>
          <t>solejay:</t>
        </r>
        <r>
          <rPr>
            <sz val="8"/>
            <color indexed="81"/>
            <rFont val="Tahoma"/>
            <family val="2"/>
          </rPr>
          <t xml:space="preserve">
=((C15*D29)-C17)/C22</t>
        </r>
      </text>
    </comment>
    <comment ref="X45" authorId="0">
      <text>
        <r>
          <rPr>
            <b/>
            <sz val="8"/>
            <color indexed="81"/>
            <rFont val="Tahoma"/>
            <family val="2"/>
          </rPr>
          <t>solejay:</t>
        </r>
        <r>
          <rPr>
            <sz val="8"/>
            <color indexed="81"/>
            <rFont val="Tahoma"/>
            <family val="2"/>
          </rPr>
          <t xml:space="preserve">
=((C15*D29)-C17)/C22</t>
        </r>
      </text>
    </comment>
  </commentList>
</comments>
</file>

<file path=xl/comments2.xml><?xml version="1.0" encoding="utf-8"?>
<comments xmlns="http://schemas.openxmlformats.org/spreadsheetml/2006/main">
  <authors>
    <author>mm98285</author>
    <author>Cassel, Lauren (Research)</author>
  </authors>
  <commentList>
    <comment ref="CZ15" authorId="0">
      <text>
        <r>
          <rPr>
            <b/>
            <sz val="8"/>
            <color indexed="81"/>
            <rFont val="Tahoma"/>
            <family val="2"/>
          </rPr>
          <t>mm98285:</t>
        </r>
        <r>
          <rPr>
            <sz val="8"/>
            <color indexed="81"/>
            <rFont val="Tahoma"/>
            <family val="2"/>
          </rPr>
          <t xml:space="preserve">
9/07: includes reorganization costs of $3.4mm</t>
        </r>
      </text>
    </comment>
    <comment ref="DL73" authorId="1">
      <text>
        <r>
          <rPr>
            <b/>
            <sz val="9"/>
            <color indexed="81"/>
            <rFont val="Tahoma"/>
            <family val="2"/>
          </rPr>
          <t>Cassel, Lauren (Research):</t>
        </r>
        <r>
          <rPr>
            <sz val="9"/>
            <color indexed="81"/>
            <rFont val="Tahoma"/>
            <family val="2"/>
          </rPr>
          <t xml:space="preserve">
EXCLUDES Kate Spade Saturday and Jack Spade locations</t>
        </r>
      </text>
    </comment>
  </commentList>
</comments>
</file>

<file path=xl/comments3.xml><?xml version="1.0" encoding="utf-8"?>
<comments xmlns="http://schemas.openxmlformats.org/spreadsheetml/2006/main">
  <authors>
    <author>mm98285</author>
    <author>yc63845</author>
    <author>ns66486</author>
    <author>lauraro</author>
    <author>Turley, Amber (Research)</author>
    <author>turleamb</author>
    <author>casselau</author>
    <author>Cassel, Lauren (Research)</author>
  </authors>
  <commentList>
    <comment ref="L10" authorId="0">
      <text>
        <r>
          <rPr>
            <b/>
            <sz val="8"/>
            <color indexed="81"/>
            <rFont val="Tahoma"/>
            <family val="2"/>
          </rPr>
          <t>mm98285:</t>
        </r>
        <r>
          <rPr>
            <sz val="8"/>
            <color indexed="81"/>
            <rFont val="Tahoma"/>
            <family val="2"/>
          </rPr>
          <t xml:space="preserve">
store employee comp, store occupancy costs, store supply costs, wholesale and retail account admin comp, and COH intl operating exp. These expenses are affected by the number of Coach operated stores open during any fiscal period and store performance, as comepnsation and rent expenses vary with sales. </t>
        </r>
      </text>
    </comment>
    <comment ref="Z10" authorId="0">
      <text>
        <r>
          <rPr>
            <b/>
            <sz val="8"/>
            <color indexed="81"/>
            <rFont val="Tahoma"/>
            <family val="2"/>
          </rPr>
          <t>mm98285:</t>
        </r>
        <r>
          <rPr>
            <sz val="8"/>
            <color indexed="81"/>
            <rFont val="Tahoma"/>
            <family val="2"/>
          </rPr>
          <t xml:space="preserve">
employee comp, media space and production, ad agency fees (mostly for NA), new product design costs, PR and market research. 
</t>
        </r>
      </text>
    </comment>
    <comment ref="AD10" authorId="0">
      <text>
        <r>
          <rPr>
            <b/>
            <sz val="8"/>
            <color indexed="81"/>
            <rFont val="Tahoma"/>
            <family val="2"/>
          </rPr>
          <t>mm98285:</t>
        </r>
        <r>
          <rPr>
            <sz val="8"/>
            <color indexed="81"/>
            <rFont val="Tahoma"/>
            <family val="2"/>
          </rPr>
          <t xml:space="preserve">
warehousing, order fulfillment, shipping and handling, customer service and bag repair costs</t>
        </r>
      </text>
    </comment>
    <comment ref="AH10" authorId="0">
      <text>
        <r>
          <rPr>
            <b/>
            <sz val="8"/>
            <color indexed="81"/>
            <rFont val="Tahoma"/>
            <family val="2"/>
          </rPr>
          <t>mm98285:</t>
        </r>
        <r>
          <rPr>
            <sz val="8"/>
            <color indexed="81"/>
            <rFont val="Tahoma"/>
            <family val="2"/>
          </rPr>
          <t xml:space="preserve">
comp. costs for executive finance, HR, legal, info sytsems dept, corp HQ occupancy costs, consulting and sotfware exp, global equity compensation exp. </t>
        </r>
      </text>
    </comment>
    <comment ref="L61" authorId="0">
      <text>
        <r>
          <rPr>
            <b/>
            <sz val="8"/>
            <color indexed="81"/>
            <rFont val="Tahoma"/>
            <family val="2"/>
          </rPr>
          <t>mm98285:</t>
        </r>
        <r>
          <rPr>
            <sz val="8"/>
            <color indexed="81"/>
            <rFont val="Tahoma"/>
            <family val="2"/>
          </rPr>
          <t xml:space="preserve">
took out estimated ~2mm for discontinued ops (corp accounts)</t>
        </r>
      </text>
    </comment>
    <comment ref="L62" authorId="0">
      <text>
        <r>
          <rPr>
            <b/>
            <sz val="8"/>
            <color indexed="81"/>
            <rFont val="Tahoma"/>
            <family val="2"/>
          </rPr>
          <t>mm98285:</t>
        </r>
        <r>
          <rPr>
            <sz val="8"/>
            <color indexed="81"/>
            <rFont val="Tahoma"/>
            <family val="2"/>
          </rPr>
          <t xml:space="preserve">
took out estimated ~2mm for discontinued ops (corp accounts)</t>
        </r>
      </text>
    </comment>
    <comment ref="AB76" authorId="0">
      <text>
        <r>
          <rPr>
            <b/>
            <sz val="8"/>
            <color indexed="81"/>
            <rFont val="Tahoma"/>
            <family val="2"/>
          </rPr>
          <t>mm98285:</t>
        </r>
        <r>
          <rPr>
            <sz val="8"/>
            <color indexed="81"/>
            <rFont val="Tahoma"/>
            <family val="2"/>
          </rPr>
          <t xml:space="preserve">
increase due to increased exp related to direct-mail marketing programs and increased staffing costs</t>
        </r>
      </text>
    </comment>
    <comment ref="AF76" authorId="0">
      <text>
        <r>
          <rPr>
            <b/>
            <sz val="8"/>
            <color indexed="81"/>
            <rFont val="Tahoma"/>
            <family val="2"/>
          </rPr>
          <t>mm98285:</t>
        </r>
        <r>
          <rPr>
            <sz val="8"/>
            <color indexed="81"/>
            <rFont val="Tahoma"/>
            <family val="2"/>
          </rPr>
          <t xml:space="preserve">
decrease due to efficiency gains, partially offset by higher sales volume</t>
        </r>
      </text>
    </comment>
    <comment ref="AJ76" authorId="0">
      <text>
        <r>
          <rPr>
            <b/>
            <sz val="8"/>
            <color indexed="81"/>
            <rFont val="Tahoma"/>
            <family val="2"/>
          </rPr>
          <t>mm98285:</t>
        </r>
        <r>
          <rPr>
            <sz val="8"/>
            <color indexed="81"/>
            <rFont val="Tahoma"/>
            <family val="2"/>
          </rPr>
          <t xml:space="preserve">
increase due to a $2.8mm charge related to a potential legal settlement, increase in employee staffing costs, including share-based comp; and increase in consulting and depreciation exp given tech system investm'ts</t>
        </r>
      </text>
    </comment>
    <comment ref="AH79" authorId="0">
      <text>
        <r>
          <rPr>
            <b/>
            <sz val="8"/>
            <color indexed="81"/>
            <rFont val="Tahoma"/>
            <family val="2"/>
          </rPr>
          <t>mm98285:</t>
        </r>
        <r>
          <rPr>
            <sz val="8"/>
            <color indexed="81"/>
            <rFont val="Tahoma"/>
            <family val="2"/>
          </rPr>
          <t xml:space="preserve">
10K: excludes $32.1mm 1-time charge in 4Q08 for $20mm for Coach Foundation &amp; $12.1mm increased variable comp exp given increase in net income as a result of a 1-time tax benefit</t>
        </r>
      </text>
    </comment>
    <comment ref="L82" authorId="0">
      <text>
        <r>
          <rPr>
            <b/>
            <sz val="8"/>
            <color indexed="81"/>
            <rFont val="Tahoma"/>
            <family val="2"/>
          </rPr>
          <t>mm98285:</t>
        </r>
        <r>
          <rPr>
            <sz val="8"/>
            <color indexed="81"/>
            <rFont val="Tahoma"/>
            <family val="2"/>
          </rPr>
          <t xml:space="preserve">
increase in operating exp. of N.A. stores (new/expanded stores) and Coach Japan (new stores &amp; F/X increased exp. by ~$5.4M) and operating expenses in Coach China (investments in stores, marketing, organization &amp; infrastructure)</t>
        </r>
      </text>
    </comment>
    <comment ref="Z82" authorId="0">
      <text>
        <r>
          <rPr>
            <b/>
            <sz val="8"/>
            <color indexed="81"/>
            <rFont val="Tahoma"/>
            <family val="2"/>
          </rPr>
          <t>mm98285:</t>
        </r>
        <r>
          <rPr>
            <sz val="8"/>
            <color indexed="81"/>
            <rFont val="Tahoma"/>
            <family val="2"/>
          </rPr>
          <t xml:space="preserve">
increased staffing costs, design expenditures, &amp; development costs for new business initiatives</t>
        </r>
      </text>
    </comment>
    <comment ref="AD82" authorId="0">
      <text>
        <r>
          <rPr>
            <b/>
            <sz val="8"/>
            <color indexed="81"/>
            <rFont val="Tahoma"/>
            <family val="2"/>
          </rPr>
          <t>mm98285:</t>
        </r>
        <r>
          <rPr>
            <sz val="8"/>
            <color indexed="81"/>
            <rFont val="Tahoma"/>
            <family val="2"/>
          </rPr>
          <t xml:space="preserve">
increase driven by given increase in net sales</t>
        </r>
      </text>
    </comment>
    <comment ref="AH82" authorId="0">
      <text>
        <r>
          <rPr>
            <b/>
            <sz val="8"/>
            <color indexed="81"/>
            <rFont val="Tahoma"/>
            <family val="2"/>
          </rPr>
          <t>mm98285:</t>
        </r>
        <r>
          <rPr>
            <sz val="8"/>
            <color indexed="81"/>
            <rFont val="Tahoma"/>
            <family val="2"/>
          </rPr>
          <t xml:space="preserve">
decrease in perf based &amp; share-based comp</t>
        </r>
      </text>
    </comment>
    <comment ref="L83" authorId="0">
      <text>
        <r>
          <rPr>
            <b/>
            <sz val="8"/>
            <color indexed="81"/>
            <rFont val="Tahoma"/>
            <family val="2"/>
          </rPr>
          <t>mm98285:</t>
        </r>
        <r>
          <rPr>
            <sz val="8"/>
            <color indexed="81"/>
            <rFont val="Tahoma"/>
            <family val="2"/>
          </rPr>
          <t xml:space="preserve">
increase in Selling exp given 1) incremental operating exp. for Coach China (invst'mts in stores, marketing, organization &amp; infrastructure) &amp; 2) increase is op exp for Coach Japan (F/X increased exp by ~$11.3M) and 3) N.A stores (new/expanded stores)</t>
        </r>
      </text>
    </comment>
    <comment ref="Z83" authorId="0">
      <text>
        <r>
          <rPr>
            <b/>
            <sz val="8"/>
            <color indexed="81"/>
            <rFont val="Tahoma"/>
            <family val="2"/>
          </rPr>
          <t>mm98285:</t>
        </r>
        <r>
          <rPr>
            <sz val="8"/>
            <color indexed="81"/>
            <rFont val="Tahoma"/>
            <family val="2"/>
          </rPr>
          <t xml:space="preserve">
increased staffing costs, design expenditures and development costs for new business initiatives</t>
        </r>
      </text>
    </comment>
    <comment ref="AD83" authorId="0">
      <text>
        <r>
          <rPr>
            <b/>
            <sz val="8"/>
            <color indexed="81"/>
            <rFont val="Tahoma"/>
            <family val="2"/>
          </rPr>
          <t>mm98285:</t>
        </r>
        <r>
          <rPr>
            <sz val="8"/>
            <color indexed="81"/>
            <rFont val="Tahoma"/>
            <family val="2"/>
          </rPr>
          <t xml:space="preserve">
increase in fixed occupancy costs related to the expansion of DC compeleted in Aug 2008</t>
        </r>
      </text>
    </comment>
    <comment ref="AH83" authorId="0">
      <text>
        <r>
          <rPr>
            <b/>
            <sz val="8"/>
            <color indexed="81"/>
            <rFont val="Tahoma"/>
            <family val="2"/>
          </rPr>
          <t>mm98285:</t>
        </r>
        <r>
          <rPr>
            <sz val="8"/>
            <color indexed="81"/>
            <rFont val="Tahoma"/>
            <family val="2"/>
          </rPr>
          <t xml:space="preserve">
decrease in perf based comp and lower rent as result of purchase of corp HQ building</t>
        </r>
      </text>
    </comment>
    <comment ref="L86" authorId="0">
      <text>
        <r>
          <rPr>
            <b/>
            <sz val="8"/>
            <color indexed="81"/>
            <rFont val="Tahoma"/>
            <family val="2"/>
          </rPr>
          <t>mm98285:</t>
        </r>
        <r>
          <rPr>
            <sz val="8"/>
            <color indexed="81"/>
            <rFont val="Tahoma"/>
            <family val="2"/>
          </rPr>
          <t xml:space="preserve">
increase in op. exp (new and expanded stores), new Coach China (investment in stores, marekting, organization and infrastructure), Coach Japan (FX increased exp by $29.1M)
Excluding
items affecting comparability during fiscal 2009 of $5.0 million related to the
planned closure of four underperforming stores during the stores lease terms,
selling expenses were $976.5 million, representing 30.2% of net sales.</t>
        </r>
      </text>
    </comment>
    <comment ref="Z86" authorId="0">
      <text>
        <r>
          <rPr>
            <b/>
            <sz val="8"/>
            <color indexed="81"/>
            <rFont val="Tahoma"/>
            <family val="2"/>
          </rPr>
          <t>mm98285:</t>
        </r>
        <r>
          <rPr>
            <sz val="8"/>
            <color indexed="81"/>
            <rFont val="Tahoma"/>
            <family val="2"/>
          </rPr>
          <t xml:space="preserve">
higher design exp. and development costs for new merch initiatives
total exp. related to consumer communications = $50M</t>
        </r>
      </text>
    </comment>
    <comment ref="AD86" authorId="0">
      <text>
        <r>
          <rPr>
            <b/>
            <sz val="8"/>
            <color indexed="81"/>
            <rFont val="Tahoma"/>
            <family val="2"/>
          </rPr>
          <t>mm98285:</t>
        </r>
        <r>
          <rPr>
            <sz val="8"/>
            <color indexed="81"/>
            <rFont val="Tahoma"/>
            <family val="2"/>
          </rPr>
          <t xml:space="preserve">
increase in fixed occupancy related to expansion of DC (completed in Aug. 2008)</t>
        </r>
      </text>
    </comment>
    <comment ref="AH86" authorId="0">
      <text>
        <r>
          <rPr>
            <b/>
            <sz val="8"/>
            <color indexed="81"/>
            <rFont val="Tahoma"/>
            <family val="2"/>
          </rPr>
          <t>mm98285:</t>
        </r>
        <r>
          <rPr>
            <sz val="8"/>
            <color indexed="81"/>
            <rFont val="Tahoma"/>
            <family val="2"/>
          </rPr>
          <t xml:space="preserve">
decrease in perf based comp exp and lower rent as result of purchase of corp HQ
Excluding items affecting comparability of $23.4 in fiscal 2009, expenses were
$130.0 million, representing 4.0% of net sales.</t>
        </r>
      </text>
    </comment>
    <comment ref="L89" authorId="0">
      <text>
        <r>
          <rPr>
            <b/>
            <sz val="8"/>
            <color indexed="81"/>
            <rFont val="Tahoma"/>
            <family val="2"/>
          </rPr>
          <t>mm98285:</t>
        </r>
        <r>
          <rPr>
            <sz val="8"/>
            <color indexed="81"/>
            <rFont val="Tahoma"/>
            <family val="2"/>
          </rPr>
          <t xml:space="preserve">
Increase in op. exp for China partially offset by savings in NA stores &amp; Japan exp's. Decrease in Japan op. exp's in constant currency of $9.6M was partialy offset by impact of FX (increased exp by ~$7.9M). Decrease in N.A. store exp primarily attributable to op. efficiencies achieved since end of 1Q09</t>
        </r>
      </text>
    </comment>
    <comment ref="Z89" authorId="0">
      <text>
        <r>
          <rPr>
            <b/>
            <sz val="8"/>
            <color indexed="81"/>
            <rFont val="Tahoma"/>
            <family val="2"/>
          </rPr>
          <t>mm98285:</t>
        </r>
        <r>
          <rPr>
            <sz val="8"/>
            <color indexed="81"/>
            <rFont val="Tahoma"/>
            <family val="2"/>
          </rPr>
          <t xml:space="preserve">
controlled sample making exp. partially offset by new design expenditures for Reed Krakoff brand (expected intro's in FY11)</t>
        </r>
      </text>
    </comment>
    <comment ref="AD89" authorId="0">
      <text>
        <r>
          <rPr>
            <b/>
            <sz val="8"/>
            <color indexed="81"/>
            <rFont val="Tahoma"/>
            <family val="2"/>
          </rPr>
          <t>mm98285:</t>
        </r>
        <r>
          <rPr>
            <sz val="8"/>
            <color indexed="81"/>
            <rFont val="Tahoma"/>
            <family val="2"/>
          </rPr>
          <t xml:space="preserve">
FY09 cost savings initiatives and process improvements</t>
        </r>
      </text>
    </comment>
    <comment ref="AH89" authorId="0">
      <text>
        <r>
          <rPr>
            <b/>
            <sz val="8"/>
            <color indexed="81"/>
            <rFont val="Tahoma"/>
            <family val="2"/>
          </rPr>
          <t>mm98285:</t>
        </r>
        <r>
          <rPr>
            <sz val="8"/>
            <color indexed="81"/>
            <rFont val="Tahoma"/>
            <family val="2"/>
          </rPr>
          <t xml:space="preserve">
increase in perf. based comp. &amp; share-based comp. exp.</t>
        </r>
      </text>
    </comment>
    <comment ref="L90" authorId="1">
      <text>
        <r>
          <rPr>
            <b/>
            <sz val="8"/>
            <color indexed="81"/>
            <rFont val="Tahoma"/>
            <family val="2"/>
          </rPr>
          <t>yc63845:</t>
        </r>
        <r>
          <rPr>
            <sz val="8"/>
            <color indexed="81"/>
            <rFont val="Tahoma"/>
            <family val="2"/>
          </rPr>
          <t xml:space="preserve">
increase in operating exp in NA stores and Coach China partially offset by savings from Internet and Coach japan exp. NA store exp as percent of sales decreased primarily attributable to operating efficiencies. Decrease in Coach Japan op exp in constant currency of $6.6M was partially offset by impact of FX rates which increased exp by $5.4M</t>
        </r>
      </text>
    </comment>
    <comment ref="Z90" authorId="1">
      <text>
        <r>
          <rPr>
            <b/>
            <sz val="8"/>
            <color indexed="81"/>
            <rFont val="Tahoma"/>
            <family val="2"/>
          </rPr>
          <t>yc63845:</t>
        </r>
        <r>
          <rPr>
            <sz val="8"/>
            <color indexed="81"/>
            <rFont val="Tahoma"/>
            <family val="2"/>
          </rPr>
          <t xml:space="preserve">
increase primarily due to new design expenditures for Reed Krakoff brand, with expected introductions in FY11 and digital media marketing exp partailly offset by controlled sample making exp. </t>
        </r>
      </text>
    </comment>
    <comment ref="AD90" authorId="1">
      <text>
        <r>
          <rPr>
            <b/>
            <sz val="8"/>
            <color indexed="81"/>
            <rFont val="Tahoma"/>
            <family val="2"/>
          </rPr>
          <t>yc63845:</t>
        </r>
        <r>
          <rPr>
            <sz val="8"/>
            <color indexed="81"/>
            <rFont val="Tahoma"/>
            <family val="2"/>
          </rPr>
          <t xml:space="preserve">
decrease primarily result of FY09 cost savings initiatives and process improvements</t>
        </r>
      </text>
    </comment>
    <comment ref="AH90" authorId="1">
      <text>
        <r>
          <rPr>
            <b/>
            <sz val="8"/>
            <color indexed="81"/>
            <rFont val="Tahoma"/>
            <family val="2"/>
          </rPr>
          <t>yc63845:</t>
        </r>
        <r>
          <rPr>
            <sz val="8"/>
            <color indexed="81"/>
            <rFont val="Tahoma"/>
            <family val="2"/>
          </rPr>
          <t xml:space="preserve">
increase primarily due to higher perf based comp vs. a reversal of an accrual of perf based comp LY. Also COH reversed straight line rent accruals resulting from purchase of corp HQ building during the lease period</t>
        </r>
      </text>
    </comment>
    <comment ref="L91" authorId="2">
      <text>
        <r>
          <rPr>
            <sz val="8"/>
            <color indexed="81"/>
            <rFont val="Tahoma"/>
            <family val="2"/>
          </rPr>
          <t>10Q: higher op exp in Coach China and NA stores, due to openings, partially offset by savings from Japan expenses. NA store expenses as a % of sales decreased primarily due to operating efficiencies achieved since the end of the 3Q09. The decrease in Coach Japan op exp in constant currency of $2.6mm was partially offset by the impact of foreign currency exchange rates which increased reported expenses by ~$1.3mm.</t>
        </r>
      </text>
    </comment>
    <comment ref="Z91" authorId="2">
      <text>
        <r>
          <rPr>
            <b/>
            <sz val="8"/>
            <color indexed="81"/>
            <rFont val="Tahoma"/>
            <family val="2"/>
          </rPr>
          <t>ns66486:</t>
        </r>
        <r>
          <rPr>
            <sz val="8"/>
            <color indexed="81"/>
            <rFont val="Tahoma"/>
            <family val="2"/>
          </rPr>
          <t xml:space="preserve">
10Q: increase primarily due to new design expenditures for the Reed Krakoff brand, with expected introductions in FY2011, partially offset by controlled sample making expenses</t>
        </r>
      </text>
    </comment>
    <comment ref="AD91" authorId="2">
      <text>
        <r>
          <rPr>
            <b/>
            <sz val="8"/>
            <color indexed="81"/>
            <rFont val="Tahoma"/>
            <family val="2"/>
          </rPr>
          <t>ns66486:</t>
        </r>
        <r>
          <rPr>
            <sz val="8"/>
            <color indexed="81"/>
            <rFont val="Tahoma"/>
            <family val="2"/>
          </rPr>
          <t xml:space="preserve">
10Q: decrease primarily the result of FY2009 cost savings initiatives and process improvements</t>
        </r>
      </text>
    </comment>
    <comment ref="AH91" authorId="2">
      <text>
        <r>
          <rPr>
            <b/>
            <sz val="8"/>
            <color indexed="81"/>
            <rFont val="Tahoma"/>
            <family val="2"/>
          </rPr>
          <t>ns66486:</t>
        </r>
        <r>
          <rPr>
            <sz val="8"/>
            <color indexed="81"/>
            <rFont val="Tahoma"/>
            <family val="2"/>
          </rPr>
          <t xml:space="preserve">
10Q: increase was primarily due to higher performance-based compensation partially offset by the non-recurrence of the FY2009 items affecting omparability</t>
        </r>
      </text>
    </comment>
    <comment ref="L93" authorId="3">
      <text>
        <r>
          <rPr>
            <b/>
            <sz val="8"/>
            <color indexed="81"/>
            <rFont val="Tahoma"/>
            <family val="2"/>
          </rPr>
          <t>lauraro:</t>
        </r>
        <r>
          <rPr>
            <sz val="8"/>
            <color indexed="81"/>
            <rFont val="Tahoma"/>
            <family val="2"/>
          </rPr>
          <t xml:space="preserve">
9/10: 10K has $1.05Bn in selling expenses
The dollar increase in selling expenses was primarily due to an increase in operating expenses of North American stores and Coach China. The increase in North American store expenses was primarily attributable to expenses from new and expanded stores opened during fiscal 2010 and the incremental expense associated with having a full year of expenses related to stores opened in the prior year. Coach China and North American store expenses as a percentage of sales decreased primarily attributable to operating efficiencies achieved since the end of the fiscal 2009. The increase in Coach Japan operating expenses was driven primarily by the impact of foreign currency exchange rates which increased reported expenses by approximately $22.0 million.</t>
        </r>
      </text>
    </comment>
    <comment ref="Z93" authorId="3">
      <text>
        <r>
          <rPr>
            <b/>
            <sz val="8"/>
            <color indexed="81"/>
            <rFont val="Tahoma"/>
            <family val="2"/>
          </rPr>
          <t>lauraro:</t>
        </r>
        <r>
          <rPr>
            <sz val="8"/>
            <color indexed="81"/>
            <rFont val="Tahoma"/>
            <family val="2"/>
          </rPr>
          <t xml:space="preserve">
9/10: The increase was primarily due to new design expenditures for the Reed Krakoff brand, with expected introductions in fiscal year 2011, partly offset by controlled sample making expenses.</t>
        </r>
      </text>
    </comment>
    <comment ref="AD93" authorId="3">
      <text>
        <r>
          <rPr>
            <b/>
            <sz val="8"/>
            <color indexed="81"/>
            <rFont val="Tahoma"/>
            <family val="2"/>
          </rPr>
          <t>lauraro:</t>
        </r>
        <r>
          <rPr>
            <sz val="8"/>
            <color indexed="81"/>
            <rFont val="Tahoma"/>
            <family val="2"/>
          </rPr>
          <t xml:space="preserve">
9/10: The decrease in expenses was primarily the result of fiscal 2009 cost savings initiatives and process improvements.</t>
        </r>
      </text>
    </comment>
    <comment ref="AH93" authorId="3">
      <text>
        <r>
          <rPr>
            <b/>
            <sz val="8"/>
            <color indexed="81"/>
            <rFont val="Tahoma"/>
            <family val="2"/>
          </rPr>
          <t>lauraro:</t>
        </r>
        <r>
          <rPr>
            <sz val="8"/>
            <color indexed="81"/>
            <rFont val="Tahoma"/>
            <family val="2"/>
          </rPr>
          <t xml:space="preserve">
9/10: The increase in administrative expenses was primarily due to higher performance-based and share-based compensation. Also during fiscal 2009, the Company reversed straight-line rent accruals resulting from the purchase of our corporate headquarters building during the lease period.</t>
        </r>
      </text>
    </comment>
    <comment ref="AL93" authorId="3">
      <text>
        <r>
          <rPr>
            <b/>
            <sz val="8"/>
            <color indexed="81"/>
            <rFont val="Tahoma"/>
            <family val="2"/>
          </rPr>
          <t>lauraro:</t>
        </r>
        <r>
          <rPr>
            <sz val="8"/>
            <color indexed="81"/>
            <rFont val="Tahoma"/>
            <family val="2"/>
          </rPr>
          <t xml:space="preserve">
9/10: Overall SG&amp;A expenses increased primarily from higher administrative expenses driven by performance-based compensation and a prior year reversal of a straight-line rent accrual, resulting from the purchase of our corporate headquarters building, that did not recur in fiscal 2010.</t>
        </r>
      </text>
    </comment>
    <comment ref="L96" authorId="3">
      <text>
        <r>
          <rPr>
            <b/>
            <sz val="8"/>
            <color indexed="81"/>
            <rFont val="Tahoma"/>
            <family val="2"/>
          </rPr>
          <t>lauraro:</t>
        </r>
        <r>
          <rPr>
            <sz val="8"/>
            <color indexed="81"/>
            <rFont val="Tahoma"/>
            <family val="2"/>
          </rPr>
          <t xml:space="preserve">
The dollar increase in selling expenses was due to higher operating expenses in North American stores, Coach China and Japan, due to openings.  North American store expenses as a percentage of sales decreased primarily due to operating efficiencies achieved since the end of the first quarter of fiscal 2010.  The decrease in Coach Japan operating expenses in constant currency of $0.6 million was offset by the impact of foreign currency exchange rates which increased reported expenses by ~$6.1 million. </t>
        </r>
      </text>
    </comment>
    <comment ref="Z96" authorId="3">
      <text>
        <r>
          <rPr>
            <b/>
            <sz val="8"/>
            <color indexed="81"/>
            <rFont val="Tahoma"/>
            <family val="2"/>
          </rPr>
          <t xml:space="preserve">10Q: </t>
        </r>
        <r>
          <rPr>
            <sz val="8"/>
            <color indexed="81"/>
            <rFont val="Tahoma"/>
            <family val="2"/>
          </rPr>
          <t>The increase was primarily due to new design expenditures and development costs for new merchandising initiatives.  Also contributing to the increase were marketing expenses related to consumer communications, coach.com, our global e-commerce sites, marketing sites and social networking websites.  The Company utilizes and continues to explore implementing new technologies such as our sites, social networking websites and blogs as cost-effective consumer communication opportunities to increase on-line and store sales and build brand awareness.</t>
        </r>
      </text>
    </comment>
    <comment ref="AH96" authorId="3">
      <text>
        <r>
          <rPr>
            <b/>
            <sz val="8"/>
            <color indexed="81"/>
            <rFont val="Tahoma"/>
            <family val="2"/>
          </rPr>
          <t xml:space="preserve">10Q: </t>
        </r>
        <r>
          <rPr>
            <sz val="8"/>
            <color indexed="81"/>
            <rFont val="Tahoma"/>
            <family val="2"/>
          </rPr>
          <t>The increase in administrative expenses was primarily due to higher share-based compensation and performance-based compensation.</t>
        </r>
      </text>
    </comment>
    <comment ref="L97" authorId="3">
      <text>
        <r>
          <rPr>
            <b/>
            <sz val="8"/>
            <color indexed="81"/>
            <rFont val="Tahoma"/>
            <family val="2"/>
          </rPr>
          <t>10Q:</t>
        </r>
        <r>
          <rPr>
            <sz val="8"/>
            <color indexed="81"/>
            <rFont val="Tahoma"/>
            <family val="2"/>
          </rPr>
          <t xml:space="preserve">
The dollar increase in selling expenses was due to higher operating expenses in North American stores, Coach China and Japan, due to higher sales and new store openings. North American store expenses as a percentage of sales decreased primarily due to operating efficiencies achieved since the end of the second quarter of fiscal 2010. The decrease in Coach Japan operating expenses in constant currency of $1.1 million was offset by the impact of foreign currency exchange rates which increased reported expenses by approximately $6.6 million.</t>
        </r>
      </text>
    </comment>
    <comment ref="AD97" authorId="3">
      <text>
        <r>
          <rPr>
            <b/>
            <sz val="8"/>
            <color indexed="81"/>
            <rFont val="Tahoma"/>
            <family val="2"/>
          </rPr>
          <t xml:space="preserve">10Q: </t>
        </r>
        <r>
          <rPr>
            <sz val="8"/>
            <color indexed="81"/>
            <rFont val="Tahoma"/>
            <family val="2"/>
          </rPr>
          <t>To support our growth in China and the region, during the second half of fiscal 2010 we established an Asia distribution center in Shanghai, owned and operated by a third-party, allowing us to better manage the logistics in this region. During the second quarter of fiscal 2011, the Asia distribution center contributed to the increase in distribution and consumer service expenses, however in the long run, the Company expects the Asia distribution center to reduce costs as a percentage of net sales.</t>
        </r>
      </text>
    </comment>
    <comment ref="AH97" authorId="3">
      <text>
        <r>
          <rPr>
            <b/>
            <sz val="8"/>
            <color indexed="81"/>
            <rFont val="Tahoma"/>
            <family val="2"/>
          </rPr>
          <t xml:space="preserve">10Q: </t>
        </r>
        <r>
          <rPr>
            <sz val="8"/>
            <color indexed="81"/>
            <rFont val="Tahoma"/>
            <family val="2"/>
          </rPr>
          <t>The increase in administrative expenses was primarily due to higher share-based compensation</t>
        </r>
      </text>
    </comment>
    <comment ref="L98" authorId="3">
      <text>
        <r>
          <rPr>
            <b/>
            <sz val="8"/>
            <color indexed="81"/>
            <rFont val="Tahoma"/>
            <family val="2"/>
          </rPr>
          <t xml:space="preserve">10Q: </t>
        </r>
        <r>
          <rPr>
            <sz val="8"/>
            <color indexed="81"/>
            <rFont val="Tahoma"/>
            <family val="2"/>
          </rPr>
          <t>The dollar increase in selling expenses was due to higher operating expenses in Coach China and North American stores due to higher sales and new store openings. Additionally, selling expenses of Reed Krakoff stores contributed to the dollar increase since the brand was not launched until the beginning of fiscal 2011.</t>
        </r>
        <r>
          <rPr>
            <sz val="8"/>
            <color indexed="81"/>
            <rFont val="Tahoma"/>
            <family val="2"/>
          </rPr>
          <t xml:space="preserve">
Coach China and North American store expenses as a percentage of sales decreased primarily due to operating efficiencies and sales leverage. The decrease in Coach Japan operating expenses in constant currency of $7.8 million was offset by the impact of foreign currency exchange rates which increased reported expenses by approximately $7.9 million.</t>
        </r>
      </text>
    </comment>
    <comment ref="Z98" authorId="3">
      <text>
        <r>
          <rPr>
            <b/>
            <sz val="8"/>
            <color indexed="81"/>
            <rFont val="Tahoma"/>
            <family val="2"/>
          </rPr>
          <t xml:space="preserve">10Q: </t>
        </r>
        <r>
          <rPr>
            <sz val="8"/>
            <color indexed="81"/>
            <rFont val="Tahoma"/>
            <family val="2"/>
          </rPr>
          <t>The increase was primarily due to marketing expenses related to consumer communications, which includes our digital strategy through coach.com, our global e-commerce sites, marketing sites and social networking. The Company utilizes and continues to explore implementing new technologies such as our global web presence, with informational websites in 17 countries, social networking and blogs as cost-effective consumer communication opportunities to increase on-line and store sales and build brand awareness. Also contributing to the increase were new design expenditures and development costs for new merchandising initiatives.</t>
        </r>
        <r>
          <rPr>
            <sz val="8"/>
            <color indexed="81"/>
            <rFont val="Tahoma"/>
            <family val="2"/>
          </rPr>
          <t xml:space="preserve">
</t>
        </r>
      </text>
    </comment>
    <comment ref="AD98" authorId="3">
      <text>
        <r>
          <rPr>
            <b/>
            <sz val="8"/>
            <color indexed="81"/>
            <rFont val="Tahoma"/>
            <family val="2"/>
          </rPr>
          <t xml:space="preserve">10Q: </t>
        </r>
        <r>
          <rPr>
            <sz val="8"/>
            <color indexed="81"/>
            <rFont val="Tahoma"/>
            <family val="2"/>
          </rPr>
          <t>To support our growth in China and the region, during the second half of fiscal 2010 we established an Asia distribution center in Shanghai, owned and operated by a third-party, allowing us to better manage the logistics in this region. During the third quarter of fiscal 2011, the Asia distribution center contributed to the increase in distribution and consumer service expenses; however in the long run, the Company expects the Asia distribution center to reduce costs as a percentage of net sales.</t>
        </r>
        <r>
          <rPr>
            <sz val="8"/>
            <color indexed="81"/>
            <rFont val="Tahoma"/>
            <family val="2"/>
          </rPr>
          <t xml:space="preserve">
</t>
        </r>
      </text>
    </comment>
    <comment ref="AH98" authorId="3">
      <text>
        <r>
          <rPr>
            <b/>
            <sz val="8"/>
            <color indexed="81"/>
            <rFont val="Tahoma"/>
            <family val="2"/>
          </rPr>
          <t xml:space="preserve">10Q: </t>
        </r>
        <r>
          <rPr>
            <sz val="8"/>
            <color indexed="81"/>
            <rFont val="Tahoma"/>
            <family val="2"/>
          </rPr>
          <t>Administrative expenses were $87.0 million, or 9.2% of net sales, in the third quarter of fiscal 2011 compared to $54.2 million, or 6.5% of net sales, during the same period of fiscal 2010. Excluding items affecting comparability of $25.7 million during the third quarter of fiscal 2011, administrative expenses were $61.3 million, representing 6.5% of net sales. The increase in administrative expenses was primarily due to items affecting comparability and higher share-based compensation.</t>
        </r>
        <r>
          <rPr>
            <sz val="8"/>
            <color indexed="81"/>
            <rFont val="Tahoma"/>
            <family val="2"/>
          </rPr>
          <t xml:space="preserve">
</t>
        </r>
      </text>
    </comment>
    <comment ref="L100" authorId="3">
      <text>
        <r>
          <rPr>
            <b/>
            <sz val="8"/>
            <color indexed="81"/>
            <rFont val="Tahoma"/>
            <family val="2"/>
          </rPr>
          <t>lauraro:</t>
        </r>
        <r>
          <rPr>
            <sz val="8"/>
            <color indexed="81"/>
            <rFont val="Tahoma"/>
            <family val="2"/>
          </rPr>
          <t xml:space="preserve">
Selling expenses were $1.18 billion, or 28.5% of net sales compared to $1.05 billion, or 29.1% of net sales, during fiscal 2010. The dollar increase in selling expenses was due to higher operating expenses in Coach China and North American stores due to higher sales and new store openings. Additionally, selling expenses of Reed Krakoff stores contributed to the dollar increase since the brand was not launched until the beginning of fiscal 2011. Coach China and North American store expenses as a percentage of sales decreased primarily due to operating efficiencies and sales leverage. The decrease in Coach Japan operating expenses in constant currency of $10.2 million was offset by the impact of foreign currency exchange rates which increased reported expenses by approximately $33.5 million.</t>
        </r>
      </text>
    </comment>
    <comment ref="Z100" authorId="3">
      <text>
        <r>
          <rPr>
            <b/>
            <sz val="8"/>
            <color indexed="81"/>
            <rFont val="Tahoma"/>
            <family val="2"/>
          </rPr>
          <t>lauraro:</t>
        </r>
        <r>
          <rPr>
            <sz val="8"/>
            <color indexed="81"/>
            <rFont val="Tahoma"/>
            <family val="2"/>
          </rPr>
          <t xml:space="preserve">
Increase was primarily due to new design expenditures and development costs for new merchandising initiatives. Also contributing to the increase were marketing expenses related to consumer communications, which includes our digital strategy through coach.com, our global e-commerce sites, marketing sites and social networking. The Company utilizes and continues to explore implementing new technologies such as our global web presence, with informational websites in 17 countries, social networking and blogs as cost-effective consumer communication opportunities to increase on-line and store sales and build brand awareness.
- Total expenses related to consumer communications in fiscal 2011 were $75.0 million, representing less than 2% of net sales.</t>
        </r>
      </text>
    </comment>
    <comment ref="AD100" authorId="3">
      <text>
        <r>
          <rPr>
            <b/>
            <sz val="8"/>
            <color indexed="81"/>
            <rFont val="Tahoma"/>
            <family val="2"/>
          </rPr>
          <t>lauraro:</t>
        </r>
        <r>
          <rPr>
            <sz val="8"/>
            <color indexed="81"/>
            <rFont val="Tahoma"/>
            <family val="2"/>
          </rPr>
          <t xml:space="preserve">
Distribution and consumer service expenses were $58.2 million, or 1.4% of net sales, compared to $48.0 million, or 1.3% of net sales, during fiscal 2010. To support our growth in China and the region, during the second half of fiscal 2010 we established an Asia distribution center in Shanghai, owned and operated by a third-party, allowing us to better manage the logistics in this region. During fiscal 2011, the Asia distribution center contributed to the increase in distribution and consumer service expenses; however in the long run, the Company expects the Asia distribution center to reduce costs as a percentage of net sales.</t>
        </r>
      </text>
    </comment>
    <comment ref="AH100" authorId="3">
      <text>
        <r>
          <rPr>
            <b/>
            <sz val="8"/>
            <color indexed="81"/>
            <rFont val="Tahoma"/>
            <family val="2"/>
          </rPr>
          <t>lauraro:</t>
        </r>
        <r>
          <rPr>
            <sz val="8"/>
            <color indexed="81"/>
            <rFont val="Tahoma"/>
            <family val="2"/>
          </rPr>
          <t xml:space="preserve">
Administrative expenses were $252.4 million, or 6.1% of net sales, compared to $204.0 million, or 5.7% of net sales, during fiscal 2010. Excluding items affecting comparability of $25.7 million in fiscal 2011, expenses were $226.7 million, representing 5.5% of net sales. The increase in administrative expenses was primarily due to higher share-based and performance-based compensation.</t>
        </r>
      </text>
    </comment>
    <comment ref="AH104" authorId="3">
      <text>
        <r>
          <rPr>
            <b/>
            <sz val="8"/>
            <color indexed="81"/>
            <rFont val="Tahoma"/>
            <family val="2"/>
          </rPr>
          <t>lauraro:</t>
        </r>
        <r>
          <rPr>
            <sz val="8"/>
            <color indexed="81"/>
            <rFont val="Tahoma"/>
            <family val="2"/>
          </rPr>
          <t xml:space="preserve">
Charitable donation amount in administration</t>
        </r>
      </text>
    </comment>
    <comment ref="L105" authorId="3">
      <text>
        <r>
          <rPr>
            <b/>
            <sz val="8"/>
            <color indexed="81"/>
            <rFont val="Tahoma"/>
            <family val="2"/>
          </rPr>
          <t>lauraro:</t>
        </r>
        <r>
          <rPr>
            <sz val="8"/>
            <color indexed="81"/>
            <rFont val="Tahoma"/>
            <family val="2"/>
          </rPr>
          <t xml:space="preserve">
The dollar increase in selling expenses was due to higher operating expenses in Coach China and North American stores due to higher sales and new store openings. Coach China and North American store expenses as a percentage of sales decreased primarily due to operating efficiencies and sales leverage. The decrease in Coach Japan operating expenses in constant currency of $2.9 million was offset by the impact of foreign currency exchange rates, which increased reported expenses by approximately $3.0 million.</t>
        </r>
      </text>
    </comment>
    <comment ref="Z105" authorId="3">
      <text>
        <r>
          <rPr>
            <b/>
            <sz val="8"/>
            <color indexed="81"/>
            <rFont val="Tahoma"/>
            <family val="2"/>
          </rPr>
          <t>lauraro:</t>
        </r>
        <r>
          <rPr>
            <sz val="8"/>
            <color indexed="81"/>
            <rFont val="Tahoma"/>
            <family val="2"/>
          </rPr>
          <t xml:space="preserve">
The dollar increase was primarily due to marketing expenses related to consumer communications, which includes our digital strategy through coach.com, our global e-commerce sites, third-party flash sites, marketing sites and social networking. The Company operates informational websites in 20 countries, and utilizes social networking and blogs as cost-effective consumer communication opportunities to increase online and store sales and build brand awareness. Also contributing to the increase were new design expenditures and development costs for new merchandising initiatives.</t>
        </r>
      </text>
    </comment>
    <comment ref="AH105" authorId="3">
      <text>
        <r>
          <rPr>
            <b/>
            <sz val="8"/>
            <color indexed="81"/>
            <rFont val="Tahoma"/>
            <family val="2"/>
          </rPr>
          <t>lauraro:</t>
        </r>
        <r>
          <rPr>
            <sz val="8"/>
            <color indexed="81"/>
            <rFont val="Tahoma"/>
            <family val="2"/>
          </rPr>
          <t xml:space="preserve">
the Company increased headcount and systems investment, largely due to our international expansion.</t>
        </r>
      </text>
    </comment>
    <comment ref="L114" authorId="4">
      <text>
        <r>
          <rPr>
            <b/>
            <sz val="9"/>
            <color indexed="81"/>
            <rFont val="Tahoma"/>
            <family val="2"/>
          </rPr>
          <t>Turley, Amber (Research):</t>
        </r>
        <r>
          <rPr>
            <sz val="9"/>
            <color indexed="81"/>
            <rFont val="Tahoma"/>
            <family val="2"/>
          </rPr>
          <t xml:space="preserve">
per FY14 10-K pg 36: dollar increase in selling expenses due to intl stores reflecting higher sales and new store openings, and higher NA Internet expenses reflecting higher sales. Intl selling expenses overall increased as a % of sales due to acquisitions of South Korea and Malaysia businesses and infrastructure investments to support Asia. China store expenses as a percentage of sales decreased primarily due to operating efficiencies and sales leverage. </t>
        </r>
      </text>
    </comment>
    <comment ref="Z114" authorId="4">
      <text>
        <r>
          <rPr>
            <b/>
            <sz val="9"/>
            <color indexed="81"/>
            <rFont val="Tahoma"/>
            <family val="2"/>
          </rPr>
          <t>Turley, Amber (Research):</t>
        </r>
        <r>
          <rPr>
            <sz val="9"/>
            <color indexed="81"/>
            <rFont val="Tahoma"/>
            <family val="2"/>
          </rPr>
          <t xml:space="preserve">
</t>
        </r>
      </text>
    </comment>
    <comment ref="AD114" authorId="4">
      <text>
        <r>
          <rPr>
            <b/>
            <sz val="9"/>
            <color indexed="81"/>
            <rFont val="Tahoma"/>
            <family val="2"/>
          </rPr>
          <t>Turley, Amber (Research):</t>
        </r>
        <r>
          <rPr>
            <sz val="9"/>
            <color indexed="81"/>
            <rFont val="Tahoma"/>
            <family val="2"/>
          </rPr>
          <t xml:space="preserve">
increase primarily the result of sales mix shift to Internet purchases resulting in increased packaging and shipping expenses per dollar of sales. </t>
        </r>
      </text>
    </comment>
    <comment ref="AH114" authorId="4">
      <text>
        <r>
          <rPr>
            <b/>
            <sz val="9"/>
            <color indexed="81"/>
            <rFont val="Tahoma"/>
            <family val="2"/>
          </rPr>
          <t>Turley, Amber (Research):</t>
        </r>
        <r>
          <rPr>
            <sz val="9"/>
            <color indexed="81"/>
            <rFont val="Tahoma"/>
            <family val="2"/>
          </rPr>
          <t xml:space="preserve">
this excludes $48.4m in charges</t>
        </r>
      </text>
    </comment>
    <comment ref="L118" authorId="5">
      <text>
        <r>
          <rPr>
            <b/>
            <sz val="9"/>
            <color indexed="81"/>
            <rFont val="Tahoma"/>
            <family val="2"/>
          </rPr>
          <t>turleamb:</t>
        </r>
        <r>
          <rPr>
            <sz val="9"/>
            <color indexed="81"/>
            <rFont val="Tahoma"/>
            <family val="2"/>
          </rPr>
          <t xml:space="preserve">
10-Q: Selling expenses were $410.5 million, or 28.9% of net sales, in the second quarter of fiscal 2014 compared to $417.1 million, or 27.7% of net sales, in the second quarter of fiscal 2013. The dollar decrease in selling expenses reflected lower selling costs associated with lower sales in North America and the favorable impact of the foreign currency exchange rates related to Coach Japan. These decreases were offset by increases in new store openings and the impact of acquiring our 50% interest in our European joint venture.</t>
        </r>
      </text>
    </comment>
    <comment ref="Z118" authorId="5">
      <text>
        <r>
          <rPr>
            <b/>
            <sz val="9"/>
            <color indexed="81"/>
            <rFont val="Tahoma"/>
            <family val="2"/>
          </rPr>
          <t>turleamb:</t>
        </r>
        <r>
          <rPr>
            <sz val="9"/>
            <color indexed="81"/>
            <rFont val="Tahoma"/>
            <family val="2"/>
          </rPr>
          <t xml:space="preserve">
10-Q: Advertising, marketing and design costs were $64.5 million, or 4.5% of net sales, in the second quarter of fiscal 2014, compared to $65.3 million, or 4.3% of net sales, during the same period of fiscal 2013. Advertising, marketing and design costs remained fairly consistent from the same period in the prior year due to the fact that the decrease in advertising, marketing and design costs related to the divestiture of the Reed Krakoff business was offset by increased expense as a part of the Company’s new marketing campaigns. Excluding fiscal 2013 costs associated with the Reed Krakoff business, the Company expects full year advertising, marketing and design costs to be higher than those costs incurred in fiscal 2013.</t>
        </r>
      </text>
    </comment>
    <comment ref="AD118" authorId="5">
      <text>
        <r>
          <rPr>
            <b/>
            <sz val="9"/>
            <color indexed="81"/>
            <rFont val="Tahoma"/>
            <family val="2"/>
          </rPr>
          <t>turleamb:</t>
        </r>
        <r>
          <rPr>
            <sz val="9"/>
            <color indexed="81"/>
            <rFont val="Tahoma"/>
            <family val="2"/>
          </rPr>
          <t xml:space="preserve">
10-Q: Distribution and consumer service expenses were $25.0 million, or 1.8% of net sales, in the second quarter of fiscal 2014, compared to $24.3 million, or 1.6% of net sales, in the second quarter of fiscal 2013. Distribution and consumer service expenses remained fairly consistent from the same period in the prior year.</t>
        </r>
      </text>
    </comment>
    <comment ref="AH118" authorId="5">
      <text>
        <r>
          <rPr>
            <b/>
            <sz val="9"/>
            <color indexed="81"/>
            <rFont val="Tahoma"/>
            <family val="2"/>
          </rPr>
          <t>turleamb:</t>
        </r>
        <r>
          <rPr>
            <sz val="9"/>
            <color indexed="81"/>
            <rFont val="Tahoma"/>
            <family val="2"/>
          </rPr>
          <t xml:space="preserve">
10-Q: Administrative expenses were $46.7 million, or 3.3% of net sales, in the second quarter of fiscal 2014 compared to $52.1 million, or 3.5% of net sales, during the same period of fiscal 2013. The dollar decrease in the second quarter of fiscal 2014 reflects lower performance-related compensation costs.</t>
        </r>
      </text>
    </comment>
    <comment ref="L119" authorId="5">
      <text>
        <r>
          <rPr>
            <b/>
            <sz val="9"/>
            <color indexed="81"/>
            <rFont val="Tahoma"/>
            <family val="2"/>
          </rPr>
          <t>turleamb:</t>
        </r>
        <r>
          <rPr>
            <sz val="9"/>
            <color indexed="81"/>
            <rFont val="Tahoma"/>
            <family val="2"/>
          </rPr>
          <t xml:space="preserve">
5/6/14 10-Q:  The dollar increase in selling expenses reflected new store openings and the impact of acquiring our former partner Hackett’s 50% interest in our European joint venture. This increase was offset by lower selling costs associated with lower sales in North America and the favorable impact of the foreign currency exchange rates related to Coach Japan.</t>
        </r>
      </text>
    </comment>
    <comment ref="Z119" authorId="5">
      <text>
        <r>
          <rPr>
            <b/>
            <sz val="9"/>
            <color indexed="81"/>
            <rFont val="Tahoma"/>
            <family val="2"/>
          </rPr>
          <t>turleamb:</t>
        </r>
        <r>
          <rPr>
            <sz val="9"/>
            <color indexed="81"/>
            <rFont val="Tahoma"/>
            <family val="2"/>
          </rPr>
          <t xml:space="preserve">
5/6/14 10-Q: Advertising, marketing, and design costs remained fairly consistent from the same period in the prior year as the decrease in costs related to the divestiture of the Reed Krakoff business was offset by increased expense as a part of the Company’s transformation-related efforts.</t>
        </r>
      </text>
    </comment>
    <comment ref="AH119" authorId="5">
      <text>
        <r>
          <rPr>
            <b/>
            <sz val="9"/>
            <color indexed="81"/>
            <rFont val="Tahoma"/>
            <family val="2"/>
          </rPr>
          <t>turleamb:</t>
        </r>
        <r>
          <rPr>
            <sz val="9"/>
            <color indexed="81"/>
            <rFont val="Tahoma"/>
            <family val="2"/>
          </rPr>
          <t xml:space="preserve">
reflects lower performance compensation costs</t>
        </r>
      </text>
    </comment>
    <comment ref="L121" authorId="4">
      <text>
        <r>
          <rPr>
            <b/>
            <sz val="9"/>
            <color indexed="81"/>
            <rFont val="Tahoma"/>
            <family val="2"/>
          </rPr>
          <t>Turley, Amber (Research):</t>
        </r>
        <r>
          <rPr>
            <sz val="9"/>
            <color indexed="81"/>
            <rFont val="Tahoma"/>
            <family val="2"/>
          </rPr>
          <t xml:space="preserve">
10-K (pg 31): increase primarily due to new store openings in intl business including acquiring Europe JV. Expenses mostly offset by a favorable impact of F/X primarily related to COH Japan and lower expenses in NA due to Reed Krakoff divestiture.
Includes $45.8m increase as a result of acquired Europe JV and increased of $53.7m in China/Asia ex Japan related to higher occupancy and employee costs with new store openings. (**note: there were 32 Asia store openings in FY14 and 18 addtl Europe stores due to the JV. This could equate to estimates $1.68m per store cost in Asia and $2.54m per store cost in Europe)</t>
        </r>
      </text>
    </comment>
    <comment ref="Z121" authorId="4">
      <text>
        <r>
          <rPr>
            <b/>
            <sz val="9"/>
            <color indexed="81"/>
            <rFont val="Tahoma"/>
            <family val="2"/>
          </rPr>
          <t>Turley, Amber (Research):</t>
        </r>
        <r>
          <rPr>
            <sz val="9"/>
            <color indexed="81"/>
            <rFont val="Tahoma"/>
            <family val="2"/>
          </rPr>
          <t xml:space="preserve">
10-K (pg 31): primarily due to divestiture of Reed Krakoff business. Partially offset by increased advertising, marketing and design costs related to transformation efforts. </t>
        </r>
      </text>
    </comment>
    <comment ref="AH121" authorId="4">
      <text>
        <r>
          <rPr>
            <b/>
            <sz val="9"/>
            <color indexed="81"/>
            <rFont val="Tahoma"/>
            <family val="2"/>
          </rPr>
          <t>Turley, Amber (Research):</t>
        </r>
        <r>
          <rPr>
            <sz val="9"/>
            <color indexed="81"/>
            <rFont val="Tahoma"/>
            <family val="2"/>
          </rPr>
          <t xml:space="preserve">
8/16/14 10-K:Excludes $49.3m in charges. Lower compensation expense was mostly offset by additional costs incurred as part of investments made in the business, particularly related to increased depreciation expense. 
 7300 full time and 7000 part time employees in global retail. 17,200 total employees (not seasoal) suggesting 2900 HQ employees</t>
        </r>
      </text>
    </comment>
    <comment ref="L124" authorId="4">
      <text>
        <r>
          <rPr>
            <b/>
            <sz val="9"/>
            <color indexed="81"/>
            <rFont val="Tahoma"/>
            <family val="2"/>
          </rPr>
          <t>Turley, Amber (Research):</t>
        </r>
        <r>
          <rPr>
            <sz val="9"/>
            <color indexed="81"/>
            <rFont val="Tahoma"/>
            <family val="2"/>
          </rPr>
          <t xml:space="preserve">
10-q: The $3.9 million decrease represents lower selling expenses related to our North America stores and Internet business, which were mostly offset by increases to support growth in our International business. 
MS note: if we assume COH closes 35 stores using the 2013 selling costs/store of $1.58m that should equate to $55.3m in savings. This is then offset partially or fully by replatforming of stores and upgrading wholesale experience including flagship rent in Shinjuku to open in Oct/Nov and opening 15-16 new locations by holiday. </t>
        </r>
      </text>
    </comment>
    <comment ref="Z124" authorId="4">
      <text>
        <r>
          <rPr>
            <b/>
            <sz val="9"/>
            <color indexed="81"/>
            <rFont val="Tahoma"/>
            <family val="2"/>
          </rPr>
          <t>Turley, Amber (Research):</t>
        </r>
        <r>
          <rPr>
            <sz val="9"/>
            <color indexed="81"/>
            <rFont val="Tahoma"/>
            <family val="2"/>
          </rPr>
          <t xml:space="preserve">
10-Q: Advertising, marketing, and design costs were $53.9 million, or 5.2% of net sales, in the first quarter of fiscal 2015, compared to $57.6 million, or 5.0% of net sales, during the first quarter of fiscal 2014. The decrease was primarily due to the divestiture of the Reed Krakoff business and lower costs incurred as a result of fewer promotional events made by the Company, primarily as a result of the Company's decision to limit access to our outlet Internet sales site. These costs were partially offset by higher costs for marketing-related events</t>
        </r>
      </text>
    </comment>
    <comment ref="AD124" authorId="4">
      <text>
        <r>
          <rPr>
            <b/>
            <sz val="9"/>
            <color indexed="81"/>
            <rFont val="Tahoma"/>
            <family val="2"/>
          </rPr>
          <t>Turley, Amber (Research):</t>
        </r>
        <r>
          <rPr>
            <sz val="9"/>
            <color indexed="81"/>
            <rFont val="Tahoma"/>
            <family val="2"/>
          </rPr>
          <t xml:space="preserve">
10-Q: Distribution and consumer service expenses were $17.7 million, or 1.7% of net sales, in the first quarter of fiscal 2015, compared to $21.5 million, or 1.9% of net sales in the first quarter of fiscal 2014. The decrease was primarily due to lower variable costs as a result of lower sales associated with the Company's decision to limit access to our outlet Internet sales site</t>
        </r>
      </text>
    </comment>
    <comment ref="AH124" authorId="4">
      <text>
        <r>
          <rPr>
            <b/>
            <sz val="9"/>
            <color indexed="81"/>
            <rFont val="Tahoma"/>
            <family val="2"/>
          </rPr>
          <t>Turley, Amber (Research):</t>
        </r>
        <r>
          <rPr>
            <sz val="9"/>
            <color indexed="81"/>
            <rFont val="Tahoma"/>
            <family val="2"/>
          </rPr>
          <t xml:space="preserve">
10-Q: Administrative expenses were $102.8 million, or 9.9% of net sales, in the first quarter of fiscal 2015 compared to $60.8 million, or 5.3% of net sales, in the first quarter of fiscal 2014. Excluding items affecting comparability of $33.1 million in the first quarter of fiscal 2015, administrative expenses were $69.7 million, or 6.7% of net sales, in the first quarter of fiscal 2015. The increase is primarily due to additional costs incurred particularly related to information technology and higher equity compensation, which is due to the absence of forfeitures of certain share-based awards, recognized in the first quarter of fiscal 2014, as a result of the departure of certain key executives. 
</t>
        </r>
      </text>
    </comment>
    <comment ref="AL124" authorId="4">
      <text>
        <r>
          <rPr>
            <b/>
            <sz val="9"/>
            <color indexed="81"/>
            <rFont val="Tahoma"/>
            <family val="2"/>
          </rPr>
          <t>Turley, Amber (Research):</t>
        </r>
        <r>
          <rPr>
            <sz val="9"/>
            <color indexed="81"/>
            <rFont val="Tahoma"/>
            <family val="2"/>
          </rPr>
          <t xml:space="preserve">
8/5/14: The company expects to capture $70 million in savings related to its transformation initiatives in fiscal 2015</t>
        </r>
      </text>
    </comment>
    <comment ref="L125" authorId="4">
      <text>
        <r>
          <rPr>
            <b/>
            <sz val="9"/>
            <color indexed="81"/>
            <rFont val="Tahoma"/>
            <family val="2"/>
          </rPr>
          <t>Turley, Amber (Research):</t>
        </r>
        <r>
          <rPr>
            <sz val="9"/>
            <color indexed="81"/>
            <rFont val="Tahoma"/>
            <family val="2"/>
          </rPr>
          <t xml:space="preserve">
10-Q: Selling expenses were $397.4 million, or 32.5% of net sales, in the second quarter of fiscal 2015 compared to $410.5 million, or 28.9% of net sales, in the second quarter of fiscal 2014. The $13.1 million decrease represents lower selling expenses related to our North America stores and Internet business, which were mostly offset by increases to support growth in our International business
Mse notes:  if we assume COH closes 40 stores using the 2013 selling costs/store of $1.58m that should equate to $63.2m in savings. This is then offset partially or fully by replatforming of stores and upgrading wholesale experience</t>
        </r>
      </text>
    </comment>
    <comment ref="Z125" authorId="4">
      <text>
        <r>
          <rPr>
            <b/>
            <sz val="9"/>
            <color indexed="81"/>
            <rFont val="Tahoma"/>
            <family val="2"/>
          </rPr>
          <t>Turley, Amber (Research):</t>
        </r>
        <r>
          <rPr>
            <sz val="9"/>
            <color indexed="81"/>
            <rFont val="Tahoma"/>
            <family val="2"/>
          </rPr>
          <t xml:space="preserve">
10-Q: Advertising, marketing, and design costs were $63.6 million, or 5.3% of net sales, in the second quarter of fiscal 2015, compared to $64.5 million, or 4.5% of net sales, during the second quarter of fiscal 2014. The decrease was primarily due to the lower costs incurred as a result of fewer promotional events made by the Company, primarily as a result of the Company's decision to limit access to our outlet Internet sales site. These costs were partially offset by higher costs for marketing and advertising-related events which increased by $6.1 million as compared to the same period in the prior year</t>
        </r>
      </text>
    </comment>
    <comment ref="AD125" authorId="4">
      <text>
        <r>
          <rPr>
            <b/>
            <sz val="9"/>
            <color indexed="81"/>
            <rFont val="Tahoma"/>
            <family val="2"/>
          </rPr>
          <t>Turley, Amber (Research):</t>
        </r>
        <r>
          <rPr>
            <sz val="9"/>
            <color indexed="81"/>
            <rFont val="Tahoma"/>
            <family val="2"/>
          </rPr>
          <t xml:space="preserve">
10-Q: Distribution and consumer service expenses were $18.9 million, or 1.6% of net sales, in the second quarter of fiscal 2015, compared to $25.0 million, or 1.8% of net sales in the second quarter of fiscal 2014. The decrease was primarily due to lower variable costs as a result of lower sales associated with the Company's decision to limit access to our outlet Internet sales site. 
</t>
        </r>
      </text>
    </comment>
    <comment ref="AH125" authorId="4">
      <text>
        <r>
          <rPr>
            <b/>
            <sz val="9"/>
            <color indexed="81"/>
            <rFont val="Tahoma"/>
            <family val="2"/>
          </rPr>
          <t>Turley, Amber (Research):</t>
        </r>
        <r>
          <rPr>
            <sz val="9"/>
            <color indexed="81"/>
            <rFont val="Tahoma"/>
            <family val="2"/>
          </rPr>
          <t xml:space="preserve">
10-Q: Administrative expenses were $84.7 million, or 6.9% of net sales, in the second quarter of fiscal 2015 compared to $46.7 million, or 3.3% of net sales, in the second quarter of fiscal 2014. Excluding items affecting comparability of $22.6 million in the second quarter of fiscal 2015, administrative expenses were $62.1 million, or 5.1% of net sales, in the second quarter of fiscal 2015. The increase is primarily due higher incentive compensation costs. 
</t>
        </r>
      </text>
    </comment>
    <comment ref="L126" authorId="6">
      <text>
        <r>
          <rPr>
            <b/>
            <sz val="9"/>
            <color indexed="81"/>
            <rFont val="Tahoma"/>
            <family val="2"/>
          </rPr>
          <t>casselau:</t>
        </r>
        <r>
          <rPr>
            <sz val="9"/>
            <color indexed="81"/>
            <rFont val="Tahoma"/>
            <family val="2"/>
          </rPr>
          <t xml:space="preserve">
The $6.3 million decrease represents lower selling expenses related to our North America stores and Internet business, which were mostly offset by increases to support growth in our International business. </t>
        </r>
      </text>
    </comment>
    <comment ref="Z126" authorId="6">
      <text>
        <r>
          <rPr>
            <b/>
            <sz val="9"/>
            <color indexed="81"/>
            <rFont val="Tahoma"/>
            <family val="2"/>
          </rPr>
          <t>casselau:</t>
        </r>
        <r>
          <rPr>
            <sz val="9"/>
            <color indexed="81"/>
            <rFont val="Tahoma"/>
            <family val="2"/>
          </rPr>
          <t xml:space="preserve">
The slight increase was primarily due to higher costs for marketing and advertising-related events which increased by $9.9 million as compared to the same period in the prior year, offset by lower costs incurred as a result of fewer promotional events, primarily as a result of the Company's decision to limit access to our outlet Internet sales site.</t>
        </r>
      </text>
    </comment>
    <comment ref="AD126" authorId="6">
      <text>
        <r>
          <rPr>
            <b/>
            <sz val="9"/>
            <color indexed="81"/>
            <rFont val="Tahoma"/>
            <family val="2"/>
          </rPr>
          <t>casselau:</t>
        </r>
        <r>
          <rPr>
            <sz val="9"/>
            <color indexed="81"/>
            <rFont val="Tahoma"/>
            <family val="2"/>
          </rPr>
          <t xml:space="preserve">
Distribution and consumer service expenses were $16.4 million, or 1.8% of net sales, in the third quarter of fiscal 2015, compared to $20.4 million, or 1.9% of net sales in the third quarter of fiscal 2014. The decrease was primarily due to lower variable costs as a result of lower sales associated with the Company's decision to limit access to our outlet Internet sales site as well as the impact of overall reduced inventory levels.  </t>
        </r>
      </text>
    </comment>
    <comment ref="AH126" authorId="6">
      <text>
        <r>
          <rPr>
            <b/>
            <sz val="9"/>
            <color indexed="81"/>
            <rFont val="Tahoma"/>
            <family val="2"/>
          </rPr>
          <t>casselau:</t>
        </r>
        <r>
          <rPr>
            <sz val="9"/>
            <color indexed="81"/>
            <rFont val="Tahoma"/>
            <family val="2"/>
          </rPr>
          <t xml:space="preserve">
The increase is primarily due to higher incentive compensation costs. </t>
        </r>
      </text>
    </comment>
    <comment ref="AD127" authorId="6">
      <text>
        <r>
          <rPr>
            <b/>
            <sz val="9"/>
            <color indexed="81"/>
            <rFont val="Tahoma"/>
            <family val="2"/>
          </rPr>
          <t>casselau:</t>
        </r>
        <r>
          <rPr>
            <sz val="9"/>
            <color indexed="81"/>
            <rFont val="Tahoma"/>
            <family val="2"/>
          </rPr>
          <t xml:space="preserve">
The decrease was primarily due to lower variable costs as a result of lower sales associated with the Company's decision to limit access to our outlet Internet sales site. </t>
        </r>
      </text>
    </comment>
    <comment ref="L128" authorId="4">
      <text>
        <r>
          <rPr>
            <sz val="9"/>
            <color indexed="81"/>
            <rFont val="Tahoma"/>
            <family val="2"/>
          </rPr>
          <t xml:space="preserve">The $16.5 million decrease represents slightly lower selling expenses related to our North America stores and Internet business, which were partially offset by increases to support growth in our International business (primarily in Europe and Greater China) as well as incremental Stuart Weitzman selling expenses. Excluding items affecting comparability of $4.1 million in fiscal 2015, selling expenses were 36.5% of net sales.
</t>
        </r>
        <r>
          <rPr>
            <b/>
            <sz val="9"/>
            <color indexed="81"/>
            <rFont val="Tahoma"/>
            <family val="2"/>
          </rPr>
          <t xml:space="preserve">
Turley, Amber (Research):</t>
        </r>
        <r>
          <rPr>
            <sz val="9"/>
            <color indexed="81"/>
            <rFont val="Tahoma"/>
            <family val="2"/>
          </rPr>
          <t xml:space="preserve">
per 8/5/14 transcript pg 13: plan to have 60 new doors in new concept by end of FY15 and 150 doors renovated by end of Fy15</t>
        </r>
      </text>
    </comment>
    <comment ref="Z128" authorId="6">
      <text>
        <r>
          <rPr>
            <b/>
            <sz val="9"/>
            <color indexed="81"/>
            <rFont val="Tahoma"/>
            <family val="2"/>
          </rPr>
          <t>casselau:</t>
        </r>
        <r>
          <rPr>
            <sz val="9"/>
            <color indexed="81"/>
            <rFont val="Tahoma"/>
            <family val="2"/>
          </rPr>
          <t xml:space="preserve">
The increase was the result of higher costs for marketing-related events which increased by $28.8 million as compared to fiscal 2014, partially offset by fewer promotional events made by the Company, primarily as a result of the Company's decision to limit access to our outlet Internet sales site.</t>
        </r>
      </text>
    </comment>
    <comment ref="AD128" authorId="6">
      <text>
        <r>
          <rPr>
            <b/>
            <sz val="9"/>
            <color indexed="81"/>
            <rFont val="Tahoma"/>
            <family val="2"/>
          </rPr>
          <t>casselau:</t>
        </r>
        <r>
          <rPr>
            <sz val="9"/>
            <color indexed="81"/>
            <rFont val="Tahoma"/>
            <family val="2"/>
          </rPr>
          <t xml:space="preserve">
The decrease was primarily due to lower variable costs as a result of lower sales associated with the Company's decision to limit access to our outlet Internet sales site. </t>
        </r>
      </text>
    </comment>
    <comment ref="AH128" authorId="6">
      <text>
        <r>
          <rPr>
            <b/>
            <sz val="9"/>
            <color indexed="81"/>
            <rFont val="Tahoma"/>
            <family val="2"/>
          </rPr>
          <t>casselau:</t>
        </r>
        <r>
          <rPr>
            <sz val="9"/>
            <color indexed="81"/>
            <rFont val="Tahoma"/>
            <family val="2"/>
          </rPr>
          <t xml:space="preserve">
The increase is primarily due to higher incentive compensation costs and additional costs incurred particularly related to information technology. </t>
        </r>
      </text>
    </comment>
    <comment ref="AL128" authorId="4">
      <text>
        <r>
          <rPr>
            <b/>
            <sz val="9"/>
            <color indexed="81"/>
            <rFont val="Tahoma"/>
            <family val="2"/>
          </rPr>
          <t>Turley, Amber (Research):</t>
        </r>
        <r>
          <rPr>
            <sz val="9"/>
            <color indexed="81"/>
            <rFont val="Tahoma"/>
            <family val="2"/>
          </rPr>
          <t xml:space="preserve">
8/5/14: The company expects to capture $70 million in savings related to its transformation initiatives in fiscal 2015</t>
        </r>
      </text>
    </comment>
    <comment ref="L131" authorId="6">
      <text>
        <r>
          <rPr>
            <b/>
            <sz val="9"/>
            <color indexed="81"/>
            <rFont val="Tahoma"/>
            <family val="2"/>
          </rPr>
          <t>casselau:</t>
        </r>
        <r>
          <rPr>
            <sz val="9"/>
            <color indexed="81"/>
            <rFont val="Tahoma"/>
            <family val="2"/>
          </rPr>
          <t xml:space="preserve">
The $6.0 million increase is primarily due to a $16.4 million increase attributable to the Stuart Weitzman segment as well as increases in mainland China and Europe to support growth in the business, partially offset by reduced variable selling costs due to lower net sales, particularly within North America.</t>
        </r>
      </text>
    </comment>
    <comment ref="Z131" authorId="6">
      <text>
        <r>
          <rPr>
            <b/>
            <sz val="9"/>
            <color indexed="81"/>
            <rFont val="Tahoma"/>
            <family val="2"/>
          </rPr>
          <t>casselau:</t>
        </r>
        <r>
          <rPr>
            <sz val="9"/>
            <color indexed="81"/>
            <rFont val="Tahoma"/>
            <family val="2"/>
          </rPr>
          <t xml:space="preserve">
The increase was primarily due to higher costs for Coach brand marketing and advertising-related events, including our first true New York fashion week show in September, which increased by $11.8 million as compared to the same period in the prior year as well as an increase of $6.0 million attributable to Stuart Weitzman.</t>
        </r>
      </text>
    </comment>
    <comment ref="AD131" authorId="6">
      <text>
        <r>
          <rPr>
            <b/>
            <sz val="9"/>
            <color indexed="81"/>
            <rFont val="Tahoma"/>
            <family val="2"/>
          </rPr>
          <t>casselau:</t>
        </r>
        <r>
          <rPr>
            <sz val="9"/>
            <color indexed="81"/>
            <rFont val="Tahoma"/>
            <family val="2"/>
          </rPr>
          <t xml:space="preserve">
Distribution and consumer service expenses of $16.5 million, or 1.6% of net sales, in the first quarter of fiscal 2016, were in-line with the prior year of $17.7 million, or 1.7% of net sales in the first quarter of fiscal 2015. </t>
        </r>
      </text>
    </comment>
    <comment ref="AH131" authorId="6">
      <text>
        <r>
          <rPr>
            <b/>
            <sz val="9"/>
            <color indexed="81"/>
            <rFont val="Tahoma"/>
            <family val="2"/>
          </rPr>
          <t>casselau:</t>
        </r>
        <r>
          <rPr>
            <sz val="9"/>
            <color indexed="81"/>
            <rFont val="Tahoma"/>
            <family val="2"/>
          </rPr>
          <t xml:space="preserve">
Administrative expenses were $102.3 million, or 9.9% of net sales, in the first quarter of fiscal 2016 compared to $102.8 million, or 9.9% of net sales, in the first quarter of fiscal 2015. Excluding non-GAAP adjustments of $22.7 million in the first quarter of fiscal 2016 and $33.1 million in the first quarter of fiscal 2015, administrative expenses were $79.6 million and $69.7 million, respectively, or 7.7% and 6.7% of net sales. The increase is primarily due to the impact of Stuart Weitzman, partially offset by lower compensation and information system costs. </t>
        </r>
      </text>
    </comment>
    <comment ref="L132" authorId="6">
      <text>
        <r>
          <rPr>
            <b/>
            <sz val="9"/>
            <color indexed="81"/>
            <rFont val="Tahoma"/>
            <family val="2"/>
          </rPr>
          <t>casselau:</t>
        </r>
        <r>
          <rPr>
            <sz val="9"/>
            <color indexed="81"/>
            <rFont val="Tahoma"/>
            <family val="2"/>
          </rPr>
          <t xml:space="preserve">
Selling expenses were $412.6 million, or 32.4% of net sales, in the second quarter of fiscal 2016 compared to $397.4 million, or 32.5% of net sales, in the second quarter of fiscal 2015. The $15.2 million increase is primarily due to a $19.2 million increase attributable to the Stuart Weitzman segment as well as increases in mainland China and Europe to support growth in the business, partially offset by reduced variable selling costs due to lower net sales, particularly within North America, as well as a favorable impact of the devaluation of the Japanese Yen.</t>
        </r>
      </text>
    </comment>
    <comment ref="Z132" authorId="6">
      <text>
        <r>
          <rPr>
            <b/>
            <sz val="9"/>
            <color indexed="81"/>
            <rFont val="Tahoma"/>
            <family val="2"/>
          </rPr>
          <t>casselau:</t>
        </r>
        <r>
          <rPr>
            <sz val="9"/>
            <color indexed="81"/>
            <rFont val="Tahoma"/>
            <family val="2"/>
          </rPr>
          <t xml:space="preserve">
Advertising, marketing, and design costs were $67.8 million, or 5.3% of net sales, in the second quarter of fiscal 2016, compared to $63.6 million, or 5.3% of net sales, during the second quarter of fiscal 2015. The increase was primarily due to an increase of $4.6 million attributable to Stuart Weitzman.</t>
        </r>
      </text>
    </comment>
    <comment ref="AD132" authorId="6">
      <text>
        <r>
          <rPr>
            <b/>
            <sz val="9"/>
            <color indexed="81"/>
            <rFont val="Tahoma"/>
            <family val="2"/>
          </rPr>
          <t>casselau:</t>
        </r>
        <r>
          <rPr>
            <sz val="9"/>
            <color indexed="81"/>
            <rFont val="Tahoma"/>
            <family val="2"/>
          </rPr>
          <t xml:space="preserve">
Distribution and customer service expenses of $18.5 million, or 1.5% of net sales, in the second quarter of fiscal 2016, were in-line with the prior year of $18.9 million, or 1.6% of net sales in the second quarter of fiscal 2015. </t>
        </r>
      </text>
    </comment>
    <comment ref="AH132" authorId="6">
      <text>
        <r>
          <rPr>
            <b/>
            <sz val="9"/>
            <color indexed="81"/>
            <rFont val="Tahoma"/>
            <family val="2"/>
          </rPr>
          <t>casselau:</t>
        </r>
        <r>
          <rPr>
            <sz val="9"/>
            <color indexed="81"/>
            <rFont val="Tahoma"/>
            <family val="2"/>
          </rPr>
          <t xml:space="preserve">
Administrative expenses were $99.2 million, or 7.8% of net sales, in the second quarter of fiscal 2016 compared to $84.7 million, or 6.9% of net sales, in the second quarter of fiscal 2015. Excluding non-GAAP adjustments of $24.0 million in the second quarter of fiscal 2016 and $22.6 million in the second quarter of fiscal 2015, </t>
        </r>
        <r>
          <rPr>
            <b/>
            <sz val="9"/>
            <color indexed="81"/>
            <rFont val="Tahoma"/>
            <family val="2"/>
          </rPr>
          <t xml:space="preserve">administrative expenses were $75.2 million </t>
        </r>
        <r>
          <rPr>
            <sz val="9"/>
            <color indexed="81"/>
            <rFont val="Tahoma"/>
            <family val="2"/>
          </rPr>
          <t xml:space="preserve">and $62.1 million, respectively, or 5.9% and 5.1% of net sales. The increase is primarily due to the impact of Stuart Weitzman, partially offset by lower Coach brand compensation and occupancy costs. </t>
        </r>
      </text>
    </comment>
    <comment ref="L133" authorId="7">
      <text>
        <r>
          <rPr>
            <b/>
            <sz val="9"/>
            <color indexed="81"/>
            <rFont val="Tahoma"/>
            <family val="2"/>
          </rPr>
          <t>Cassel, Lauren (Research):</t>
        </r>
        <r>
          <rPr>
            <sz val="9"/>
            <color indexed="81"/>
            <rFont val="Tahoma"/>
            <family val="2"/>
          </rPr>
          <t xml:space="preserve">
The $10.0 million increase is primarily due to a $17.7 million increase attributable to the Stuart Weitzman segment as well as increases in Europe and mainland China to support growth in the business, partially offset by lower store-related costs, (including depreciation expense, decreased rent and employee compensation), particularly within North America and Asia (excluding Greater China), largely driven by net store closures.</t>
        </r>
      </text>
    </comment>
    <comment ref="Z133" authorId="7">
      <text>
        <r>
          <rPr>
            <b/>
            <sz val="9"/>
            <color indexed="81"/>
            <rFont val="Tahoma"/>
            <family val="2"/>
          </rPr>
          <t>Cassel, Lauren (Research):</t>
        </r>
        <r>
          <rPr>
            <sz val="9"/>
            <color indexed="81"/>
            <rFont val="Tahoma"/>
            <family val="2"/>
          </rPr>
          <t xml:space="preserve">
The increase was primarily due to an increase of $6.8 million attributable to Stuart Weitzman.</t>
        </r>
      </text>
    </comment>
    <comment ref="AD133" authorId="7">
      <text>
        <r>
          <rPr>
            <b/>
            <sz val="9"/>
            <color indexed="81"/>
            <rFont val="Tahoma"/>
            <family val="2"/>
          </rPr>
          <t>Cassel, Lauren (Research):</t>
        </r>
        <r>
          <rPr>
            <sz val="9"/>
            <color indexed="81"/>
            <rFont val="Tahoma"/>
            <family val="2"/>
          </rPr>
          <t xml:space="preserve">
Distribution and customer service expenses of $15.9 million, or 1.5% of net sales, in the third quarter of fiscal 2016, were in-line with the prior year of $16.4 million, or 1.8% of net sales in the third quarter of fiscal 2015.</t>
        </r>
      </text>
    </comment>
    <comment ref="AH133" authorId="7">
      <text>
        <r>
          <rPr>
            <b/>
            <sz val="9"/>
            <color indexed="81"/>
            <rFont val="Tahoma"/>
            <family val="2"/>
          </rPr>
          <t>Cassel, Lauren (Research):</t>
        </r>
        <r>
          <rPr>
            <sz val="9"/>
            <color indexed="81"/>
            <rFont val="Tahoma"/>
            <family val="2"/>
          </rPr>
          <t xml:space="preserve">
The increase is primarily due to the impact of Stuart Weitzman, contributing to $13.6 million of this increase, as well as increased Coach brand technology costs and litigation reserves, partially offset by lower Coach brand occupancy costs. </t>
        </r>
      </text>
    </comment>
    <comment ref="L135" authorId="6">
      <text>
        <r>
          <rPr>
            <b/>
            <sz val="9"/>
            <color indexed="81"/>
            <rFont val="Tahoma"/>
            <family val="2"/>
          </rPr>
          <t xml:space="preserve">casselau:
Selling expenses were $1.57 billion, or 35.1% of net sales, in fiscal 2016 compared to $1.53 billion, or 36.6% of net sales, in fiscal 2015. This $41.8 million increase is primarily due to a $47.3 million increase attributable to the Stuart Weitzman segment as well as increases in Europe and mainland China to support growth in the business, partially offset by lower store-related costs in Japan, Asia (excluding Greater China) and North America including decreased employee compensation costs and occupancy costs, as well as the impact of favorable foreign currency. Excluding Non-GAAP charges of $4.1 million in fiscal 2015, selling expenses were 36.5% of net sales.
</t>
        </r>
        <r>
          <rPr>
            <sz val="9"/>
            <color indexed="81"/>
            <rFont val="Tahoma"/>
            <family val="2"/>
          </rPr>
          <t xml:space="preserve">
8/4/15: guidance +MSD growth in CC, driven primarily by a shift in project timing from FY15 but dollar growth expected to be "somewhat lower"
"SG&amp;A expenses, net of savings, are expected to grow at a mid-single digit rate in constant currency -somewhat less in dollars - and ahead of sales reflective of our increased marketing spend, transformation initiatives, and higher occupancy and depreciation expenses related to store renovation and Flagship project timing shifts from FY15 to FY16. We continue to expect at least $50 million in incremental cost savings from our transformation and restructuring initiatives. When modeling the year, keep in mind SG&amp;A expenses are expected to grow faster in the first half driven by investments and marketing spend associated with the 75th, anniversary, in part offset by currency."</t>
        </r>
      </text>
    </comment>
    <comment ref="Z135" authorId="7">
      <text>
        <r>
          <rPr>
            <b/>
            <sz val="9"/>
            <color indexed="81"/>
            <rFont val="Tahoma"/>
            <family val="2"/>
          </rPr>
          <t>Cassel, Lauren (Research):</t>
        </r>
        <r>
          <rPr>
            <sz val="9"/>
            <color indexed="81"/>
            <rFont val="Tahoma"/>
            <family val="2"/>
          </rPr>
          <t xml:space="preserve">
Advertising, marketing, and design costs were $285.7 million, or 6.4% of net sales, in fiscal 2016, compared to $246.8 million, or 5.9% of net sales, during fiscal 2015. This was primarily due to an increase of $25.4 million attributable to Stuart Weitzman, as well as higher costs for Coach brand marketing and advertising-related events, including our first true New York fashion week show in the first quarter of fiscal 2016, which increased by $17.9 million as compared to the same period prior year, partially offset by decreased employee-related costs.</t>
        </r>
      </text>
    </comment>
    <comment ref="AD135" authorId="7">
      <text>
        <r>
          <rPr>
            <b/>
            <sz val="9"/>
            <color indexed="81"/>
            <rFont val="Tahoma"/>
            <family val="2"/>
          </rPr>
          <t>Cassel, Lauren (Research):</t>
        </r>
        <r>
          <rPr>
            <sz val="9"/>
            <color indexed="81"/>
            <rFont val="Tahoma"/>
            <family val="2"/>
          </rPr>
          <t xml:space="preserve">
Distribution and customer service expenses were $67.7 million, or 1.5% of net sales in fiscal 2016, relatively in-line with fiscal 2015 expenses of $69.6 million, or 1.7% of net sales.</t>
        </r>
      </text>
    </comment>
    <comment ref="AH135" authorId="7">
      <text>
        <r>
          <rPr>
            <b/>
            <sz val="9"/>
            <color indexed="81"/>
            <rFont val="Tahoma"/>
            <family val="2"/>
          </rPr>
          <t>Cassel, Lauren (Research):</t>
        </r>
        <r>
          <rPr>
            <sz val="9"/>
            <color indexed="81"/>
            <rFont val="Tahoma"/>
            <family val="2"/>
          </rPr>
          <t xml:space="preserve">
Administrative expenses were $469.9 million, or 10.5% of net sales, in fiscal 2016 compared to $441.5 million, or 10.5% of net sales, during fiscal 2015. Excluding non-GAAP adjustments of $122.0 million in fiscal 2016 and $156.7 million in fiscal 2015, administrative expenses were $347.9 million, or 7.7% of net sales, in fiscal 2016 and $284.8 million, or 6.8% of net sales, in fiscal 2015. The increase is primarily due to the impact of Stuart Weitzman, contributing to $55.5 million of this increase, as well as increased Coach brand information system costs and litigation costs, partially offset by lower Coach brand occupancy costs.</t>
        </r>
      </text>
    </comment>
    <comment ref="AL135" authorId="6">
      <text>
        <r>
          <rPr>
            <b/>
            <sz val="9"/>
            <color indexed="81"/>
            <rFont val="Tahoma"/>
            <family val="2"/>
          </rPr>
          <t>casselau:</t>
        </r>
        <r>
          <rPr>
            <sz val="9"/>
            <color indexed="81"/>
            <rFont val="Tahoma"/>
            <family val="2"/>
          </rPr>
          <t xml:space="preserve">
8/4/15: guidance +MSD growth in CC, driven primarily by a shift in project timing from FY15 but dollar growth expected to be "somewhat lower"
"SG&amp;A expenses, net of savings, are expected to grow at a mid-single digit rate in constant currency -somewhat less in dollars - and ahead of sales reflective of our increased marketing spend, transformation initiatives, and higher occupancy and depreciation expenses related to store renovation and Flagship project timing shifts from FY15 to FY16. We continue to expect at least $50 million in incremental cost savings from our transformation and restructuring initiatives. When modeling the year, keep in mind SG&amp;A expenses are expected to grow faster in the first half driven by investments and marketing spend associated with the 75th, anniversary, in part offset by currency."</t>
        </r>
      </text>
    </comment>
    <comment ref="L138" authorId="7">
      <text>
        <r>
          <rPr>
            <b/>
            <sz val="9"/>
            <color indexed="81"/>
            <rFont val="Tahoma"/>
            <family val="2"/>
          </rPr>
          <t>Cassel, Lauren (Research):</t>
        </r>
        <r>
          <rPr>
            <sz val="9"/>
            <color indexed="81"/>
            <rFont val="Tahoma"/>
            <family val="2"/>
          </rPr>
          <t xml:space="preserve">
. The $13.8 million increase is primarily due to unfavorable foreign currency effects in Japan, as well as increases in Stuart Weitzman and Europe to support growth in the business, partially offset by decreases in International wholesale and Asia (excluding Greater China and Japan), primarily due to reduced employee related costs.</t>
        </r>
      </text>
    </comment>
    <comment ref="Z138" authorId="7">
      <text>
        <r>
          <rPr>
            <b/>
            <sz val="9"/>
            <color indexed="81"/>
            <rFont val="Tahoma"/>
            <family val="2"/>
          </rPr>
          <t>Cassel, Lauren (Research):</t>
        </r>
        <r>
          <rPr>
            <sz val="9"/>
            <color indexed="81"/>
            <rFont val="Tahoma"/>
            <family val="2"/>
          </rPr>
          <t xml:space="preserve">
The decrease was primarily due to lower costs for Coach brand marketing and advertising-related events, including lower costs associated with New York fashion week and, to a lesser extent, timing of expenses.</t>
        </r>
      </text>
    </comment>
    <comment ref="AH138" authorId="7">
      <text>
        <r>
          <rPr>
            <b/>
            <sz val="9"/>
            <color indexed="81"/>
            <rFont val="Tahoma"/>
            <family val="2"/>
          </rPr>
          <t>Cassel, Lauren (Research):</t>
        </r>
        <r>
          <rPr>
            <sz val="9"/>
            <color indexed="81"/>
            <rFont val="Tahoma"/>
            <family val="2"/>
          </rPr>
          <t xml:space="preserve">
Administrative expenses were $89.8 million, or 8.7% of net sales, in the first quarter of fiscal 2017 compared to $102.3 million, or 9.9% of net sales, in the first quarter of fiscal 2016. Excluding non-GAAP adjustments of $10.5 million in the first quarter of fiscal 2017 and $22.7 million in the first quarter of fiscal 2016, administrative expenses were $79.3 million and $79.6 million, respectively, or 7.6% and 7.7% of net sales. The slight decrease is primarily due to decreased Coach brand incentive compensation and employee related costs, partially offset by higher occupancy costs. </t>
        </r>
      </text>
    </comment>
    <comment ref="L139" authorId="7">
      <text>
        <r>
          <rPr>
            <b/>
            <sz val="9"/>
            <color indexed="81"/>
            <rFont val="Tahoma"/>
            <family val="2"/>
          </rPr>
          <t>Cassel, Lauren (Research):</t>
        </r>
        <r>
          <rPr>
            <sz val="9"/>
            <color indexed="81"/>
            <rFont val="Tahoma"/>
            <family val="2"/>
          </rPr>
          <t xml:space="preserve">
The $17.9 million increase is primarily due to unfavorable foreign currency effects in Japan, higher store-related costs in North America associated with the new flagship store and other modern luxury store renovation costs, and increases in Stuart Weitzman and Europe to support growth in the business, partially offset by decreases in Greater China and international wholesale, primarily due to reduced employee related costs.</t>
        </r>
      </text>
    </comment>
    <comment ref="Z139" authorId="7">
      <text>
        <r>
          <rPr>
            <b/>
            <sz val="9"/>
            <color indexed="81"/>
            <rFont val="Tahoma"/>
            <family val="2"/>
          </rPr>
          <t>Cassel, Lauren (Research):</t>
        </r>
        <r>
          <rPr>
            <sz val="9"/>
            <color indexed="81"/>
            <rFont val="Tahoma"/>
            <family val="2"/>
          </rPr>
          <t xml:space="preserve">
The increase was primarily due to higher costs for Stuart Weitzman and Coach brand marketing and advertising-related events, as part of the Coach brand's 75th anniversary.</t>
        </r>
      </text>
    </comment>
    <comment ref="AH139" authorId="7">
      <text>
        <r>
          <rPr>
            <b/>
            <sz val="9"/>
            <color indexed="81"/>
            <rFont val="Tahoma"/>
            <family val="2"/>
          </rPr>
          <t>Cassel, Lauren (Research):</t>
        </r>
        <r>
          <rPr>
            <sz val="9"/>
            <color indexed="81"/>
            <rFont val="Tahoma"/>
            <family val="2"/>
          </rPr>
          <t xml:space="preserve">
Administrative expenses were $107.2 million, or 8.1% of net sales, in the second quarter of fiscal 2017 compared to $99.2 million, or 7.8% of net sales, in the second quarter of fiscal 2016. Excluding non-GAAP adjustments of $16.7 million in the second quarter of fiscal 2017 and $24.0 million in the second quarter of fiscal 2016, administrative expenses were $90.5 million and $75.2 million, respectively, or 6.8% and 5.9% of net sales. The increase is primarily due to higher corporate occupancy costs and, to a lesser extent, higher employee related costs. </t>
        </r>
      </text>
    </comment>
    <comment ref="L140" authorId="7">
      <text>
        <r>
          <rPr>
            <b/>
            <sz val="9"/>
            <color indexed="81"/>
            <rFont val="Tahoma"/>
            <family val="2"/>
          </rPr>
          <t>Cassel, Lauren (Research):</t>
        </r>
        <r>
          <rPr>
            <sz val="9"/>
            <color indexed="81"/>
            <rFont val="Tahoma"/>
            <family val="2"/>
          </rPr>
          <t xml:space="preserve">
The $5.3 million increase is primarily due to higher store-related costs  in North America associated with the new Fifth Avenue flagship store and other modern luxury store renovation costs, and increases in Stuart Weitzman and Europe to support growth in the business, partially offset by decreases in Greater China primarily due to favorable foreign currency effects.</t>
        </r>
      </text>
    </comment>
    <comment ref="Z140" authorId="7">
      <text>
        <r>
          <rPr>
            <b/>
            <sz val="9"/>
            <color indexed="81"/>
            <rFont val="Tahoma"/>
            <family val="2"/>
          </rPr>
          <t>Cassel, Lauren (Research):</t>
        </r>
        <r>
          <rPr>
            <sz val="9"/>
            <color indexed="81"/>
            <rFont val="Tahoma"/>
            <family val="2"/>
          </rPr>
          <t xml:space="preserve">
. The decrease was primarily due to lower costs for Coach brand marketing and advertising-related events.</t>
        </r>
      </text>
    </comment>
    <comment ref="AH140" authorId="7">
      <text>
        <r>
          <rPr>
            <b/>
            <sz val="9"/>
            <color indexed="81"/>
            <rFont val="Tahoma"/>
            <family val="2"/>
          </rPr>
          <t>Cassel, Lauren (Research):</t>
        </r>
        <r>
          <rPr>
            <sz val="9"/>
            <color indexed="81"/>
            <rFont val="Tahoma"/>
            <family val="2"/>
          </rPr>
          <t xml:space="preserve">
Administrative expenses were $96.7 million, or 9.7% of net sales, in the third quarter of fiscal 2017 compared to $117.2 million, or 11.3% of net sales, in the third quarter of fiscal 2016. Excluding non-GAAP adjustments of $10.9 million in the third quarter of fiscal 2017 and $17.5 million in the third quarter of fiscal 2016, administrative expenses were $85.8 million and $99.7 million, respectively, or 8.6% and 9.7% of net sales. The decrease is primarily due to reduced employee related costs, partially offset by higher corporate occupancy costs. </t>
        </r>
      </text>
    </comment>
    <comment ref="L142" authorId="7">
      <text>
        <r>
          <rPr>
            <b/>
            <sz val="9"/>
            <color indexed="81"/>
            <rFont val="Tahoma"/>
            <family val="2"/>
          </rPr>
          <t>Cassel, Lauren (Research):</t>
        </r>
        <r>
          <rPr>
            <sz val="9"/>
            <color indexed="81"/>
            <rFont val="Tahoma"/>
            <family val="2"/>
          </rPr>
          <t xml:space="preserve">
8/21/17: Selling expenses were $1.60 billion, or 35.7% of net sales, in fiscal 2017 compared to $1.57 billion, or 35.1% of net sales, in fiscal 2016. This $29.6 million increase is primarily due to a $24.6 million increase attributable to the Stuart Weitzman segment, primarily due to increased store investments. </t>
        </r>
      </text>
    </comment>
    <comment ref="Z142" authorId="7">
      <text>
        <r>
          <rPr>
            <b/>
            <sz val="9"/>
            <color indexed="81"/>
            <rFont val="Tahoma"/>
            <family val="2"/>
          </rPr>
          <t>Cassel, Lauren (Research):</t>
        </r>
        <r>
          <rPr>
            <sz val="9"/>
            <color indexed="81"/>
            <rFont val="Tahoma"/>
            <family val="2"/>
          </rPr>
          <t xml:space="preserve">
8/21/17: Advertising, marketing, and design costs were $261.6 million, or 5.8% of net sales, in fiscal 2017, compared to $285.7 million, or 6.4% of net sales, during fiscal 2016. This was primarily due to a decrease of $26.8 million attributable to lower costs for Coach brand advertising related events, including lower costs associated with promotional events and New York fashion week, partially offset by higher Stuart Weitzman marketing costs. </t>
        </r>
      </text>
    </comment>
    <comment ref="AD142" authorId="7">
      <text>
        <r>
          <rPr>
            <b/>
            <sz val="9"/>
            <color indexed="81"/>
            <rFont val="Tahoma"/>
            <family val="2"/>
          </rPr>
          <t>Cassel, Lauren (Research):</t>
        </r>
        <r>
          <rPr>
            <sz val="9"/>
            <color indexed="81"/>
            <rFont val="Tahoma"/>
            <family val="2"/>
          </rPr>
          <t xml:space="preserve">
Distribution and customer service expenses were $60.2 million, or 1.3% of net sales in fiscal 2017, consistent with fiscal 2016 expenses of $67.7 million, or 1.5% of net sales. </t>
        </r>
      </text>
    </comment>
    <comment ref="AH142" authorId="7">
      <text>
        <r>
          <rPr>
            <b/>
            <sz val="9"/>
            <color indexed="81"/>
            <rFont val="Tahoma"/>
            <family val="2"/>
          </rPr>
          <t>Cassel, Lauren (Research):</t>
        </r>
        <r>
          <rPr>
            <sz val="9"/>
            <color indexed="81"/>
            <rFont val="Tahoma"/>
            <family val="2"/>
          </rPr>
          <t xml:space="preserve">
Administrative expenses were $367.9 million, or 8.2% of net sales, in fiscal 2017 compared to $469.9 million, or 10.5% of net sales, during fiscal 2016. Excluding non-GAAP adjustments of $22.3 million in fiscal 2017 and $122.0 million in fiscal 2016, administrative expenses were $345.6 million, or 7.7% of net sales, in fiscal 2017 and $347.9 million, or 7.7% of net sales, in fiscal 2016. The decrease was primarily due to lower employee related costs and litigation costs. </t>
        </r>
      </text>
    </comment>
    <comment ref="AL142" authorId="6">
      <text>
        <r>
          <rPr>
            <b/>
            <sz val="9"/>
            <color indexed="81"/>
            <rFont val="Tahoma"/>
            <family val="2"/>
          </rPr>
          <t>casselau:</t>
        </r>
        <r>
          <rPr>
            <sz val="9"/>
            <color indexed="81"/>
            <rFont val="Tahoma"/>
            <family val="2"/>
          </rPr>
          <t xml:space="preserve">
8/4/15: guidance +MSD growth in CC, driven primarily by a shift in project timing from FY15 but dollar growth expected to be "somewhat lower"
"SG&amp;A expenses, net of savings, are expected to grow at a mid-single digit rate in constant currency -somewhat less in dollars - and ahead of sales reflective of our increased marketing spend, transformation initiatives, and higher occupancy and depreciation expenses related to store renovation and Flagship project timing shifts from FY15 to FY16. We continue to expect at least $50 million in incremental cost savings from our transformation and restructuring initiatives. When modeling the year, keep in mind SG&amp;A expenses are expected to grow faster in the first half driven by investments and marketing spend associated with the 75th, anniversary, in part offset by currency."</t>
        </r>
      </text>
    </comment>
  </commentList>
</comments>
</file>

<file path=xl/comments4.xml><?xml version="1.0" encoding="utf-8"?>
<comments xmlns="http://schemas.openxmlformats.org/spreadsheetml/2006/main">
  <authors>
    <author>Cassel, Lauren (Research)</author>
    <author>Roberts, Cynthia (Research)</author>
  </authors>
  <commentList>
    <comment ref="F17" authorId="0">
      <text>
        <r>
          <rPr>
            <b/>
            <sz val="9"/>
            <color indexed="81"/>
            <rFont val="Tahoma"/>
            <family val="2"/>
          </rPr>
          <t>Cassel, Lauren (Research):</t>
        </r>
        <r>
          <rPr>
            <sz val="9"/>
            <color indexed="81"/>
            <rFont val="Tahoma"/>
            <family val="2"/>
          </rPr>
          <t xml:space="preserve">
16.3% store only</t>
        </r>
      </text>
    </comment>
    <comment ref="V17" authorId="0">
      <text>
        <r>
          <rPr>
            <b/>
            <sz val="9"/>
            <color indexed="81"/>
            <rFont val="Tahoma"/>
            <family val="2"/>
          </rPr>
          <t>Cassel, Lauren (Research):</t>
        </r>
        <r>
          <rPr>
            <sz val="9"/>
            <color indexed="81"/>
            <rFont val="Tahoma"/>
            <family val="2"/>
          </rPr>
          <t xml:space="preserve">
acquired KSJ resulting in a $79.3M increase in net sales</t>
        </r>
      </text>
    </comment>
    <comment ref="V24" authorId="0">
      <text>
        <r>
          <rPr>
            <b/>
            <sz val="9"/>
            <color indexed="81"/>
            <rFont val="Tahoma"/>
            <family val="2"/>
          </rPr>
          <t>Cassel, Lauren (Research):</t>
        </r>
        <r>
          <rPr>
            <sz val="9"/>
            <color indexed="81"/>
            <rFont val="Tahoma"/>
            <family val="2"/>
          </rPr>
          <t xml:space="preserve">
acquired KSJ resulting in a $79.3M increase in net sales</t>
        </r>
      </text>
    </comment>
    <comment ref="AA27" authorId="0">
      <text>
        <r>
          <rPr>
            <b/>
            <sz val="9"/>
            <color indexed="81"/>
            <rFont val="Tahoma"/>
            <family val="2"/>
          </rPr>
          <t>Cassel, Lauren (Research):</t>
        </r>
        <r>
          <rPr>
            <sz val="9"/>
            <color indexed="81"/>
            <rFont val="Tahoma"/>
            <family val="2"/>
          </rPr>
          <t xml:space="preserve">
Assume retail is ~60% of sales</t>
        </r>
      </text>
    </comment>
    <comment ref="AS27" authorId="0">
      <text>
        <r>
          <rPr>
            <b/>
            <sz val="9"/>
            <color indexed="81"/>
            <rFont val="Tahoma"/>
            <family val="2"/>
          </rPr>
          <t>Cassel, Lauren (Research):</t>
        </r>
        <r>
          <rPr>
            <sz val="9"/>
            <color indexed="81"/>
            <rFont val="Tahoma"/>
            <family val="2"/>
          </rPr>
          <t xml:space="preserve">
Assume retail is ~60% of sales</t>
        </r>
      </text>
    </comment>
    <comment ref="AA28" authorId="0">
      <text>
        <r>
          <rPr>
            <b/>
            <sz val="9"/>
            <color indexed="81"/>
            <rFont val="Tahoma"/>
            <family val="2"/>
          </rPr>
          <t>Cassel, Lauren (Research):</t>
        </r>
        <r>
          <rPr>
            <sz val="9"/>
            <color indexed="81"/>
            <rFont val="Tahoma"/>
            <family val="2"/>
          </rPr>
          <t xml:space="preserve">
Assume retail is ~60% of sales</t>
        </r>
      </text>
    </comment>
    <comment ref="AS28" authorId="0">
      <text>
        <r>
          <rPr>
            <b/>
            <sz val="9"/>
            <color indexed="81"/>
            <rFont val="Tahoma"/>
            <family val="2"/>
          </rPr>
          <t>Cassel, Lauren (Research):</t>
        </r>
        <r>
          <rPr>
            <sz val="9"/>
            <color indexed="81"/>
            <rFont val="Tahoma"/>
            <family val="2"/>
          </rPr>
          <t xml:space="preserve">
Assume retail is ~60% of sales</t>
        </r>
      </text>
    </comment>
    <comment ref="AA29" authorId="0">
      <text>
        <r>
          <rPr>
            <b/>
            <sz val="9"/>
            <color indexed="81"/>
            <rFont val="Tahoma"/>
            <family val="2"/>
          </rPr>
          <t>Cassel, Lauren (Research):</t>
        </r>
        <r>
          <rPr>
            <sz val="9"/>
            <color indexed="81"/>
            <rFont val="Tahoma"/>
            <family val="2"/>
          </rPr>
          <t xml:space="preserve">
Assume retail is ~60% of sales</t>
        </r>
      </text>
    </comment>
    <comment ref="AS29" authorId="0">
      <text>
        <r>
          <rPr>
            <b/>
            <sz val="9"/>
            <color indexed="81"/>
            <rFont val="Tahoma"/>
            <family val="2"/>
          </rPr>
          <t>Cassel, Lauren (Research):</t>
        </r>
        <r>
          <rPr>
            <sz val="9"/>
            <color indexed="81"/>
            <rFont val="Tahoma"/>
            <family val="2"/>
          </rPr>
          <t xml:space="preserve">
Assume retail is ~60% of sales</t>
        </r>
      </text>
    </comment>
    <comment ref="AA30" authorId="0">
      <text>
        <r>
          <rPr>
            <b/>
            <sz val="9"/>
            <color indexed="81"/>
            <rFont val="Tahoma"/>
            <family val="2"/>
          </rPr>
          <t>Cassel, Lauren (Research):</t>
        </r>
        <r>
          <rPr>
            <sz val="9"/>
            <color indexed="81"/>
            <rFont val="Tahoma"/>
            <family val="2"/>
          </rPr>
          <t xml:space="preserve">
Assume retail is ~60% of sales</t>
        </r>
      </text>
    </comment>
    <comment ref="AS30" authorId="0">
      <text>
        <r>
          <rPr>
            <b/>
            <sz val="9"/>
            <color indexed="81"/>
            <rFont val="Tahoma"/>
            <family val="2"/>
          </rPr>
          <t>Cassel, Lauren (Research):</t>
        </r>
        <r>
          <rPr>
            <sz val="9"/>
            <color indexed="81"/>
            <rFont val="Tahoma"/>
            <family val="2"/>
          </rPr>
          <t xml:space="preserve">
Assume retail is ~60% of sales</t>
        </r>
      </text>
    </comment>
    <comment ref="AA34" authorId="0">
      <text>
        <r>
          <rPr>
            <b/>
            <sz val="9"/>
            <color indexed="81"/>
            <rFont val="Tahoma"/>
            <family val="2"/>
          </rPr>
          <t>Cassel, Lauren (Research):</t>
        </r>
        <r>
          <rPr>
            <sz val="9"/>
            <color indexed="81"/>
            <rFont val="Tahoma"/>
            <family val="2"/>
          </rPr>
          <t xml:space="preserve">
Assume retail is ~60% of sales</t>
        </r>
      </text>
    </comment>
    <comment ref="AS34" authorId="0">
      <text>
        <r>
          <rPr>
            <b/>
            <sz val="9"/>
            <color indexed="81"/>
            <rFont val="Tahoma"/>
            <family val="2"/>
          </rPr>
          <t>Cassel, Lauren (Research):</t>
        </r>
        <r>
          <rPr>
            <sz val="9"/>
            <color indexed="81"/>
            <rFont val="Tahoma"/>
            <family val="2"/>
          </rPr>
          <t xml:space="preserve">
Assume retail is ~60% of sales</t>
        </r>
      </text>
    </comment>
    <comment ref="K35" authorId="0">
      <text>
        <r>
          <rPr>
            <b/>
            <sz val="9"/>
            <color indexed="81"/>
            <rFont val="Tahoma"/>
            <family val="2"/>
          </rPr>
          <t>Cassel, Lauren (Research):</t>
        </r>
        <r>
          <rPr>
            <sz val="9"/>
            <color indexed="81"/>
            <rFont val="Tahoma"/>
            <family val="2"/>
          </rPr>
          <t xml:space="preserve">
93 Specialty, 57 Outlet</t>
        </r>
      </text>
    </comment>
    <comment ref="M35" authorId="0">
      <text>
        <r>
          <rPr>
            <b/>
            <sz val="9"/>
            <color indexed="81"/>
            <rFont val="Tahoma"/>
            <family val="2"/>
          </rPr>
          <t>Cassel, Lauren (Research):</t>
        </r>
        <r>
          <rPr>
            <sz val="9"/>
            <color indexed="81"/>
            <rFont val="Tahoma"/>
            <family val="2"/>
          </rPr>
          <t xml:space="preserve">
32 Intl Specialty, 14 Outlet, 52 Concessions</t>
        </r>
      </text>
    </comment>
    <comment ref="W35" authorId="0">
      <text>
        <r>
          <rPr>
            <b/>
            <sz val="9"/>
            <color indexed="81"/>
            <rFont val="Tahoma"/>
            <family val="2"/>
          </rPr>
          <t>Cassel, Lauren (Research):</t>
        </r>
        <r>
          <rPr>
            <sz val="9"/>
            <color indexed="81"/>
            <rFont val="Tahoma"/>
            <family val="2"/>
          </rPr>
          <t xml:space="preserve">
For fiscal year ended December 2015</t>
        </r>
      </text>
    </comment>
    <comment ref="X35" authorId="0">
      <text>
        <r>
          <rPr>
            <b/>
            <sz val="9"/>
            <color indexed="81"/>
            <rFont val="Tahoma"/>
            <family val="2"/>
          </rPr>
          <t>Cassel, Lauren (Research):</t>
        </r>
        <r>
          <rPr>
            <sz val="9"/>
            <color indexed="81"/>
            <rFont val="Tahoma"/>
            <family val="2"/>
          </rPr>
          <t xml:space="preserve">
For fiscal year ended December 2015
</t>
        </r>
      </text>
    </comment>
    <comment ref="AA35" authorId="0">
      <text>
        <r>
          <rPr>
            <b/>
            <sz val="9"/>
            <color indexed="81"/>
            <rFont val="Tahoma"/>
            <family val="2"/>
          </rPr>
          <t>Cassel, Lauren (Research):</t>
        </r>
        <r>
          <rPr>
            <sz val="9"/>
            <color indexed="81"/>
            <rFont val="Tahoma"/>
            <family val="2"/>
          </rPr>
          <t xml:space="preserve">
Assume retail is ~60% of sales</t>
        </r>
      </text>
    </comment>
    <comment ref="AS35" authorId="0">
      <text>
        <r>
          <rPr>
            <b/>
            <sz val="9"/>
            <color indexed="81"/>
            <rFont val="Tahoma"/>
            <family val="2"/>
          </rPr>
          <t>Cassel, Lauren (Research):</t>
        </r>
        <r>
          <rPr>
            <sz val="9"/>
            <color indexed="81"/>
            <rFont val="Tahoma"/>
            <family val="2"/>
          </rPr>
          <t xml:space="preserve">
Assume retail is ~60% of sales</t>
        </r>
      </text>
    </comment>
    <comment ref="K36" authorId="0">
      <text>
        <r>
          <rPr>
            <b/>
            <sz val="9"/>
            <color indexed="81"/>
            <rFont val="Tahoma"/>
            <family val="2"/>
          </rPr>
          <t>Cassel, Lauren (Research):</t>
        </r>
        <r>
          <rPr>
            <sz val="9"/>
            <color indexed="81"/>
            <rFont val="Tahoma"/>
            <family val="2"/>
          </rPr>
          <t xml:space="preserve">
92 Specialty, 60 Outlet</t>
        </r>
      </text>
    </comment>
    <comment ref="AA36" authorId="0">
      <text>
        <r>
          <rPr>
            <b/>
            <sz val="9"/>
            <color indexed="81"/>
            <rFont val="Tahoma"/>
            <family val="2"/>
          </rPr>
          <t>Cassel, Lauren (Research):</t>
        </r>
        <r>
          <rPr>
            <sz val="9"/>
            <color indexed="81"/>
            <rFont val="Tahoma"/>
            <family val="2"/>
          </rPr>
          <t xml:space="preserve">
Assume retail is ~60% of sales</t>
        </r>
      </text>
    </comment>
    <comment ref="AS36" authorId="0">
      <text>
        <r>
          <rPr>
            <b/>
            <sz val="9"/>
            <color indexed="81"/>
            <rFont val="Tahoma"/>
            <family val="2"/>
          </rPr>
          <t>Cassel, Lauren (Research):</t>
        </r>
        <r>
          <rPr>
            <sz val="9"/>
            <color indexed="81"/>
            <rFont val="Tahoma"/>
            <family val="2"/>
          </rPr>
          <t xml:space="preserve">
Assume retail is ~60% of sales</t>
        </r>
      </text>
    </comment>
    <comment ref="K37" authorId="0">
      <text>
        <r>
          <rPr>
            <b/>
            <sz val="9"/>
            <color indexed="81"/>
            <rFont val="Tahoma"/>
            <family val="2"/>
          </rPr>
          <t>Cassel, Lauren (Research):</t>
        </r>
        <r>
          <rPr>
            <sz val="9"/>
            <color indexed="81"/>
            <rFont val="Tahoma"/>
            <family val="2"/>
          </rPr>
          <t xml:space="preserve">
97 Specialty, 62 Outlets</t>
        </r>
      </text>
    </comment>
    <comment ref="M37" authorId="0">
      <text>
        <r>
          <rPr>
            <b/>
            <sz val="9"/>
            <color indexed="81"/>
            <rFont val="Tahoma"/>
            <family val="2"/>
          </rPr>
          <t>Cassel, Lauren (Research):</t>
        </r>
        <r>
          <rPr>
            <sz val="9"/>
            <color indexed="81"/>
            <rFont val="Tahoma"/>
            <family val="2"/>
          </rPr>
          <t xml:space="preserve">
International: 26 specialty, 13 Outlet, 52 concessoins</t>
        </r>
      </text>
    </comment>
    <comment ref="AA37" authorId="0">
      <text>
        <r>
          <rPr>
            <b/>
            <sz val="9"/>
            <color indexed="81"/>
            <rFont val="Tahoma"/>
            <family val="2"/>
          </rPr>
          <t>Cassel, Lauren (Research):</t>
        </r>
        <r>
          <rPr>
            <sz val="9"/>
            <color indexed="81"/>
            <rFont val="Tahoma"/>
            <family val="2"/>
          </rPr>
          <t xml:space="preserve">
Assume retail is ~60% of sales</t>
        </r>
      </text>
    </comment>
    <comment ref="AS37" authorId="0">
      <text>
        <r>
          <rPr>
            <b/>
            <sz val="9"/>
            <color indexed="81"/>
            <rFont val="Tahoma"/>
            <family val="2"/>
          </rPr>
          <t>Cassel, Lauren (Research):</t>
        </r>
        <r>
          <rPr>
            <sz val="9"/>
            <color indexed="81"/>
            <rFont val="Tahoma"/>
            <family val="2"/>
          </rPr>
          <t xml:space="preserve">
Assume retail is ~60% of sales</t>
        </r>
      </text>
    </comment>
    <comment ref="K41" authorId="0">
      <text>
        <r>
          <rPr>
            <b/>
            <sz val="9"/>
            <color indexed="81"/>
            <rFont val="Tahoma"/>
            <family val="2"/>
          </rPr>
          <t>Cassel, Lauren (Research):</t>
        </r>
        <r>
          <rPr>
            <sz val="9"/>
            <color indexed="81"/>
            <rFont val="Tahoma"/>
            <family val="2"/>
          </rPr>
          <t xml:space="preserve">
101 Specialty, 63 outlets
</t>
        </r>
      </text>
    </comment>
    <comment ref="M41" authorId="0">
      <text>
        <r>
          <rPr>
            <b/>
            <sz val="9"/>
            <color indexed="81"/>
            <rFont val="Tahoma"/>
            <family val="2"/>
          </rPr>
          <t>Cassel, Lauren (Research):</t>
        </r>
        <r>
          <rPr>
            <sz val="9"/>
            <color indexed="81"/>
            <rFont val="Tahoma"/>
            <family val="2"/>
          </rPr>
          <t xml:space="preserve">
</t>
        </r>
      </text>
    </comment>
    <comment ref="AA41" authorId="0">
      <text>
        <r>
          <rPr>
            <b/>
            <sz val="9"/>
            <color indexed="81"/>
            <rFont val="Tahoma"/>
            <family val="2"/>
          </rPr>
          <t>Cassel, Lauren (Research):</t>
        </r>
        <r>
          <rPr>
            <sz val="9"/>
            <color indexed="81"/>
            <rFont val="Tahoma"/>
            <family val="2"/>
          </rPr>
          <t xml:space="preserve">
Assume retail is ~60% of sales</t>
        </r>
      </text>
    </comment>
    <comment ref="AS41" authorId="0">
      <text>
        <r>
          <rPr>
            <b/>
            <sz val="9"/>
            <color indexed="81"/>
            <rFont val="Tahoma"/>
            <family val="2"/>
          </rPr>
          <t>Cassel, Lauren (Research):</t>
        </r>
        <r>
          <rPr>
            <sz val="9"/>
            <color indexed="81"/>
            <rFont val="Tahoma"/>
            <family val="2"/>
          </rPr>
          <t xml:space="preserve">
Assume retail is ~60% of sales</t>
        </r>
      </text>
    </comment>
    <comment ref="F42" authorId="0">
      <text>
        <r>
          <rPr>
            <b/>
            <sz val="9"/>
            <color indexed="81"/>
            <rFont val="Tahoma"/>
            <family val="2"/>
          </rPr>
          <t>Cassel, Lauren (Research):</t>
        </r>
        <r>
          <rPr>
            <sz val="9"/>
            <color indexed="81"/>
            <rFont val="Tahoma"/>
            <family val="2"/>
          </rPr>
          <t xml:space="preserve">
+9% ex. eCommerce</t>
        </r>
      </text>
    </comment>
    <comment ref="V42" authorId="0">
      <text>
        <r>
          <rPr>
            <b/>
            <sz val="9"/>
            <color indexed="81"/>
            <rFont val="Tahoma"/>
            <family val="2"/>
          </rPr>
          <t>Cassel, Lauren (Research):</t>
        </r>
        <r>
          <rPr>
            <sz val="9"/>
            <color indexed="81"/>
            <rFont val="Tahoma"/>
            <family val="2"/>
          </rPr>
          <t xml:space="preserve">
Fiscal year ended 12/31/15: $1.243B (+9.1% y/y)
</t>
        </r>
        <r>
          <rPr>
            <b/>
            <sz val="9"/>
            <color indexed="81"/>
            <rFont val="Tahoma"/>
            <family val="2"/>
          </rPr>
          <t>North America: $1.031B or 82.9%</t>
        </r>
        <r>
          <rPr>
            <sz val="9"/>
            <color indexed="81"/>
            <rFont val="Tahoma"/>
            <family val="2"/>
          </rPr>
          <t xml:space="preserve"> (+15.6% y/y)
</t>
        </r>
        <r>
          <rPr>
            <b/>
            <sz val="9"/>
            <color indexed="81"/>
            <rFont val="Tahoma"/>
            <family val="2"/>
          </rPr>
          <t>International: $188.2B or 15.1%</t>
        </r>
        <r>
          <rPr>
            <sz val="9"/>
            <color indexed="81"/>
            <rFont val="Tahoma"/>
            <family val="2"/>
          </rPr>
          <t xml:space="preserve"> (-11.9% y/y)
Remainder is Adelington Design group (licensed Money and Liz Claiborne brands)</t>
        </r>
      </text>
    </comment>
    <comment ref="W42" authorId="0">
      <text>
        <r>
          <rPr>
            <b/>
            <sz val="9"/>
            <color indexed="81"/>
            <rFont val="Tahoma"/>
            <family val="2"/>
          </rPr>
          <t>Cassel, Lauren (Research):</t>
        </r>
        <r>
          <rPr>
            <sz val="9"/>
            <color indexed="81"/>
            <rFont val="Tahoma"/>
            <family val="2"/>
          </rPr>
          <t xml:space="preserve">
For fiscal year ended December 2015</t>
        </r>
      </text>
    </comment>
    <comment ref="X42" authorId="0">
      <text>
        <r>
          <rPr>
            <b/>
            <sz val="9"/>
            <color indexed="81"/>
            <rFont val="Tahoma"/>
            <family val="2"/>
          </rPr>
          <t>Cassel, Lauren (Research):</t>
        </r>
        <r>
          <rPr>
            <sz val="9"/>
            <color indexed="81"/>
            <rFont val="Tahoma"/>
            <family val="2"/>
          </rPr>
          <t xml:space="preserve">
For fiscal year ended December 2015
</t>
        </r>
      </text>
    </comment>
    <comment ref="AA42" authorId="0">
      <text>
        <r>
          <rPr>
            <b/>
            <sz val="9"/>
            <color indexed="81"/>
            <rFont val="Tahoma"/>
            <family val="2"/>
          </rPr>
          <t>Cassel, Lauren (Research):</t>
        </r>
        <r>
          <rPr>
            <sz val="9"/>
            <color indexed="81"/>
            <rFont val="Tahoma"/>
            <family val="2"/>
          </rPr>
          <t xml:space="preserve">
Assume retail is ~60% of sales</t>
        </r>
      </text>
    </comment>
    <comment ref="AS42" authorId="0">
      <text>
        <r>
          <rPr>
            <b/>
            <sz val="9"/>
            <color indexed="81"/>
            <rFont val="Tahoma"/>
            <family val="2"/>
          </rPr>
          <t>Cassel, Lauren (Research):</t>
        </r>
        <r>
          <rPr>
            <sz val="9"/>
            <color indexed="81"/>
            <rFont val="Tahoma"/>
            <family val="2"/>
          </rPr>
          <t xml:space="preserve">
Assume retail is ~60% of sales</t>
        </r>
      </text>
    </comment>
    <comment ref="AA43" authorId="0">
      <text>
        <r>
          <rPr>
            <b/>
            <sz val="9"/>
            <color indexed="81"/>
            <rFont val="Tahoma"/>
            <family val="2"/>
          </rPr>
          <t>Cassel, Lauren (Research):</t>
        </r>
        <r>
          <rPr>
            <sz val="9"/>
            <color indexed="81"/>
            <rFont val="Tahoma"/>
            <family val="2"/>
          </rPr>
          <t xml:space="preserve">
Assume retail is ~60% of sales</t>
        </r>
      </text>
    </comment>
    <comment ref="AS43" authorId="0">
      <text>
        <r>
          <rPr>
            <b/>
            <sz val="9"/>
            <color indexed="81"/>
            <rFont val="Tahoma"/>
            <family val="2"/>
          </rPr>
          <t>Cassel, Lauren (Research):</t>
        </r>
        <r>
          <rPr>
            <sz val="9"/>
            <color indexed="81"/>
            <rFont val="Tahoma"/>
            <family val="2"/>
          </rPr>
          <t xml:space="preserve">
Assume retail is ~60% of sales</t>
        </r>
      </text>
    </comment>
    <comment ref="F44" authorId="0">
      <text>
        <r>
          <rPr>
            <b/>
            <sz val="9"/>
            <color indexed="81"/>
            <rFont val="Tahoma"/>
            <family val="2"/>
          </rPr>
          <t>Cassel, Lauren (Research):</t>
        </r>
        <r>
          <rPr>
            <sz val="9"/>
            <color indexed="81"/>
            <rFont val="Tahoma"/>
            <family val="2"/>
          </rPr>
          <t xml:space="preserve">
+1% ex. eCommerce</t>
        </r>
      </text>
    </comment>
    <comment ref="K44" authorId="0">
      <text>
        <r>
          <rPr>
            <b/>
            <sz val="9"/>
            <color indexed="81"/>
            <rFont val="Tahoma"/>
            <family val="2"/>
          </rPr>
          <t>Cassel, Lauren (Research):</t>
        </r>
        <r>
          <rPr>
            <sz val="9"/>
            <color indexed="81"/>
            <rFont val="Tahoma"/>
            <family val="2"/>
          </rPr>
          <t xml:space="preserve">
108 Specialty, 65 Outlet</t>
        </r>
      </text>
    </comment>
    <comment ref="M44" authorId="0">
      <text>
        <r>
          <rPr>
            <b/>
            <sz val="9"/>
            <color indexed="81"/>
            <rFont val="Tahoma"/>
            <family val="2"/>
          </rPr>
          <t>Cassel, Lauren (Research):</t>
        </r>
        <r>
          <rPr>
            <sz val="9"/>
            <color indexed="81"/>
            <rFont val="Tahoma"/>
            <family val="2"/>
          </rPr>
          <t xml:space="preserve">
International: 25 specialty, 14 Outlet, 55 concessoins</t>
        </r>
      </text>
    </comment>
    <comment ref="AA44" authorId="0">
      <text>
        <r>
          <rPr>
            <b/>
            <sz val="9"/>
            <color indexed="81"/>
            <rFont val="Tahoma"/>
            <family val="2"/>
          </rPr>
          <t>Cassel, Lauren (Research):</t>
        </r>
        <r>
          <rPr>
            <sz val="9"/>
            <color indexed="81"/>
            <rFont val="Tahoma"/>
            <family val="2"/>
          </rPr>
          <t xml:space="preserve">
Assume retail is ~60% of sales</t>
        </r>
      </text>
    </comment>
    <comment ref="AS44" authorId="0">
      <text>
        <r>
          <rPr>
            <b/>
            <sz val="9"/>
            <color indexed="81"/>
            <rFont val="Tahoma"/>
            <family val="2"/>
          </rPr>
          <t>Cassel, Lauren (Research):</t>
        </r>
        <r>
          <rPr>
            <sz val="9"/>
            <color indexed="81"/>
            <rFont val="Tahoma"/>
            <family val="2"/>
          </rPr>
          <t xml:space="preserve">
Assume retail is ~60% of sales</t>
        </r>
      </text>
    </comment>
    <comment ref="F48" authorId="0">
      <text>
        <r>
          <rPr>
            <b/>
            <sz val="9"/>
            <color indexed="81"/>
            <rFont val="Tahoma"/>
            <family val="2"/>
          </rPr>
          <t>Cassel, Lauren (Research):</t>
        </r>
        <r>
          <rPr>
            <sz val="9"/>
            <color indexed="81"/>
            <rFont val="Tahoma"/>
            <family val="2"/>
          </rPr>
          <t xml:space="preserve">
Flat ex eComm</t>
        </r>
      </text>
    </comment>
    <comment ref="AA48" authorId="0">
      <text>
        <r>
          <rPr>
            <b/>
            <sz val="9"/>
            <color indexed="81"/>
            <rFont val="Tahoma"/>
            <family val="2"/>
          </rPr>
          <t>Cassel, Lauren (Research):</t>
        </r>
        <r>
          <rPr>
            <sz val="9"/>
            <color indexed="81"/>
            <rFont val="Tahoma"/>
            <family val="2"/>
          </rPr>
          <t xml:space="preserve">
Assume retail is ~60% of sales</t>
        </r>
      </text>
    </comment>
    <comment ref="AS48" authorId="0">
      <text>
        <r>
          <rPr>
            <b/>
            <sz val="9"/>
            <color indexed="81"/>
            <rFont val="Tahoma"/>
            <family val="2"/>
          </rPr>
          <t>Cassel, Lauren (Research):</t>
        </r>
        <r>
          <rPr>
            <sz val="9"/>
            <color indexed="81"/>
            <rFont val="Tahoma"/>
            <family val="2"/>
          </rPr>
          <t xml:space="preserve">
Assume retail is ~60% of sales</t>
        </r>
      </text>
    </comment>
    <comment ref="F49" authorId="0">
      <text>
        <r>
          <rPr>
            <b/>
            <sz val="9"/>
            <color indexed="81"/>
            <rFont val="Tahoma"/>
            <family val="2"/>
          </rPr>
          <t>Cassel, Lauren (Research):</t>
        </r>
        <r>
          <rPr>
            <sz val="9"/>
            <color indexed="81"/>
            <rFont val="Tahoma"/>
            <family val="2"/>
          </rPr>
          <t xml:space="preserve">
-1.5% ex. eComm</t>
        </r>
      </text>
    </comment>
    <comment ref="K49" authorId="0">
      <text>
        <r>
          <rPr>
            <b/>
            <sz val="9"/>
            <color indexed="81"/>
            <rFont val="Tahoma"/>
            <family val="2"/>
          </rPr>
          <t>Cassel, Lauren (Research):</t>
        </r>
        <r>
          <rPr>
            <sz val="9"/>
            <color indexed="81"/>
            <rFont val="Tahoma"/>
            <family val="2"/>
          </rPr>
          <t xml:space="preserve">
109 Specialty, 68 Outlet</t>
        </r>
      </text>
    </comment>
    <comment ref="V49" authorId="0">
      <text>
        <r>
          <rPr>
            <b/>
            <sz val="9"/>
            <color indexed="81"/>
            <rFont val="Tahoma"/>
            <family val="2"/>
          </rPr>
          <t>Cassel, Lauren (Research):</t>
        </r>
        <r>
          <rPr>
            <sz val="9"/>
            <color indexed="81"/>
            <rFont val="Tahoma"/>
            <family val="2"/>
          </rPr>
          <t xml:space="preserve">
Fiscal year ended 12/31/16: $1.3815B
</t>
        </r>
        <r>
          <rPr>
            <b/>
            <sz val="9"/>
            <color indexed="81"/>
            <rFont val="Tahoma"/>
            <family val="2"/>
          </rPr>
          <t>North America: $1.156B or 83.7%</t>
        </r>
        <r>
          <rPr>
            <sz val="9"/>
            <color indexed="81"/>
            <rFont val="Tahoma"/>
            <family val="2"/>
          </rPr>
          <t xml:space="preserve"> (+12.1% y/y)
</t>
        </r>
        <r>
          <rPr>
            <b/>
            <sz val="9"/>
            <color indexed="81"/>
            <rFont val="Tahoma"/>
            <family val="2"/>
          </rPr>
          <t>International: $201.8B or 14.6%</t>
        </r>
        <r>
          <rPr>
            <sz val="9"/>
            <color indexed="81"/>
            <rFont val="Tahoma"/>
            <family val="2"/>
          </rPr>
          <t xml:space="preserve"> (+7.2% y/y)
Remainder is Adelington Design group (licensed Money and Liz Claiborne brands)</t>
        </r>
      </text>
    </comment>
    <comment ref="W49" authorId="0">
      <text>
        <r>
          <rPr>
            <b/>
            <sz val="9"/>
            <color indexed="81"/>
            <rFont val="Tahoma"/>
            <family val="2"/>
          </rPr>
          <t>Cassel, Lauren (Research):</t>
        </r>
        <r>
          <rPr>
            <sz val="9"/>
            <color indexed="81"/>
            <rFont val="Tahoma"/>
            <family val="2"/>
          </rPr>
          <t xml:space="preserve">
For fiscal year ended December 2016</t>
        </r>
      </text>
    </comment>
    <comment ref="X49" authorId="0">
      <text>
        <r>
          <rPr>
            <b/>
            <sz val="9"/>
            <color indexed="81"/>
            <rFont val="Tahoma"/>
            <family val="2"/>
          </rPr>
          <t>Cassel, Lauren (Research):</t>
        </r>
        <r>
          <rPr>
            <sz val="9"/>
            <color indexed="81"/>
            <rFont val="Tahoma"/>
            <family val="2"/>
          </rPr>
          <t xml:space="preserve">
For fiscal year ended December 2016</t>
        </r>
      </text>
    </comment>
    <comment ref="AA49" authorId="0">
      <text>
        <r>
          <rPr>
            <b/>
            <sz val="9"/>
            <color indexed="81"/>
            <rFont val="Tahoma"/>
            <family val="2"/>
          </rPr>
          <t>Cassel, Lauren (Research):</t>
        </r>
        <r>
          <rPr>
            <sz val="9"/>
            <color indexed="81"/>
            <rFont val="Tahoma"/>
            <family val="2"/>
          </rPr>
          <t xml:space="preserve">
Assume retail is ~60% of sales</t>
        </r>
      </text>
    </comment>
    <comment ref="AS49" authorId="0">
      <text>
        <r>
          <rPr>
            <b/>
            <sz val="9"/>
            <color indexed="81"/>
            <rFont val="Tahoma"/>
            <family val="2"/>
          </rPr>
          <t>Cassel, Lauren (Research):</t>
        </r>
        <r>
          <rPr>
            <sz val="9"/>
            <color indexed="81"/>
            <rFont val="Tahoma"/>
            <family val="2"/>
          </rPr>
          <t xml:space="preserve">
Assume retail is ~60% of sales</t>
        </r>
      </text>
    </comment>
    <comment ref="F50" authorId="0">
      <text>
        <r>
          <rPr>
            <b/>
            <sz val="9"/>
            <color indexed="81"/>
            <rFont val="Tahoma"/>
            <family val="2"/>
          </rPr>
          <t>Cassel, Lauren (Research):</t>
        </r>
        <r>
          <rPr>
            <sz val="9"/>
            <color indexed="81"/>
            <rFont val="Tahoma"/>
            <family val="2"/>
          </rPr>
          <t xml:space="preserve">
-8.1% ex. eCommerce</t>
        </r>
      </text>
    </comment>
    <comment ref="K50" authorId="0">
      <text>
        <r>
          <rPr>
            <b/>
            <sz val="9"/>
            <color indexed="81"/>
            <rFont val="Tahoma"/>
            <family val="2"/>
          </rPr>
          <t>Cassel, Lauren (Research):</t>
        </r>
        <r>
          <rPr>
            <sz val="9"/>
            <color indexed="81"/>
            <rFont val="Tahoma"/>
            <family val="2"/>
          </rPr>
          <t xml:space="preserve">
109 Specialty Stores, 68 Outlets</t>
        </r>
      </text>
    </comment>
    <comment ref="M50" authorId="0">
      <text>
        <r>
          <rPr>
            <b/>
            <sz val="9"/>
            <color indexed="81"/>
            <rFont val="Tahoma"/>
            <family val="2"/>
          </rPr>
          <t>Cassel, Lauren (Research):</t>
        </r>
        <r>
          <rPr>
            <sz val="9"/>
            <color indexed="81"/>
            <rFont val="Tahoma"/>
            <family val="2"/>
          </rPr>
          <t xml:space="preserve">
177 US, 93 International (27 Specialty, 13 Outlet, 53 Concessions)
Not included: 105 Partner operated stores, 47 greater China JV stores</t>
        </r>
      </text>
    </comment>
    <comment ref="AA50" authorId="0">
      <text>
        <r>
          <rPr>
            <b/>
            <sz val="9"/>
            <color indexed="81"/>
            <rFont val="Tahoma"/>
            <family val="2"/>
          </rPr>
          <t>Cassel, Lauren (Research):</t>
        </r>
        <r>
          <rPr>
            <sz val="9"/>
            <color indexed="81"/>
            <rFont val="Tahoma"/>
            <family val="2"/>
          </rPr>
          <t xml:space="preserve">
Assume retail is ~60% of sales</t>
        </r>
      </text>
    </comment>
    <comment ref="AS50" authorId="0">
      <text>
        <r>
          <rPr>
            <b/>
            <sz val="9"/>
            <color indexed="81"/>
            <rFont val="Tahoma"/>
            <family val="2"/>
          </rPr>
          <t>Cassel, Lauren (Research):</t>
        </r>
        <r>
          <rPr>
            <sz val="9"/>
            <color indexed="81"/>
            <rFont val="Tahoma"/>
            <family val="2"/>
          </rPr>
          <t xml:space="preserve">
Assume retail is ~60% of sales</t>
        </r>
      </text>
    </comment>
    <comment ref="G51" authorId="0">
      <text>
        <r>
          <rPr>
            <b/>
            <sz val="9"/>
            <color indexed="81"/>
            <rFont val="Tahoma"/>
            <family val="2"/>
          </rPr>
          <t>Cassel, Lauren (Research):</t>
        </r>
        <r>
          <rPr>
            <sz val="9"/>
            <color indexed="81"/>
            <rFont val="Tahoma"/>
            <family val="2"/>
          </rPr>
          <t xml:space="preserve">
8/15/17: Kate comp similar to last quarter</t>
        </r>
      </text>
    </comment>
    <comment ref="AA51" authorId="0">
      <text>
        <r>
          <rPr>
            <b/>
            <sz val="9"/>
            <color indexed="81"/>
            <rFont val="Tahoma"/>
            <family val="2"/>
          </rPr>
          <t>Cassel, Lauren (Research):</t>
        </r>
        <r>
          <rPr>
            <sz val="9"/>
            <color indexed="81"/>
            <rFont val="Tahoma"/>
            <family val="2"/>
          </rPr>
          <t xml:space="preserve">
Assume retail is ~60% of sales</t>
        </r>
      </text>
    </comment>
    <comment ref="AS51" authorId="0">
      <text>
        <r>
          <rPr>
            <b/>
            <sz val="9"/>
            <color indexed="81"/>
            <rFont val="Tahoma"/>
            <family val="2"/>
          </rPr>
          <t>Cassel, Lauren (Research):</t>
        </r>
        <r>
          <rPr>
            <sz val="9"/>
            <color indexed="81"/>
            <rFont val="Tahoma"/>
            <family val="2"/>
          </rPr>
          <t xml:space="preserve">
Assume retail is ~60% of sales</t>
        </r>
      </text>
    </comment>
    <comment ref="D55" authorId="0">
      <text>
        <r>
          <rPr>
            <b/>
            <sz val="9"/>
            <color indexed="81"/>
            <rFont val="Tahoma"/>
            <family val="2"/>
          </rPr>
          <t>Cassel, Lauren (Research):</t>
        </r>
        <r>
          <rPr>
            <sz val="9"/>
            <color indexed="81"/>
            <rFont val="Tahoma"/>
            <family val="2"/>
          </rPr>
          <t xml:space="preserve">
11/7/17: When looking at Kate spade sales versus prior year for the full quarter - including the stub period - sales declined about 4%, reflecting our strategic reduction of both wholesale disposition and flash or surprise sales.</t>
        </r>
      </text>
    </comment>
    <comment ref="G55" authorId="0">
      <text>
        <r>
          <rPr>
            <b/>
            <sz val="9"/>
            <color indexed="81"/>
            <rFont val="Tahoma"/>
            <family val="2"/>
          </rPr>
          <t>Cassel, Lauren (Research):</t>
        </r>
        <r>
          <rPr>
            <sz val="9"/>
            <color indexed="81"/>
            <rFont val="Tahoma"/>
            <family val="2"/>
          </rPr>
          <t xml:space="preserve">
11/7/17: sequential improvement driven by outlet (reduced promotional levels and higher gross margins)</t>
        </r>
      </text>
    </comment>
    <comment ref="N55" authorId="0">
      <text>
        <r>
          <rPr>
            <b/>
            <sz val="9"/>
            <color indexed="81"/>
            <rFont val="Tahoma"/>
            <family val="2"/>
          </rPr>
          <t>Cassel, Lauren (Research):</t>
        </r>
        <r>
          <rPr>
            <sz val="9"/>
            <color indexed="81"/>
            <rFont val="Tahoma"/>
            <family val="2"/>
          </rPr>
          <t xml:space="preserve">
11/7/17: opened five new stores and closed 4</t>
        </r>
      </text>
    </comment>
    <comment ref="V55" authorId="0">
      <text>
        <r>
          <rPr>
            <b/>
            <sz val="9"/>
            <color indexed="81"/>
            <rFont val="Tahoma"/>
            <family val="2"/>
          </rPr>
          <t>Cassel, Lauren (Research):</t>
        </r>
        <r>
          <rPr>
            <sz val="9"/>
            <color indexed="81"/>
            <rFont val="Tahoma"/>
            <family val="2"/>
          </rPr>
          <t xml:space="preserve">
5/18/17: Transaction closed on July 12 so $33-35M in revenue not included</t>
        </r>
      </text>
    </comment>
    <comment ref="AA55" authorId="0">
      <text>
        <r>
          <rPr>
            <b/>
            <sz val="9"/>
            <color indexed="81"/>
            <rFont val="Tahoma"/>
            <family val="2"/>
          </rPr>
          <t>Cassel, Lauren (Research):</t>
        </r>
        <r>
          <rPr>
            <sz val="9"/>
            <color indexed="81"/>
            <rFont val="Tahoma"/>
            <family val="2"/>
          </rPr>
          <t xml:space="preserve">
Assume retail is ~60% of sales</t>
        </r>
      </text>
    </comment>
    <comment ref="AS55" authorId="0">
      <text>
        <r>
          <rPr>
            <b/>
            <sz val="9"/>
            <color indexed="81"/>
            <rFont val="Tahoma"/>
            <family val="2"/>
          </rPr>
          <t>Cassel, Lauren (Research):</t>
        </r>
        <r>
          <rPr>
            <sz val="9"/>
            <color indexed="81"/>
            <rFont val="Tahoma"/>
            <family val="2"/>
          </rPr>
          <t xml:space="preserve">
Assume retail is ~60% of sales</t>
        </r>
      </text>
    </comment>
    <comment ref="AA56" authorId="0">
      <text>
        <r>
          <rPr>
            <b/>
            <sz val="9"/>
            <color indexed="81"/>
            <rFont val="Tahoma"/>
            <family val="2"/>
          </rPr>
          <t>Cassel, Lauren (Research):</t>
        </r>
        <r>
          <rPr>
            <sz val="9"/>
            <color indexed="81"/>
            <rFont val="Tahoma"/>
            <family val="2"/>
          </rPr>
          <t xml:space="preserve">
Assume retail is ~60% of sales</t>
        </r>
      </text>
    </comment>
    <comment ref="AS56" authorId="0">
      <text>
        <r>
          <rPr>
            <b/>
            <sz val="9"/>
            <color indexed="81"/>
            <rFont val="Tahoma"/>
            <family val="2"/>
          </rPr>
          <t>Cassel, Lauren (Research):</t>
        </r>
        <r>
          <rPr>
            <sz val="9"/>
            <color indexed="81"/>
            <rFont val="Tahoma"/>
            <family val="2"/>
          </rPr>
          <t xml:space="preserve">
Assume retail is ~60% of sales</t>
        </r>
      </text>
    </comment>
    <comment ref="L57" authorId="1">
      <text>
        <r>
          <rPr>
            <b/>
            <sz val="9"/>
            <color indexed="81"/>
            <rFont val="Tahoma"/>
            <family val="2"/>
          </rPr>
          <t>Roberts, Cynthia (Research):</t>
        </r>
        <r>
          <rPr>
            <sz val="9"/>
            <color indexed="81"/>
            <rFont val="Tahoma"/>
            <family val="2"/>
          </rPr>
          <t xml:space="preserve">
taking operational control of 50 stores across Mainland China, HK, Macau, and Taiwan</t>
        </r>
      </text>
    </comment>
    <comment ref="AA57" authorId="0">
      <text>
        <r>
          <rPr>
            <b/>
            <sz val="9"/>
            <color indexed="81"/>
            <rFont val="Tahoma"/>
            <family val="2"/>
          </rPr>
          <t>Cassel, Lauren (Research):</t>
        </r>
        <r>
          <rPr>
            <sz val="9"/>
            <color indexed="81"/>
            <rFont val="Tahoma"/>
            <family val="2"/>
          </rPr>
          <t xml:space="preserve">
Assume retail is ~60% of sales</t>
        </r>
      </text>
    </comment>
    <comment ref="AS57" authorId="0">
      <text>
        <r>
          <rPr>
            <b/>
            <sz val="9"/>
            <color indexed="81"/>
            <rFont val="Tahoma"/>
            <family val="2"/>
          </rPr>
          <t>Cassel, Lauren (Research):</t>
        </r>
        <r>
          <rPr>
            <sz val="9"/>
            <color indexed="81"/>
            <rFont val="Tahoma"/>
            <family val="2"/>
          </rPr>
          <t xml:space="preserve">
Assume retail is ~60% of sales</t>
        </r>
      </text>
    </comment>
    <comment ref="AA58" authorId="0">
      <text>
        <r>
          <rPr>
            <b/>
            <sz val="9"/>
            <color indexed="81"/>
            <rFont val="Tahoma"/>
            <family val="2"/>
          </rPr>
          <t>Cassel, Lauren (Research):</t>
        </r>
        <r>
          <rPr>
            <sz val="9"/>
            <color indexed="81"/>
            <rFont val="Tahoma"/>
            <family val="2"/>
          </rPr>
          <t xml:space="preserve">
Assume retail is ~60% of sales</t>
        </r>
      </text>
    </comment>
    <comment ref="AS58" authorId="0">
      <text>
        <r>
          <rPr>
            <b/>
            <sz val="9"/>
            <color indexed="81"/>
            <rFont val="Tahoma"/>
            <family val="2"/>
          </rPr>
          <t>Cassel, Lauren (Research):</t>
        </r>
        <r>
          <rPr>
            <sz val="9"/>
            <color indexed="81"/>
            <rFont val="Tahoma"/>
            <family val="2"/>
          </rPr>
          <t xml:space="preserve">
Assume retail is ~60% of sales</t>
        </r>
      </text>
    </comment>
    <comment ref="D59" authorId="0">
      <text>
        <r>
          <rPr>
            <b/>
            <sz val="9"/>
            <color indexed="81"/>
            <rFont val="Tahoma"/>
            <family val="2"/>
          </rPr>
          <t>Cassel, Lauren (Research):</t>
        </r>
        <r>
          <rPr>
            <sz val="9"/>
            <color indexed="81"/>
            <rFont val="Tahoma"/>
            <family val="2"/>
          </rPr>
          <t xml:space="preserve">
8/15/17: The Kate Spade
revenue projection includes the impact of a planned strategic pullback in the
wholesale disposition and online flash channels and assumes a high-single digit decrease in comps for the fiscal year.</t>
        </r>
      </text>
    </comment>
    <comment ref="F59" authorId="0">
      <text>
        <r>
          <rPr>
            <b/>
            <sz val="9"/>
            <color indexed="81"/>
            <rFont val="Tahoma"/>
            <family val="2"/>
          </rPr>
          <t>Cassel, Lauren (Research):</t>
        </r>
        <r>
          <rPr>
            <sz val="9"/>
            <color indexed="81"/>
            <rFont val="Tahoma"/>
            <family val="2"/>
          </rPr>
          <t xml:space="preserve">
</t>
        </r>
        <r>
          <rPr>
            <b/>
            <sz val="9"/>
            <color indexed="81"/>
            <rFont val="Tahoma"/>
            <family val="2"/>
          </rPr>
          <t>8/15/17: guidance +~30% to $5.8-5.9B, with +LSD organic growth (+LSD global Coach comps) and the acquisition of Kate Spade adding $1.2B+ in revenue (assumes -HSD decrease in comps)</t>
        </r>
      </text>
    </comment>
    <comment ref="V59" authorId="0">
      <text>
        <r>
          <rPr>
            <b/>
            <sz val="9"/>
            <color indexed="81"/>
            <rFont val="Tahoma"/>
            <family val="2"/>
          </rPr>
          <t>Cassel, Lauren (Research):</t>
        </r>
        <r>
          <rPr>
            <sz val="9"/>
            <color indexed="81"/>
            <rFont val="Tahoma"/>
            <family val="2"/>
          </rPr>
          <t xml:space="preserve">
</t>
        </r>
        <r>
          <rPr>
            <b/>
            <sz val="9"/>
            <color indexed="81"/>
            <rFont val="Tahoma"/>
            <family val="2"/>
          </rPr>
          <t>8/15/17: guidance +~30% to $5.8-5.9B, with +LSD organic growth (+LSD global Coach comps) and the acquisition of Kate Spade adding $1.2B+ in revenue (assumes -HSD decrease in comps)</t>
        </r>
      </text>
    </comment>
  </commentList>
</comments>
</file>

<file path=xl/comments5.xml><?xml version="1.0" encoding="utf-8"?>
<comments xmlns="http://schemas.openxmlformats.org/spreadsheetml/2006/main">
  <authors>
    <author>Turley, Amber (Research)</author>
    <author>casselau</author>
    <author>turleamb</author>
    <author>mm98285</author>
    <author>ns66486</author>
    <author>lauraro</author>
    <author>nicholjs</author>
    <author>herrsylv</author>
    <author>kimberlg</author>
    <author>solejay</author>
    <author>Mains, Spencer (Research)</author>
    <author>Baglione, Gregory  (Research)</author>
    <author>Cassel, Lauren (Research)</author>
    <author>Roberts, Cynthia (Research)</author>
  </authors>
  <commentList>
    <comment ref="J6" authorId="0">
      <text>
        <r>
          <rPr>
            <b/>
            <sz val="9"/>
            <color indexed="81"/>
            <rFont val="Tahoma"/>
            <family val="2"/>
          </rPr>
          <t>Turley, Amber (Research):</t>
        </r>
        <r>
          <rPr>
            <sz val="9"/>
            <color indexed="81"/>
            <rFont val="Tahoma"/>
            <family val="2"/>
          </rPr>
          <t xml:space="preserve">
include Intl wholesale. Of Intl wholesale travel retail repesents the largest portion (per 8/16/14 10-K). 
International, which includes sales to consumers through Coach-operated stores (including the Internet) and concession shop-in-shops in Japan and mainland China, Coach-operated stores and concession shop-in-shops in Hong Kong, Macau, Singapore, Taiwan, Malaysia, South Korea, the United Kingdom, France, Ireland, Spain, Portugal, Germany and Italy, as well as sales to wholesale customers and distributors in approximately 35 countries</t>
        </r>
      </text>
    </comment>
    <comment ref="L6" authorId="1">
      <text>
        <r>
          <rPr>
            <b/>
            <sz val="9"/>
            <color indexed="81"/>
            <rFont val="Tahoma"/>
            <family val="2"/>
          </rPr>
          <t>casselau:</t>
        </r>
        <r>
          <rPr>
            <sz val="9"/>
            <color indexed="81"/>
            <rFont val="Tahoma"/>
            <family val="2"/>
          </rPr>
          <t xml:space="preserve">
constant currency
</t>
        </r>
      </text>
    </comment>
    <comment ref="Q6" authorId="1">
      <text>
        <r>
          <rPr>
            <b/>
            <sz val="9"/>
            <color indexed="81"/>
            <rFont val="Tahoma"/>
            <family val="2"/>
          </rPr>
          <t>casselau:</t>
        </r>
        <r>
          <rPr>
            <sz val="9"/>
            <color indexed="81"/>
            <rFont val="Tahoma"/>
            <family val="2"/>
          </rPr>
          <t xml:space="preserve">
constant currency
</t>
        </r>
      </text>
    </comment>
    <comment ref="V6" authorId="1">
      <text>
        <r>
          <rPr>
            <b/>
            <sz val="9"/>
            <color indexed="81"/>
            <rFont val="Tahoma"/>
            <family val="2"/>
          </rPr>
          <t>casselau:</t>
        </r>
        <r>
          <rPr>
            <sz val="9"/>
            <color indexed="81"/>
            <rFont val="Tahoma"/>
            <family val="2"/>
          </rPr>
          <t xml:space="preserve">
constant currency
</t>
        </r>
      </text>
    </comment>
    <comment ref="Y6" authorId="0">
      <text>
        <r>
          <rPr>
            <b/>
            <sz val="9"/>
            <color indexed="81"/>
            <rFont val="Tahoma"/>
            <family val="2"/>
          </rPr>
          <t>Turley, Amber (Research):</t>
        </r>
        <r>
          <rPr>
            <sz val="9"/>
            <color indexed="81"/>
            <rFont val="Tahoma"/>
            <family val="2"/>
          </rPr>
          <t xml:space="preserve">
includes Other Intl Direct (not broken out by the company but estiamted by us); Europe and Southeast Asia</t>
        </r>
      </text>
    </comment>
    <comment ref="AK6" authorId="2">
      <text>
        <r>
          <rPr>
            <b/>
            <sz val="8"/>
            <color indexed="81"/>
            <rFont val="Tahoma"/>
            <family val="2"/>
          </rPr>
          <t>turleamb:</t>
        </r>
        <r>
          <rPr>
            <sz val="8"/>
            <color indexed="81"/>
            <rFont val="Tahoma"/>
            <family val="2"/>
          </rPr>
          <t xml:space="preserve">
As of 2/5/14 10-Q: Other, which is not a reportable segment, consists of sales generated in ancillary channels including licensing and disposition.</t>
        </r>
      </text>
    </comment>
    <comment ref="BU6" authorId="0">
      <text>
        <r>
          <rPr>
            <b/>
            <sz val="9"/>
            <color indexed="81"/>
            <rFont val="Tahoma"/>
            <family val="2"/>
          </rPr>
          <t>Turley, Amber (Research):</t>
        </r>
        <r>
          <rPr>
            <sz val="9"/>
            <color indexed="81"/>
            <rFont val="Tahoma"/>
            <family val="2"/>
          </rPr>
          <t xml:space="preserve">
includes design, advertising and marketing, distribution and customer service, and administrative expensese</t>
        </r>
      </text>
    </comment>
    <comment ref="U23" authorId="3">
      <text>
        <r>
          <rPr>
            <b/>
            <sz val="8"/>
            <color indexed="81"/>
            <rFont val="Tahoma"/>
            <family val="2"/>
          </rPr>
          <t>mm98285:</t>
        </r>
        <r>
          <rPr>
            <sz val="8"/>
            <color indexed="81"/>
            <rFont val="Tahoma"/>
            <family val="2"/>
          </rPr>
          <t xml:space="preserve">
17% constant currency</t>
        </r>
      </text>
    </comment>
    <comment ref="T24" authorId="3">
      <text>
        <r>
          <rPr>
            <b/>
            <sz val="8"/>
            <color indexed="81"/>
            <rFont val="Tahoma"/>
            <family val="2"/>
          </rPr>
          <t>mm98285:</t>
        </r>
        <r>
          <rPr>
            <sz val="8"/>
            <color indexed="81"/>
            <rFont val="Tahoma"/>
            <family val="2"/>
          </rPr>
          <t xml:space="preserve">
restated to exclude Japan sales from distributor owned locations</t>
        </r>
      </text>
    </comment>
    <comment ref="U24" authorId="3">
      <text>
        <r>
          <rPr>
            <b/>
            <sz val="8"/>
            <color indexed="81"/>
            <rFont val="Tahoma"/>
            <family val="2"/>
          </rPr>
          <t>mm98285:</t>
        </r>
        <r>
          <rPr>
            <sz val="8"/>
            <color indexed="81"/>
            <rFont val="Tahoma"/>
            <family val="2"/>
          </rPr>
          <t xml:space="preserve">
17% constant currency</t>
        </r>
      </text>
    </comment>
    <comment ref="N25" authorId="3">
      <text>
        <r>
          <rPr>
            <b/>
            <sz val="8"/>
            <color indexed="81"/>
            <rFont val="Tahoma"/>
            <family val="2"/>
          </rPr>
          <t>mm98285:</t>
        </r>
        <r>
          <rPr>
            <sz val="8"/>
            <color indexed="81"/>
            <rFont val="Tahoma"/>
            <family val="2"/>
          </rPr>
          <t xml:space="preserve">
4/09: according to Andrea</t>
        </r>
      </text>
    </comment>
    <comment ref="U25" authorId="3">
      <text>
        <r>
          <rPr>
            <b/>
            <sz val="8"/>
            <color indexed="81"/>
            <rFont val="Tahoma"/>
            <family val="2"/>
          </rPr>
          <t>mm98285:</t>
        </r>
        <r>
          <rPr>
            <sz val="8"/>
            <color indexed="81"/>
            <rFont val="Tahoma"/>
            <family val="2"/>
          </rPr>
          <t xml:space="preserve">
12% constant currency</t>
        </r>
      </text>
    </comment>
    <comment ref="N26" authorId="3">
      <text>
        <r>
          <rPr>
            <b/>
            <sz val="8"/>
            <color indexed="81"/>
            <rFont val="Tahoma"/>
            <family val="2"/>
          </rPr>
          <t>mm98285:</t>
        </r>
        <r>
          <rPr>
            <sz val="8"/>
            <color indexed="81"/>
            <rFont val="Tahoma"/>
            <family val="2"/>
          </rPr>
          <t xml:space="preserve">
estimate based on restatement direct to indirect</t>
        </r>
      </text>
    </comment>
    <comment ref="U26" authorId="3">
      <text>
        <r>
          <rPr>
            <b/>
            <sz val="8"/>
            <color indexed="81"/>
            <rFont val="Tahoma"/>
            <family val="2"/>
          </rPr>
          <t>mm98285:</t>
        </r>
        <r>
          <rPr>
            <sz val="8"/>
            <color indexed="81"/>
            <rFont val="Tahoma"/>
            <family val="2"/>
          </rPr>
          <t xml:space="preserve">
+12% constant currency</t>
        </r>
      </text>
    </comment>
    <comment ref="T27" authorId="3">
      <text>
        <r>
          <rPr>
            <b/>
            <sz val="8"/>
            <color indexed="81"/>
            <rFont val="Tahoma"/>
            <family val="2"/>
          </rPr>
          <t>mm98285:</t>
        </r>
        <r>
          <rPr>
            <sz val="8"/>
            <color indexed="81"/>
            <rFont val="Tahoma"/>
            <family val="2"/>
          </rPr>
          <t xml:space="preserve">
$44M postive impact from foreign currency exchange</t>
        </r>
      </text>
    </comment>
    <comment ref="U27" authorId="3">
      <text>
        <r>
          <rPr>
            <b/>
            <sz val="8"/>
            <color indexed="81"/>
            <rFont val="Tahoma"/>
            <family val="2"/>
          </rPr>
          <t>mm98285:</t>
        </r>
        <r>
          <rPr>
            <sz val="8"/>
            <color indexed="81"/>
            <rFont val="Tahoma"/>
            <family val="2"/>
          </rPr>
          <t xml:space="preserve">
14% constant currency</t>
        </r>
      </text>
    </comment>
    <comment ref="N30" authorId="3">
      <text>
        <r>
          <rPr>
            <b/>
            <sz val="8"/>
            <color indexed="81"/>
            <rFont val="Tahoma"/>
            <family val="2"/>
          </rPr>
          <t>mm98285:</t>
        </r>
        <r>
          <rPr>
            <sz val="8"/>
            <color indexed="81"/>
            <rFont val="Tahoma"/>
            <family val="2"/>
          </rPr>
          <t xml:space="preserve">
China sales reclassified to DTC from Indirect
10/08: 10 stores converted to retail in Sept 2008 (record POS sales), record indirect shipments for other 15 stores but included in DTC sales</t>
        </r>
      </text>
    </comment>
    <comment ref="T30" authorId="3">
      <text>
        <r>
          <rPr>
            <b/>
            <sz val="8"/>
            <color indexed="81"/>
            <rFont val="Tahoma"/>
            <family val="2"/>
          </rPr>
          <t>mm98285:</t>
        </r>
        <r>
          <rPr>
            <sz val="8"/>
            <color indexed="81"/>
            <rFont val="Tahoma"/>
            <family val="2"/>
          </rPr>
          <t xml:space="preserve">
10Q: Coach Japan sales, when translated into U.S. dollars, rose 22.2% to $136.9 million driven by expanded distribution</t>
        </r>
      </text>
    </comment>
    <comment ref="U30" authorId="3">
      <text>
        <r>
          <rPr>
            <b/>
            <sz val="8"/>
            <color indexed="81"/>
            <rFont val="Tahoma"/>
            <family val="2"/>
          </rPr>
          <t>mm98285:</t>
        </r>
        <r>
          <rPr>
            <sz val="8"/>
            <color indexed="81"/>
            <rFont val="Tahoma"/>
            <family val="2"/>
          </rPr>
          <t xml:space="preserve">
+12% constant currency</t>
        </r>
      </text>
    </comment>
    <comment ref="N31" authorId="3">
      <text>
        <r>
          <rPr>
            <b/>
            <sz val="8"/>
            <color indexed="81"/>
            <rFont val="Tahoma"/>
            <family val="2"/>
          </rPr>
          <t>mm98285:</t>
        </r>
        <r>
          <rPr>
            <sz val="8"/>
            <color indexed="81"/>
            <rFont val="Tahoma"/>
            <family val="2"/>
          </rPr>
          <t xml:space="preserve">
15 stores recording at retail by Jan 1, 2009, other 10 still indirect</t>
        </r>
      </text>
    </comment>
    <comment ref="U31" authorId="3">
      <text>
        <r>
          <rPr>
            <b/>
            <sz val="8"/>
            <color indexed="81"/>
            <rFont val="Tahoma"/>
            <family val="2"/>
          </rPr>
          <t>mm98285:</t>
        </r>
        <r>
          <rPr>
            <sz val="8"/>
            <color indexed="81"/>
            <rFont val="Tahoma"/>
            <family val="2"/>
          </rPr>
          <t xml:space="preserve">
-1% constant currency
Japan sales +15.4% as a result of ~$26.9M or 16.2% positive impact from foreign currency exchange
</t>
        </r>
      </text>
    </comment>
    <comment ref="N32" authorId="3">
      <text>
        <r>
          <rPr>
            <sz val="8"/>
            <color indexed="81"/>
            <rFont val="Tahoma"/>
            <family val="2"/>
          </rPr>
          <t>4/10: changed to $15m, 3Q10 = $30m and Andrea indicated +100% growth
4/09: according to Andrea 12.42</t>
        </r>
      </text>
    </comment>
    <comment ref="U32" authorId="3">
      <text>
        <r>
          <rPr>
            <b/>
            <sz val="8"/>
            <color indexed="81"/>
            <rFont val="Tahoma"/>
            <family val="2"/>
          </rPr>
          <t>mm98285:</t>
        </r>
        <r>
          <rPr>
            <sz val="8"/>
            <color indexed="81"/>
            <rFont val="Tahoma"/>
            <family val="2"/>
          </rPr>
          <t xml:space="preserve">
+1% on constant currency basis; dollar sales +14% </t>
        </r>
      </text>
    </comment>
    <comment ref="N33" authorId="3">
      <text>
        <r>
          <rPr>
            <b/>
            <sz val="8"/>
            <color indexed="81"/>
            <rFont val="Tahoma"/>
            <family val="2"/>
          </rPr>
          <t>mm98285:</t>
        </r>
        <r>
          <rPr>
            <sz val="8"/>
            <color indexed="81"/>
            <rFont val="Tahoma"/>
            <family val="2"/>
          </rPr>
          <t xml:space="preserve">
above expectations double digit</t>
        </r>
      </text>
    </comment>
    <comment ref="U33" authorId="3">
      <text>
        <r>
          <rPr>
            <b/>
            <sz val="8"/>
            <color indexed="81"/>
            <rFont val="Tahoma"/>
            <family val="2"/>
          </rPr>
          <t>mm98285:</t>
        </r>
        <r>
          <rPr>
            <sz val="8"/>
            <color indexed="81"/>
            <rFont val="Tahoma"/>
            <family val="2"/>
          </rPr>
          <t xml:space="preserve">
-10% on constant currency basis, while dollar sales declined -4%</t>
        </r>
      </text>
    </comment>
    <comment ref="N34" authorId="3">
      <text>
        <r>
          <rPr>
            <b/>
            <sz val="8"/>
            <color indexed="81"/>
            <rFont val="Tahoma"/>
            <family val="2"/>
          </rPr>
          <t>mm98285:</t>
        </r>
        <r>
          <rPr>
            <sz val="8"/>
            <color indexed="81"/>
            <rFont val="Tahoma"/>
            <family val="2"/>
          </rPr>
          <t xml:space="preserve">
10/09: $54M in revs in 2009 - actual revenue COH recognized was $45M, but the retail equivalent sales volume was $54M
4/09: $50M in sales today (3% of market)
5/08: market research indicates that by 2013 the China, Hong Kong &amp; Macau premium handbag/access market will likely exceed $2.5BN vs. current size of $1.2BN. Our goal is to be one of top 3 imported handbag &amp; access brands, with sales of $250mm+ and market share of at least 10% by FY2013, up from ~$30mm &amp; 3% today. With investments in stores, marketing, organization &amp; infrastructure, we're poised to replicate our success formula in Japan since taking control of the business there in 2001</t>
        </r>
      </text>
    </comment>
    <comment ref="O34" authorId="3">
      <text>
        <r>
          <rPr>
            <b/>
            <sz val="8"/>
            <color indexed="81"/>
            <rFont val="Tahoma"/>
            <family val="2"/>
          </rPr>
          <t>mm98285:</t>
        </r>
        <r>
          <rPr>
            <sz val="8"/>
            <color indexed="81"/>
            <rFont val="Tahoma"/>
            <family val="2"/>
          </rPr>
          <t xml:space="preserve">
10K: 1% of total sales</t>
        </r>
      </text>
    </comment>
    <comment ref="T34" authorId="3">
      <text>
        <r>
          <rPr>
            <b/>
            <sz val="8"/>
            <color indexed="81"/>
            <rFont val="Tahoma"/>
            <family val="2"/>
          </rPr>
          <t>9/10:</t>
        </r>
        <r>
          <rPr>
            <sz val="8"/>
            <color indexed="81"/>
            <rFont val="Tahoma"/>
            <family val="2"/>
          </rPr>
          <t xml:space="preserve">
Now excludes revenue from Japan Indirect business. 
Revenue from Coach Japan is ~$632M (based on FY10 increasing 13% from prior year) This number includes revenue from indirect business</t>
        </r>
        <r>
          <rPr>
            <b/>
            <sz val="8"/>
            <color indexed="81"/>
            <rFont val="Tahoma"/>
            <family val="2"/>
          </rPr>
          <t xml:space="preserve">
mm98285:</t>
        </r>
        <r>
          <rPr>
            <sz val="8"/>
            <color indexed="81"/>
            <rFont val="Tahoma"/>
            <family val="2"/>
          </rPr>
          <t xml:space="preserve">
$70.2M or 11.8% postive impact from foreign currency exchange</t>
        </r>
      </text>
    </comment>
    <comment ref="U34" authorId="3">
      <text>
        <r>
          <rPr>
            <b/>
            <sz val="8"/>
            <color indexed="81"/>
            <rFont val="Tahoma"/>
            <family val="2"/>
          </rPr>
          <t>mm98285:</t>
        </r>
        <r>
          <rPr>
            <sz val="8"/>
            <color indexed="81"/>
            <rFont val="Tahoma"/>
            <family val="2"/>
          </rPr>
          <t xml:space="preserve">
essentially flat on a constant-currency basis, while dollar sales rose 11% positively impacted by exchange rate</t>
        </r>
      </text>
    </comment>
    <comment ref="T37" authorId="3">
      <text>
        <r>
          <rPr>
            <b/>
            <sz val="8"/>
            <color indexed="81"/>
            <rFont val="Tahoma"/>
            <family val="2"/>
          </rPr>
          <t>mm98285:</t>
        </r>
        <r>
          <rPr>
            <sz val="8"/>
            <color indexed="81"/>
            <rFont val="Tahoma"/>
            <family val="2"/>
          </rPr>
          <t xml:space="preserve">
11/09: +11.2% driven by ~$19.3M or 14.1% positive impact from FX</t>
        </r>
      </text>
    </comment>
    <comment ref="U37" authorId="3">
      <text>
        <r>
          <rPr>
            <b/>
            <sz val="8"/>
            <color indexed="81"/>
            <rFont val="Tahoma"/>
            <family val="2"/>
          </rPr>
          <t>mm98285:</t>
        </r>
        <r>
          <rPr>
            <sz val="8"/>
            <color indexed="81"/>
            <rFont val="Tahoma"/>
            <family val="2"/>
          </rPr>
          <t xml:space="preserve">
-3% on constant currency</t>
        </r>
      </text>
    </comment>
    <comment ref="U38" authorId="3">
      <text>
        <r>
          <rPr>
            <b/>
            <sz val="8"/>
            <color indexed="81"/>
            <rFont val="Tahoma"/>
            <family val="2"/>
          </rPr>
          <t>mm98285:</t>
        </r>
        <r>
          <rPr>
            <sz val="8"/>
            <color indexed="81"/>
            <rFont val="Tahoma"/>
            <family val="2"/>
          </rPr>
          <t xml:space="preserve">
-2% constant currency
+8.7% impact from currency translation</t>
        </r>
      </text>
    </comment>
    <comment ref="N39" authorId="4">
      <text>
        <r>
          <rPr>
            <b/>
            <sz val="8"/>
            <color indexed="81"/>
            <rFont val="Tahoma"/>
            <family val="2"/>
          </rPr>
          <t>ns66486:</t>
        </r>
        <r>
          <rPr>
            <sz val="8"/>
            <color indexed="81"/>
            <rFont val="Tahoma"/>
            <family val="2"/>
          </rPr>
          <t xml:space="preserve">
about ~$30m per Andrea
4/09 $12.4 according to Andrea</t>
        </r>
      </text>
    </comment>
    <comment ref="U39" authorId="4">
      <text>
        <r>
          <rPr>
            <b/>
            <sz val="8"/>
            <color indexed="81"/>
            <rFont val="Tahoma"/>
            <family val="2"/>
          </rPr>
          <t>ns66486:</t>
        </r>
        <r>
          <rPr>
            <sz val="8"/>
            <color indexed="81"/>
            <rFont val="Tahoma"/>
            <family val="2"/>
          </rPr>
          <t xml:space="preserve">
sales in Japan declined 1% in constant currency and rose 2% in dollars.</t>
        </r>
      </text>
    </comment>
    <comment ref="N40" authorId="3">
      <text>
        <r>
          <rPr>
            <sz val="8"/>
            <color indexed="81"/>
            <rFont val="Tahoma"/>
            <family val="2"/>
          </rPr>
          <t xml:space="preserve">China results continued to be robust, with comparable store sales rising at a double-digit rate.
4/10: could come in about ~$30m
extra week
</t>
        </r>
      </text>
    </comment>
    <comment ref="U40" authorId="3">
      <text>
        <r>
          <rPr>
            <sz val="8"/>
            <color indexed="81"/>
            <rFont val="Tahoma"/>
            <family val="2"/>
          </rPr>
          <t xml:space="preserve">constant currency +6%, while dollar sales rose 13%, reflecting the stronger yen year-over-year. Excluding the impact of the extra week, sales were flat on a constant currency basis and +5% in USD
</t>
        </r>
      </text>
    </comment>
    <comment ref="N41" authorId="3">
      <text>
        <r>
          <rPr>
            <b/>
            <sz val="8"/>
            <color indexed="81"/>
            <rFont val="Tahoma"/>
            <family val="2"/>
          </rPr>
          <t>10/10:</t>
        </r>
        <r>
          <rPr>
            <sz val="8"/>
            <color indexed="81"/>
            <rFont val="Tahoma"/>
            <family val="2"/>
          </rPr>
          <t xml:space="preserve"> we guess +48% comp on $54M LY plus benefit of new stores at +49.8% ending sq ft growth = $107.0M ($54M*1.48=$80.1M+(.48*$54M=$26.9M)=$107M</t>
        </r>
        <r>
          <rPr>
            <b/>
            <sz val="8"/>
            <color indexed="81"/>
            <rFont val="Tahoma"/>
            <family val="2"/>
          </rPr>
          <t xml:space="preserve">
</t>
        </r>
        <r>
          <rPr>
            <b/>
            <sz val="8"/>
            <color indexed="81"/>
            <rFont val="Tahoma"/>
            <family val="2"/>
          </rPr>
          <t xml:space="preserve">10/14/10: From Andrea:
</t>
        </r>
        <r>
          <rPr>
            <sz val="8"/>
            <color indexed="81"/>
            <rFont val="Tahoma"/>
            <family val="2"/>
          </rPr>
          <t>sq ft growth of 49.8% for FY10.  The sales growth was 98% ($107 vs $54).  comp was signficant double digit. For FY11, ~60% sq ft growth.  However ALL Mainland, it will NOT come on as productive as existing sqftage given that so much today is HK.</t>
        </r>
        <r>
          <rPr>
            <b/>
            <sz val="8"/>
            <color indexed="81"/>
            <rFont val="Tahoma"/>
            <family val="2"/>
          </rPr>
          <t xml:space="preserve">
8/10: </t>
        </r>
        <r>
          <rPr>
            <sz val="8"/>
            <color indexed="81"/>
            <rFont val="Tahoma"/>
            <family val="2"/>
          </rPr>
          <t>$107 per Andrea</t>
        </r>
        <r>
          <rPr>
            <b/>
            <sz val="8"/>
            <color indexed="81"/>
            <rFont val="Tahoma"/>
            <family val="2"/>
          </rPr>
          <t xml:space="preserve">
mm98285:</t>
        </r>
        <r>
          <rPr>
            <sz val="8"/>
            <color indexed="81"/>
            <rFont val="Tahoma"/>
            <family val="2"/>
          </rPr>
          <t xml:space="preserve">
1/10: expect ~$100M per andrea
10/09: expect 50% growth off of LY's $54M to get $75-80M
4/09: Mgmt's goal is to reach sales of over $250M (10%+ market share) by FY2013 vs. ~$50M (3% market share) FY09, representing ~50% CAGR</t>
        </r>
      </text>
    </comment>
    <comment ref="P41" authorId="5">
      <text>
        <r>
          <rPr>
            <b/>
            <sz val="8"/>
            <color indexed="81"/>
            <rFont val="Tahoma"/>
            <family val="2"/>
          </rPr>
          <t>lauraro:</t>
        </r>
        <r>
          <rPr>
            <sz val="8"/>
            <color indexed="81"/>
            <rFont val="Tahoma"/>
            <family val="2"/>
          </rPr>
          <t xml:space="preserve">
9/10: North American stores and the Internet, Coach Japan and Coach China contributing approximately 64%, 20% and 3% of total net sales</t>
        </r>
      </text>
    </comment>
    <comment ref="T41" authorId="5">
      <text>
        <r>
          <rPr>
            <b/>
            <sz val="8"/>
            <color indexed="81"/>
            <rFont val="Tahoma"/>
            <family val="2"/>
          </rPr>
          <t>lauraro:</t>
        </r>
        <r>
          <rPr>
            <sz val="8"/>
            <color indexed="81"/>
            <rFont val="Tahoma"/>
            <family val="2"/>
          </rPr>
          <t xml:space="preserve">
9/10: Per Andrea Coach Japan $714M, per filing +13% in 4Q
In Japan, net sales increased 7.8%
driven by an approximately $51.9 million or 7.8% positive impact from foreign currency exchange.
FY10 Japan revenue incl. Japan International is $720.860</t>
        </r>
      </text>
    </comment>
    <comment ref="U41" authorId="3">
      <text>
        <r>
          <rPr>
            <b/>
            <sz val="8"/>
            <color indexed="81"/>
            <rFont val="Tahoma"/>
            <family val="2"/>
          </rPr>
          <t>9/10:</t>
        </r>
        <r>
          <rPr>
            <sz val="8"/>
            <color indexed="81"/>
            <rFont val="Tahoma"/>
            <family val="2"/>
          </rPr>
          <t xml:space="preserve">
FY10 includes revenue from Japan Indirect business. 
FY09 Revenue from Coach Japan is ~$632M (based on FY10 increasing 13% from prior year).</t>
        </r>
      </text>
    </comment>
    <comment ref="V41" authorId="6">
      <text>
        <r>
          <rPr>
            <b/>
            <sz val="8"/>
            <color indexed="81"/>
            <rFont val="Tahoma"/>
            <family val="2"/>
          </rPr>
          <t>nicholjs:</t>
        </r>
        <r>
          <rPr>
            <sz val="8"/>
            <color indexed="81"/>
            <rFont val="Tahoma"/>
            <family val="2"/>
          </rPr>
          <t xml:space="preserve">
constant currency flat, while dollar sales +8%, excluding extra week Japan sales were -2% on constant currency</t>
        </r>
      </text>
    </comment>
    <comment ref="U42" authorId="5">
      <text>
        <r>
          <rPr>
            <b/>
            <sz val="8"/>
            <color indexed="81"/>
            <rFont val="Tahoma"/>
            <family val="2"/>
          </rPr>
          <t>lauraro:</t>
        </r>
        <r>
          <rPr>
            <sz val="8"/>
            <color indexed="81"/>
            <rFont val="Tahoma"/>
            <family val="2"/>
          </rPr>
          <t xml:space="preserve">
extra week's sales</t>
        </r>
      </text>
    </comment>
    <comment ref="N44" authorId="5">
      <text>
        <r>
          <rPr>
            <sz val="8"/>
            <color indexed="81"/>
            <rFont val="Tahoma"/>
            <family val="2"/>
          </rPr>
          <t>75% growth, ~$33.5</t>
        </r>
        <r>
          <rPr>
            <b/>
            <sz val="8"/>
            <color indexed="81"/>
            <rFont val="Tahoma"/>
            <family val="2"/>
          </rPr>
          <t xml:space="preserve">
lauraro:</t>
        </r>
        <r>
          <rPr>
            <sz val="8"/>
            <color indexed="81"/>
            <rFont val="Tahoma"/>
            <family val="2"/>
          </rPr>
          <t xml:space="preserve">
Coach China results continued to be strong with double-digit growth in comparable store sales.  Since the end of the first quarter of fiscal 2010, Coach opened 16 net new stores in Hong Kong and mainland China.</t>
        </r>
      </text>
    </comment>
    <comment ref="T44" authorId="5">
      <text>
        <r>
          <rPr>
            <b/>
            <sz val="8"/>
            <color indexed="81"/>
            <rFont val="Tahoma"/>
            <family val="2"/>
          </rPr>
          <t>lauraro:</t>
        </r>
        <r>
          <rPr>
            <sz val="8"/>
            <color indexed="81"/>
            <rFont val="Tahoma"/>
            <family val="2"/>
          </rPr>
          <t xml:space="preserve">
Japan sales 3% in constant currency and 14% in dollars</t>
        </r>
      </text>
    </comment>
    <comment ref="U44" authorId="3">
      <text>
        <r>
          <rPr>
            <b/>
            <sz val="8"/>
            <color indexed="81"/>
            <rFont val="Tahoma"/>
            <family val="2"/>
          </rPr>
          <t>mm98285:</t>
        </r>
        <r>
          <rPr>
            <sz val="8"/>
            <color indexed="81"/>
            <rFont val="Tahoma"/>
            <family val="2"/>
          </rPr>
          <t xml:space="preserve">
+13.8% vs LY
+3% constant currency (+10.6% benefit from currency translation)</t>
        </r>
      </text>
    </comment>
    <comment ref="N45" authorId="5">
      <text>
        <r>
          <rPr>
            <b/>
            <sz val="8"/>
            <color indexed="81"/>
            <rFont val="Tahoma"/>
            <family val="2"/>
          </rPr>
          <t>lauraro:</t>
        </r>
        <r>
          <rPr>
            <sz val="8"/>
            <color indexed="81"/>
            <rFont val="Tahoma"/>
            <family val="2"/>
          </rPr>
          <t xml:space="preserve">
- significant DD comp growth
- Coach China results continued to be
strong with double-digit growth in comparable store sales. Since the end of the second quarter of fiscal 2010, Coach opened 15 net new stores in Hong Kong and mainland China.</t>
        </r>
      </text>
    </comment>
    <comment ref="U45" authorId="5">
      <text>
        <r>
          <rPr>
            <b/>
            <sz val="8"/>
            <color indexed="81"/>
            <rFont val="Tahoma"/>
            <family val="2"/>
          </rPr>
          <t>lauraro:</t>
        </r>
        <r>
          <rPr>
            <sz val="8"/>
            <color indexed="81"/>
            <rFont val="Tahoma"/>
            <family val="2"/>
          </rPr>
          <t xml:space="preserve">
1/25:In Japan, net sales increased 8.5% driven by ~$17.5M or 8.6% positive impact from FX. Since the end of the second quarter of fiscal 2010, Coach opened 6 net new locations and expanded 2 locations in Japan </t>
        </r>
      </text>
    </comment>
    <comment ref="N46" authorId="5">
      <text>
        <r>
          <rPr>
            <b/>
            <sz val="8"/>
            <color indexed="81"/>
            <rFont val="Tahoma"/>
            <family val="2"/>
          </rPr>
          <t xml:space="preserve">4/26/11: </t>
        </r>
        <r>
          <rPr>
            <sz val="8"/>
            <color indexed="81"/>
            <rFont val="Tahoma"/>
            <family val="2"/>
          </rPr>
          <t>China sales remained robust, as POS sales cont'd to comp at a DD rate</t>
        </r>
        <r>
          <rPr>
            <sz val="8"/>
            <color indexed="81"/>
            <rFont val="Tahoma"/>
            <family val="2"/>
          </rPr>
          <t xml:space="preserve">
</t>
        </r>
      </text>
    </comment>
    <comment ref="U46" authorId="5">
      <text>
        <r>
          <rPr>
            <b/>
            <sz val="8"/>
            <color indexed="81"/>
            <rFont val="Tahoma"/>
            <family val="2"/>
          </rPr>
          <t>4/26:</t>
        </r>
        <r>
          <rPr>
            <sz val="8"/>
            <color indexed="81"/>
            <rFont val="Tahoma"/>
            <family val="2"/>
          </rPr>
          <t xml:space="preserve"> In Japan, net sales declined 9% on a constant currency basis, while dollar sales were essentially the same as LY, boosted by a stronger yen.
Lew said +1% on call</t>
        </r>
      </text>
    </comment>
    <comment ref="N47" authorId="7">
      <text>
        <r>
          <rPr>
            <b/>
            <sz val="8"/>
            <color indexed="81"/>
            <rFont val="Tahoma"/>
            <family val="2"/>
          </rPr>
          <t>herrsylv:</t>
        </r>
        <r>
          <rPr>
            <sz val="8"/>
            <color indexed="81"/>
            <rFont val="Tahoma"/>
            <family val="2"/>
          </rPr>
          <t xml:space="preserve">
8/10: assumed 63% growth rate bc backed out $2M in revs LY to account for extra week (excluding extra week LY we are assuming 75% growth rate)</t>
        </r>
      </text>
    </comment>
    <comment ref="T47" authorId="7">
      <text>
        <r>
          <rPr>
            <sz val="8"/>
            <color indexed="81"/>
            <rFont val="Tahoma"/>
            <family val="2"/>
          </rPr>
          <t>8/2/11: $175M
$163 would be flat from LY ex extra week of sales
$143 ex Japan</t>
        </r>
        <r>
          <rPr>
            <b/>
            <sz val="8"/>
            <color indexed="81"/>
            <rFont val="Tahoma"/>
            <family val="2"/>
          </rPr>
          <t xml:space="preserve">
mm:</t>
        </r>
        <r>
          <rPr>
            <sz val="8"/>
            <color indexed="81"/>
            <rFont val="Tahoma"/>
            <family val="2"/>
          </rPr>
          <t xml:space="preserve">
assumed slight contraction as back out extra week LY</t>
        </r>
      </text>
    </comment>
    <comment ref="U47" authorId="5">
      <text>
        <r>
          <rPr>
            <sz val="8"/>
            <color indexed="81"/>
            <rFont val="Tahoma"/>
            <family val="2"/>
          </rPr>
          <t xml:space="preserve">8/2/11: dollar sales -2% on a reported basis (+6% on a comp basis), in constant currency -13% on a reported basis (-7% on a comp basis).
</t>
        </r>
        <r>
          <rPr>
            <b/>
            <sz val="8"/>
            <color indexed="81"/>
            <rFont val="Tahoma"/>
            <family val="2"/>
          </rPr>
          <t xml:space="preserve">4/16
</t>
        </r>
        <r>
          <rPr>
            <sz val="8"/>
            <color indexed="81"/>
            <rFont val="Tahoma"/>
            <family val="2"/>
          </rPr>
          <t>-8% extra week LY
-11% $20M loss due to Japan
-ex these items would have expected flat $ or ~-9% constant curr (like 3Q11)</t>
        </r>
      </text>
    </comment>
    <comment ref="N48" authorId="8">
      <text>
        <r>
          <rPr>
            <b/>
            <sz val="8"/>
            <color indexed="81"/>
            <rFont val="Tahoma"/>
            <family val="2"/>
          </rPr>
          <t>kimberlg:</t>
        </r>
        <r>
          <rPr>
            <sz val="8"/>
            <color indexed="81"/>
            <rFont val="Tahoma"/>
            <family val="2"/>
          </rPr>
          <t xml:space="preserve">
</t>
        </r>
        <r>
          <rPr>
            <b/>
            <sz val="8"/>
            <color indexed="81"/>
            <rFont val="Tahoma"/>
            <family val="2"/>
          </rPr>
          <t>10/13/10:</t>
        </r>
        <r>
          <rPr>
            <sz val="8"/>
            <color indexed="81"/>
            <rFont val="Tahoma"/>
            <family val="2"/>
          </rPr>
          <t xml:space="preserve"> we calc 60% avg sq ft growth at 75% productivity on $107M base = $48M PLUS 30% comp = $32M for total 2011 sales = $187M
</t>
        </r>
        <r>
          <rPr>
            <b/>
            <sz val="8"/>
            <color indexed="81"/>
            <rFont val="Tahoma"/>
            <family val="2"/>
          </rPr>
          <t>9/10:</t>
        </r>
        <r>
          <rPr>
            <sz val="8"/>
            <color indexed="81"/>
            <rFont val="Tahoma"/>
            <family val="2"/>
          </rPr>
          <t xml:space="preserve"> 4-wall EBIT contribution already at company level
Need to be ~$300M sales to reach corp average EBIT (including corp o/h, buying, etc) of ~32% - would yield $96M EBIT, but since assume $295M in '12, would yield $94.4M of EBIT</t>
        </r>
      </text>
    </comment>
    <comment ref="P48" authorId="5">
      <text>
        <r>
          <rPr>
            <b/>
            <sz val="8"/>
            <color indexed="81"/>
            <rFont val="Tahoma"/>
            <family val="2"/>
          </rPr>
          <t>lauraro:</t>
        </r>
        <r>
          <rPr>
            <sz val="8"/>
            <color indexed="81"/>
            <rFont val="Tahoma"/>
            <family val="2"/>
          </rPr>
          <t xml:space="preserve">
9/11: North American stores and the Internet, Coach Japan and Coach China contributing approximately 64%, 18% and 5% of total net sales</t>
        </r>
      </text>
    </comment>
    <comment ref="T48" authorId="5">
      <text>
        <r>
          <rPr>
            <b/>
            <sz val="8"/>
            <color indexed="81"/>
            <rFont val="Tahoma"/>
            <family val="2"/>
          </rPr>
          <t>lauraro:</t>
        </r>
        <r>
          <rPr>
            <sz val="8"/>
            <color indexed="81"/>
            <rFont val="Tahoma"/>
            <family val="2"/>
          </rPr>
          <t xml:space="preserve">
$750M</t>
        </r>
      </text>
    </comment>
    <comment ref="N51" authorId="8">
      <text>
        <r>
          <rPr>
            <b/>
            <sz val="8"/>
            <color indexed="81"/>
            <rFont val="Tahoma"/>
            <family val="2"/>
          </rPr>
          <t>kimberlg:</t>
        </r>
        <r>
          <rPr>
            <sz val="8"/>
            <color indexed="81"/>
            <rFont val="Tahoma"/>
            <family val="2"/>
          </rPr>
          <t xml:space="preserve">
"just over $60M"</t>
        </r>
      </text>
    </comment>
    <comment ref="O51" authorId="8">
      <text>
        <r>
          <rPr>
            <b/>
            <sz val="8"/>
            <color indexed="81"/>
            <rFont val="Tahoma"/>
            <family val="2"/>
          </rPr>
          <t>kimberlg:</t>
        </r>
        <r>
          <rPr>
            <sz val="8"/>
            <color indexed="81"/>
            <rFont val="Tahoma"/>
            <family val="2"/>
          </rPr>
          <t xml:space="preserve">
"around 80% growth"</t>
        </r>
      </text>
    </comment>
    <comment ref="U51" authorId="5">
      <text>
        <r>
          <rPr>
            <b/>
            <sz val="8"/>
            <color indexed="81"/>
            <rFont val="Tahoma"/>
            <family val="2"/>
          </rPr>
          <t>lauraro:</t>
        </r>
        <r>
          <rPr>
            <sz val="8"/>
            <color indexed="81"/>
            <rFont val="Tahoma"/>
            <family val="2"/>
          </rPr>
          <t xml:space="preserve">
+1% on a constant currency basis</t>
        </r>
      </text>
    </comment>
    <comment ref="V52" authorId="5">
      <text>
        <r>
          <rPr>
            <b/>
            <sz val="8"/>
            <color indexed="81"/>
            <rFont val="Tahoma"/>
            <family val="2"/>
          </rPr>
          <t>lauraro:</t>
        </r>
        <r>
          <rPr>
            <sz val="8"/>
            <color indexed="81"/>
            <rFont val="Tahoma"/>
            <family val="2"/>
          </rPr>
          <t xml:space="preserve">
flat on a constant currency basis
</t>
        </r>
      </text>
    </comment>
    <comment ref="O53" authorId="5">
      <text>
        <r>
          <rPr>
            <b/>
            <sz val="8"/>
            <color indexed="81"/>
            <rFont val="Tahoma"/>
            <family val="2"/>
          </rPr>
          <t>lauraro:</t>
        </r>
        <r>
          <rPr>
            <sz val="8"/>
            <color indexed="81"/>
            <rFont val="Tahoma"/>
            <family val="2"/>
          </rPr>
          <t xml:space="preserve">
4/24/12: Sales strong, up nearly 60%, with double digits comps</t>
        </r>
      </text>
    </comment>
    <comment ref="U53" authorId="5">
      <text>
        <r>
          <rPr>
            <b/>
            <sz val="8"/>
            <color indexed="81"/>
            <rFont val="Tahoma"/>
            <family val="2"/>
          </rPr>
          <t>lauraro:</t>
        </r>
        <r>
          <rPr>
            <sz val="8"/>
            <color indexed="81"/>
            <rFont val="Tahoma"/>
            <family val="2"/>
          </rPr>
          <t xml:space="preserve">
+14% USD, +10% constant currency</t>
        </r>
      </text>
    </comment>
    <comment ref="U54" authorId="5">
      <text>
        <r>
          <rPr>
            <sz val="8"/>
            <color indexed="81"/>
            <rFont val="Tahoma"/>
            <family val="2"/>
          </rPr>
          <t xml:space="preserve">7/31/12: up 16% in constant currency.
4/24: LY Japan -7% in local currency ex 53rd week </t>
        </r>
      </text>
    </comment>
    <comment ref="N55" authorId="5">
      <text>
        <r>
          <rPr>
            <b/>
            <sz val="8"/>
            <color indexed="81"/>
            <rFont val="Tahoma"/>
            <family val="2"/>
          </rPr>
          <t xml:space="preserve">7/31/12: </t>
        </r>
        <r>
          <rPr>
            <sz val="8"/>
            <color indexed="81"/>
            <rFont val="Tahoma"/>
            <family val="2"/>
          </rPr>
          <t>$308.5M</t>
        </r>
        <r>
          <rPr>
            <b/>
            <sz val="8"/>
            <color indexed="81"/>
            <rFont val="Tahoma"/>
            <family val="2"/>
          </rPr>
          <t xml:space="preserve">
4/24/12: </t>
        </r>
        <r>
          <rPr>
            <sz val="8"/>
            <color indexed="81"/>
            <rFont val="Tahoma"/>
            <family val="2"/>
          </rPr>
          <t>on track to reach at least $300M</t>
        </r>
        <r>
          <rPr>
            <b/>
            <sz val="8"/>
            <color indexed="81"/>
            <rFont val="Tahoma"/>
            <family val="2"/>
          </rPr>
          <t xml:space="preserve">
10/25/11: </t>
        </r>
        <r>
          <rPr>
            <sz val="8"/>
            <color indexed="81"/>
            <rFont val="Tahoma"/>
            <family val="2"/>
          </rPr>
          <t>Now expect $300M</t>
        </r>
        <r>
          <rPr>
            <b/>
            <sz val="8"/>
            <color indexed="81"/>
            <rFont val="Tahoma"/>
            <family val="2"/>
          </rPr>
          <t xml:space="preserve">
8/2/11: </t>
        </r>
        <r>
          <rPr>
            <sz val="8"/>
            <color indexed="81"/>
            <rFont val="Tahoma"/>
            <family val="2"/>
          </rPr>
          <t>Now expect $280-$300M</t>
        </r>
        <r>
          <rPr>
            <b/>
            <sz val="8"/>
            <color indexed="81"/>
            <rFont val="Tahoma"/>
            <family val="2"/>
          </rPr>
          <t xml:space="preserve">
lauraro:
</t>
        </r>
        <r>
          <rPr>
            <b/>
            <sz val="8"/>
            <color indexed="81"/>
            <rFont val="Tahoma"/>
            <family val="2"/>
          </rPr>
          <t xml:space="preserve">1/25/11: </t>
        </r>
        <r>
          <rPr>
            <sz val="8"/>
            <color indexed="81"/>
            <rFont val="Tahoma"/>
            <family val="2"/>
          </rPr>
          <t>Expect $500M in FY2014, $250M in 2012</t>
        </r>
        <r>
          <rPr>
            <sz val="8"/>
            <color indexed="81"/>
            <rFont val="Tahoma"/>
            <family val="2"/>
          </rPr>
          <t xml:space="preserve">
</t>
        </r>
        <r>
          <rPr>
            <b/>
            <sz val="8"/>
            <color indexed="81"/>
            <rFont val="Tahoma"/>
            <family val="2"/>
          </rPr>
          <t>10/10:</t>
        </r>
        <r>
          <rPr>
            <sz val="8"/>
            <color indexed="81"/>
            <rFont val="Tahoma"/>
            <family val="2"/>
          </rPr>
          <t xml:space="preserve"> assume 60% sq ft growth at 70% productivity or $77M new store sales PLUS +20% comp or $37M = $298M
4/10: Exp $250M by FY12
9/10: 4-wall EBIT contribution already at company level
</t>
        </r>
        <r>
          <rPr>
            <b/>
            <sz val="8"/>
            <color indexed="81"/>
            <rFont val="Tahoma"/>
            <family val="2"/>
          </rPr>
          <t>Need to be ~$300M sales to reach corp average</t>
        </r>
        <r>
          <rPr>
            <sz val="8"/>
            <color indexed="81"/>
            <rFont val="Tahoma"/>
            <family val="2"/>
          </rPr>
          <t xml:space="preserve"> EBIT (including corp o/h, buying, etc) of ~32% - would yield $96M EBIT, but since assume $295M in '12, would yield $94.4M of EBIT</t>
        </r>
      </text>
    </comment>
    <comment ref="O55" authorId="9">
      <text>
        <r>
          <rPr>
            <sz val="8"/>
            <color indexed="81"/>
            <rFont val="Tahoma"/>
            <family val="2"/>
          </rPr>
          <t>7/31/12: CEO:  up 64% FY12</t>
        </r>
      </text>
    </comment>
    <comment ref="P55" authorId="9">
      <text>
        <r>
          <rPr>
            <sz val="8"/>
            <color indexed="81"/>
            <rFont val="Tahoma"/>
            <family val="2"/>
          </rPr>
          <t>7/31/12: China 4-wall profitability is in the 40% range</t>
        </r>
      </text>
    </comment>
    <comment ref="T55" authorId="8">
      <text>
        <r>
          <rPr>
            <b/>
            <sz val="8"/>
            <color indexed="81"/>
            <rFont val="Tahoma"/>
            <family val="2"/>
          </rPr>
          <t>kimberlg:</t>
        </r>
        <r>
          <rPr>
            <sz val="8"/>
            <color indexed="81"/>
            <rFont val="Tahoma"/>
            <family val="2"/>
          </rPr>
          <t xml:space="preserve">
7/31/12: $838M</t>
        </r>
      </text>
    </comment>
    <comment ref="AO55" authorId="0">
      <text>
        <r>
          <rPr>
            <b/>
            <sz val="9"/>
            <color indexed="81"/>
            <rFont val="Tahoma"/>
            <family val="2"/>
          </rPr>
          <t>Turley, Amber (Research):</t>
        </r>
        <r>
          <rPr>
            <sz val="9"/>
            <color indexed="81"/>
            <rFont val="Tahoma"/>
            <family val="2"/>
          </rPr>
          <t xml:space="preserve">
FY14 10-K (pg 36)</t>
        </r>
      </text>
    </comment>
    <comment ref="AS55" authorId="0">
      <text>
        <r>
          <rPr>
            <b/>
            <sz val="9"/>
            <color indexed="81"/>
            <rFont val="Tahoma"/>
            <family val="2"/>
          </rPr>
          <t>Turley, Amber (Research):</t>
        </r>
        <r>
          <rPr>
            <sz val="9"/>
            <color indexed="81"/>
            <rFont val="Tahoma"/>
            <family val="2"/>
          </rPr>
          <t xml:space="preserve">
per FY14 10-K pg 36</t>
        </r>
      </text>
    </comment>
    <comment ref="N58" authorId="1">
      <text>
        <r>
          <rPr>
            <b/>
            <sz val="8"/>
            <color indexed="81"/>
            <rFont val="Tahoma"/>
            <family val="2"/>
          </rPr>
          <t>casselau:</t>
        </r>
        <r>
          <rPr>
            <sz val="8"/>
            <color indexed="81"/>
            <rFont val="Tahoma"/>
            <family val="2"/>
          </rPr>
          <t xml:space="preserve">
nearly 40% sales gain and a continuation of +DD comps; eComm site going live Nov 2012</t>
        </r>
      </text>
    </comment>
    <comment ref="O58" authorId="1">
      <text>
        <r>
          <rPr>
            <b/>
            <sz val="8"/>
            <color indexed="81"/>
            <rFont val="Tahoma"/>
            <family val="2"/>
          </rPr>
          <t>casselau:</t>
        </r>
        <r>
          <rPr>
            <sz val="8"/>
            <color indexed="81"/>
            <rFont val="Tahoma"/>
            <family val="2"/>
          </rPr>
          <t xml:space="preserve">
nearly 40% growth</t>
        </r>
      </text>
    </comment>
    <comment ref="T58" authorId="1">
      <text>
        <r>
          <rPr>
            <b/>
            <sz val="8"/>
            <color indexed="81"/>
            <rFont val="Tahoma"/>
            <family val="2"/>
          </rPr>
          <t>casselau:</t>
        </r>
        <r>
          <rPr>
            <sz val="8"/>
            <color indexed="81"/>
            <rFont val="Tahoma"/>
            <family val="2"/>
          </rPr>
          <t xml:space="preserve">
1% increase in constant currency; sales and dollars were even with prior year; COH is #2 within the Japenese imported accessories market with a 17% yen share</t>
        </r>
      </text>
    </comment>
    <comment ref="AO58" authorId="2">
      <text>
        <r>
          <rPr>
            <b/>
            <sz val="9"/>
            <color indexed="81"/>
            <rFont val="Tahoma"/>
            <family val="2"/>
          </rPr>
          <t>turleamb:</t>
        </r>
        <r>
          <rPr>
            <sz val="9"/>
            <color indexed="81"/>
            <rFont val="Tahoma"/>
            <family val="2"/>
          </rPr>
          <t xml:space="preserve">
backed into using 10Q 5/6/14</t>
        </r>
      </text>
    </comment>
    <comment ref="J59" authorId="2">
      <text>
        <r>
          <rPr>
            <b/>
            <sz val="8"/>
            <color indexed="81"/>
            <rFont val="Tahoma"/>
            <family val="2"/>
          </rPr>
          <t>turleamb:</t>
        </r>
        <r>
          <rPr>
            <sz val="8"/>
            <color indexed="81"/>
            <rFont val="Tahoma"/>
            <family val="2"/>
          </rPr>
          <t xml:space="preserve">
2/5/14 10-Q: As a result of the acquisition of the European joint venture (as discussed in Note 3), certain amounts have been reclassed from Other to International to conform to the 2014 presentation of the European results. For the quarter ended December 29, 2012, these amounts are net sales of $6,541, gross profit of $3,228</t>
        </r>
      </text>
    </comment>
    <comment ref="N59" authorId="1">
      <text>
        <r>
          <rPr>
            <b/>
            <sz val="8"/>
            <color indexed="81"/>
            <rFont val="Tahoma"/>
            <family val="2"/>
          </rPr>
          <t>casselau:</t>
        </r>
        <r>
          <rPr>
            <sz val="8"/>
            <color indexed="81"/>
            <rFont val="Tahoma"/>
            <family val="2"/>
          </rPr>
          <t xml:space="preserve">
Intl sales increased 12% to $411M from $368M last year. total intl sales grew 40% and +DD comp. Shipments into intl wholesale accounts declined modestly, while underlying POS sales trends remained robust. </t>
        </r>
      </text>
    </comment>
    <comment ref="T59" authorId="1">
      <text>
        <r>
          <rPr>
            <b/>
            <sz val="8"/>
            <color indexed="81"/>
            <rFont val="Tahoma"/>
            <family val="2"/>
          </rPr>
          <t xml:space="preserve">1/23/13: </t>
        </r>
        <r>
          <rPr>
            <sz val="8"/>
            <color indexed="81"/>
            <rFont val="Tahoma"/>
            <family val="2"/>
          </rPr>
          <t xml:space="preserve">In Japan, sales declined 2% on a constant-currency basis, while dollar sales were 7% below the prior year, reflecting the weaker yen. 
</t>
        </r>
        <r>
          <rPr>
            <b/>
            <sz val="8"/>
            <color indexed="81"/>
            <rFont val="Tahoma"/>
            <family val="2"/>
          </rPr>
          <t xml:space="preserve">
casselau:</t>
        </r>
        <r>
          <rPr>
            <sz val="8"/>
            <color indexed="81"/>
            <rFont val="Tahoma"/>
            <family val="2"/>
          </rPr>
          <t xml:space="preserve">
01/08/13: 5% headwind due to Yen exchange rate</t>
        </r>
      </text>
    </comment>
    <comment ref="AQ59" authorId="2">
      <text>
        <r>
          <rPr>
            <b/>
            <sz val="8"/>
            <color indexed="81"/>
            <rFont val="Tahoma"/>
            <family val="2"/>
          </rPr>
          <t>turleamb:</t>
        </r>
        <r>
          <rPr>
            <sz val="8"/>
            <color indexed="81"/>
            <rFont val="Tahoma"/>
            <family val="2"/>
          </rPr>
          <t xml:space="preserve">
2/5/14 10-Q: Gross margin decreased 350 basis points from 67.3% in the second quarter of fiscal 2013 to 63.8% in the second quarter of fiscal 2014</t>
        </r>
      </text>
    </comment>
    <comment ref="AS59" authorId="2">
      <text>
        <r>
          <rPr>
            <b/>
            <sz val="8"/>
            <color indexed="81"/>
            <rFont val="Tahoma"/>
            <family val="2"/>
          </rPr>
          <t xml:space="preserve">turleamb:
</t>
        </r>
        <r>
          <rPr>
            <sz val="8"/>
            <color indexed="81"/>
            <rFont val="Tahoma"/>
            <family val="2"/>
          </rPr>
          <t>2/5/14 10-Q: As a result of the acquisition of the European joint venture (as discussed in Note 3), certain amounts have been reclassed from Other to International to conform to the 2014 presentation of the European results. For the quarter ended December 29, 2012, these amounts are net sales of $6,541, gross profit of $3,228</t>
        </r>
      </text>
    </comment>
    <comment ref="AU59" authorId="2">
      <text>
        <r>
          <rPr>
            <b/>
            <sz val="8"/>
            <color indexed="81"/>
            <rFont val="Tahoma"/>
            <family val="2"/>
          </rPr>
          <t>turleamb:</t>
        </r>
        <r>
          <rPr>
            <sz val="8"/>
            <color indexed="81"/>
            <rFont val="Tahoma"/>
            <family val="2"/>
          </rPr>
          <t xml:space="preserve">
2/5/14 10-Q: International Gross Profit decreased $2.1 million to $330.9 million in the second quarter of fiscal 2014. Gross margin decreased 180 basis points from 79.7% in the second quarter of fiscal 2013 to 77.9% in the second quarter of fiscal 2014. The decrease in gross margin is primarily due to negative foreign currency exchange.</t>
        </r>
      </text>
    </comment>
    <comment ref="BA59" authorId="2">
      <text>
        <r>
          <rPr>
            <b/>
            <sz val="8"/>
            <color indexed="81"/>
            <rFont val="Tahoma"/>
            <family val="2"/>
          </rPr>
          <t xml:space="preserve">turleamb:
</t>
        </r>
        <r>
          <rPr>
            <sz val="8"/>
            <color indexed="81"/>
            <rFont val="Tahoma"/>
            <family val="2"/>
          </rPr>
          <t>2/5/14 10-Q: As a result of the acquisition of the European joint venture (as discussed in Note 3), certain amounts have been reclassed from Other to International to conform to the 2014 presentation of the European results. For the quarter ended December 29, 2012, these amounts are net sales of $6,541, gross profit of $3,228</t>
        </r>
      </text>
    </comment>
    <comment ref="BI59" authorId="2">
      <text>
        <r>
          <rPr>
            <b/>
            <sz val="8"/>
            <color indexed="81"/>
            <rFont val="Tahoma"/>
            <family val="2"/>
          </rPr>
          <t xml:space="preserve">turleamb:
</t>
        </r>
        <r>
          <rPr>
            <sz val="8"/>
            <color indexed="81"/>
            <rFont val="Tahoma"/>
            <family val="2"/>
          </rPr>
          <t>2/5/14 10-Q: As a result of the acquisition of the European joint venture (as discussed in Note 3), certain amounts have been reclassed from Other to International to conform to the 2014 presentation of the European results. For the quarter ended December 29, 2012, these amounts are net sales of $6,541, gross profit of $3,228</t>
        </r>
      </text>
    </comment>
    <comment ref="BM59" authorId="2">
      <text>
        <r>
          <rPr>
            <b/>
            <sz val="8"/>
            <color indexed="81"/>
            <rFont val="Tahoma"/>
            <family val="2"/>
          </rPr>
          <t>turleamb:</t>
        </r>
        <r>
          <rPr>
            <sz val="8"/>
            <color indexed="81"/>
            <rFont val="Tahoma"/>
            <family val="2"/>
          </rPr>
          <t xml:space="preserve">
2/5/14 10-Q: As a result of the acquisition of the European joint venture (as discussed in Note 3), certain amounts have been reclassed from Other to International to conform to the 2014 presentation of the European results. For the quarter ended December 29, 2012, these amounts are net sales of $6,541, gross profit of $3,228</t>
        </r>
      </text>
    </comment>
    <comment ref="N60" authorId="1">
      <text>
        <r>
          <rPr>
            <b/>
            <sz val="8"/>
            <color indexed="81"/>
            <rFont val="Tahoma"/>
            <family val="2"/>
          </rPr>
          <t>casselau:</t>
        </r>
        <r>
          <rPr>
            <sz val="8"/>
            <color indexed="81"/>
            <rFont val="Tahoma"/>
            <family val="2"/>
          </rPr>
          <t xml:space="preserve">
International sales increased 6% to $382 million from $359 million last year. On a constant currency basis sales rose 14% for the quarter. China results continued very strong, with total sales growing 40% and comparable store sales rising at a double-digit rate. Shipments into international wholesale accounts fell slightly, while underlying POS sales trends remained robust.</t>
        </r>
      </text>
    </comment>
    <comment ref="T60" authorId="1">
      <text>
        <r>
          <rPr>
            <b/>
            <sz val="8"/>
            <color indexed="81"/>
            <rFont val="Tahoma"/>
            <family val="2"/>
          </rPr>
          <t>casselau:</t>
        </r>
        <r>
          <rPr>
            <sz val="8"/>
            <color indexed="81"/>
            <rFont val="Tahoma"/>
            <family val="2"/>
          </rPr>
          <t xml:space="preserve">
In Japan, sales were even to prior year on a constant-currency basis, while dollar sales declined 14%, reflecting the weaker yen. </t>
        </r>
      </text>
    </comment>
    <comment ref="D61" authorId="9">
      <text>
        <r>
          <rPr>
            <b/>
            <sz val="8"/>
            <color indexed="81"/>
            <rFont val="Tahoma"/>
            <family val="2"/>
          </rPr>
          <t>solejay:</t>
        </r>
        <r>
          <rPr>
            <sz val="8"/>
            <color indexed="81"/>
            <rFont val="Tahoma"/>
            <family val="2"/>
          </rPr>
          <t xml:space="preserve">
7/30/13 from the press release - "Total North American sales increased 6% to $825 million from $781 million last year. North American direct sales rose 5% for the quarter with comparable store sales down 1.7%. At POS, sales in North American department stores were slightly above prior year while shipments into this channel also rose."
</t>
        </r>
      </text>
    </comment>
    <comment ref="E61" authorId="9">
      <text>
        <r>
          <rPr>
            <sz val="8"/>
            <color indexed="81"/>
            <rFont val="Tahoma"/>
            <family val="2"/>
          </rPr>
          <t xml:space="preserve">7/30/2013 - North American sales increased 6% to $825 million dollars from $781 million last year, with direct sales up 5% and comparable store sales down 1.7%, </t>
        </r>
      </text>
    </comment>
    <comment ref="J61" authorId="9">
      <text>
        <r>
          <rPr>
            <b/>
            <sz val="8"/>
            <color indexed="81"/>
            <rFont val="Tahoma"/>
            <family val="2"/>
          </rPr>
          <t xml:space="preserve">solejay: 
</t>
        </r>
        <r>
          <rPr>
            <sz val="8"/>
            <color indexed="81"/>
            <rFont val="Tahoma"/>
            <family val="2"/>
          </rPr>
          <t xml:space="preserve">7/30/13 from the press release - "International sales increased 7% to $386 million from $362 million last year. On a constant currency basis, sales rose 17% for the quarter. China results continued to be very strong, with total sales growing 35% and comparable store sales rising at a double-digit rate. Shipments into international wholesale accounts rose slightly, while underlying POS sales also rose. In Japan, sales were up 4% versus prior year on a constant-currency basis, while dollar sales declined 15%, reflecting the weaker yen."
</t>
        </r>
      </text>
    </comment>
    <comment ref="N61" authorId="9">
      <text>
        <r>
          <rPr>
            <sz val="8"/>
            <color indexed="81"/>
            <rFont val="Tahoma"/>
            <family val="2"/>
          </rPr>
          <t>7/30/2013: "During the quarter, China sales rose about 35% from prior year fueled by distribution and double-digit same store sales.  As Lew noted up front, this took our full year sales to over $430 million, up 40%.  Clearly, the Chinese consumer continues to embrace Coach, as repurchase intent has remained high at over 80% among existing consumers. This is also evidenced by the increasing contribution of the Chinese tourist to our global sales.
Our other Asia direct businesses outside of China and Japan - Korea, Taiwan, Malaysia and Singapore - also posted strong aggregate growth in the quarter and the year.  In total, they benefitted from the retail ‘step up’ from the prior year for Malaysia and Korea which were acquired in early FY13.  It’s important to note that their combined POS sales also rose at a high single digit rate for the quarter and a double digit rate for the year."</t>
        </r>
      </text>
    </comment>
    <comment ref="O61" authorId="9">
      <text>
        <r>
          <rPr>
            <b/>
            <sz val="8"/>
            <color indexed="81"/>
            <rFont val="Tahoma"/>
            <family val="2"/>
          </rPr>
          <t>solejay:</t>
        </r>
        <r>
          <rPr>
            <sz val="8"/>
            <color indexed="81"/>
            <rFont val="Tahoma"/>
            <family val="2"/>
          </rPr>
          <t xml:space="preserve">
7/30/2013 - "During the quarter, China sales rose about 35% from prior year fueled by distribution and double-digit same store sales.  As Lew noted up front, this took our full year sales to over $430 million, up 40%."</t>
        </r>
      </text>
    </comment>
    <comment ref="T61" authorId="9">
      <text>
        <r>
          <rPr>
            <sz val="8"/>
            <color indexed="81"/>
            <rFont val="Tahoma"/>
            <family val="2"/>
          </rPr>
          <t>7/30/2013: "As noted, for the quarter, we posted a 4% increase in local currency in Japan, despite the tough compare, while dollar sales declined 15% reflecting the weaker yen. Similarly for the year, sales were essentially even with prior year on a constant currency basis and down 9% in dollars. "</t>
        </r>
      </text>
    </comment>
    <comment ref="D62" authorId="9">
      <text>
        <r>
          <rPr>
            <b/>
            <sz val="8"/>
            <color indexed="81"/>
            <rFont val="Tahoma"/>
            <family val="2"/>
          </rPr>
          <t>solejay:</t>
        </r>
        <r>
          <rPr>
            <sz val="8"/>
            <color indexed="81"/>
            <rFont val="Tahoma"/>
            <family val="2"/>
          </rPr>
          <t xml:space="preserve">
7/30/13 from the press release - "For the full year, total North American sales increased 5% to $3.48 billion from $3.32 billion last year. North American direct sales rose 6% for the year with comparable store sales essentially even. At POS, sales in North American department stores were slightly below prior year while shipments into this channel declined modestly."
</t>
        </r>
      </text>
    </comment>
    <comment ref="G62" authorId="2">
      <text>
        <r>
          <rPr>
            <b/>
            <sz val="8"/>
            <color indexed="81"/>
            <rFont val="Tahoma"/>
            <family val="2"/>
          </rPr>
          <t>turleamb:</t>
        </r>
        <r>
          <rPr>
            <sz val="8"/>
            <color indexed="81"/>
            <rFont val="Tahoma"/>
            <family val="2"/>
          </rPr>
          <t xml:space="preserve">
12/23/13 Correspondance: For the fiscal year 2013, North America comparable store sales increased $7.8 million or 0.3%, of which the North America Internet business contributed 9 points to comparable store sales growth.</t>
        </r>
      </text>
    </comment>
    <comment ref="J62" authorId="9">
      <text>
        <r>
          <rPr>
            <b/>
            <sz val="8"/>
            <color indexed="81"/>
            <rFont val="Tahoma"/>
            <family val="2"/>
          </rPr>
          <t>solejay:</t>
        </r>
        <r>
          <rPr>
            <sz val="8"/>
            <color indexed="81"/>
            <rFont val="Tahoma"/>
            <family val="2"/>
          </rPr>
          <t xml:space="preserve">
7/30/13 from the press release - 
"For the full year, international sales rose 10% to $1.54 billion from $1.40 billion generated in fiscal 2012. On a constant currency basis, sales rose 15% for the year. 
China results were robust, with total sales growing 40% to $430 million and comparable store sales rising at a double-digit rate. 
Shipments into international wholesale accounts rose modestly, while underlying POS sales also rose. 
In Japan, sales were essentially even versus prior year on a constant-currency basis, while dollar sales declined 9%, reflecting the weaker yen.
Our other Asia direct businesses outside of China and Japan - Korea, Taiwan, Malaysia and Singapore - also posted strong aggregate growth in the quarter and the year.  In total, they benefitted from the retail ‘step up’ from the prior year for Malaysia and Korea which were acquired in early FY13.  It’s important to note that their combined POS sales also rose at a high single digit rate for the quarter and a double digit rate for the year."
</t>
        </r>
      </text>
    </comment>
    <comment ref="N62" authorId="5">
      <text>
        <r>
          <rPr>
            <b/>
            <sz val="8"/>
            <color indexed="81"/>
            <rFont val="Tahoma"/>
            <family val="2"/>
          </rPr>
          <t xml:space="preserve">4/23: expect $425M
10/24: </t>
        </r>
        <r>
          <rPr>
            <sz val="8"/>
            <color indexed="81"/>
            <rFont val="Tahoma"/>
            <family val="2"/>
          </rPr>
          <t>expect at least $400M driven by both distribution and SSS growth</t>
        </r>
        <r>
          <rPr>
            <b/>
            <sz val="8"/>
            <color indexed="81"/>
            <rFont val="Tahoma"/>
            <family val="2"/>
          </rPr>
          <t xml:space="preserve">
lauraro:
7/31/12: </t>
        </r>
        <r>
          <rPr>
            <sz val="8"/>
            <color indexed="81"/>
            <rFont val="Tahoma"/>
            <family val="2"/>
          </rPr>
          <t>Expect at least $400M in FY2013 - $415M is likely ok</t>
        </r>
        <r>
          <rPr>
            <b/>
            <sz val="8"/>
            <color indexed="81"/>
            <rFont val="Tahoma"/>
            <family val="2"/>
          </rPr>
          <t xml:space="preserve">
</t>
        </r>
        <r>
          <rPr>
            <b/>
            <sz val="8"/>
            <color indexed="81"/>
            <rFont val="Tahoma"/>
            <family val="2"/>
          </rPr>
          <t xml:space="preserve">1/25/11: </t>
        </r>
        <r>
          <rPr>
            <sz val="8"/>
            <color indexed="81"/>
            <rFont val="Tahoma"/>
            <family val="2"/>
          </rPr>
          <t>Expect $500M in FY2014</t>
        </r>
        <r>
          <rPr>
            <sz val="8"/>
            <color indexed="81"/>
            <rFont val="Tahoma"/>
            <family val="2"/>
          </rPr>
          <t xml:space="preserve">
</t>
        </r>
        <r>
          <rPr>
            <b/>
            <sz val="8"/>
            <color indexed="81"/>
            <rFont val="Tahoma"/>
            <family val="2"/>
          </rPr>
          <t>10/10:</t>
        </r>
        <r>
          <rPr>
            <sz val="8"/>
            <color indexed="81"/>
            <rFont val="Tahoma"/>
            <family val="2"/>
          </rPr>
          <t xml:space="preserve"> assume 60% sq ft growth at 70% productivity or $77M new store sales PLUS +20% comp or $37M = $298M
4/10: Exp $250M by FY12
9/10: 4-wall EBIT contribution already at company level
Need to be ~$300M sales to reach corp average EBIT (including corp o/h, buying, etc) of ~32% - would yield $96M EBIT, but since assume $295M in '12, would yield $94.4M of EBIT
7/30/13 - CEO Lew F. - "we continued to leverage the international opportunity for Coach, growing organically through distribution and productivity while accelerating the acquisition of international retail businesses to our direct control. In China, Coach sales exceeded $430 million up 40%, ending the year with about 125 locations including over 100 on the Mainland."</t>
        </r>
      </text>
    </comment>
    <comment ref="AK62" authorId="0">
      <text>
        <r>
          <rPr>
            <b/>
            <sz val="9"/>
            <color indexed="81"/>
            <rFont val="Tahoma"/>
            <family val="2"/>
          </rPr>
          <t>Turley, Amber (Research):</t>
        </r>
        <r>
          <rPr>
            <sz val="9"/>
            <color indexed="81"/>
            <rFont val="Tahoma"/>
            <family val="2"/>
          </rPr>
          <t xml:space="preserve">
per 8/16/14 10-K: FY13 licensing revenue was $32.1m</t>
        </r>
      </text>
    </comment>
    <comment ref="AN62" authorId="2">
      <text>
        <r>
          <rPr>
            <b/>
            <sz val="9"/>
            <color indexed="81"/>
            <rFont val="Tahoma"/>
            <family val="2"/>
          </rPr>
          <t>turleamb:</t>
        </r>
        <r>
          <rPr>
            <sz val="9"/>
            <color indexed="81"/>
            <rFont val="Tahoma"/>
            <family val="2"/>
          </rPr>
          <t xml:space="preserve">
Correspondance 12/23/13: "For the fiscal year 2013, North America comparable store sales increased $7.8 million or 0.3%, of which the North America Internet business contributed 9 points to comparable store sales growth"</t>
        </r>
      </text>
    </comment>
    <comment ref="AO62" authorId="0">
      <text>
        <r>
          <rPr>
            <b/>
            <sz val="9"/>
            <color indexed="81"/>
            <rFont val="Tahoma"/>
            <family val="2"/>
          </rPr>
          <t>Turley, Amber (Research):</t>
        </r>
        <r>
          <rPr>
            <sz val="9"/>
            <color indexed="81"/>
            <rFont val="Tahoma"/>
            <family val="2"/>
          </rPr>
          <t xml:space="preserve">
FY14 10-K: FY14 NA GM decreased $35--backed into this number</t>
        </r>
      </text>
    </comment>
    <comment ref="AS62" authorId="0">
      <text>
        <r>
          <rPr>
            <b/>
            <sz val="9"/>
            <color indexed="81"/>
            <rFont val="Tahoma"/>
            <family val="2"/>
          </rPr>
          <t>Turley, Amber (Research):</t>
        </r>
        <r>
          <rPr>
            <sz val="9"/>
            <color indexed="81"/>
            <rFont val="Tahoma"/>
            <family val="2"/>
          </rPr>
          <t xml:space="preserve">
FY14 10-K: Intl gross profit increased $40.0m in FY14 to $1.30B --backed into this number</t>
        </r>
      </text>
    </comment>
    <comment ref="G65" authorId="2">
      <text>
        <r>
          <rPr>
            <b/>
            <sz val="8"/>
            <color indexed="81"/>
            <rFont val="Tahoma"/>
            <family val="2"/>
          </rPr>
          <t>turleamb:</t>
        </r>
        <r>
          <rPr>
            <sz val="8"/>
            <color indexed="81"/>
            <rFont val="Tahoma"/>
            <family val="2"/>
          </rPr>
          <t xml:space="preserve">
direct sales declined 1%</t>
        </r>
      </text>
    </comment>
    <comment ref="J65" authorId="2">
      <text>
        <r>
          <rPr>
            <b/>
            <sz val="8"/>
            <color indexed="81"/>
            <rFont val="Tahoma"/>
            <family val="2"/>
          </rPr>
          <t>turleamb:</t>
        </r>
        <r>
          <rPr>
            <sz val="8"/>
            <color indexed="81"/>
            <rFont val="Tahoma"/>
            <family val="2"/>
          </rPr>
          <t xml:space="preserve">
Coach became the 100% owner of its European joint venture by purchasing Hackett Limited’s 50% interest in the joint venture on July 1, 2013, enabling Coach to assume direct control and consolidate its European retail business. The joint venture included 18 retail locations in Spain, Portugal, Great Britain, France, Ireland and Germany. The purchase price consisted of cash payments of approximately $15,105 and the forgiveness of a loan from Coach to Hackett Limited of approximately $18,019. The cash payments were made in installments with $7,893 paid in fiscal 2013, $5,437 paid in the first quarter of fiscal 2014 offset by cash acquired as part of the acquisition of $3,453. The remaining $1,775 was paid at the beginning of the third quarter of fiscal 2014</t>
        </r>
      </text>
    </comment>
    <comment ref="K65" authorId="2">
      <text>
        <r>
          <rPr>
            <b/>
            <sz val="8"/>
            <color indexed="81"/>
            <rFont val="Tahoma"/>
            <family val="2"/>
          </rPr>
          <t>turleamb:</t>
        </r>
        <r>
          <rPr>
            <sz val="8"/>
            <color indexed="81"/>
            <rFont val="Tahoma"/>
            <family val="2"/>
          </rPr>
          <t xml:space="preserve">
rose 9% on CC basis</t>
        </r>
      </text>
    </comment>
    <comment ref="N65" authorId="2">
      <text>
        <r>
          <rPr>
            <b/>
            <sz val="8"/>
            <color indexed="81"/>
            <rFont val="Tahoma"/>
            <family val="2"/>
          </rPr>
          <t>turleamb:</t>
        </r>
        <r>
          <rPr>
            <sz val="8"/>
            <color indexed="81"/>
            <rFont val="Tahoma"/>
            <family val="2"/>
          </rPr>
          <t xml:space="preserve">
10/22/13: China
results continued very strong, with total sales up over 35% and comparable store
sales rising at a double-digit rate.</t>
        </r>
      </text>
    </comment>
    <comment ref="T65" authorId="2">
      <text>
        <r>
          <rPr>
            <b/>
            <sz val="8"/>
            <color indexed="81"/>
            <rFont val="Tahoma"/>
            <family val="2"/>
          </rPr>
          <t>turleamb:</t>
        </r>
        <r>
          <rPr>
            <sz val="8"/>
            <color indexed="81"/>
            <rFont val="Tahoma"/>
            <family val="2"/>
          </rPr>
          <t xml:space="preserve">
10/22/13: Japan, sales declined 2% on a constant
currency basis, while dollar sales declined 22%, reflecting the weaker yen</t>
        </r>
      </text>
    </comment>
    <comment ref="Y65" authorId="2">
      <text>
        <r>
          <rPr>
            <b/>
            <sz val="8"/>
            <color indexed="81"/>
            <rFont val="Tahoma"/>
            <family val="2"/>
          </rPr>
          <t>turleamb:</t>
        </r>
        <r>
          <rPr>
            <sz val="8"/>
            <color indexed="81"/>
            <rFont val="Tahoma"/>
            <family val="2"/>
          </rPr>
          <t xml:space="preserve">
10/22/13: other Asia and Europe rose sharply as well
Other Asia +DD"robust comparable store sales as we anniversaried the purchase of our retail operations in Malaysia and Korea during the quarter." Expect to open 10 stores in addition to 20 acquired in Europe and 50 wholesale locations
</t>
        </r>
      </text>
    </comment>
    <comment ref="AO65" authorId="2">
      <text>
        <r>
          <rPr>
            <b/>
            <sz val="8"/>
            <color indexed="81"/>
            <rFont val="Tahoma"/>
            <family val="2"/>
          </rPr>
          <t>turleamb:</t>
        </r>
        <r>
          <rPr>
            <sz val="8"/>
            <color indexed="81"/>
            <rFont val="Tahoma"/>
            <family val="2"/>
          </rPr>
          <t xml:space="preserve">
2/5/14 10-Q: backed into with 6 month Gross Profit number</t>
        </r>
      </text>
    </comment>
    <comment ref="AQ65" authorId="2">
      <text>
        <r>
          <rPr>
            <b/>
            <sz val="8"/>
            <color indexed="81"/>
            <rFont val="Tahoma"/>
            <family val="2"/>
          </rPr>
          <t>turleamb:</t>
        </r>
        <r>
          <rPr>
            <sz val="8"/>
            <color indexed="81"/>
            <rFont val="Tahoma"/>
            <family val="2"/>
          </rPr>
          <t xml:space="preserve">
2/5/14 10-Q: Gross margin decreased 290 basis points from 67.5% in the first six months of fiscal 2013 to 64.6% in the first six months of fiscal 2014. The decrease in gross margin is primarily due to a 150 basis points decline due to increased promotional activity, primarily in our factory channel, and a 110 basis point decline as a result of selling products with a higher average unit cost.</t>
        </r>
      </text>
    </comment>
    <comment ref="AS65" authorId="2">
      <text>
        <r>
          <rPr>
            <b/>
            <sz val="8"/>
            <color indexed="81"/>
            <rFont val="Tahoma"/>
            <family val="2"/>
          </rPr>
          <t>turleamb:</t>
        </r>
        <r>
          <rPr>
            <sz val="8"/>
            <color indexed="81"/>
            <rFont val="Tahoma"/>
            <family val="2"/>
          </rPr>
          <t xml:space="preserve">
2/5/14 10-Q: backed into with 6 month Gross Profit number</t>
        </r>
      </text>
    </comment>
    <comment ref="AU65" authorId="2">
      <text>
        <r>
          <rPr>
            <b/>
            <sz val="8"/>
            <color indexed="81"/>
            <rFont val="Tahoma"/>
            <family val="2"/>
          </rPr>
          <t>turleamb:</t>
        </r>
        <r>
          <rPr>
            <sz val="8"/>
            <color indexed="81"/>
            <rFont val="Tahoma"/>
            <family val="2"/>
          </rPr>
          <t xml:space="preserve">
2/5/14 10-Q: Gross margin decreased 60 basis points from 79.6% in the first six months of fiscal 2013 to 79.0% in the first six months of fiscal 2014. The decrease in gross margin is primarily due to negative foreign currency exchange.</t>
        </r>
      </text>
    </comment>
    <comment ref="D66" authorId="2">
      <text>
        <r>
          <rPr>
            <b/>
            <sz val="8"/>
            <color indexed="81"/>
            <rFont val="Tahoma"/>
            <family val="2"/>
          </rPr>
          <t>turleamb:</t>
        </r>
        <r>
          <rPr>
            <sz val="8"/>
            <color indexed="81"/>
            <rFont val="Tahoma"/>
            <family val="2"/>
          </rPr>
          <t xml:space="preserve">
1/22/14: North American sales fell 9%, to $983 million, from 1.08 billion last year, with direct sales declining 8% on a 13.6% comparable store
sales decrease.</t>
        </r>
      </text>
    </comment>
    <comment ref="E66" authorId="2">
      <text>
        <r>
          <rPr>
            <b/>
            <sz val="8"/>
            <color indexed="81"/>
            <rFont val="Tahoma"/>
            <family val="2"/>
          </rPr>
          <t>turleamb:</t>
        </r>
        <r>
          <rPr>
            <sz val="8"/>
            <color indexed="81"/>
            <rFont val="Tahoma"/>
            <family val="2"/>
          </rPr>
          <t xml:space="preserve">
1/22/14: North American direct sales declined 8% for the quarter with
comparable store sales down 13.6%</t>
        </r>
      </text>
    </comment>
    <comment ref="G66" authorId="2">
      <text>
        <r>
          <rPr>
            <b/>
            <sz val="8"/>
            <color indexed="81"/>
            <rFont val="Tahoma"/>
            <family val="2"/>
          </rPr>
          <t>turleamb:</t>
        </r>
        <r>
          <rPr>
            <sz val="8"/>
            <color indexed="81"/>
            <rFont val="Tahoma"/>
            <family val="2"/>
          </rPr>
          <t xml:space="preserve">
2/5/14 10-Q: Internet has a ~(1)% impact on the comp. Comp decreased sales $135.9m, offset by increase of $44m related to new and expanded stores
</t>
        </r>
      </text>
    </comment>
    <comment ref="J66" authorId="2">
      <text>
        <r>
          <rPr>
            <b/>
            <sz val="8"/>
            <color indexed="81"/>
            <rFont val="Tahoma"/>
            <family val="2"/>
          </rPr>
          <t>turleamb:</t>
        </r>
        <r>
          <rPr>
            <sz val="8"/>
            <color indexed="81"/>
            <rFont val="Tahoma"/>
            <family val="2"/>
          </rPr>
          <t xml:space="preserve">
CC grew 11%</t>
        </r>
      </text>
    </comment>
    <comment ref="N66" authorId="2">
      <text>
        <r>
          <rPr>
            <b/>
            <sz val="8"/>
            <color indexed="81"/>
            <rFont val="Tahoma"/>
            <family val="2"/>
          </rPr>
          <t>turleamb:</t>
        </r>
        <r>
          <rPr>
            <sz val="8"/>
            <color indexed="81"/>
            <rFont val="Tahoma"/>
            <family val="2"/>
          </rPr>
          <t xml:space="preserve">
1/22/14: As expected, China sales rose about 25%, from prior year, fueled by double digit same store sales and distribution growth.</t>
        </r>
      </text>
    </comment>
    <comment ref="O66" authorId="2">
      <text>
        <r>
          <rPr>
            <b/>
            <sz val="8"/>
            <color indexed="81"/>
            <rFont val="Tahoma"/>
            <family val="2"/>
          </rPr>
          <t xml:space="preserve">turleamb:
</t>
        </r>
        <r>
          <rPr>
            <sz val="8"/>
            <color indexed="81"/>
            <rFont val="Tahoma"/>
            <family val="2"/>
          </rPr>
          <t>1/22/14: China +25% and the business is on track to meet annual
guidance of $530 million
assumes a 12% comp and 25% expansion with 75% productivity</t>
        </r>
        <r>
          <rPr>
            <b/>
            <sz val="8"/>
            <color indexed="81"/>
            <rFont val="Tahoma"/>
            <family val="2"/>
          </rPr>
          <t xml:space="preserve">
</t>
        </r>
        <r>
          <rPr>
            <sz val="8"/>
            <color indexed="81"/>
            <rFont val="Tahoma"/>
            <family val="2"/>
          </rPr>
          <t xml:space="preserve">
1/22/13: As noted,
sales in China rose about 25% and the business is on track to meet annual
guidance of $530 million.</t>
        </r>
      </text>
    </comment>
    <comment ref="T66" authorId="2">
      <text>
        <r>
          <rPr>
            <b/>
            <sz val="8"/>
            <color indexed="81"/>
            <rFont val="Tahoma"/>
            <family val="2"/>
          </rPr>
          <t>turleamb:</t>
        </r>
        <r>
          <rPr>
            <sz val="8"/>
            <color indexed="81"/>
            <rFont val="Tahoma"/>
            <family val="2"/>
          </rPr>
          <t xml:space="preserve">
1/22/14: In Japan, we posted a 2% decrease in constant currency, while sales in dollars were down 21%, reflecting the significantly weaker yen</t>
        </r>
      </text>
    </comment>
    <comment ref="U66" authorId="2">
      <text>
        <r>
          <rPr>
            <b/>
            <sz val="8"/>
            <color indexed="81"/>
            <rFont val="Tahoma"/>
            <family val="2"/>
          </rPr>
          <t>turleamb:</t>
        </r>
        <r>
          <rPr>
            <sz val="8"/>
            <color indexed="81"/>
            <rFont val="Tahoma"/>
            <family val="2"/>
          </rPr>
          <t xml:space="preserve">
1/22/14: In Japan, sales declined 2% on a constant-currency
basis, while dollar sales were 21% below the prior year, reflecting the weaker
yen.</t>
        </r>
      </text>
    </comment>
    <comment ref="Y66" authorId="2">
      <text>
        <r>
          <rPr>
            <b/>
            <sz val="8"/>
            <color indexed="81"/>
            <rFont val="Tahoma"/>
            <family val="2"/>
          </rPr>
          <t>turleamb:</t>
        </r>
        <r>
          <rPr>
            <sz val="8"/>
            <color indexed="81"/>
            <rFont val="Tahoma"/>
            <family val="2"/>
          </rPr>
          <t xml:space="preserve">
2/5/14 10-Q: Other Asia produced $9m and Europe $7.5m of growth (pg 27 backed into). 
1/22/14: Our other Asia direct businesses outside of China and Japan, Korea, Taiwan, Malaysia, and Singapore, also posted strong aggregate growth,
increasing at double digit rate for the quarter, with robust comparable store sales. As a reminder, we anniversaried the purchases of our retail operations in Malaysia and Korea during the first quarter so the business is now apples to apples and no longer benefits from wholesale to retail markup. 
In Europe, where our brand is small, but growing rapidly, we generated significant sales growth at POS, and strong comps in the quarter.</t>
        </r>
      </text>
    </comment>
    <comment ref="AQ66" authorId="2">
      <text>
        <r>
          <rPr>
            <b/>
            <sz val="8"/>
            <color indexed="81"/>
            <rFont val="Tahoma"/>
            <family val="2"/>
          </rPr>
          <t>turleamb:</t>
        </r>
        <r>
          <rPr>
            <sz val="8"/>
            <color indexed="81"/>
            <rFont val="Tahoma"/>
            <family val="2"/>
          </rPr>
          <t xml:space="preserve">
2/5/14 10-Q: Gross margin decreased 350 basis points from 67.3% in the second quarter of fiscal 2013 to 63.8% in the second quarter of fiscal 2014. The decrease in gross margin is primarily due to a 180 basis point decline due to increased promotional activity, primarily in our factory channel, and a 130 basis point decline as a result of selling products with a higher average unit cost.</t>
        </r>
      </text>
    </comment>
    <comment ref="AU66" authorId="2">
      <text>
        <r>
          <rPr>
            <b/>
            <sz val="8"/>
            <color indexed="81"/>
            <rFont val="Tahoma"/>
            <family val="2"/>
          </rPr>
          <t>turleamb:</t>
        </r>
        <r>
          <rPr>
            <sz val="8"/>
            <color indexed="81"/>
            <rFont val="Tahoma"/>
            <family val="2"/>
          </rPr>
          <t xml:space="preserve">
2/5/14 10-Q: International Gross Profit decreased $2.1 million to $330.9 million in the second quarter of fiscal 2014. Gross margin decreased 180 basis points from 79.7% in the second quarter of fiscal 2013 to 77.9% in the second quarter of fiscal 2014. The decrease in gross margin is primarily due to negative foreign currency exchange.</t>
        </r>
      </text>
    </comment>
    <comment ref="BE66" authorId="2">
      <text>
        <r>
          <rPr>
            <b/>
            <sz val="8"/>
            <color indexed="81"/>
            <rFont val="Tahoma"/>
            <family val="2"/>
          </rPr>
          <t>turleamb:</t>
        </r>
        <r>
          <rPr>
            <sz val="8"/>
            <color indexed="81"/>
            <rFont val="Tahoma"/>
            <family val="2"/>
          </rPr>
          <t xml:space="preserve">
2/5/14 10-Q: North America Operating Income decreased 15.7% to $404.5 million in the second quarter of fiscal 2014 reflecting the decrease in gross profit of $96.4 million which was offset by lower SG&amp;A expenses of $21.1 million. The decrease in SG&amp;A expenses was primarily related to lower selling costs as a result of lower sales. Operating margin decreased 350 basis points to 41.1% in the second quarter of fiscal 2014 from 44.6% during the same period in the prior year due to lower gross margin.</t>
        </r>
      </text>
    </comment>
    <comment ref="BI66" authorId="2">
      <text>
        <r>
          <rPr>
            <b/>
            <sz val="8"/>
            <color indexed="81"/>
            <rFont val="Tahoma"/>
            <family val="2"/>
          </rPr>
          <t>turleamb:</t>
        </r>
        <r>
          <rPr>
            <sz val="8"/>
            <color indexed="81"/>
            <rFont val="Tahoma"/>
            <family val="2"/>
          </rPr>
          <t xml:space="preserve">
2/5/14 10-Q: International Operating Income decreased 6.5% to $141.1 million primarily reflecting higher SG&amp;A expenses of $7.7 million coupled with the decrease in gross profit of $2.1 million. The increase in SG&amp;A expenses is related to a $14.8 million increase in China and Asia, excluding Japan, related to higher occupancy and employee costs related to new store openings and a $10.3 million increase as a result of the recently acquired Europe business. The increase in SG&amp;A costs were offset by favorable foreign currency effects in Japan of $17.3 million. Operating margin decreased 290 basis points to 33.2% in the second quarter of fiscal 2014 from 36.1% during the same period in the prior year primarily due to lower gross margin of 180 basis points and higher overall selling expenses as a percentage of net sales which increased by 110 basis points.</t>
        </r>
      </text>
    </comment>
    <comment ref="D67" authorId="2">
      <text>
        <r>
          <rPr>
            <b/>
            <sz val="9"/>
            <color indexed="81"/>
            <rFont val="Tahoma"/>
            <family val="2"/>
          </rPr>
          <t>turleamb:</t>
        </r>
        <r>
          <rPr>
            <sz val="9"/>
            <color indexed="81"/>
            <rFont val="Tahoma"/>
            <family val="2"/>
          </rPr>
          <t xml:space="preserve">
4/29/14: North American sales decreased 18% to $648 million from $792 million last year. North American direct sales declined 18% for the quarter with a comparable store sales decrease of 21%. At POS, sales in North American department stores
were slightly below prior year while shipments into this channel declined as planned. 
STRI -16%, NRTI -2%; conversion and transaction size neutral a nd traffic drove comp declines</t>
        </r>
      </text>
    </comment>
    <comment ref="E67" authorId="2">
      <text>
        <r>
          <rPr>
            <b/>
            <sz val="9"/>
            <color indexed="81"/>
            <rFont val="Tahoma"/>
            <family val="2"/>
          </rPr>
          <t>turleamb:</t>
        </r>
        <r>
          <rPr>
            <sz val="9"/>
            <color indexed="81"/>
            <rFont val="Tahoma"/>
            <family val="2"/>
          </rPr>
          <t xml:space="preserve">
4/29/14: North American direct sales declined 18% for the quarter with a comparable
store sales decrease of 21%. At POS, sales in North American department stores
were slightly below prior year while shipments into this channel declined as
planned. 
</t>
        </r>
      </text>
    </comment>
    <comment ref="G67" authorId="2">
      <text>
        <r>
          <rPr>
            <b/>
            <sz val="8"/>
            <color indexed="81"/>
            <rFont val="Tahoma"/>
            <family val="2"/>
          </rPr>
          <t xml:space="preserve">Store comp -18%
turleamb:
</t>
        </r>
        <r>
          <rPr>
            <sz val="8"/>
            <color indexed="81"/>
            <rFont val="Tahoma"/>
            <family val="2"/>
          </rPr>
          <t>4/29/14: Easter shift out of 3Q was ~100 bps and weather was ~200 bps negative impact. 
Internet negatively impacted comps by ~300 bps due to discontinued 3rd party internet events and limited access to e-factory flash sale site. 
1/22/14: guidance similar to 2Q levels for balance of the year, 3Q more difficult compare due to Easter shift
Also, we are forecasting our North America comp run rate to be in the range of our Q2 levels for the balance of the year, with 3Q a more difficult
compare, given the Easter shift.</t>
        </r>
      </text>
    </comment>
    <comment ref="J67" authorId="2">
      <text>
        <r>
          <rPr>
            <b/>
            <sz val="9"/>
            <color indexed="81"/>
            <rFont val="Tahoma"/>
            <family val="2"/>
          </rPr>
          <t>turleamb:</t>
        </r>
        <r>
          <rPr>
            <sz val="9"/>
            <color indexed="81"/>
            <rFont val="Tahoma"/>
            <family val="2"/>
          </rPr>
          <t xml:space="preserve">
CC +20%; Shipments into intl wholesale rose significnatly while underlying POS sales trends remained robust
5/4/14 10-q: re-classified Europe out of Other Sales into Intl. Re-classified Europe sales $3.658 (52% GM and 51% OM)
Weaker yen negatively impacted sales by $21.4m or ~5%</t>
        </r>
      </text>
    </comment>
    <comment ref="K67" authorId="2">
      <text>
        <r>
          <rPr>
            <b/>
            <sz val="9"/>
            <color indexed="81"/>
            <rFont val="Tahoma"/>
            <family val="2"/>
          </rPr>
          <t>turleamb:</t>
        </r>
        <r>
          <rPr>
            <sz val="9"/>
            <color indexed="81"/>
            <rFont val="Tahoma"/>
            <family val="2"/>
          </rPr>
          <t xml:space="preserve">
F/X had about a -5% impact; CC +20%</t>
        </r>
      </text>
    </comment>
    <comment ref="N67" authorId="2">
      <text>
        <r>
          <rPr>
            <b/>
            <sz val="9"/>
            <color indexed="81"/>
            <rFont val="Tahoma"/>
            <family val="2"/>
          </rPr>
          <t>turleamb:</t>
        </r>
        <r>
          <rPr>
            <sz val="9"/>
            <color indexed="81"/>
            <rFont val="Tahoma"/>
            <family val="2"/>
          </rPr>
          <t xml:space="preserve">
4/29/14: As noted,
sales in China rose over 25% and the business is now on course to deliver sales
of over $540 million</t>
        </r>
      </text>
    </comment>
    <comment ref="O67" authorId="2">
      <text>
        <r>
          <rPr>
            <b/>
            <sz val="9"/>
            <color indexed="81"/>
            <rFont val="Tahoma"/>
            <family val="2"/>
          </rPr>
          <t>turleamb:</t>
        </r>
        <r>
          <rPr>
            <sz val="9"/>
            <color indexed="81"/>
            <rFont val="Tahoma"/>
            <family val="2"/>
          </rPr>
          <t xml:space="preserve">
China total sales grew over 25%; fueled by SSS and distribution market. </t>
        </r>
      </text>
    </comment>
    <comment ref="T67" authorId="2">
      <text>
        <r>
          <rPr>
            <b/>
            <sz val="9"/>
            <color indexed="81"/>
            <rFont val="Tahoma"/>
            <family val="2"/>
          </rPr>
          <t>turleamb:</t>
        </r>
        <r>
          <rPr>
            <sz val="9"/>
            <color indexed="81"/>
            <rFont val="Tahoma"/>
            <family val="2"/>
          </rPr>
          <t xml:space="preserve">
after we adjust for a 12% F/X impact under the assmuption that underlying JPY sales -2% CC, imply $160m in 3Q sales ex-April consumption tax demand pull forward, adding $14.2m to sales</t>
        </r>
      </text>
    </comment>
    <comment ref="U67" authorId="2">
      <text>
        <r>
          <rPr>
            <b/>
            <sz val="9"/>
            <color indexed="81"/>
            <rFont val="Tahoma"/>
            <family val="2"/>
          </rPr>
          <t>turleamb:</t>
        </r>
        <r>
          <rPr>
            <sz val="9"/>
            <color indexed="81"/>
            <rFont val="Tahoma"/>
            <family val="2"/>
          </rPr>
          <t xml:space="preserve">
4/29/14: reflects weaker yen</t>
        </r>
      </text>
    </comment>
    <comment ref="V67" authorId="2">
      <text>
        <r>
          <rPr>
            <b/>
            <sz val="9"/>
            <color indexed="81"/>
            <rFont val="Tahoma"/>
            <family val="2"/>
          </rPr>
          <t>turleamb:</t>
        </r>
        <r>
          <rPr>
            <sz val="9"/>
            <color indexed="81"/>
            <rFont val="Tahoma"/>
            <family val="2"/>
          </rPr>
          <t xml:space="preserve">
4/29/14: pull forward due to Japan tax increase, expect declines in 4Q</t>
        </r>
      </text>
    </comment>
    <comment ref="Y67" authorId="2">
      <text>
        <r>
          <rPr>
            <b/>
            <sz val="9"/>
            <color indexed="81"/>
            <rFont val="Tahoma"/>
            <family val="2"/>
          </rPr>
          <t>turleamb:</t>
        </r>
        <r>
          <rPr>
            <sz val="9"/>
            <color indexed="81"/>
            <rFont val="Tahoma"/>
            <family val="2"/>
          </rPr>
          <t xml:space="preserve">
Increased +DD with SSS gains</t>
        </r>
      </text>
    </comment>
    <comment ref="Z67" authorId="2">
      <text>
        <r>
          <rPr>
            <b/>
            <sz val="9"/>
            <color indexed="81"/>
            <rFont val="Tahoma"/>
            <family val="2"/>
          </rPr>
          <t>turleamb:</t>
        </r>
        <r>
          <rPr>
            <sz val="9"/>
            <color indexed="81"/>
            <rFont val="Tahoma"/>
            <family val="2"/>
          </rPr>
          <t xml:space="preserve">
4/29/14: "Other Asia business outside of China and Japan consisting of Koera, Taiwan, Malaysia and Singapore also posted strong aggregate growth and comp store sales gains</t>
        </r>
      </text>
    </comment>
    <comment ref="AK67" authorId="2">
      <text>
        <r>
          <rPr>
            <b/>
            <sz val="9"/>
            <color indexed="81"/>
            <rFont val="Tahoma"/>
            <family val="2"/>
          </rPr>
          <t>turleamb:</t>
        </r>
        <r>
          <rPr>
            <sz val="9"/>
            <color indexed="81"/>
            <rFont val="Tahoma"/>
            <family val="2"/>
          </rPr>
          <t xml:space="preserve">
NA + Intl = $1089
Total Sales = $1099
Difference (Other)=10.6</t>
        </r>
      </text>
    </comment>
    <comment ref="AN67" authorId="2">
      <text>
        <r>
          <rPr>
            <b/>
            <sz val="9"/>
            <color indexed="81"/>
            <rFont val="Tahoma"/>
            <family val="2"/>
          </rPr>
          <t>turleamb:</t>
        </r>
        <r>
          <rPr>
            <sz val="9"/>
            <color indexed="81"/>
            <rFont val="Tahoma"/>
            <family val="2"/>
          </rPr>
          <t xml:space="preserve">
4/29/14: Impacted by decision to discontinue 3rd party flash events and limit access to flash factory sales. Exlcuding these factors internet comp would have contributed to aggregate performance" (NA comparable store sales in FY12 were ~$2.6B). Internet contributed 9% or $234.7m</t>
        </r>
      </text>
    </comment>
    <comment ref="AQ67" authorId="2">
      <text>
        <r>
          <rPr>
            <b/>
            <sz val="9"/>
            <color indexed="81"/>
            <rFont val="Tahoma"/>
            <family val="2"/>
          </rPr>
          <t>turleamb:</t>
        </r>
        <r>
          <rPr>
            <sz val="9"/>
            <color indexed="81"/>
            <rFont val="Tahoma"/>
            <family val="2"/>
          </rPr>
          <t xml:space="preserve">
5/6/14 10-Q: The decrease in gross margin is primarily due to increased promotional activity in our factory channel.</t>
        </r>
      </text>
    </comment>
    <comment ref="AS67" authorId="2">
      <text>
        <r>
          <rPr>
            <b/>
            <sz val="9"/>
            <color indexed="81"/>
            <rFont val="Tahoma"/>
            <family val="2"/>
          </rPr>
          <t>turleamb:</t>
        </r>
        <r>
          <rPr>
            <sz val="9"/>
            <color indexed="81"/>
            <rFont val="Tahoma"/>
            <family val="2"/>
          </rPr>
          <t xml:space="preserve">
5/6/14 10-Q:  For the quarter ended March 30, 2013, these amounts are net sales of $3,658, gross profit of $1,887, operating income of $1,858, and income before provision for income taxes of $1,858. For the nine months ended March 30, 2013, amounts reclassified are net sales of $15,845, gross profit of $7,657, operating income of $7,738, and income before provision for income taxes of $7,738.</t>
        </r>
      </text>
    </comment>
    <comment ref="AU67" authorId="2">
      <text>
        <r>
          <rPr>
            <b/>
            <sz val="9"/>
            <color indexed="81"/>
            <rFont val="Tahoma"/>
            <family val="2"/>
          </rPr>
          <t>turleamb:</t>
        </r>
        <r>
          <rPr>
            <sz val="9"/>
            <color indexed="81"/>
            <rFont val="Tahoma"/>
            <family val="2"/>
          </rPr>
          <t xml:space="preserve">
re-classified Europe out of Other and into Intl
5/6/14 10-Q: The decrease in gross margin is primarily due to the negative translation effect of changes in foreign currency. Other factors negatively impacting gross margin were increased promotions, selling products with a higher average unit cost, as well as increased penetration of our broadened lifestyle categories which were offset by the absence of higher cost inventory related to our prior year acquisitions.</t>
        </r>
      </text>
    </comment>
    <comment ref="BG67" authorId="2">
      <text>
        <r>
          <rPr>
            <b/>
            <sz val="9"/>
            <color indexed="81"/>
            <rFont val="Tahoma"/>
            <family val="2"/>
          </rPr>
          <t>turleamb:</t>
        </r>
        <r>
          <rPr>
            <sz val="9"/>
            <color indexed="81"/>
            <rFont val="Tahoma"/>
            <family val="2"/>
          </rPr>
          <t xml:space="preserve">
5/6/14 10-Q: The decrease in SG&amp;A expenses was primarily related to lower variable selling costs as a result of lower sales and the absence of costs in the third quarter of fiscal 2014 related to the divestiture of the Reed Krakoff business. </t>
        </r>
      </text>
    </comment>
    <comment ref="BI67" authorId="2">
      <text>
        <r>
          <rPr>
            <b/>
            <sz val="9"/>
            <color indexed="81"/>
            <rFont val="Tahoma"/>
            <family val="2"/>
          </rPr>
          <t>turleamb:</t>
        </r>
        <r>
          <rPr>
            <sz val="9"/>
            <color indexed="81"/>
            <rFont val="Tahoma"/>
            <family val="2"/>
          </rPr>
          <t xml:space="preserve">
5/6/14 10-Q: For the quarter ended March 30, 2013, these amounts are net sales of $3,658, gross profit of $1,887, operating income of $1,858, and income before provision for income taxes of $1,858. For the nine months ended March 30, 2013, amounts reclassified are net sales of $15,845, gross profit of $7,657, operating income of $7,738, and income before provision for income taxes of $7,738.</t>
        </r>
      </text>
    </comment>
    <comment ref="BK67" authorId="2">
      <text>
        <r>
          <rPr>
            <b/>
            <sz val="9"/>
            <color indexed="81"/>
            <rFont val="Tahoma"/>
            <family val="2"/>
          </rPr>
          <t>turleamb:</t>
        </r>
        <r>
          <rPr>
            <sz val="9"/>
            <color indexed="81"/>
            <rFont val="Tahoma"/>
            <family val="2"/>
          </rPr>
          <t xml:space="preserve">
5/6/14 10-Q: International Operating Income increased 7.9% to $163.6 million primarily reflecting higher gross profit of $36.4 million offset by higher SG&amp;A expenses of $24.4 million. The increase in SG&amp;A expenses is related to a $14.6 million increase in China and Asia, excluding Japan, related to higher occupancy and employee costs related to new store openings and a $12.9 million increase as a result of the recently acquired Europe business. The increase in SG&amp;A costs were offset by favorable foreign currency effects in Japan of $7.2 million. Operating margin decreased 230 basis points to 37.1% in the third quarter of fiscal 2014 from 39.4% during the same period in the prior year primarily due to lower gross margin of 190 basis points and higher overall selling expenses as a percentage of net sales which increased by 40 basis points.</t>
        </r>
      </text>
    </comment>
    <comment ref="BU67" authorId="1">
      <text>
        <r>
          <rPr>
            <b/>
            <sz val="9"/>
            <color indexed="81"/>
            <rFont val="Tahoma"/>
            <family val="2"/>
          </rPr>
          <t>casselau:</t>
        </r>
        <r>
          <rPr>
            <sz val="9"/>
            <color indexed="81"/>
            <rFont val="Tahoma"/>
            <family val="2"/>
          </rPr>
          <t xml:space="preserve">
Corporate Unallocated Operating Expense decreased $6.7 million to $128.7 million, a decrease of 4.9%. The decrease in Corporate Unallocated expense was primarily related to lower administrative costs of $17.8 million, largely due to lower performance-related compensation expense, offset by less favorable production variances, particularly for labor, of $8.4 million.</t>
        </r>
      </text>
    </comment>
    <comment ref="E68" authorId="0">
      <text>
        <r>
          <rPr>
            <b/>
            <sz val="9"/>
            <color indexed="81"/>
            <rFont val="Tahoma"/>
            <family val="2"/>
          </rPr>
          <t>Turley, Amber (Research):</t>
        </r>
        <r>
          <rPr>
            <sz val="9"/>
            <color indexed="81"/>
            <rFont val="Tahoma"/>
            <family val="2"/>
          </rPr>
          <t xml:space="preserve">
8/5/14: NA Direct declined 15%</t>
        </r>
      </text>
    </comment>
    <comment ref="G68" authorId="2">
      <text>
        <r>
          <rPr>
            <b/>
            <sz val="8"/>
            <color indexed="81"/>
            <rFont val="Tahoma"/>
            <family val="2"/>
          </rPr>
          <t>Store comp -14%
turleamb:</t>
        </r>
        <r>
          <rPr>
            <sz val="8"/>
            <color indexed="81"/>
            <rFont val="Tahoma"/>
            <family val="2"/>
          </rPr>
          <t xml:space="preserve">
8/4/14: Internet comp was a drag on total comp by 300 bps (due to reduction of eOS) and traffic was the main driver of the negative comp.Excluding the elimination of third pasrty flash sites and limited access to factory online website, Internet would have contributed to comp. Based upon our estimates for NA Direct, this would be ~$90m impact. 
4/29/14: guidance: NA comps in the range of 3Q run rate. Note 3Q Easter shift hurt 3Q ~100 bps and weather impact hurt 3Q ~200 bps
1/22/14: </t>
        </r>
        <r>
          <rPr>
            <b/>
            <sz val="8"/>
            <color indexed="81"/>
            <rFont val="Tahoma"/>
            <family val="2"/>
          </rPr>
          <t xml:space="preserve">guidance similar to 2Q levels for balance of the year, 3Q more difficult compare due to Easter shift
</t>
        </r>
        <r>
          <rPr>
            <sz val="8"/>
            <color indexed="81"/>
            <rFont val="Tahoma"/>
            <family val="2"/>
          </rPr>
          <t>Also, we are forecasting our North America comp run rate to be in the range of our Q2 levels for the balance of the year, with 3Q a more difficult
compare, given the Easter shift.</t>
        </r>
      </text>
    </comment>
    <comment ref="J68" authorId="0">
      <text>
        <r>
          <rPr>
            <b/>
            <sz val="9"/>
            <color indexed="81"/>
            <rFont val="Tahoma"/>
            <family val="2"/>
          </rPr>
          <t>Turley, Amber (Research):</t>
        </r>
        <r>
          <rPr>
            <sz val="9"/>
            <color indexed="81"/>
            <rFont val="Tahoma"/>
            <family val="2"/>
          </rPr>
          <t xml:space="preserve">
8/5/14: Shipments to intl declined while POS sales rose</t>
        </r>
      </text>
    </comment>
    <comment ref="K68" authorId="0">
      <text>
        <r>
          <rPr>
            <b/>
            <sz val="9"/>
            <color indexed="81"/>
            <rFont val="Tahoma"/>
            <family val="2"/>
          </rPr>
          <t>Turley, Amber (Research):</t>
        </r>
        <r>
          <rPr>
            <sz val="9"/>
            <color indexed="81"/>
            <rFont val="Tahoma"/>
            <family val="2"/>
          </rPr>
          <t xml:space="preserve">
CC +9%</t>
        </r>
      </text>
    </comment>
    <comment ref="N68" authorId="0">
      <text>
        <r>
          <rPr>
            <b/>
            <sz val="9"/>
            <color indexed="81"/>
            <rFont val="Tahoma"/>
            <family val="2"/>
          </rPr>
          <t>Turley, Amber (Research):</t>
        </r>
        <r>
          <rPr>
            <sz val="9"/>
            <color indexed="81"/>
            <rFont val="Tahoma"/>
            <family val="2"/>
          </rPr>
          <t xml:space="preserve">
8/5/14 transcript: mens and womens lifestyle products ~1/3 of China sales</t>
        </r>
      </text>
    </comment>
    <comment ref="T68" authorId="2">
      <text>
        <r>
          <rPr>
            <b/>
            <sz val="9"/>
            <color indexed="81"/>
            <rFont val="Tahoma"/>
            <family val="2"/>
          </rPr>
          <t>turleamb:</t>
        </r>
        <r>
          <rPr>
            <sz val="9"/>
            <color indexed="81"/>
            <rFont val="Tahoma"/>
            <family val="2"/>
          </rPr>
          <t xml:space="preserve">
assumes reversal of $14.2m gained in 3Q from JPY April consumption tax pulling demand forward. We assume the underlying sales trend would have been -2% CC and 5% weaker Yen Apri-Jun 2013 (ex tax impact reversal). Then subtract out $14.2m Japan tax reversal. 
</t>
        </r>
      </text>
    </comment>
    <comment ref="U68" authorId="0">
      <text>
        <r>
          <rPr>
            <b/>
            <sz val="9"/>
            <color indexed="81"/>
            <rFont val="Tahoma"/>
            <family val="2"/>
          </rPr>
          <t>Turley, Amber (Research):</t>
        </r>
        <r>
          <rPr>
            <sz val="9"/>
            <color indexed="81"/>
            <rFont val="Tahoma"/>
            <family val="2"/>
          </rPr>
          <t xml:space="preserve">
weaker yen</t>
        </r>
      </text>
    </comment>
    <comment ref="V68" authorId="2">
      <text>
        <r>
          <rPr>
            <b/>
            <sz val="9"/>
            <color indexed="81"/>
            <rFont val="Tahoma"/>
            <family val="2"/>
          </rPr>
          <t>turleamb:</t>
        </r>
        <r>
          <rPr>
            <sz val="9"/>
            <color indexed="81"/>
            <rFont val="Tahoma"/>
            <family val="2"/>
          </rPr>
          <t xml:space="preserve">
8/5/14: Japan -6% in CC (tax hike pull forward didn't fully reverse)
4/29/14:  3Q posted 10% increase in CC due in large part ot pull forward in demand related to April consumption tax increase. Expect a reversal in 4Q of ~ equal size bringing annual sales in line with 1H trends. </t>
        </r>
      </text>
    </comment>
    <comment ref="Y68" authorId="0">
      <text>
        <r>
          <rPr>
            <b/>
            <sz val="9"/>
            <color indexed="81"/>
            <rFont val="Tahoma"/>
            <family val="2"/>
          </rPr>
          <t>Turley, Amber (Research):</t>
        </r>
        <r>
          <rPr>
            <sz val="9"/>
            <color indexed="81"/>
            <rFont val="Tahoma"/>
            <family val="2"/>
          </rPr>
          <t xml:space="preserve">
8/7/14: Europe sales just over $60m. </t>
        </r>
      </text>
    </comment>
    <comment ref="AK68" authorId="0">
      <text>
        <r>
          <rPr>
            <b/>
            <sz val="9"/>
            <color indexed="81"/>
            <rFont val="Tahoma"/>
            <family val="2"/>
          </rPr>
          <t>Turley, Amber (Research):</t>
        </r>
        <r>
          <rPr>
            <sz val="9"/>
            <color indexed="81"/>
            <rFont val="Tahoma"/>
            <family val="2"/>
          </rPr>
          <t xml:space="preserve">
NA+Intl =$1,105
Total Sales = $1,136.2
Difference (Other)=$31.2m</t>
        </r>
      </text>
    </comment>
    <comment ref="G69" authorId="9">
      <text>
        <r>
          <rPr>
            <sz val="8"/>
            <color indexed="81"/>
            <rFont val="Tahoma"/>
            <family val="2"/>
          </rPr>
          <t>8/16/14 10-K: lower wholesale sales of $26.1 million due to lower shipments. The Internet business had a negative impact, of over 1%, on comparable store sales which is attributable to the Company's decision to eliminate third-party Internet events and to limit access to our outlet Internet sales site.Driven by lower traffic to stores
10/22/14: "forecasting our North America comp run rate to be down high single digits for the balance of FY 14."
7/30/2013 CFO - "we are not building an improvement from the negative low-single-digit Q4 North American comp run rate into our FY14 plans at this time"</t>
        </r>
      </text>
    </comment>
    <comment ref="J69" authorId="0">
      <text>
        <r>
          <rPr>
            <b/>
            <sz val="9"/>
            <color indexed="81"/>
            <rFont val="Tahoma"/>
            <family val="2"/>
          </rPr>
          <t>Turley, Amber (Research):</t>
        </r>
        <r>
          <rPr>
            <sz val="9"/>
            <color indexed="81"/>
            <rFont val="Tahoma"/>
            <family val="2"/>
          </rPr>
          <t xml:space="preserve">
10-K: F/X (primarily weaker Yen) negatively impacted intl revenue by $105m. Europe JV acquisition positively impacted intl sales by $40.5m</t>
        </r>
      </text>
    </comment>
    <comment ref="K69" authorId="0">
      <text>
        <r>
          <rPr>
            <b/>
            <sz val="9"/>
            <color indexed="81"/>
            <rFont val="Tahoma"/>
            <family val="2"/>
          </rPr>
          <t>Turley, Amber (Research):</t>
        </r>
        <r>
          <rPr>
            <sz val="9"/>
            <color indexed="81"/>
            <rFont val="Tahoma"/>
            <family val="2"/>
          </rPr>
          <t xml:space="preserve">
8/5/14: CC +9%</t>
        </r>
      </text>
    </comment>
    <comment ref="N69" authorId="2">
      <text>
        <r>
          <rPr>
            <b/>
            <sz val="8"/>
            <color indexed="81"/>
            <rFont val="Tahoma"/>
            <family val="2"/>
          </rPr>
          <t>~$545M
turleamb:</t>
        </r>
        <r>
          <rPr>
            <sz val="8"/>
            <color indexed="81"/>
            <rFont val="Tahoma"/>
            <family val="2"/>
          </rPr>
          <t xml:space="preserve">
4/29/14: raised guidance: "on course to deliver sales of over $540m"
1/22/14: reiterate $530m guidance
10/22/13: expect $530m in sales driven by distribution and DD comps</t>
        </r>
      </text>
    </comment>
    <comment ref="V69" authorId="1">
      <text>
        <r>
          <rPr>
            <b/>
            <sz val="9"/>
            <color indexed="81"/>
            <rFont val="Tahoma"/>
            <family val="2"/>
          </rPr>
          <t>casselau:</t>
        </r>
        <r>
          <rPr>
            <sz val="9"/>
            <color indexed="81"/>
            <rFont val="Tahoma"/>
            <family val="2"/>
          </rPr>
          <t xml:space="preserve">
In Japan, sales were equal to prior year on a constant currency basis, while dollar sales declined 14%, reflecting the weaker yen.</t>
        </r>
      </text>
    </comment>
    <comment ref="Y69" authorId="2">
      <text>
        <r>
          <rPr>
            <b/>
            <sz val="8"/>
            <color indexed="81"/>
            <rFont val="Tahoma"/>
            <family val="2"/>
          </rPr>
          <t xml:space="preserve">casselau: </t>
        </r>
        <r>
          <rPr>
            <sz val="8"/>
            <color indexed="81"/>
            <rFont val="Tahoma"/>
            <family val="2"/>
          </rPr>
          <t>Per Kelly Kim: 2014 Korea sales were USD19mn (vs. USD14mn in 2013) and EBIT was USD2mn (vs. USD1mn below in 2013)</t>
        </r>
        <r>
          <rPr>
            <b/>
            <sz val="8"/>
            <color indexed="81"/>
            <rFont val="Tahoma"/>
            <family val="2"/>
          </rPr>
          <t xml:space="preserve">
turleamb:</t>
        </r>
        <r>
          <rPr>
            <sz val="8"/>
            <color indexed="81"/>
            <rFont val="Tahoma"/>
            <family val="2"/>
          </rPr>
          <t xml:space="preserve">
10/28/14: Europe was $60M in FY14
10/22/13: "Expect to open a few stores in Other Asia, our primary focus remains productivity"</t>
        </r>
      </text>
    </comment>
    <comment ref="AK69" authorId="0">
      <text>
        <r>
          <rPr>
            <b/>
            <sz val="9"/>
            <color indexed="81"/>
            <rFont val="Tahoma"/>
            <family val="2"/>
          </rPr>
          <t>Turley, Amber (Research):</t>
        </r>
        <r>
          <rPr>
            <sz val="9"/>
            <color indexed="81"/>
            <rFont val="Tahoma"/>
            <family val="2"/>
          </rPr>
          <t xml:space="preserve">
8/16/14 10-K: licensing revenue was $27.9m</t>
        </r>
      </text>
    </comment>
    <comment ref="AQ69" authorId="0">
      <text>
        <r>
          <rPr>
            <b/>
            <sz val="9"/>
            <color indexed="81"/>
            <rFont val="Tahoma"/>
            <family val="2"/>
          </rPr>
          <t>Turley, Amber (Research):</t>
        </r>
        <r>
          <rPr>
            <sz val="9"/>
            <color indexed="81"/>
            <rFont val="Tahoma"/>
            <family val="2"/>
          </rPr>
          <t xml:space="preserve">
10-K: due to 210 bps decline ($65.3m) due to lower merch margin (increased promotional activity, primarily in the outlet channel) and a 70 bps ($21.8m) decline due to selling products with higher AUC as well as increased penetration of broadened lifestyle categories. </t>
        </r>
      </text>
    </comment>
    <comment ref="AU69" authorId="0">
      <text>
        <r>
          <rPr>
            <b/>
            <sz val="9"/>
            <color indexed="81"/>
            <rFont val="Tahoma"/>
            <family val="2"/>
          </rPr>
          <t>Turley, Amber (Research):</t>
        </r>
        <r>
          <rPr>
            <sz val="9"/>
            <color indexed="81"/>
            <rFont val="Tahoma"/>
            <family val="2"/>
          </rPr>
          <t xml:space="preserve">
decrease in GM primarily due to negative translation of F/X (most due to weaker Yen). Other contributin factors include increased promotions, selling products with a higher AUC as well as decreased penetration of broadened lifestyle categories, partially offset by lower step up of inventory as part of the purchase accounting related to acquisitions. </t>
        </r>
      </text>
    </comment>
    <comment ref="BA69" authorId="0">
      <text>
        <r>
          <rPr>
            <b/>
            <sz val="9"/>
            <color indexed="81"/>
            <rFont val="Tahoma"/>
            <family val="2"/>
          </rPr>
          <t>Turley, Amber (Research):</t>
        </r>
        <r>
          <rPr>
            <sz val="9"/>
            <color indexed="81"/>
            <rFont val="Tahoma"/>
            <family val="2"/>
          </rPr>
          <t xml:space="preserve">
10-K: this excludes the $82.2m in inventory write offs that were taken in 4Q and bucketed in corporate unallocated. </t>
        </r>
      </text>
    </comment>
    <comment ref="BI69" authorId="0">
      <text>
        <r>
          <rPr>
            <b/>
            <sz val="9"/>
            <color indexed="81"/>
            <rFont val="Tahoma"/>
            <family val="2"/>
          </rPr>
          <t>Turley, Amber (Research):</t>
        </r>
        <r>
          <rPr>
            <sz val="9"/>
            <color indexed="81"/>
            <rFont val="Tahoma"/>
            <family val="2"/>
          </rPr>
          <t xml:space="preserve">
10-K (pg 32): $53.7m increase in China dn Asia ex Japan related to higher occupancy and employee costs associated with new store openings and $45.8m increase as a result of recently acquired Europe JV</t>
        </r>
      </text>
    </comment>
    <comment ref="BU69" authorId="1">
      <text>
        <r>
          <rPr>
            <b/>
            <sz val="9"/>
            <color indexed="81"/>
            <rFont val="Tahoma"/>
            <family val="2"/>
          </rPr>
          <t>casselau:</t>
        </r>
        <r>
          <rPr>
            <sz val="9"/>
            <color indexed="81"/>
            <rFont val="Tahoma"/>
            <family val="2"/>
          </rPr>
          <t xml:space="preserve">
Corporate Unallocated Operating Expense increased $86.2 million to $633.9 million, an increase of 15.7%. This increase was primarily attributable higher charges incurred by the Company in fiscal 2014 as part its Transformation Plan. Excluding items affecting comparability, unallocated operating expenses increased by 1.6% or $7.9 million to $502.4 million from $494.5 million. </t>
        </r>
      </text>
    </comment>
    <comment ref="D72" authorId="0">
      <text>
        <r>
          <rPr>
            <b/>
            <sz val="9"/>
            <color indexed="81"/>
            <rFont val="Tahoma"/>
            <family val="2"/>
          </rPr>
          <t>Turley, Amber (Research):</t>
        </r>
        <r>
          <rPr>
            <sz val="9"/>
            <color indexed="81"/>
            <rFont val="Tahoma"/>
            <family val="2"/>
          </rPr>
          <t xml:space="preserve">
10-q: North America Net Sales decreased 18.6% or $144.6 million to $633.7 million. This decrease was primarily driven by lower comparable store sales of $170.4 million or 24% largely due to lower traffic. The Internet business had a negative impact, of approximately 5%, on comparable store sales which is attributable to the Company's decision to limit access to our outlet Internet sales site. This decrease was partially offset by an increase of $24.4 million related to net sales generated by new store openings which were partially offset by the absence of net sales for those stores that have closed since the first quarter of fiscal 2014. Since the end of the first quarter of fiscal 2014, Coach opened a net 13 outlet stores, including the closure of two Men’s outlet stores, and closed a net 21 retail stores</t>
        </r>
      </text>
    </comment>
    <comment ref="E72" authorId="0">
      <text>
        <r>
          <rPr>
            <b/>
            <sz val="9"/>
            <color indexed="81"/>
            <rFont val="Tahoma"/>
            <family val="2"/>
          </rPr>
          <t>Turley, Amber (Research):</t>
        </r>
        <r>
          <rPr>
            <sz val="9"/>
            <color indexed="81"/>
            <rFont val="Tahoma"/>
            <family val="2"/>
          </rPr>
          <t xml:space="preserve">
10/28/14: Total North American sales decreased 19%, to $634 million from $778 million
last year. North American direct sales declined similarly for the quarter with
comparable store sales down 24% including the impact of reduced eOutlet events,
which pressured total comparable stores sales</t>
        </r>
      </text>
    </comment>
    <comment ref="G72" authorId="0">
      <text>
        <r>
          <rPr>
            <b/>
            <sz val="9"/>
            <color indexed="81"/>
            <rFont val="Tahoma"/>
            <family val="2"/>
          </rPr>
          <t>Store comp -19%
Turley, Amber (Research):</t>
        </r>
        <r>
          <rPr>
            <sz val="9"/>
            <color indexed="81"/>
            <rFont val="Tahoma"/>
            <family val="2"/>
          </rPr>
          <t xml:space="preserve">
10/28/14: reduction of eOS negatively impacted comp 500 bps; curtailed preferred customer events impacting conversion and traffic trends remained weak y/y. AUR rose as did avg transcation size.. Outlets definitely more promotional environment with their competitive set becoming even more aggressive. Outlet traffic levels were weak and conversion was negative while ticket up slgitly. 
10/28/14: North American direct sales declined similarly for the quarter with
comparable store sales down 24% including the impact of reduced eOutlet events,
which pressured total comparable stores sales. As expected, at POS, sales in
North American department stores declined at a mid-teens rate versus prior year,
while shipments into department stores declined to a lesser degree. 
per IR 8/5/14: 1Q should be the worst b/c of the eOS pull back and no new product until end of 1Q then maybe somewhat better for remainder of the year. </t>
        </r>
      </text>
    </comment>
    <comment ref="J72" authorId="0">
      <text>
        <r>
          <rPr>
            <b/>
            <sz val="9"/>
            <color indexed="81"/>
            <rFont val="Tahoma"/>
            <family val="2"/>
          </rPr>
          <t>Turley, Amber (Research):</t>
        </r>
        <r>
          <rPr>
            <sz val="9"/>
            <color indexed="81"/>
            <rFont val="Tahoma"/>
            <family val="2"/>
          </rPr>
          <t xml:space="preserve">
10-q: International Net Sales increased 4.4% or $16.0 million to $381.0 million. Excluding the unfavorable impact of foreign currency, primarily due to the Japanese yen, net sales increased $21.7 million or 5.9%. The $21.7 million increase in net sales was primarily due to low double digit growth in China reflecting an increase of $12.1 million primarily due to net new stores, an increase of $10.2 million related to the expansion of our business in Europe and an increase of $6.9 million in our international wholesale business due to higher shipments. These increases were partially offset by a decrease in net sales in Japan of $10.0 million due to lower traffic. Since the end of the first quarter of fiscal 2014, we opened 29 net new stores, with 26 net new stores in mainland China, Hong Kong and Macau and Japan, and three net new stores in the other regions</t>
        </r>
      </text>
    </comment>
    <comment ref="K72" authorId="0">
      <text>
        <r>
          <rPr>
            <b/>
            <sz val="9"/>
            <color indexed="81"/>
            <rFont val="Tahoma"/>
            <family val="2"/>
          </rPr>
          <t>Turley, Amber (Research):</t>
        </r>
        <r>
          <rPr>
            <sz val="9"/>
            <color indexed="81"/>
            <rFont val="Tahoma"/>
            <family val="2"/>
          </rPr>
          <t xml:space="preserve">
10/28/14: +6% CC</t>
        </r>
      </text>
    </comment>
    <comment ref="O72" authorId="0">
      <text>
        <r>
          <rPr>
            <b/>
            <sz val="9"/>
            <color indexed="81"/>
            <rFont val="Tahoma"/>
            <family val="2"/>
          </rPr>
          <t>Turley, Amber (Research):</t>
        </r>
        <r>
          <rPr>
            <sz val="9"/>
            <color indexed="81"/>
            <rFont val="Tahoma"/>
            <family val="2"/>
          </rPr>
          <t xml:space="preserve">
10/28/14: China rose 10% with positive comparable store sales and slower distribution growth</t>
        </r>
      </text>
    </comment>
    <comment ref="P72" authorId="0">
      <text>
        <r>
          <rPr>
            <b/>
            <sz val="9"/>
            <color indexed="81"/>
            <rFont val="Tahoma"/>
            <family val="2"/>
          </rPr>
          <t>Turley, Amber (Research):</t>
        </r>
        <r>
          <rPr>
            <sz val="9"/>
            <color indexed="81"/>
            <rFont val="Tahoma"/>
            <family val="2"/>
          </rPr>
          <t xml:space="preserve">
10/28/14: positive comp store sales</t>
        </r>
      </text>
    </comment>
    <comment ref="U72" authorId="0">
      <text>
        <r>
          <rPr>
            <b/>
            <sz val="9"/>
            <color indexed="81"/>
            <rFont val="Tahoma"/>
            <family val="2"/>
          </rPr>
          <t>Turley, Amber (Research):</t>
        </r>
        <r>
          <rPr>
            <sz val="9"/>
            <color indexed="81"/>
            <rFont val="Tahoma"/>
            <family val="2"/>
          </rPr>
          <t xml:space="preserve">
10/28/14: dollar sales declined 12% reflecting weaker yen. </t>
        </r>
      </text>
    </comment>
    <comment ref="Y72" authorId="1">
      <text>
        <r>
          <rPr>
            <b/>
            <sz val="9"/>
            <color indexed="81"/>
            <rFont val="Tahoma"/>
            <family val="2"/>
          </rPr>
          <t>casselau:</t>
        </r>
        <r>
          <rPr>
            <sz val="9"/>
            <color indexed="81"/>
            <rFont val="Tahoma"/>
            <family val="2"/>
          </rPr>
          <t xml:space="preserve">
Sales for the remaining directly operated businesses in Asia grew modestly, while Europe remained very strong, growing at a double digit pace in both total and comparable store sales. At POS, sales in international wholesale locations increased, while shipments also rose from prior year. </t>
        </r>
      </text>
    </comment>
    <comment ref="AK72" authorId="0">
      <text>
        <r>
          <rPr>
            <b/>
            <sz val="9"/>
            <color indexed="81"/>
            <rFont val="Tahoma"/>
            <family val="2"/>
          </rPr>
          <t>Turley, Amber (Research):</t>
        </r>
        <r>
          <rPr>
            <sz val="9"/>
            <color indexed="81"/>
            <rFont val="Tahoma"/>
            <family val="2"/>
          </rPr>
          <t xml:space="preserve">
NA+Intl =$1,015
Total Sales = $1,038.8
Difference (Other)=$23.8m</t>
        </r>
      </text>
    </comment>
    <comment ref="AQ72" authorId="0">
      <text>
        <r>
          <rPr>
            <b/>
            <sz val="9"/>
            <color indexed="81"/>
            <rFont val="Tahoma"/>
            <family val="2"/>
          </rPr>
          <t>Turley, Amber (Research):</t>
        </r>
        <r>
          <rPr>
            <sz val="9"/>
            <color indexed="81"/>
            <rFont val="Tahoma"/>
            <family val="2"/>
          </rPr>
          <t xml:space="preserve">
10-Q: The decrease in gross margin is due to a 140
basis point decline as a result of increased discount rates in our outlet channel, partially offset by favorable product mix</t>
        </r>
      </text>
    </comment>
    <comment ref="AU72" authorId="0">
      <text>
        <r>
          <rPr>
            <b/>
            <sz val="9"/>
            <color indexed="81"/>
            <rFont val="Tahoma"/>
            <family val="2"/>
          </rPr>
          <t>Turley, Amber (Research):</t>
        </r>
        <r>
          <rPr>
            <sz val="9"/>
            <color indexed="81"/>
            <rFont val="Tahoma"/>
            <family val="2"/>
          </rPr>
          <t xml:space="preserve">
10-Q: The decrease in gross margin is due to the
negative translation effect of changes in foreign currency, primarily associated with fluctuations in the Japanese Yen, selling products with a
higher average unit cost and increased penetration of our broadened lifestyle categories, a less favorable geographic mix of our net sales as well
as increased promotional activity, all of which were partially offset by the lower step-up of inventory as part of the purchase accounting related to
the acquisition of our Europe business in the prior year.</t>
        </r>
      </text>
    </comment>
    <comment ref="BA72" authorId="0">
      <text>
        <r>
          <rPr>
            <b/>
            <sz val="9"/>
            <color indexed="81"/>
            <rFont val="Tahoma"/>
            <family val="2"/>
          </rPr>
          <t>Turley, Amber (Research):</t>
        </r>
        <r>
          <rPr>
            <sz val="9"/>
            <color indexed="81"/>
            <rFont val="Tahoma"/>
            <family val="2"/>
          </rPr>
          <t xml:space="preserve">
10-Q: Excluding items affecting comparability of $4.0 million in the first quarter of fiscal 2015, gross profit decreased by $12.5
million to $4.6 million in first quarter of fiscal 2015, due to less favorable production variances.</t>
        </r>
      </text>
    </comment>
    <comment ref="BG72" authorId="0">
      <text>
        <r>
          <rPr>
            <b/>
            <sz val="9"/>
            <color indexed="81"/>
            <rFont val="Tahoma"/>
            <family val="2"/>
          </rPr>
          <t>Turley, Amber (Research):</t>
        </r>
        <r>
          <rPr>
            <sz val="9"/>
            <color indexed="81"/>
            <rFont val="Tahoma"/>
            <family val="2"/>
          </rPr>
          <t xml:space="preserve">
10-q: North America Operating Income decreased 26.1% or $78.1 million to $221.5 million in the first quarter of fiscal 2015 reflecting the decrease in
gross profit of $102.4 million which was partially offset by lower SG&amp;A expenses of $24.3 million. The decrease in SG&amp;A expenses was due to
lower variable selling costs as a result of lower sales in our North America stores and Internet business. Operating margin decreased 360 basis
points to 34.9% in the first quarter of fiscal 2015 from 38.5% during the same period in the prior year due to higher SG&amp;A expense as a
percentage of net sales of 240 basis points and lower gross margin of 120 basis points</t>
        </r>
      </text>
    </comment>
    <comment ref="BK72" authorId="0">
      <text>
        <r>
          <rPr>
            <b/>
            <sz val="9"/>
            <color indexed="81"/>
            <rFont val="Tahoma"/>
            <family val="2"/>
          </rPr>
          <t>Turley, Amber (Research):</t>
        </r>
        <r>
          <rPr>
            <sz val="9"/>
            <color indexed="81"/>
            <rFont val="Tahoma"/>
            <family val="2"/>
          </rPr>
          <t xml:space="preserve">
10-Q: International Operating Income decreased 9.3% or $12.1 million to $118.0 million in the first quarter of fiscal 2015 primarily reflecting higher
SG&amp;A expenses of $14.9 million partially offset by higher gross profit of $2.8 million. The increase in SG&amp;A expenses is related to a $10.4
million increase in China and Asia, excluding Japan, related to new store openings and a $7.6 million increase in Europe to support growth in the
business. The increase in SG&amp;A costs were partially offset by foreign currency effects in Japan of $3.2 million. Operating margin decreased 460
basis points to 31.0% in fiscal 2014 from 35.6% during the same period in the prior year primarily due to lower gross margin of 270 basis points
and higher overall selling expenses as a percentage of net sales which increased by 190 basis points.</t>
        </r>
      </text>
    </comment>
    <comment ref="BU72" authorId="1">
      <text>
        <r>
          <rPr>
            <b/>
            <sz val="9"/>
            <color indexed="81"/>
            <rFont val="Tahoma"/>
            <family val="2"/>
          </rPr>
          <t>casselau:</t>
        </r>
        <r>
          <rPr>
            <sz val="9"/>
            <color indexed="81"/>
            <rFont val="Tahoma"/>
            <family val="2"/>
          </rPr>
          <t xml:space="preserve">
Corporate Unallocated Operating Expense increased $55.3 million to $169.0 million in the first quarter of fiscal 2015, an increase of 48.7% from $113.7 million in the first quarter of fiscal 2014. This increase was primarily attributable to charges incurred by the Company in the first quarter of fiscal 2015 as part its Transformation Plan. Excluding items affecting comparability, unallocated operating expenses increased by 16.1% or $18.2 million to $131.9 million in the first quarter of fiscal 2015. This increase is primarily related to higher information technology costs and higher equity compensation, which is due to the absence of forfeitures of certain share-based awards, recognized in the first quarter of fiscal 2014, as a result of the departure of certain key executives. </t>
        </r>
      </text>
    </comment>
    <comment ref="E73" authorId="0">
      <text>
        <r>
          <rPr>
            <b/>
            <sz val="9"/>
            <color indexed="81"/>
            <rFont val="Tahoma"/>
            <family val="2"/>
          </rPr>
          <t>Turley, Amber (Research):</t>
        </r>
        <r>
          <rPr>
            <sz val="9"/>
            <color indexed="81"/>
            <rFont val="Tahoma"/>
            <family val="2"/>
          </rPr>
          <t xml:space="preserve">
1/29/15: North American direct sales declined similarly for the
quarter with comparable store sales down 22% including the impact of reduced
eOutlet events, which pressured total comparable stores sales by about six
points.</t>
        </r>
      </text>
    </comment>
    <comment ref="G73" authorId="0">
      <text>
        <r>
          <rPr>
            <b/>
            <sz val="9"/>
            <color indexed="81"/>
            <rFont val="Tahoma"/>
            <family val="2"/>
          </rPr>
          <t>Store comp -16%
Turley, Amber (Research):</t>
        </r>
        <r>
          <rPr>
            <sz val="9"/>
            <color indexed="81"/>
            <rFont val="Tahoma"/>
            <family val="2"/>
          </rPr>
          <t xml:space="preserve">
1/29/15: North American direct sales declined similarly for the
quarter with comparable store sales down 22% including the impact of reduced
eOutlet events, which pressured total comparable stores sales by about six
points.
10/28/14: "Over the year we expect our store comp trend to improve, as new product penetration grows across both channels, more stores are replatformed,
and marketing intensifies. However, our internet comp will worsen as we further curtail events."</t>
        </r>
      </text>
    </comment>
    <comment ref="K73" authorId="0">
      <text>
        <r>
          <rPr>
            <b/>
            <sz val="9"/>
            <color indexed="81"/>
            <rFont val="Tahoma"/>
            <family val="2"/>
          </rPr>
          <t>Turley, Amber (Research):</t>
        </r>
        <r>
          <rPr>
            <sz val="9"/>
            <color indexed="81"/>
            <rFont val="Tahoma"/>
            <family val="2"/>
          </rPr>
          <t xml:space="preserve">
1/29/15: +5% CC as expected</t>
        </r>
      </text>
    </comment>
    <comment ref="O73" authorId="0">
      <text>
        <r>
          <rPr>
            <b/>
            <sz val="9"/>
            <color indexed="81"/>
            <rFont val="Tahoma"/>
            <family val="2"/>
          </rPr>
          <t>Turley, Amber (Research):</t>
        </r>
        <r>
          <rPr>
            <sz val="9"/>
            <color indexed="81"/>
            <rFont val="Tahoma"/>
            <family val="2"/>
          </rPr>
          <t xml:space="preserve">
1/29/15: China +13% CC and 12% in dollars with positive comp store sales and slower distribution growth</t>
        </r>
      </text>
    </comment>
    <comment ref="P73" authorId="0">
      <text>
        <r>
          <rPr>
            <b/>
            <sz val="9"/>
            <color indexed="81"/>
            <rFont val="Tahoma"/>
            <family val="2"/>
          </rPr>
          <t>Turley, Amber (Research):</t>
        </r>
        <r>
          <rPr>
            <sz val="9"/>
            <color indexed="81"/>
            <rFont val="Tahoma"/>
            <family val="2"/>
          </rPr>
          <t xml:space="preserve">
1/29/15: Sales in China rose 13% on a constant currency basis and 12% in dollars with
positive comparable store sales and slower distribution growth</t>
        </r>
      </text>
    </comment>
    <comment ref="U73" authorId="0">
      <text>
        <r>
          <rPr>
            <b/>
            <sz val="9"/>
            <color indexed="81"/>
            <rFont val="Tahoma"/>
            <family val="2"/>
          </rPr>
          <t>Turley, Amber (Research):</t>
        </r>
        <r>
          <rPr>
            <sz val="9"/>
            <color indexed="81"/>
            <rFont val="Tahoma"/>
            <family val="2"/>
          </rPr>
          <t xml:space="preserve">
1/29/15: In Japan, sales
declined 7% on a constant-currency basis, while dollar sales were 18% below the
prior year, reflecting the weaker yen.
Mens total business in 2Q (not just Japan) was approximately flat impacted by the weaker Yen</t>
        </r>
      </text>
    </comment>
    <comment ref="V73" authorId="0">
      <text>
        <r>
          <rPr>
            <b/>
            <sz val="9"/>
            <color indexed="81"/>
            <rFont val="Tahoma"/>
            <family val="2"/>
          </rPr>
          <t>Turley, Amber (Research):</t>
        </r>
        <r>
          <rPr>
            <sz val="9"/>
            <color indexed="81"/>
            <rFont val="Tahoma"/>
            <family val="2"/>
          </rPr>
          <t xml:space="preserve">
1/29/15: In Japan, sales
declined 7% on a constant-currency basis, while dollar sales were 18% below the
prior year, reflecting the weaker yen.</t>
        </r>
      </text>
    </comment>
    <comment ref="Y73" authorId="0">
      <text>
        <r>
          <rPr>
            <b/>
            <sz val="9"/>
            <color indexed="81"/>
            <rFont val="Tahoma"/>
            <family val="2"/>
          </rPr>
          <t>Turley, Amber (Research):</t>
        </r>
        <r>
          <rPr>
            <sz val="9"/>
            <color indexed="81"/>
            <rFont val="Tahoma"/>
            <family val="2"/>
          </rPr>
          <t xml:space="preserve">
1/29/15: Constant currency sales for the remaining
directly operated businesses in Asia grew slightly, while Europe remained
strong, growing at a double digit pace. At POS, sales in international wholesale
locations increased while shipments also rose</t>
        </r>
      </text>
    </comment>
    <comment ref="AK73" authorId="0">
      <text>
        <r>
          <rPr>
            <b/>
            <sz val="9"/>
            <color indexed="81"/>
            <rFont val="Tahoma"/>
            <family val="2"/>
          </rPr>
          <t>Turley, Amber (Research):</t>
        </r>
        <r>
          <rPr>
            <sz val="9"/>
            <color indexed="81"/>
            <rFont val="Tahoma"/>
            <family val="2"/>
          </rPr>
          <t xml:space="preserve">
NA + Intl = $1206
Total Sales = $1219.4
Other (Difference) = $13.4</t>
        </r>
      </text>
    </comment>
    <comment ref="AQ73" authorId="0">
      <text>
        <r>
          <rPr>
            <b/>
            <sz val="9"/>
            <color indexed="81"/>
            <rFont val="Tahoma"/>
            <family val="2"/>
          </rPr>
          <t xml:space="preserve">Turley, Amber (Research):
</t>
        </r>
        <r>
          <rPr>
            <sz val="9"/>
            <color indexed="81"/>
            <rFont val="Tahoma"/>
            <family val="2"/>
          </rPr>
          <t xml:space="preserve">10-Q: The increase in gross margin is due to lower promotional activity contributing to a margin increase of 120 basis points, mainly as a result of the scale-back of promotional events within our outlet Internet sales site, which was mostly offset by a result of sales mix due to the selling of products with a higher average unit cost and increased penetration of our broadened lifestyle categories. </t>
        </r>
        <r>
          <rPr>
            <b/>
            <sz val="9"/>
            <color indexed="81"/>
            <rFont val="Tahoma"/>
            <family val="2"/>
          </rPr>
          <t xml:space="preserve">
</t>
        </r>
        <r>
          <rPr>
            <sz val="9"/>
            <color indexed="81"/>
            <rFont val="Tahoma"/>
            <family val="2"/>
          </rPr>
          <t>MS e: 64% GM or $502.1M GP</t>
        </r>
      </text>
    </comment>
    <comment ref="AU73" authorId="0">
      <text>
        <r>
          <rPr>
            <b/>
            <sz val="9"/>
            <color indexed="81"/>
            <rFont val="Tahoma"/>
            <family val="2"/>
          </rPr>
          <t>Turley, Amber (Research):</t>
        </r>
        <r>
          <rPr>
            <sz val="9"/>
            <color indexed="81"/>
            <rFont val="Tahoma"/>
            <family val="2"/>
          </rPr>
          <t xml:space="preserve">
10-Q: Gross margin decreased 120 basis points from 77.9% in the second quarter of fiscal 2014 to 76.7% in the second quarter of fiscal 2015. The decrease in gross margin is due to increased promotional activity of 110 basis points and to a lesser extent, the negative translation effect of changes in foreign currency, offset by the lower step-up of inventory as part of the purchase accounting related to the acquisition of our Europe business in the prior year.
MS e: 78.5% or $330.1M GP</t>
        </r>
      </text>
    </comment>
    <comment ref="BA73" authorId="1">
      <text>
        <r>
          <rPr>
            <b/>
            <sz val="9"/>
            <color indexed="81"/>
            <rFont val="Tahoma"/>
            <family val="2"/>
          </rPr>
          <t>casselau:</t>
        </r>
        <r>
          <rPr>
            <sz val="9"/>
            <color indexed="81"/>
            <rFont val="Tahoma"/>
            <family val="2"/>
          </rPr>
          <t xml:space="preserve">
Corporate Unallocated Gross Profit decreased $8.6 million from $14.4 million in the second quarter of fiscal 2014 to $5.8 million in the second quarter of fiscal 2015. Excluding items affecting comparability of $1.0 million in the second quarter of fiscal 2015, </t>
        </r>
        <r>
          <rPr>
            <b/>
            <sz val="9"/>
            <color indexed="81"/>
            <rFont val="Tahoma"/>
            <family val="2"/>
          </rPr>
          <t xml:space="preserve">gross profit decreased by $7.6 million to $6.8 million in second quarter of fiscal 2015, due to less favorable production variances. </t>
        </r>
      </text>
    </comment>
    <comment ref="BG73" authorId="0">
      <text>
        <r>
          <rPr>
            <b/>
            <sz val="9"/>
            <color indexed="81"/>
            <rFont val="Tahoma"/>
            <family val="2"/>
          </rPr>
          <t>Turley, Amber (Research):</t>
        </r>
        <r>
          <rPr>
            <sz val="9"/>
            <color indexed="81"/>
            <rFont val="Tahoma"/>
            <family val="2"/>
          </rPr>
          <t xml:space="preserve">
10-Q: decreased 26.8% or $108.2 million to $296.3 million in the second quarter of fiscal 2015 reflecting the decrease in gross profit of $125.5 million which was partially offset by lower SG&amp;A expenses of $17.3 million. The decrease in SG&amp;A expenses was due to lower variable selling costs as a result of lower sales in our North America stores and Internet business. Operating margin decreased 330 basis points to 37.8% in the second quarter of fiscal 2015 from 41.1% during the same period in the prior year due to higher SG&amp;A expense as a percentage of net sales of 350 basis points and lower gross margin of 20 basis points</t>
        </r>
      </text>
    </comment>
    <comment ref="BK73" authorId="0">
      <text>
        <r>
          <rPr>
            <b/>
            <sz val="9"/>
            <color indexed="81"/>
            <rFont val="Tahoma"/>
            <family val="2"/>
          </rPr>
          <t>Turley, Amber (Research):</t>
        </r>
        <r>
          <rPr>
            <sz val="9"/>
            <color indexed="81"/>
            <rFont val="Tahoma"/>
            <family val="2"/>
          </rPr>
          <t xml:space="preserve">
10-Q: decreased 9.0% or $12.7 million to $128.4 million in the second quarter of fiscal 2015 primarily reflecting lower gross profit of $8.5 million and higher SG&amp;A expenses of $4.2 million. The increase in SG&amp;A expenses is related to a $7.6 million increase in China and Asia, excluding Japan, related to new store openings and a $6.6 million increase in Europe to support growth in the business. The increase in SG&amp;A costs were partially offset by foreign currency effects in Japan of $8.5 million. Operating margin decreased 270 basis points to 30.5% in fiscal 2014 from 33.2% during the same period in the prior year primarily due to lower gross margin of 120 basis points and higher overall SG&amp;A expenses, primarily selling expenses, as a percentage of net sales which increased by 150 basis points.
</t>
        </r>
      </text>
    </comment>
    <comment ref="BU73" authorId="1">
      <text>
        <r>
          <rPr>
            <b/>
            <sz val="9"/>
            <color indexed="81"/>
            <rFont val="Tahoma"/>
            <family val="2"/>
          </rPr>
          <t>casselau:</t>
        </r>
        <r>
          <rPr>
            <sz val="9"/>
            <color indexed="81"/>
            <rFont val="Tahoma"/>
            <family val="2"/>
          </rPr>
          <t xml:space="preserve">
Corporate Unallocated Operating Expense increased $38.2 million to $156.3 million in the second quarter of fiscal 2015, an increase of 32.3% from $118.1 million in the second quarter of fiscal 2014. This increase was primarily attributable to charges incurred by the Company in the second quarter of fiscal 2015 as part its Transformation Plan and acquisition-related costs.</t>
        </r>
        <r>
          <rPr>
            <b/>
            <sz val="9"/>
            <color indexed="81"/>
            <rFont val="Tahoma"/>
            <family val="2"/>
          </rPr>
          <t xml:space="preserve"> Excluding items affecting comparability, unallocated operating expenses increased by $14.6 million to $132.7 million in the second quarter of fiscal 2015. This increase is primarily related to higher incentive compensation costs when compared to the same period in the prior year. </t>
        </r>
      </text>
    </comment>
    <comment ref="E74" authorId="10">
      <text>
        <r>
          <rPr>
            <b/>
            <sz val="9"/>
            <color indexed="81"/>
            <rFont val="Tahoma"/>
            <family val="2"/>
          </rPr>
          <t>Mains, Spencer (Research):</t>
        </r>
        <r>
          <rPr>
            <sz val="9"/>
            <color indexed="81"/>
            <rFont val="Tahoma"/>
            <family val="2"/>
          </rPr>
          <t xml:space="preserve">
4/28/15: Total North American sales decreased 24% to $493mm from $648mm last year, as expected.  North American direct sales declined 23% for the quarter with comparable sales down 23% including the impact of reduced eOutlet events, which pressured total comparable sales by about 11 percentage points</t>
        </r>
      </text>
    </comment>
    <comment ref="G74" authorId="0">
      <text>
        <r>
          <rPr>
            <sz val="9"/>
            <color indexed="81"/>
            <rFont val="Tahoma"/>
            <family val="2"/>
          </rPr>
          <t xml:space="preserve">4/28/15: </t>
        </r>
        <r>
          <rPr>
            <b/>
            <sz val="9"/>
            <color indexed="81"/>
            <rFont val="Tahoma"/>
            <family val="2"/>
          </rPr>
          <t>Store comp -12%;</t>
        </r>
        <r>
          <rPr>
            <sz val="9"/>
            <color indexed="81"/>
            <rFont val="Tahoma"/>
            <family val="2"/>
          </rPr>
          <t xml:space="preserve"> eOS pressured comp by 11%.  Reduced cadence of eOS flash sales from 3x/week LY to 2x/month this quarter.  In addition, there were no 'Coach Days' in NAm department stores during the q vs. approx 30 days across wholesale accounts in 3Q14.
 Higher ticket offset by a decline in traffic which was pressured by weak mall trends as well as lower conversion.  While mall traffic continued its secular decline during this spring per ShopperTrak, sequential improvement in </t>
        </r>
        <r>
          <rPr>
            <b/>
            <sz val="9"/>
            <color indexed="81"/>
            <rFont val="Tahoma"/>
            <family val="2"/>
          </rPr>
          <t xml:space="preserve">our </t>
        </r>
        <r>
          <rPr>
            <sz val="9"/>
            <color indexed="81"/>
            <rFont val="Tahoma"/>
            <family val="2"/>
          </rPr>
          <t>traffic from the holiday quarter despite the weather.  Meaning, while still a drag to our overall comps, it was less onerous than 2Q.</t>
        </r>
        <r>
          <rPr>
            <sz val="9"/>
            <color indexed="81"/>
            <rFont val="Tahoma"/>
            <family val="2"/>
          </rPr>
          <t xml:space="preserve">
The four NAm stores re-opened in Nov continued to post positive comps and well outpace the balance of the chain.
1/29/15: Guidance: expect contniued pressure on sales due to reduced promotions and 2H store closure activity. Projecting mid teens comp decine in NAm stores with eOS pressuring NAm comp an additional 10%. 
10/28/14: "Over the year we expect our store comp trend to improve, as new product penetration grows across both channels, more stores are replatformed,
and marketing intensifies. However, our internet comp will worsen as we further curtail events."</t>
        </r>
      </text>
    </comment>
    <comment ref="K74" authorId="1">
      <text>
        <r>
          <rPr>
            <b/>
            <sz val="9"/>
            <color indexed="81"/>
            <rFont val="Tahoma"/>
            <family val="2"/>
          </rPr>
          <t>casselau:</t>
        </r>
        <r>
          <rPr>
            <sz val="9"/>
            <color indexed="81"/>
            <rFont val="Tahoma"/>
            <family val="2"/>
          </rPr>
          <t xml:space="preserve">
CC +4%</t>
        </r>
      </text>
    </comment>
    <comment ref="N74" authorId="10">
      <text>
        <r>
          <rPr>
            <b/>
            <sz val="9"/>
            <color indexed="81"/>
            <rFont val="Tahoma"/>
            <family val="2"/>
          </rPr>
          <t>Mains, Spencer (Research):</t>
        </r>
        <r>
          <rPr>
            <sz val="9"/>
            <color indexed="81"/>
            <rFont val="Tahoma"/>
            <family val="2"/>
          </rPr>
          <t xml:space="preserve">
4/28/15: While we are still targeting sales of $590-600mm, which now reflects the negative impact of the stronger dollar, we expect continued volatility in the near term due to both macro issues and geopolitical events, which are impacting trends in China and some key tourist markets.  We also experienced a pick-up in Chinese tourist spend in Japan and Europe, especially around CNY, aided by compelling value the weaker yen and euro have provided to the Chinese shopper.</t>
        </r>
      </text>
    </comment>
    <comment ref="O74" authorId="10">
      <text>
        <r>
          <rPr>
            <b/>
            <sz val="9"/>
            <color indexed="81"/>
            <rFont val="Tahoma"/>
            <family val="2"/>
          </rPr>
          <t>Mains, Spencer (Research):</t>
        </r>
        <r>
          <rPr>
            <sz val="9"/>
            <color indexed="81"/>
            <rFont val="Tahoma"/>
            <family val="2"/>
          </rPr>
          <t xml:space="preserve">
4/28/15: Sales in China rose 10% on a constant currency basis and 8% in dollars with positive comps and slower distribution growth.</t>
        </r>
      </text>
    </comment>
    <comment ref="P74" authorId="10">
      <text>
        <r>
          <rPr>
            <b/>
            <sz val="9"/>
            <color indexed="81"/>
            <rFont val="Tahoma"/>
            <family val="2"/>
          </rPr>
          <t>Mains, Spencer (Research):</t>
        </r>
        <r>
          <rPr>
            <sz val="9"/>
            <color indexed="81"/>
            <rFont val="Tahoma"/>
            <family val="2"/>
          </rPr>
          <t xml:space="preserve">
4/28/15: Sales in China rose 10% on a constant currency basis and 8% in dollars with positive comps and slower distribution growth.</t>
        </r>
      </text>
    </comment>
    <comment ref="T74" authorId="10">
      <text>
        <r>
          <rPr>
            <b/>
            <sz val="9"/>
            <color indexed="81"/>
            <rFont val="Tahoma"/>
            <family val="2"/>
          </rPr>
          <t>Mains, Spencer (Research):</t>
        </r>
        <r>
          <rPr>
            <sz val="9"/>
            <color indexed="81"/>
            <rFont val="Tahoma"/>
            <family val="2"/>
          </rPr>
          <t xml:space="preserve">
1/29/15: Expect double digit decline in local currency sales in 3Q, with a rebound in 4Q (lingering impact of consumption tax increase)</t>
        </r>
      </text>
    </comment>
    <comment ref="U74" authorId="0">
      <text>
        <r>
          <rPr>
            <b/>
            <sz val="9"/>
            <color indexed="81"/>
            <rFont val="Tahoma"/>
            <family val="2"/>
          </rPr>
          <t>Turley, Amber (Research):</t>
        </r>
        <r>
          <rPr>
            <sz val="9"/>
            <color indexed="81"/>
            <rFont val="Tahoma"/>
            <family val="2"/>
          </rPr>
          <t xml:space="preserve">
4/28/15: Japan sales declined 11% on constant currency basis, better than expected given last year's DD gain prior to the April 1st tax increase.  Dollar sales were 23% below the prior year, reflecting the weaker yen.
1/28/15: Guidance - due to compare related to consumption tax hike LY expect 3Q sales to be weaker than 4Q</t>
        </r>
      </text>
    </comment>
    <comment ref="V74" authorId="10">
      <text>
        <r>
          <rPr>
            <b/>
            <sz val="9"/>
            <color indexed="81"/>
            <rFont val="Tahoma"/>
            <family val="2"/>
          </rPr>
          <t>Mains, Spencer (Research):</t>
        </r>
        <r>
          <rPr>
            <sz val="9"/>
            <color indexed="81"/>
            <rFont val="Tahoma"/>
            <family val="2"/>
          </rPr>
          <t xml:space="preserve">
4/28/15: Japan sales declined 11% on a constant currency basis.  Dollar sales were 23% below the prior year, reflecting the weaker yen.</t>
        </r>
      </text>
    </comment>
    <comment ref="Y74" authorId="1">
      <text>
        <r>
          <rPr>
            <b/>
            <sz val="9"/>
            <color indexed="81"/>
            <rFont val="Tahoma"/>
            <family val="2"/>
          </rPr>
          <t>casselau:</t>
        </r>
        <r>
          <rPr>
            <sz val="9"/>
            <color indexed="81"/>
            <rFont val="Tahoma"/>
            <family val="2"/>
          </rPr>
          <t xml:space="preserve">
Europe +DD, Other Asia "grew modestly"</t>
        </r>
      </text>
    </comment>
    <comment ref="AK74" authorId="10">
      <text>
        <r>
          <rPr>
            <b/>
            <sz val="9"/>
            <color indexed="81"/>
            <rFont val="Tahoma"/>
            <family val="2"/>
          </rPr>
          <t>Mains, Spencer (Research):</t>
        </r>
        <r>
          <rPr>
            <sz val="9"/>
            <color indexed="81"/>
            <rFont val="Tahoma"/>
            <family val="2"/>
          </rPr>
          <t xml:space="preserve">
4/28/15:
NA + Intl: 921.0
Total Sales: 929.3
Difference: 8.3</t>
        </r>
      </text>
    </comment>
    <comment ref="AQ74" authorId="1">
      <text>
        <r>
          <rPr>
            <b/>
            <sz val="9"/>
            <color indexed="81"/>
            <rFont val="Tahoma"/>
            <family val="2"/>
          </rPr>
          <t>casselau:</t>
        </r>
        <r>
          <rPr>
            <sz val="9"/>
            <color indexed="81"/>
            <rFont val="Tahoma"/>
            <family val="2"/>
          </rPr>
          <t xml:space="preserve">
North America Gross Profit decreased 24.0% or $99.1 million to $313.9 million in the third quarter of fiscal 2015. Gross margin decreased 10 basis points from 63.7% in the third quarter of fiscal 2014 to 63.6% in the third quarter of fiscal 2015. The decrease in gross margin is primarily attributable to the impact of decreased promotional activity on an elevated product assortment. Specifically, the impact of a higher mix of elevated product sales primarily in our outlet stores, which contained higher average unit costs, negatively impacted gross margin by 300 basis points. This was mostly offset by lower promotional activity, primarily as a result of the scale-back of promotional events within our outlet channel, favorably impacting gross margin by 280 basis points. </t>
        </r>
      </text>
    </comment>
    <comment ref="AU74" authorId="1">
      <text>
        <r>
          <rPr>
            <b/>
            <sz val="9"/>
            <color indexed="81"/>
            <rFont val="Tahoma"/>
            <family val="2"/>
          </rPr>
          <t>casselau:</t>
        </r>
        <r>
          <rPr>
            <sz val="9"/>
            <color indexed="81"/>
            <rFont val="Tahoma"/>
            <family val="2"/>
          </rPr>
          <t xml:space="preserve">
International Gross Profit decreased 5.7% or $19.6 million to $328.4 million in the third quarter of fiscal 2015. Gross margin decreased 230 basis points from 79.0% in the third quarter of fiscal 2014 to 76.7% in the third quarter of fiscal 2015. The decrease in gross margin is primarily due to a less favorable geographic mix of our sales, which negatively impacted gross margin by 90 basis points, particularly as a result of a decline in net sales in Japan, coupled with the growth of our international wholesale business, as well as the impact of stronger elevated product sales which carry higher average unit costs, negatively impacting gross margin by 50 basis points and to a lesser extent increased promotional activity and the negative effects of foreign currency.</t>
        </r>
      </text>
    </comment>
    <comment ref="BA74" authorId="1">
      <text>
        <r>
          <rPr>
            <b/>
            <sz val="9"/>
            <color indexed="81"/>
            <rFont val="Tahoma"/>
            <family val="2"/>
          </rPr>
          <t>casselau:</t>
        </r>
        <r>
          <rPr>
            <sz val="9"/>
            <color indexed="81"/>
            <rFont val="Tahoma"/>
            <family val="2"/>
          </rPr>
          <t xml:space="preserve">
Corporate Unallocated Gross Profit increased $2.7 million from $13.2 million in the third quarter of fiscal 2014 to $15.9 million in the third quarter of fiscal 2015.</t>
        </r>
      </text>
    </comment>
    <comment ref="BG74" authorId="1">
      <text>
        <r>
          <rPr>
            <b/>
            <sz val="9"/>
            <color indexed="81"/>
            <rFont val="Tahoma"/>
            <family val="2"/>
          </rPr>
          <t>casselau:</t>
        </r>
        <r>
          <rPr>
            <sz val="9"/>
            <color indexed="81"/>
            <rFont val="Tahoma"/>
            <family val="2"/>
          </rPr>
          <t xml:space="preserve">
North America Operating Income decreased 39.6% or $87.7 million to $134.3 million in the third quarter of fiscal 2015 reflecting the decrease in gross profit of $99.1 million which was partially offset by lower SG&amp;A expenses of $11.4 million. The decrease in SG&amp;A expenses was due to lower variable selling costs as a result of lower sales in our North America stores and Internet business. Operating margin decreased 710 basis points to 27.2% in the third quarter of fiscal 2015 from 34.3% during the same period in the prior year due to higher SG&amp;A expense as a percentage of net sales of 700 basis points. </t>
        </r>
      </text>
    </comment>
    <comment ref="BI74" authorId="1">
      <text>
        <r>
          <rPr>
            <b/>
            <sz val="9"/>
            <color indexed="81"/>
            <rFont val="Tahoma"/>
            <family val="2"/>
          </rPr>
          <t>casselau:</t>
        </r>
        <r>
          <rPr>
            <sz val="9"/>
            <color indexed="81"/>
            <rFont val="Tahoma"/>
            <family val="2"/>
          </rPr>
          <t xml:space="preserve">
International Operating Income decreased 14.4% or $23.5 million to $140.1 million in the third quarter of fiscal 2015 primarily reflecting lower gross profit of $19.6 million and higher SG&amp;A expenses of $3.9 million. The increase in SG&amp;A expenses is related to a $6.0 million increase in Europe to support growth in the business and a $3.6 million increase in China and Asia, excluding Japan, related to higher selling costs as a result of higher sales, particularly in China. The increase in SG&amp;A costs were partially offset by foreign currency effects in Japan of $8.6 million. Operating margin decreased 440 basis points to 32.7% in fiscal 2015 from 37.1% during the same period in the prior year primarily due to lower gross margin of 230 basis points and higher overall SG&amp;A expenses, primarily selling expenses, as a percentage of net sales which increased by 210 basis points.</t>
        </r>
      </text>
    </comment>
    <comment ref="BU74" authorId="1">
      <text>
        <r>
          <rPr>
            <b/>
            <sz val="9"/>
            <color indexed="81"/>
            <rFont val="Tahoma"/>
            <family val="2"/>
          </rPr>
          <t>casselau:</t>
        </r>
        <r>
          <rPr>
            <sz val="9"/>
            <color indexed="81"/>
            <rFont val="Tahoma"/>
            <family val="2"/>
          </rPr>
          <t xml:space="preserve">
Corporate Unallocated Operating Expense increased $26.1 million to $154.7 million in the third quarter of fiscal 2015, an increase of 20.8% from $128.6 million in the third quarter of fiscal 2014. This increase was primarily attributable to charges incurred by the Company in the third quarter of fiscal 2015 as part its Transformation Plan. Excluding items affecting comparability, unallocated operating expenses increased by $3.6 million to $132.2 million in the third quarter of fiscal 2015. This increase is primarily related to higher incentive compensation costs when compared to the same period in the prior year. </t>
        </r>
      </text>
    </comment>
    <comment ref="D75" authorId="1">
      <text>
        <r>
          <rPr>
            <b/>
            <sz val="9"/>
            <color indexed="81"/>
            <rFont val="Tahoma"/>
            <family val="2"/>
          </rPr>
          <t>casselau:</t>
        </r>
        <r>
          <rPr>
            <sz val="9"/>
            <color indexed="81"/>
            <rFont val="Tahoma"/>
            <family val="2"/>
          </rPr>
          <t xml:space="preserve">
8/4/15: North American direct sales also declined 20% on a dollar basis and 19% on a constant currency basis for the quarter. At POS, sales in North American department stores declined mid-20s versus prior year, as expected, reflecting the elimination of Coach-specific promotional events from the prior year, while shipments into department stores declined somewhat less.
</t>
        </r>
      </text>
    </comment>
    <comment ref="E75" authorId="1">
      <text>
        <r>
          <rPr>
            <b/>
            <sz val="9"/>
            <color indexed="81"/>
            <rFont val="Tahoma"/>
            <family val="2"/>
          </rPr>
          <t>casselau:</t>
        </r>
        <r>
          <rPr>
            <sz val="9"/>
            <color indexed="81"/>
            <rFont val="Tahoma"/>
            <family val="2"/>
          </rPr>
          <t xml:space="preserve">
-19% CC</t>
        </r>
      </text>
    </comment>
    <comment ref="G75" authorId="1">
      <text>
        <r>
          <rPr>
            <b/>
            <sz val="9"/>
            <color indexed="81"/>
            <rFont val="Tahoma"/>
            <family val="2"/>
          </rPr>
          <t>casselau:</t>
        </r>
        <r>
          <rPr>
            <sz val="9"/>
            <color indexed="81"/>
            <rFont val="Tahoma"/>
            <family val="2"/>
          </rPr>
          <t xml:space="preserve">
8/4/15: </t>
        </r>
        <r>
          <rPr>
            <b/>
            <sz val="9"/>
            <color indexed="81"/>
            <rFont val="Tahoma"/>
            <family val="2"/>
          </rPr>
          <t xml:space="preserve">stores -10%; </t>
        </r>
        <r>
          <rPr>
            <sz val="9"/>
            <color indexed="81"/>
            <rFont val="Tahoma"/>
            <family val="2"/>
          </rPr>
          <t>comparable store sales down 19% including the impact of reduced eOutlet events, which pressured total comparable stores sales by about nine percentage points</t>
        </r>
      </text>
    </comment>
    <comment ref="O75" authorId="1">
      <text>
        <r>
          <rPr>
            <b/>
            <sz val="9"/>
            <color indexed="81"/>
            <rFont val="Tahoma"/>
            <family val="2"/>
          </rPr>
          <t>casselau:
8/4/15: +</t>
        </r>
        <r>
          <rPr>
            <sz val="9"/>
            <color indexed="81"/>
            <rFont val="Tahoma"/>
            <family val="2"/>
          </rPr>
          <t xml:space="preserve">5% in dollars and 4% in constant currency on slower distribution growth and a slight decline in comparable store sales. As expected sales on the Mainland were strong, growing at a double digit pace driven in part by positive comps, while results in Hong Kong and Macau were quite weak given significantly lower tourist trends from the Mainland.
</t>
        </r>
        <r>
          <rPr>
            <b/>
            <sz val="9"/>
            <color indexed="81"/>
            <rFont val="Tahoma"/>
            <family val="2"/>
          </rPr>
          <t xml:space="preserve">4/18/15: </t>
        </r>
        <r>
          <rPr>
            <sz val="9"/>
            <color indexed="81"/>
            <rFont val="Tahoma"/>
            <family val="2"/>
          </rPr>
          <t>expect softness in rest of Asia, specifically in HK and Macua, as conditions have deteriorated in the recent weeks; alslo anniversarying an increase in disposition sales</t>
        </r>
      </text>
    </comment>
    <comment ref="P75" authorId="1">
      <text>
        <r>
          <rPr>
            <b/>
            <sz val="9"/>
            <color indexed="81"/>
            <rFont val="Tahoma"/>
            <family val="2"/>
          </rPr>
          <t>casselau:</t>
        </r>
        <r>
          <rPr>
            <sz val="9"/>
            <color indexed="81"/>
            <rFont val="Tahoma"/>
            <family val="2"/>
          </rPr>
          <t xml:space="preserve">
8/4/15: "slight decline in comparable store sales"</t>
        </r>
      </text>
    </comment>
    <comment ref="T75" authorId="10">
      <text>
        <r>
          <rPr>
            <b/>
            <sz val="9"/>
            <color indexed="81"/>
            <rFont val="Tahoma"/>
            <family val="2"/>
          </rPr>
          <t xml:space="preserve">8/4/15: </t>
        </r>
        <r>
          <rPr>
            <sz val="9"/>
            <color indexed="81"/>
            <rFont val="Tahoma"/>
            <family val="2"/>
          </rPr>
          <t xml:space="preserve"> In Japan, sales rose 2% versus prior year on a constant-currency basis, while dollar sales declined 15%, reflecting the weaker yen. </t>
        </r>
        <r>
          <rPr>
            <sz val="9"/>
            <color indexed="81"/>
            <rFont val="Tahoma"/>
            <family val="2"/>
          </rPr>
          <t xml:space="preserve">
4/28/15: Now that we have anniversaried last year's consumption tax increase effected on 4/1/14, we would expect to see a rebound in our 4Q.  Of course, reported sales will be substantially lower, given the yen weakness.
1/29/15: Expect double digit decline in local currency sales in 3Q, with a rebound in 4Q (lingering impact of consumption tax increase)</t>
        </r>
      </text>
    </comment>
    <comment ref="U75" authorId="1">
      <text>
        <r>
          <rPr>
            <b/>
            <sz val="9"/>
            <color indexed="81"/>
            <rFont val="Tahoma"/>
            <family val="2"/>
          </rPr>
          <t>casselau:</t>
        </r>
        <r>
          <rPr>
            <sz val="9"/>
            <color indexed="81"/>
            <rFont val="Tahoma"/>
            <family val="2"/>
          </rPr>
          <t xml:space="preserve">
4/28/14: expected to show positive growth in constant currency, benefitting from the lapping of the consumption tax increase nad higher PRC tourist flows </t>
        </r>
      </text>
    </comment>
    <comment ref="V75" authorId="1">
      <text>
        <r>
          <rPr>
            <b/>
            <sz val="9"/>
            <color indexed="81"/>
            <rFont val="Tahoma"/>
            <family val="2"/>
          </rPr>
          <t>casselau:</t>
        </r>
        <r>
          <rPr>
            <sz val="9"/>
            <color indexed="81"/>
            <rFont val="Tahoma"/>
            <family val="2"/>
          </rPr>
          <t xml:space="preserve">
4/28/14: expected to show positive growth in constant currency, benefitting from the lapping of the consumption tax increase nad higher PRC tourist flows </t>
        </r>
      </text>
    </comment>
    <comment ref="Y75" authorId="1">
      <text>
        <r>
          <rPr>
            <b/>
            <sz val="9"/>
            <color indexed="81"/>
            <rFont val="Tahoma"/>
            <family val="2"/>
          </rPr>
          <t>casselau:</t>
        </r>
        <r>
          <rPr>
            <sz val="9"/>
            <color indexed="81"/>
            <rFont val="Tahoma"/>
            <family val="2"/>
          </rPr>
          <t xml:space="preserve">
8/4/15: Constant currency sales for the remaining directly operated businesses in Asia were even with prior year while Europe remained strong, growing at a double-digit pace. Shipments into international wholesale accounts declined at a high-teens rate as expected, in large part due to timing shift, while underlying POS sales decreased slightly.
</t>
        </r>
      </text>
    </comment>
    <comment ref="AC75" authorId="1">
      <text>
        <r>
          <rPr>
            <b/>
            <sz val="9"/>
            <color indexed="81"/>
            <rFont val="Tahoma"/>
            <family val="2"/>
          </rPr>
          <t>casselau:</t>
        </r>
        <r>
          <rPr>
            <sz val="9"/>
            <color indexed="81"/>
            <rFont val="Tahoma"/>
            <family val="2"/>
          </rPr>
          <t xml:space="preserve">
Deal closed on May 4 2015</t>
        </r>
      </text>
    </comment>
    <comment ref="AK75" authorId="1">
      <text>
        <r>
          <rPr>
            <b/>
            <sz val="9"/>
            <color indexed="81"/>
            <rFont val="Tahoma"/>
            <family val="2"/>
          </rPr>
          <t>casselau:</t>
        </r>
        <r>
          <rPr>
            <sz val="9"/>
            <color indexed="81"/>
            <rFont val="Tahoma"/>
            <family val="2"/>
          </rPr>
          <t xml:space="preserve">
anniversarying disposition sales LY will eliminate $25M</t>
        </r>
      </text>
    </comment>
    <comment ref="D76" authorId="1">
      <text>
        <r>
          <rPr>
            <b/>
            <sz val="9"/>
            <color indexed="81"/>
            <rFont val="Tahoma"/>
            <family val="2"/>
          </rPr>
          <t>casselau:</t>
        </r>
        <r>
          <rPr>
            <sz val="9"/>
            <color indexed="81"/>
            <rFont val="Tahoma"/>
            <family val="2"/>
          </rPr>
          <t xml:space="preserve">
North American direct sales also declined 20% for the year on both a dollar and constant currency basis; At POS, sales in North American department stores declined about low-20s from prior year while shipments into this channel also declined similarly as planned. </t>
        </r>
      </text>
    </comment>
    <comment ref="E76" authorId="1">
      <text>
        <r>
          <rPr>
            <b/>
            <sz val="9"/>
            <color indexed="81"/>
            <rFont val="Tahoma"/>
            <family val="2"/>
          </rPr>
          <t>casselau:</t>
        </r>
        <r>
          <rPr>
            <sz val="9"/>
            <color indexed="81"/>
            <rFont val="Tahoma"/>
            <family val="2"/>
          </rPr>
          <t xml:space="preserve">
-20% CC</t>
        </r>
      </text>
    </comment>
    <comment ref="G76" authorId="1">
      <text>
        <r>
          <rPr>
            <b/>
            <sz val="9"/>
            <color indexed="81"/>
            <rFont val="Tahoma"/>
            <family val="2"/>
          </rPr>
          <t>casselau:</t>
        </r>
        <r>
          <rPr>
            <sz val="9"/>
            <color indexed="81"/>
            <rFont val="Tahoma"/>
            <family val="2"/>
          </rPr>
          <t xml:space="preserve">
8/4/15: </t>
        </r>
        <r>
          <rPr>
            <b/>
            <sz val="9"/>
            <color indexed="81"/>
            <rFont val="Tahoma"/>
            <family val="2"/>
          </rPr>
          <t>EOS -7%; stores -15%</t>
        </r>
      </text>
    </comment>
    <comment ref="N76" authorId="0">
      <text>
        <r>
          <rPr>
            <b/>
            <sz val="9"/>
            <color indexed="81"/>
            <rFont val="Tahoma"/>
            <family val="2"/>
          </rPr>
          <t>8/4/15: ~$595M</t>
        </r>
        <r>
          <rPr>
            <sz val="9"/>
            <color indexed="81"/>
            <rFont val="Tahoma"/>
            <family val="2"/>
          </rPr>
          <t xml:space="preserve">
4/28/15: While we are still targeting sales of $590-600mm, which now reflects the negative impact of the stronger dollar, we expect continued volatility in the near term due to both macro issues and geopolitical events, which are impacting trends in China and some key tourist markets.</t>
        </r>
        <r>
          <rPr>
            <sz val="9"/>
            <color indexed="81"/>
            <rFont val="Tahoma"/>
            <family val="2"/>
          </rPr>
          <t xml:space="preserve">
10/28/14: Guidance: Targeting $600M for FY15</t>
        </r>
      </text>
    </comment>
    <comment ref="P76" authorId="1">
      <text>
        <r>
          <rPr>
            <b/>
            <sz val="9"/>
            <color indexed="81"/>
            <rFont val="Tahoma"/>
            <family val="2"/>
          </rPr>
          <t>casselau:</t>
        </r>
        <r>
          <rPr>
            <sz val="9"/>
            <color indexed="81"/>
            <rFont val="Tahoma"/>
            <family val="2"/>
          </rPr>
          <t xml:space="preserve">
8/4/15: China reported results were on plan, with total sales growing 9% in both dollars and in constant currency to about $595 million with positive comparable store sales and slower distribution growth.</t>
        </r>
      </text>
    </comment>
    <comment ref="U76" authorId="0">
      <text>
        <r>
          <rPr>
            <b/>
            <sz val="9"/>
            <color indexed="81"/>
            <rFont val="Tahoma"/>
            <family val="2"/>
          </rPr>
          <t>Turley, Amber (Research):</t>
        </r>
        <r>
          <rPr>
            <sz val="9"/>
            <color indexed="81"/>
            <rFont val="Tahoma"/>
            <family val="2"/>
          </rPr>
          <t xml:space="preserve">
10/28/14: expect a
continuation of current trends in Japan, given the ongoing drag from the consumption tax increase, which won't anniversary until next April
8/7/14: expect continuation of curernt trends in Japan given the ongoing drag from consumption tax increase which won't anniversary until April. </t>
        </r>
      </text>
    </comment>
    <comment ref="V76" authorId="1">
      <text>
        <r>
          <rPr>
            <b/>
            <sz val="9"/>
            <color indexed="81"/>
            <rFont val="Tahoma"/>
            <family val="2"/>
          </rPr>
          <t>casselau:</t>
        </r>
        <r>
          <rPr>
            <sz val="9"/>
            <color indexed="81"/>
            <rFont val="Tahoma"/>
            <family val="2"/>
          </rPr>
          <t xml:space="preserve">
8/4/15: In Japan, sales were down mid-single-digits for the year on a constant currency basis, as expected, due to the overhang of the tax increase, while dollar sales declined 17%, reflecting the weaker yen. </t>
        </r>
      </text>
    </comment>
    <comment ref="Y76" authorId="0">
      <text>
        <r>
          <rPr>
            <b/>
            <sz val="9"/>
            <color indexed="81"/>
            <rFont val="Tahoma"/>
            <family val="2"/>
          </rPr>
          <t xml:space="preserve">8/4/15: </t>
        </r>
        <r>
          <rPr>
            <sz val="9"/>
            <color indexed="81"/>
            <rFont val="Tahoma"/>
            <family val="2"/>
          </rPr>
          <t xml:space="preserve">Sales in constant currency for the other directly operated Asian (Korea, Taiwan, Singapore, Malaysia &gt; $200M) businesses were up slightly in local currency. </t>
        </r>
        <r>
          <rPr>
            <b/>
            <sz val="9"/>
            <color indexed="81"/>
            <rFont val="Tahoma"/>
            <family val="2"/>
          </rPr>
          <t>Europe sales were robust, with sales up nearly 50% for the year, at $90 million, i</t>
        </r>
        <r>
          <rPr>
            <sz val="9"/>
            <color indexed="81"/>
            <rFont val="Tahoma"/>
            <family val="2"/>
          </rPr>
          <t xml:space="preserve">n line with forecast. Shipments into international wholesale accounts were up at a high-single-digit rate versus prior year, while underlying POS sales increased slightly. 
</t>
        </r>
        <r>
          <rPr>
            <b/>
            <sz val="9"/>
            <color indexed="81"/>
            <rFont val="Tahoma"/>
            <family val="2"/>
          </rPr>
          <t xml:space="preserve">
</t>
        </r>
        <r>
          <rPr>
            <sz val="9"/>
            <color indexed="81"/>
            <rFont val="Tahoma"/>
            <family val="2"/>
          </rPr>
          <t>4/15: expect Europe to be $90M
8/7/14: Expect Europe business to grow to over $100m in FY15. Goal to achieve over $500m in Europe sales over time (MSD share of mens and womens premium bag and accessory market)</t>
        </r>
      </text>
    </comment>
    <comment ref="AC76" authorId="1">
      <text>
        <r>
          <rPr>
            <b/>
            <sz val="9"/>
            <color indexed="81"/>
            <rFont val="Tahoma"/>
            <family val="2"/>
          </rPr>
          <t>casselau:</t>
        </r>
        <r>
          <rPr>
            <sz val="9"/>
            <color indexed="81"/>
            <rFont val="Tahoma"/>
            <family val="2"/>
          </rPr>
          <t xml:space="preserve">
Stuart Weitzman realized net revenues of $313 million for the twelve months ended December 31, 2014</t>
        </r>
      </text>
    </comment>
    <comment ref="AO76" authorId="1">
      <text>
        <r>
          <rPr>
            <b/>
            <sz val="9"/>
            <color indexed="81"/>
            <rFont val="Tahoma"/>
            <family val="2"/>
          </rPr>
          <t>casselau:</t>
        </r>
        <r>
          <rPr>
            <sz val="9"/>
            <color indexed="81"/>
            <rFont val="Tahoma"/>
            <family val="2"/>
          </rPr>
          <t xml:space="preserve">
North America Gross Profit decreased 21.0% or $418.1 million to $1.57 billion in fiscal 2015. </t>
        </r>
      </text>
    </comment>
    <comment ref="AQ76" authorId="1">
      <text>
        <r>
          <rPr>
            <b/>
            <sz val="9"/>
            <color indexed="81"/>
            <rFont val="Tahoma"/>
            <family val="2"/>
          </rPr>
          <t>casselau:</t>
        </r>
        <r>
          <rPr>
            <sz val="9"/>
            <color indexed="81"/>
            <rFont val="Tahoma"/>
            <family val="2"/>
          </rPr>
          <t xml:space="preserve">
Gross margin decreased 50 basis points from 64.3% in fiscal 2014 to 63.8% in fiscal 2015. The decrease in gross margin is primarily attributable to the impact of decreased promotional activity on an elevated product assortment. Specifically, the impact of a higher mix of elevated product sales primarily in our outlet stores, which contained higher average unit costs, negatively impacted gross margin by 120 basis points. This decrease was mostly offset by lower promotional activity, mainly as a result of the scale-back of promotional events within our outlet channel which favorably impacted gross margin by 90 basis points. </t>
        </r>
      </text>
    </comment>
    <comment ref="AS76" authorId="1">
      <text>
        <r>
          <rPr>
            <b/>
            <sz val="9"/>
            <color indexed="81"/>
            <rFont val="Tahoma"/>
            <family val="2"/>
          </rPr>
          <t>casselau:</t>
        </r>
        <r>
          <rPr>
            <sz val="9"/>
            <color indexed="81"/>
            <rFont val="Tahoma"/>
            <family val="2"/>
          </rPr>
          <t xml:space="preserve">
International Gross Profit decreased 3.6% or $46.5 million to $1.25 billion in fiscal 2015. </t>
        </r>
      </text>
    </comment>
    <comment ref="AU76" authorId="1">
      <text>
        <r>
          <rPr>
            <b/>
            <sz val="9"/>
            <color indexed="81"/>
            <rFont val="Tahoma"/>
            <family val="2"/>
          </rPr>
          <t>casselau:</t>
        </r>
        <r>
          <rPr>
            <sz val="9"/>
            <color indexed="81"/>
            <rFont val="Tahoma"/>
            <family val="2"/>
          </rPr>
          <t xml:space="preserve">
Gross margin decreased 180 basis points from 78.8% in fiscal 2014 to 77.0% in fiscal 2015. The decrease in gross margin is primarily due to a less favorable geographic mix of our sales and unfavorable effects of foreign currency, which in aggregate negatively impacted gross margin by 110 basis points, particularly as a result of a decline in net sales in Japan, coupled with the growth of our international wholesale business, as well as the impact of stronger elevated product sales which carry higher average unit costs, negatively impacting gross margin by 60 basis points and to a lesser extent increased promotional activity. </t>
        </r>
      </text>
    </comment>
    <comment ref="BA76" authorId="1">
      <text>
        <r>
          <rPr>
            <b/>
            <sz val="9"/>
            <color indexed="81"/>
            <rFont val="Tahoma"/>
            <family val="2"/>
          </rPr>
          <t>casselau:</t>
        </r>
        <r>
          <rPr>
            <sz val="9"/>
            <color indexed="81"/>
            <rFont val="Tahoma"/>
            <family val="2"/>
          </rPr>
          <t xml:space="preserve">
Corporate Unallocated Gross Profit increased $55.1 million from a loss of $27.9 million in fiscal 2014 to a profit of $27.2 million in fiscal 2015. Excluding items affecting comparability of $9.7 million in fiscal 2015 and $82.2 million in fiscal 2014, corporate unallocated gross profit decreased by $17.4 million from $54.3 million in fiscal 2014 to $36.9 million in fiscal 2015, primarily due to increased inventory reserves and less favorable production variances. </t>
        </r>
      </text>
    </comment>
    <comment ref="BE76" authorId="1">
      <text>
        <r>
          <rPr>
            <b/>
            <sz val="9"/>
            <color indexed="81"/>
            <rFont val="Tahoma"/>
            <family val="2"/>
          </rPr>
          <t>casselau:</t>
        </r>
        <r>
          <rPr>
            <sz val="9"/>
            <color indexed="81"/>
            <rFont val="Tahoma"/>
            <family val="2"/>
          </rPr>
          <t xml:space="preserve">
North America Operating Income decreased 29.5% or $343.6 million to $820.5 million in fiscal 2015 reflecting the decrease in gross profit of $418.1 million which was partially offset by lower SG&amp;A expenses of $74.5 million. The decrease in SG&amp;A expenses was due to lower variable selling costs as a result of lower sales in our stores and Internet business.</t>
        </r>
      </text>
    </comment>
    <comment ref="BG76" authorId="1">
      <text>
        <r>
          <rPr>
            <b/>
            <sz val="9"/>
            <color indexed="81"/>
            <rFont val="Tahoma"/>
            <family val="2"/>
          </rPr>
          <t>casselau:</t>
        </r>
        <r>
          <rPr>
            <sz val="9"/>
            <color indexed="81"/>
            <rFont val="Tahoma"/>
            <family val="2"/>
          </rPr>
          <t xml:space="preserve">
Operating margin decreased 420 basis points to 33.3% in fiscal 2015 from 37.5% during the same period in the prior year due to higher SG&amp;A expense as a percentage of net sales of 390 basis points, primarily due to deleveraging of selling expenses as net sales have declined, and lower gross margin of 50 basis points. </t>
        </r>
      </text>
    </comment>
    <comment ref="BI76" authorId="1">
      <text>
        <r>
          <rPr>
            <b/>
            <sz val="9"/>
            <color indexed="81"/>
            <rFont val="Tahoma"/>
            <family val="2"/>
          </rPr>
          <t>casselau:</t>
        </r>
        <r>
          <rPr>
            <sz val="9"/>
            <color indexed="81"/>
            <rFont val="Tahoma"/>
            <family val="2"/>
          </rPr>
          <t xml:space="preserve">
International Operating Income decreased 13.5% or $75.1 million to $480.6 million in fiscal 2015, primarily reflecting a decrease in gross profit of $46.5 million as well as higher SG&amp;A expenses of $28.6 million. The increase in SG&amp;A expenses is related to a $30.8 million increase in Greater China and Asia, excluding Japan, related to new store openings and a $24.9 million increase in Europe to support growth in the business. The increase in SG&amp;A costs were partially offset by foreign currency effects in Japan of $32.2 million. </t>
        </r>
      </text>
    </comment>
    <comment ref="BK76" authorId="1">
      <text>
        <r>
          <rPr>
            <b/>
            <sz val="9"/>
            <color indexed="81"/>
            <rFont val="Tahoma"/>
            <family val="2"/>
          </rPr>
          <t>casselau:</t>
        </r>
        <r>
          <rPr>
            <sz val="9"/>
            <color indexed="81"/>
            <rFont val="Tahoma"/>
            <family val="2"/>
          </rPr>
          <t xml:space="preserve">
Operating margin decreased 420 basis points to 29.6% in fiscal 2015 from 33.8% during the same period in the prior year primarily due to higher overall SG&amp;A as a percentage of net sales which increased by 240 basis points and lower gross margin of 180 basis points.</t>
        </r>
      </text>
    </comment>
    <comment ref="BU76" authorId="1">
      <text>
        <r>
          <rPr>
            <b/>
            <sz val="9"/>
            <color indexed="81"/>
            <rFont val="Tahoma"/>
            <family val="2"/>
          </rPr>
          <t>casselau:</t>
        </r>
        <r>
          <rPr>
            <sz val="9"/>
            <color indexed="81"/>
            <rFont val="Tahoma"/>
            <family val="2"/>
          </rPr>
          <t xml:space="preserve">
Corporate Unallocated Operating Expense increased $74.7 million to $708.6 million in fiscal 2015, an increase of 11.8%. This increase was primarily attributable to higher charges incurred by the Company in fiscal 2015 as part of its Transformation Plan. Excluding items affecting comparability, unallocated operating expenses increased by 8.9% or $44.6 million to $547.0 million from $502.4 million. This increase is primarily due to higher incentive compensation costs and additional costs incurred particularly related to information technology.</t>
        </r>
      </text>
    </comment>
    <comment ref="E79" authorId="1">
      <text>
        <r>
          <rPr>
            <b/>
            <sz val="9"/>
            <color indexed="81"/>
            <rFont val="Tahoma"/>
            <family val="2"/>
          </rPr>
          <t>casselau:</t>
        </r>
        <r>
          <rPr>
            <sz val="9"/>
            <color indexed="81"/>
            <rFont val="Tahoma"/>
            <family val="2"/>
          </rPr>
          <t xml:space="preserve">
-10% constant currency; NA Direct sales -12% on a dollar bases and -11% CC; sales in NA dept stores declined at a mid-teens rate y/y, while net sales into dept stores declined to a lesser degree</t>
        </r>
      </text>
    </comment>
    <comment ref="G79" authorId="1">
      <text>
        <r>
          <rPr>
            <b/>
            <sz val="9"/>
            <color indexed="81"/>
            <rFont val="Tahoma"/>
            <family val="2"/>
          </rPr>
          <t>casselau:</t>
        </r>
        <r>
          <rPr>
            <sz val="9"/>
            <color indexed="81"/>
            <rFont val="Tahoma"/>
            <family val="2"/>
          </rPr>
          <t xml:space="preserve">
10/26/15: stores -8%, EOS -1.5%</t>
        </r>
      </text>
    </comment>
    <comment ref="K79" authorId="1">
      <text>
        <r>
          <rPr>
            <b/>
            <sz val="9"/>
            <color indexed="81"/>
            <rFont val="Tahoma"/>
            <family val="2"/>
          </rPr>
          <t>casselau:</t>
        </r>
        <r>
          <rPr>
            <sz val="9"/>
            <color indexed="81"/>
            <rFont val="Tahoma"/>
            <family val="2"/>
          </rPr>
          <t xml:space="preserve">
+6% constant currency</t>
        </r>
      </text>
    </comment>
    <comment ref="O79" authorId="1">
      <text>
        <r>
          <rPr>
            <b/>
            <sz val="9"/>
            <color indexed="81"/>
            <rFont val="Tahoma"/>
            <family val="2"/>
          </rPr>
          <t>casselau:</t>
        </r>
        <r>
          <rPr>
            <sz val="9"/>
            <color indexed="81"/>
            <rFont val="Tahoma"/>
            <family val="2"/>
          </rPr>
          <t xml:space="preserve">
+3% constant currency; +DD growth and positive comps in Mainland offset continued weakness in HK and Macau</t>
        </r>
      </text>
    </comment>
    <comment ref="P79" authorId="1">
      <text>
        <r>
          <rPr>
            <b/>
            <sz val="9"/>
            <color indexed="81"/>
            <rFont val="Tahoma"/>
            <family val="2"/>
          </rPr>
          <t>casselau:</t>
        </r>
        <r>
          <rPr>
            <sz val="9"/>
            <color indexed="81"/>
            <rFont val="Tahoma"/>
            <family val="2"/>
          </rPr>
          <t xml:space="preserve">
10/26/15: positive comps in Mainland offset continued weakness in HK and Macau</t>
        </r>
      </text>
    </comment>
    <comment ref="U79" authorId="1">
      <text>
        <r>
          <rPr>
            <b/>
            <sz val="9"/>
            <color indexed="81"/>
            <rFont val="Tahoma"/>
            <family val="2"/>
          </rPr>
          <t>casselau:</t>
        </r>
        <r>
          <rPr>
            <sz val="9"/>
            <color indexed="81"/>
            <rFont val="Tahoma"/>
            <family val="2"/>
          </rPr>
          <t xml:space="preserve">
constant currency +6%</t>
        </r>
      </text>
    </comment>
    <comment ref="Y79" authorId="1">
      <text>
        <r>
          <rPr>
            <b/>
            <sz val="9"/>
            <color indexed="81"/>
            <rFont val="Tahoma"/>
            <family val="2"/>
          </rPr>
          <t>casselau:</t>
        </r>
        <r>
          <rPr>
            <sz val="9"/>
            <color indexed="81"/>
            <rFont val="Tahoma"/>
            <family val="2"/>
          </rPr>
          <t xml:space="preserve">
10/26/15: sales for the remaining directly operated businesses in Asia grew slightly in constant currency (down in dollars) while Europe grew +DD in both total and comparable store sales
At POS, sales in intl wholesale locatoins decreased due to softness in travel retail, in turn impacted by MERS, while domestic distributor markets showed growth; net sales into the channel also declined y/y</t>
        </r>
      </text>
    </comment>
    <comment ref="AO79" authorId="1">
      <text>
        <r>
          <rPr>
            <b/>
            <sz val="9"/>
            <color indexed="81"/>
            <rFont val="Tahoma"/>
            <family val="2"/>
          </rPr>
          <t>casselau:</t>
        </r>
        <r>
          <rPr>
            <sz val="9"/>
            <color indexed="81"/>
            <rFont val="Tahoma"/>
            <family val="2"/>
          </rPr>
          <t xml:space="preserve">
North America Gross Profit decreased 14.5% or $59.1 million to $348.9 million in the first quarter of fiscal 2016.</t>
        </r>
      </text>
    </comment>
    <comment ref="AQ79" authorId="1">
      <text>
        <r>
          <rPr>
            <b/>
            <sz val="9"/>
            <color indexed="81"/>
            <rFont val="Tahoma"/>
            <family val="2"/>
          </rPr>
          <t>casselau:</t>
        </r>
        <r>
          <rPr>
            <sz val="9"/>
            <color indexed="81"/>
            <rFont val="Tahoma"/>
            <family val="2"/>
          </rPr>
          <t xml:space="preserve">
Gross margin decreased 220 basis points from 64.4% in the first quarter of fiscal 2015 to 62.2% in the first quarter of fiscal 2016. The decrease in gross margin is primarily attributable to the impact of a higher mix of elevated product sales primarily in our outlet stores, which contained higher average unit costs, negatively impacting gross margin by 150 basis points. Furthermore, the negative effects of foreign currency and increased duties decreased gross margin by 40 basis points.</t>
        </r>
      </text>
    </comment>
    <comment ref="AS79" authorId="1">
      <text>
        <r>
          <rPr>
            <b/>
            <sz val="9"/>
            <color indexed="81"/>
            <rFont val="Tahoma"/>
            <family val="2"/>
          </rPr>
          <t>casselau:</t>
        </r>
        <r>
          <rPr>
            <sz val="9"/>
            <color indexed="81"/>
            <rFont val="Tahoma"/>
            <family val="2"/>
          </rPr>
          <t xml:space="preserve">
International Gross Profit decreased 4.5% or $13.2 million to $282.2 million in the first quarter of fiscal 2016. </t>
        </r>
      </text>
    </comment>
    <comment ref="AU79" authorId="1">
      <text>
        <r>
          <rPr>
            <b/>
            <sz val="9"/>
            <color indexed="81"/>
            <rFont val="Tahoma"/>
            <family val="2"/>
          </rPr>
          <t>casselau:</t>
        </r>
        <r>
          <rPr>
            <sz val="9"/>
            <color indexed="81"/>
            <rFont val="Tahoma"/>
            <family val="2"/>
          </rPr>
          <t xml:space="preserve">
Gross margin decreased 100 basis points from 77.5% in the first quarter of fiscal 2015 to 76.5% in the first quarter of fiscal 2016. The decrease in gross margin is primarily due to the negative effects of foreign currency, particularly the Japanese Yen and the Euro, which impacted gross margin by 110 basis points.</t>
        </r>
      </text>
    </comment>
    <comment ref="AW79" authorId="1">
      <text>
        <r>
          <rPr>
            <b/>
            <sz val="9"/>
            <color indexed="81"/>
            <rFont val="Tahoma"/>
            <family val="2"/>
          </rPr>
          <t>casselau:</t>
        </r>
        <r>
          <rPr>
            <sz val="9"/>
            <color indexed="81"/>
            <rFont val="Tahoma"/>
            <family val="2"/>
          </rPr>
          <t xml:space="preserve">
Stuart Weitzman Gross Profit totaled $49.7 million during the first quarter of fiscal 2016, resulting in a gross margin of 56.8%. </t>
        </r>
      </text>
    </comment>
    <comment ref="AY79" authorId="1">
      <text>
        <r>
          <rPr>
            <b/>
            <sz val="9"/>
            <color indexed="81"/>
            <rFont val="Tahoma"/>
            <family val="2"/>
          </rPr>
          <t>casselau:</t>
        </r>
        <r>
          <rPr>
            <sz val="9"/>
            <color indexed="81"/>
            <rFont val="Tahoma"/>
            <family val="2"/>
          </rPr>
          <t xml:space="preserve">
Excluding the short-term impact of purchase accounting, Stuart Weitzman gross profit totaled $50.6 million, resulting in a gross margin of 57.8%.</t>
        </r>
      </text>
    </comment>
    <comment ref="BA79" authorId="1">
      <text>
        <r>
          <rPr>
            <b/>
            <sz val="9"/>
            <color indexed="81"/>
            <rFont val="Tahoma"/>
            <family val="2"/>
          </rPr>
          <t>casselau:</t>
        </r>
        <r>
          <rPr>
            <sz val="9"/>
            <color indexed="81"/>
            <rFont val="Tahoma"/>
            <family val="2"/>
          </rPr>
          <t xml:space="preserve">
Corporate Unallocated Gross Profit increased $6.7 million from $0.6 million in the first quarter of fiscal 2015 to $7.3 million in the first quarter of fiscal 2016, due to the impact of favorable inventory production variances and decreased transformation-related charges.</t>
        </r>
      </text>
    </comment>
    <comment ref="BE79" authorId="1">
      <text>
        <r>
          <rPr>
            <b/>
            <sz val="9"/>
            <color indexed="81"/>
            <rFont val="Tahoma"/>
            <family val="2"/>
          </rPr>
          <t>casselau:</t>
        </r>
        <r>
          <rPr>
            <sz val="9"/>
            <color indexed="81"/>
            <rFont val="Tahoma"/>
            <family val="2"/>
          </rPr>
          <t xml:space="preserve">
North America Operating Income decreased 22.5% or $49.8 million to $171.7 million in the first quarter of fiscal 2016 reflecting the decrease in gross profit of $59.1 million which was partially offset by lower SG&amp;A expenses of $9.3 million. The 
28
decrease in SG&amp;A expenses was due to lower variable selling costs as a result of lower sales in our North America stores and Internet business.</t>
        </r>
      </text>
    </comment>
    <comment ref="BG79" authorId="1">
      <text>
        <r>
          <rPr>
            <b/>
            <sz val="9"/>
            <color indexed="81"/>
            <rFont val="Tahoma"/>
            <family val="2"/>
          </rPr>
          <t>casselau:</t>
        </r>
        <r>
          <rPr>
            <sz val="9"/>
            <color indexed="81"/>
            <rFont val="Tahoma"/>
            <family val="2"/>
          </rPr>
          <t xml:space="preserve">
Operating margin decreased 430 basis points to 30.6% in the first quarter of fiscal 2016 from 34.9% during the same period in the prior year due to lower gross margin of 220 basis points and higher SG&amp;A expense as a percentage of net sales of 210 basis points. </t>
        </r>
      </text>
    </comment>
    <comment ref="BI79" authorId="1">
      <text>
        <r>
          <rPr>
            <b/>
            <sz val="9"/>
            <color indexed="81"/>
            <rFont val="Tahoma"/>
            <family val="2"/>
          </rPr>
          <t>casselau:</t>
        </r>
        <r>
          <rPr>
            <sz val="9"/>
            <color indexed="81"/>
            <rFont val="Tahoma"/>
            <family val="2"/>
          </rPr>
          <t xml:space="preserve">
International Operating Income decreased 9.2% or $10.8 million to $107.2 million in the first quarter of fiscal 2016 primarily reflecting lower gross profit of $13.2 million, partially offset by lower SG&amp;A expenses of $2.4 million. The decrease in SG&amp;A expenses is primarily related to the favorable foreign currency effects in Japan of $8.6 million, partially offset by an increase in Europe to support the growth of the business and higher selling costs as a result of higher sales in mainland China.</t>
        </r>
      </text>
    </comment>
    <comment ref="BK79" authorId="1">
      <text>
        <r>
          <rPr>
            <b/>
            <sz val="9"/>
            <color indexed="81"/>
            <rFont val="Tahoma"/>
            <family val="2"/>
          </rPr>
          <t>casselau:</t>
        </r>
        <r>
          <rPr>
            <sz val="9"/>
            <color indexed="81"/>
            <rFont val="Tahoma"/>
            <family val="2"/>
          </rPr>
          <t xml:space="preserve">
Operating margin decreased 200 basis points to 29.0% in fiscal 2016 from 31.0% during the same period in the prior year primarily due to lower gross margin of 100 basis points and higher overall SG&amp;A expenses, primarily selling expenses, as a percentage of net sales which increased by 100 basis points.</t>
        </r>
      </text>
    </comment>
    <comment ref="BS79" authorId="1">
      <text>
        <r>
          <rPr>
            <b/>
            <sz val="9"/>
            <color indexed="81"/>
            <rFont val="Tahoma"/>
            <family val="2"/>
          </rPr>
          <t>casselau:</t>
        </r>
        <r>
          <rPr>
            <sz val="9"/>
            <color indexed="81"/>
            <rFont val="Tahoma"/>
            <family val="2"/>
          </rPr>
          <t xml:space="preserve">
Stuart Weitzman Operating Income totaled $7.7 million during the first quarter of fiscal 2016, resulting in an operating margin of 8.8%. Excluding non-GAAP adjustments, including the short-term impact of purchase accounting and other acquisition and integration-related costs, </t>
        </r>
        <r>
          <rPr>
            <b/>
            <sz val="9"/>
            <color indexed="81"/>
            <rFont val="Tahoma"/>
            <family val="2"/>
          </rPr>
          <t>Stuart Weitzman operating income totaled $15.1 million, resulting in an operating margin of 17.2%.</t>
        </r>
      </text>
    </comment>
    <comment ref="BU79" authorId="1">
      <text>
        <r>
          <rPr>
            <b/>
            <sz val="9"/>
            <color indexed="81"/>
            <rFont val="Tahoma"/>
            <family val="2"/>
          </rPr>
          <t>casselau:</t>
        </r>
        <r>
          <rPr>
            <sz val="9"/>
            <color indexed="81"/>
            <rFont val="Tahoma"/>
            <family val="2"/>
          </rPr>
          <t xml:space="preserve">
Corporate Unallocated Operating Expense decreased $17.7 million to $151.3 million in the first quarter of fiscal 2016, a decrease of 10.5% from $169.0 million in the first quarter of fiscal 2015. This decrease was primarily attributable to lower charges incurred by the Company in the first quarter of fiscal 2015 as part its Transformation Plan. Excluding non-GAAP adjustments, unallocated operating expenses increased by $3.2 million to $135.1 million in the first quarter of fiscal 2016. This increase is primarily related to increased marketing expenses partially offset by lower incentive compensation and benefit related costs when compared to the same period in the prior year. </t>
        </r>
      </text>
    </comment>
    <comment ref="E80" authorId="11">
      <text>
        <r>
          <rPr>
            <b/>
            <sz val="9"/>
            <color indexed="81"/>
            <rFont val="Tahoma"/>
            <family val="2"/>
          </rPr>
          <t>Baglione, Gregory  (Research):</t>
        </r>
        <r>
          <rPr>
            <sz val="9"/>
            <color indexed="81"/>
            <rFont val="Tahoma"/>
            <family val="2"/>
          </rPr>
          <t xml:space="preserve">
1/26/16
-6% CC; NA Direct -7% actual, -6% CC; comps -4%, 1% EOS impact; as expected, NA department stores declined at a MSD rate y/y, while net sales into department stores declined to a similar degree</t>
        </r>
      </text>
    </comment>
    <comment ref="G80" authorId="1">
      <text>
        <r>
          <rPr>
            <b/>
            <sz val="9"/>
            <color indexed="81"/>
            <rFont val="Tahoma"/>
            <family val="2"/>
          </rPr>
          <t>casselau:
8/4/15: expect inflection in 2Q driven by 75th anniversary marketing, product iniatiatives, and store remodels</t>
        </r>
        <r>
          <rPr>
            <sz val="9"/>
            <color indexed="81"/>
            <rFont val="Tahoma"/>
            <family val="2"/>
          </rPr>
          <t xml:space="preserve">
assume -1% EOS and -3% stores</t>
        </r>
      </text>
    </comment>
    <comment ref="K80" authorId="11">
      <text>
        <r>
          <rPr>
            <b/>
            <sz val="9"/>
            <color indexed="81"/>
            <rFont val="Tahoma"/>
            <family val="2"/>
          </rPr>
          <t>Baglione, Gregory  (Research):</t>
        </r>
        <r>
          <rPr>
            <sz val="9"/>
            <color indexed="81"/>
            <rFont val="Tahoma"/>
            <family val="2"/>
          </rPr>
          <t xml:space="preserve">
1/26/16
+9% CC</t>
        </r>
      </text>
    </comment>
    <comment ref="P80" authorId="11">
      <text>
        <r>
          <rPr>
            <b/>
            <sz val="9"/>
            <color indexed="81"/>
            <rFont val="Tahoma"/>
            <family val="2"/>
          </rPr>
          <t>Baglione, Gregory  (Research):</t>
        </r>
        <r>
          <rPr>
            <sz val="9"/>
            <color indexed="81"/>
            <rFont val="Tahoma"/>
            <family val="2"/>
          </rPr>
          <t xml:space="preserve">
1/26/16
"Total China sales rose 2% in dollars and 5% in constant currency with double-digit growth and positive comparable store sales on the Mainland offset in part by continued weakness in Hong Kong and Macau."</t>
        </r>
      </text>
    </comment>
    <comment ref="U80" authorId="11">
      <text>
        <r>
          <rPr>
            <b/>
            <sz val="9"/>
            <color indexed="81"/>
            <rFont val="Tahoma"/>
            <family val="2"/>
          </rPr>
          <t>Baglione, Gregory  (Research):</t>
        </r>
        <r>
          <rPr>
            <sz val="9"/>
            <color indexed="81"/>
            <rFont val="Tahoma"/>
            <family val="2"/>
          </rPr>
          <t xml:space="preserve">
1/26/16
sales rose 2% on a constant currency basis, despite a decrease in square footage and consistent with expectations, while dollar sales declined 3%, reflecting the weaker yen.</t>
        </r>
      </text>
    </comment>
    <comment ref="Y80" authorId="11">
      <text>
        <r>
          <rPr>
            <b/>
            <sz val="9"/>
            <color indexed="81"/>
            <rFont val="Tahoma"/>
            <family val="2"/>
          </rPr>
          <t>Baglione, Gregory  (Research):</t>
        </r>
        <r>
          <rPr>
            <sz val="9"/>
            <color indexed="81"/>
            <rFont val="Tahoma"/>
            <family val="2"/>
          </rPr>
          <t xml:space="preserve">
1/26/16
" Sales for the remaining directly operated businesses in Asia grew modestly in constant currency but declined in dollars, while Europe remained very strong, growing at a double digit pace in both total and comparable store sales. At POS, sales in international wholesale locations increased slightly, driven by strong domestic performance offset in large part by relatively weak tourist location results. Net sales into the channel grew significantly from prior year positively impacted by shipment timing to ensure appropriate inventory positions for Chinese New Year."</t>
        </r>
      </text>
    </comment>
    <comment ref="AO80" authorId="1">
      <text>
        <r>
          <rPr>
            <b/>
            <sz val="9"/>
            <color indexed="81"/>
            <rFont val="Tahoma"/>
            <family val="2"/>
          </rPr>
          <t>casselau:</t>
        </r>
        <r>
          <rPr>
            <sz val="9"/>
            <color indexed="81"/>
            <rFont val="Tahoma"/>
            <family val="2"/>
          </rPr>
          <t xml:space="preserve">
North America Gross Profit decreased 10.9% or $54.8 million to $447.3 million in the second quarter of fiscal 2016. </t>
        </r>
      </text>
    </comment>
    <comment ref="AQ80" authorId="1">
      <text>
        <r>
          <rPr>
            <b/>
            <sz val="9"/>
            <color indexed="81"/>
            <rFont val="Tahoma"/>
            <family val="2"/>
          </rPr>
          <t>casselau:</t>
        </r>
        <r>
          <rPr>
            <sz val="9"/>
            <color indexed="81"/>
            <rFont val="Tahoma"/>
            <family val="2"/>
          </rPr>
          <t xml:space="preserve">
Gross margin decreased 280 basis points to 61.2% in the second quarter of fiscal 2016. The decrease in gross margin is primarily attributable to increased promotional activity, negatively impacting gross margin by 210 basis points, primarily in our outlet and wholesale channels, as well as the negative effects of foreign currency and increased duties, negatively impacting gross margin by 50 basis points. Furthermore, the impact of a higher mix of elevated product sales primarily in our outlet stores, which contained higher average unit costs, negatively impacted gross margin by 20 basis points.</t>
        </r>
      </text>
    </comment>
    <comment ref="AS80" authorId="1">
      <text>
        <r>
          <rPr>
            <b/>
            <sz val="9"/>
            <color indexed="81"/>
            <rFont val="Tahoma"/>
            <family val="2"/>
          </rPr>
          <t>casselau:</t>
        </r>
        <r>
          <rPr>
            <sz val="9"/>
            <color indexed="81"/>
            <rFont val="Tahoma"/>
            <family val="2"/>
          </rPr>
          <t xml:space="preserve">
International Gross Profit increased 1.5% or $5.0 million to $327.4 million in the second quarter of fiscal 2016.</t>
        </r>
      </text>
    </comment>
    <comment ref="AU80" authorId="1">
      <text>
        <r>
          <rPr>
            <b/>
            <sz val="9"/>
            <color indexed="81"/>
            <rFont val="Tahoma"/>
            <family val="2"/>
          </rPr>
          <t>casselau:</t>
        </r>
        <r>
          <rPr>
            <sz val="9"/>
            <color indexed="81"/>
            <rFont val="Tahoma"/>
            <family val="2"/>
          </rPr>
          <t xml:space="preserve">
Gross margin decreased 180 basis points to 74.9% in the second quarter of fiscal 2016. Excluding the impact of foreign currency, International gross margin increased 60 basis points due to the favorable effects of decreased duty costs, positively impacting gross margin by 60 basis points, and a decline in promotional activity, particularly in Japan, positively impacting gross margin by 30 basis points. These increases were partially offset by a less favorable geographic mix of our sales, particularly as a result of the growth of our Europe and international wholesale businesses. Foreign currency negatively impacted gross margin by 240 basis points, primarily due to the Japanese Yen.</t>
        </r>
      </text>
    </comment>
    <comment ref="AW80" authorId="1">
      <text>
        <r>
          <rPr>
            <b/>
            <sz val="9"/>
            <color indexed="81"/>
            <rFont val="Tahoma"/>
            <family val="2"/>
          </rPr>
          <t>casselau:</t>
        </r>
        <r>
          <rPr>
            <sz val="9"/>
            <color indexed="81"/>
            <rFont val="Tahoma"/>
            <family val="2"/>
          </rPr>
          <t xml:space="preserve">
Stuart Weitzman Gross Profit totaled $60.5 million during the second quarter of fiscal 2016, resulting in a gross margin of 64.3%.</t>
        </r>
      </text>
    </comment>
    <comment ref="AY80" authorId="1">
      <text>
        <r>
          <rPr>
            <b/>
            <sz val="9"/>
            <color indexed="81"/>
            <rFont val="Tahoma"/>
            <family val="2"/>
          </rPr>
          <t>casselau:</t>
        </r>
        <r>
          <rPr>
            <sz val="9"/>
            <color indexed="81"/>
            <rFont val="Tahoma"/>
            <family val="2"/>
          </rPr>
          <t xml:space="preserve">
Stuart Weitzman Gross Profit totaled $60.5 million during the second quarter of fiscal 2016, resulting in a gross margin of 64.3%.</t>
        </r>
      </text>
    </comment>
    <comment ref="BA80" authorId="1">
      <text>
        <r>
          <rPr>
            <b/>
            <sz val="9"/>
            <color indexed="81"/>
            <rFont val="Tahoma"/>
            <family val="2"/>
          </rPr>
          <t>casselau:</t>
        </r>
        <r>
          <rPr>
            <sz val="9"/>
            <color indexed="81"/>
            <rFont val="Tahoma"/>
            <family val="2"/>
          </rPr>
          <t xml:space="preserve">
Corporate Unallocated Gross Profit increased $8.5 million from $5.8 million in the second quarter of fiscal 2015 to $14.3 million in the second quarter of fiscal 2016, primarily due to the impact of decreased inventory reserves, decreased inventory scrap levels and decreased transformation-related charges.</t>
        </r>
      </text>
    </comment>
    <comment ref="BE80" authorId="1">
      <text>
        <r>
          <rPr>
            <b/>
            <sz val="9"/>
            <color indexed="81"/>
            <rFont val="Tahoma"/>
            <family val="2"/>
          </rPr>
          <t>casselau:</t>
        </r>
        <r>
          <rPr>
            <sz val="9"/>
            <color indexed="81"/>
            <rFont val="Tahoma"/>
            <family val="2"/>
          </rPr>
          <t xml:space="preserve">
North America Operating Income decreased 16.2% or $48.1 million to $248.2 million in the second quarter of fiscal 2016 reflecting the decrease in gross profit of $54.8 million which was partially offset by lower SG&amp;A expenses of $6.7 million. The decrease in SG&amp;A expenses was due to lower variable selling costs as a result of lower sales in our North America stores and Internet business.</t>
        </r>
      </text>
    </comment>
    <comment ref="BG80" authorId="1">
      <text>
        <r>
          <rPr>
            <b/>
            <sz val="9"/>
            <color indexed="81"/>
            <rFont val="Tahoma"/>
            <family val="2"/>
          </rPr>
          <t>casselau:</t>
        </r>
        <r>
          <rPr>
            <sz val="9"/>
            <color indexed="81"/>
            <rFont val="Tahoma"/>
            <family val="2"/>
          </rPr>
          <t xml:space="preserve">
Operating margin decreased 380 basis points to 34.0% in the second quarter of fiscal 2016 due to lower gross margin of 280 basis points and higher SG&amp;A expense as a percentage of net sales of 100 basis points. </t>
        </r>
      </text>
    </comment>
    <comment ref="BI80" authorId="1">
      <text>
        <r>
          <rPr>
            <b/>
            <sz val="9"/>
            <color indexed="81"/>
            <rFont val="Tahoma"/>
            <family val="2"/>
          </rPr>
          <t>casselau:</t>
        </r>
        <r>
          <rPr>
            <sz val="9"/>
            <color indexed="81"/>
            <rFont val="Tahoma"/>
            <family val="2"/>
          </rPr>
          <t xml:space="preserve">
International Operating Income increased 1.7% or $2.2 million to $130.6 million in the second quarter of fiscal 2016 primarily reflecting higher gross profit of $5.0 million, partially offset by higher SG&amp;A expenses of $2.8 million. The increase in SG&amp;A expenses is primarily related to an increase in selling costs in Europe to support the growth of the business as well as higher selling and occupancy costs as a result of net new store openings in Greater China, partially offset by lower expenses in Japan due to the impact of favorable foreign currency effects, lower compensation-related costs and a decrease in occupancy costs. </t>
        </r>
      </text>
    </comment>
    <comment ref="BK80" authorId="1">
      <text>
        <r>
          <rPr>
            <b/>
            <sz val="9"/>
            <color indexed="81"/>
            <rFont val="Tahoma"/>
            <family val="2"/>
          </rPr>
          <t>casselau:</t>
        </r>
        <r>
          <rPr>
            <sz val="9"/>
            <color indexed="81"/>
            <rFont val="Tahoma"/>
            <family val="2"/>
          </rPr>
          <t xml:space="preserve">
Operating margin decreased 60 basis points to 29.9% in fiscal 2016 due to lower gross margin of 180 basis points partially offset by lower overall SG&amp;A expenses, primarily selling expenses, as a percentage of net sales which decreased by 120 basis points.</t>
        </r>
      </text>
    </comment>
    <comment ref="BS80" authorId="1">
      <text>
        <r>
          <rPr>
            <b/>
            <sz val="9"/>
            <color indexed="81"/>
            <rFont val="Tahoma"/>
            <family val="2"/>
          </rPr>
          <t>casselau:</t>
        </r>
        <r>
          <rPr>
            <sz val="9"/>
            <color indexed="81"/>
            <rFont val="Tahoma"/>
            <family val="2"/>
          </rPr>
          <t xml:space="preserve">
Stuart Weitzman Operating Income totaled $18.3 million during the second quarter of fiscal 2016, resulting in an operating margin of 19.4%. Excluding non-GAAP adjustments, including the short-term impact of purchase accounting and other acquisition and integration-related costs,</t>
        </r>
        <r>
          <rPr>
            <b/>
            <sz val="9"/>
            <color indexed="81"/>
            <rFont val="Tahoma"/>
            <family val="2"/>
          </rPr>
          <t xml:space="preserve"> Stuart Weitzman operating income totaled $22.2 million, resulting in an operating margin of 23.6%.</t>
        </r>
      </text>
    </comment>
    <comment ref="BU80" authorId="1">
      <text>
        <r>
          <rPr>
            <b/>
            <sz val="9"/>
            <color indexed="81"/>
            <rFont val="Tahoma"/>
            <family val="2"/>
          </rPr>
          <t>casselau:</t>
        </r>
        <r>
          <rPr>
            <sz val="9"/>
            <color indexed="81"/>
            <rFont val="Tahoma"/>
            <family val="2"/>
          </rPr>
          <t xml:space="preserve">
Corporate Unallocated Operating Expense decreased $13.8 million to $142.5 million in the second quarter of fiscal 2016, a decrease of 8.8% from $156.3 million in the second quarter of fiscal 2015. Excluding non-GAAP adjustments, unallocated operating expenses decreased by $10.3 million to </t>
        </r>
        <r>
          <rPr>
            <b/>
            <sz val="9"/>
            <color indexed="81"/>
            <rFont val="Tahoma"/>
            <family val="2"/>
          </rPr>
          <t xml:space="preserve">$122.4 million in the second quarter of fiscal 2016. This decrease is primarily related to decreased inventory reserves, lower compensation and benefit related costs and lower occupancy costs when compared to the same period in the prior year. </t>
        </r>
      </text>
    </comment>
    <comment ref="D81" authorId="12">
      <text>
        <r>
          <rPr>
            <b/>
            <sz val="9"/>
            <color indexed="81"/>
            <rFont val="Tahoma"/>
            <family val="2"/>
          </rPr>
          <t>Cassel, Lauren (Research):</t>
        </r>
        <r>
          <rPr>
            <sz val="9"/>
            <color indexed="81"/>
            <rFont val="Tahoma"/>
            <family val="2"/>
          </rPr>
          <t xml:space="preserve">
4/26/16: Both our retail and outlet stores in North America sequentially improved from the holiday quarter and e-commerce was an overall contributor as well;  at POS, sales at North American department stores declined at a mid-single-digit rate versus prior year given the lack of clearance inventory, while net sales into department stores rose slightly. </t>
        </r>
      </text>
    </comment>
    <comment ref="E81" authorId="12">
      <text>
        <r>
          <rPr>
            <b/>
            <sz val="9"/>
            <color indexed="81"/>
            <rFont val="Tahoma"/>
            <family val="2"/>
          </rPr>
          <t>Cassel, Lauren (Research):</t>
        </r>
        <r>
          <rPr>
            <sz val="9"/>
            <color indexed="81"/>
            <rFont val="Tahoma"/>
            <family val="2"/>
          </rPr>
          <t xml:space="preserve">
+2% CC; Direct sales +1% (+2% CC)</t>
        </r>
      </text>
    </comment>
    <comment ref="G81" authorId="1">
      <text>
        <r>
          <rPr>
            <b/>
            <sz val="9"/>
            <color indexed="81"/>
            <rFont val="Tahoma"/>
            <family val="2"/>
          </rPr>
          <t>casselau:</t>
        </r>
        <r>
          <rPr>
            <sz val="9"/>
            <color indexed="81"/>
            <rFont val="Tahoma"/>
            <family val="2"/>
          </rPr>
          <t xml:space="preserve">
4/28/15: 3Q16 will be apples to apples on EOS.</t>
        </r>
      </text>
    </comment>
    <comment ref="K81" authorId="12">
      <text>
        <r>
          <rPr>
            <b/>
            <sz val="9"/>
            <color indexed="81"/>
            <rFont val="Tahoma"/>
            <family val="2"/>
          </rPr>
          <t>Cassel, Lauren (Research):</t>
        </r>
        <r>
          <rPr>
            <sz val="9"/>
            <color indexed="81"/>
            <rFont val="Tahoma"/>
            <family val="2"/>
          </rPr>
          <t xml:space="preserve">
+7% CC</t>
        </r>
      </text>
    </comment>
    <comment ref="O81" authorId="12">
      <text>
        <r>
          <rPr>
            <b/>
            <sz val="9"/>
            <color indexed="81"/>
            <rFont val="Tahoma"/>
            <family val="2"/>
          </rPr>
          <t>Cassel, Lauren (Research):</t>
        </r>
        <r>
          <rPr>
            <sz val="9"/>
            <color indexed="81"/>
            <rFont val="Tahoma"/>
            <family val="2"/>
          </rPr>
          <t xml:space="preserve">
4/26/16: double-digit growth and positive comparable store sales on the Mainland offset in part by continued weakness in Hong Kong and Macau</t>
        </r>
      </text>
    </comment>
    <comment ref="U81" authorId="12">
      <text>
        <r>
          <rPr>
            <b/>
            <sz val="9"/>
            <color indexed="81"/>
            <rFont val="Tahoma"/>
            <family val="2"/>
          </rPr>
          <t>Cassel, Lauren (Research):</t>
        </r>
        <r>
          <rPr>
            <sz val="9"/>
            <color indexed="81"/>
            <rFont val="Tahoma"/>
            <family val="2"/>
          </rPr>
          <t xml:space="preserve">
4/26/16: In Japan, sales rose 7% in constant currency, despite a decrease in square footage, while dollar sales rose 8%, reflecting the stronger yen.</t>
        </r>
      </text>
    </comment>
    <comment ref="Y81" authorId="12">
      <text>
        <r>
          <rPr>
            <b/>
            <sz val="9"/>
            <color indexed="81"/>
            <rFont val="Tahoma"/>
            <family val="2"/>
          </rPr>
          <t>Cassel, Lauren (Research):</t>
        </r>
        <r>
          <rPr>
            <sz val="9"/>
            <color indexed="81"/>
            <rFont val="Tahoma"/>
            <family val="2"/>
          </rPr>
          <t xml:space="preserve">
4/26/16: Sales for the remaining directly operated businesses in Asia posted solid growth in constant currency but rose slightly in dollars, while Europe remained very strong, growing at a double-digit pace driven by both comparable store sales and distribution increases. At POS, sales in international wholesale locations increased moderately, driven by strong domestic performance offset in part by relatively weaker tourist location results. Net sales into the channel grew modestly from prior year negatively impacted by shipment timing with the second quarter. </t>
        </r>
      </text>
    </comment>
    <comment ref="AC81" authorId="11">
      <text>
        <r>
          <rPr>
            <b/>
            <sz val="9"/>
            <color indexed="81"/>
            <rFont val="Tahoma"/>
            <family val="2"/>
          </rPr>
          <t>Baglione, Gregory  (Research):</t>
        </r>
        <r>
          <rPr>
            <sz val="9"/>
            <color indexed="81"/>
            <rFont val="Tahoma"/>
            <family val="2"/>
          </rPr>
          <t xml:space="preserve">
1/26/16
"the company is now forecasting revenue for the brand to be in the area of $340 million on a reported dollar basis for fiscal 2016, driving Coach, Inc. total revenue growth to high-single digits on a constant currency basis and adding about $0.12 to earnings per diluted share, excluding charges associated with financing, short-term purchase accounting adjustments and contingent payments, and integration costs. "</t>
        </r>
      </text>
    </comment>
    <comment ref="AQ81" authorId="12">
      <text>
        <r>
          <rPr>
            <b/>
            <sz val="9"/>
            <color indexed="81"/>
            <rFont val="Tahoma"/>
            <family val="2"/>
          </rPr>
          <t>Cassel, Lauren (Research):</t>
        </r>
        <r>
          <rPr>
            <sz val="9"/>
            <color indexed="81"/>
            <rFont val="Tahoma"/>
            <family val="2"/>
          </rPr>
          <t xml:space="preserve">
The decrease in gross margin is attributable to increased promotional activity, primarily in our outlet channel, as well as the impact of increased duties, negatively impacting gross margin by 270 basis points and 50 basis points, respectively. These decreases were partially offset by the impact of an improved mix of elevated product sales and higher initial mark-ups, primarily in our outlet stores, favorably impacting gross margin by 160 basis points. </t>
        </r>
      </text>
    </comment>
    <comment ref="AU81" authorId="12">
      <text>
        <r>
          <rPr>
            <b/>
            <sz val="9"/>
            <color indexed="81"/>
            <rFont val="Tahoma"/>
            <family val="2"/>
          </rPr>
          <t>Cassel, Lauren (Research):</t>
        </r>
        <r>
          <rPr>
            <sz val="9"/>
            <color indexed="81"/>
            <rFont val="Tahoma"/>
            <family val="2"/>
          </rPr>
          <t xml:space="preserve">
Excluding the impact of foreign currency, International gross margin increased 100 basis points primarily due to an 80 basis point favorable impact of decreased inventory reserves, and the favorable impact of an improved mix of elevated product sales, particularly in China and Japan, positively impacting gross margin by 80 basis points. These increases were partially offset by a less favorable geographic mix of our sales, particularly as a result of the growth of our Europe and international wholesale businesses, negatively impacting gross margin by 60 basis points. Foreign currency negatively impacted gross margin by 230 basis points, primarily due to the Japanese Yen.</t>
        </r>
      </text>
    </comment>
    <comment ref="BA81" authorId="12">
      <text>
        <r>
          <rPr>
            <b/>
            <sz val="9"/>
            <color indexed="81"/>
            <rFont val="Tahoma"/>
            <family val="2"/>
          </rPr>
          <t>Cassel, Lauren (Research):</t>
        </r>
        <r>
          <rPr>
            <sz val="9"/>
            <color indexed="81"/>
            <rFont val="Tahoma"/>
            <family val="2"/>
          </rPr>
          <t xml:space="preserve">
Corporate Unallocated Gross Profit decreased $1.9 million from $15.9 million in the third quarter of fiscal 2015 to $14.0 million in the third quarter of fiscal 2016, primarily due to the impact of increased inventory reserves.</t>
        </r>
      </text>
    </comment>
    <comment ref="BE81" authorId="12">
      <text>
        <r>
          <rPr>
            <b/>
            <sz val="9"/>
            <color indexed="81"/>
            <rFont val="Tahoma"/>
            <family val="2"/>
          </rPr>
          <t>Cassel, Lauren (Research):</t>
        </r>
        <r>
          <rPr>
            <sz val="9"/>
            <color indexed="81"/>
            <rFont val="Tahoma"/>
            <family val="2"/>
          </rPr>
          <t xml:space="preserve">
North America Operating Income increased 0.9% or $1.2 million to $135.5 million in the third quarter of fiscal 2016 reflecting lower SG&amp;A expenses of $6.0 million, partially offset by the decrease in gross profit of $4.8 million. The decrease in SG&amp;A expenses was due to lower store-related costs, largely driven by net store closures. </t>
        </r>
      </text>
    </comment>
    <comment ref="BG81" authorId="12">
      <text>
        <r>
          <rPr>
            <b/>
            <sz val="9"/>
            <color indexed="81"/>
            <rFont val="Tahoma"/>
            <family val="2"/>
          </rPr>
          <t>Cassel, Lauren (Research):</t>
        </r>
        <r>
          <rPr>
            <sz val="9"/>
            <color indexed="81"/>
            <rFont val="Tahoma"/>
            <family val="2"/>
          </rPr>
          <t xml:space="preserve">
Operating margin decreased 10 basis points to 27.1% in the third quarter of fiscal 2016 from 27.2% during the same period in the prior year due to lower gross margin of 160 basis points partially offset by lower SG&amp;A expense as a percentage of net sales of 150 basis points. </t>
        </r>
      </text>
    </comment>
    <comment ref="BI81" authorId="12">
      <text>
        <r>
          <rPr>
            <b/>
            <sz val="9"/>
            <color indexed="81"/>
            <rFont val="Tahoma"/>
            <family val="2"/>
          </rPr>
          <t>Cassel, Lauren (Research):</t>
        </r>
        <r>
          <rPr>
            <sz val="9"/>
            <color indexed="81"/>
            <rFont val="Tahoma"/>
            <family val="2"/>
          </rPr>
          <t xml:space="preserve">
International Operating Income increased 8.3% or $11.6 million to $151.7 million in the third quarter of fiscal 2016 primarily reflecting higher gross profit of $9.6 million, as well as lower SG&amp;A expenses of $2.0 million. The decrease in SG&amp;A expenses is primarily related to lower store-related costs in Asia (excluding Greater China), including depreciation expense, rent and employee compensation. </t>
        </r>
      </text>
    </comment>
    <comment ref="BK81" authorId="12">
      <text>
        <r>
          <rPr>
            <b/>
            <sz val="9"/>
            <color indexed="81"/>
            <rFont val="Tahoma"/>
            <family val="2"/>
          </rPr>
          <t>Cassel, Lauren (Research):</t>
        </r>
        <r>
          <rPr>
            <sz val="9"/>
            <color indexed="81"/>
            <rFont val="Tahoma"/>
            <family val="2"/>
          </rPr>
          <t xml:space="preserve">
Operating margin increased 120 basis points to 33.9% in fiscal 2016 from 32.7% during the same period in the prior year primarily due to lower overall SG&amp;A expenses, primarily selling expenses, as a percentage of net sales which decreased by 250 basis points, partially offset by lower gross margin of 130 basis points.</t>
        </r>
      </text>
    </comment>
    <comment ref="BS81" authorId="12">
      <text>
        <r>
          <rPr>
            <b/>
            <sz val="9"/>
            <color indexed="81"/>
            <rFont val="Tahoma"/>
            <family val="2"/>
          </rPr>
          <t>Cassel, Lauren (Research):</t>
        </r>
        <r>
          <rPr>
            <sz val="9"/>
            <color indexed="81"/>
            <rFont val="Tahoma"/>
            <family val="2"/>
          </rPr>
          <t xml:space="preserve">
Stuart Weitzman Operating Income totaled $4.7 million during the third quarter of fiscal 2016, resulting in an operating margin of 5.9%. Excluding non-GAAP adjustments, including the short-term impact of purchase accounting and other acquisition and integration-related costs, Stuart Weitzman operating income totaled $7.4 million, resulting in an operating margin of 9.3%.</t>
        </r>
      </text>
    </comment>
    <comment ref="BU81" authorId="12">
      <text>
        <r>
          <rPr>
            <b/>
            <sz val="9"/>
            <color indexed="81"/>
            <rFont val="Tahoma"/>
            <family val="2"/>
          </rPr>
          <t>Cassel, Lauren (Research):</t>
        </r>
        <r>
          <rPr>
            <sz val="9"/>
            <color indexed="81"/>
            <rFont val="Tahoma"/>
            <family val="2"/>
          </rPr>
          <t xml:space="preserve">
Corporate Unallocated Operating Expense increased $6.9 million to $161.6 million in the third quarter of fiscal 2016, an increase of 4.4% from $154.7 million in the third quarter of fiscal 2015. </t>
        </r>
        <r>
          <rPr>
            <b/>
            <sz val="9"/>
            <color indexed="81"/>
            <rFont val="Tahoma"/>
            <family val="2"/>
          </rPr>
          <t xml:space="preserve">Excluding non-GAAP adjustments, unallocated operating expenses increased by $14.6 million to $146.8 million in the third quarter of fiscal 2016. </t>
        </r>
        <r>
          <rPr>
            <sz val="9"/>
            <color indexed="81"/>
            <rFont val="Tahoma"/>
            <family val="2"/>
          </rPr>
          <t xml:space="preserve">This increase is primarily related to higher technology costs, the impact of higher inventory reserves and litigation reserves, partially offset by lower Coach brand occupancy costs. </t>
        </r>
      </text>
    </comment>
    <comment ref="D82" authorId="1">
      <text>
        <r>
          <rPr>
            <b/>
            <sz val="9"/>
            <color indexed="81"/>
            <rFont val="Tahoma"/>
            <family val="2"/>
          </rPr>
          <t>casselau:
8/9/16: includes $44M related 53rd week; At POS dept store sales declined at a mid-teens rate; net sales into dept stores declined -HSD</t>
        </r>
        <r>
          <rPr>
            <sz val="9"/>
            <color indexed="81"/>
            <rFont val="Tahoma"/>
            <family val="2"/>
          </rPr>
          <t xml:space="preserve">
**Extra week expected to contribute $75-80M in incremental revenue</t>
        </r>
      </text>
    </comment>
    <comment ref="E82" authorId="12">
      <text>
        <r>
          <rPr>
            <b/>
            <sz val="9"/>
            <color indexed="81"/>
            <rFont val="Tahoma"/>
            <family val="2"/>
          </rPr>
          <t>Cassel, Lauren (Research):</t>
        </r>
        <r>
          <rPr>
            <sz val="9"/>
            <color indexed="81"/>
            <rFont val="Tahoma"/>
            <family val="2"/>
          </rPr>
          <t xml:space="preserve">
+9% CC as well; Direc tsales +10% on a dollar basis +11% CC</t>
        </r>
      </text>
    </comment>
    <comment ref="G82" authorId="1">
      <text>
        <r>
          <rPr>
            <b/>
            <sz val="9"/>
            <color indexed="81"/>
            <rFont val="Tahoma"/>
            <family val="2"/>
          </rPr>
          <t>casselau:
8/9/16: eComm added 1 pt to comp</t>
        </r>
        <r>
          <rPr>
            <sz val="9"/>
            <color indexed="81"/>
            <rFont val="Tahoma"/>
            <family val="2"/>
          </rPr>
          <t xml:space="preserve">
8/4/15: mgmt: expect positive comps in 4Q</t>
        </r>
      </text>
    </comment>
    <comment ref="J82" authorId="1">
      <text>
        <r>
          <rPr>
            <b/>
            <sz val="9"/>
            <color indexed="81"/>
            <rFont val="Tahoma"/>
            <family val="2"/>
          </rPr>
          <t>casselau:
8/9/16: includes $32M from extra week</t>
        </r>
        <r>
          <rPr>
            <sz val="9"/>
            <color indexed="81"/>
            <rFont val="Tahoma"/>
            <family val="2"/>
          </rPr>
          <t xml:space="preserve">
**Extra week expected to contribute $75-80M in incremental revenue</t>
        </r>
      </text>
    </comment>
    <comment ref="L82" authorId="12">
      <text>
        <r>
          <rPr>
            <b/>
            <sz val="9"/>
            <color indexed="81"/>
            <rFont val="Tahoma"/>
            <family val="2"/>
          </rPr>
          <t>Cassel, Lauren (Research):</t>
        </r>
        <r>
          <rPr>
            <sz val="9"/>
            <color indexed="81"/>
            <rFont val="Tahoma"/>
            <family val="2"/>
          </rPr>
          <t xml:space="preserve">
5% CC ex extra week</t>
        </r>
      </text>
    </comment>
    <comment ref="O82" authorId="12">
      <text>
        <r>
          <rPr>
            <b/>
            <sz val="9"/>
            <color indexed="81"/>
            <rFont val="Tahoma"/>
            <family val="2"/>
          </rPr>
          <t>Cassel, Lauren (Research):</t>
        </r>
        <r>
          <rPr>
            <sz val="9"/>
            <color indexed="81"/>
            <rFont val="Tahoma"/>
            <family val="2"/>
          </rPr>
          <t xml:space="preserve">
8/9/16: +DD growth and positive comps on the Mainland offset by continued weakness in HK and Macau</t>
        </r>
      </text>
    </comment>
    <comment ref="P82" authorId="1">
      <text>
        <r>
          <rPr>
            <b/>
            <sz val="9"/>
            <color indexed="81"/>
            <rFont val="Tahoma"/>
            <family val="2"/>
          </rPr>
          <t>casselau:</t>
        </r>
        <r>
          <rPr>
            <sz val="9"/>
            <color indexed="81"/>
            <rFont val="Tahoma"/>
            <family val="2"/>
          </rPr>
          <t xml:space="preserve">
10/26/15: positive comps in Mainland offset continued weakness in HK and Macau</t>
        </r>
      </text>
    </comment>
    <comment ref="V82" authorId="12">
      <text>
        <r>
          <rPr>
            <b/>
            <sz val="9"/>
            <color indexed="81"/>
            <rFont val="Tahoma"/>
            <family val="2"/>
          </rPr>
          <t>Cassel, Lauren (Research):</t>
        </r>
        <r>
          <rPr>
            <sz val="9"/>
            <color indexed="81"/>
            <rFont val="Tahoma"/>
            <family val="2"/>
          </rPr>
          <t xml:space="preserve">
8/9/16: decline expected given the anniversary of the dramatic increase in Chinese tourists LY</t>
        </r>
      </text>
    </comment>
    <comment ref="Y82" authorId="12">
      <text>
        <r>
          <rPr>
            <b/>
            <sz val="9"/>
            <color indexed="81"/>
            <rFont val="Tahoma"/>
            <family val="2"/>
          </rPr>
          <t>Cassel, Lauren (Research):</t>
        </r>
        <r>
          <rPr>
            <sz val="9"/>
            <color indexed="81"/>
            <rFont val="Tahoma"/>
            <family val="2"/>
          </rPr>
          <t xml:space="preserve">
8/9/16:  Sales for the remaining directly operated businesses in Asia rose low-single digits in dollars and posted solid growth in constant currency on a 13-week basis, while Europe remained very strong, growing at a double-digit pace driven by both distribution and comparable store sales increases. At POS, sales in international wholesale locations increased modestly, driven by strong domestic performance offset in part by relatively weaker tourist location results. Net sales into the channel decreased from prior year, as planned, negatively impacted by shipment timing. </t>
        </r>
      </text>
    </comment>
    <comment ref="AC82" authorId="11">
      <text>
        <r>
          <rPr>
            <b/>
            <sz val="9"/>
            <color indexed="81"/>
            <rFont val="Tahoma"/>
            <family val="2"/>
          </rPr>
          <t>Baglione, Gregory  (Research):</t>
        </r>
        <r>
          <rPr>
            <sz val="9"/>
            <color indexed="81"/>
            <rFont val="Tahoma"/>
            <family val="2"/>
          </rPr>
          <t xml:space="preserve">
1/26/16
"the company is now forecasting revenue for the brand to be in the area of $340 million on a reported dollar basis for fiscal 2016, driving Coach, Inc. total revenue growth to high-single digits on a constant currency basis and adding about $0.12 to earnings per diluted share, excluding charges associated with financing, short-term purchase accounting adjustments and contingent payments, and integration costs. "</t>
        </r>
      </text>
    </comment>
    <comment ref="AP82" authorId="12">
      <text>
        <r>
          <rPr>
            <b/>
            <sz val="9"/>
            <color indexed="81"/>
            <rFont val="Tahoma"/>
            <family val="2"/>
          </rPr>
          <t>Cassel, Lauren (Research):</t>
        </r>
        <r>
          <rPr>
            <sz val="9"/>
            <color indexed="81"/>
            <rFont val="Tahoma"/>
            <family val="2"/>
          </rPr>
          <t xml:space="preserve">
$77M in Coach brand revenue for 53rd week; NA is 57.4% of mix = $44.2M in 53rd week NA Coach brand revenue Using 61.5% 4Q NA gross margin rate = $27.2M incremental gross profit dollars
4Q total NA GP dollars = $372.5 - $27.2M from 53rd week = adjusted $345.3M, or -$4.7M y/y
</t>
        </r>
      </text>
    </comment>
    <comment ref="AT82" authorId="12">
      <text>
        <r>
          <rPr>
            <b/>
            <sz val="9"/>
            <color indexed="81"/>
            <rFont val="Tahoma"/>
            <family val="2"/>
          </rPr>
          <t>Cassel, Lauren (Research):</t>
        </r>
        <r>
          <rPr>
            <sz val="9"/>
            <color indexed="81"/>
            <rFont val="Tahoma"/>
            <family val="2"/>
          </rPr>
          <t xml:space="preserve">
$77M in Coach brand revenue for 53rd week; Intl  is 42.6% of mix = $32.8M in 53rd week Intl Coach brand revenue 
Using 75.3% 4Q NA gross margin rate = $24.7M incremental gross profit dollars
4Q total NA GP dollars = $338.8M - $24.7M from 53rd week = adjusted $314.1M, or +$11.3M y/y
</t>
        </r>
      </text>
    </comment>
    <comment ref="G83" authorId="1">
      <text>
        <r>
          <rPr>
            <b/>
            <sz val="9"/>
            <color indexed="81"/>
            <rFont val="Tahoma"/>
            <family val="2"/>
          </rPr>
          <t>casselau:</t>
        </r>
        <r>
          <rPr>
            <sz val="9"/>
            <color indexed="81"/>
            <rFont val="Tahoma"/>
            <family val="2"/>
          </rPr>
          <t xml:space="preserve">
8/4/15: expect sequential improvement throughout the year</t>
        </r>
      </text>
    </comment>
    <comment ref="N83" authorId="1">
      <text>
        <r>
          <rPr>
            <b/>
            <sz val="9"/>
            <color indexed="81"/>
            <rFont val="Tahoma"/>
            <family val="2"/>
          </rPr>
          <t xml:space="preserve">casselau:
4/26/15: Updating guidance to $600M to reflect continued softness in HK and Macau 
</t>
        </r>
        <r>
          <rPr>
            <sz val="9"/>
            <color indexed="81"/>
            <rFont val="Tahoma"/>
            <family val="2"/>
          </rPr>
          <t>1/26/16: Updating guidance to $610M from $625M to reflect currency devaluation since last call</t>
        </r>
        <r>
          <rPr>
            <b/>
            <sz val="9"/>
            <color indexed="81"/>
            <rFont val="Tahoma"/>
            <family val="2"/>
          </rPr>
          <t xml:space="preserve">
</t>
        </r>
        <r>
          <rPr>
            <sz val="9"/>
            <color indexed="81"/>
            <rFont val="Tahoma"/>
            <family val="2"/>
          </rPr>
          <t xml:space="preserve">
$625M target</t>
        </r>
      </text>
    </comment>
    <comment ref="O83" authorId="1">
      <text>
        <r>
          <rPr>
            <b/>
            <sz val="9"/>
            <color indexed="81"/>
            <rFont val="Tahoma"/>
            <family val="2"/>
          </rPr>
          <t>casselau:</t>
        </r>
        <r>
          <rPr>
            <sz val="9"/>
            <color indexed="81"/>
            <rFont val="Tahoma"/>
            <family val="2"/>
          </rPr>
          <t xml:space="preserve">
8/4/15: targeting modest sales gains in FY16 of about 5% to about $625 million, reflecting the current market conditions.
</t>
        </r>
      </text>
    </comment>
    <comment ref="Y83" authorId="1">
      <text>
        <r>
          <rPr>
            <b/>
            <sz val="9"/>
            <color indexed="81"/>
            <rFont val="Tahoma"/>
            <family val="2"/>
          </rPr>
          <t xml:space="preserve">casselau:
8/9/16: Overall, and despite these headwinds, our sales rose 50% to $135 million in fiscal 2016 and exceeded our guidance of $125 million. 
</t>
        </r>
        <r>
          <rPr>
            <sz val="9"/>
            <color indexed="81"/>
            <rFont val="Tahoma"/>
            <family val="2"/>
          </rPr>
          <t xml:space="preserve">
8/4/15: Europe: Overall, we expect that FY16 will be another year of very strong growth, with sales growing to about $125 million from $90M with long term $500M goal</t>
        </r>
      </text>
    </comment>
    <comment ref="AC83" authorId="1">
      <text>
        <r>
          <rPr>
            <b/>
            <sz val="9"/>
            <color indexed="81"/>
            <rFont val="Tahoma"/>
            <family val="2"/>
          </rPr>
          <t xml:space="preserve">casselau:
1/26/16: Stuart Weitzman’s sales and margin outperformance during the holiday quarter, the company is now forecasting revenue for the brand to be in the area of $340 million on a reported dollar basis for fiscal 2016
</t>
        </r>
        <r>
          <rPr>
            <sz val="9"/>
            <color indexed="81"/>
            <rFont val="Tahoma"/>
            <family val="2"/>
          </rPr>
          <t xml:space="preserve">
8/4/15: the company is forecasting Stuart Weitzman brand sales in the area of $335 million on a dollar basis for fiscal 2016 (+10% y/y), driving Coach, Inc. total revenue growth to high-single digits and adding about $0.09 to earnings per diluted share
</t>
        </r>
      </text>
    </comment>
    <comment ref="AO83" authorId="12">
      <text>
        <r>
          <rPr>
            <b/>
            <sz val="9"/>
            <color indexed="81"/>
            <rFont val="Tahoma"/>
            <family val="2"/>
          </rPr>
          <t>Cassel, Lauren (Research):</t>
        </r>
        <r>
          <rPr>
            <sz val="9"/>
            <color indexed="81"/>
            <rFont val="Tahoma"/>
            <family val="2"/>
          </rPr>
          <t xml:space="preserve">
North America Gross Profit decreased 6.1% or $96.2 million to $1.48 billion in fiscal 2016. </t>
        </r>
      </text>
    </comment>
    <comment ref="AQ83" authorId="12">
      <text>
        <r>
          <rPr>
            <b/>
            <sz val="9"/>
            <color indexed="81"/>
            <rFont val="Tahoma"/>
            <family val="2"/>
          </rPr>
          <t>Cassel, Lauren (Research):</t>
        </r>
        <r>
          <rPr>
            <sz val="9"/>
            <color indexed="81"/>
            <rFont val="Tahoma"/>
            <family val="2"/>
          </rPr>
          <t xml:space="preserve">
Gross margin decreased 210 basis points from 63.8% in fiscal 2015 to 61.7% in fiscal 2016. </t>
        </r>
        <r>
          <rPr>
            <b/>
            <sz val="9"/>
            <color indexed="81"/>
            <rFont val="Tahoma"/>
            <family val="2"/>
          </rPr>
          <t>The decrease in gross margin is primarily attributable to increased promotional activity, primarily in our outlet and wholesale channels, negatively impacting gross margin by 240 basis points,</t>
        </r>
        <r>
          <rPr>
            <sz val="9"/>
            <color indexed="81"/>
            <rFont val="Tahoma"/>
            <family val="2"/>
          </rPr>
          <t xml:space="preserve"> partially offset by the impact of an improved mix of elevated product sales and higher initial mark-ups, primarily in our outlet stores, favorably impacting gross margin by 40 basis points.</t>
        </r>
      </text>
    </comment>
    <comment ref="AS83" authorId="12">
      <text>
        <r>
          <rPr>
            <b/>
            <sz val="9"/>
            <color indexed="81"/>
            <rFont val="Tahoma"/>
            <family val="2"/>
          </rPr>
          <t>Cassel, Lauren (Research):</t>
        </r>
        <r>
          <rPr>
            <sz val="9"/>
            <color indexed="81"/>
            <rFont val="Tahoma"/>
            <family val="2"/>
          </rPr>
          <t xml:space="preserve">
International Gross Profit increased 3.0% or $37.4 million to $1.29 billion in fiscal 2016. </t>
        </r>
      </text>
    </comment>
    <comment ref="AU83" authorId="12">
      <text>
        <r>
          <rPr>
            <b/>
            <sz val="9"/>
            <color indexed="81"/>
            <rFont val="Tahoma"/>
            <family val="2"/>
          </rPr>
          <t>Cassel, Lauren (Research):</t>
        </r>
        <r>
          <rPr>
            <sz val="9"/>
            <color indexed="81"/>
            <rFont val="Tahoma"/>
            <family val="2"/>
          </rPr>
          <t xml:space="preserve">
Gross margin decreased 150 basis points from 77.0% in fiscal 2015 to 75.5% in fiscal 2016. </t>
        </r>
        <r>
          <rPr>
            <b/>
            <sz val="9"/>
            <color indexed="81"/>
            <rFont val="Tahoma"/>
            <family val="2"/>
          </rPr>
          <t xml:space="preserve">Foreign currency negatively impacted gross margin by 210 basis points, primarily due to the Japanese Yen. </t>
        </r>
        <r>
          <rPr>
            <sz val="9"/>
            <color indexed="81"/>
            <rFont val="Tahoma"/>
            <family val="2"/>
          </rPr>
          <t>Excluding the impact of foreign currency, International gross margin increased 60 basis points, primarily due to the favorable effects of decreased duty costs, positively impacting gross margin by 70 basis points. Furthermore, an improved mix of elevated product sales, particularly in Greater China and Japan, positively impacted gross margin by 50 basis points. These increases were partially offset by a less favorable geographic mix of our sales, negatively impacting gross margin by 40 basis points, particularly as a result of the growth of our Europe and international wholesale businesses.</t>
        </r>
      </text>
    </comment>
    <comment ref="AW83" authorId="12">
      <text>
        <r>
          <rPr>
            <b/>
            <sz val="9"/>
            <color indexed="81"/>
            <rFont val="Tahoma"/>
            <family val="2"/>
          </rPr>
          <t>Cassel, Lauren (Research):</t>
        </r>
        <r>
          <rPr>
            <sz val="9"/>
            <color indexed="81"/>
            <rFont val="Tahoma"/>
            <family val="2"/>
          </rPr>
          <t xml:space="preserve">
Stuart Weitzman Gross Profit was $202.4 million in fiscal 2016, and $19.9 in fiscal 2015, due to the inclusion of a full fiscal year impact of the Stuart Weitzman brand, compared to approximately two months in the prior fiscal year.</t>
        </r>
      </text>
    </comment>
    <comment ref="AY83" authorId="12">
      <text>
        <r>
          <rPr>
            <b/>
            <sz val="9"/>
            <color indexed="81"/>
            <rFont val="Tahoma"/>
            <family val="2"/>
          </rPr>
          <t>Cassel, Lauren (Research):</t>
        </r>
        <r>
          <rPr>
            <sz val="9"/>
            <color indexed="81"/>
            <rFont val="Tahoma"/>
            <family val="2"/>
          </rPr>
          <t xml:space="preserve">
 Furthermore, gross margin was 58.7% in fiscal 2016, compared to 46.4% in the short acquisition year of fiscal 2015 (which included the short-term impact of the amortization of the fair value of the inventory step-up).</t>
        </r>
      </text>
    </comment>
    <comment ref="BA83" authorId="12">
      <text>
        <r>
          <rPr>
            <b/>
            <sz val="9"/>
            <color indexed="81"/>
            <rFont val="Tahoma"/>
            <family val="2"/>
          </rPr>
          <t>Cassel, Lauren (Research):</t>
        </r>
        <r>
          <rPr>
            <sz val="9"/>
            <color indexed="81"/>
            <rFont val="Tahoma"/>
            <family val="2"/>
          </rPr>
          <t xml:space="preserve">
Corporate Unallocated Gross Profit increased $24.8 million from $27.2 million in fiscal 2015 to $52.0 million in fiscal 2016, primarily due to the impact of favorable inventory production variances, decreased transformation-related charges and decreased inventory reserve charges.</t>
        </r>
      </text>
    </comment>
    <comment ref="BE83" authorId="12">
      <text>
        <r>
          <rPr>
            <b/>
            <sz val="9"/>
            <color indexed="81"/>
            <rFont val="Tahoma"/>
            <family val="2"/>
          </rPr>
          <t>Cassel, Lauren (Research):</t>
        </r>
        <r>
          <rPr>
            <sz val="9"/>
            <color indexed="81"/>
            <rFont val="Tahoma"/>
            <family val="2"/>
          </rPr>
          <t xml:space="preserve">
North America Operating Income decreased 10.1% or $83.2 million to $737.3 million in fiscal 2016, reflecting the decrease in gross profit of $96.2 million which was partially offset by lower SG&amp;A expenses of $13.0 million. The decrease in SG&amp;A expenses was due to lower store-related costs, largely driven by net store closures, as well as decreased variable selling costs as a result of lower sales in North America stores, the Internet business and the wholesale channel. </t>
        </r>
      </text>
    </comment>
    <comment ref="BG83" authorId="12">
      <text>
        <r>
          <rPr>
            <b/>
            <sz val="9"/>
            <color indexed="81"/>
            <rFont val="Tahoma"/>
            <family val="2"/>
          </rPr>
          <t>Cassel, Lauren (Research):</t>
        </r>
        <r>
          <rPr>
            <sz val="9"/>
            <color indexed="81"/>
            <rFont val="Tahoma"/>
            <family val="2"/>
          </rPr>
          <t xml:space="preserve">
Operating margin decreased 250 basis points to 30.8% in fiscal 2016 from 33.3% during the same period in the prior year due to lower gross margin of 210 basis points and higher SG&amp;A expense as a percentage of net sales of 40 basis points.</t>
        </r>
      </text>
    </comment>
    <comment ref="BI83" authorId="12">
      <text>
        <r>
          <rPr>
            <b/>
            <sz val="9"/>
            <color indexed="81"/>
            <rFont val="Tahoma"/>
            <family val="2"/>
          </rPr>
          <t>Cassel, Lauren (Research):</t>
        </r>
        <r>
          <rPr>
            <sz val="9"/>
            <color indexed="81"/>
            <rFont val="Tahoma"/>
            <family val="2"/>
          </rPr>
          <t xml:space="preserve">
International Operating Income increased 6.7% or $32.1 million to $512.7 million in fiscal 2016, primarily reflecting an increase in gross profit of $37.4 million partially offset by higher SG&amp;A expenses of $5.3 million. The increase in SG&amp;A expenses is primarily related to an increase in employee compensation, depreciation expense related to our new modern luxury investments and increased occupancy costs in Europe and Greater China to support the growth of the business, partially offset by lower expenses in Japan and Asia (excluding Greater China) primarily due to decreased occupancy and employee compensation costs, as well as favorable foreign currency effects. </t>
        </r>
      </text>
    </comment>
    <comment ref="BK83" authorId="12">
      <text>
        <r>
          <rPr>
            <b/>
            <sz val="9"/>
            <color indexed="81"/>
            <rFont val="Tahoma"/>
            <family val="2"/>
          </rPr>
          <t>Cassel, Lauren (Research):</t>
        </r>
        <r>
          <rPr>
            <sz val="9"/>
            <color indexed="81"/>
            <rFont val="Tahoma"/>
            <family val="2"/>
          </rPr>
          <t xml:space="preserve">
Operating margin increased 50 basis points to 30.1% in fiscal 2016 from 29.6% during the same period in the prior year primarily due to lower overall SG&amp;A as a percentage of net sales which increased operating margin by 200 basis points, partially offset by lower gross margin of 150 basis points.</t>
        </r>
      </text>
    </comment>
    <comment ref="BQ83" authorId="12">
      <text>
        <r>
          <rPr>
            <b/>
            <sz val="9"/>
            <color indexed="81"/>
            <rFont val="Tahoma"/>
            <family val="2"/>
          </rPr>
          <t>Cassel, Lauren (Research):</t>
        </r>
        <r>
          <rPr>
            <sz val="9"/>
            <color indexed="81"/>
            <rFont val="Tahoma"/>
            <family val="2"/>
          </rPr>
          <t xml:space="preserve">
Stuart Weitzman Operating Income increased $37.1 million to $32.5 million in fiscal 2016, resulting in an operating margin of 9.4%, compared to an operating loss of $4.6 million in fiscal 2015, including the impact of non-GAAP charges as discussed in the "GAAP to Non-GAAP Reconciliation" herein. </t>
        </r>
      </text>
    </comment>
    <comment ref="BS83" authorId="12">
      <text>
        <r>
          <rPr>
            <b/>
            <sz val="9"/>
            <color indexed="81"/>
            <rFont val="Tahoma"/>
            <family val="2"/>
          </rPr>
          <t>Cassel, Lauren (Research):</t>
        </r>
        <r>
          <rPr>
            <sz val="9"/>
            <color indexed="81"/>
            <rFont val="Tahoma"/>
            <family val="2"/>
          </rPr>
          <t xml:space="preserve">
Excluding non-GAAP adjustments, including acquisition and integration-related costs as well as the short-term impact of purchase accounting, Stuart Weitzman operating income totaled $48.2 million in fiscal 2016, resulting in an operating margin of 14.0%. This compared to Stuart Weitzman operating income of approximately $4 million in fiscal 2015.</t>
        </r>
      </text>
    </comment>
    <comment ref="BU83" authorId="12">
      <text>
        <r>
          <rPr>
            <b/>
            <sz val="9"/>
            <color indexed="81"/>
            <rFont val="Tahoma"/>
            <family val="2"/>
          </rPr>
          <t>Cassel, Lauren (Research):</t>
        </r>
        <r>
          <rPr>
            <sz val="9"/>
            <color indexed="81"/>
            <rFont val="Tahoma"/>
            <family val="2"/>
          </rPr>
          <t xml:space="preserve">
Corporate Unallocated Operating Expense decreased $56.7 million to $651.9 million in fiscal 2016, a decrease of 8.0% from $708.6 million in fiscal 2015. This decrease was primarily attributable to lower non-GAAP charges incurred by the Company in fiscal 2016 as compared to fiscal 2015, as discussed in the "GAAP to Non-GAAP Reconciliation" herein. Excluding non-GAAP adjustments, unallocated operating expenses decreased by $2.5 million to $544.5 million. This decrease is primarily due to more favorable inventory production variances, lower Coach brand occupancy costs and lower inventory reserve charges, partially offset by increased information system and legal costs.</t>
        </r>
      </text>
    </comment>
    <comment ref="E86" authorId="12">
      <text>
        <r>
          <rPr>
            <b/>
            <sz val="9"/>
            <color indexed="81"/>
            <rFont val="Tahoma"/>
            <family val="2"/>
          </rPr>
          <t>Cassel, Lauren (Research):</t>
        </r>
        <r>
          <rPr>
            <sz val="9"/>
            <color indexed="81"/>
            <rFont val="Tahoma"/>
            <family val="2"/>
          </rPr>
          <t xml:space="preserve">
11/1/16: -3% on both reported and CC basis; North American direct sales were flat on a dollar basis for the quarter. Total North American bricks and mortar comparable store sales rose approximately 4%, while aggregate North American comparable store sales increased approximately 2%, including the negative impact of e-commerce driven by a further decline in the Company’s eOutlet flash sale business. As planned, sales at North American department stores declined approximately 30% on both a POS and net sales basis.</t>
        </r>
      </text>
    </comment>
    <comment ref="G86" authorId="12">
      <text>
        <r>
          <rPr>
            <b/>
            <sz val="9"/>
            <color indexed="81"/>
            <rFont val="Tahoma"/>
            <family val="2"/>
          </rPr>
          <t>Cassel, Lauren (Research):</t>
        </r>
        <r>
          <rPr>
            <sz val="9"/>
            <color indexed="81"/>
            <rFont val="Tahoma"/>
            <family val="2"/>
          </rPr>
          <t xml:space="preserve">
11/1/16:   Total North American </t>
        </r>
        <r>
          <rPr>
            <b/>
            <sz val="9"/>
            <color indexed="81"/>
            <rFont val="Tahoma"/>
            <family val="2"/>
          </rPr>
          <t>bricks and mortar comparable store sales rose approximately 4%</t>
        </r>
        <r>
          <rPr>
            <sz val="9"/>
            <color indexed="81"/>
            <rFont val="Tahoma"/>
            <family val="2"/>
          </rPr>
          <t xml:space="preserve">, while </t>
        </r>
        <r>
          <rPr>
            <b/>
            <sz val="9"/>
            <color indexed="81"/>
            <rFont val="Tahoma"/>
            <family val="2"/>
          </rPr>
          <t>aggregate North American comparable store sales increased approximately 2%, including the negative impact of e-commerce</t>
        </r>
        <r>
          <rPr>
            <sz val="9"/>
            <color indexed="81"/>
            <rFont val="Tahoma"/>
            <family val="2"/>
          </rPr>
          <t xml:space="preserve"> driven by a further decline in the Company’s eOutlet flash sale business.</t>
        </r>
      </text>
    </comment>
    <comment ref="P86" authorId="12">
      <text>
        <r>
          <rPr>
            <b/>
            <sz val="9"/>
            <color indexed="81"/>
            <rFont val="Tahoma"/>
            <family val="2"/>
          </rPr>
          <t>Cassel, Lauren (Research):</t>
        </r>
        <r>
          <rPr>
            <sz val="9"/>
            <color indexed="81"/>
            <rFont val="Tahoma"/>
            <family val="2"/>
          </rPr>
          <t xml:space="preserve">
11/1/16: double digit growth and positive comps in Mainland China offset by continued weakness in HK and Macau</t>
        </r>
      </text>
    </comment>
    <comment ref="V86" authorId="12">
      <text>
        <r>
          <rPr>
            <b/>
            <sz val="9"/>
            <color indexed="81"/>
            <rFont val="Tahoma"/>
            <family val="2"/>
          </rPr>
          <t>Cassel, Lauren (Research):</t>
        </r>
        <r>
          <rPr>
            <sz val="9"/>
            <color indexed="81"/>
            <rFont val="Tahoma"/>
            <family val="2"/>
          </rPr>
          <t xml:space="preserve">
11/1/16: impacted by a decline in Chinese tourist spend, lapping LY's dramatic increase</t>
        </r>
      </text>
    </comment>
    <comment ref="Y86" authorId="12">
      <text>
        <r>
          <rPr>
            <b/>
            <sz val="9"/>
            <color indexed="81"/>
            <rFont val="Tahoma"/>
            <family val="2"/>
          </rPr>
          <t>Cassel, Lauren (Research):</t>
        </r>
        <r>
          <rPr>
            <sz val="9"/>
            <color indexed="81"/>
            <rFont val="Tahoma"/>
            <family val="2"/>
          </rPr>
          <t xml:space="preserve">
11/1/16: Sales for the remaining directly-operated businesses in Asia (South Korea, Taiwan, Singapore, Malaysia) rose low-single digits in dollars and constant currency, while Europe remained strong, growing at a double-digit pace (ex. Paris). At POS, sales in international wholesale locations increased modestly, driven by strong domestic performance offset in part by relatively weaker tourist location results. Net sales into the channel also increased from prior year. 
Post Brexit seen very strong reesults in the UK, including traction with the local consumer </t>
        </r>
      </text>
    </comment>
    <comment ref="AC86" authorId="12">
      <text>
        <r>
          <rPr>
            <b/>
            <sz val="9"/>
            <color indexed="81"/>
            <rFont val="Tahoma"/>
            <family val="2"/>
          </rPr>
          <t>Cassel, Lauren (Research):</t>
        </r>
        <r>
          <rPr>
            <sz val="9"/>
            <color indexed="81"/>
            <rFont val="Tahoma"/>
            <family val="2"/>
          </rPr>
          <t xml:space="preserve">
11/1/16:  impacted by wholesale shipment timing within the fiscal year</t>
        </r>
      </text>
    </comment>
    <comment ref="AQ86" authorId="12">
      <text>
        <r>
          <rPr>
            <b/>
            <sz val="9"/>
            <color indexed="81"/>
            <rFont val="Tahoma"/>
            <family val="2"/>
          </rPr>
          <t>Cassel, Lauren (Research):</t>
        </r>
        <r>
          <rPr>
            <sz val="9"/>
            <color indexed="81"/>
            <rFont val="Tahoma"/>
            <family val="2"/>
          </rPr>
          <t xml:space="preserve">
The increase in gross margin is attributable to higher initial mark-ups, primarily due to lower average product costs in our outlet stores, and an improved mix of elevated product sales, favorably impacting gross margin by 220 basis points. The strategic decision to close select doors in the wholesale channel resulted in a 20 basis point favorable impact to gross margin due to a more favorable channel mix. </t>
        </r>
        <r>
          <rPr>
            <b/>
            <sz val="9"/>
            <color indexed="81"/>
            <rFont val="Tahoma"/>
            <family val="2"/>
          </rPr>
          <t xml:space="preserve">These increases were partially offset by the impact of increased promotional activity, primarily in our outlet channel, negatively impacting gross margin by 200 basis points as the Company passed on the benefit of lower costs through pricing to consumers. </t>
        </r>
      </text>
    </comment>
    <comment ref="AU86" authorId="12">
      <text>
        <r>
          <rPr>
            <b/>
            <sz val="9"/>
            <color indexed="81"/>
            <rFont val="Tahoma"/>
            <family val="2"/>
          </rPr>
          <t>Cassel, Lauren (Research):</t>
        </r>
        <r>
          <rPr>
            <sz val="9"/>
            <color indexed="81"/>
            <rFont val="Tahoma"/>
            <family val="2"/>
          </rPr>
          <t xml:space="preserve">
The change in foreign currency impact on gross margin of each period was an unfavorable 180 basis points, primarily due to the Japanese Yen. Excluding the impact of foreign currency in each period, International gross margin increased 70 basis points primarily due to higher initial mark-ups, primarily due to lower average product costs in our outlet stores, and an improved mix of elevated product sales, favorably impacting gross margin by 140 basis points. Furthermore, the favorable effects of decreased duty costs positively impacted gross margin by 80 basis points. </t>
        </r>
        <r>
          <rPr>
            <b/>
            <sz val="9"/>
            <color indexed="81"/>
            <rFont val="Tahoma"/>
            <family val="2"/>
          </rPr>
          <t>These increases were partially offset by increased promotional activity and a less favorable geographic mix of sales (due primarily to the growth of our Europe and international wholesale businesses), negatively impacting gross margin by 110 basis points and 60 basis points, respectively.</t>
        </r>
      </text>
    </comment>
    <comment ref="AY86" authorId="1">
      <text>
        <r>
          <rPr>
            <b/>
            <sz val="9"/>
            <color indexed="81"/>
            <rFont val="Tahoma"/>
            <family val="2"/>
          </rPr>
          <t>casselau:</t>
        </r>
        <r>
          <rPr>
            <sz val="9"/>
            <color indexed="81"/>
            <rFont val="Tahoma"/>
            <family val="2"/>
          </rPr>
          <t xml:space="preserve">
Stuart Weitzman Gross Profit increased 2.7% or $1.4 million to $51.1 million during the first quarter of fiscal 2017. Gross margin increased 160 basis points from 56.8% in the first quarter of fiscal 2016 to 58.4% in the first quarter of fiscal 2017. Excluding the short-term impact of purchase accounting, Stuart Weitzman gross profit totaled $51.5 million and $50.6 million in the first quarter of fiscal 2017 and fiscal 2016, respectively, resulting in a gross margin of 58.9% and 57.8%, respectively. The increase in gross margin is primarily attributable to a 140 basis point impact from a shift in channel mix towards higher margin retail business.</t>
        </r>
      </text>
    </comment>
    <comment ref="BA86" authorId="12">
      <text>
        <r>
          <rPr>
            <b/>
            <sz val="9"/>
            <color indexed="81"/>
            <rFont val="Tahoma"/>
            <family val="2"/>
          </rPr>
          <t>Cassel, Lauren (Research):</t>
        </r>
        <r>
          <rPr>
            <sz val="9"/>
            <color indexed="81"/>
            <rFont val="Tahoma"/>
            <family val="2"/>
          </rPr>
          <t xml:space="preserve">
Corporate Unallocated Gross Profit increased $8.9 million from $7.3 million in the first quarter of fiscal 2016 to $16.2 million in the first quarter of fiscal 2017, </t>
        </r>
        <r>
          <rPr>
            <b/>
            <sz val="9"/>
            <color indexed="81"/>
            <rFont val="Tahoma"/>
            <family val="2"/>
          </rPr>
          <t>primarily due to the impact of more favorable production variances.</t>
        </r>
      </text>
    </comment>
    <comment ref="BE86" authorId="12">
      <text>
        <r>
          <rPr>
            <b/>
            <sz val="9"/>
            <color indexed="81"/>
            <rFont val="Tahoma"/>
            <family val="2"/>
          </rPr>
          <t>Cassel, Lauren (Research):</t>
        </r>
        <r>
          <rPr>
            <sz val="9"/>
            <color indexed="81"/>
            <rFont val="Tahoma"/>
            <family val="2"/>
          </rPr>
          <t xml:space="preserve">
Reflects the decrease in gross profit of $7.7 million, partially offset by lower SG&amp;A expenses of $0.2 million. The decrease in SG&amp;A expenses was due to favorable employee related costs due to lower store count, partially offset by increased rent for our new flagship store. </t>
        </r>
      </text>
    </comment>
    <comment ref="BG86" authorId="12">
      <text>
        <r>
          <rPr>
            <b/>
            <sz val="9"/>
            <color indexed="81"/>
            <rFont val="Tahoma"/>
            <family val="2"/>
          </rPr>
          <t>Cassel, Lauren (Research):</t>
        </r>
        <r>
          <rPr>
            <sz val="9"/>
            <color indexed="81"/>
            <rFont val="Tahoma"/>
            <family val="2"/>
          </rPr>
          <t xml:space="preserve">
EBIT margin decreased 50 basis points to 30.1% in the first quarter of fiscal 2017 from 30.6% during the same period in the prior year due to higher SG&amp;A expense as a percentage of net sales of 90 basis points, partially offset by higher gross margin of 40 basis points. The increase in SG&amp;A expense as a percentage of net sales is primarily due to rent expense for the flagship store with no associated revenue as the location is not yet open. </t>
        </r>
      </text>
    </comment>
    <comment ref="BI86" authorId="12">
      <text>
        <r>
          <rPr>
            <b/>
            <sz val="9"/>
            <color indexed="81"/>
            <rFont val="Tahoma"/>
            <family val="2"/>
          </rPr>
          <t>Cassel, Lauren (Research):</t>
        </r>
        <r>
          <rPr>
            <sz val="9"/>
            <color indexed="81"/>
            <rFont val="Tahoma"/>
            <family val="2"/>
          </rPr>
          <t xml:space="preserve">
Reflects higher gross profit of $15.9 million, partially offset by higher SG&amp;A expenses of $9.8 million. The increase in SG&amp;A expenses is primarily related to unfavorable foreign currency effects in Japan, as well as increases in Europe to support growth in business, partially offset by decreases in International wholesale and Asia (excluding Greater China and Japan), primarily due to employee related costs. </t>
        </r>
      </text>
    </comment>
    <comment ref="BK86" authorId="12">
      <text>
        <r>
          <rPr>
            <b/>
            <sz val="9"/>
            <color indexed="81"/>
            <rFont val="Tahoma"/>
            <family val="2"/>
          </rPr>
          <t>Cassel, Lauren (Research):</t>
        </r>
        <r>
          <rPr>
            <sz val="9"/>
            <color indexed="81"/>
            <rFont val="Tahoma"/>
            <family val="2"/>
          </rPr>
          <t xml:space="preserve">
Operating margin decreased 30 basis points to 28.7% in fiscal 2017 from 29.0% during the same period in the prior year primarily due to lower gross margin of 110 basis points, partially offset by lower SG&amp;A expenses (particularly selling expenses) as a percentage of net sales, which decreased by 80 basis points.</t>
        </r>
      </text>
    </comment>
    <comment ref="BS86" authorId="12">
      <text>
        <r>
          <rPr>
            <b/>
            <sz val="9"/>
            <color indexed="81"/>
            <rFont val="Tahoma"/>
            <family val="2"/>
          </rPr>
          <t>Cassel, Lauren (Research):</t>
        </r>
        <r>
          <rPr>
            <sz val="9"/>
            <color indexed="81"/>
            <rFont val="Tahoma"/>
            <family val="2"/>
          </rPr>
          <t xml:space="preserve">
Stuart Weitzman Operating Income decreased 34.0% or $2.6 to $5.1 million in the first quarter of fiscal 2017, resulting in an operating margin of 5.8%, compared to $7.7 million and 8.8%, respectively, in fiscal 2016. Excluding non-GAAP adjustments, Stuart Weitzman operating income totaled $6.5 million in the first quarter of fiscal 2017, resulting in an operating margin of 7.5%, compared to $15.1 million and 17.2%, respectively, in fiscal 2016. The decrease in operating margin is primarily due to higher SG&amp;A expenses (particularly selling expenses) as a percentage of net sales, which increased from 40.6% in fiscal 2016 to 51.4% in fiscal 2017 due to increased investments in the growth of the business, particularly rent expense for two new flagship stores with no associated revenue as the locations are not yet open, slightly offset by higher gross margin of 110 basis points.</t>
        </r>
      </text>
    </comment>
    <comment ref="BU86" authorId="12">
      <text>
        <r>
          <rPr>
            <b/>
            <sz val="9"/>
            <color indexed="81"/>
            <rFont val="Tahoma"/>
            <family val="2"/>
          </rPr>
          <t>Cassel, Lauren (Research):</t>
        </r>
        <r>
          <rPr>
            <sz val="9"/>
            <color indexed="81"/>
            <rFont val="Tahoma"/>
            <family val="2"/>
          </rPr>
          <t xml:space="preserve">
Corporate Unallocated Operating Expense decreased $28.5 million to $122.8 million in the first quarter of fiscal 2017, a decrease of 18.8% from $151.3 million in the first quarter of fiscal 2016. Excluding non-GAAP adjustments, unallocated operating expenses decreased by $21.8 million to $113.3 million in the first quarter of fiscal 2017. This decrease is primarily related to more favorable production variances, reduced advertising costs, decreased Coach brand incentive compensation and employee related costs, partially offset by higher Coach brand occupancy costs.</t>
        </r>
      </text>
    </comment>
    <comment ref="E87" authorId="12">
      <text>
        <r>
          <rPr>
            <b/>
            <sz val="9"/>
            <color indexed="81"/>
            <rFont val="Tahoma"/>
            <family val="2"/>
          </rPr>
          <t>Cassel, Lauren (Research):</t>
        </r>
        <r>
          <rPr>
            <sz val="9"/>
            <color indexed="81"/>
            <rFont val="Tahoma"/>
            <family val="2"/>
          </rPr>
          <t xml:space="preserve">
1/31/17: +2% both on reported and CC basis; NA direct sales +5%; Total NA bricks and mortar comparable store sales rose ~4%, while aggregate NA comparable store sales increased ~ 3%, including the negative impact of e-commerce. As planned, sales at North American department stores declined approximately 30% on both a POS and net sales basis. </t>
        </r>
      </text>
    </comment>
    <comment ref="G87" authorId="12">
      <text>
        <r>
          <rPr>
            <b/>
            <sz val="9"/>
            <color indexed="81"/>
            <rFont val="Tahoma"/>
            <family val="2"/>
          </rPr>
          <t>Cassel, Lauren (Research):</t>
        </r>
        <r>
          <rPr>
            <sz val="9"/>
            <color indexed="81"/>
            <rFont val="Tahoma"/>
            <family val="2"/>
          </rPr>
          <t xml:space="preserve">
1/31/17: Total North American bricks and mortar comparable store sales rose approximately 4% (driven by ticket and conversion, while traffic was down modestly), while aggregate North American comparable store sales increased approximately 3%, including the negative impact of e-commerce; NA tourist business was essentially flat with declines in Chinese tourist traffic once again offset by other nationalities, notably Japanese and Korean visitors </t>
        </r>
      </text>
    </comment>
    <comment ref="O87" authorId="12">
      <text>
        <r>
          <rPr>
            <b/>
            <sz val="9"/>
            <color indexed="81"/>
            <rFont val="Tahoma"/>
            <family val="2"/>
          </rPr>
          <t>Cassel, Lauren (Research):</t>
        </r>
        <r>
          <rPr>
            <sz val="9"/>
            <color indexed="81"/>
            <rFont val="Tahoma"/>
            <family val="2"/>
          </rPr>
          <t xml:space="preserve">
1/31/17: Greater China sales were approximately even with prior year in dollars and increased 6% on a constant currency basis.</t>
        </r>
      </text>
    </comment>
    <comment ref="P87" authorId="12">
      <text>
        <r>
          <rPr>
            <b/>
            <sz val="9"/>
            <color indexed="81"/>
            <rFont val="Tahoma"/>
            <family val="2"/>
          </rPr>
          <t>Cassel, Lauren (Research):</t>
        </r>
        <r>
          <rPr>
            <sz val="9"/>
            <color indexed="81"/>
            <rFont val="Tahoma"/>
            <family val="2"/>
          </rPr>
          <t xml:space="preserve">
1/31/17: positive comparable store sales overall with continued strength in Mainland China. In addition, Hong Kong and Macau experienced a significant improvement in the quarter from previous trends.</t>
        </r>
      </text>
    </comment>
    <comment ref="V87" authorId="12">
      <text>
        <r>
          <rPr>
            <b/>
            <sz val="9"/>
            <color indexed="81"/>
            <rFont val="Tahoma"/>
            <family val="2"/>
          </rPr>
          <t>Cassel, Lauren (Research):</t>
        </r>
        <r>
          <rPr>
            <sz val="9"/>
            <color indexed="81"/>
            <rFont val="Tahoma"/>
            <family val="2"/>
          </rPr>
          <t xml:space="preserve">
1/31/17: In Japan, sales rose 9% in dollars and decreased 2% in constant currency, impacted by a decline in Chinese tourist spend, lapping last year’s dramatic increase. </t>
        </r>
      </text>
    </comment>
    <comment ref="Y87" authorId="12">
      <text>
        <r>
          <rPr>
            <b/>
            <sz val="9"/>
            <color indexed="81"/>
            <rFont val="Tahoma"/>
            <family val="2"/>
          </rPr>
          <t>Cassel, Lauren (Research):</t>
        </r>
        <r>
          <rPr>
            <sz val="9"/>
            <color indexed="81"/>
            <rFont val="Tahoma"/>
            <family val="2"/>
          </rPr>
          <t xml:space="preserve">
1/31/17: Sales for the remaining directly-operated businesses in Asia (South Korea, Taiwan, Singapore and Malaysia) decreased low-single digits on a reported and constant currency basis. Europe remained strong, growing at a double-digit rate in both total and comparable store sales. At POS, sales in international wholesale locations increased slightly, driven by strong domestic performance offset in part by relatively weaker tourist location results, while net sales into the channel decreased from the prior year impacted by shipment timing. Our results were impacted by softness in Korea where macroeconomic headwinds have pressured spending from domestic consumers excluding Korea, our business and our directly operated Asian markets in aggregate rose mid-single-digit in dollars and in constant currency.</t>
        </r>
      </text>
    </comment>
    <comment ref="AC87" authorId="12">
      <text>
        <r>
          <rPr>
            <b/>
            <sz val="9"/>
            <color indexed="81"/>
            <rFont val="Tahoma"/>
            <family val="2"/>
          </rPr>
          <t>Cassel, Lauren (Research):</t>
        </r>
        <r>
          <rPr>
            <sz val="9"/>
            <color indexed="81"/>
            <rFont val="Tahoma"/>
            <family val="2"/>
          </rPr>
          <t xml:space="preserve">
1/31/17: driven by strong growth in the directly operated channels and positively impacted by a wholesale shipment timing shift from the first quarter</t>
        </r>
      </text>
    </comment>
    <comment ref="AD87" authorId="12">
      <text>
        <r>
          <rPr>
            <b/>
            <sz val="9"/>
            <color indexed="81"/>
            <rFont val="Tahoma"/>
            <family val="2"/>
          </rPr>
          <t>Cassel, Lauren (Research):</t>
        </r>
        <r>
          <rPr>
            <sz val="9"/>
            <color indexed="81"/>
            <rFont val="Tahoma"/>
            <family val="2"/>
          </rPr>
          <t xml:space="preserve">
11/1/16: 2QTD +DD</t>
        </r>
      </text>
    </comment>
    <comment ref="AQ87" authorId="12">
      <text>
        <r>
          <rPr>
            <b/>
            <sz val="9"/>
            <color indexed="81"/>
            <rFont val="Tahoma"/>
            <family val="2"/>
          </rPr>
          <t>Cassel, Lauren (Research):</t>
        </r>
        <r>
          <rPr>
            <sz val="9"/>
            <color indexed="81"/>
            <rFont val="Tahoma"/>
            <family val="2"/>
          </rPr>
          <t xml:space="preserve">
2/13/17: Gross margin increased 100 basis points to 62.2% in the second quarter of fiscal 2017 from 61.2% in the second quarter of fiscal 2016. The increase in gross margin is attributable to higher initial mark-ups, primarily due to lower average product costs in our outlet stores, and an improved mix of elevated product sales, favorably impacting gross margin by 250 basis points. The strategic decision to close select doors in the wholesale channel resulted in a 30 basis point favorable impact to gross margin due to a more favorable channel mix. T</t>
        </r>
        <r>
          <rPr>
            <b/>
            <sz val="9"/>
            <color indexed="81"/>
            <rFont val="Tahoma"/>
            <family val="2"/>
          </rPr>
          <t xml:space="preserve">hese increases were partially offset by the impact of increased promotional activity, primarily in our outlet channel, negatively impacting gross margin by 210 basis points </t>
        </r>
        <r>
          <rPr>
            <sz val="9"/>
            <color indexed="81"/>
            <rFont val="Tahoma"/>
            <family val="2"/>
          </rPr>
          <t xml:space="preserve">as the Company passed on the benefit of lower costs through pricing to consumers. </t>
        </r>
      </text>
    </comment>
    <comment ref="AU87" authorId="12">
      <text>
        <r>
          <rPr>
            <b/>
            <sz val="9"/>
            <color indexed="81"/>
            <rFont val="Tahoma"/>
            <family val="2"/>
          </rPr>
          <t>Cassel, Lauren (Research):</t>
        </r>
        <r>
          <rPr>
            <sz val="9"/>
            <color indexed="81"/>
            <rFont val="Tahoma"/>
            <family val="2"/>
          </rPr>
          <t xml:space="preserve">
2/13/17: Gross margin increased 140 basis points to 76.3% in the second quarter of fiscal 2017 from 74.9% in the second quarter of fiscal 2016. The change in foreign currency impact on gross margin of each period was a favorable 70 basis points, primarily due to the Japanese Yen. Excluding the impact of foreign currency in each period, International gross margin increased 70 basis points. This increase was due to the favorable effects of decreased duty costs which positively impacted gross margin by 110 basis points, as well as higher initial mark-ups, primarily due to lower average product costs in our outlet stores, and an improved mix of elevated product sales which favorably impacted gross margin by 100 basis points. These increases were partially offset by increased promotional activity, negatively impacting gross margin by 140 basis points.</t>
        </r>
      </text>
    </comment>
    <comment ref="AY87" authorId="12">
      <text>
        <r>
          <rPr>
            <b/>
            <sz val="9"/>
            <color indexed="81"/>
            <rFont val="Tahoma"/>
            <family val="2"/>
          </rPr>
          <t xml:space="preserve">Cassel, Lauren (Research):
213/17: </t>
        </r>
        <r>
          <rPr>
            <sz val="9"/>
            <color indexed="81"/>
            <rFont val="Tahoma"/>
            <family val="2"/>
          </rPr>
          <t xml:space="preserve">Gross margin remained even at 64.3% in the second quarter of fiscal 2017 when compared to the same period in the prior year. Excluding the short-term impact of purchase accounting, Stuart Weitzman gross profit totaled $76.2 million in the first quarter of fiscal 2017, resulting in a gross margin of 64.4%. A shift in channel mix towards higher margin retail business resulted in a 170 basis point favorable impact on gross margin, offset by higher product costs and </t>
        </r>
        <r>
          <rPr>
            <b/>
            <sz val="9"/>
            <color indexed="81"/>
            <rFont val="Tahoma"/>
            <family val="2"/>
          </rPr>
          <t>increased promotional activity.</t>
        </r>
        <r>
          <rPr>
            <sz val="9"/>
            <color indexed="81"/>
            <rFont val="Tahoma"/>
            <family val="2"/>
          </rPr>
          <t xml:space="preserve">
1/31/17: Gross margin for the quarter was even with prior year at 64.3% on a reported basis. On a non-GAAP basis, gross margin was 64.4% compared to 64.3% a year ago. </t>
        </r>
      </text>
    </comment>
    <comment ref="BA87" authorId="12">
      <text>
        <r>
          <rPr>
            <b/>
            <sz val="9"/>
            <color indexed="81"/>
            <rFont val="Tahoma"/>
            <family val="2"/>
          </rPr>
          <t>Cassel, Lauren (Research):</t>
        </r>
        <r>
          <rPr>
            <sz val="9"/>
            <color indexed="81"/>
            <rFont val="Tahoma"/>
            <family val="2"/>
          </rPr>
          <t xml:space="preserve">
2/13/17: Corporate Unallocated Gross Profit increased $1.2 million to $15.5 million in the second quarter of fiscal 2017, primarily due to the impact of more favorable production variances when compared to the same period in the prior year.</t>
        </r>
      </text>
    </comment>
    <comment ref="BE87" authorId="12">
      <text>
        <r>
          <rPr>
            <b/>
            <sz val="9"/>
            <color indexed="81"/>
            <rFont val="Tahoma"/>
            <family val="2"/>
          </rPr>
          <t>Cassel, Lauren (Research):</t>
        </r>
        <r>
          <rPr>
            <sz val="9"/>
            <color indexed="81"/>
            <rFont val="Tahoma"/>
            <family val="2"/>
          </rPr>
          <t xml:space="preserve">
2/13/17: North America Operating Income increased 4.0% or $10.0 million to $258.2 million in the second quarter of fiscal 2017 reflecting the increase in gross profit of $15.7 million, partially offset by higher SG&amp;A expenses of $5.7 million. The increase in SG&amp;A expenses was due to higher store-related costs for the new Fifth Avenue flagship store and depreciation costs as a result of stores that have been renovated since the second quarter of fiscal 2016, partially offset by lower wholesale costs.</t>
        </r>
      </text>
    </comment>
    <comment ref="BG87" authorId="12">
      <text>
        <r>
          <rPr>
            <b/>
            <sz val="9"/>
            <color indexed="81"/>
            <rFont val="Tahoma"/>
            <family val="2"/>
          </rPr>
          <t>Cassel, Lauren (Research):</t>
        </r>
        <r>
          <rPr>
            <sz val="9"/>
            <color indexed="81"/>
            <rFont val="Tahoma"/>
            <family val="2"/>
          </rPr>
          <t xml:space="preserve">
2/13/17: Operating margin increased 70 basis points to 34.7% in the second quarter of fiscal 2017 from 34.0% during the same period in the prior year due to higher gross margin of 100 basis points, partially offset by higher SG&amp;A expense as a percentage of net sales of 30 basis points. </t>
        </r>
      </text>
    </comment>
    <comment ref="BI87" authorId="12">
      <text>
        <r>
          <rPr>
            <b/>
            <sz val="9"/>
            <color indexed="81"/>
            <rFont val="Tahoma"/>
            <family val="2"/>
          </rPr>
          <t>Cassel, Lauren (Research):</t>
        </r>
        <r>
          <rPr>
            <sz val="9"/>
            <color indexed="81"/>
            <rFont val="Tahoma"/>
            <family val="2"/>
          </rPr>
          <t xml:space="preserve">
2/13/17: International Operating Income increased 4.3% or $5.6 million to $136.2 million in the second quarter of fiscal 2017 primarily reflecting higher gross profit of $14.9 million, partially offset by higher SG&amp;A expenses of $9.3 million. The increase in SG&amp;A expenses is primarily related to unfavorable foreign currency effects in Japan, as well as increases in Europe to support growth in business, partially offset by decreases in Greater China and international wholesale, primarily due to employee related costs.</t>
        </r>
      </text>
    </comment>
    <comment ref="BK87" authorId="12">
      <text>
        <r>
          <rPr>
            <b/>
            <sz val="9"/>
            <color indexed="81"/>
            <rFont val="Tahoma"/>
            <family val="2"/>
          </rPr>
          <t>Cassel, Lauren (Research):</t>
        </r>
        <r>
          <rPr>
            <sz val="9"/>
            <color indexed="81"/>
            <rFont val="Tahoma"/>
            <family val="2"/>
          </rPr>
          <t xml:space="preserve">
2/13/17: Operating margin increased 50 basis points to 30.4% in fiscal 2017 from 29.9% during the same period in the prior year primarily due to higher gross margin of 140 basis points, partially offset by higher SG&amp;A expenses (particularly selling expenses) as a percentage of net sales, which increased by 90 basis points.</t>
        </r>
      </text>
    </comment>
    <comment ref="BQ87" authorId="12">
      <text>
        <r>
          <rPr>
            <b/>
            <sz val="9"/>
            <color indexed="81"/>
            <rFont val="Tahoma"/>
            <family val="2"/>
          </rPr>
          <t>Cassel, Lauren (Research):</t>
        </r>
        <r>
          <rPr>
            <sz val="9"/>
            <color indexed="81"/>
            <rFont val="Tahoma"/>
            <family val="2"/>
          </rPr>
          <t xml:space="preserve">
2/13/17: Stuart Weitzman Operating Income decreased 27.3% or $5.0 million to $13.3 million in the second quarter of fiscal 2017, resulting in an operating margin of 11.2%, compared to $18.3 million and 19.4%, respectively, in fiscal 2016. </t>
        </r>
        <r>
          <rPr>
            <b/>
            <sz val="9"/>
            <color indexed="81"/>
            <rFont val="Tahoma"/>
            <family val="2"/>
          </rPr>
          <t xml:space="preserve">Excluding non-GAAP adjustments, </t>
        </r>
        <r>
          <rPr>
            <sz val="9"/>
            <color indexed="81"/>
            <rFont val="Tahoma"/>
            <family val="2"/>
          </rPr>
          <t>Stuart Weitzman operating income totaled $23.5 million in the second quarter of fiscal 2017, resulting in an operating margin of 19.8%, compared to $22.2 million and 23.6%, respectively, in fiscal 2016.</t>
        </r>
      </text>
    </comment>
    <comment ref="BS87" authorId="12">
      <text>
        <r>
          <rPr>
            <b/>
            <sz val="9"/>
            <color indexed="81"/>
            <rFont val="Tahoma"/>
            <family val="2"/>
          </rPr>
          <t xml:space="preserve">Cassel, Lauren (Research):
2/13/17: </t>
        </r>
        <r>
          <rPr>
            <sz val="9"/>
            <color indexed="81"/>
            <rFont val="Tahoma"/>
            <family val="2"/>
          </rPr>
          <t xml:space="preserve">The decrease in operating margin is primarily due to higher SG&amp;A expenses as a percentage of net sales, which increased to 44.6% in fiscal 2017 from 40.8% in fiscal 2016 due to increased investments in the growth of the business, particularly store-related costs for two new flagship stores.
1/31/17; Operating income for the Stuart Weitzman brand was $13 million or 11.2% of sales as reported compared to $18 million or 19.4% of sales in the prior year’s second quarter. On a non-GAAP basis, operating income was $23 million or 19.8% of sales versus $22 million or 23.6% of sales in the prior year. </t>
        </r>
      </text>
    </comment>
    <comment ref="BU87" authorId="12">
      <text>
        <r>
          <rPr>
            <b/>
            <sz val="9"/>
            <color indexed="81"/>
            <rFont val="Tahoma"/>
            <family val="2"/>
          </rPr>
          <t>Cassel, Lauren (Research):</t>
        </r>
        <r>
          <rPr>
            <sz val="9"/>
            <color indexed="81"/>
            <rFont val="Tahoma"/>
            <family val="2"/>
          </rPr>
          <t xml:space="preserve">
2/13/17: Corporate Unallocated Operating Expense decreased 2.0% or $2.8 million to $139.7 million in the second quarter of fiscal 2017 from $142.5 million in the second quarter of fiscal 2016. </t>
        </r>
        <r>
          <rPr>
            <b/>
            <sz val="9"/>
            <color indexed="81"/>
            <rFont val="Tahoma"/>
            <family val="2"/>
          </rPr>
          <t xml:space="preserve">Excluding non-GAAP adjustments, </t>
        </r>
        <r>
          <rPr>
            <sz val="9"/>
            <color indexed="81"/>
            <rFont val="Tahoma"/>
            <family val="2"/>
          </rPr>
          <t>unallocated operating expenses increased by $10.6 million to $133.0 million in the second quarter of fiscal 2017. This increase is primarily related to higher Coach brand corporate occupancy costs.</t>
        </r>
      </text>
    </comment>
    <comment ref="G88" authorId="12">
      <text>
        <r>
          <rPr>
            <b/>
            <sz val="9"/>
            <color indexed="81"/>
            <rFont val="Tahoma"/>
            <family val="2"/>
          </rPr>
          <t xml:space="preserve">Cassel, Lauren (Research):
5/2/17: Both North American aggregate and bricks and mortar comparable store sales rose approximately 3% despite the negative impact of the shift in timing of Easter. Total North American direct sales declined 2% for the quarter, reflecting the change in the fiscal calendar on non-comparable sales. As planned, sales at North American department stores declined approximately 40% on both a POS and net sales basis. </t>
        </r>
        <r>
          <rPr>
            <sz val="9"/>
            <color indexed="81"/>
            <rFont val="Tahoma"/>
            <family val="2"/>
          </rPr>
          <t xml:space="preserve">
will hold a preferred customer event in March</t>
        </r>
      </text>
    </comment>
    <comment ref="K88" authorId="12">
      <text>
        <r>
          <rPr>
            <b/>
            <sz val="9"/>
            <color indexed="81"/>
            <rFont val="Tahoma"/>
            <family val="2"/>
          </rPr>
          <t>Cassel, Lauren (Research):</t>
        </r>
        <r>
          <rPr>
            <sz val="9"/>
            <color indexed="81"/>
            <rFont val="Tahoma"/>
            <family val="2"/>
          </rPr>
          <t xml:space="preserve">
5/2/17: includes ~70 bps of pressure related to foreign currency translation</t>
        </r>
      </text>
    </comment>
    <comment ref="P88" authorId="12">
      <text>
        <r>
          <rPr>
            <b/>
            <sz val="9"/>
            <color indexed="81"/>
            <rFont val="Tahoma"/>
            <family val="2"/>
          </rPr>
          <t>Cassel, Lauren (Research):</t>
        </r>
        <r>
          <rPr>
            <sz val="9"/>
            <color indexed="81"/>
            <rFont val="Tahoma"/>
            <family val="2"/>
          </rPr>
          <t xml:space="preserve">
5/2/17: Greater China sales declined 2% versus prior year in dollars and increased 2% on a constant currency basis, </t>
        </r>
        <r>
          <rPr>
            <b/>
            <sz val="9"/>
            <color indexed="81"/>
            <rFont val="Tahoma"/>
            <family val="2"/>
          </rPr>
          <t>driven by strong growth and positive comparable store sales in Mainland China, offset by continued softness in Hong Kong and Macau.</t>
        </r>
      </text>
    </comment>
    <comment ref="V88" authorId="12">
      <text>
        <r>
          <rPr>
            <b/>
            <sz val="9"/>
            <color indexed="81"/>
            <rFont val="Tahoma"/>
            <family val="2"/>
          </rPr>
          <t>Cassel, Lauren (Research):</t>
        </r>
        <r>
          <rPr>
            <sz val="9"/>
            <color indexed="81"/>
            <rFont val="Tahoma"/>
            <family val="2"/>
          </rPr>
          <t xml:space="preserve">
5/2/17: In Japan, sales rose 2% in dollars and decreased 1% in constant currency. </t>
        </r>
      </text>
    </comment>
    <comment ref="Y88" authorId="12">
      <text>
        <r>
          <rPr>
            <b/>
            <sz val="9"/>
            <color indexed="81"/>
            <rFont val="Tahoma"/>
            <family val="2"/>
          </rPr>
          <t>Cassel, Lauren (Research):</t>
        </r>
        <r>
          <rPr>
            <sz val="9"/>
            <color indexed="81"/>
            <rFont val="Tahoma"/>
            <family val="2"/>
          </rPr>
          <t xml:space="preserve">
Sales for the r</t>
        </r>
        <r>
          <rPr>
            <b/>
            <sz val="9"/>
            <color indexed="81"/>
            <rFont val="Tahoma"/>
            <family val="2"/>
          </rPr>
          <t>emaining directly-operated businesses in Asia decreased low-double digits on a reported and constant currency basis, due primarily to weakness in Korea</t>
        </r>
        <r>
          <rPr>
            <sz val="9"/>
            <color indexed="81"/>
            <rFont val="Tahoma"/>
            <family val="2"/>
          </rPr>
          <t xml:space="preserve"> where macroeconomic and geopolitical headwinds have pressured spending from domestic consumers and tourists. Sales in the directly operated channels in </t>
        </r>
        <r>
          <rPr>
            <b/>
            <sz val="9"/>
            <color indexed="81"/>
            <rFont val="Tahoma"/>
            <family val="2"/>
          </rPr>
          <t xml:space="preserve">Europe remained strong, growing at a double-digit rate in constant currency, while total sales decreased modestly in dollars </t>
        </r>
        <r>
          <rPr>
            <sz val="9"/>
            <color indexed="81"/>
            <rFont val="Tahoma"/>
            <family val="2"/>
          </rPr>
          <t xml:space="preserve">and rose slightly in constant currency, reflecting the impact of the planned shift in wholesale shipment timing. As expected, international wholesale declined on a net sales basis due to shipment timing with the fourth quarter, while POS sales also declined. </t>
        </r>
      </text>
    </comment>
    <comment ref="AQ88" authorId="12">
      <text>
        <r>
          <rPr>
            <b/>
            <sz val="9"/>
            <color indexed="81"/>
            <rFont val="Tahoma"/>
            <family val="2"/>
          </rPr>
          <t>Cassel, Lauren (Research):</t>
        </r>
        <r>
          <rPr>
            <sz val="9"/>
            <color indexed="81"/>
            <rFont val="Tahoma"/>
            <family val="2"/>
          </rPr>
          <t xml:space="preserve">
North America Gross Profit decreased 4.6% or $14.3 million to $294.8 million in the third quarter of fiscal 2017. Gross margin increased 20 basis points to 62.2% in the third quarter of fiscal 2017 from 62.0% in the third quarter of fiscal 2016. </t>
        </r>
        <r>
          <rPr>
            <b/>
            <sz val="9"/>
            <color indexed="81"/>
            <rFont val="Tahoma"/>
            <family val="2"/>
          </rPr>
          <t>Gross margin increased 20 basis points as a result of costing and product mix which was partially offset by promotional activity, particularly in the outlet channel.</t>
        </r>
        <r>
          <rPr>
            <sz val="9"/>
            <color indexed="81"/>
            <rFont val="Tahoma"/>
            <family val="2"/>
          </rPr>
          <t xml:space="preserve"> Gross margin was also favorably impacted by 10 basis points as a result of channel mix, directly attributable to the strategic decision to close select doors in the wholesale channel. These were increases partially offset by foreign currency-related impacts of 10 basis points. </t>
        </r>
      </text>
    </comment>
    <comment ref="AU88" authorId="12">
      <text>
        <r>
          <rPr>
            <b/>
            <sz val="9"/>
            <color indexed="81"/>
            <rFont val="Tahoma"/>
            <family val="2"/>
          </rPr>
          <t>Cassel, Lauren (Research):</t>
        </r>
        <r>
          <rPr>
            <sz val="9"/>
            <color indexed="81"/>
            <rFont val="Tahoma"/>
            <family val="2"/>
          </rPr>
          <t xml:space="preserve">
International Gross Profit decreased 1.4% or $4.8 million to $333.2 million in the third quarter of fiscal 2017. Gross margin increased 220 basis points to 77.6% in the third quarter of fiscal 2017 from 75.4% in the third quarter of fiscal 2016. The year over year change in gross margin as a result of foreign currency rates was favorable by 50 basis points, primarily due to the Japanese Yen. Excluding the impact of foreign currency in each period, International gross margin increased 170 basis points</t>
        </r>
        <r>
          <rPr>
            <b/>
            <sz val="9"/>
            <color indexed="81"/>
            <rFont val="Tahoma"/>
            <family val="2"/>
          </rPr>
          <t xml:space="preserve">. The increase in gross margin is due to a 70 basis point increase as a result of costing and product mix which was partially offset by promotional activity </t>
        </r>
        <r>
          <rPr>
            <sz val="9"/>
            <color indexed="81"/>
            <rFont val="Tahoma"/>
            <family val="2"/>
          </rPr>
          <t>and the favorable effects of decreased duty costs which positively impacted gross margin by 60 basis points.</t>
        </r>
      </text>
    </comment>
    <comment ref="AY88" authorId="12">
      <text>
        <r>
          <rPr>
            <b/>
            <sz val="9"/>
            <color indexed="81"/>
            <rFont val="Tahoma"/>
            <family val="2"/>
          </rPr>
          <t>Cassel, Lauren (Research):</t>
        </r>
        <r>
          <rPr>
            <sz val="9"/>
            <color indexed="81"/>
            <rFont val="Tahoma"/>
            <family val="2"/>
          </rPr>
          <t xml:space="preserve">
Stuart Weitzman Gross Profit increased 7.7% or $3.5 million to $49.6 million during the third quarter of fiscal 2017. Gross margin increased 390 basis points to 62.1% in the third quarter of fiscal 2017 from 58.2% in the third quarter of fiscal 2016. The year over year change in gross margin as a result of foreign currency rates was favorable by 100 basis points, primarily due to the Euro. Excluding the impact of foreign currency, the increase in gross margin due to a shift in channel mix which favorably impacted gross margin by 120 basis points. The remaining increase is attributable to the impact of product mix and lower promotional activity. </t>
        </r>
      </text>
    </comment>
    <comment ref="BA88" authorId="12">
      <text>
        <r>
          <rPr>
            <b/>
            <sz val="9"/>
            <color indexed="81"/>
            <rFont val="Tahoma"/>
            <family val="2"/>
          </rPr>
          <t>Cassel, Lauren (Research):</t>
        </r>
        <r>
          <rPr>
            <sz val="9"/>
            <color indexed="81"/>
            <rFont val="Tahoma"/>
            <family val="2"/>
          </rPr>
          <t xml:space="preserve">
Corporate Unallocated Gross Profit increased $2.5 million to $16.5 million in the third quarter of fiscal 2017, primarily due to the impact of more favorable production variances when compared to the same period in the prior year.</t>
        </r>
      </text>
    </comment>
    <comment ref="BE88" authorId="12">
      <text>
        <r>
          <rPr>
            <b/>
            <sz val="9"/>
            <color indexed="81"/>
            <rFont val="Tahoma"/>
            <family val="2"/>
          </rPr>
          <t>Cassel, Lauren (Research):</t>
        </r>
        <r>
          <rPr>
            <sz val="9"/>
            <color indexed="81"/>
            <rFont val="Tahoma"/>
            <family val="2"/>
          </rPr>
          <t xml:space="preserve">
North America Operating Income decreased 14.7% or $20.0 million to $115.5 million in the third quarter of fiscal 2017 reflecting the decrease in gross profit of $14.3 million, as well as higher SG&amp;A expenses of $5.7 million. The increase in SG&amp;A expenses was due to higher store-related costs for the new Fifth Avenue flagship store and depreciation costs as a result of stores that have been renovated since the third quarter of fiscal 2016. </t>
        </r>
      </text>
    </comment>
    <comment ref="BG88" authorId="12">
      <text>
        <r>
          <rPr>
            <b/>
            <sz val="9"/>
            <color indexed="81"/>
            <rFont val="Tahoma"/>
            <family val="2"/>
          </rPr>
          <t>Cassel, Lauren (Research):</t>
        </r>
        <r>
          <rPr>
            <sz val="9"/>
            <color indexed="81"/>
            <rFont val="Tahoma"/>
            <family val="2"/>
          </rPr>
          <t xml:space="preserve">
Operating margin decreased 270 basis points to 24.4% in the third quarter of fiscal 2017 from 27.1% during the same period in the prior year due to higher SG&amp;A expense as a percentage of net sales of 290 basis points, partially offset by higher gross margin of 20 basis points. </t>
        </r>
      </text>
    </comment>
    <comment ref="BI88" authorId="12">
      <text>
        <r>
          <rPr>
            <b/>
            <sz val="9"/>
            <color indexed="81"/>
            <rFont val="Tahoma"/>
            <family val="2"/>
          </rPr>
          <t>Cassel, Lauren (Research):</t>
        </r>
        <r>
          <rPr>
            <sz val="9"/>
            <color indexed="81"/>
            <rFont val="Tahoma"/>
            <family val="2"/>
          </rPr>
          <t xml:space="preserve">
International Operating Income increased 0.2% or $0.5 million to $152.2 million in the third quarter of fiscal 2017 primarily reflecting lower SG&amp;A expenses of $5.3 million, partially offset by lower gross profit of $4.8 million. The decrease in SG&amp;A expenses is primarily related to favorable foreign currency effects and reduced occupancy costs in Greater China, as well as lower employee related costs in international wholesale.</t>
        </r>
      </text>
    </comment>
    <comment ref="BK88" authorId="12">
      <text>
        <r>
          <rPr>
            <b/>
            <sz val="9"/>
            <color indexed="81"/>
            <rFont val="Tahoma"/>
            <family val="2"/>
          </rPr>
          <t>Cassel, Lauren (Research):</t>
        </r>
        <r>
          <rPr>
            <sz val="9"/>
            <color indexed="81"/>
            <rFont val="Tahoma"/>
            <family val="2"/>
          </rPr>
          <t xml:space="preserve">
 Operating margin increased 150 basis points to 35.4% in fiscal 2017 from 33.9% during the same period in the prior year primarily due to higher gross margin of 220 basis points, and lower SG&amp;A expenses, particularly selling expenses, as a percentage of net sales, which decreased by 60 basis points.</t>
        </r>
      </text>
    </comment>
    <comment ref="BQ88" authorId="12">
      <text>
        <r>
          <rPr>
            <b/>
            <sz val="9"/>
            <color indexed="81"/>
            <rFont val="Tahoma"/>
            <family val="2"/>
          </rPr>
          <t>Cassel, Lauren (Research):</t>
        </r>
        <r>
          <rPr>
            <sz val="9"/>
            <color indexed="81"/>
            <rFont val="Tahoma"/>
            <family val="2"/>
          </rPr>
          <t xml:space="preserve">
Stuart Weitzman Operating Income decreased 19.5% or $0.9 million to $3.8 million in the third quarter of fiscal 2017, resulting in an operating margin of 4.7%, compared to $4.7 million and 5.9%, respectively, in fiscal 2016. Excluding non-GAAP adjustments, Stuart Weitzman operating income totaled $5.5 million in the third quarter of fiscal 2017, resulting in an operating margin of 6.9%, compared to $7.4 million and 9.3%, respectively, in fiscal 2016. The decrease in operating margin is primarily due to higher SG&amp;A expenses as a percentage of net sales, which increased to 55.2% in fiscal 2017 from 48.9% in fiscal 2016 due to increased investments in the growth of the business, particularly store-related costs for new store additions.</t>
        </r>
      </text>
    </comment>
    <comment ref="BS88" authorId="12">
      <text>
        <r>
          <rPr>
            <b/>
            <sz val="9"/>
            <color indexed="81"/>
            <rFont val="Tahoma"/>
            <family val="2"/>
          </rPr>
          <t>Cassel, Lauren (Research):</t>
        </r>
        <r>
          <rPr>
            <sz val="9"/>
            <color indexed="81"/>
            <rFont val="Tahoma"/>
            <family val="2"/>
          </rPr>
          <t xml:space="preserve">
Excluding non-GAAP adjustments, Stuart Weitzman operating income totaled $5.5 million in the third quarter of fiscal 2017, resulting in an operating margin of 6.9%, compared to $7.4 million and 9.3%, respectively, in fiscal 2016. The decrease in operating margin is primarily due to higher SG&amp;A expenses as a percentage of net sales, which increased to 55.2% in fiscal 2017 from 48.9% in fiscal 2016 due to increased investments in the growth of the business, particularly store-related costs for new store additions.</t>
        </r>
      </text>
    </comment>
    <comment ref="BU88" authorId="12">
      <text>
        <r>
          <rPr>
            <b/>
            <sz val="9"/>
            <color indexed="81"/>
            <rFont val="Tahoma"/>
            <family val="2"/>
          </rPr>
          <t>Cassel, Lauren (Research):</t>
        </r>
        <r>
          <rPr>
            <sz val="9"/>
            <color indexed="81"/>
            <rFont val="Tahoma"/>
            <family val="2"/>
          </rPr>
          <t xml:space="preserve">
Corporate Unallocated Operating Loss decreased 19.9% or $32.2 million to $129.4 million in the third quarter of fiscal 2017 from $161.6 million in the third quarter of fiscal 2016. Excluding non-GAAP adjustments, unallocated operating loss decreased by $26.6 million to $120.2 million in the third quarter of fiscal 2017. This decrease is primarily related to reduced employee related costs, partially offset by higher corporate occupancy costs.</t>
        </r>
      </text>
    </comment>
    <comment ref="E89" authorId="12">
      <text>
        <r>
          <rPr>
            <b/>
            <sz val="9"/>
            <color indexed="81"/>
            <rFont val="Tahoma"/>
            <family val="2"/>
          </rPr>
          <t>Cassel, Lauren (Research):</t>
        </r>
        <r>
          <rPr>
            <sz val="9"/>
            <color indexed="81"/>
            <rFont val="Tahoma"/>
            <family val="2"/>
          </rPr>
          <t xml:space="preserve">
8/15/17: +4% y/y ex. 53rd week LY (NA direct +5% and +6% CC)
As planned, sales at North American department stores declined approximately 40% at a POS and approximately 20% on a net sales basis as the company has now started to anniversary the pullback in shipments into the channel. </t>
        </r>
      </text>
    </comment>
    <comment ref="G89" authorId="12">
      <text>
        <r>
          <rPr>
            <b/>
            <sz val="9"/>
            <color indexed="81"/>
            <rFont val="Tahoma"/>
            <family val="2"/>
          </rPr>
          <t>Cassel, Lauren (Research):</t>
        </r>
        <r>
          <rPr>
            <sz val="9"/>
            <color indexed="81"/>
            <rFont val="Tahoma"/>
            <family val="2"/>
          </rPr>
          <t xml:space="preserve">
Both North American aggregate and bricks and mortar comparable store sales rose approximately 4%. </t>
        </r>
      </text>
    </comment>
    <comment ref="K89" authorId="12">
      <text>
        <r>
          <rPr>
            <b/>
            <sz val="9"/>
            <color indexed="81"/>
            <rFont val="Tahoma"/>
            <family val="2"/>
          </rPr>
          <t>Cassel, Lauren (Research):</t>
        </r>
        <r>
          <rPr>
            <sz val="9"/>
            <color indexed="81"/>
            <rFont val="Tahoma"/>
            <family val="2"/>
          </rPr>
          <t xml:space="preserve">
8/15/17:  On a 13-week versus 13-week basis, total sales increased 6% in dollars and 9% on a constant currency basis.</t>
        </r>
      </text>
    </comment>
    <comment ref="O89" authorId="12">
      <text>
        <r>
          <rPr>
            <b/>
            <sz val="9"/>
            <color indexed="81"/>
            <rFont val="Tahoma"/>
            <family val="2"/>
          </rPr>
          <t>Cassel, Lauren (Research):</t>
        </r>
        <r>
          <rPr>
            <sz val="9"/>
            <color indexed="81"/>
            <rFont val="Tahoma"/>
            <family val="2"/>
          </rPr>
          <t xml:space="preserve">
8/15/17: Greater China sales increased 3% versus prior year in dollars and 7% in constant currency on a 13-week basis, driven by double-digit growth and positive comparable store sales on the Mainland, offset, in part, by softness in Hong Kong and Macau. </t>
        </r>
      </text>
    </comment>
    <comment ref="P89" authorId="12">
      <text>
        <r>
          <rPr>
            <b/>
            <sz val="9"/>
            <color indexed="81"/>
            <rFont val="Tahoma"/>
            <family val="2"/>
          </rPr>
          <t>Cassel, Lauren (Research):</t>
        </r>
        <r>
          <rPr>
            <sz val="9"/>
            <color indexed="81"/>
            <rFont val="Tahoma"/>
            <family val="2"/>
          </rPr>
          <t xml:space="preserve">
8/15/17: Greater China sales increased 3% versus prior year in dollars and 7% in constant currency on a 13-week basis, driven by double-digit growth and positive comparable store sales on the Mainland, offset, in part, by softness in Hong Kong and Macau. </t>
        </r>
      </text>
    </comment>
    <comment ref="U89" authorId="12">
      <text>
        <r>
          <rPr>
            <b/>
            <sz val="9"/>
            <color indexed="81"/>
            <rFont val="Tahoma"/>
            <family val="2"/>
          </rPr>
          <t>Cassel, Lauren (Research):</t>
        </r>
        <r>
          <rPr>
            <sz val="9"/>
            <color indexed="81"/>
            <rFont val="Tahoma"/>
            <family val="2"/>
          </rPr>
          <t xml:space="preserve">
8/15/17: In Japan, on a 13-week basis, sales declined 3% in dollars and approximately 1% in constant currency.</t>
        </r>
      </text>
    </comment>
    <comment ref="Z89" authorId="12">
      <text>
        <r>
          <rPr>
            <b/>
            <sz val="9"/>
            <color indexed="81"/>
            <rFont val="Tahoma"/>
            <family val="2"/>
          </rPr>
          <t>Cassel, Lauren (Research):</t>
        </r>
        <r>
          <rPr>
            <sz val="9"/>
            <color indexed="81"/>
            <rFont val="Tahoma"/>
            <family val="2"/>
          </rPr>
          <t xml:space="preserve">
8/15/17: Sales for the remaining directly operated businesses in Asia decreased mid-single digits in dollars and declined similarly in constant currency on a 13-week basis, due primarily to weakness in Korea where macroeconomic and geopolitical headwinds continued to pressure spending from domestic consumers and tourists. Europe was very strong on a 13-week versus 13-week basis, driven by double-digit growth in the directly operated channels and benefiting from the planned shift in wholesale shipment timing as previously announced. As expected, international wholesale increased on a net sales basis due to shipment timing, while POS sales declined as weaker tourist location results offset domestic growth. </t>
        </r>
      </text>
    </comment>
    <comment ref="AD89" authorId="12">
      <text>
        <r>
          <rPr>
            <b/>
            <sz val="9"/>
            <color indexed="81"/>
            <rFont val="Tahoma"/>
            <family val="2"/>
          </rPr>
          <t xml:space="preserve">Cassel, Lauren (Research):
8/15/17: Excluding the additional week included in fiscal 2016 results, net sales increased 15% on a reported basis and 16% on a constant currency basis. </t>
        </r>
        <r>
          <rPr>
            <sz val="9"/>
            <color indexed="81"/>
            <rFont val="Tahoma"/>
            <family val="2"/>
          </rPr>
          <t xml:space="preserve">
5/2/17: The response to spring newness has been particularly strong, and we continue to expect sales to increase at a double-digit pace for both the fourth quarter and the year.</t>
        </r>
      </text>
    </comment>
    <comment ref="O90" authorId="12">
      <text>
        <r>
          <rPr>
            <b/>
            <sz val="9"/>
            <color indexed="81"/>
            <rFont val="Tahoma"/>
            <family val="2"/>
          </rPr>
          <t>Cassel, Lauren (Research):</t>
        </r>
        <r>
          <rPr>
            <sz val="9"/>
            <color indexed="81"/>
            <rFont val="Tahoma"/>
            <family val="2"/>
          </rPr>
          <t xml:space="preserve">
For the year, Greater China sales were about even with prior year in dollars – while sales rose 5% on
a constant currency basis in fiscal 2017.</t>
        </r>
      </text>
    </comment>
    <comment ref="T90" authorId="12">
      <text>
        <r>
          <rPr>
            <b/>
            <sz val="9"/>
            <color indexed="81"/>
            <rFont val="Tahoma"/>
            <family val="2"/>
          </rPr>
          <t>Cassel, Lauren (Research):</t>
        </r>
        <r>
          <rPr>
            <sz val="9"/>
            <color indexed="81"/>
            <rFont val="Tahoma"/>
            <family val="2"/>
          </rPr>
          <t xml:space="preserve">
For the year, sales increased 4% in dollars and decreased 2% on a constant currency basis, impacted by a decline in Chinese tourist spend, lapping last year’s dramatic increase, as well as an overall decrease in square footage as we optimize our retail footprint.</t>
        </r>
      </text>
    </comment>
    <comment ref="AD90" authorId="12">
      <text>
        <r>
          <rPr>
            <b/>
            <sz val="9"/>
            <color indexed="81"/>
            <rFont val="Tahoma"/>
            <family val="2"/>
          </rPr>
          <t>Cassel, Lauren (Research):
11/1/16:continue to expect double-digit sales growth (per Andrea - comfortable with 12%)</t>
        </r>
        <r>
          <rPr>
            <sz val="9"/>
            <color indexed="81"/>
            <rFont val="Tahoma"/>
            <family val="2"/>
          </rPr>
          <t xml:space="preserve">
8/9/16: expect double digit growth</t>
        </r>
      </text>
    </comment>
    <comment ref="AO90" authorId="12">
      <text>
        <r>
          <rPr>
            <b/>
            <sz val="9"/>
            <color indexed="81"/>
            <rFont val="Tahoma"/>
            <family val="2"/>
          </rPr>
          <t>Cassel, Lauren (Research):</t>
        </r>
        <r>
          <rPr>
            <sz val="9"/>
            <color indexed="81"/>
            <rFont val="Tahoma"/>
            <family val="2"/>
          </rPr>
          <t xml:space="preserve">
8/18/17: North America Gross Profit decreased 1.7% or $25.0 million to $1.45 billion in fiscal 2017. </t>
        </r>
      </text>
    </comment>
    <comment ref="AQ90" authorId="12">
      <text>
        <r>
          <rPr>
            <b/>
            <sz val="9"/>
            <color indexed="81"/>
            <rFont val="Tahoma"/>
            <family val="2"/>
          </rPr>
          <t>Cassel, Lauren (Research):</t>
        </r>
        <r>
          <rPr>
            <sz val="9"/>
            <color indexed="81"/>
            <rFont val="Tahoma"/>
            <family val="2"/>
          </rPr>
          <t xml:space="preserve">
8/18/17: Gross margin increased 20 basis points to 61.9% in fiscal 2017 from 61.7% in fiscal 2016. Fiscal 2016 gross profit included $26.1 million attributable to the 53rd week. </t>
        </r>
        <r>
          <rPr>
            <b/>
            <sz val="9"/>
            <color indexed="81"/>
            <rFont val="Tahoma"/>
            <family val="2"/>
          </rPr>
          <t xml:space="preserve">The increase in gross margin is due to favorable channel mix as a result of wholesale door closures and to a lesser extent, improved costing and product mix which was offset by promotional activity. </t>
        </r>
      </text>
    </comment>
    <comment ref="AS90" authorId="12">
      <text>
        <r>
          <rPr>
            <b/>
            <sz val="9"/>
            <color indexed="81"/>
            <rFont val="Tahoma"/>
            <family val="2"/>
          </rPr>
          <t>Cassel, Lauren (Research):</t>
        </r>
        <r>
          <rPr>
            <sz val="9"/>
            <color indexed="81"/>
            <rFont val="Tahoma"/>
            <family val="2"/>
          </rPr>
          <t xml:space="preserve">
International Gross Profit increased 1.4% or $17.7 million to $1.30 billion in fiscal 2017. Excluding the impact of the 53rd week in fiscal 2016, gross profit increased $40.8 million. </t>
        </r>
      </text>
    </comment>
    <comment ref="AU90" authorId="12">
      <text>
        <r>
          <rPr>
            <b/>
            <sz val="9"/>
            <color indexed="81"/>
            <rFont val="Tahoma"/>
            <family val="2"/>
          </rPr>
          <t>Cassel, Lauren (Research):</t>
        </r>
        <r>
          <rPr>
            <sz val="9"/>
            <color indexed="81"/>
            <rFont val="Tahoma"/>
            <family val="2"/>
          </rPr>
          <t xml:space="preserve">
</t>
        </r>
        <r>
          <rPr>
            <b/>
            <sz val="9"/>
            <color indexed="81"/>
            <rFont val="Tahoma"/>
            <family val="2"/>
          </rPr>
          <t xml:space="preserve">Gross margin increased 50 basis points to 76.0% in fiscal 2017 from 75.5% in fiscal 2016. Foreign currency positively impacted gross margin by 10 basis points, primarily due to the Japanese Yen offset by the Chinese Renminbi. Excluding the impact of foreign currency, International gross margin increased 40 basis points. This increase was due to favorable effects of decreased duty costs. </t>
        </r>
      </text>
    </comment>
    <comment ref="AW90" authorId="12">
      <text>
        <r>
          <rPr>
            <b/>
            <sz val="9"/>
            <color indexed="81"/>
            <rFont val="Tahoma"/>
            <family val="2"/>
          </rPr>
          <t>Cassel, Lauren (Research):</t>
        </r>
        <r>
          <rPr>
            <sz val="9"/>
            <color indexed="81"/>
            <rFont val="Tahoma"/>
            <family val="2"/>
          </rPr>
          <t xml:space="preserve">
8/21/17: Stuart Weitzman Gross Profit increased 11.7% or $23.7 million to $226.1 million in fiscal 2017. Gross profit in the 53rd week of fiscal 2016 was $4.0 million.</t>
        </r>
      </text>
    </comment>
    <comment ref="AY90" authorId="12">
      <text>
        <r>
          <rPr>
            <b/>
            <sz val="9"/>
            <color indexed="81"/>
            <rFont val="Tahoma"/>
            <family val="2"/>
          </rPr>
          <t>Cassel, Lauren (Research):</t>
        </r>
        <r>
          <rPr>
            <sz val="9"/>
            <color indexed="81"/>
            <rFont val="Tahoma"/>
            <family val="2"/>
          </rPr>
          <t xml:space="preserve">
8/21/17:Gross margin increased 180 basis points to 60.5% in fiscal 2017 from 58.7% in fiscal 2016. The increase in gross margin is primarily attributable to a shift in channel mix.</t>
        </r>
      </text>
    </comment>
    <comment ref="BA90" authorId="12">
      <text>
        <r>
          <rPr>
            <b/>
            <sz val="9"/>
            <color indexed="81"/>
            <rFont val="Tahoma"/>
            <family val="2"/>
          </rPr>
          <t>Cassel, Lauren (Research):</t>
        </r>
        <r>
          <rPr>
            <sz val="9"/>
            <color indexed="81"/>
            <rFont val="Tahoma"/>
            <family val="2"/>
          </rPr>
          <t xml:space="preserve">
Corporate Unallocated Gross Profit increased $7.8 million to $59.8 million in fiscal 2017 from $52.0 million in fiscal 2016, primarily due to the impact of favorable inventory production variances partially offset by higher inventory reserves and royalty payments.</t>
        </r>
      </text>
    </comment>
    <comment ref="BE90" authorId="12">
      <text>
        <r>
          <rPr>
            <b/>
            <sz val="9"/>
            <color indexed="81"/>
            <rFont val="Tahoma"/>
            <family val="2"/>
          </rPr>
          <t>Cassel, Lauren (Research):</t>
        </r>
        <r>
          <rPr>
            <sz val="9"/>
            <color indexed="81"/>
            <rFont val="Tahoma"/>
            <family val="2"/>
          </rPr>
          <t xml:space="preserve">
8/21/17: North America Operating Income decreased 5.5% or $40.3 million to $697.0 million in fiscal 2017, reflecting the decrease in gross profit of $25.0 million and higher SG&amp;A expenses of $15.3 million. The increase in SG&amp;A expenses was due to higher occupancy costs, primarily due to the 5th Avenue store, as well as higher depreciation expense. </t>
        </r>
      </text>
    </comment>
    <comment ref="BG90" authorId="12">
      <text>
        <r>
          <rPr>
            <b/>
            <sz val="9"/>
            <color indexed="81"/>
            <rFont val="Tahoma"/>
            <family val="2"/>
          </rPr>
          <t>Cassel, Lauren (Research):</t>
        </r>
        <r>
          <rPr>
            <sz val="9"/>
            <color indexed="81"/>
            <rFont val="Tahoma"/>
            <family val="2"/>
          </rPr>
          <t xml:space="preserve">
8/21/17: </t>
        </r>
        <r>
          <rPr>
            <b/>
            <sz val="9"/>
            <color indexed="81"/>
            <rFont val="Tahoma"/>
            <family val="2"/>
          </rPr>
          <t xml:space="preserve">Operating margin decreased 110 basis points to 29.7% in fiscal 2017 from 30.8% during the same period in the prior year due to higher SG&amp;A expense as a percentage of net sales of 130 basis points, partially offset by higher gross margin of 20 basis points. </t>
        </r>
      </text>
    </comment>
    <comment ref="BI90" authorId="12">
      <text>
        <r>
          <rPr>
            <b/>
            <sz val="9"/>
            <color indexed="81"/>
            <rFont val="Tahoma"/>
            <family val="2"/>
          </rPr>
          <t>Cassel, Lauren (Research):</t>
        </r>
        <r>
          <rPr>
            <sz val="9"/>
            <color indexed="81"/>
            <rFont val="Tahoma"/>
            <family val="2"/>
          </rPr>
          <t xml:space="preserve">
8/21/17: International Operating Income increased 4.5% or $23.2 million to $535.9 million in fiscal 2017, primarily reflecting an increase in gross profit of $17.7 million and lower SG&amp;A expenses of $5.5 million. The decrease in SG&amp;A expenses is primarily related to reduced marketing and occupancy costs in Greater China, as well as lower employee related costs in international wholesale, partially offset by unfavorable foreign currency effects in Japan and increased occupancy costs in Europe to support the growth of the business. </t>
        </r>
      </text>
    </comment>
    <comment ref="BK90" authorId="12">
      <text>
        <r>
          <rPr>
            <b/>
            <sz val="9"/>
            <color indexed="81"/>
            <rFont val="Tahoma"/>
            <family val="2"/>
          </rPr>
          <t>Cassel, Lauren (Research):</t>
        </r>
        <r>
          <rPr>
            <sz val="9"/>
            <color indexed="81"/>
            <rFont val="Tahoma"/>
            <family val="2"/>
          </rPr>
          <t xml:space="preserve">
8/21/17: Operating margin increased 110 basis points to 31.2% in fiscal 2017 from 30.1% during the same period in the prior year primarily due to lower overall SG&amp;A as a percentage of net sales of 60 basis points and increased gross margin of 50 basis points.</t>
        </r>
      </text>
    </comment>
    <comment ref="BM90" authorId="12">
      <text>
        <r>
          <rPr>
            <b/>
            <sz val="9"/>
            <color indexed="81"/>
            <rFont val="Tahoma"/>
            <family val="2"/>
          </rPr>
          <t>Cassel, Lauren (Research):</t>
        </r>
        <r>
          <rPr>
            <sz val="9"/>
            <color indexed="81"/>
            <rFont val="Tahoma"/>
            <family val="2"/>
          </rPr>
          <t xml:space="preserve">
8/21/17: Operating income in the Other category, which is not a reportable segment, consists of Coach brand sales generated in other ancillary channels, licensing and disposition.    </t>
        </r>
      </text>
    </comment>
    <comment ref="BQ90" authorId="12">
      <text>
        <r>
          <rPr>
            <b/>
            <sz val="9"/>
            <color indexed="81"/>
            <rFont val="Tahoma"/>
            <family val="2"/>
          </rPr>
          <t>Cassel, Lauren (Research):</t>
        </r>
        <r>
          <rPr>
            <sz val="9"/>
            <color indexed="81"/>
            <rFont val="Tahoma"/>
            <family val="2"/>
          </rPr>
          <t xml:space="preserve">
8/21/17: Stuart Weitzman Operating Income decreased $11.9 million to $20.6 million in fiscal 2017, resulting in an operating margin of 5.5%, compared to an operating income of $32.5 million in fiscal 2016.</t>
        </r>
        <r>
          <rPr>
            <b/>
            <sz val="9"/>
            <color indexed="81"/>
            <rFont val="Tahoma"/>
            <family val="2"/>
          </rPr>
          <t xml:space="preserve"> Excluding non-GAAP adjustments as discussed in the "GAAP to Non-GAAP Reconciliation" herein, which reflect acquisition and integration-related costs, Stuart Weitzman operating income totaled $41.2 million in fiscal 2017, resulting in an operating margin of 11.0%. </t>
        </r>
        <r>
          <rPr>
            <sz val="9"/>
            <color indexed="81"/>
            <rFont val="Tahoma"/>
            <family val="2"/>
          </rPr>
          <t>This compared to Stuart Weitzman operating income of $48.2 million in fiscal 2016, resulting in an operating margin of 14.0%.</t>
        </r>
      </text>
    </comment>
    <comment ref="BS90" authorId="12">
      <text>
        <r>
          <rPr>
            <b/>
            <sz val="9"/>
            <color indexed="81"/>
            <rFont val="Tahoma"/>
            <family val="2"/>
          </rPr>
          <t>Cassel, Lauren (Research):</t>
        </r>
        <r>
          <rPr>
            <sz val="9"/>
            <color indexed="81"/>
            <rFont val="Tahoma"/>
            <family val="2"/>
          </rPr>
          <t xml:space="preserve">
8/21/17: Stuart Weitzman Operating Income decreased $11.9 million to $20.6 million in fiscal 2017, resulting in an operating margin of 5.5%, compared to an operating income of $32.5 million in fiscal 2016. Excluding non-GAAP adjustments as discussed in the "GAAP to Non-GAAP Reconciliation" herein, which reflect acquisition and integration-related costs, Stuart Weitzman operating income totaled $41.2 million in fiscal 2017, resulting in an operating margin of 11.0%. This compared to Stuart Weitzman operating income of $48.2 million in fiscal 2016, resulting in an operating margin of 14.0%.
Provision for Income Taxes</t>
        </r>
      </text>
    </comment>
    <comment ref="BU90" authorId="12">
      <text>
        <r>
          <rPr>
            <b/>
            <sz val="9"/>
            <color indexed="81"/>
            <rFont val="Tahoma"/>
            <family val="2"/>
          </rPr>
          <t>Cassel, Lauren (Research):</t>
        </r>
        <r>
          <rPr>
            <sz val="9"/>
            <color indexed="81"/>
            <rFont val="Tahoma"/>
            <family val="2"/>
          </rPr>
          <t xml:space="preserve">
8/21/17: Corporate Unallocated Operating Expense decreased $154.4 million to $497.5 million in fiscal 2017, a decrease of 23.7% from $651.9 million in fiscal 2016. This decrease was primarily attributable to lower non-GAAP charges incurred by the Company in fiscal 2017 as compared to fiscal 2016, as discussed in the "GAAP to Non-GAAP Reconciliation" herein. </t>
        </r>
        <r>
          <rPr>
            <b/>
            <sz val="9"/>
            <color indexed="81"/>
            <rFont val="Tahoma"/>
            <family val="2"/>
          </rPr>
          <t xml:space="preserve">Excluding non-GAAP adjustments, unallocated operating expenses decreased by $51.7 million to $492.8 million. This decrease is primarily due to lower employee costs related to headcount and litigation costs, partially offset by higher occupancy costs. </t>
        </r>
      </text>
    </comment>
    <comment ref="E93" authorId="12">
      <text>
        <r>
          <rPr>
            <b/>
            <sz val="9"/>
            <color indexed="81"/>
            <rFont val="Tahoma"/>
            <family val="2"/>
          </rPr>
          <t>Cassel, Lauren (Research):</t>
        </r>
        <r>
          <rPr>
            <sz val="9"/>
            <color indexed="81"/>
            <rFont val="Tahoma"/>
            <family val="2"/>
          </rPr>
          <t xml:space="preserve">
11/7/17: The brand’s North America business declined modestly, while the international business was flat on a reported basis and up slightly in constant currency given the impact of the stronger U.S. dollar.</t>
        </r>
      </text>
    </comment>
    <comment ref="J93" authorId="12">
      <text>
        <r>
          <rPr>
            <b/>
            <sz val="9"/>
            <color indexed="81"/>
            <rFont val="Tahoma"/>
            <family val="2"/>
          </rPr>
          <t>Cassel, Lauren (Research):</t>
        </r>
        <r>
          <rPr>
            <sz val="9"/>
            <color indexed="81"/>
            <rFont val="Tahoma"/>
            <family val="2"/>
          </rPr>
          <t xml:space="preserve">
11/7/17: The brand’s North America business declined modestly, while the international business was flat on a reported basis and up slightly in constant currency given the impact of the stronger U.S. dollar. The brand’s international constant currency sales growth was driven by increases in Europe, Greater China and Japan. </t>
        </r>
        <r>
          <rPr>
            <b/>
            <sz val="9"/>
            <color indexed="81"/>
            <rFont val="Tahoma"/>
            <family val="2"/>
          </rPr>
          <t xml:space="preserve">Europe and Mainland China continued to generate positive comps, while our overall comp store sales in Greater China were down as expected, given both the holiday shift and continued weakness in Hong Kong and Macau. </t>
        </r>
        <r>
          <rPr>
            <sz val="9"/>
            <color indexed="81"/>
            <rFont val="Tahoma"/>
            <family val="2"/>
          </rPr>
          <t>The balance of our direct Asia business continued to be negatively impacted by the ongoing issues in Korea with both domestic macroeconomic malaise and weak tourist flows.</t>
        </r>
      </text>
    </comment>
    <comment ref="O93" authorId="12">
      <text>
        <r>
          <rPr>
            <b/>
            <sz val="9"/>
            <color indexed="81"/>
            <rFont val="Tahoma"/>
            <family val="2"/>
          </rPr>
          <t>Cassel, Lauren (Research):</t>
        </r>
        <r>
          <rPr>
            <sz val="9"/>
            <color indexed="81"/>
            <rFont val="Tahoma"/>
            <family val="2"/>
          </rPr>
          <t xml:space="preserve">
Autumn Festival shifts out of September into October</t>
        </r>
      </text>
    </comment>
    <comment ref="P93" authorId="12">
      <text>
        <r>
          <rPr>
            <b/>
            <sz val="9"/>
            <color indexed="81"/>
            <rFont val="Tahoma"/>
            <family val="2"/>
          </rPr>
          <t>Cassel, Lauren (Research):</t>
        </r>
        <r>
          <rPr>
            <sz val="9"/>
            <color indexed="81"/>
            <rFont val="Tahoma"/>
            <family val="2"/>
          </rPr>
          <t xml:space="preserve">
11/7/17: The brand’s North America business declined modestly, while the international business was flat on a reported basis and up slightly in constant currency given the impact of the stronger U.S. dollar. The brand’s international constant currency sales growth was driven by increases in Europe, Greater China and Japan. </t>
        </r>
        <r>
          <rPr>
            <b/>
            <sz val="9"/>
            <color indexed="81"/>
            <rFont val="Tahoma"/>
            <family val="2"/>
          </rPr>
          <t xml:space="preserve">Europe and Mainland China continued to generate positive comps, while our overall comp store sales in Greater China were down as expected, given both the holiday shift and continued weakness in Hong Kong and Macau. </t>
        </r>
        <r>
          <rPr>
            <sz val="9"/>
            <color indexed="81"/>
            <rFont val="Tahoma"/>
            <family val="2"/>
          </rPr>
          <t>The balance of our direct Asia business continued to be negatively impacted by the ongoing issues in Korea with both domestic macroeconomic malaise and weak tourist flows.</t>
        </r>
      </text>
    </comment>
    <comment ref="AD93" authorId="12">
      <text>
        <r>
          <rPr>
            <b/>
            <sz val="9"/>
            <color indexed="81"/>
            <rFont val="Tahoma"/>
            <family val="2"/>
          </rPr>
          <t>Cassel, Lauren (Research):</t>
        </r>
        <r>
          <rPr>
            <sz val="9"/>
            <color indexed="81"/>
            <rFont val="Tahoma"/>
            <family val="2"/>
          </rPr>
          <t xml:space="preserve">
11/7/17: The brand’s North America business declined modestly, while the international business was flat on a reported basis and up slightly in constant currency given the impact of the stronger U.S. dollar. The brand’s international constant currency sales growth was driven by increases in Europe, Greater China and Japan. </t>
        </r>
        <r>
          <rPr>
            <b/>
            <sz val="9"/>
            <color indexed="81"/>
            <rFont val="Tahoma"/>
            <family val="2"/>
          </rPr>
          <t xml:space="preserve">Europe and Mainland China continued to generate positive comps, while our overall comp store sales in Greater China were down as expected, given both the holiday shift and continued weakness in Hong Kong and Macau. </t>
        </r>
        <r>
          <rPr>
            <sz val="9"/>
            <color indexed="81"/>
            <rFont val="Tahoma"/>
            <family val="2"/>
          </rPr>
          <t>The balance of our direct Asia business continued to be negatively impacted by the ongoing issues in Korea with both domestic macroeconomic malaise and weak tourist flows.</t>
        </r>
      </text>
    </comment>
    <comment ref="O94" authorId="13">
      <text>
        <r>
          <rPr>
            <b/>
            <sz val="9"/>
            <color indexed="81"/>
            <rFont val="Tahoma"/>
            <family val="2"/>
          </rPr>
          <t>Roberts, Cynthia (Research):</t>
        </r>
        <r>
          <rPr>
            <sz val="9"/>
            <color indexed="81"/>
            <rFont val="Tahoma"/>
            <family val="2"/>
          </rPr>
          <t xml:space="preserve">
2/6/18: greater China comps rose with positive comps in Mainland China and siginifcant improvement in HK and Macau</t>
        </r>
      </text>
    </comment>
    <comment ref="P94" authorId="13">
      <text>
        <r>
          <rPr>
            <b/>
            <sz val="9"/>
            <color indexed="81"/>
            <rFont val="Tahoma"/>
            <family val="2"/>
          </rPr>
          <t>Roberts, Cynthia (Research):</t>
        </r>
        <r>
          <rPr>
            <sz val="9"/>
            <color indexed="81"/>
            <rFont val="Tahoma"/>
            <family val="2"/>
          </rPr>
          <t xml:space="preserve">
2/6/18: While the international business in aggregate also rose on both the reported and constant currency basis. The brand's international constant currency sales growth was driven by increases in Europe, Greater China, South East Asia and Japan. Globally, we saw our business with the Chinese consumer increase with notable strength in Japan, Continental Europe and other Asia markets.</t>
        </r>
      </text>
    </comment>
    <comment ref="AD97" authorId="12">
      <text>
        <r>
          <rPr>
            <b/>
            <sz val="9"/>
            <color indexed="81"/>
            <rFont val="Tahoma"/>
            <family val="2"/>
          </rPr>
          <t>Cassel, Lauren (Research):</t>
        </r>
        <r>
          <rPr>
            <sz val="9"/>
            <color indexed="81"/>
            <rFont val="Tahoma"/>
            <family val="2"/>
          </rPr>
          <t xml:space="preserve">
8/15/17: guidance includes +LDD increase in SW brand sales</t>
        </r>
      </text>
    </comment>
  </commentList>
</comments>
</file>

<file path=xl/comments6.xml><?xml version="1.0" encoding="utf-8"?>
<comments xmlns="http://schemas.openxmlformats.org/spreadsheetml/2006/main">
  <authors>
    <author>LM37689</author>
    <author>mm98285</author>
    <author>lauraro</author>
    <author>ns66486</author>
    <author>herrsylv</author>
    <author>nicholjs</author>
    <author>solejay</author>
    <author>casselau</author>
    <author>turleamb</author>
    <author>Turley, Amber (Research)</author>
    <author>Mains, Spencer (Research)</author>
    <author>Baglione, Gregory  (Research)</author>
    <author>Cassel, Lauren (Research)</author>
    <author>Roberts, Cynthia (Research)</author>
  </authors>
  <commentList>
    <comment ref="L8" authorId="0">
      <text>
        <r>
          <rPr>
            <b/>
            <sz val="8"/>
            <color indexed="81"/>
            <rFont val="Tahoma"/>
            <family val="2"/>
          </rPr>
          <t>LM37689:</t>
        </r>
        <r>
          <rPr>
            <sz val="8"/>
            <color indexed="81"/>
            <rFont val="Tahoma"/>
            <family val="2"/>
          </rPr>
          <t xml:space="preserve">
includes retail and factory stores up to end of 2004, 2005 beyond also incl. Japan</t>
        </r>
      </text>
    </comment>
    <comment ref="AG8" authorId="0">
      <text>
        <r>
          <rPr>
            <b/>
            <sz val="8"/>
            <color indexed="81"/>
            <rFont val="Tahoma"/>
            <family val="2"/>
          </rPr>
          <t>LM37689:</t>
        </r>
        <r>
          <rPr>
            <sz val="8"/>
            <color indexed="81"/>
            <rFont val="Tahoma"/>
            <family val="2"/>
          </rPr>
          <t xml:space="preserve">
includes retail and factory stores up to 2004, 2005 beyond also incl. Japan</t>
        </r>
      </text>
    </comment>
    <comment ref="R78" authorId="1">
      <text>
        <r>
          <rPr>
            <b/>
            <sz val="8"/>
            <color indexed="81"/>
            <rFont val="Tahoma"/>
            <family val="2"/>
          </rPr>
          <t>mm98285:</t>
        </r>
        <r>
          <rPr>
            <sz val="8"/>
            <color indexed="81"/>
            <rFont val="Tahoma"/>
            <family val="2"/>
          </rPr>
          <t xml:space="preserve">
benefitted from extra week</t>
        </r>
      </text>
    </comment>
    <comment ref="J82" authorId="1">
      <text>
        <r>
          <rPr>
            <b/>
            <sz val="8"/>
            <color indexed="81"/>
            <rFont val="Tahoma"/>
            <family val="2"/>
          </rPr>
          <t>mm98285:</t>
        </r>
        <r>
          <rPr>
            <sz val="8"/>
            <color indexed="81"/>
            <rFont val="Tahoma"/>
            <family val="2"/>
          </rPr>
          <t xml:space="preserve">
includes Coach Japan stores going forward (now included in Direct sales)</t>
        </r>
      </text>
    </comment>
    <comment ref="L82" authorId="1">
      <text>
        <r>
          <rPr>
            <b/>
            <sz val="8"/>
            <color indexed="81"/>
            <rFont val="Tahoma"/>
            <family val="2"/>
          </rPr>
          <t>mm98285:</t>
        </r>
        <r>
          <rPr>
            <sz val="8"/>
            <color indexed="81"/>
            <rFont val="Tahoma"/>
            <family val="2"/>
          </rPr>
          <t xml:space="preserve">
includes Coach Japan stores going forward (now included in Direct sales)</t>
        </r>
      </text>
    </comment>
    <comment ref="AG82" authorId="1">
      <text>
        <r>
          <rPr>
            <b/>
            <sz val="8"/>
            <color indexed="81"/>
            <rFont val="Tahoma"/>
            <family val="2"/>
          </rPr>
          <t>mm98285:</t>
        </r>
        <r>
          <rPr>
            <sz val="8"/>
            <color indexed="81"/>
            <rFont val="Tahoma"/>
            <family val="2"/>
          </rPr>
          <t xml:space="preserve">
includes Coach Japan stores going forward (now included in Direct sales)</t>
        </r>
      </text>
    </comment>
    <comment ref="J96" authorId="1">
      <text>
        <r>
          <rPr>
            <b/>
            <sz val="8"/>
            <color indexed="81"/>
            <rFont val="Tahoma"/>
            <family val="2"/>
          </rPr>
          <t>mm98285:</t>
        </r>
        <r>
          <rPr>
            <sz val="8"/>
            <color indexed="81"/>
            <rFont val="Tahoma"/>
            <family val="2"/>
          </rPr>
          <t xml:space="preserve">
8/06: expect to add 20 US stores in 1Hl </t>
        </r>
      </text>
    </comment>
    <comment ref="L96" authorId="1">
      <text>
        <r>
          <rPr>
            <b/>
            <sz val="8"/>
            <color indexed="81"/>
            <rFont val="Tahoma"/>
            <family val="2"/>
          </rPr>
          <t>mm98285:</t>
        </r>
        <r>
          <rPr>
            <sz val="8"/>
            <color indexed="81"/>
            <rFont val="Tahoma"/>
            <family val="2"/>
          </rPr>
          <t xml:space="preserve">
8/06: expect to add 20 US stores in 1Hl </t>
        </r>
      </text>
    </comment>
    <comment ref="J97" authorId="1">
      <text>
        <r>
          <rPr>
            <b/>
            <sz val="8"/>
            <color indexed="81"/>
            <rFont val="Tahoma"/>
            <family val="2"/>
          </rPr>
          <t>mm98285:</t>
        </r>
        <r>
          <rPr>
            <sz val="8"/>
            <color indexed="81"/>
            <rFont val="Tahoma"/>
            <family val="2"/>
          </rPr>
          <t xml:space="preserve">
10/06: +19 US stores in 1H
8/06: expect to add 20 US stores in 1H
</t>
        </r>
      </text>
    </comment>
    <comment ref="L97" authorId="1">
      <text>
        <r>
          <rPr>
            <b/>
            <sz val="8"/>
            <color indexed="81"/>
            <rFont val="Tahoma"/>
            <family val="2"/>
          </rPr>
          <t>mm98285:</t>
        </r>
        <r>
          <rPr>
            <sz val="8"/>
            <color indexed="81"/>
            <rFont val="Tahoma"/>
            <family val="2"/>
          </rPr>
          <t xml:space="preserve">
10/06: +19 US stores in 1H
8/06: expect to add 20 US stores in 1H
</t>
        </r>
      </text>
    </comment>
    <comment ref="J103" authorId="1">
      <text>
        <r>
          <rPr>
            <b/>
            <sz val="8"/>
            <color indexed="81"/>
            <rFont val="Tahoma"/>
            <family val="2"/>
          </rPr>
          <t>mm98285:</t>
        </r>
        <r>
          <rPr>
            <sz val="8"/>
            <color indexed="81"/>
            <rFont val="Tahoma"/>
            <family val="2"/>
          </rPr>
          <t xml:space="preserve">
open 15 retail in 1Q</t>
        </r>
      </text>
    </comment>
    <comment ref="L103" authorId="1">
      <text>
        <r>
          <rPr>
            <b/>
            <sz val="8"/>
            <color indexed="81"/>
            <rFont val="Tahoma"/>
            <family val="2"/>
          </rPr>
          <t>mm98285:</t>
        </r>
        <r>
          <rPr>
            <sz val="8"/>
            <color indexed="81"/>
            <rFont val="Tahoma"/>
            <family val="2"/>
          </rPr>
          <t xml:space="preserve">
open 15 retail in 1Q</t>
        </r>
      </text>
    </comment>
    <comment ref="J110" authorId="1">
      <text>
        <r>
          <rPr>
            <b/>
            <sz val="8"/>
            <color indexed="81"/>
            <rFont val="Tahoma"/>
            <family val="2"/>
          </rPr>
          <t>mm98285:</t>
        </r>
        <r>
          <rPr>
            <sz val="8"/>
            <color indexed="81"/>
            <rFont val="Tahoma"/>
            <family val="2"/>
          </rPr>
          <t xml:space="preserve">
7/08: +22 stores in NA
2/08: Mgmt intends to open ~30 of the 40 planned FY09 store openings by Nov. 1, ‘08</t>
        </r>
      </text>
    </comment>
    <comment ref="L110" authorId="1">
      <text>
        <r>
          <rPr>
            <b/>
            <sz val="8"/>
            <color indexed="81"/>
            <rFont val="Tahoma"/>
            <family val="2"/>
          </rPr>
          <t>mm98285:</t>
        </r>
        <r>
          <rPr>
            <sz val="8"/>
            <color indexed="81"/>
            <rFont val="Tahoma"/>
            <family val="2"/>
          </rPr>
          <t xml:space="preserve">
7/08: +22 stores in NA and 4 in Japan
2/08: Mgmt intends to open ~30 of the 40 planned FY09 store openings by Nov. 1, ‘08</t>
        </r>
      </text>
    </comment>
    <comment ref="L111" authorId="1">
      <text>
        <r>
          <rPr>
            <b/>
            <sz val="8"/>
            <color indexed="81"/>
            <rFont val="Tahoma"/>
            <family val="2"/>
          </rPr>
          <t>mm98285:</t>
        </r>
        <r>
          <rPr>
            <sz val="8"/>
            <color indexed="81"/>
            <rFont val="Tahoma"/>
            <family val="2"/>
          </rPr>
          <t xml:space="preserve">
3/09: 160 Japan stores incl. 5 distributor owned locations (20 full price stores incl. 8 flagships, 114 shop-in-shops, 21 factory &amp; 5 distributor-operated stores)
</t>
        </r>
      </text>
    </comment>
    <comment ref="J112" authorId="1">
      <text>
        <r>
          <rPr>
            <b/>
            <sz val="8"/>
            <color indexed="81"/>
            <rFont val="Tahoma"/>
            <family val="2"/>
          </rPr>
          <t>mm98285:</t>
        </r>
        <r>
          <rPr>
            <sz val="8"/>
            <color indexed="81"/>
            <rFont val="Tahoma"/>
            <family val="2"/>
          </rPr>
          <t xml:space="preserve">
opened 2 retail, closed 2 retail, opened 3 factory. 1 retail and 1 factory were expanded</t>
        </r>
      </text>
    </comment>
    <comment ref="L112" authorId="1">
      <text>
        <r>
          <rPr>
            <b/>
            <sz val="8"/>
            <color indexed="81"/>
            <rFont val="Tahoma"/>
            <family val="2"/>
          </rPr>
          <t>mm98285:</t>
        </r>
        <r>
          <rPr>
            <sz val="8"/>
            <color indexed="81"/>
            <rFont val="Tahoma"/>
            <family val="2"/>
          </rPr>
          <t xml:space="preserve">
Japan: opened 1 factory
161 total: 20 full price stores including 8 flagships, 114 shop-in-shops, 22 factory stores and 5 distributor-operated locations. </t>
        </r>
      </text>
    </comment>
    <comment ref="J113" authorId="1">
      <text>
        <r>
          <rPr>
            <b/>
            <sz val="8"/>
            <color indexed="81"/>
            <rFont val="Tahoma"/>
            <family val="2"/>
          </rPr>
          <t>mm98285:</t>
        </r>
        <r>
          <rPr>
            <sz val="8"/>
            <color indexed="81"/>
            <rFont val="Tahoma"/>
            <family val="2"/>
          </rPr>
          <t xml:space="preserve">
opened 9 N.A. retail, closed 3 
opened 3 N.A. factory, closed 1</t>
        </r>
      </text>
    </comment>
    <comment ref="L113" authorId="1">
      <text>
        <r>
          <rPr>
            <b/>
            <sz val="8"/>
            <color indexed="81"/>
            <rFont val="Tahoma"/>
            <family val="2"/>
          </rPr>
          <t>mm98285:</t>
        </r>
        <r>
          <rPr>
            <sz val="8"/>
            <color indexed="81"/>
            <rFont val="Tahoma"/>
            <family val="2"/>
          </rPr>
          <t xml:space="preserve">
Japan- opend 1, closed 2, expanded 1
5/09: includes incremental 25 China stores</t>
        </r>
      </text>
    </comment>
    <comment ref="J117" authorId="1">
      <text>
        <r>
          <rPr>
            <b/>
            <sz val="8"/>
            <color indexed="81"/>
            <rFont val="Tahoma"/>
            <family val="2"/>
          </rPr>
          <t>mm98285:</t>
        </r>
        <r>
          <rPr>
            <sz val="8"/>
            <color indexed="81"/>
            <rFont val="Tahoma"/>
            <family val="2"/>
          </rPr>
          <t xml:space="preserve">
7/09: expect ~14 retail openings in 1H (mostly 1Q)</t>
        </r>
      </text>
    </comment>
    <comment ref="L117" authorId="2">
      <text>
        <r>
          <rPr>
            <sz val="8"/>
            <color indexed="81"/>
            <rFont val="Tahoma"/>
            <family val="2"/>
          </rPr>
          <t>162 total locations in Japan with 20 stand-alone full-price stores including eight flag ships, 114 shop in shops, 23 factory stores, and five distributor operated locations.</t>
        </r>
      </text>
    </comment>
    <comment ref="J118" authorId="1">
      <text>
        <r>
          <rPr>
            <b/>
            <sz val="8"/>
            <color indexed="81"/>
            <rFont val="Tahoma"/>
            <family val="2"/>
          </rPr>
          <t>mm98285:</t>
        </r>
        <r>
          <rPr>
            <sz val="8"/>
            <color indexed="81"/>
            <rFont val="Tahoma"/>
            <family val="2"/>
          </rPr>
          <t xml:space="preserve">
expanded 1 factory store
7/09: expect ~14 retail openings in 1H (mostly 1Q)</t>
        </r>
      </text>
    </comment>
    <comment ref="L118" authorId="1">
      <text>
        <r>
          <rPr>
            <b/>
            <sz val="8"/>
            <color indexed="81"/>
            <rFont val="Tahoma"/>
            <family val="2"/>
          </rPr>
          <t>mm98285:</t>
        </r>
        <r>
          <rPr>
            <sz val="8"/>
            <color indexed="81"/>
            <rFont val="Tahoma"/>
            <family val="2"/>
          </rPr>
          <t xml:space="preserve">
expanded 1 Japan location (3 expansions over LTM)
163 Japan locations with 20 full price stores (incl. 8 flagships), 115 shop-in-shops, 23 factory stores and 5 distributor-operated locations
37 China locations including 10 in Hong Kong, 2 in Macau &amp; 25 on Mainland in 10 cities</t>
        </r>
      </text>
    </comment>
    <comment ref="J119" authorId="3">
      <text>
        <r>
          <rPr>
            <b/>
            <sz val="8"/>
            <color indexed="81"/>
            <rFont val="Tahoma"/>
            <family val="2"/>
          </rPr>
          <t>ns66486:</t>
        </r>
        <r>
          <rPr>
            <sz val="8"/>
            <color indexed="81"/>
            <rFont val="Tahoma"/>
            <family val="2"/>
          </rPr>
          <t xml:space="preserve">
opened 2 N.A. retail stores both in new markets – Burlington, ON and Brownsville, TX – and closed two others.; also opened one factory store. </t>
        </r>
      </text>
    </comment>
    <comment ref="L119" authorId="3">
      <text>
        <r>
          <rPr>
            <b/>
            <sz val="8"/>
            <color indexed="81"/>
            <rFont val="Tahoma"/>
            <family val="2"/>
          </rPr>
          <t xml:space="preserve">Japan: </t>
        </r>
        <r>
          <rPr>
            <sz val="8"/>
            <color indexed="81"/>
            <rFont val="Tahoma"/>
            <family val="2"/>
          </rPr>
          <t>166 shops (+3, men's factory and wholesale)</t>
        </r>
        <r>
          <rPr>
            <b/>
            <sz val="8"/>
            <color indexed="81"/>
            <rFont val="Tahoma"/>
            <family val="2"/>
          </rPr>
          <t xml:space="preserve">
</t>
        </r>
        <r>
          <rPr>
            <sz val="8"/>
            <color indexed="81"/>
            <rFont val="Tahoma"/>
            <family val="2"/>
          </rPr>
          <t>opened  first men’s location as well as a factory store and a wholesale location. At quarter end there were 166 total locations in Japan with 20 full price stores including 8 flagships, 116 shop-in-shops, 24 factory stores and 6 wholesale duty-free locations. 
38 China locations including 10 in Hong Kong, 2 in Macau &amp; 25 on Mainland in 10 cities</t>
        </r>
      </text>
    </comment>
    <comment ref="J120" authorId="3">
      <text>
        <r>
          <rPr>
            <b/>
            <sz val="8"/>
            <color indexed="81"/>
            <rFont val="Tahoma"/>
            <family val="2"/>
          </rPr>
          <t>ns66486:</t>
        </r>
        <r>
          <rPr>
            <sz val="8"/>
            <color indexed="81"/>
            <rFont val="Tahoma"/>
            <family val="2"/>
          </rPr>
          <t xml:space="preserve">
plan to open 5 N.A. stores and 2 Factory stores in 4Q10</t>
        </r>
      </text>
    </comment>
    <comment ref="L120" authorId="2">
      <text>
        <r>
          <rPr>
            <b/>
            <sz val="8"/>
            <color indexed="81"/>
            <rFont val="Tahoma"/>
            <family val="2"/>
          </rPr>
          <t>lauraro:</t>
        </r>
        <r>
          <rPr>
            <sz val="8"/>
            <color indexed="81"/>
            <rFont val="Tahoma"/>
            <family val="2"/>
          </rPr>
          <t xml:space="preserve">
167 in Japan (incl 6 duty-free loc's) +2 Japan (2nd Men's), -1 and 1 expanded</t>
        </r>
      </text>
    </comment>
    <comment ref="R120" authorId="1">
      <text>
        <r>
          <rPr>
            <b/>
            <sz val="8"/>
            <color indexed="81"/>
            <rFont val="Tahoma"/>
            <family val="2"/>
          </rPr>
          <t>mm98285:</t>
        </r>
        <r>
          <rPr>
            <sz val="8"/>
            <color indexed="81"/>
            <rFont val="Tahoma"/>
            <family val="2"/>
          </rPr>
          <t xml:space="preserve">
assume add'l $30 to N.A. direct for extra week</t>
        </r>
      </text>
    </comment>
    <comment ref="F124" authorId="2">
      <text>
        <r>
          <rPr>
            <b/>
            <sz val="8"/>
            <color indexed="81"/>
            <rFont val="Tahoma"/>
            <family val="2"/>
          </rPr>
          <t>lauraro:</t>
        </r>
        <r>
          <rPr>
            <sz val="8"/>
            <color indexed="81"/>
            <rFont val="Tahoma"/>
            <family val="2"/>
          </rPr>
          <t xml:space="preserve">
8/10: Exp low-to-mid single digit comp store sales in North America (FY11)</t>
        </r>
      </text>
    </comment>
    <comment ref="J124" authorId="4">
      <text>
        <r>
          <rPr>
            <sz val="8"/>
            <color indexed="81"/>
            <rFont val="Tahoma"/>
            <family val="2"/>
          </rPr>
          <t>+3 Retail stores, +7 Factory stores, including 5 Men's factory stores</t>
        </r>
        <r>
          <rPr>
            <b/>
            <sz val="8"/>
            <color indexed="81"/>
            <rFont val="Tahoma"/>
            <family val="2"/>
          </rPr>
          <t xml:space="preserve">
mm:</t>
        </r>
        <r>
          <rPr>
            <sz val="8"/>
            <color indexed="81"/>
            <rFont val="Tahoma"/>
            <family val="2"/>
          </rPr>
          <t xml:space="preserve">
assume majority of store openings prior to christmas (end of Nov)</t>
        </r>
      </text>
    </comment>
    <comment ref="L124" authorId="2">
      <text>
        <r>
          <rPr>
            <b/>
            <sz val="8"/>
            <color indexed="81"/>
            <rFont val="Tahoma"/>
            <family val="2"/>
          </rPr>
          <t>lauraro:</t>
        </r>
        <r>
          <rPr>
            <sz val="8"/>
            <color indexed="81"/>
            <rFont val="Tahoma"/>
            <family val="2"/>
          </rPr>
          <t xml:space="preserve">
China +8
Japan +2 (incl 1 men's factory and 1 factory)
Excludes 6 duty-free Japan locations</t>
        </r>
      </text>
    </comment>
    <comment ref="F125" authorId="2">
      <text>
        <r>
          <rPr>
            <b/>
            <sz val="8"/>
            <color indexed="81"/>
            <rFont val="Tahoma"/>
            <family val="2"/>
          </rPr>
          <t>lauraro:</t>
        </r>
        <r>
          <rPr>
            <sz val="8"/>
            <color indexed="81"/>
            <rFont val="Tahoma"/>
            <family val="2"/>
          </rPr>
          <t xml:space="preserve">
8/10: Exp low-to-mid single digit comp store sales in North America (FY11)</t>
        </r>
      </text>
    </comment>
    <comment ref="J125" authorId="4">
      <text>
        <r>
          <rPr>
            <b/>
            <sz val="8"/>
            <color indexed="81"/>
            <rFont val="Tahoma"/>
            <family val="2"/>
          </rPr>
          <t xml:space="preserve">1/25/11: </t>
        </r>
        <r>
          <rPr>
            <sz val="8"/>
            <color indexed="81"/>
            <rFont val="Tahoma"/>
            <family val="2"/>
          </rPr>
          <t>347 FP and 120 factory stores total</t>
        </r>
        <r>
          <rPr>
            <b/>
            <sz val="8"/>
            <color indexed="81"/>
            <rFont val="Tahoma"/>
            <family val="2"/>
          </rPr>
          <t xml:space="preserve">
mm:</t>
        </r>
        <r>
          <rPr>
            <sz val="8"/>
            <color indexed="81"/>
            <rFont val="Tahoma"/>
            <family val="2"/>
          </rPr>
          <t xml:space="preserve">
assume majority of store openings prior to christmas (end of Nov)</t>
        </r>
      </text>
    </comment>
    <comment ref="L125" authorId="5">
      <text>
        <r>
          <rPr>
            <b/>
            <sz val="8"/>
            <color indexed="81"/>
            <rFont val="Tahoma"/>
            <family val="2"/>
          </rPr>
          <t>nicholjs:</t>
        </r>
        <r>
          <rPr>
            <sz val="8"/>
            <color indexed="81"/>
            <rFont val="Tahoma"/>
            <family val="2"/>
          </rPr>
          <t xml:space="preserve">
347 retail stores
129 factory stores
164 Japan ( excludes 7 duty-free locations) (opened 2, incl 1 duty-free location and 1 shop in shop)
52 China (10 HK, 2 Macau, rest Mainland)</t>
        </r>
      </text>
    </comment>
    <comment ref="J126" authorId="2">
      <text>
        <r>
          <rPr>
            <b/>
            <sz val="8"/>
            <color indexed="81"/>
            <rFont val="Tahoma"/>
            <family val="2"/>
          </rPr>
          <t>lauraro:</t>
        </r>
        <r>
          <rPr>
            <sz val="8"/>
            <color indexed="81"/>
            <rFont val="Tahoma"/>
            <family val="2"/>
          </rPr>
          <t xml:space="preserve">
344 FP 134 Factory</t>
        </r>
      </text>
    </comment>
    <comment ref="L126" authorId="2">
      <text>
        <r>
          <rPr>
            <sz val="8"/>
            <color indexed="81"/>
            <rFont val="Tahoma"/>
            <family val="2"/>
          </rPr>
          <t>55 in China (9HK (closed one), 2 Macau, rest mainland)</t>
        </r>
        <r>
          <rPr>
            <sz val="8"/>
            <color indexed="81"/>
            <rFont val="Tahoma"/>
            <family val="2"/>
          </rPr>
          <t xml:space="preserve">
174-7 in Japan=167</t>
        </r>
      </text>
    </comment>
    <comment ref="J127" authorId="2">
      <text>
        <r>
          <rPr>
            <b/>
            <sz val="8"/>
            <color indexed="81"/>
            <rFont val="Tahoma"/>
            <family val="2"/>
          </rPr>
          <t>lauraro:</t>
        </r>
        <r>
          <rPr>
            <sz val="8"/>
            <color indexed="81"/>
            <rFont val="Tahoma"/>
            <family val="2"/>
          </rPr>
          <t xml:space="preserve">
+3 FP including two in new markets for Coach – Fredericksburg, VA and Albuquerque, NM – as well as our first mall-based men’s store in Copley Plaza in Boston
Closed 2 locations
Opened 9 factory stores, including 6 Men’s dedicated locations
345 FP 143 Factory</t>
        </r>
      </text>
    </comment>
    <comment ref="L127" authorId="2">
      <text>
        <r>
          <rPr>
            <b/>
            <sz val="8"/>
            <color indexed="81"/>
            <rFont val="Tahoma"/>
            <family val="2"/>
          </rPr>
          <t>lauraro:</t>
        </r>
        <r>
          <rPr>
            <sz val="8"/>
            <color indexed="81"/>
            <rFont val="Tahoma"/>
            <family val="2"/>
          </rPr>
          <t xml:space="preserve">
Japan +2: 1 shop in shop and a Men's Factory; 167 ex duty-free loc's: 176 total w 20 FP incl 8 Flagships, 119 s-i-s, 30 factory and 7 duty-free loc's (incl. 7 Men's, 3 FP and 4 Factory)
</t>
        </r>
      </text>
    </comment>
    <comment ref="R127" authorId="4">
      <text>
        <r>
          <rPr>
            <b/>
            <sz val="8"/>
            <color indexed="81"/>
            <rFont val="Tahoma"/>
            <family val="2"/>
          </rPr>
          <t>herrsylv:</t>
        </r>
        <r>
          <rPr>
            <sz val="8"/>
            <color indexed="81"/>
            <rFont val="Tahoma"/>
            <family val="2"/>
          </rPr>
          <t xml:space="preserve">
9/10: take out $30M extra week LY
had to lower productivity to 10 to account for backing out the extra week LY</t>
        </r>
      </text>
    </comment>
    <comment ref="J131" authorId="2">
      <text>
        <r>
          <rPr>
            <b/>
            <sz val="8"/>
            <color indexed="81"/>
            <rFont val="Tahoma"/>
            <family val="2"/>
          </rPr>
          <t>lauraro:</t>
        </r>
        <r>
          <rPr>
            <sz val="8"/>
            <color indexed="81"/>
            <rFont val="Tahoma"/>
            <family val="2"/>
          </rPr>
          <t xml:space="preserve">
opened 2 new retail stores: one in a new geography, winnipeg, canada, and a men's store in GSP, and closed two locations
Opened 9 factory stores, including 8 men's standalone factory stores</t>
        </r>
      </text>
    </comment>
    <comment ref="L131" authorId="2">
      <text>
        <r>
          <rPr>
            <b/>
            <sz val="8"/>
            <color indexed="81"/>
            <rFont val="Tahoma"/>
            <family val="2"/>
          </rPr>
          <t>lauraro:</t>
        </r>
        <r>
          <rPr>
            <sz val="8"/>
            <color indexed="81"/>
            <rFont val="Tahoma"/>
            <family val="2"/>
          </rPr>
          <t xml:space="preserve">
China: +5, 4 mainland, 1 Macau
Singapore: +6 stores
Japan: +3 dedicated men’s shops, 1 retail closed, at quarter-end 178 total locations in Japan with 20 stand-alone full price stores including 8 flagships, 119 shop-in-shops, 32 factory stores and 7 distributor-operated locations (171 ex distro-operated stores?)</t>
        </r>
      </text>
    </comment>
    <comment ref="AG131" authorId="2">
      <text>
        <r>
          <rPr>
            <b/>
            <sz val="8"/>
            <color indexed="81"/>
            <rFont val="Tahoma"/>
            <family val="2"/>
          </rPr>
          <t>lauraro:</t>
        </r>
        <r>
          <rPr>
            <sz val="8"/>
            <color indexed="81"/>
            <rFont val="Tahoma"/>
            <family val="2"/>
          </rPr>
          <t xml:space="preserve">
+6 Singapore</t>
        </r>
      </text>
    </comment>
    <comment ref="J132" authorId="2">
      <text>
        <r>
          <rPr>
            <b/>
            <sz val="8"/>
            <color indexed="81"/>
            <rFont val="Tahoma"/>
            <family val="2"/>
          </rPr>
          <t>lauraro:</t>
        </r>
        <r>
          <rPr>
            <sz val="8"/>
            <color indexed="81"/>
            <rFont val="Tahoma"/>
            <family val="2"/>
          </rPr>
          <t xml:space="preserve">
+5 retail (incl 2 Men's)
+5 factory (incl one Men's)
EOQ 350 FP and 157 factory stores</t>
        </r>
      </text>
    </comment>
    <comment ref="L132" authorId="2">
      <text>
        <r>
          <rPr>
            <b/>
            <sz val="8"/>
            <color indexed="81"/>
            <rFont val="Tahoma"/>
            <family val="2"/>
          </rPr>
          <t>lauraro:</t>
        </r>
        <r>
          <rPr>
            <sz val="8"/>
            <color indexed="81"/>
            <rFont val="Tahoma"/>
            <family val="2"/>
          </rPr>
          <t xml:space="preserve">
+9 in China (8 mainland, 1 flagship in HK). 
80 total EOQ (12 HK, 3 Macau, 65 locations in mainland China in 28 cities)
Japan +6, incl 4 Men's, EOQ 184 incl 22 FP stores (incl 8 flagships), 122 shop in shops, 33 factory stores and 7 distributor-operated travel retail locations, 177 ex these 7
Singapore EOQ 6 stores, no new ones
</t>
        </r>
      </text>
    </comment>
    <comment ref="L133" authorId="2">
      <text>
        <r>
          <rPr>
            <b/>
            <sz val="8"/>
            <color indexed="81"/>
            <rFont val="Tahoma"/>
            <family val="2"/>
          </rPr>
          <t>lauraro:</t>
        </r>
        <r>
          <rPr>
            <sz val="8"/>
            <color indexed="81"/>
            <rFont val="Tahoma"/>
            <family val="2"/>
          </rPr>
          <t xml:space="preserve">
includes Taiwan</t>
        </r>
      </text>
    </comment>
    <comment ref="AG133" authorId="2">
      <text>
        <r>
          <rPr>
            <b/>
            <sz val="8"/>
            <color indexed="81"/>
            <rFont val="Tahoma"/>
            <family val="2"/>
          </rPr>
          <t>lauraro:</t>
        </r>
        <r>
          <rPr>
            <sz val="8"/>
            <color indexed="81"/>
            <rFont val="Tahoma"/>
            <family val="2"/>
          </rPr>
          <t xml:space="preserve">
+26 Taiwan</t>
        </r>
      </text>
    </comment>
    <comment ref="J134" authorId="6">
      <text>
        <r>
          <rPr>
            <b/>
            <sz val="8"/>
            <color indexed="81"/>
            <rFont val="Tahoma"/>
            <family val="2"/>
          </rPr>
          <t>solejay:</t>
        </r>
        <r>
          <rPr>
            <sz val="8"/>
            <color indexed="81"/>
            <rFont val="Tahoma"/>
            <family val="2"/>
          </rPr>
          <t xml:space="preserve">
354 full-price
169 factory        </t>
        </r>
      </text>
    </comment>
    <comment ref="L134" authorId="6">
      <text>
        <r>
          <rPr>
            <b/>
            <sz val="8"/>
            <color indexed="81"/>
            <rFont val="Tahoma"/>
            <family val="2"/>
          </rPr>
          <t>solejay:</t>
        </r>
        <r>
          <rPr>
            <sz val="8"/>
            <color indexed="81"/>
            <rFont val="Tahoma"/>
            <family val="2"/>
          </rPr>
          <t xml:space="preserve">
During the fourth quarter of fiscal 2012, the company opened four net new North American retail stores, while opening seven factory stores – including five dedicated Men’s stores. This brought the total to 354 retail stores and 169 factory stores in North America as of June 30, 2012. In China, 11 net locations were opened, bringing the total to 96. In Japan, Coach opened two Men’s retail locations and a factory store. Therefore, at the end of the quarter there were 187 total locations in Japan. As previously announced, during FY12 the company acquired the domestic retail Coach businesses in Singapore and Taiwan. At year-end, as a result of these acquisitions and two subsequent openings the company operated seven locations in Singapore and 27 in Taiwan.</t>
        </r>
      </text>
    </comment>
    <comment ref="J138" authorId="7">
      <text>
        <r>
          <rPr>
            <b/>
            <sz val="8"/>
            <color indexed="81"/>
            <rFont val="Tahoma"/>
            <family val="2"/>
          </rPr>
          <t>casselau:</t>
        </r>
        <r>
          <rPr>
            <sz val="8"/>
            <color indexed="81"/>
            <rFont val="Tahoma"/>
            <family val="2"/>
          </rPr>
          <t xml:space="preserve">
opened 5 NA factory, including 3 mens; 354 full price, 174 factory </t>
        </r>
      </text>
    </comment>
    <comment ref="L138" authorId="7">
      <text>
        <r>
          <rPr>
            <b/>
            <sz val="8"/>
            <color indexed="81"/>
            <rFont val="Tahoma"/>
            <family val="2"/>
          </rPr>
          <t>casselau:</t>
        </r>
        <r>
          <rPr>
            <sz val="8"/>
            <color indexed="81"/>
            <rFont val="Tahoma"/>
            <family val="2"/>
          </rPr>
          <t xml:space="preserve">
9 new china (total 104); 7 in singapore, 10 in malaysia, 27 in taiwain, 48 in Korea, 188 Japan</t>
        </r>
      </text>
    </comment>
    <comment ref="J139" authorId="7">
      <text>
        <r>
          <rPr>
            <b/>
            <sz val="8"/>
            <color indexed="81"/>
            <rFont val="Tahoma"/>
            <family val="2"/>
          </rPr>
          <t>casselau:</t>
        </r>
        <r>
          <rPr>
            <sz val="8"/>
            <color indexed="81"/>
            <rFont val="Tahoma"/>
            <family val="2"/>
          </rPr>
          <t xml:space="preserve">
opened 2 retail locations - including the first company operated concession in Macy’s Herald Square – as well as 15 factory stores including 4 Men’s factory stores.</t>
        </r>
      </text>
    </comment>
    <comment ref="L139" authorId="7">
      <text>
        <r>
          <rPr>
            <b/>
            <sz val="8"/>
            <color indexed="81"/>
            <rFont val="Tahoma"/>
            <family val="2"/>
          </rPr>
          <t>casselau:</t>
        </r>
        <r>
          <rPr>
            <sz val="8"/>
            <color indexed="81"/>
            <rFont val="Tahoma"/>
            <family val="2"/>
          </rPr>
          <t xml:space="preserve">
In China, 13 new locations were opened all on the mainland, bringing the total to 117. In Japan, opened 5 net locations taking the total to 193. the company operated 7 locations in Singapore, 27 in Taiwan, 10 in Malaysia and 48 in Korea. 
</t>
        </r>
      </text>
    </comment>
    <comment ref="J140" authorId="7">
      <text>
        <r>
          <rPr>
            <b/>
            <sz val="8"/>
            <color indexed="81"/>
            <rFont val="Tahoma"/>
            <family val="2"/>
          </rPr>
          <t>casselau:</t>
        </r>
        <r>
          <rPr>
            <sz val="8"/>
            <color indexed="81"/>
            <rFont val="Tahoma"/>
            <family val="2"/>
          </rPr>
          <t xml:space="preserve">
During 3Q, NA opened 1 retail store, closed 5 others and opened 2 Men’s factory stores. This brought the total to 352 retail stores and 191 factory stores as of March 30, 2013. </t>
        </r>
      </text>
    </comment>
    <comment ref="L140" authorId="7">
      <text>
        <r>
          <rPr>
            <b/>
            <sz val="8"/>
            <color indexed="81"/>
            <rFont val="Tahoma"/>
            <family val="2"/>
          </rPr>
          <t>casselau:</t>
        </r>
        <r>
          <rPr>
            <sz val="8"/>
            <color indexed="81"/>
            <rFont val="Tahoma"/>
            <family val="2"/>
          </rPr>
          <t xml:space="preserve">
In China, the 100th location on the Mainland was opened during 3Q, bringing the total to 118. In Japan, closed 2 locations taking the total to 191 at the end of 3Q. In addition,the company operated 7 locations in Singapore, 27 in Taiwan, 10 in Malaysia and 49 in Korea.</t>
        </r>
      </text>
    </comment>
    <comment ref="J141" authorId="6">
      <text>
        <r>
          <rPr>
            <b/>
            <sz val="8"/>
            <color indexed="81"/>
            <rFont val="Tahoma"/>
            <family val="2"/>
          </rPr>
          <t>solejay:</t>
        </r>
        <r>
          <rPr>
            <sz val="8"/>
            <color indexed="81"/>
            <rFont val="Tahoma"/>
            <family val="2"/>
          </rPr>
          <t xml:space="preserve">
7/30/13 - "Turning to global distribution, during the fourth quarter, we opened three new North American retail stores and closed four others.  We also opened two factory stores – including one dedicated Men’s store. At the end of FY13 there were 351 full price and 193 factory stores in operation in North America. Total square footage grew 11% for the year." </t>
        </r>
      </text>
    </comment>
    <comment ref="L141" authorId="6">
      <text>
        <r>
          <rPr>
            <b/>
            <sz val="8"/>
            <color indexed="81"/>
            <rFont val="Tahoma"/>
            <family val="2"/>
          </rPr>
          <t>solejay:</t>
        </r>
        <r>
          <rPr>
            <sz val="8"/>
            <color indexed="81"/>
            <rFont val="Tahoma"/>
            <family val="2"/>
          </rPr>
          <t xml:space="preserve">
7/30 - "Moving to China, during the quarter we added eight new locations on the Mainland, bringing the total to 126 Coach locations in China, including 108 locations on the Mainland in 47 cities.  In aggregate, there was an increase of 30 net new locations for the fiscal year, for a square footage increase of 33%. 
In Japan, seven locations were added during the quarter, bringing the total to 198 with 24 stand-alone full price stores including 9 flagships, 124 shop-in-shops, 43 factory stores and 7 distributor-operated wholesale locations.  In total, a net of 11 locations were added in Japan during FY13, yielding total square footage growth of about 9%. 
We also directly operate 92 locations in Asia comprised of 48 in Korea, 27 in Taiwan, 10 in Malaysia and 7 in Singapore." 
Note these are not included in the FY13 EOY number - "...today, we operate 20 locations across the UK, France, Ireland, Spain, Portugal and Germany"</t>
        </r>
      </text>
    </comment>
    <comment ref="AL142" authorId="7">
      <text>
        <r>
          <rPr>
            <sz val="8"/>
            <color indexed="81"/>
            <rFont val="Tahoma"/>
            <family val="2"/>
          </rPr>
          <t>expect 10% net square footage growth, compared to 5% in FY12</t>
        </r>
      </text>
    </comment>
    <comment ref="J145" authorId="8">
      <text>
        <r>
          <rPr>
            <b/>
            <sz val="8"/>
            <color indexed="81"/>
            <rFont val="Tahoma"/>
            <family val="2"/>
          </rPr>
          <t>turleamb:</t>
        </r>
        <r>
          <rPr>
            <sz val="8"/>
            <color indexed="81"/>
            <rFont val="Tahoma"/>
            <family val="2"/>
          </rPr>
          <t xml:space="preserve">
10/22/13: offers elevated collection at 100 retail stores. 345 FP, 5 men's, 157 Factory, 41 Factory mens</t>
        </r>
      </text>
    </comment>
    <comment ref="L145" authorId="8">
      <text>
        <r>
          <rPr>
            <b/>
            <sz val="8"/>
            <color indexed="81"/>
            <rFont val="Tahoma"/>
            <family val="2"/>
          </rPr>
          <t>turleamb:</t>
        </r>
        <r>
          <rPr>
            <sz val="8"/>
            <color indexed="81"/>
            <rFont val="Tahoma"/>
            <family val="2"/>
          </rPr>
          <t xml:space="preserve">
196 in Japan (opened 1 new men's location and converted 4 from temporary to permanent locations), 132 in China (opened 6 new ones with 114 on the mainland), 94 in Asia Other (opened 2 in Singapore) (48 in Korea, 27 inTaiwan and 9 in singapore), 20 in Europe due to acquisition of European JV</t>
        </r>
      </text>
    </comment>
    <comment ref="M145" authorId="6">
      <text>
        <r>
          <rPr>
            <b/>
            <sz val="8"/>
            <color indexed="81"/>
            <rFont val="Tahoma"/>
            <family val="2"/>
          </rPr>
          <t>solejay:</t>
        </r>
        <r>
          <rPr>
            <sz val="8"/>
            <color indexed="81"/>
            <rFont val="Tahoma"/>
            <family val="2"/>
          </rPr>
          <t xml:space="preserve">
Adding 20 existing Europe stores</t>
        </r>
      </text>
    </comment>
    <comment ref="J146" authorId="8">
      <text>
        <r>
          <rPr>
            <b/>
            <sz val="8"/>
            <color indexed="81"/>
            <rFont val="Tahoma"/>
            <family val="2"/>
          </rPr>
          <t>turleamb:</t>
        </r>
        <r>
          <rPr>
            <sz val="8"/>
            <color indexed="81"/>
            <rFont val="Tahoma"/>
            <family val="2"/>
          </rPr>
          <t xml:space="preserve">
opened 1 FP and 7 factory, including 1 mens  = Total 351 FP and 205 Factory, about 155 outlet malls in NA</t>
        </r>
      </text>
    </comment>
    <comment ref="L146" authorId="8">
      <text>
        <r>
          <rPr>
            <b/>
            <sz val="8"/>
            <color indexed="81"/>
            <rFont val="Tahoma"/>
            <family val="2"/>
          </rPr>
          <t>turleamb:</t>
        </r>
        <r>
          <rPr>
            <sz val="8"/>
            <color indexed="81"/>
            <rFont val="Tahoma"/>
            <family val="2"/>
          </rPr>
          <t xml:space="preserve">
196 stores in Japan (include 149 FP and 47 Factory in about 30 outlet malls), 142 stores in China (PRC, HK, Macau) (opened 10, 2 in HK and 8 on mainland. Totals 142 locations and 122 stores in mainland, and 51 cities), 98 in Asia other (opened 4 (2 in Malaysia, 1 in korea, 1 in Taiwan). total in other asia = 49 Korea, 28 Taiwan, 12 Malaysia, 9 Singapore), 24 total stores in Europe (UK, France, ireland, Spain, Portugal and Germany (opened 4).</t>
        </r>
      </text>
    </comment>
    <comment ref="J147" authorId="8">
      <text>
        <r>
          <rPr>
            <b/>
            <sz val="9"/>
            <color indexed="81"/>
            <rFont val="Tahoma"/>
            <family val="2"/>
          </rPr>
          <t>turleamb:</t>
        </r>
        <r>
          <rPr>
            <sz val="9"/>
            <color indexed="81"/>
            <rFont val="Tahoma"/>
            <family val="2"/>
          </rPr>
          <t xml:space="preserve">
closed 13 stores; factory stores in 155 outlet malls in NA; 338 FP 205 outlets</t>
        </r>
      </text>
    </comment>
    <comment ref="L147" authorId="8">
      <text>
        <r>
          <rPr>
            <b/>
            <sz val="9"/>
            <color indexed="81"/>
            <rFont val="Tahoma"/>
            <family val="2"/>
          </rPr>
          <t>turleamb:</t>
        </r>
        <r>
          <rPr>
            <sz val="9"/>
            <color indexed="81"/>
            <rFont val="Tahoma"/>
            <family val="2"/>
          </rPr>
          <t xml:space="preserve">
China: opened 5 new locations all on the mainland totaling 147 China locations (including 128 on the mainland in 52 cities); Japan opened 3 new locations totaling 199 stores (including 151 FP and 48 factory outlets in ~30 outlet malls). In Asia closed 3 stores (1 Taiwan and 2 S. Korea) and opened 1 store (S. Korea) totaling 96 Asia stores (including 48 in S. Korea, 27 Taiwan, 12 Malaysia, 9 Singapore); Europe opened 2 stores totaling 26 stores across UK, France, Ireland, Spain, Portugal and Germany. Also opened several wholesale doors in UK, Spain, Italy and Switzerland. </t>
        </r>
      </text>
    </comment>
    <comment ref="J148" authorId="9">
      <text>
        <r>
          <rPr>
            <b/>
            <sz val="9"/>
            <color indexed="81"/>
            <rFont val="Tahoma"/>
            <family val="2"/>
          </rPr>
          <t>Turley, Amber (Research):</t>
        </r>
        <r>
          <rPr>
            <sz val="9"/>
            <color indexed="81"/>
            <rFont val="Tahoma"/>
            <family val="2"/>
          </rPr>
          <t xml:space="preserve">
8/5/14: 332 FP and 207 outlets in 160 outlet malls in Nam.  in 4Q closed 6 NAm locations and opened 2 new outlet locations. </t>
        </r>
      </text>
    </comment>
    <comment ref="K148" authorId="6">
      <text>
        <r>
          <rPr>
            <b/>
            <sz val="8"/>
            <color indexed="81"/>
            <rFont val="Tahoma"/>
            <family val="2"/>
          </rPr>
          <t>solejay:</t>
        </r>
        <r>
          <rPr>
            <sz val="8"/>
            <color indexed="81"/>
            <rFont val="Tahoma"/>
            <family val="2"/>
          </rPr>
          <t xml:space="preserve">
assume most closures come at end of year when leases expire</t>
        </r>
      </text>
    </comment>
    <comment ref="L148" authorId="6">
      <text>
        <r>
          <rPr>
            <sz val="8"/>
            <color indexed="81"/>
            <rFont val="Tahoma"/>
            <family val="2"/>
          </rPr>
          <t xml:space="preserve">
7/30/2013 -
North America - "In North America we will open about 20 new stores in FY14 including two new full price locations and at least 15 factory outlets most of which will be dual gender stores with one freestanding men’s store planned as well.  In addition, we plan to close 16 full price locations, as we streamline our store base by closing less productive units. 
Importantly, we are also expanding about 20 locations – seven full price and about 13 factory – to accommodate the full build out of our dual gender presentation by adding men’s to our existing stores.  In total, we expect North American square footage growth of about 7% this year driven by the net of these activities versus about 10% in FY13."
China - "Turning to China, in FY14 we again expect to open about 30 [net] new stores, all dual gender, bringing the total to about 155 at the end of the year.  In total, square footage in China is expected to grow about 25% in FY14.  We expect sales to total about $530 million, driven by both distribution and double-digit comparable location sales."
SE Asia - "In terms of our other direct Asia markets of Korea, Taiwan, Malaysia and Singapore, our primary focus remains productivity as we’ve invested in training, merchandising, store environments and systems – creating a brand-right experience."
Japan - "In Japan, during FY14, we expect to open about 5-10 net new locations, most of them dedicated Men’s doors.  In total, we expect that net square footage growth in Japan will increase by about 2% this year."
Europe - "As discussed in our release, in early July, we completed the purchase of our partner’s 50% interest in our European JV.  In addition, also in July, we transitioned the two Printemps Haussman locations to our direct control.  Therefore, today, we operate 20 locations across the UK, France, Ireland, Spain, Portugal and Germany.   As a reminder, Coach’s annual sales at retail in Europe are approximately $40 million dollars, with the vast majority represented by the stores that are now directly operated as retail businesses.  Moving forward, we expect to swiftly increase our distribution, primarily through wholesale locations and key retail stores. Altogether, we expect to open approximately 70 wholesale and 10 retail locations across the UK and Europe in FY14. 
Other - "Finally, beyond our directly-owned international businesses, we have significant and growing distributor-run businesses in other countries.  We’re focusing on expanding through partners in these other regions: 
• First, Latin America including Mexico, Brazil, Venezuela, Columbia, Panama, Chile and Peru, 
• Second, in other Asia-Pacific markets such as Australia, Thailand and Indonesia AND, 
• Third, in the Middle East"
</t>
        </r>
      </text>
    </comment>
    <comment ref="J152" authorId="8">
      <text>
        <r>
          <rPr>
            <b/>
            <sz val="9"/>
            <color indexed="81"/>
            <rFont val="Tahoma"/>
            <family val="2"/>
          </rPr>
          <t>turleamb:</t>
        </r>
        <r>
          <rPr>
            <sz val="9"/>
            <color indexed="81"/>
            <rFont val="Tahoma"/>
            <family val="2"/>
          </rPr>
          <t xml:space="preserve">
1/29/15 e-mail from IR: closed 13 FP and 1 outlet store in 1H
6/19/14 analyst day: close 70 NA FP stores by end of 1H, fold 13 mens NA outlets into existing stores in 1H .
**assuming ~50% of 70 NA FP closures spread between 1Q and 2Q and 13 mens factory outlet closures spread ~50% between 1Q and 2Q then add 10 new factory outlets spread about evenly each quarter. </t>
        </r>
      </text>
    </comment>
    <comment ref="L152" authorId="8">
      <text>
        <r>
          <rPr>
            <b/>
            <sz val="9"/>
            <color indexed="81"/>
            <rFont val="Tahoma"/>
            <family val="2"/>
          </rPr>
          <t>turleamb:</t>
        </r>
        <r>
          <rPr>
            <sz val="9"/>
            <color indexed="81"/>
            <rFont val="Tahoma"/>
            <family val="2"/>
          </rPr>
          <t xml:space="preserve">
10/28/14: Added 5 net locations globally: 1 in NAm, 1 in Japan, 2 in mainland China and 1 in Europe. 
6/19/14 analyst day: close 70 NA FP stores by end of 1H, fold 13 mens NA outlets into existing stores in 1H .  Expect to add 15-20 net new China stores and 15 new Europe stores. 
**assuming ~50% of 70 NA FP closures spread between 1Q and 2Q and 13 mens factory outlet closures spread ~50% between 1Q and 2Q then add 10 new factory outlets spread about evenly each quarter. For Intl assume 10 new China openings and 2 China closures. For Europe assume opening 4 new stores in 1Q</t>
        </r>
      </text>
    </comment>
    <comment ref="J153" authorId="8">
      <text>
        <r>
          <rPr>
            <b/>
            <sz val="9"/>
            <color indexed="81"/>
            <rFont val="Tahoma"/>
            <family val="2"/>
          </rPr>
          <t>turleamb:</t>
        </r>
        <r>
          <rPr>
            <sz val="9"/>
            <color indexed="81"/>
            <rFont val="Tahoma"/>
            <family val="2"/>
          </rPr>
          <t xml:space="preserve">
1/29/15: 1/29/15 e-mail from IR: closed 13 FP and 1 outlet store in 1H
10/28/14: re-opening Beverly Hills Rodeo Drive and Time Warner Center NYC flagships in Nov/Dec
6/19/14 analyst day: close 70 NA FP stores by end of 1H, fold 13 mens NA outlets into existing stores in 1H .
**assuming ~50% of 70 NA FP closures spread between 1Q and 2Q and 13 mens factory outlet closures spread ~50% between 1Q and 2Q then add 10 new factory outlets spread about evenly each quarter. </t>
        </r>
      </text>
    </comment>
    <comment ref="L153" authorId="8">
      <text>
        <r>
          <rPr>
            <b/>
            <sz val="9"/>
            <color indexed="81"/>
            <rFont val="Tahoma"/>
            <family val="2"/>
          </rPr>
          <t>turleamb:</t>
        </r>
        <r>
          <rPr>
            <sz val="9"/>
            <color indexed="81"/>
            <rFont val="Tahoma"/>
            <family val="2"/>
          </rPr>
          <t xml:space="preserve">
1/29/15: opened first new stores in modern luxury concept including new flagship in Shinjuku in Toyko and boutique in Shin Kong Place in Beijing. Added 6 doors in greater China (2 in HK and 4 on mainland), 3 doors in Europe and 1 in Japan. Closed 8 net locations in NAm.
6/19/14 analyst day: close 70 NA FP stores by end of 1H, fold 13 mens NA outlets into existing stores in 1H .  Expect to add 15-20 net new China stores and 15 new Europe stores. 
**assuming ~50% of 70 NA FP closures spread between 1Q and 2Q and 13 mens factory outlet closures spread ~50% between 1Q and 2Q then add 10 new factory outlets spread about evenly each quarter. For Intl assume 10 China openings and 2 China closures. For Europe assume opening 3 new stores in 2Q</t>
        </r>
      </text>
    </comment>
    <comment ref="J154" authorId="8">
      <text>
        <r>
          <rPr>
            <b/>
            <sz val="9"/>
            <color indexed="81"/>
            <rFont val="Tahoma"/>
            <family val="2"/>
          </rPr>
          <t>turleamb:</t>
        </r>
        <r>
          <rPr>
            <sz val="9"/>
            <color indexed="81"/>
            <rFont val="Tahoma"/>
            <family val="2"/>
          </rPr>
          <t xml:space="preserve">
4/28/15: Through 3Q, closed 56 NAm Retail locations, on track to close 70 for the full year.  In addition, closed 13 outlet stores including 10 mens-only outlet locations, which have been folded into existing stores.  Also closed 2 outlet stores identified as part of their 'learning agenda' at end of Jan.  In NAm dept stores, have already completed over 200 projects over the first nine months, mostly installing open sell environments and replacing the old caselines and have seen an improvement versus balance of doors.  Still expect to convert over 300 total locations from case line to open-sell this fiscal year.
**assume 40 FP store closures and 7 net outlet closures. This would leave 17 more closures at FP
6/19/14 analyst day: close 70 NA FP stores by end of 1H, fold 13 mens NA outlets into existing stores in 1H .
**assuming ~50% of 70 NA FP closures spread between 1Q and 2Q and 13 mens factory outlet closures spread ~50% between 1Q and 2Q then add 10 new factory outlets spread about evenly each quarter.</t>
        </r>
      </text>
    </comment>
    <comment ref="L154" authorId="8">
      <text>
        <r>
          <rPr>
            <b/>
            <sz val="9"/>
            <color indexed="81"/>
            <rFont val="Tahoma"/>
            <family val="2"/>
          </rPr>
          <t>turleamb:</t>
        </r>
        <r>
          <rPr>
            <sz val="9"/>
            <color indexed="81"/>
            <rFont val="Tahoma"/>
            <family val="2"/>
          </rPr>
          <t xml:space="preserve">
4/25/15: Net closures of -54 in NAm, net closure of -2 Japan stores (198 total), net +4 China (165 total), net +4 Other Asia (101 total), net 0 Europe (31 total).  Still on track to close 70 NAm retail locations for full year (56 thru 3Q).
** assume adding 5 China locations and 5 Europe locations (adding 10 net new China locations FY15 and 15 net new Europe locations FY15)
6/19/14 analyst day: close 70 NA FP stores by end of 1H, fold 13 mens NA outlets into existing stores in 1H .  Expect to add 15-20 net new China stores and 15 new Europe stores. 
**assuming ~50% of 70 NA FP closures spread between 1Q and 2Q and 13 mens factory outlet closures spread ~50% between 1Q and 2Q then add 10 new factory outlets spread about evenly each quarter. For Europe assume opening 3 new stores in 3Q
</t>
        </r>
      </text>
    </comment>
    <comment ref="J155" authorId="8">
      <text>
        <r>
          <rPr>
            <b/>
            <sz val="9"/>
            <color indexed="81"/>
            <rFont val="Tahoma"/>
            <family val="2"/>
          </rPr>
          <t>turleamb:</t>
        </r>
        <r>
          <rPr>
            <sz val="9"/>
            <color indexed="81"/>
            <rFont val="Tahoma"/>
            <family val="2"/>
          </rPr>
          <t xml:space="preserve">
4/28/15: Through 3Q, had closed 56 NAm retail locations, on track to close 70 for the full year.  In NAm dept stores, have already completed over 200 projects over the first nine months, mostly installing open sell environments and replacing the old caselines and have seen an improvement versus balance of doors.  Still expect to convert over 300 total locations from case line to open-sell this fiscal year.
Approximately 30 Shop Managers in key wholesale doors today, with the goal of adding an addl 20 shop managers by end of FY15.
Opened first Modern Luxury Outlet in Savannah, GA.
1/29/15: 70 total retail closures + NO  openings in retail = 70 gross AND net closures
15 total outlet closures + 10 outlet openings = 15 gross and 5 net closures
6/19/14 analyst day: close 70 NA FP stores by end of 1H, fold 13 mens NA outlets into existing stores in 1H .
**assuming ~50% of 70 NA FP closures spread between 1Q and 2Q and 13 mens factory outlet closures spread ~50% between 1Q and 2Q then add 10 new factory outlets spread about evenly each quarter. </t>
        </r>
      </text>
    </comment>
    <comment ref="L155" authorId="6">
      <text>
        <r>
          <rPr>
            <sz val="8"/>
            <color indexed="81"/>
            <rFont val="Tahoma"/>
            <family val="2"/>
          </rPr>
          <t xml:space="preserve">excludes 54 SW stores
4/28/15: 
NAm - 70 retail and 15 outlet closures in FY15.  Plan to add ~30 wholesale locations.
China - still planning ~10 net new openings
Other Asia - expect to open a few stores, more focused on renovating key impact doors
Japan - expect total number of locations to remain the same w/ slight sq footage growth from the new flagship and expansions of a few highly productive locations.
Europe - we plan to add ~10 directly operated locations and more than 100 wholesale locations.
International travel - 
While our North America projects -- ~70 renovations and 5 new stores -- are on plan, approximately 50 international renovations and 10 new international stores have moved into FY16.  We are now targeting about 100 global renovations in FY15 and to open about 40-50 stores in this concept, for a total of 140 to 150.  As expected, this means we will have a very back-loaded year in terms of store investment with approximately 75 renovations and about 25-35 new openings this quarter.
6/19/14 analyst day: close 70 NA FP stores by end of 1H, fold 13 mens NA outlets into existing stores in 1H .  Expect to add 15-20 net new China stores and 15 new Europe stores. 
**assuming ~50% of 70 NA FP closures spread between 1Q and 2Q and 13 mens factory outlet closures spread ~50% between 1Q and 2Q then add 10 new factory outlets spread about evenly each quarter. 
7/30/2013 -
North America - "In North America we will open about 20 new stores in FY14 including two new full price locations and at least 15 factory outlets most of which will be dual gender stores with one freestanding men’s store planned as well.  In addition, we plan to close 16 full price locations, as we streamline our store base by closing less productive units. 
Importantly, we are also expanding about 20 locations – seven full price and about 13 factory – to accommodate the full build out of our dual gender presentation by adding men’s to our existing stores.  In total, we expect North American square footage growth of about 7% this year driven by the net of these activities versus about 10% in FY13."
China - "Turning to China, in FY14 we again expect to open about 30 [net] new stores, all dual gender, bringing the total to about 155 at the end of the year.  In total, square footage in China is expected to grow about 25% in FY14.  We expect sales to total about $530 million, driven by both distribution and double-digit comparable location sales."
SE Asia - "In terms of our other direct Asia markets of Korea, Taiwan, Malaysia and Singapore, our primary focus remains productivity as we’ve invested in training, merchandising, store environments and systems – creating a brand-right experience."
Japan - "In Japan, during FY14, we expect to open about 5-10 net new locations, most of them dedicated Men’s doors.  In total, we expect that net square footage growth in Japan will increase by about 2% this year."
Europe - "As discussed in our release, in early July, we completed the purchase of our partner’s 50% interest in our European JV.  In addition, also in July, we transitioned the two Printemps Haussman locations to our direct control.  Therefore, today, we operate 20 locations across the UK, France, Ireland, Spain, Portugal and Germany.   As a reminder, Coach’s annual sales at retail in Europe are approximately $40 million dollars, with the vast majority represented by the stores that are now directly operated as retail businesses.  Moving forward, we expect to swiftly increase our distribution, primarily through wholesale locations and key retail stores. Altogether, we expect to open approximately 70 wholesale and 10 retail locations across the UK and Europe in FY14. 
Other - "Finally, beyond our directly-owned international businesses, we have significant and growing distributor-run businesses in other countries.  We’re focusing on expanding through partners in these other regions: 
• First, Latin America including Mexico, Brazil, Venezuela, Columbia, Panama, Chile and Peru, 
• Second, in other Asia-Pacific markets such as Australia, Thailand and Indonesia AND, 
• Third, in the Middle East"
</t>
        </r>
      </text>
    </comment>
    <comment ref="AG155" authorId="10">
      <text>
        <r>
          <rPr>
            <b/>
            <sz val="9"/>
            <color indexed="81"/>
            <rFont val="Tahoma"/>
            <family val="2"/>
          </rPr>
          <t>Mains, Spencer (Research):</t>
        </r>
        <r>
          <rPr>
            <sz val="9"/>
            <color indexed="81"/>
            <rFont val="Tahoma"/>
            <family val="2"/>
          </rPr>
          <t xml:space="preserve">
4/25/15: Continue to expect sq footage, globally across all channels, will increase slightly in FY15, reflecting our NAm fleet optimization.  In NAm, our directly operated square footage will be down ~5% given the 70 retail and 15 outlet closures, offset by a number of expansions.
In wholesale, we expect our footprint to increase slightly in FY15.  We plan to add ~30 locations, resulting in LSD increase in sq footage.
China, still plan to open 20 stores and could have ~10 closures, resulting in ~10 net new openings.
Other Asia, expect to open a few stores.
Japan, we expect number of locations to remain the same with slight square footage growth from the new flagship and expansions of a few highly productive locations.
Europe: we plan to add ~10 directly operated locations and more than 100 wholesale locations.</t>
        </r>
      </text>
    </comment>
    <comment ref="F159" authorId="7">
      <text>
        <r>
          <rPr>
            <b/>
            <sz val="9"/>
            <color indexed="81"/>
            <rFont val="Tahoma"/>
            <family val="2"/>
          </rPr>
          <t>casselau:</t>
        </r>
        <r>
          <rPr>
            <sz val="9"/>
            <color indexed="81"/>
            <rFont val="Tahoma"/>
            <family val="2"/>
          </rPr>
          <t xml:space="preserve">
assume -2% EOS and -8% stores</t>
        </r>
      </text>
    </comment>
    <comment ref="L159" authorId="7">
      <text>
        <r>
          <rPr>
            <b/>
            <sz val="9"/>
            <color indexed="81"/>
            <rFont val="Tahoma"/>
            <family val="2"/>
          </rPr>
          <t>casselau:</t>
        </r>
        <r>
          <rPr>
            <sz val="9"/>
            <color indexed="81"/>
            <rFont val="Tahoma"/>
            <family val="2"/>
          </rPr>
          <t xml:space="preserve">
excludes 56 SW stores</t>
        </r>
      </text>
    </comment>
    <comment ref="F160" authorId="7">
      <text>
        <r>
          <rPr>
            <b/>
            <sz val="9"/>
            <color indexed="81"/>
            <rFont val="Tahoma"/>
            <family val="2"/>
          </rPr>
          <t>casselau:
8/4/15: expect inflection in 2Q driven by 75th anniversary marketing, product iniatiatives, and store remodels</t>
        </r>
        <r>
          <rPr>
            <sz val="9"/>
            <color indexed="81"/>
            <rFont val="Tahoma"/>
            <family val="2"/>
          </rPr>
          <t xml:space="preserve">
assume -1% EOS and -3% stores</t>
        </r>
      </text>
    </comment>
    <comment ref="L160" authorId="11">
      <text>
        <r>
          <rPr>
            <b/>
            <sz val="9"/>
            <color indexed="81"/>
            <rFont val="Tahoma"/>
            <family val="2"/>
          </rPr>
          <t>Baglione, Gregory  (Research):</t>
        </r>
        <r>
          <rPr>
            <sz val="9"/>
            <color indexed="81"/>
            <rFont val="Tahoma"/>
            <family val="2"/>
          </rPr>
          <t xml:space="preserve">
1/26/16
Excludes 60 SW doors</t>
        </r>
      </text>
    </comment>
    <comment ref="F161" authorId="7">
      <text>
        <r>
          <rPr>
            <b/>
            <sz val="9"/>
            <color indexed="81"/>
            <rFont val="Tahoma"/>
            <family val="2"/>
          </rPr>
          <t>casselau:</t>
        </r>
        <r>
          <rPr>
            <sz val="9"/>
            <color indexed="81"/>
            <rFont val="Tahoma"/>
            <family val="2"/>
          </rPr>
          <t xml:space="preserve">
4/28/15: 3Q16 will be apples to apples on EOS.
1/26/16
Per discussion with Andrea, our 3Q comp estimate is in-line with expected range</t>
        </r>
      </text>
    </comment>
    <comment ref="L161" authorId="12">
      <text>
        <r>
          <rPr>
            <b/>
            <sz val="9"/>
            <color indexed="81"/>
            <rFont val="Tahoma"/>
            <family val="2"/>
          </rPr>
          <t>Cassel, Lauren (Research):</t>
        </r>
        <r>
          <rPr>
            <sz val="9"/>
            <color indexed="81"/>
            <rFont val="Tahoma"/>
            <family val="2"/>
          </rPr>
          <t xml:space="preserve">
excludes 61 SW stores</t>
        </r>
      </text>
    </comment>
    <comment ref="F162" authorId="7">
      <text>
        <r>
          <rPr>
            <b/>
            <sz val="9"/>
            <color indexed="81"/>
            <rFont val="Tahoma"/>
            <family val="2"/>
          </rPr>
          <t>casselau:</t>
        </r>
        <r>
          <rPr>
            <sz val="9"/>
            <color indexed="81"/>
            <rFont val="Tahoma"/>
            <family val="2"/>
          </rPr>
          <t xml:space="preserve">
8/4/15: mgmt: expect positive comps in 4Q</t>
        </r>
      </text>
    </comment>
    <comment ref="J162" authorId="7">
      <text>
        <r>
          <rPr>
            <b/>
            <sz val="9"/>
            <color indexed="81"/>
            <rFont val="Tahoma"/>
            <family val="2"/>
          </rPr>
          <t>casselau:</t>
        </r>
        <r>
          <rPr>
            <sz val="9"/>
            <color indexed="81"/>
            <rFont val="Tahoma"/>
            <family val="2"/>
          </rPr>
          <t xml:space="preserve">
1/26/16: goal to end the year with 40% of stores in new modern luxury format</t>
        </r>
      </text>
    </comment>
    <comment ref="L162" authorId="12">
      <text>
        <r>
          <rPr>
            <b/>
            <sz val="9"/>
            <color indexed="81"/>
            <rFont val="Tahoma"/>
            <family val="2"/>
          </rPr>
          <t>Cassel, Lauren (Research):</t>
        </r>
        <r>
          <rPr>
            <sz val="9"/>
            <color indexed="81"/>
            <rFont val="Tahoma"/>
            <family val="2"/>
          </rPr>
          <t xml:space="preserve">
excludes 75 SW stores</t>
        </r>
      </text>
    </comment>
    <comment ref="F163" authorId="7">
      <text>
        <r>
          <rPr>
            <b/>
            <sz val="9"/>
            <color indexed="81"/>
            <rFont val="Tahoma"/>
            <family val="2"/>
          </rPr>
          <t>casselau:</t>
        </r>
        <r>
          <rPr>
            <sz val="9"/>
            <color indexed="81"/>
            <rFont val="Tahoma"/>
            <family val="2"/>
          </rPr>
          <t xml:space="preserve">
8/4/15: expect sequential improvement throughout the year</t>
        </r>
      </text>
    </comment>
    <comment ref="U163" authorId="7">
      <text>
        <r>
          <rPr>
            <b/>
            <sz val="9"/>
            <color indexed="81"/>
            <rFont val="Tahoma"/>
            <family val="2"/>
          </rPr>
          <t>casselau:</t>
        </r>
        <r>
          <rPr>
            <sz val="9"/>
            <color indexed="81"/>
            <rFont val="Tahoma"/>
            <family val="2"/>
          </rPr>
          <t xml:space="preserve">
1/26/16: men's is ~17% of global sales and growing +MSD</t>
        </r>
      </text>
    </comment>
    <comment ref="F166" authorId="12">
      <text>
        <r>
          <rPr>
            <b/>
            <sz val="9"/>
            <color indexed="81"/>
            <rFont val="Tahoma"/>
            <family val="2"/>
          </rPr>
          <t xml:space="preserve">Cassel, Lauren (Research):
</t>
        </r>
        <r>
          <rPr>
            <sz val="9"/>
            <color indexed="81"/>
            <rFont val="Tahoma"/>
            <family val="2"/>
          </rPr>
          <t>11/1/16:   Total North American bricks and mortar comparable store sales rose approximately 4%, while aggregate North American comparable store sales increased approximately 2%, including the negative impact of e-commerce driven by a further decline in the Company’s eOutlet flash sale business. 
8/9/16: guidance: $40-50M  decline in wholesale revenue for the full year; assume $20M in 1Q</t>
        </r>
      </text>
    </comment>
    <comment ref="H166" authorId="12">
      <text>
        <r>
          <rPr>
            <b/>
            <sz val="9"/>
            <color indexed="81"/>
            <rFont val="Tahoma"/>
            <family val="2"/>
          </rPr>
          <t>Cassel, Lauren (Research):
11/1/16:  closed 120 wholesale doors and expect to close the remainder in our third-quarter this upcoming spring seaso (~$15M in sales)</t>
        </r>
        <r>
          <rPr>
            <sz val="9"/>
            <color indexed="81"/>
            <rFont val="Tahoma"/>
            <family val="2"/>
          </rPr>
          <t xml:space="preserve">
8/9/16: guidance: $40-50M  decline in wholesale revenue for the full year; assume $20M in 1Q</t>
        </r>
      </text>
    </comment>
    <comment ref="L166" authorId="7">
      <text>
        <r>
          <rPr>
            <b/>
            <sz val="9"/>
            <color indexed="81"/>
            <rFont val="Tahoma"/>
            <family val="2"/>
          </rPr>
          <t>casselau:</t>
        </r>
        <r>
          <rPr>
            <sz val="9"/>
            <color indexed="81"/>
            <rFont val="Tahoma"/>
            <family val="2"/>
          </rPr>
          <t xml:space="preserve">
11/1/16: excludes 77 SW stores; renovated an  40 locations during the quarter including three renovations in our directly operated North America business, taking us to nearly 500 modern luxury locations globally across all channels. This is very much in line with our target to end the year with over 700 doors in the new format.</t>
        </r>
      </text>
    </comment>
    <comment ref="F167" authorId="12">
      <text>
        <r>
          <rPr>
            <b/>
            <sz val="9"/>
            <color indexed="81"/>
            <rFont val="Tahoma"/>
            <family val="2"/>
          </rPr>
          <t>Cassel, Lauren (Research):</t>
        </r>
        <r>
          <rPr>
            <sz val="9"/>
            <color indexed="81"/>
            <rFont val="Tahoma"/>
            <family val="2"/>
          </rPr>
          <t xml:space="preserve">
8/9/16: guidance: $40-50M  decline in wholesale revenue for the full year; assume $5M in 2Q</t>
        </r>
      </text>
    </comment>
    <comment ref="H167" authorId="12">
      <text>
        <r>
          <rPr>
            <b/>
            <sz val="9"/>
            <color indexed="81"/>
            <rFont val="Tahoma"/>
            <family val="2"/>
          </rPr>
          <t>Cassel, Lauren (Research):</t>
        </r>
        <r>
          <rPr>
            <sz val="9"/>
            <color indexed="81"/>
            <rFont val="Tahoma"/>
            <family val="2"/>
          </rPr>
          <t xml:space="preserve">
8/9/16: guidance: $40-50M  decline in wholesale revenue for the full year; assume $5M in 2Q</t>
        </r>
      </text>
    </comment>
    <comment ref="L167" authorId="12">
      <text>
        <r>
          <rPr>
            <b/>
            <sz val="9"/>
            <color indexed="81"/>
            <rFont val="Tahoma"/>
            <family val="2"/>
          </rPr>
          <t>Cassel, Lauren (Research):</t>
        </r>
        <r>
          <rPr>
            <sz val="9"/>
            <color indexed="81"/>
            <rFont val="Tahoma"/>
            <family val="2"/>
          </rPr>
          <t xml:space="preserve">
excludes 82 SW stores</t>
        </r>
      </text>
    </comment>
    <comment ref="F168" authorId="12">
      <text>
        <r>
          <rPr>
            <b/>
            <sz val="9"/>
            <color indexed="81"/>
            <rFont val="Tahoma"/>
            <family val="2"/>
          </rPr>
          <t>Cassel, Lauren (Research):</t>
        </r>
        <r>
          <rPr>
            <sz val="9"/>
            <color indexed="81"/>
            <rFont val="Tahoma"/>
            <family val="2"/>
          </rPr>
          <t xml:space="preserve">
8/9/16: guidance: $40-50M  decline in wholesale revenue for the full year; assume $20M in 2Q;  Finally, our business with international tourists in our North American stores was slightly lower during Q3, </t>
        </r>
        <r>
          <rPr>
            <b/>
            <sz val="9"/>
            <color indexed="81"/>
            <rFont val="Tahoma"/>
            <family val="2"/>
          </rPr>
          <t xml:space="preserve">negatively impacting comp by under 1 point. </t>
        </r>
        <r>
          <rPr>
            <sz val="9"/>
            <color indexed="81"/>
            <rFont val="Tahoma"/>
            <family val="2"/>
          </rPr>
          <t xml:space="preserve">With declines in Chinese stores traffic, once again, mostly offset by other nationalities, notably, Japanese and Korean visitors. </t>
        </r>
      </text>
    </comment>
    <comment ref="H168" authorId="12">
      <text>
        <r>
          <rPr>
            <b/>
            <sz val="9"/>
            <color indexed="81"/>
            <rFont val="Tahoma"/>
            <family val="2"/>
          </rPr>
          <t>Cassel, Lauren (Research):
11/1/16:  expect to close the remainder (~130) in our third-quarter this upcoming spring season.</t>
        </r>
        <r>
          <rPr>
            <sz val="9"/>
            <color indexed="81"/>
            <rFont val="Tahoma"/>
            <family val="2"/>
          </rPr>
          <t xml:space="preserve">
8/9/16: guidance: $40-50M  decline in wholesale revenue for the full year; assume $20M in 3Q</t>
        </r>
      </text>
    </comment>
    <comment ref="L168" authorId="12">
      <text>
        <r>
          <rPr>
            <b/>
            <sz val="9"/>
            <color indexed="81"/>
            <rFont val="Tahoma"/>
            <family val="2"/>
          </rPr>
          <t>Cassel, Lauren (Research):</t>
        </r>
        <r>
          <rPr>
            <sz val="9"/>
            <color indexed="81"/>
            <rFont val="Tahoma"/>
            <family val="2"/>
          </rPr>
          <t xml:space="preserve">
excludes 83 SW stores</t>
        </r>
      </text>
    </comment>
    <comment ref="F169" authorId="12">
      <text>
        <r>
          <rPr>
            <b/>
            <sz val="9"/>
            <color indexed="81"/>
            <rFont val="Tahoma"/>
            <family val="2"/>
          </rPr>
          <t>Cassel, Lauren (Research):</t>
        </r>
        <r>
          <rPr>
            <sz val="9"/>
            <color indexed="81"/>
            <rFont val="Tahoma"/>
            <family val="2"/>
          </rPr>
          <t xml:space="preserve">
8/9/16: guidance: $40-50M  decline in wholesale revenue for the full year; assume $5M in 4Q</t>
        </r>
      </text>
    </comment>
    <comment ref="L169" authorId="12">
      <text>
        <r>
          <rPr>
            <b/>
            <sz val="9"/>
            <color indexed="81"/>
            <rFont val="Tahoma"/>
            <family val="2"/>
          </rPr>
          <t>Cassel, Lauren (Research):</t>
        </r>
        <r>
          <rPr>
            <sz val="9"/>
            <color indexed="81"/>
            <rFont val="Tahoma"/>
            <family val="2"/>
          </rPr>
          <t xml:space="preserve">
720 stores in new format</t>
        </r>
      </text>
    </comment>
    <comment ref="H170" authorId="12">
      <text>
        <r>
          <rPr>
            <b/>
            <sz val="9"/>
            <color indexed="81"/>
            <rFont val="Tahoma"/>
            <family val="2"/>
          </rPr>
          <t>Cassel, Lauren (Research):</t>
        </r>
        <r>
          <rPr>
            <sz val="9"/>
            <color indexed="81"/>
            <rFont val="Tahoma"/>
            <family val="2"/>
          </rPr>
          <t xml:space="preserve">
11/1/16: reducing wholesale door count down by about 25% or by over 250 locations over the fiscal year</t>
        </r>
      </text>
    </comment>
    <comment ref="F173" authorId="12">
      <text>
        <r>
          <rPr>
            <b/>
            <sz val="9"/>
            <color indexed="81"/>
            <rFont val="Tahoma"/>
            <family val="2"/>
          </rPr>
          <t>Cassel, Lauren (Research):</t>
        </r>
        <r>
          <rPr>
            <sz val="9"/>
            <color indexed="81"/>
            <rFont val="Tahoma"/>
            <family val="2"/>
          </rPr>
          <t xml:space="preserve">
11/7/17: During the quarter, our global Coach comp declined 2%, with our North America comp down similarly. </t>
        </r>
      </text>
    </comment>
    <comment ref="F174" authorId="12">
      <text>
        <r>
          <rPr>
            <b/>
            <sz val="9"/>
            <color indexed="81"/>
            <rFont val="Tahoma"/>
            <family val="2"/>
          </rPr>
          <t>Cassel, Lauren (Research):</t>
        </r>
        <r>
          <rPr>
            <sz val="9"/>
            <color indexed="81"/>
            <rFont val="Tahoma"/>
            <family val="2"/>
          </rPr>
          <t xml:space="preserve">
2/6/18: positive  North American comps
11/7/17: "we have returned to growth thus far in the second quarter"</t>
        </r>
      </text>
    </comment>
    <comment ref="L175" authorId="13">
      <text>
        <r>
          <rPr>
            <b/>
            <sz val="9"/>
            <color indexed="81"/>
            <rFont val="Tahoma"/>
            <family val="2"/>
          </rPr>
          <t>Roberts, Cynthia (Research):</t>
        </r>
        <r>
          <rPr>
            <sz val="9"/>
            <color indexed="81"/>
            <rFont val="Tahoma"/>
            <family val="2"/>
          </rPr>
          <t xml:space="preserve">
taking control of New Zealand and Australia Coach business </t>
        </r>
      </text>
    </comment>
  </commentList>
</comments>
</file>

<file path=xl/comments7.xml><?xml version="1.0" encoding="utf-8"?>
<comments xmlns="http://schemas.openxmlformats.org/spreadsheetml/2006/main">
  <authors>
    <author>casselau</author>
    <author>mm98285</author>
    <author>LM37689</author>
    <author>solejay</author>
    <author>Turley, Amber (Research)</author>
    <author>turleamb</author>
    <author>lauraro</author>
    <author>oc48540</author>
    <author>ns66486</author>
    <author>Cassel, Lauren (Research)</author>
    <author>nicholjs</author>
    <author>Debbie Ong</author>
  </authors>
  <commentList>
    <comment ref="V16" authorId="0">
      <text>
        <r>
          <rPr>
            <b/>
            <sz val="9"/>
            <color indexed="81"/>
            <rFont val="Tahoma"/>
            <family val="2"/>
          </rPr>
          <t>casselau:</t>
        </r>
        <r>
          <rPr>
            <sz val="9"/>
            <color indexed="81"/>
            <rFont val="Tahoma"/>
            <family val="2"/>
          </rPr>
          <t xml:space="preserve">
Closed in May 2015</t>
        </r>
      </text>
    </comment>
    <comment ref="J21" authorId="1">
      <text>
        <r>
          <rPr>
            <b/>
            <sz val="8"/>
            <color indexed="81"/>
            <rFont val="Tahoma"/>
            <family val="2"/>
          </rPr>
          <t>mm98285:</t>
        </r>
        <r>
          <rPr>
            <sz val="8"/>
            <color indexed="81"/>
            <rFont val="Tahoma"/>
            <family val="2"/>
          </rPr>
          <t xml:space="preserve">
Coach Japan excluded in Direct Sales in 2003 and prior years </t>
        </r>
      </text>
    </comment>
    <comment ref="K21" authorId="1">
      <text>
        <r>
          <rPr>
            <b/>
            <sz val="8"/>
            <color indexed="81"/>
            <rFont val="Tahoma"/>
            <family val="2"/>
          </rPr>
          <t>mm98285:</t>
        </r>
        <r>
          <rPr>
            <sz val="8"/>
            <color indexed="81"/>
            <rFont val="Tahoma"/>
            <family val="2"/>
          </rPr>
          <t xml:space="preserve">
8/06: prev $727 before restatement of Coach Japan into Direct seg.</t>
        </r>
      </text>
    </comment>
    <comment ref="L21" authorId="2">
      <text>
        <r>
          <rPr>
            <b/>
            <sz val="8"/>
            <color indexed="81"/>
            <rFont val="Tahoma"/>
            <family val="2"/>
          </rPr>
          <t>LM37689:</t>
        </r>
        <r>
          <rPr>
            <sz val="8"/>
            <color indexed="81"/>
            <rFont val="Tahoma"/>
            <family val="2"/>
          </rPr>
          <t xml:space="preserve">
10K:  7/1/05 COH acq. Sumitomo's 50% interest in Coach Japan, &amp; moved Coach Japan sales into the Direct seg. (prev incl. in Indirect seg).  
-prior periods reclassified to incl. Coach Japan in Direct seg.</t>
        </r>
      </text>
    </comment>
    <comment ref="M21" authorId="2">
      <text>
        <r>
          <rPr>
            <b/>
            <sz val="8"/>
            <color indexed="81"/>
            <rFont val="Tahoma"/>
            <family val="2"/>
          </rPr>
          <t>LM37689:</t>
        </r>
        <r>
          <rPr>
            <sz val="8"/>
            <color indexed="81"/>
            <rFont val="Tahoma"/>
            <family val="2"/>
          </rPr>
          <t xml:space="preserve">
10K:  7/1/05 COH acq. Sumitomo's 50% interest in Coach Japan, &amp; moved Coach Japan sales into the Direct seg. (prev incl. in Indirect seg).  
-prior periods reclassified to incl. Coach Japan in Direct seg.</t>
        </r>
      </text>
    </comment>
    <comment ref="R21" authorId="1">
      <text>
        <r>
          <rPr>
            <b/>
            <sz val="8"/>
            <color indexed="81"/>
            <rFont val="Tahoma"/>
            <family val="2"/>
          </rPr>
          <t>mm98285:</t>
        </r>
        <r>
          <rPr>
            <sz val="8"/>
            <color indexed="81"/>
            <rFont val="Tahoma"/>
            <family val="2"/>
          </rPr>
          <t xml:space="preserve">
lower sales growth given anniversary of extra week in 2010</t>
        </r>
      </text>
    </comment>
    <comment ref="J23" authorId="1">
      <text>
        <r>
          <rPr>
            <b/>
            <sz val="8"/>
            <color indexed="81"/>
            <rFont val="Tahoma"/>
            <family val="2"/>
          </rPr>
          <t>mm98285:</t>
        </r>
        <r>
          <rPr>
            <sz val="8"/>
            <color indexed="81"/>
            <rFont val="Tahoma"/>
            <family val="2"/>
          </rPr>
          <t xml:space="preserve">
Coach Japan included in Indirect Sales in 2003 and prior years </t>
        </r>
      </text>
    </comment>
    <comment ref="K23" authorId="1">
      <text>
        <r>
          <rPr>
            <b/>
            <sz val="8"/>
            <color indexed="81"/>
            <rFont val="Tahoma"/>
            <family val="2"/>
          </rPr>
          <t>mm98285:</t>
        </r>
        <r>
          <rPr>
            <sz val="8"/>
            <color indexed="81"/>
            <rFont val="Tahoma"/>
            <family val="2"/>
          </rPr>
          <t xml:space="preserve">
8/06: prev $595 before restatement of Coach Japan into Direct seg.</t>
        </r>
      </text>
    </comment>
    <comment ref="L23" authorId="2">
      <text>
        <r>
          <rPr>
            <b/>
            <sz val="8"/>
            <color indexed="81"/>
            <rFont val="Tahoma"/>
            <family val="2"/>
          </rPr>
          <t>LM37689:</t>
        </r>
        <r>
          <rPr>
            <sz val="8"/>
            <color indexed="81"/>
            <rFont val="Tahoma"/>
            <family val="2"/>
          </rPr>
          <t xml:space="preserve">
10K:  7/1/05 COH acq. Sumitomo's 50% interest in Coach Japan, &amp; moved Coach Japan sales into the Direct seg. (prev incl. in Indirect seg).  
-prior periods reclassified to incl. Coach Japan in Direct seg.</t>
        </r>
      </text>
    </comment>
    <comment ref="M23" authorId="1">
      <text>
        <r>
          <rPr>
            <b/>
            <sz val="8"/>
            <color indexed="81"/>
            <rFont val="Tahoma"/>
            <family val="2"/>
          </rPr>
          <t>mm98285:</t>
        </r>
        <r>
          <rPr>
            <sz val="8"/>
            <color indexed="81"/>
            <rFont val="Tahoma"/>
            <family val="2"/>
          </rPr>
          <t xml:space="preserve">
10K: US wholesale: 11% &amp; Int'l wholesale: 7% of total sales in 2006</t>
        </r>
      </text>
    </comment>
    <comment ref="N25" authorId="2">
      <text>
        <r>
          <rPr>
            <b/>
            <sz val="8"/>
            <color indexed="81"/>
            <rFont val="Tahoma"/>
            <family val="2"/>
          </rPr>
          <t>LM37689:</t>
        </r>
        <r>
          <rPr>
            <sz val="8"/>
            <color indexed="81"/>
            <rFont val="Tahoma"/>
            <family val="2"/>
          </rPr>
          <t xml:space="preserve">
8/01/06: guided to $2,500 in total sales for 2007</t>
        </r>
      </text>
    </comment>
    <comment ref="N27" authorId="2">
      <text>
        <r>
          <rPr>
            <b/>
            <sz val="8"/>
            <color indexed="81"/>
            <rFont val="Tahoma"/>
            <family val="2"/>
          </rPr>
          <t>LM37689:</t>
        </r>
        <r>
          <rPr>
            <sz val="8"/>
            <color indexed="81"/>
            <rFont val="Tahoma"/>
            <family val="2"/>
          </rPr>
          <t xml:space="preserve">
8/01/06: guided to $2,500 in total sales for 2007</t>
        </r>
      </text>
    </comment>
    <comment ref="T33" authorId="3">
      <text>
        <r>
          <rPr>
            <b/>
            <sz val="8"/>
            <color indexed="81"/>
            <rFont val="Tahoma"/>
            <family val="2"/>
          </rPr>
          <t>solejay:</t>
        </r>
        <r>
          <rPr>
            <sz val="8"/>
            <color indexed="81"/>
            <rFont val="Tahoma"/>
            <family val="2"/>
          </rPr>
          <t xml:space="preserve">
7/30/2013 - Turning to global distribution, during the fourth quarter, we opened three new North American retail stores and closed four others.  We also opened two factory stores – including one dedicated Men’s store. At the end of FY13 there were 351 full price and 193 factory stores in operation in North America. Total square footage grew 11% for the year. 
Moving to China, during the quarter we added eight new locations on the Mainland, bringing the total to 126 Coach locations in China, including 108 locations on the Mainland in 47 cities.  In aggregate, there was an increase of 30 net new locations for the fiscal year, for a square footage increase of 33%. 
In Japan, seven locations were added during the quarter, bringing the total to 198 with 24 stand-alone full price stores including 9 flagships, 124 shop-in-shops, 43 factory stores and 7 distributor-operated wholesale locations.  In total, a net of 11 locations were added in Japan during FY13, yielding total square footage growth of about 9%. 
We also directly operate 92 locations in Asia comprised of 48 in Korea, 27 in Taiwan, 10 in Malaysia and 7 in Singapore. 
</t>
        </r>
      </text>
    </comment>
    <comment ref="U33" authorId="3">
      <text>
        <r>
          <rPr>
            <sz val="10"/>
            <color indexed="81"/>
            <rFont val="Tahoma"/>
            <family val="2"/>
          </rPr>
          <t>1/22/14: In North America, our directly operated square footage will be up about 7%, driven by about 15 new store
openings, focused on factory, about 20 expansions within the context of our transformation, and 15 to 20 previously announced full-price closures.
In China, as we discussed, we're on schedule to open about 30 net new dual-gender locations, increasing our square footage by about 25%.
While we expect to open a few stores in our other direct Asia markets of Korea, Taiwan, Malaysia, and Singapore, our primary focus remains
productivity.
In Japan, we expect net square footage growth will increase slightly, with the opening of about five to 10 net new locations, most of them dedicated
men's doors.
In Europe, including the UK for FY14, we still expect to open about 10 retail locations focused on key European cities, and now plan
to open about 30 total wholesale locations.
10/22/13:
"We continue to expect that our square footage globally and across all channels will increase about 9% in FY 14. In North America our square footage will be up about 7% driven by 20 new store openings focused on factory.
15 to 20 previously announced full price closures and about 20 total expansions across both channels within the context of our transformation.
In China, we expect to grow square footage about 25% in FY 14 with about 30 net new dual gender stores.
We expect sales to total about 530 million driven by both distribution and double digit comparable location sales.
In terms of our other direct Asia markets of Korea, Taiwan, Malaysia and Singapore, while we expect to open a few stores, our primary focus remains
productivity.
We have begun to see the results of Coach's direct management as well as the successful expansion of lifestyle categories in these markets.
In Japan we expect that net square footage growth will increase slightly and expect to open about 5 to 10 net new locations, most of them dedicate
dedicated men's doors"
7/30/2013 -
North America - "In North America we will open about 20 new stores in FY14 including two new full price locations and at least 15 factory outlets most of which will be dual gender stores with one freestanding men’s store planned as well.  In addition, we plan to close 16 full price locations, as we streamline our store base by closing less productive units. 
Importantly, we are also expanding about 20 locations – seven full price and about 13 factory – to accommodate the full build out of our dual gender presentation by adding men’s to our existing stores.  In total, we expect North American square footage growth of about 7% this year driven by the net of these activities versus about 10% in FY13."
China - "Turning to China, in FY14 we again expect to open about 30 [net] new stores, all dual gender, bringing the total to about 155 at the end of the year.  In total, square footage in China is expected to grow about 25% in FY14.  We expect sales to total about $530 million, driven by both distribution and double-digit comparable location sales."
SE Asia - "In terms of our other direct Asia markets of Korea, Taiwan, Malaysia and Singapore, our primary focus remains productivity as we’ve invested in training, merchandising, store environments and systems – creating a brand-right experience."
Japan - "In Japan, during FY14, we expect to open about 5-10 net new locations, most of them dedicated Men’s doors.  In total, we expect that net square footage growth in Japan will increase by about 2% this year."
Europe - "As discussed in our release, in early July, we completed the purchase of our partner’s 50% interest in our European JV.  In addition, also in July, we transitioned the two Printemps Haussman locations to our direct control.  Therefore, today, we operate 20 locations across the UK, France, Ireland, Spain, Portugal and Germany.   As a reminder, Coach’s annual sales at retail in Europe are approximately $40 million dollars, with the vast majority represented by the stores that are now directly operated as retail businesses.  Moving forward, we expect to swiftly increase our distribution, primarily through wholesale locations and key retail stores. Altogether, we expect to open approximately 70 wholesale and 10 retail locations across the UK and Europe in FY14. 
Other - "Finally, beyond our directly-owned international businesses, we have significant and growing distributor-run businesses in other countries.  We’re focusing on expanding through partners in these other regions: 
• First, Latin America including Mexico, Brazil, Venezuela, Columbia, Panama, Chile and Peru, 
• Second, in other Asia-Pacific markets such as Australia, Thailand and Indonesia AND, 
• Third, in the Middle East"</t>
        </r>
      </text>
    </comment>
    <comment ref="V33" authorId="4">
      <text>
        <r>
          <rPr>
            <b/>
            <sz val="9"/>
            <color indexed="81"/>
            <rFont val="Tahoma"/>
            <family val="2"/>
          </rPr>
          <t xml:space="preserve">4/28/15: </t>
        </r>
        <r>
          <rPr>
            <sz val="9"/>
            <color indexed="81"/>
            <rFont val="Tahoma"/>
            <family val="2"/>
          </rPr>
          <t>Specifically, while our North America projects – about 70 renovations and 5 new stores are on plan - approximately 50 international renovations and 10 new international stores have moved into fiscal ‘16. We are now targeting about 100 global renovations in Fiscal Year 15 and to open about 40-50 new stores globally in this concept, for a total of 140 to 150. As expected, this means we will have a very back-loaded year in terms of store investment with approximately 75 renovations and about 25-35 new openings this quarter.</t>
        </r>
        <r>
          <rPr>
            <b/>
            <sz val="9"/>
            <color indexed="81"/>
            <rFont val="Tahoma"/>
            <family val="2"/>
          </rPr>
          <t xml:space="preserve">
Turley, Amber (Research):</t>
        </r>
        <r>
          <rPr>
            <sz val="9"/>
            <color indexed="81"/>
            <rFont val="Tahoma"/>
            <family val="2"/>
          </rPr>
          <t xml:space="preserve">
in addition to store openings plan to develop more open, accessibnle displays at wholesale w. shop managers (SiS). 
Plan to add 40 wholesale locations and converting 250-300 locations from case line to open sell. </t>
        </r>
      </text>
    </comment>
    <comment ref="W33" authorId="0">
      <text>
        <r>
          <rPr>
            <b/>
            <sz val="9"/>
            <color indexed="81"/>
            <rFont val="Tahoma"/>
            <family val="2"/>
          </rPr>
          <t>casselau:</t>
        </r>
        <r>
          <rPr>
            <sz val="9"/>
            <color indexed="81"/>
            <rFont val="Tahoma"/>
            <family val="2"/>
          </rPr>
          <t xml:space="preserve">
8/4/15: Moving forward, we are accelerating our modern luxury store opening and renovation plans for fiscal 2016 and expect to complete about 60 renovations in North America and about 100 internationally including the projects that shifted from FY15 as previously announced.</t>
        </r>
        <r>
          <rPr>
            <b/>
            <sz val="9"/>
            <color indexed="81"/>
            <rFont val="Tahoma"/>
            <family val="2"/>
          </rPr>
          <t xml:space="preserve"> In addition, we expect to open 60 to 70 new stores during the year. </t>
        </r>
        <r>
          <rPr>
            <sz val="9"/>
            <color indexed="81"/>
            <rFont val="Tahoma"/>
            <family val="2"/>
          </rPr>
          <t xml:space="preserve">Therefore, by the end of fiscal 2016, we would expect roughly 40% of our store base to be in the modern luxury concept.
4/26/16: 400 stores (including wholesale) should be in renovated formats by fiscal year end </t>
        </r>
      </text>
    </comment>
    <comment ref="M34" authorId="1">
      <text>
        <r>
          <rPr>
            <b/>
            <sz val="8"/>
            <color indexed="81"/>
            <rFont val="Tahoma"/>
            <family val="2"/>
          </rPr>
          <t>mm98285:</t>
        </r>
        <r>
          <rPr>
            <sz val="8"/>
            <color indexed="81"/>
            <rFont val="Tahoma"/>
            <family val="2"/>
          </rPr>
          <t xml:space="preserve">
2005 10K: plans to open 20-25 stores per year</t>
        </r>
      </text>
    </comment>
    <comment ref="N34" authorId="2">
      <text>
        <r>
          <rPr>
            <b/>
            <sz val="8"/>
            <color indexed="81"/>
            <rFont val="Tahoma"/>
            <family val="2"/>
          </rPr>
          <t>LM37689:</t>
        </r>
        <r>
          <rPr>
            <sz val="8"/>
            <color indexed="81"/>
            <rFont val="Tahoma"/>
            <family val="2"/>
          </rPr>
          <t xml:space="preserve">
1/07 (and 4/07): guided to 40 new retail stores
10K: expect to open atleast 35 retail &amp; factory stores in '07 (30 retail)
8/06 conf call: plan to open 100 over next 3 yrs</t>
        </r>
      </text>
    </comment>
    <comment ref="O34" authorId="2">
      <text>
        <r>
          <rPr>
            <b/>
            <sz val="8"/>
            <color indexed="81"/>
            <rFont val="Tahoma"/>
            <family val="2"/>
          </rPr>
          <t>LM37689:</t>
        </r>
        <r>
          <rPr>
            <sz val="8"/>
            <color indexed="81"/>
            <rFont val="Tahoma"/>
            <family val="2"/>
          </rPr>
          <t xml:space="preserve">
4Q07: guided to +40
1/07 (and 4/07):  guided to +40 new retail stores for 2008-10
08/06 conference call: plan to open 100 over next 3 yrs</t>
        </r>
      </text>
    </comment>
    <comment ref="P34" authorId="2">
      <text>
        <r>
          <rPr>
            <b/>
            <sz val="8"/>
            <color indexed="81"/>
            <rFont val="Tahoma"/>
            <family val="2"/>
          </rPr>
          <t>LM37689:</t>
        </r>
        <r>
          <rPr>
            <sz val="8"/>
            <color indexed="81"/>
            <rFont val="Tahoma"/>
            <family val="2"/>
          </rPr>
          <t xml:space="preserve">
7/08: +40 (inc. 13 new markets)
1/07 (and 4/07): guided to +40 new retail stores for 2008-10
08/06 conference call: plan to open 100 over next 3 yrs</t>
        </r>
      </text>
    </comment>
    <comment ref="Q34" authorId="2">
      <text>
        <r>
          <rPr>
            <sz val="8"/>
            <color indexed="81"/>
            <rFont val="Tahoma"/>
            <family val="2"/>
          </rPr>
          <t>4/10: expect 20 for year
8/09: opening 20 retail given current env'mt (includes 14 new markets)
1/09: opening 20 retail given current env'mt (includes 13 new markets)
1/07 (and 4/07): guided to +40 new retail stores for 2008-10
08/06 conference call: plan to open 100 over next 3 yrs</t>
        </r>
      </text>
    </comment>
    <comment ref="R34" authorId="2">
      <text>
        <r>
          <rPr>
            <sz val="8"/>
            <color indexed="81"/>
            <rFont val="Tahoma"/>
            <family val="2"/>
          </rPr>
          <t>4/26: 8 new NA retail stores for the year
+9 factories, bringing the total to 14 dedicated men’s factory stores and eight traditional factory stores for the year</t>
        </r>
        <r>
          <rPr>
            <b/>
            <sz val="8"/>
            <color indexed="81"/>
            <rFont val="Tahoma"/>
            <family val="2"/>
          </rPr>
          <t xml:space="preserve">
10-K: </t>
        </r>
        <r>
          <rPr>
            <sz val="8"/>
            <color indexed="81"/>
            <rFont val="Tahoma"/>
            <family val="2"/>
          </rPr>
          <t>We believe that North America can support about 500 retail stores in total, including up to 30 in Canada.</t>
        </r>
        <r>
          <rPr>
            <b/>
            <sz val="8"/>
            <color indexed="81"/>
            <rFont val="Tahoma"/>
            <family val="2"/>
          </rPr>
          <t xml:space="preserve">
9/10: </t>
        </r>
        <r>
          <rPr>
            <sz val="8"/>
            <color indexed="81"/>
            <rFont val="Tahoma"/>
            <family val="2"/>
          </rPr>
          <t>~118 markets viable for COH that they are not in yet (one store opened in Fredericksburg, VA in 2010, so now 117)</t>
        </r>
        <r>
          <rPr>
            <b/>
            <sz val="8"/>
            <color indexed="81"/>
            <rFont val="Tahoma"/>
            <family val="2"/>
          </rPr>
          <t xml:space="preserve">
8/10: </t>
        </r>
        <r>
          <rPr>
            <sz val="8"/>
            <color indexed="81"/>
            <rFont val="Tahoma"/>
            <family val="2"/>
          </rPr>
          <t>+30 NA stores: +10 full price, +10 Factory Outlets, +10 Men's only Factory</t>
        </r>
        <r>
          <rPr>
            <b/>
            <sz val="8"/>
            <color indexed="81"/>
            <rFont val="Tahoma"/>
            <family val="2"/>
          </rPr>
          <t xml:space="preserve">
LM37689:</t>
        </r>
        <r>
          <rPr>
            <sz val="8"/>
            <color indexed="81"/>
            <rFont val="Tahoma"/>
            <family val="2"/>
          </rPr>
          <t xml:space="preserve">
1/07 (and 4/07): guided to +40 new retail stores for 2008-10
08/06 conference call: plan to open 100 over next 3 yrs</t>
        </r>
      </text>
    </comment>
    <comment ref="S34" authorId="2">
      <text>
        <r>
          <rPr>
            <sz val="8"/>
            <color indexed="81"/>
            <rFont val="Tahoma"/>
            <family val="2"/>
          </rPr>
          <t xml:space="preserve">7/31/12: At the end of FY12 there were 354 full price and 169 factory stores in operation in North America. This was a net increase of nine full price stores including three Men’s retail stores, as well as 26 factory stores including 16 Men’s stores, from the end of FY11. Total square footage grew 10% for the year. Therefore at year end in North America there were 30 Men’s standalone factory stores, 5 stand-alone Men’s retail stores and over 85 Men’s retail shop-in-shops. </t>
        </r>
        <r>
          <rPr>
            <b/>
            <sz val="8"/>
            <color indexed="81"/>
            <rFont val="Tahoma"/>
            <family val="2"/>
          </rPr>
          <t xml:space="preserve">
Reit 4/24/12: </t>
        </r>
        <r>
          <rPr>
            <sz val="8"/>
            <color indexed="81"/>
            <rFont val="Tahoma"/>
            <family val="2"/>
          </rPr>
          <t>40 new stores this year – including about 15 full price and 25 factory outlets - with more than half in each channel being dedicated Men’s locations</t>
        </r>
        <r>
          <rPr>
            <b/>
            <sz val="8"/>
            <color indexed="81"/>
            <rFont val="Tahoma"/>
            <family val="2"/>
          </rPr>
          <t xml:space="preserve">
10/25/11: </t>
        </r>
        <r>
          <rPr>
            <sz val="8"/>
            <color indexed="81"/>
            <rFont val="Tahoma"/>
            <family val="2"/>
          </rPr>
          <t>40 new stores this year – including about 15 full price and 25 factory outlets - with more than half in each channel being dedicated Men’s locations</t>
        </r>
        <r>
          <rPr>
            <b/>
            <sz val="8"/>
            <color indexed="81"/>
            <rFont val="Tahoma"/>
            <family val="2"/>
          </rPr>
          <t xml:space="preserve">
9/10: </t>
        </r>
        <r>
          <rPr>
            <sz val="8"/>
            <color indexed="81"/>
            <rFont val="Tahoma"/>
            <family val="2"/>
          </rPr>
          <t>Exp to open ~160 stores in next 3 - 5 years</t>
        </r>
        <r>
          <rPr>
            <b/>
            <sz val="8"/>
            <color indexed="81"/>
            <rFont val="Tahoma"/>
            <family val="2"/>
          </rPr>
          <t xml:space="preserve">
LM37689:</t>
        </r>
        <r>
          <rPr>
            <sz val="8"/>
            <color indexed="81"/>
            <rFont val="Tahoma"/>
            <family val="2"/>
          </rPr>
          <t xml:space="preserve">
1/07 (and 4/07): guided to +40 new retail stores for 2008-10
08/06 conference call: plan to open 100 over next 3 yrs</t>
        </r>
      </text>
    </comment>
    <comment ref="T34" authorId="2">
      <text>
        <r>
          <rPr>
            <b/>
            <sz val="8"/>
            <color indexed="81"/>
            <rFont val="Tahoma"/>
            <family val="2"/>
          </rPr>
          <t>LM37689:</t>
        </r>
        <r>
          <rPr>
            <sz val="8"/>
            <color indexed="81"/>
            <rFont val="Tahoma"/>
            <family val="2"/>
          </rPr>
          <t xml:space="preserve">
1/07 (and 4/07): guided to +40 new retail stores for 2008-10
08/06 conference call: plan to open 100 over next 3 yrs</t>
        </r>
      </text>
    </comment>
    <comment ref="U35" authorId="5">
      <text>
        <r>
          <rPr>
            <b/>
            <sz val="9"/>
            <color indexed="81"/>
            <rFont val="Tahoma"/>
            <family val="2"/>
          </rPr>
          <t>turleamb:</t>
        </r>
        <r>
          <rPr>
            <sz val="9"/>
            <color indexed="81"/>
            <rFont val="Tahoma"/>
            <family val="2"/>
          </rPr>
          <t xml:space="preserve">
4/29/14: expect 15 NA openings and 20 expansions</t>
        </r>
      </text>
    </comment>
    <comment ref="N36" authorId="2">
      <text>
        <r>
          <rPr>
            <b/>
            <sz val="8"/>
            <color indexed="81"/>
            <rFont val="Tahoma"/>
            <family val="2"/>
          </rPr>
          <t>LM37689:</t>
        </r>
        <r>
          <rPr>
            <sz val="8"/>
            <color indexed="81"/>
            <rFont val="Tahoma"/>
            <family val="2"/>
          </rPr>
          <t xml:space="preserve">
10K: expect to open atleast 35 retail &amp; factory stores in '07
expect to open 5 stores in '07 as per 8/06 conf call</t>
        </r>
      </text>
    </comment>
    <comment ref="O36" authorId="1">
      <text>
        <r>
          <rPr>
            <b/>
            <sz val="8"/>
            <color indexed="81"/>
            <rFont val="Tahoma"/>
            <family val="2"/>
          </rPr>
          <t>mm98285:</t>
        </r>
        <r>
          <rPr>
            <sz val="8"/>
            <color indexed="81"/>
            <rFont val="Tahoma"/>
            <family val="2"/>
          </rPr>
          <t xml:space="preserve">
4Q07: expect to add at least 6
3Q07: Expect to add 5+ new factory locations
10/06: expect to open 4-5 stores per year with 110 store potential</t>
        </r>
      </text>
    </comment>
    <comment ref="P36" authorId="1">
      <text>
        <r>
          <rPr>
            <b/>
            <sz val="8"/>
            <color indexed="81"/>
            <rFont val="Tahoma"/>
            <family val="2"/>
          </rPr>
          <t>mm98285:</t>
        </r>
        <r>
          <rPr>
            <sz val="8"/>
            <color indexed="81"/>
            <rFont val="Tahoma"/>
            <family val="2"/>
          </rPr>
          <t xml:space="preserve">
7/08: at least +6</t>
        </r>
      </text>
    </comment>
    <comment ref="R36" authorId="6">
      <text>
        <r>
          <rPr>
            <sz val="8"/>
            <color indexed="81"/>
            <rFont val="Tahoma"/>
            <family val="2"/>
          </rPr>
          <t>4/26: 8 new NA retail stores for the year
+9 factories, bringing the total to 14 dedicated men’s factory stores and eight traditional factory stores for the year</t>
        </r>
        <r>
          <rPr>
            <sz val="8"/>
            <color indexed="81"/>
            <rFont val="Tahoma"/>
            <family val="2"/>
          </rPr>
          <t xml:space="preserve">
includes M's &amp; W's factory
8/10: +30 NA stores: +10 full price, +10 Factory Outlets, +10 Men's only Factory</t>
        </r>
      </text>
    </comment>
    <comment ref="S36" authorId="6">
      <text>
        <r>
          <rPr>
            <sz val="8"/>
            <color indexed="81"/>
            <rFont val="Tahoma"/>
            <family val="2"/>
          </rPr>
          <t xml:space="preserve">7/31/12: At the end of FY12 there were 354 full price and 169 factory stores in operation in North America. This was a net increase of nine full price stores including three Men’s retail stores, as well as 26 factory stores including 16 Men’s stores, from the end of FY11. Total square footage grew 10% for the year. Therefore at year end in North America there were 30 Men’s standalone factory stores, 5 stand-alone Men’s retail stores and over 85 Men’s retail shop-in-shops. </t>
        </r>
        <r>
          <rPr>
            <b/>
            <sz val="8"/>
            <color indexed="81"/>
            <rFont val="Tahoma"/>
            <family val="2"/>
          </rPr>
          <t xml:space="preserve">
lauraro:</t>
        </r>
        <r>
          <rPr>
            <sz val="8"/>
            <color indexed="81"/>
            <rFont val="Tahoma"/>
            <family val="2"/>
          </rPr>
          <t xml:space="preserve">
</t>
        </r>
        <r>
          <rPr>
            <b/>
            <sz val="8"/>
            <color indexed="81"/>
            <rFont val="Tahoma"/>
            <family val="2"/>
          </rPr>
          <t xml:space="preserve">4/24/12 &amp; 10/25/11: </t>
        </r>
        <r>
          <rPr>
            <sz val="8"/>
            <color indexed="81"/>
            <rFont val="Tahoma"/>
            <family val="2"/>
          </rPr>
          <t>40 new stores this year – including about 15 full price and 25 factory outlets - with more than half in each channel being dedicated Men’s locations
COH will need to be very selective on future openings. Conservative estimates going forward - no more than 5 outlets per year. Focus on increasing productivity in existing outlet stores by opening a men's only store and taking the men's product out.</t>
        </r>
      </text>
    </comment>
    <comment ref="V36" authorId="4">
      <text>
        <r>
          <rPr>
            <b/>
            <sz val="9"/>
            <color indexed="81"/>
            <rFont val="Tahoma"/>
            <family val="2"/>
          </rPr>
          <t xml:space="preserve">6/19/14: analyst day 10 dual gender outlet openings
</t>
        </r>
        <r>
          <rPr>
            <sz val="9"/>
            <color indexed="81"/>
            <rFont val="Tahoma"/>
            <family val="2"/>
          </rPr>
          <t xml:space="preserve">
8/16/14 10-K: over the next few years expect to see modest to no growth in outlet store square footage-optimizing fleet by expanding most productive stores. </t>
        </r>
      </text>
    </comment>
    <comment ref="R37" authorId="6">
      <text>
        <r>
          <rPr>
            <sz val="8"/>
            <color indexed="81"/>
            <rFont val="Tahoma"/>
            <family val="2"/>
          </rPr>
          <t xml:space="preserve">4/26: 8 new NA retail stores for the year
+9 factories, bringing the total to 14 dedicated men’s factory stores and eight traditional factory stores for the year
</t>
        </r>
        <r>
          <rPr>
            <sz val="8"/>
            <color indexed="81"/>
            <rFont val="Tahoma"/>
            <family val="2"/>
          </rPr>
          <t xml:space="preserve">
8/10: +30 NA stores: +10 full price, +10 Factory Outlets, +10 Men's only Factory</t>
        </r>
      </text>
    </comment>
    <comment ref="S37" authorId="6">
      <text>
        <r>
          <rPr>
            <b/>
            <sz val="8"/>
            <color indexed="81"/>
            <rFont val="Tahoma"/>
            <family val="2"/>
          </rPr>
          <t>lauraro:</t>
        </r>
        <r>
          <rPr>
            <sz val="8"/>
            <color indexed="81"/>
            <rFont val="Tahoma"/>
            <family val="2"/>
          </rPr>
          <t xml:space="preserve">
</t>
        </r>
        <r>
          <rPr>
            <b/>
            <sz val="8"/>
            <color indexed="81"/>
            <rFont val="Tahoma"/>
            <family val="2"/>
          </rPr>
          <t>10/25/11:</t>
        </r>
        <r>
          <rPr>
            <sz val="8"/>
            <color indexed="81"/>
            <rFont val="Tahoma"/>
            <family val="2"/>
          </rPr>
          <t xml:space="preserve"> 40 new stores this year – including about 15 full price and 25 factory outlets - with more than half in each channel being dedicated Men’s locations</t>
        </r>
      </text>
    </comment>
    <comment ref="V37" authorId="5">
      <text>
        <r>
          <rPr>
            <b/>
            <sz val="9"/>
            <color indexed="81"/>
            <rFont val="Tahoma"/>
            <family val="2"/>
          </rPr>
          <t>turleamb:</t>
        </r>
        <r>
          <rPr>
            <sz val="9"/>
            <color indexed="81"/>
            <rFont val="Tahoma"/>
            <family val="2"/>
          </rPr>
          <t xml:space="preserve">
6/19/14: analyst day 10 dual gender outlet openings</t>
        </r>
      </text>
    </comment>
    <comment ref="A39" authorId="2">
      <text>
        <r>
          <rPr>
            <b/>
            <sz val="8"/>
            <color indexed="81"/>
            <rFont val="Tahoma"/>
            <family val="2"/>
          </rPr>
          <t xml:space="preserve">mm98285:
</t>
        </r>
        <r>
          <rPr>
            <sz val="8"/>
            <color indexed="81"/>
            <rFont val="Tahoma"/>
            <family val="2"/>
          </rPr>
          <t>8/09: can support 180 total locations in Japan</t>
        </r>
        <r>
          <rPr>
            <b/>
            <sz val="8"/>
            <color indexed="81"/>
            <rFont val="Tahoma"/>
            <family val="2"/>
          </rPr>
          <t xml:space="preserve">
LM37689:</t>
        </r>
        <r>
          <rPr>
            <sz val="8"/>
            <color indexed="81"/>
            <rFont val="Tahoma"/>
            <family val="2"/>
          </rPr>
          <t xml:space="preserve">
On July 1, 2005, Coach acquired Sumitomo's 50% interest in Coach Japan.  </t>
        </r>
      </text>
    </comment>
    <comment ref="N39" authorId="2">
      <text>
        <r>
          <rPr>
            <b/>
            <sz val="8"/>
            <color indexed="81"/>
            <rFont val="Tahoma"/>
            <family val="2"/>
          </rPr>
          <t>LM37689:</t>
        </r>
        <r>
          <rPr>
            <sz val="8"/>
            <color indexed="81"/>
            <rFont val="Tahoma"/>
            <family val="2"/>
          </rPr>
          <t xml:space="preserve">
3Q07: Expect 19 net new stores and we assume 3 closures
10K: expect to open atleast 15 net new stores
8/01/06 conference call: guided 15-20</t>
        </r>
      </text>
    </comment>
    <comment ref="O39" authorId="7">
      <text>
        <r>
          <rPr>
            <b/>
            <sz val="8"/>
            <color indexed="81"/>
            <rFont val="Tahoma"/>
            <family val="2"/>
          </rPr>
          <t>oc48540:</t>
        </r>
        <r>
          <rPr>
            <sz val="8"/>
            <color indexed="81"/>
            <rFont val="Tahoma"/>
            <family val="2"/>
          </rPr>
          <t xml:space="preserve">
2/08: expect to open 10-15 net new stores
10/07 &amp; 4Q07: add 15-20 locations in Japan
3Q07: 10-15 net new retail and a few factory outlets</t>
        </r>
      </text>
    </comment>
    <comment ref="P39" authorId="1">
      <text>
        <r>
          <rPr>
            <b/>
            <sz val="8"/>
            <color indexed="81"/>
            <rFont val="Tahoma"/>
            <family val="2"/>
          </rPr>
          <t>mm98285:</t>
        </r>
        <r>
          <rPr>
            <sz val="8"/>
            <color indexed="81"/>
            <rFont val="Tahoma"/>
            <family val="2"/>
          </rPr>
          <t xml:space="preserve">
4/09: net 5
7/08: +10-15
4/08: open 10 per year</t>
        </r>
      </text>
    </comment>
    <comment ref="Q39" authorId="1">
      <text>
        <r>
          <rPr>
            <b/>
            <sz val="8"/>
            <color indexed="81"/>
            <rFont val="Tahoma"/>
            <family val="2"/>
          </rPr>
          <t xml:space="preserve">1/11: </t>
        </r>
        <r>
          <rPr>
            <sz val="8"/>
            <color indexed="81"/>
            <rFont val="Tahoma"/>
            <family val="2"/>
          </rPr>
          <t>subtracted out opening of one duty free location (wholesale biz)</t>
        </r>
        <r>
          <rPr>
            <b/>
            <sz val="8"/>
            <color indexed="81"/>
            <rFont val="Tahoma"/>
            <family val="2"/>
          </rPr>
          <t xml:space="preserve">
4/10: </t>
        </r>
        <r>
          <rPr>
            <sz val="8"/>
            <color indexed="81"/>
            <rFont val="Tahoma"/>
            <family val="2"/>
          </rPr>
          <t>expect to open 7 net new locations in 2010</t>
        </r>
        <r>
          <rPr>
            <sz val="8"/>
            <color indexed="81"/>
            <rFont val="Tahoma"/>
            <family val="2"/>
          </rPr>
          <t xml:space="preserve">
</t>
        </r>
        <r>
          <rPr>
            <b/>
            <sz val="8"/>
            <color indexed="81"/>
            <rFont val="Tahoma"/>
            <family val="2"/>
          </rPr>
          <t>2/10:</t>
        </r>
        <r>
          <rPr>
            <sz val="8"/>
            <color indexed="81"/>
            <rFont val="Tahoma"/>
            <family val="2"/>
          </rPr>
          <t xml:space="preserve"> expect to open 7 new locations in 2010
</t>
        </r>
        <r>
          <rPr>
            <b/>
            <sz val="8"/>
            <color indexed="81"/>
            <rFont val="Tahoma"/>
            <family val="2"/>
          </rPr>
          <t>11/09:</t>
        </r>
        <r>
          <rPr>
            <sz val="8"/>
            <color indexed="81"/>
            <rFont val="Tahoma"/>
            <family val="2"/>
          </rPr>
          <t xml:space="preserve"> open ~13 locations and expect to 
close a few
</t>
        </r>
        <r>
          <rPr>
            <b/>
            <sz val="8"/>
            <color indexed="81"/>
            <rFont val="Tahoma"/>
            <family val="2"/>
          </rPr>
          <t>8/09:</t>
        </r>
        <r>
          <rPr>
            <sz val="8"/>
            <color indexed="81"/>
            <rFont val="Tahoma"/>
            <family val="2"/>
          </rPr>
          <t xml:space="preserve"> open 10 locations
</t>
        </r>
        <r>
          <rPr>
            <b/>
            <sz val="8"/>
            <color indexed="81"/>
            <rFont val="Tahoma"/>
            <family val="2"/>
          </rPr>
          <t>4/09:</t>
        </r>
        <r>
          <rPr>
            <sz val="8"/>
            <color indexed="81"/>
            <rFont val="Tahoma"/>
            <family val="2"/>
          </rPr>
          <t xml:space="preserve"> +7 net locations</t>
        </r>
      </text>
    </comment>
    <comment ref="R39" authorId="6">
      <text>
        <r>
          <rPr>
            <b/>
            <sz val="8"/>
            <color indexed="81"/>
            <rFont val="Tahoma"/>
            <family val="2"/>
          </rPr>
          <t xml:space="preserve">4/26: </t>
        </r>
        <r>
          <rPr>
            <sz val="8"/>
            <color indexed="81"/>
            <rFont val="Tahoma"/>
            <family val="2"/>
          </rPr>
          <t xml:space="preserve"> 9 net new stores</t>
        </r>
        <r>
          <rPr>
            <b/>
            <sz val="8"/>
            <color indexed="81"/>
            <rFont val="Tahoma"/>
            <family val="2"/>
          </rPr>
          <t xml:space="preserve">
1/26: </t>
        </r>
        <r>
          <rPr>
            <sz val="8"/>
            <color indexed="81"/>
            <rFont val="Tahoma"/>
            <family val="2"/>
          </rPr>
          <t xml:space="preserve">we now expect to open about ten net new Coach Japan locations, including five Men’s stores. </t>
        </r>
        <r>
          <rPr>
            <sz val="8"/>
            <color indexed="81"/>
            <rFont val="Tahoma"/>
            <family val="2"/>
          </rPr>
          <t xml:space="preserve">
</t>
        </r>
        <r>
          <rPr>
            <b/>
            <sz val="8"/>
            <color indexed="81"/>
            <rFont val="Tahoma"/>
            <family val="2"/>
          </rPr>
          <t>8/10:</t>
        </r>
        <r>
          <rPr>
            <sz val="8"/>
            <color indexed="81"/>
            <rFont val="Tahoma"/>
            <family val="2"/>
          </rPr>
          <t xml:space="preserve"> 8 new locations in FY11, including 2 Men's and 2 Poppy</t>
        </r>
      </text>
    </comment>
    <comment ref="S39" authorId="6">
      <text>
        <r>
          <rPr>
            <b/>
            <sz val="8"/>
            <color indexed="81"/>
            <rFont val="Tahoma"/>
            <family val="2"/>
          </rPr>
          <t>lauraro:</t>
        </r>
        <r>
          <rPr>
            <sz val="8"/>
            <color indexed="81"/>
            <rFont val="Tahoma"/>
            <family val="2"/>
          </rPr>
          <t xml:space="preserve">
4/24/12: Expect to open ten net new stores
</t>
        </r>
        <r>
          <rPr>
            <b/>
            <sz val="8"/>
            <color indexed="81"/>
            <rFont val="Tahoma"/>
            <family val="2"/>
          </rPr>
          <t xml:space="preserve">10/25/11: </t>
        </r>
        <r>
          <rPr>
            <sz val="8"/>
            <color indexed="81"/>
            <rFont val="Tahoma"/>
            <family val="2"/>
          </rPr>
          <t>we expect to open about 15 net new locations in Japan, nearly all of them dedicated Men’s doors</t>
        </r>
      </text>
    </comment>
    <comment ref="U39" authorId="5">
      <text>
        <r>
          <rPr>
            <b/>
            <sz val="8"/>
            <color indexed="81"/>
            <rFont val="Tahoma"/>
            <family val="2"/>
          </rPr>
          <t>turleamb:</t>
        </r>
        <r>
          <rPr>
            <sz val="8"/>
            <color indexed="81"/>
            <rFont val="Tahoma"/>
            <family val="2"/>
          </rPr>
          <t xml:space="preserve">
10/22/13: expect to open 5-10 new stores, most dedicated to men's</t>
        </r>
      </text>
    </comment>
    <comment ref="V39" authorId="4">
      <text>
        <r>
          <rPr>
            <b/>
            <sz val="9"/>
            <color indexed="81"/>
            <rFont val="Tahoma"/>
            <family val="2"/>
          </rPr>
          <t>Turley, Amber (Research):</t>
        </r>
        <r>
          <rPr>
            <sz val="9"/>
            <color indexed="81"/>
            <rFont val="Tahoma"/>
            <family val="2"/>
          </rPr>
          <t xml:space="preserve">
1/29/15: Continue to expect the number of locations to remain the same in FY15 with slight square footage growth from new flagship and expansions of a few highly productive locations. Led by retail the brand transformation plans in Japan focus on renovation of key doors in Tokyo representing 70+% of traffic by the end of FY16 including new flagship in Shinjuku whcih opened in Dec 2014
10/28/14: Re-opening Tokyo store in Nov 2014. 
8/7/14: Plan to renovate key doors in Tokyo, new Shinjuku flagship opens in October; lpan to renovate key locations including flagships in Ginza and Shibuya by Spring. Expect total locations remain the same in number with slight square footage growth from new flagship and expansions of a few highly productive locations. </t>
        </r>
      </text>
    </comment>
    <comment ref="W39" authorId="4">
      <text>
        <r>
          <rPr>
            <b/>
            <sz val="9"/>
            <color indexed="81"/>
            <rFont val="Tahoma"/>
            <family val="2"/>
          </rPr>
          <t>Turley, Amber (Research):</t>
        </r>
        <r>
          <rPr>
            <sz val="9"/>
            <color indexed="81"/>
            <rFont val="Tahoma"/>
            <family val="2"/>
          </rPr>
          <t xml:space="preserve">
8/19/14 10-K: COH Japan plans to maintain a relatively consistent store count over the next several years. </t>
        </r>
      </text>
    </comment>
    <comment ref="X39" authorId="4">
      <text>
        <r>
          <rPr>
            <b/>
            <sz val="9"/>
            <color indexed="81"/>
            <rFont val="Tahoma"/>
            <family val="2"/>
          </rPr>
          <t>Turley, Amber (Research):</t>
        </r>
        <r>
          <rPr>
            <sz val="9"/>
            <color indexed="81"/>
            <rFont val="Tahoma"/>
            <family val="2"/>
          </rPr>
          <t xml:space="preserve">
8/19/14 10-K: COH Japan plans to maintain a relatively consistent store count over the next several years. </t>
        </r>
      </text>
    </comment>
    <comment ref="P40" authorId="1">
      <text>
        <r>
          <rPr>
            <b/>
            <sz val="8"/>
            <color indexed="81"/>
            <rFont val="Tahoma"/>
            <family val="2"/>
          </rPr>
          <t>mm98285:</t>
        </r>
        <r>
          <rPr>
            <sz val="8"/>
            <color indexed="81"/>
            <rFont val="Tahoma"/>
            <family val="2"/>
          </rPr>
          <t xml:space="preserve">
3/09: completed 1st phase of acq of China retail in Sept 2008, transitioning 8 stores in HK &amp; 2 storesin Macau. The acquisition was
completed in April 2009, transitioning 15 stores.
5/08: expect to open 50 stores over next 5 years with sales of at least $250mm by 2013</t>
        </r>
      </text>
    </comment>
    <comment ref="Q40" authorId="1">
      <text>
        <r>
          <rPr>
            <sz val="8"/>
            <color indexed="81"/>
            <rFont val="Tahoma"/>
            <family val="2"/>
          </rPr>
          <t>4/10: expect to open 13 net</t>
        </r>
        <r>
          <rPr>
            <sz val="8"/>
            <color indexed="81"/>
            <rFont val="Tahoma"/>
            <family val="2"/>
          </rPr>
          <t xml:space="preserve">
7/09: expect to open 15 in 2010
4/09: expect to open 10 in FY10 and 50+ over next 5 years (FY10-FY14)</t>
        </r>
      </text>
    </comment>
    <comment ref="R40" authorId="8">
      <text>
        <r>
          <rPr>
            <b/>
            <sz val="8"/>
            <color indexed="81"/>
            <rFont val="Tahoma"/>
            <family val="2"/>
          </rPr>
          <t xml:space="preserve">11/10: </t>
        </r>
        <r>
          <rPr>
            <sz val="8"/>
            <color indexed="81"/>
            <rFont val="Tahoma"/>
            <family val="2"/>
          </rPr>
          <t>COH said 25 China stores in 2011 with larger footprints rather than previously guided 30 China stores, still ~60% sq ftge growth</t>
        </r>
        <r>
          <rPr>
            <b/>
            <sz val="8"/>
            <color indexed="81"/>
            <rFont val="Tahoma"/>
            <family val="2"/>
          </rPr>
          <t xml:space="preserve">
8/10: </t>
        </r>
        <r>
          <rPr>
            <sz val="8"/>
            <color indexed="81"/>
            <rFont val="Tahoma"/>
            <family val="2"/>
          </rPr>
          <t xml:space="preserve"> Will accelerate to +30 in FY11, all mainland China</t>
        </r>
        <r>
          <rPr>
            <b/>
            <sz val="8"/>
            <color indexed="81"/>
            <rFont val="Tahoma"/>
            <family val="2"/>
          </rPr>
          <t xml:space="preserve">
ns66486:</t>
        </r>
        <r>
          <rPr>
            <sz val="8"/>
            <color indexed="81"/>
            <rFont val="Tahoma"/>
            <family val="2"/>
          </rPr>
          <t xml:space="preserve">
4/10: will accelerate to at least 20 new locations planned</t>
        </r>
      </text>
    </comment>
    <comment ref="S40" authorId="6">
      <text>
        <r>
          <rPr>
            <b/>
            <sz val="8"/>
            <color indexed="81"/>
            <rFont val="Tahoma"/>
            <family val="2"/>
          </rPr>
          <t>lauraro:</t>
        </r>
        <r>
          <rPr>
            <sz val="8"/>
            <color indexed="81"/>
            <rFont val="Tahoma"/>
            <family val="2"/>
          </rPr>
          <t xml:space="preserve">
</t>
        </r>
        <r>
          <rPr>
            <b/>
            <sz val="8"/>
            <color indexed="81"/>
            <rFont val="Tahoma"/>
            <family val="2"/>
          </rPr>
          <t xml:space="preserve">4/24/12: </t>
        </r>
        <r>
          <rPr>
            <sz val="8"/>
            <color indexed="81"/>
            <rFont val="Tahoma"/>
            <family val="2"/>
          </rPr>
          <t>Expect 30 TY</t>
        </r>
        <r>
          <rPr>
            <sz val="8"/>
            <color indexed="81"/>
            <rFont val="Tahoma"/>
            <family val="2"/>
          </rPr>
          <t xml:space="preserve">
</t>
        </r>
        <r>
          <rPr>
            <b/>
            <sz val="8"/>
            <color indexed="81"/>
            <rFont val="Tahoma"/>
            <family val="2"/>
          </rPr>
          <t xml:space="preserve">10/25/11: </t>
        </r>
        <r>
          <rPr>
            <sz val="8"/>
            <color indexed="81"/>
            <rFont val="Tahoma"/>
            <family val="2"/>
          </rPr>
          <t>30 locations with the vast majority on the Mainland. Virtually all of these openings will be dual gender stores due to the size of the Men’s opportunity</t>
        </r>
        <r>
          <rPr>
            <sz val="8"/>
            <color indexed="81"/>
            <rFont val="Tahoma"/>
            <family val="2"/>
          </rPr>
          <t xml:space="preserve">
-30 locations in the mainland, vast majority dual gender stores, a few locations in HK, and 1-2 in Singapore</t>
        </r>
      </text>
    </comment>
    <comment ref="U40" authorId="5">
      <text>
        <r>
          <rPr>
            <b/>
            <sz val="8"/>
            <color indexed="81"/>
            <rFont val="Tahoma"/>
            <family val="2"/>
          </rPr>
          <t>turleamb:</t>
        </r>
        <r>
          <rPr>
            <sz val="8"/>
            <color indexed="81"/>
            <rFont val="Tahoma"/>
            <family val="2"/>
          </rPr>
          <t xml:space="preserve">
4/29/14: expect 30 new dual gender locations
expect 30 new dual gender stoers in China b/t factory and FP</t>
        </r>
      </text>
    </comment>
    <comment ref="V40" authorId="5">
      <text>
        <r>
          <rPr>
            <b/>
            <sz val="9"/>
            <color indexed="81"/>
            <rFont val="Tahoma"/>
            <family val="2"/>
          </rPr>
          <t>turleamb:</t>
        </r>
        <r>
          <rPr>
            <sz val="9"/>
            <color indexed="81"/>
            <rFont val="Tahoma"/>
            <family val="2"/>
          </rPr>
          <t xml:space="preserve">
1/29/15: Still plan ~20 opensings in China and could have ~10 closures
8/7/14: Now planning about 20 China store openings; highly selective with outlet store openings; planning to open regional flagships to reinforce Tier 1/2 city distribution
6/19/14 analyst day: 15-20 China stores</t>
        </r>
      </text>
    </comment>
    <comment ref="W40" authorId="0">
      <text>
        <r>
          <rPr>
            <b/>
            <sz val="9"/>
            <color indexed="81"/>
            <rFont val="Tahoma"/>
            <family val="2"/>
          </rPr>
          <t>casselau:
10/26/15: +25</t>
        </r>
        <r>
          <rPr>
            <sz val="9"/>
            <color indexed="81"/>
            <rFont val="Tahoma"/>
            <family val="2"/>
          </rPr>
          <t xml:space="preserve">
8/4/15: expec tot open 20-25 new locations
</t>
        </r>
      </text>
    </comment>
    <comment ref="X40" authorId="9">
      <text>
        <r>
          <rPr>
            <b/>
            <sz val="9"/>
            <color indexed="81"/>
            <rFont val="Tahoma"/>
            <family val="2"/>
          </rPr>
          <t>Cassel, Lauren (Research):</t>
        </r>
        <r>
          <rPr>
            <sz val="9"/>
            <color indexed="81"/>
            <rFont val="Tahoma"/>
            <family val="2"/>
          </rPr>
          <t xml:space="preserve">
In greater China, we are projecting a mid-single digit increase in square footage,
driven by net new store openings on the mainland, partially offset by a modest decline in units in Hong Kong and Macau.</t>
        </r>
      </text>
    </comment>
    <comment ref="R41" authorId="8">
      <text>
        <r>
          <rPr>
            <b/>
            <sz val="8"/>
            <color indexed="81"/>
            <rFont val="Tahoma"/>
            <family val="2"/>
          </rPr>
          <t xml:space="preserve">8/10: </t>
        </r>
        <r>
          <rPr>
            <sz val="8"/>
            <color indexed="81"/>
            <rFont val="Tahoma"/>
            <family val="2"/>
          </rPr>
          <t xml:space="preserve"> Will accelerate to +30 in FY11, all mainland China</t>
        </r>
        <r>
          <rPr>
            <b/>
            <sz val="8"/>
            <color indexed="81"/>
            <rFont val="Tahoma"/>
            <family val="2"/>
          </rPr>
          <t xml:space="preserve">
ns66486:</t>
        </r>
        <r>
          <rPr>
            <sz val="8"/>
            <color indexed="81"/>
            <rFont val="Tahoma"/>
            <family val="2"/>
          </rPr>
          <t xml:space="preserve">
4/10: will accelerate to at least 20 new locations planned</t>
        </r>
      </text>
    </comment>
    <comment ref="U41" authorId="5">
      <text>
        <r>
          <rPr>
            <b/>
            <sz val="9"/>
            <color indexed="81"/>
            <rFont val="Tahoma"/>
            <family val="2"/>
          </rPr>
          <t>turleamb:</t>
        </r>
        <r>
          <rPr>
            <sz val="9"/>
            <color indexed="81"/>
            <rFont val="Tahoma"/>
            <family val="2"/>
          </rPr>
          <t xml:space="preserve">
4/29/14: expect 30 dual gender locations</t>
        </r>
      </text>
    </comment>
    <comment ref="V41" authorId="5">
      <text>
        <r>
          <rPr>
            <b/>
            <sz val="9"/>
            <color indexed="81"/>
            <rFont val="Tahoma"/>
            <family val="2"/>
          </rPr>
          <t>8/4/15: we opened 21 new locations but closed only three locations for a total of 18 net new locations, taking us to 171 in total</t>
        </r>
        <r>
          <rPr>
            <sz val="9"/>
            <color indexed="81"/>
            <rFont val="Tahoma"/>
            <family val="2"/>
          </rPr>
          <t xml:space="preserve">
6/19/14 analyst day: 15-20 China stores</t>
        </r>
      </text>
    </comment>
    <comment ref="S42" authorId="3">
      <text>
        <r>
          <rPr>
            <sz val="8"/>
            <color indexed="81"/>
            <rFont val="Tahoma"/>
            <family val="2"/>
          </rPr>
          <t>7/31/12 - "in Singapore we now operate seven locations – five were acquired last July and we’ve opened two additional stores during the fiscal year. "</t>
        </r>
      </text>
    </comment>
    <comment ref="U42" authorId="5">
      <text>
        <r>
          <rPr>
            <b/>
            <sz val="8"/>
            <color indexed="81"/>
            <rFont val="Tahoma"/>
            <family val="2"/>
          </rPr>
          <t>turleamb:</t>
        </r>
        <r>
          <rPr>
            <sz val="8"/>
            <color indexed="81"/>
            <rFont val="Tahoma"/>
            <family val="2"/>
          </rPr>
          <t xml:space="preserve">
10/22/13: expect to open a few stores in Other Asia - focus remains productivity</t>
        </r>
      </text>
    </comment>
    <comment ref="V42" authorId="4">
      <text>
        <r>
          <rPr>
            <b/>
            <sz val="9"/>
            <color indexed="81"/>
            <rFont val="Tahoma"/>
            <family val="2"/>
          </rPr>
          <t>Turley, Amber (Research):</t>
        </r>
        <r>
          <rPr>
            <sz val="9"/>
            <color indexed="81"/>
            <rFont val="Tahoma"/>
            <family val="2"/>
          </rPr>
          <t xml:space="preserve">
1/29/15: May have a few stores open in other direct Asia markets outside of China and Japan in FY15 but focused more on renovating key impact stores with mdoern luxury concept</t>
        </r>
      </text>
    </comment>
    <comment ref="S43" authorId="6">
      <text>
        <r>
          <rPr>
            <b/>
            <sz val="8"/>
            <color indexed="81"/>
            <rFont val="Tahoma"/>
            <family val="2"/>
          </rPr>
          <t>lauraro:</t>
        </r>
        <r>
          <rPr>
            <sz val="8"/>
            <color indexed="81"/>
            <rFont val="Tahoma"/>
            <family val="2"/>
          </rPr>
          <t xml:space="preserve">
4/24/12: $50 million of annual sales at retail</t>
        </r>
      </text>
    </comment>
    <comment ref="T44" authorId="3">
      <text>
        <r>
          <rPr>
            <sz val="8"/>
            <color indexed="81"/>
            <rFont val="Tahoma"/>
            <family val="2"/>
          </rPr>
          <t>7/331/12: "Shortly after the fiscal year ended, we acquired our domestic businesses in Malaysia, which included 10 locations generating annual sales of about $30 million at retail."</t>
        </r>
      </text>
    </comment>
    <comment ref="T46" authorId="5">
      <text>
        <r>
          <rPr>
            <b/>
            <sz val="8"/>
            <color indexed="81"/>
            <rFont val="Tahoma"/>
            <family val="2"/>
          </rPr>
          <t>turleamb:</t>
        </r>
        <r>
          <rPr>
            <sz val="8"/>
            <color indexed="81"/>
            <rFont val="Tahoma"/>
            <family val="2"/>
          </rPr>
          <t xml:space="preserve">
Note these are not included in the FY13 EOY number - "...today, we operate 20 locations across the UK, France, Ireland, Spain, Portugal and Germany"</t>
        </r>
      </text>
    </comment>
    <comment ref="U46" authorId="5">
      <text>
        <r>
          <rPr>
            <b/>
            <sz val="8"/>
            <color indexed="81"/>
            <rFont val="Tahoma"/>
            <family val="2"/>
          </rPr>
          <t>turleamb:</t>
        </r>
        <r>
          <rPr>
            <sz val="8"/>
            <color indexed="81"/>
            <rFont val="Tahoma"/>
            <family val="2"/>
          </rPr>
          <t xml:space="preserve">
10/22/13: expect to open 10 new stores in addition to 20 acquired, in key capital and about 50 wholesale locations</t>
        </r>
      </text>
    </comment>
    <comment ref="V46" authorId="5">
      <text>
        <r>
          <rPr>
            <b/>
            <sz val="9"/>
            <color indexed="81"/>
            <rFont val="Tahoma"/>
            <family val="2"/>
          </rPr>
          <t>turleamb:</t>
        </r>
        <r>
          <rPr>
            <sz val="9"/>
            <color indexed="81"/>
            <rFont val="Tahoma"/>
            <family val="2"/>
          </rPr>
          <t xml:space="preserve">
6/19/14 analyst day: expect to add 15 stores</t>
        </r>
      </text>
    </comment>
    <comment ref="W46" authorId="0">
      <text>
        <r>
          <rPr>
            <b/>
            <sz val="9"/>
            <color indexed="81"/>
            <rFont val="Tahoma"/>
            <family val="2"/>
          </rPr>
          <t>casselau:</t>
        </r>
        <r>
          <rPr>
            <sz val="9"/>
            <color indexed="81"/>
            <rFont val="Tahoma"/>
            <family val="2"/>
          </rPr>
          <t xml:space="preserve">
expect to open 5-10</t>
        </r>
      </text>
    </comment>
    <comment ref="X46" authorId="9">
      <text>
        <r>
          <rPr>
            <b/>
            <sz val="9"/>
            <color indexed="81"/>
            <rFont val="Tahoma"/>
            <family val="2"/>
          </rPr>
          <t>Cassel, Lauren (Research):</t>
        </r>
        <r>
          <rPr>
            <sz val="9"/>
            <color indexed="81"/>
            <rFont val="Tahoma"/>
            <family val="2"/>
          </rPr>
          <t xml:space="preserve">
8/9/16: Internationally, we expect distribution growth to again be led by Europe, where we are planning another year of significant square footage growth,
driven by new stores, including our flagship on Regent Street.</t>
        </r>
      </text>
    </comment>
    <comment ref="Q48" authorId="8">
      <text>
        <r>
          <rPr>
            <b/>
            <sz val="8"/>
            <color indexed="81"/>
            <rFont val="Tahoma"/>
            <family val="2"/>
          </rPr>
          <t>ns66486:</t>
        </r>
        <r>
          <rPr>
            <sz val="8"/>
            <color indexed="81"/>
            <rFont val="Tahoma"/>
            <family val="2"/>
          </rPr>
          <t xml:space="preserve">
closed two stores in 3Q10</t>
        </r>
      </text>
    </comment>
    <comment ref="U48" authorId="5">
      <text>
        <r>
          <rPr>
            <b/>
            <sz val="9"/>
            <color indexed="81"/>
            <rFont val="Tahoma"/>
            <family val="2"/>
          </rPr>
          <t>turleamb:</t>
        </r>
        <r>
          <rPr>
            <sz val="9"/>
            <color indexed="81"/>
            <rFont val="Tahoma"/>
            <family val="2"/>
          </rPr>
          <t xml:space="preserve">
4/29/14: expect 15-20 FP store closures</t>
        </r>
      </text>
    </comment>
    <comment ref="V48" authorId="5">
      <text>
        <r>
          <rPr>
            <b/>
            <sz val="9"/>
            <color indexed="81"/>
            <rFont val="Tahoma"/>
            <family val="2"/>
          </rPr>
          <t xml:space="preserve">8/4/15: </t>
        </r>
        <r>
          <rPr>
            <sz val="9"/>
            <color indexed="81"/>
            <rFont val="Tahoma"/>
            <family val="2"/>
          </rPr>
          <t xml:space="preserve">For the year, in keeping with our plan, we closed 75 North American retail locations. In addition, we closed 14 outlet stores, including 11 men‟s-only outlet locations, which we‟ve folded into existing stores, leveraging the team and cross shopping opportunity. And, as noted in our previous calls, in January we closed two outlet stores identified as a part of our „learning agenda‟
</t>
        </r>
        <r>
          <rPr>
            <sz val="9"/>
            <color indexed="81"/>
            <rFont val="Tahoma"/>
            <family val="2"/>
          </rPr>
          <t xml:space="preserve">
8/7/14: Closing 70 under-performing stores and re-build 3 flagships in top 12 markets
6/19/14 analyst day: closing 70 under-performing FP NA stores, invest in flagships and fleet renovations in top 12 markets</t>
        </r>
      </text>
    </comment>
    <comment ref="W48" authorId="0">
      <text>
        <r>
          <rPr>
            <b/>
            <sz val="9"/>
            <color indexed="81"/>
            <rFont val="Tahoma"/>
            <family val="2"/>
          </rPr>
          <t>casselau:
10/26/15: expect to close ~20 retail stores and few outlet stores on a net basis</t>
        </r>
        <r>
          <rPr>
            <sz val="9"/>
            <color indexed="81"/>
            <rFont val="Tahoma"/>
            <family val="2"/>
          </rPr>
          <t xml:space="preserve">
8/4/15: expect to close an additional 10-15 more retail stores</t>
        </r>
      </text>
    </comment>
    <comment ref="W49" authorId="0">
      <text>
        <r>
          <rPr>
            <b/>
            <sz val="9"/>
            <color indexed="81"/>
            <rFont val="Tahoma"/>
            <family val="2"/>
          </rPr>
          <t>casselau:</t>
        </r>
        <r>
          <rPr>
            <sz val="9"/>
            <color indexed="81"/>
            <rFont val="Tahoma"/>
            <family val="2"/>
          </rPr>
          <t xml:space="preserve">
8/4/15: plan on folding three remaining Men's retail stores into existing locations</t>
        </r>
      </text>
    </comment>
    <comment ref="V50" authorId="5">
      <text>
        <r>
          <rPr>
            <b/>
            <sz val="9"/>
            <color indexed="81"/>
            <rFont val="Tahoma"/>
            <family val="2"/>
          </rPr>
          <t>turleamb:</t>
        </r>
        <r>
          <rPr>
            <sz val="9"/>
            <color indexed="81"/>
            <rFont val="Tahoma"/>
            <family val="2"/>
          </rPr>
          <t xml:space="preserve">
8/7/14: Plan to close 15 outlets in NA
6/19/14 analyst day: closure of 2 outlets in key MSAs</t>
        </r>
      </text>
    </comment>
    <comment ref="W50" authorId="0">
      <text>
        <r>
          <rPr>
            <b/>
            <sz val="9"/>
            <color indexed="81"/>
            <rFont val="Tahoma"/>
            <family val="2"/>
          </rPr>
          <t>casselau:</t>
        </r>
        <r>
          <rPr>
            <sz val="9"/>
            <color indexed="81"/>
            <rFont val="Tahoma"/>
            <family val="2"/>
          </rPr>
          <t xml:space="preserve">
8/4/15: expect to close a few outlet stores on a net basis </t>
        </r>
      </text>
    </comment>
    <comment ref="V51" authorId="5">
      <text>
        <r>
          <rPr>
            <b/>
            <sz val="9"/>
            <color indexed="81"/>
            <rFont val="Tahoma"/>
            <family val="2"/>
          </rPr>
          <t>turleamb:</t>
        </r>
        <r>
          <rPr>
            <sz val="9"/>
            <color indexed="81"/>
            <rFont val="Tahoma"/>
            <family val="2"/>
          </rPr>
          <t xml:space="preserve">
6/19/14 analyst day: consolidation of 13 mens outlet stores into womens</t>
        </r>
      </text>
    </comment>
    <comment ref="V53" authorId="0">
      <text>
        <r>
          <rPr>
            <b/>
            <sz val="9"/>
            <color indexed="81"/>
            <rFont val="Tahoma"/>
            <family val="2"/>
          </rPr>
          <t>casselau:</t>
        </r>
        <r>
          <rPr>
            <sz val="9"/>
            <color indexed="81"/>
            <rFont val="Tahoma"/>
            <family val="2"/>
          </rPr>
          <t xml:space="preserve">
net decline of two locations in Japan, but a 1% increase in square footage given the opening of the Shinjuku flagship</t>
        </r>
      </text>
    </comment>
    <comment ref="W53" authorId="0">
      <text>
        <r>
          <rPr>
            <b/>
            <sz val="9"/>
            <color indexed="81"/>
            <rFont val="Tahoma"/>
            <family val="2"/>
          </rPr>
          <t>casselau:</t>
        </r>
        <r>
          <rPr>
            <sz val="9"/>
            <color indexed="81"/>
            <rFont val="Tahoma"/>
            <family val="2"/>
          </rPr>
          <t xml:space="preserve">
expect to close about 5-10 net locations</t>
        </r>
      </text>
    </comment>
    <comment ref="X53" authorId="9">
      <text>
        <r>
          <rPr>
            <b/>
            <sz val="9"/>
            <color indexed="81"/>
            <rFont val="Tahoma"/>
            <family val="2"/>
          </rPr>
          <t>Cassel, Lauren (Research):</t>
        </r>
        <r>
          <rPr>
            <sz val="9"/>
            <color indexed="81"/>
            <rFont val="Tahoma"/>
            <family val="2"/>
          </rPr>
          <t xml:space="preserve">
in Japan, we are planning
for additional store closures, resulting in a mid-single digit decline in square footage.</t>
        </r>
      </text>
    </comment>
    <comment ref="V54" authorId="4">
      <text>
        <r>
          <rPr>
            <b/>
            <sz val="9"/>
            <color indexed="81"/>
            <rFont val="Tahoma"/>
            <family val="2"/>
          </rPr>
          <t>Turley, Amber (Research):</t>
        </r>
        <r>
          <rPr>
            <sz val="9"/>
            <color indexed="81"/>
            <rFont val="Tahoma"/>
            <family val="2"/>
          </rPr>
          <t xml:space="preserve">
1/29/15: Could have ~10 closures in China</t>
        </r>
      </text>
    </comment>
    <comment ref="W54" authorId="0">
      <text>
        <r>
          <rPr>
            <b/>
            <sz val="9"/>
            <color indexed="81"/>
            <rFont val="Tahoma"/>
            <family val="2"/>
          </rPr>
          <t>casselau:</t>
        </r>
        <r>
          <rPr>
            <sz val="9"/>
            <color indexed="81"/>
            <rFont val="Tahoma"/>
            <family val="2"/>
          </rPr>
          <t xml:space="preserve">
8/4/15: expect to close 5-10</t>
        </r>
      </text>
    </comment>
    <comment ref="A61" authorId="1">
      <text>
        <r>
          <rPr>
            <b/>
            <sz val="8"/>
            <color indexed="81"/>
            <rFont val="Tahoma"/>
            <family val="2"/>
          </rPr>
          <t>mm98285:</t>
        </r>
        <r>
          <rPr>
            <sz val="8"/>
            <color indexed="81"/>
            <rFont val="Tahoma"/>
            <family val="2"/>
          </rPr>
          <t xml:space="preserve">
3/09: can support 500 retail stores in N.A. including 30 in Canada; can support 180 locations in Japan
8/06: 10K states 400 retail store and 110 factory store potential in N.A. and 180 store potential in Japan</t>
        </r>
      </text>
    </comment>
    <comment ref="T61" authorId="3">
      <text>
        <r>
          <rPr>
            <b/>
            <sz val="8"/>
            <color indexed="81"/>
            <rFont val="Tahoma"/>
            <family val="2"/>
          </rPr>
          <t>solejay:</t>
        </r>
        <r>
          <rPr>
            <sz val="8"/>
            <color indexed="81"/>
            <rFont val="Tahoma"/>
            <family val="2"/>
          </rPr>
          <t xml:space="preserve">
7/30/2013 - Turning to global distribution, during the fourth quarter, we opened three new North American retail stores and closed four others.  We also opened two factory stores – including one dedicated Men’s store. At the end of FY13 there were 351 full price and 193 factory stores in operation in North America. Total square footage grew 11% for the year. 
Moving to China, during the quarter we added eight new locations on the Mainland, bringing the total to 126 Coach locations in China, including 108 locations on the Mainland in 47 cities.  In aggregate, there was an increase of 30 net new locations for the fiscal year, for a square footage increase of 33%. 
In Japan, seven locations were added during the quarter, bringing the total to 198 with 24 stand-alone full price stores including 9 flagships, 124 shop-in-shops, 43 factory stores and 7 distributor-operated wholesale locations.  In total, a net of 11 locations were added in Japan during FY13, yielding total square footage growth of about 9%. 
We also directly operate 92 locations in Asia comprised of 48 in Korea, 27 in Taiwan, 10 in Malaysia and 7 in Singapore. 
</t>
        </r>
      </text>
    </comment>
    <comment ref="Y61" authorId="9">
      <text>
        <r>
          <rPr>
            <b/>
            <sz val="9"/>
            <color indexed="81"/>
            <rFont val="Tahoma"/>
            <family val="2"/>
          </rPr>
          <t>Cassel, Lauren (Research):</t>
        </r>
        <r>
          <rPr>
            <sz val="9"/>
            <color indexed="81"/>
            <rFont val="Tahoma"/>
            <family val="2"/>
          </rPr>
          <t xml:space="preserve">
8/15/17: We expect 15 net closures globally for the Coach brand with net closures in North America and Japan partially offset by net openings in Europe and Mainland China.</t>
        </r>
      </text>
    </comment>
    <comment ref="Q62" authorId="7">
      <text>
        <r>
          <rPr>
            <b/>
            <sz val="8"/>
            <color indexed="81"/>
            <rFont val="Tahoma"/>
            <family val="2"/>
          </rPr>
          <t xml:space="preserve">8/10: 
</t>
        </r>
        <r>
          <rPr>
            <sz val="8"/>
            <color indexed="81"/>
            <rFont val="Tahoma"/>
            <family val="2"/>
          </rPr>
          <t>322 retail stores in US
20 retail stores in Canada</t>
        </r>
        <r>
          <rPr>
            <b/>
            <sz val="8"/>
            <color indexed="81"/>
            <rFont val="Tahoma"/>
            <family val="2"/>
          </rPr>
          <t xml:space="preserve">
oc48540:</t>
        </r>
        <r>
          <rPr>
            <sz val="8"/>
            <color indexed="81"/>
            <rFont val="Tahoma"/>
            <family val="2"/>
          </rPr>
          <t xml:space="preserve">
3Q07 Call: Total potential ~500 stores including 20 in Canada</t>
        </r>
      </text>
    </comment>
    <comment ref="R62" authorId="7">
      <text>
        <r>
          <rPr>
            <b/>
            <sz val="8"/>
            <color indexed="81"/>
            <rFont val="Tahoma"/>
            <family val="2"/>
          </rPr>
          <t xml:space="preserve">2010 10-K: </t>
        </r>
        <r>
          <rPr>
            <sz val="8"/>
            <color indexed="81"/>
            <rFont val="Tahoma"/>
            <family val="2"/>
          </rPr>
          <t>We believe that North America can support about 500 retail stores in total, including up to 30 in Canada. (Ex Men's?)</t>
        </r>
        <r>
          <rPr>
            <b/>
            <sz val="8"/>
            <color indexed="81"/>
            <rFont val="Tahoma"/>
            <family val="2"/>
          </rPr>
          <t xml:space="preserve">
oc48540:</t>
        </r>
        <r>
          <rPr>
            <sz val="8"/>
            <color indexed="81"/>
            <rFont val="Tahoma"/>
            <family val="2"/>
          </rPr>
          <t xml:space="preserve">
3Q07 Call: Total potential ~500 stores including 20 in Canada</t>
        </r>
      </text>
    </comment>
    <comment ref="S62" authorId="7">
      <text>
        <r>
          <rPr>
            <b/>
            <sz val="8"/>
            <color indexed="81"/>
            <rFont val="Tahoma"/>
            <family val="2"/>
          </rPr>
          <t xml:space="preserve">2010 10-K: </t>
        </r>
        <r>
          <rPr>
            <sz val="8"/>
            <color indexed="81"/>
            <rFont val="Tahoma"/>
            <family val="2"/>
          </rPr>
          <t>We believe that North America can support about 500 retail stores in total, including up to 30 in Canada.</t>
        </r>
        <r>
          <rPr>
            <b/>
            <sz val="8"/>
            <color indexed="81"/>
            <rFont val="Tahoma"/>
            <family val="2"/>
          </rPr>
          <t xml:space="preserve">
oc48540:</t>
        </r>
        <r>
          <rPr>
            <sz val="8"/>
            <color indexed="81"/>
            <rFont val="Tahoma"/>
            <family val="2"/>
          </rPr>
          <t xml:space="preserve">
3Q07 Call: Total potential ~500 stores including 20 in Canada</t>
        </r>
      </text>
    </comment>
    <comment ref="T62" authorId="7">
      <text>
        <r>
          <rPr>
            <b/>
            <sz val="8"/>
            <color indexed="81"/>
            <rFont val="Tahoma"/>
            <family val="2"/>
          </rPr>
          <t xml:space="preserve">2010 10-K: </t>
        </r>
        <r>
          <rPr>
            <sz val="8"/>
            <color indexed="81"/>
            <rFont val="Tahoma"/>
            <family val="2"/>
          </rPr>
          <t>We believe that North America can support about 500 retail stores in total, including up to 30 in Canada.</t>
        </r>
        <r>
          <rPr>
            <b/>
            <sz val="8"/>
            <color indexed="81"/>
            <rFont val="Tahoma"/>
            <family val="2"/>
          </rPr>
          <t xml:space="preserve">
oc48540:</t>
        </r>
        <r>
          <rPr>
            <sz val="8"/>
            <color indexed="81"/>
            <rFont val="Tahoma"/>
            <family val="2"/>
          </rPr>
          <t xml:space="preserve">
3Q07 Call: Total potential ~500 stores including 20 in Canada</t>
        </r>
      </text>
    </comment>
    <comment ref="U62" authorId="7">
      <text>
        <r>
          <rPr>
            <b/>
            <sz val="8"/>
            <color indexed="81"/>
            <rFont val="Tahoma"/>
            <family val="2"/>
          </rPr>
          <t xml:space="preserve">2010 10-K: </t>
        </r>
        <r>
          <rPr>
            <sz val="8"/>
            <color indexed="81"/>
            <rFont val="Tahoma"/>
            <family val="2"/>
          </rPr>
          <t>We believe that North America can support about 500 retail stores in total, including up to 30 in Canada.</t>
        </r>
        <r>
          <rPr>
            <b/>
            <sz val="8"/>
            <color indexed="81"/>
            <rFont val="Tahoma"/>
            <family val="2"/>
          </rPr>
          <t xml:space="preserve">
oc48540:</t>
        </r>
        <r>
          <rPr>
            <sz val="8"/>
            <color indexed="81"/>
            <rFont val="Tahoma"/>
            <family val="2"/>
          </rPr>
          <t xml:space="preserve">
3Q07 Call: Total potential ~500 stores including 20 in Canada</t>
        </r>
      </text>
    </comment>
    <comment ref="V62" authorId="7">
      <text>
        <r>
          <rPr>
            <b/>
            <sz val="8"/>
            <color indexed="81"/>
            <rFont val="Tahoma"/>
            <family val="2"/>
          </rPr>
          <t xml:space="preserve">2010 10-K: </t>
        </r>
        <r>
          <rPr>
            <sz val="8"/>
            <color indexed="81"/>
            <rFont val="Tahoma"/>
            <family val="2"/>
          </rPr>
          <t>We believe that North America can support about 500 retail stores in total, including up to 30 in Canada.</t>
        </r>
        <r>
          <rPr>
            <b/>
            <sz val="8"/>
            <color indexed="81"/>
            <rFont val="Tahoma"/>
            <family val="2"/>
          </rPr>
          <t xml:space="preserve">
oc48540:</t>
        </r>
        <r>
          <rPr>
            <sz val="8"/>
            <color indexed="81"/>
            <rFont val="Tahoma"/>
            <family val="2"/>
          </rPr>
          <t xml:space="preserve">
3Q07 Call: Total potential ~500 stores including 20 in Canada</t>
        </r>
      </text>
    </comment>
    <comment ref="Q64" authorId="6">
      <text>
        <r>
          <rPr>
            <b/>
            <sz val="8"/>
            <color indexed="81"/>
            <rFont val="Tahoma"/>
            <family val="2"/>
          </rPr>
          <t>lauraro:</t>
        </r>
        <r>
          <rPr>
            <sz val="8"/>
            <color indexed="81"/>
            <rFont val="Tahoma"/>
            <family val="2"/>
          </rPr>
          <t xml:space="preserve">
8/10: 
118 factory stores in US
3 factory stores in Canada</t>
        </r>
      </text>
    </comment>
    <comment ref="R64" authorId="6">
      <text>
        <r>
          <rPr>
            <b/>
            <sz val="8"/>
            <color indexed="81"/>
            <rFont val="Tahoma"/>
            <family val="2"/>
          </rPr>
          <t>lauraro:</t>
        </r>
        <r>
          <rPr>
            <sz val="8"/>
            <color indexed="81"/>
            <rFont val="Tahoma"/>
            <family val="2"/>
          </rPr>
          <t xml:space="preserve">
Expect up to 150? Ex Men's?</t>
        </r>
      </text>
    </comment>
    <comment ref="V64" authorId="5">
      <text>
        <r>
          <rPr>
            <b/>
            <sz val="9"/>
            <color indexed="81"/>
            <rFont val="Tahoma"/>
            <family val="2"/>
          </rPr>
          <t>turleamb:</t>
        </r>
        <r>
          <rPr>
            <sz val="9"/>
            <color indexed="81"/>
            <rFont val="Tahoma"/>
            <family val="2"/>
          </rPr>
          <t xml:space="preserve">
6/19/14 analyst day: 5 net NA factory outlet closures. 
10-K: Over the next few years expect to see modest to no growth in outlet store square footage </t>
        </r>
      </text>
    </comment>
    <comment ref="V65" authorId="5">
      <text>
        <r>
          <rPr>
            <b/>
            <sz val="9"/>
            <color indexed="81"/>
            <rFont val="Tahoma"/>
            <family val="2"/>
          </rPr>
          <t>turleamb:</t>
        </r>
        <r>
          <rPr>
            <sz val="9"/>
            <color indexed="81"/>
            <rFont val="Tahoma"/>
            <family val="2"/>
          </rPr>
          <t xml:space="preserve">
6/19/14 analyst day: 5 net NA factory outlet closures. </t>
        </r>
      </text>
    </comment>
    <comment ref="L66" authorId="1">
      <text>
        <r>
          <rPr>
            <sz val="8"/>
            <color indexed="81"/>
            <rFont val="Tahoma"/>
            <family val="2"/>
          </rPr>
          <t>103 excludes 3 wholesale loc's
106 locations in Japan, with 16full-price stores, including 7 flagships, 76 shopping shops, 11 factory stores, and 3 wholesale locations.</t>
        </r>
        <r>
          <rPr>
            <b/>
            <sz val="8"/>
            <color indexed="81"/>
            <rFont val="Tahoma"/>
            <family val="2"/>
          </rPr>
          <t xml:space="preserve">
mm98285:</t>
        </r>
        <r>
          <rPr>
            <sz val="8"/>
            <color indexed="81"/>
            <rFont val="Tahoma"/>
            <family val="2"/>
          </rPr>
          <t xml:space="preserve">
10K says 103
</t>
        </r>
        <r>
          <rPr>
            <b/>
            <sz val="8"/>
            <color indexed="81"/>
            <rFont val="Tahoma"/>
            <family val="2"/>
          </rPr>
          <t>lm37689:</t>
        </r>
        <r>
          <rPr>
            <sz val="8"/>
            <color indexed="81"/>
            <rFont val="Tahoma"/>
            <family val="2"/>
          </rPr>
          <t xml:space="preserve">
8/06 press release states 106</t>
        </r>
      </text>
    </comment>
    <comment ref="M67" authorId="1">
      <text>
        <r>
          <rPr>
            <sz val="8"/>
            <color indexed="81"/>
            <rFont val="Tahoma"/>
            <family val="2"/>
          </rPr>
          <t>122 locations in Japan with 20 full-price stores, including eight flagships, 87 shop and shops, 11 factory stores and four wholesale locations.</t>
        </r>
        <r>
          <rPr>
            <b/>
            <sz val="8"/>
            <color indexed="81"/>
            <rFont val="Tahoma"/>
            <family val="2"/>
          </rPr>
          <t xml:space="preserve">
mm98285:</t>
        </r>
        <r>
          <rPr>
            <sz val="8"/>
            <color indexed="81"/>
            <rFont val="Tahoma"/>
            <family val="2"/>
          </rPr>
          <t xml:space="preserve">
2006 10K says 118
122?</t>
        </r>
      </text>
    </comment>
    <comment ref="N67" authorId="1">
      <text>
        <r>
          <rPr>
            <b/>
            <sz val="8"/>
            <color indexed="81"/>
            <rFont val="Tahoma"/>
            <family val="2"/>
          </rPr>
          <t>mm98285:</t>
        </r>
        <r>
          <rPr>
            <sz val="8"/>
            <color indexed="81"/>
            <rFont val="Tahoma"/>
            <family val="2"/>
          </rPr>
          <t xml:space="preserve">
10K says 137 vs. press release said 142 (10K excludes 5 distributor operated locations)</t>
        </r>
      </text>
    </comment>
    <comment ref="P67" authorId="1">
      <text>
        <r>
          <rPr>
            <b/>
            <sz val="8"/>
            <color indexed="81"/>
            <rFont val="Tahoma"/>
            <family val="2"/>
          </rPr>
          <t>mm98285:</t>
        </r>
        <r>
          <rPr>
            <sz val="8"/>
            <color indexed="81"/>
            <rFont val="Tahoma"/>
            <family val="2"/>
          </rPr>
          <t xml:space="preserve">
160 stores includes 20 stand alone full price stores incl. 8 flagships, 113 shop-in-shops, 22 factory stores, 5 distributor operated locations</t>
        </r>
      </text>
    </comment>
    <comment ref="Q67" authorId="10">
      <text>
        <r>
          <rPr>
            <b/>
            <sz val="8"/>
            <color indexed="81"/>
            <rFont val="Tahoma"/>
            <family val="2"/>
          </rPr>
          <t>nicholjs:</t>
        </r>
        <r>
          <rPr>
            <sz val="8"/>
            <color indexed="81"/>
            <rFont val="Tahoma"/>
            <family val="2"/>
          </rPr>
          <t xml:space="preserve">
10K: 167 total locations, with 20 standalone full price stores including 8 flagships, 116 shop in shops, 25 factory stores and 6 duty free locations</t>
        </r>
      </text>
    </comment>
    <comment ref="R67" authorId="1">
      <text>
        <r>
          <rPr>
            <b/>
            <sz val="8"/>
            <color indexed="81"/>
            <rFont val="Tahoma"/>
            <family val="2"/>
          </rPr>
          <t xml:space="preserve">8/2/11: </t>
        </r>
        <r>
          <rPr>
            <sz val="8"/>
            <color indexed="81"/>
            <rFont val="Tahoma"/>
            <family val="2"/>
          </rPr>
          <t xml:space="preserve">net nine stores added, one of them duty-free location.  Total 7 Mens today.
</t>
        </r>
        <r>
          <rPr>
            <sz val="8"/>
            <color indexed="81"/>
            <rFont val="Tahoma"/>
            <family val="2"/>
          </rPr>
          <t xml:space="preserve">
5/10: can support ~180 stores, ex Men's?
2/08: can support ~180 stores</t>
        </r>
      </text>
    </comment>
    <comment ref="S67" authorId="1">
      <text>
        <r>
          <rPr>
            <sz val="8"/>
            <color indexed="81"/>
            <rFont val="Tahoma"/>
            <family val="2"/>
          </rPr>
          <t>7/31  - seven duty-free locations not included
"At year end there were 187 total locations in Japan with 23 stand-alone full price stores including 8 flagships, 122 shop-in-shops, 35 factory stores and seven duty-free locations.  In total, a net of 11 locations were added in Japan during FY12, and three were expanded, yielding total square footage growth of about 6%."
5/10: can support ~180 stores
2/08: can support ~180 stores</t>
        </r>
      </text>
    </comment>
    <comment ref="T67" authorId="1">
      <text>
        <r>
          <rPr>
            <sz val="8"/>
            <color indexed="81"/>
            <rFont val="Tahoma"/>
            <family val="2"/>
          </rPr>
          <t>5/10: can support ~180 stores
2/08: can support ~180 stores</t>
        </r>
      </text>
    </comment>
    <comment ref="U67" authorId="1">
      <text>
        <r>
          <rPr>
            <sz val="8"/>
            <color indexed="81"/>
            <rFont val="Tahoma"/>
            <family val="2"/>
          </rPr>
          <t>5/10: can support ~180 stores
2/08: can support ~180 stores</t>
        </r>
      </text>
    </comment>
    <comment ref="V67" authorId="1">
      <text>
        <r>
          <rPr>
            <sz val="8"/>
            <color indexed="81"/>
            <rFont val="Tahoma"/>
            <family val="2"/>
          </rPr>
          <t>8/19/14 10-K: COH Japan plans to maintain a relatively consistent store count over the next several years. 
5/10: can support ~180 stores
2/08: can support ~180 stores</t>
        </r>
      </text>
    </comment>
    <comment ref="W67" authorId="4">
      <text>
        <r>
          <rPr>
            <b/>
            <sz val="9"/>
            <color indexed="81"/>
            <rFont val="Tahoma"/>
            <family val="2"/>
          </rPr>
          <t>Turley, Amber (Research):</t>
        </r>
        <r>
          <rPr>
            <sz val="9"/>
            <color indexed="81"/>
            <rFont val="Tahoma"/>
            <family val="2"/>
          </rPr>
          <t xml:space="preserve">
8/19/14 10-K: COH Japan plans to maintain a relatively consistent store count over the next several years. </t>
        </r>
      </text>
    </comment>
    <comment ref="X67" authorId="4">
      <text>
        <r>
          <rPr>
            <b/>
            <sz val="9"/>
            <color indexed="81"/>
            <rFont val="Tahoma"/>
            <family val="2"/>
          </rPr>
          <t>Turley, Amber (Research):</t>
        </r>
        <r>
          <rPr>
            <sz val="9"/>
            <color indexed="81"/>
            <rFont val="Tahoma"/>
            <family val="2"/>
          </rPr>
          <t xml:space="preserve">
8/19/14 10-K: COH Japan plans to maintain a relatively consistent store count over the next several years. </t>
        </r>
      </text>
    </comment>
    <comment ref="A68" authorId="1">
      <text>
        <r>
          <rPr>
            <b/>
            <sz val="8"/>
            <color indexed="81"/>
            <rFont val="Tahoma"/>
            <family val="2"/>
          </rPr>
          <t>mm98285:</t>
        </r>
        <r>
          <rPr>
            <sz val="8"/>
            <color indexed="81"/>
            <rFont val="Tahoma"/>
            <family val="2"/>
          </rPr>
          <t xml:space="preserve">
5/08: Over the next 5 years, we expect to open over 50 new locations</t>
        </r>
      </text>
    </comment>
    <comment ref="N68" authorId="1">
      <text>
        <r>
          <rPr>
            <b/>
            <sz val="8"/>
            <color indexed="81"/>
            <rFont val="Tahoma"/>
            <family val="2"/>
          </rPr>
          <t>mm98285:</t>
        </r>
        <r>
          <rPr>
            <sz val="8"/>
            <color indexed="81"/>
            <rFont val="Tahoma"/>
            <family val="2"/>
          </rPr>
          <t xml:space="preserve">
operated by ImagineX group in FY 2007 and 2008 and included in "indirect sales"</t>
        </r>
      </text>
    </comment>
    <comment ref="O68" authorId="1">
      <text>
        <r>
          <rPr>
            <b/>
            <sz val="8"/>
            <color indexed="81"/>
            <rFont val="Tahoma"/>
            <family val="2"/>
          </rPr>
          <t>mm98285:</t>
        </r>
        <r>
          <rPr>
            <sz val="8"/>
            <color indexed="81"/>
            <rFont val="Tahoma"/>
            <family val="2"/>
          </rPr>
          <t xml:space="preserve">
operated by ImagineX group in FY 2007 and 2008 and included in "indirect sales"</t>
        </r>
      </text>
    </comment>
    <comment ref="Q68" authorId="10">
      <text>
        <r>
          <rPr>
            <b/>
            <sz val="8"/>
            <color indexed="81"/>
            <rFont val="Tahoma"/>
            <family val="2"/>
          </rPr>
          <t>nicholjs:</t>
        </r>
        <r>
          <rPr>
            <sz val="8"/>
            <color indexed="81"/>
            <rFont val="Tahoma"/>
            <family val="2"/>
          </rPr>
          <t xml:space="preserve">
41 locations in China -- including, 29 locations on the mainland in 13 cities. 15 of these stores were in tier one cities, 10 in tier two cities, and four in tier three cities. In addition, there are 10 locations in Hong Kong and two in Macau.</t>
        </r>
      </text>
    </comment>
    <comment ref="V68" authorId="0">
      <text>
        <r>
          <rPr>
            <b/>
            <sz val="9"/>
            <color indexed="81"/>
            <rFont val="Tahoma"/>
            <family val="2"/>
          </rPr>
          <t>casselau:</t>
        </r>
        <r>
          <rPr>
            <sz val="9"/>
            <color indexed="81"/>
            <rFont val="Tahoma"/>
            <family val="2"/>
          </rPr>
          <t xml:space="preserve">
8/4/15: we opened 21 new locations but closed only three locations for a total of 18 net new locations, taking us to 171 in total</t>
        </r>
      </text>
    </comment>
    <comment ref="U74" authorId="4">
      <text>
        <r>
          <rPr>
            <b/>
            <sz val="9"/>
            <color indexed="81"/>
            <rFont val="Tahoma"/>
            <family val="2"/>
          </rPr>
          <t>Turley, Amber (Research):</t>
        </r>
        <r>
          <rPr>
            <sz val="9"/>
            <color indexed="81"/>
            <rFont val="Tahoma"/>
            <family val="2"/>
          </rPr>
          <t xml:space="preserve">
8/5/14: located across UK, France, Ireland, Spain, Portugal, Germany and Italy</t>
        </r>
      </text>
    </comment>
    <comment ref="A79" authorId="0">
      <text>
        <r>
          <rPr>
            <b/>
            <sz val="9"/>
            <color indexed="81"/>
            <rFont val="Tahoma"/>
            <family val="2"/>
          </rPr>
          <t>casselau:</t>
        </r>
        <r>
          <rPr>
            <sz val="9"/>
            <color indexed="81"/>
            <rFont val="Tahoma"/>
            <family val="2"/>
          </rPr>
          <t xml:space="preserve">
assumes 90% of NA sales are direct; 10% indirect
</t>
        </r>
      </text>
    </comment>
    <comment ref="V86" authorId="4">
      <text>
        <r>
          <rPr>
            <b/>
            <sz val="9"/>
            <color indexed="81"/>
            <rFont val="Tahoma"/>
            <family val="2"/>
          </rPr>
          <t xml:space="preserve">8/4/15: In total, our square footage in North America declined 6% for the year. 
</t>
        </r>
        <r>
          <rPr>
            <sz val="9"/>
            <color indexed="81"/>
            <rFont val="Tahoma"/>
            <family val="2"/>
          </rPr>
          <t xml:space="preserve">
8/5/14: expect 2% sw.ft. growth</t>
        </r>
      </text>
    </comment>
    <comment ref="W86" authorId="0">
      <text>
        <r>
          <rPr>
            <b/>
            <sz val="9"/>
            <color indexed="81"/>
            <rFont val="Tahoma"/>
            <family val="2"/>
          </rPr>
          <t>casselau:</t>
        </r>
        <r>
          <rPr>
            <sz val="9"/>
            <color indexed="81"/>
            <rFont val="Tahoma"/>
            <family val="2"/>
          </rPr>
          <t xml:space="preserve">
8/4/15: expect NA square footage flat; taken together in FY16, we would expect our global Coach brand footprint across channels and geographies to be up low-single-digits in square footage.</t>
        </r>
      </text>
    </comment>
    <comment ref="X86" authorId="9">
      <text>
        <r>
          <rPr>
            <b/>
            <sz val="9"/>
            <color indexed="81"/>
            <rFont val="Tahoma"/>
            <family val="2"/>
          </rPr>
          <t xml:space="preserve">Cassel, Lauren (Research):
1/31/17: In FY17 we continue to expect our Coach brand directly operated square footage to grow low single digits globally. This guidance assumes that Coach brand directly operated square footage in North America will decline slightly with net store closures in both our retail and outlet channels. Internationally we expect a mid single-digit increase in square footage led by significant growth in Europe and a mid single-digit increase in mainland China partially offset by a low double-digit square footage decline in Japan as well as a modest unit decrease in Hong Kong and Macau. In our other directly operated businesses in Asia, we expect little change in both units and square footage. </t>
        </r>
        <r>
          <rPr>
            <sz val="9"/>
            <color indexed="81"/>
            <rFont val="Tahoma"/>
            <family val="2"/>
          </rPr>
          <t xml:space="preserve">
In FY17, we continue to expect our Coach brand directly-operated square footage to grow low-single-digits globally. This guidance assumes that Coach brand directly operated square footage in North America will decline slightly with net store closures in both our retail and outlet channels. Internationally, we expect a mid-single digit increase in square footage led by significant growth in Europe and a mid-single digit increase in Mainland China, partially offset by a high-single digit square footage decline in Japan, as well as a modest unit decrease in Hong Kong and Macau. In our other directly operated business in Asia, we expect little change in both units and square footage.</t>
        </r>
      </text>
    </comment>
    <comment ref="A88" authorId="2">
      <text>
        <r>
          <rPr>
            <b/>
            <sz val="8"/>
            <color indexed="81"/>
            <rFont val="Tahoma"/>
            <family val="2"/>
          </rPr>
          <t>LM37689:</t>
        </r>
        <r>
          <rPr>
            <sz val="8"/>
            <color indexed="81"/>
            <rFont val="Tahoma"/>
            <family val="2"/>
          </rPr>
          <t xml:space="preserve">
sum of Retail, Factory, and Coach Japan and China stores</t>
        </r>
      </text>
    </comment>
    <comment ref="F88" authorId="2">
      <text>
        <r>
          <rPr>
            <b/>
            <sz val="8"/>
            <color indexed="81"/>
            <rFont val="Tahoma"/>
            <family val="2"/>
          </rPr>
          <t>LM37689:</t>
        </r>
        <r>
          <rPr>
            <sz val="8"/>
            <color indexed="81"/>
            <rFont val="Tahoma"/>
            <family val="2"/>
          </rPr>
          <t xml:space="preserve">
includes only North America Retail and Factory Stores</t>
        </r>
      </text>
    </comment>
    <comment ref="O89" authorId="1">
      <text>
        <r>
          <rPr>
            <b/>
            <sz val="8"/>
            <color indexed="81"/>
            <rFont val="Tahoma"/>
            <family val="2"/>
          </rPr>
          <t>mm98285:</t>
        </r>
        <r>
          <rPr>
            <sz val="8"/>
            <color indexed="81"/>
            <rFont val="Tahoma"/>
            <family val="2"/>
          </rPr>
          <t xml:space="preserve">
1/08: guided to 20% sq ft growth (includes 1-2% from int'l growth ex Japan)</t>
        </r>
      </text>
    </comment>
    <comment ref="R89" authorId="6">
      <text>
        <r>
          <rPr>
            <b/>
            <sz val="8"/>
            <color indexed="81"/>
            <rFont val="Tahoma"/>
            <family val="2"/>
          </rPr>
          <t>lauraro:</t>
        </r>
        <r>
          <rPr>
            <sz val="8"/>
            <color indexed="81"/>
            <rFont val="Tahoma"/>
            <family val="2"/>
          </rPr>
          <t xml:space="preserve">
1/11: Reit +10% in FY11
8/10: Exp sq ftge to grow 10% in FY11</t>
        </r>
      </text>
    </comment>
    <comment ref="S89" authorId="6">
      <text>
        <r>
          <rPr>
            <b/>
            <sz val="8"/>
            <color indexed="81"/>
            <rFont val="Tahoma"/>
            <family val="2"/>
          </rPr>
          <t xml:space="preserve">lauraro:
4/24: </t>
        </r>
        <r>
          <rPr>
            <sz val="8"/>
            <color indexed="81"/>
            <rFont val="Tahoma"/>
            <family val="2"/>
          </rPr>
          <t>expect 13% this year</t>
        </r>
        <r>
          <rPr>
            <sz val="8"/>
            <color indexed="81"/>
            <rFont val="Tahoma"/>
            <family val="2"/>
          </rPr>
          <t xml:space="preserve">
Expect 12% this year</t>
        </r>
      </text>
    </comment>
    <comment ref="T89" authorId="3">
      <text>
        <r>
          <rPr>
            <sz val="10"/>
            <color indexed="81"/>
            <rFont val="Tahoma"/>
            <family val="2"/>
          </rPr>
          <t>7/30/13: CEO - "We expect that our square footage, globally, and across all channels, will increase about 9% in FY14 compared to 11% in FY13."
7/31/12: CEO - "We expect that our square footage, globally, and across all channels, will increase about 12% in FY13, consistent with last year"</t>
        </r>
      </text>
    </comment>
    <comment ref="U89" authorId="3">
      <text>
        <r>
          <rPr>
            <sz val="10"/>
            <color indexed="81"/>
            <rFont val="Tahoma"/>
            <family val="2"/>
          </rPr>
          <t>4/29/14: Believe square footage will grow 7% in FY14, slightly below initial 9% guidance primarily due to NA wholesale where COH purposefully deferred some  openings and case line to open self-conversions to align with next generation retail store design. 
1/22/14: We still expect that our square footage globally and across all channels will increase around 9% in FY '14, consistent with prior guidance
7/30/13: CEO - "We expect that our square footage, globally, and across all channels, will increase about 9% in FY14 compared to 11% in FY13."
7/31/12: CEO - "We expect that our square footage, globally, and across all channels, will increase about 12% in FY13, consistent with last year"</t>
        </r>
      </text>
    </comment>
    <comment ref="V92" authorId="4">
      <text>
        <r>
          <rPr>
            <b/>
            <sz val="9"/>
            <color indexed="81"/>
            <rFont val="Tahoma"/>
            <family val="2"/>
          </rPr>
          <t>Turley, Amber (Research):</t>
        </r>
        <r>
          <rPr>
            <sz val="9"/>
            <color indexed="81"/>
            <rFont val="Tahoma"/>
            <family val="2"/>
          </rPr>
          <t xml:space="preserve">
8/5/14: expect 2% sw.ft. growth</t>
        </r>
      </text>
    </comment>
    <comment ref="A94" authorId="11">
      <text>
        <r>
          <rPr>
            <b/>
            <sz val="8"/>
            <color indexed="81"/>
            <rFont val="Tahoma"/>
            <family val="2"/>
          </rPr>
          <t>Debbie Ong:</t>
        </r>
        <r>
          <rPr>
            <sz val="8"/>
            <color indexed="81"/>
            <rFont val="Tahoma"/>
            <family val="2"/>
          </rPr>
          <t xml:space="preserve">
reflects impact of opening and closing stores throughout the year</t>
        </r>
      </text>
    </comment>
    <comment ref="O97" authorId="1">
      <text>
        <r>
          <rPr>
            <b/>
            <sz val="8"/>
            <color indexed="81"/>
            <rFont val="Tahoma"/>
            <family val="2"/>
          </rPr>
          <t>mm98285:</t>
        </r>
        <r>
          <rPr>
            <sz val="8"/>
            <color indexed="81"/>
            <rFont val="Tahoma"/>
            <family val="2"/>
          </rPr>
          <t xml:space="preserve">
expect comps 6-8%</t>
        </r>
      </text>
    </comment>
    <comment ref="X97" authorId="5">
      <text>
        <r>
          <rPr>
            <b/>
            <sz val="9"/>
            <color indexed="81"/>
            <rFont val="Tahoma"/>
            <family val="2"/>
          </rPr>
          <t>turleamb:</t>
        </r>
        <r>
          <rPr>
            <sz val="9"/>
            <color indexed="81"/>
            <rFont val="Tahoma"/>
            <family val="2"/>
          </rPr>
          <t xml:space="preserve">
6/19/14 analyst day: expect positive comp</t>
        </r>
      </text>
    </comment>
    <comment ref="R101" authorId="6">
      <text>
        <r>
          <rPr>
            <b/>
            <sz val="8"/>
            <color indexed="81"/>
            <rFont val="Tahoma"/>
            <family val="2"/>
          </rPr>
          <t>lauraro:</t>
        </r>
        <r>
          <rPr>
            <sz val="8"/>
            <color indexed="81"/>
            <rFont val="Tahoma"/>
            <family val="2"/>
          </rPr>
          <t xml:space="preserve">
1/11: Exp +8% in FY11</t>
        </r>
      </text>
    </comment>
    <comment ref="S101" authorId="6">
      <text>
        <r>
          <rPr>
            <b/>
            <sz val="8"/>
            <color indexed="81"/>
            <rFont val="Tahoma"/>
            <family val="2"/>
          </rPr>
          <t>lauraro:</t>
        </r>
        <r>
          <rPr>
            <sz val="8"/>
            <color indexed="81"/>
            <rFont val="Tahoma"/>
            <family val="2"/>
          </rPr>
          <t xml:space="preserve">
10/25/11: North American square footage growth of about 7% this year, in line with last year, but primarily driven by Men’s</t>
        </r>
      </text>
    </comment>
    <comment ref="N102" authorId="2">
      <text>
        <r>
          <rPr>
            <b/>
            <sz val="8"/>
            <color indexed="81"/>
            <rFont val="Tahoma"/>
            <family val="2"/>
          </rPr>
          <t>LM37689:</t>
        </r>
        <r>
          <rPr>
            <sz val="8"/>
            <color indexed="81"/>
            <rFont val="Tahoma"/>
            <family val="2"/>
          </rPr>
          <t xml:space="preserve">
1/07 +40 new stores = +100K sq ft and +6K sq ft from 7 store expansions
10/06: +30 new stores = +80K sq ft and +7K sq ft from 8 store expansions
as per 8/06 earnings call: expect new stores to add 100,000 sqft</t>
        </r>
      </text>
    </comment>
    <comment ref="O102" authorId="1">
      <text>
        <r>
          <rPr>
            <b/>
            <sz val="8"/>
            <color indexed="81"/>
            <rFont val="Tahoma"/>
            <family val="2"/>
          </rPr>
          <t>mm98285:</t>
        </r>
        <r>
          <rPr>
            <sz val="8"/>
            <color indexed="81"/>
            <rFont val="Tahoma"/>
            <family val="2"/>
          </rPr>
          <t xml:space="preserve">
10K: 18 retail stores expanded 
1/08: 40 new stores and 20 expansions
3Q07 Call: 40 new stores + 10 retail expansions… exp sq ft gr similar to 2007
includes estimate of 8K sq ft for expansion</t>
        </r>
      </text>
    </comment>
    <comment ref="P102" authorId="1">
      <text>
        <r>
          <rPr>
            <b/>
            <sz val="8"/>
            <color indexed="81"/>
            <rFont val="Tahoma"/>
            <family val="2"/>
          </rPr>
          <t>mm98285:</t>
        </r>
        <r>
          <rPr>
            <sz val="8"/>
            <color indexed="81"/>
            <rFont val="Tahoma"/>
            <family val="2"/>
          </rPr>
          <t xml:space="preserve">
includes estimate of 8K sq ft for expansion</t>
        </r>
      </text>
    </comment>
    <comment ref="Q102" authorId="1">
      <text>
        <r>
          <rPr>
            <b/>
            <sz val="8"/>
            <color indexed="81"/>
            <rFont val="Tahoma"/>
            <family val="2"/>
          </rPr>
          <t>mm98285:</t>
        </r>
        <r>
          <rPr>
            <sz val="8"/>
            <color indexed="81"/>
            <rFont val="Tahoma"/>
            <family val="2"/>
          </rPr>
          <t xml:space="preserve">
includes estimate of 8K sq ft for expansion</t>
        </r>
      </text>
    </comment>
    <comment ref="R102" authorId="1">
      <text>
        <r>
          <rPr>
            <b/>
            <sz val="8"/>
            <color indexed="81"/>
            <rFont val="Tahoma"/>
            <family val="2"/>
          </rPr>
          <t xml:space="preserve">8/10:
</t>
        </r>
        <r>
          <rPr>
            <sz val="8"/>
            <color indexed="81"/>
            <rFont val="Tahoma"/>
            <family val="2"/>
          </rPr>
          <t>Expect 8% sq ftge growth in NA in FY11</t>
        </r>
        <r>
          <rPr>
            <b/>
            <sz val="8"/>
            <color indexed="81"/>
            <rFont val="Tahoma"/>
            <family val="2"/>
          </rPr>
          <t xml:space="preserve">
mm98285:</t>
        </r>
        <r>
          <rPr>
            <sz val="8"/>
            <color indexed="81"/>
            <rFont val="Tahoma"/>
            <family val="2"/>
          </rPr>
          <t xml:space="preserve">
includes estimate of sq ft for expansion</t>
        </r>
      </text>
    </comment>
    <comment ref="V102" authorId="4">
      <text>
        <r>
          <rPr>
            <b/>
            <sz val="9"/>
            <color indexed="81"/>
            <rFont val="Tahoma"/>
            <family val="2"/>
          </rPr>
          <t>Turley, Amber (Research):</t>
        </r>
        <r>
          <rPr>
            <sz val="9"/>
            <color indexed="81"/>
            <rFont val="Tahoma"/>
            <family val="2"/>
          </rPr>
          <t xml:space="preserve">
adjusted to account for expansions. </t>
        </r>
      </text>
    </comment>
    <comment ref="N103" authorId="1">
      <text>
        <r>
          <rPr>
            <b/>
            <sz val="8"/>
            <color indexed="81"/>
            <rFont val="Tahoma"/>
            <family val="2"/>
          </rPr>
          <t>mm98285:</t>
        </r>
        <r>
          <rPr>
            <sz val="8"/>
            <color indexed="81"/>
            <rFont val="Tahoma"/>
            <family val="2"/>
          </rPr>
          <t xml:space="preserve">
12/06: expect atleast 14% growth</t>
        </r>
      </text>
    </comment>
    <comment ref="W104" authorId="9">
      <text>
        <r>
          <rPr>
            <b/>
            <sz val="9"/>
            <color indexed="81"/>
            <rFont val="Tahoma"/>
            <family val="2"/>
          </rPr>
          <t>Cassel, Lauren (Research):</t>
        </r>
        <r>
          <rPr>
            <sz val="9"/>
            <color indexed="81"/>
            <rFont val="Tahoma"/>
            <family val="2"/>
          </rPr>
          <t xml:space="preserve">
above number includes mens</t>
        </r>
      </text>
    </comment>
    <comment ref="N106" authorId="2">
      <text>
        <r>
          <rPr>
            <b/>
            <sz val="8"/>
            <color indexed="81"/>
            <rFont val="Tahoma"/>
            <family val="2"/>
          </rPr>
          <t>LM37689:</t>
        </r>
        <r>
          <rPr>
            <sz val="8"/>
            <color indexed="81"/>
            <rFont val="Tahoma"/>
            <family val="2"/>
          </rPr>
          <t xml:space="preserve">
1/07: 7 new stores and 7 expansions = +40K sq ft
10/06: +4 stores (20K) &amp; 8 expansions (6K) = +26K sq ft
as per 8/06 earnings call: expect new stores to add 100,000 sqft</t>
        </r>
      </text>
    </comment>
    <comment ref="O106" authorId="1">
      <text>
        <r>
          <rPr>
            <b/>
            <sz val="8"/>
            <color indexed="81"/>
            <rFont val="Tahoma"/>
            <family val="2"/>
          </rPr>
          <t>mm98285:</t>
        </r>
        <r>
          <rPr>
            <sz val="8"/>
            <color indexed="81"/>
            <rFont val="Tahoma"/>
            <family val="2"/>
          </rPr>
          <t xml:space="preserve">
10K expanded 19 factory stores
includes estimate of 25K sq ft for expansion</t>
        </r>
      </text>
    </comment>
    <comment ref="P106" authorId="1">
      <text>
        <r>
          <rPr>
            <b/>
            <sz val="8"/>
            <color indexed="81"/>
            <rFont val="Tahoma"/>
            <family val="2"/>
          </rPr>
          <t>mm98285:</t>
        </r>
        <r>
          <rPr>
            <sz val="8"/>
            <color indexed="81"/>
            <rFont val="Tahoma"/>
            <family val="2"/>
          </rPr>
          <t xml:space="preserve">
includes estimate of 10K sq ft for expansion</t>
        </r>
      </text>
    </comment>
    <comment ref="Q106" authorId="1">
      <text>
        <r>
          <rPr>
            <b/>
            <sz val="8"/>
            <color indexed="81"/>
            <rFont val="Tahoma"/>
            <family val="2"/>
          </rPr>
          <t>mm98285:</t>
        </r>
        <r>
          <rPr>
            <sz val="8"/>
            <color indexed="81"/>
            <rFont val="Tahoma"/>
            <family val="2"/>
          </rPr>
          <t xml:space="preserve">
includes estimate of 10K sq ft for expansion</t>
        </r>
      </text>
    </comment>
    <comment ref="R106" authorId="1">
      <text>
        <r>
          <rPr>
            <b/>
            <sz val="8"/>
            <color indexed="81"/>
            <rFont val="Tahoma"/>
            <family val="2"/>
          </rPr>
          <t xml:space="preserve">8/2/11: </t>
        </r>
        <r>
          <rPr>
            <sz val="8"/>
            <color indexed="81"/>
            <rFont val="Tahoma"/>
            <family val="2"/>
          </rPr>
          <t>Assume 14 M's Factory @ 3K sq ft avg</t>
        </r>
        <r>
          <rPr>
            <b/>
            <sz val="8"/>
            <color indexed="81"/>
            <rFont val="Tahoma"/>
            <family val="2"/>
          </rPr>
          <t xml:space="preserve">
8/10:</t>
        </r>
        <r>
          <rPr>
            <sz val="8"/>
            <color indexed="81"/>
            <rFont val="Tahoma"/>
            <family val="2"/>
          </rPr>
          <t xml:space="preserve"> 
Expect 8% sq ftge growth in NA in FY11</t>
        </r>
        <r>
          <rPr>
            <b/>
            <sz val="8"/>
            <color indexed="81"/>
            <rFont val="Tahoma"/>
            <family val="2"/>
          </rPr>
          <t xml:space="preserve">
mm98285:</t>
        </r>
        <r>
          <rPr>
            <sz val="8"/>
            <color indexed="81"/>
            <rFont val="Tahoma"/>
            <family val="2"/>
          </rPr>
          <t xml:space="preserve">
includes estimate of 10K sq ft for expansion</t>
        </r>
      </text>
    </comment>
    <comment ref="S106" authorId="1">
      <text>
        <r>
          <rPr>
            <b/>
            <sz val="8"/>
            <color indexed="81"/>
            <rFont val="Tahoma"/>
            <family val="2"/>
          </rPr>
          <t>mm98285:</t>
        </r>
        <r>
          <rPr>
            <sz val="8"/>
            <color indexed="81"/>
            <rFont val="Tahoma"/>
            <family val="2"/>
          </rPr>
          <t xml:space="preserve">
includes estimate of 10K sq ft for expansion</t>
        </r>
      </text>
    </comment>
    <comment ref="T106" authorId="1">
      <text>
        <r>
          <rPr>
            <b/>
            <sz val="8"/>
            <color indexed="81"/>
            <rFont val="Tahoma"/>
            <family val="2"/>
          </rPr>
          <t>mm98285:</t>
        </r>
        <r>
          <rPr>
            <sz val="8"/>
            <color indexed="81"/>
            <rFont val="Tahoma"/>
            <family val="2"/>
          </rPr>
          <t xml:space="preserve">
includes estimate of 10K sq ft for expansion</t>
        </r>
      </text>
    </comment>
    <comment ref="V106" authorId="1">
      <text>
        <r>
          <rPr>
            <b/>
            <sz val="8"/>
            <color indexed="81"/>
            <rFont val="Tahoma"/>
            <family val="2"/>
          </rPr>
          <t>mm98285:</t>
        </r>
        <r>
          <rPr>
            <sz val="8"/>
            <color indexed="81"/>
            <rFont val="Tahoma"/>
            <family val="2"/>
          </rPr>
          <t xml:space="preserve">
includes estimate of 10K sq ft for expansion</t>
        </r>
      </text>
    </comment>
    <comment ref="N107" authorId="1">
      <text>
        <r>
          <rPr>
            <b/>
            <sz val="8"/>
            <color indexed="81"/>
            <rFont val="Tahoma"/>
            <family val="2"/>
          </rPr>
          <t>mm98285:</t>
        </r>
        <r>
          <rPr>
            <sz val="8"/>
            <color indexed="81"/>
            <rFont val="Tahoma"/>
            <family val="2"/>
          </rPr>
          <t xml:space="preserve">
12/06: expect 9-12% growth</t>
        </r>
      </text>
    </comment>
    <comment ref="S108" authorId="1">
      <text>
        <r>
          <rPr>
            <b/>
            <sz val="8"/>
            <color indexed="81"/>
            <rFont val="Tahoma"/>
            <family val="2"/>
          </rPr>
          <t>8/10:</t>
        </r>
        <r>
          <rPr>
            <sz val="8"/>
            <color indexed="81"/>
            <rFont val="Tahoma"/>
            <family val="2"/>
          </rPr>
          <t xml:space="preserve"> 
Expect 8% sq ftge growth in NA in FY11</t>
        </r>
        <r>
          <rPr>
            <b/>
            <sz val="8"/>
            <color indexed="81"/>
            <rFont val="Tahoma"/>
            <family val="2"/>
          </rPr>
          <t xml:space="preserve">
mm98285:</t>
        </r>
        <r>
          <rPr>
            <sz val="8"/>
            <color indexed="81"/>
            <rFont val="Tahoma"/>
            <family val="2"/>
          </rPr>
          <t xml:space="preserve">
includes estimate of 10K sq ft for expansion</t>
        </r>
      </text>
    </comment>
    <comment ref="T108" authorId="1">
      <text>
        <r>
          <rPr>
            <b/>
            <sz val="8"/>
            <color indexed="81"/>
            <rFont val="Tahoma"/>
            <family val="2"/>
          </rPr>
          <t>8/10:</t>
        </r>
        <r>
          <rPr>
            <sz val="8"/>
            <color indexed="81"/>
            <rFont val="Tahoma"/>
            <family val="2"/>
          </rPr>
          <t xml:space="preserve"> 
Expect 8% sq ftge growth in NA in FY11</t>
        </r>
        <r>
          <rPr>
            <b/>
            <sz val="8"/>
            <color indexed="81"/>
            <rFont val="Tahoma"/>
            <family val="2"/>
          </rPr>
          <t xml:space="preserve">
mm98285:</t>
        </r>
        <r>
          <rPr>
            <sz val="8"/>
            <color indexed="81"/>
            <rFont val="Tahoma"/>
            <family val="2"/>
          </rPr>
          <t xml:space="preserve">
includes estimate of 10K sq ft for expansion</t>
        </r>
      </text>
    </comment>
    <comment ref="V108" authorId="1">
      <text>
        <r>
          <rPr>
            <b/>
            <sz val="8"/>
            <color indexed="81"/>
            <rFont val="Tahoma"/>
            <family val="2"/>
          </rPr>
          <t>8/10:</t>
        </r>
        <r>
          <rPr>
            <sz val="8"/>
            <color indexed="81"/>
            <rFont val="Tahoma"/>
            <family val="2"/>
          </rPr>
          <t xml:space="preserve"> 
Expect 8% sq ftge growth in NA in FY11</t>
        </r>
        <r>
          <rPr>
            <b/>
            <sz val="8"/>
            <color indexed="81"/>
            <rFont val="Tahoma"/>
            <family val="2"/>
          </rPr>
          <t xml:space="preserve">
mm98285:</t>
        </r>
        <r>
          <rPr>
            <sz val="8"/>
            <color indexed="81"/>
            <rFont val="Tahoma"/>
            <family val="2"/>
          </rPr>
          <t xml:space="preserve">
includes estimate of 10K sq ft for expansion</t>
        </r>
      </text>
    </comment>
    <comment ref="W108" authorId="9">
      <text>
        <r>
          <rPr>
            <b/>
            <sz val="9"/>
            <color indexed="81"/>
            <rFont val="Tahoma"/>
            <family val="2"/>
          </rPr>
          <t>Cassel, Lauren (Research):</t>
        </r>
        <r>
          <rPr>
            <sz val="9"/>
            <color indexed="81"/>
            <rFont val="Tahoma"/>
            <family val="2"/>
          </rPr>
          <t xml:space="preserve">
above number includes mens</t>
        </r>
      </text>
    </comment>
    <comment ref="U112" authorId="5">
      <text>
        <r>
          <rPr>
            <b/>
            <sz val="9"/>
            <color indexed="81"/>
            <rFont val="Tahoma"/>
            <family val="2"/>
          </rPr>
          <t>turleamb:</t>
        </r>
        <r>
          <rPr>
            <sz val="9"/>
            <color indexed="81"/>
            <rFont val="Tahoma"/>
            <family val="2"/>
          </rPr>
          <t xml:space="preserve">
4/29/14: expect NA directly owned square footage +7% driven by ~15 new store openings, 20 expansions and 15-20 closures</t>
        </r>
      </text>
    </comment>
    <comment ref="V112" authorId="4">
      <text>
        <r>
          <rPr>
            <b/>
            <sz val="9"/>
            <color indexed="81"/>
            <rFont val="Tahoma"/>
            <family val="2"/>
          </rPr>
          <t>Turley, Amber (Research):</t>
        </r>
        <r>
          <rPr>
            <sz val="9"/>
            <color indexed="81"/>
            <rFont val="Tahoma"/>
            <family val="2"/>
          </rPr>
          <t xml:space="preserve">
8/5/14: expect NA sq.ft -5%</t>
        </r>
      </text>
    </comment>
    <comment ref="W112" authorId="0">
      <text>
        <r>
          <rPr>
            <b/>
            <sz val="9"/>
            <color indexed="81"/>
            <rFont val="Tahoma"/>
            <family val="2"/>
          </rPr>
          <t>casselau:</t>
        </r>
        <r>
          <rPr>
            <sz val="9"/>
            <color indexed="81"/>
            <rFont val="Tahoma"/>
            <family val="2"/>
          </rPr>
          <t xml:space="preserve">
expect NA sqft o be flat</t>
        </r>
      </text>
    </comment>
    <comment ref="L114" authorId="1">
      <text>
        <r>
          <rPr>
            <b/>
            <sz val="8"/>
            <color indexed="81"/>
            <rFont val="Tahoma"/>
            <family val="2"/>
          </rPr>
          <t>mm98285:</t>
        </r>
        <r>
          <rPr>
            <sz val="8"/>
            <color indexed="81"/>
            <rFont val="Tahoma"/>
            <family val="2"/>
          </rPr>
          <t xml:space="preserve">
2005 10K: expanded 14 locations in 2005</t>
        </r>
      </text>
    </comment>
    <comment ref="N116" authorId="2">
      <text>
        <r>
          <rPr>
            <b/>
            <sz val="8"/>
            <color indexed="81"/>
            <rFont val="Tahoma"/>
            <family val="2"/>
          </rPr>
          <t xml:space="preserve">LM37689:
</t>
        </r>
        <r>
          <rPr>
            <sz val="8"/>
            <color indexed="81"/>
            <rFont val="Tahoma"/>
            <family val="2"/>
          </rPr>
          <t xml:space="preserve">3Q07: +19 net new stores &amp; 10 exp = 35K sq ft or 18% growth
</t>
        </r>
        <r>
          <rPr>
            <sz val="8"/>
            <color indexed="81"/>
            <rFont val="Tahoma"/>
            <family val="2"/>
          </rPr>
          <t xml:space="preserve">
1/07: +15-20 stores = +25K sq ft &amp; at least 10 expansions = +6K sq ft
10/06: +15-20 stores = +25K sq ft &amp; 15-20 expansions = +7-10K sq ft
as per 8/06 earnings cal: expect net increase of 25,000 sqft</t>
        </r>
      </text>
    </comment>
    <comment ref="O116" authorId="1">
      <text>
        <r>
          <rPr>
            <b/>
            <sz val="8"/>
            <color indexed="81"/>
            <rFont val="Tahoma"/>
            <family val="2"/>
          </rPr>
          <t>mm98285:</t>
        </r>
        <r>
          <rPr>
            <sz val="8"/>
            <color indexed="81"/>
            <rFont val="Tahoma"/>
            <family val="2"/>
          </rPr>
          <t xml:space="preserve">
10K: 11 expansions
includes estimate of 10K sq ft for expansion</t>
        </r>
      </text>
    </comment>
    <comment ref="P116" authorId="1">
      <text>
        <r>
          <rPr>
            <b/>
            <sz val="8"/>
            <color indexed="81"/>
            <rFont val="Tahoma"/>
            <family val="2"/>
          </rPr>
          <t>mm98285:</t>
        </r>
        <r>
          <rPr>
            <sz val="8"/>
            <color indexed="81"/>
            <rFont val="Tahoma"/>
            <family val="2"/>
          </rPr>
          <t xml:space="preserve">
includes estimate of 10K sq ft for expansion</t>
        </r>
      </text>
    </comment>
    <comment ref="Q116" authorId="1">
      <text>
        <r>
          <rPr>
            <b/>
            <sz val="8"/>
            <color indexed="81"/>
            <rFont val="Tahoma"/>
            <family val="2"/>
          </rPr>
          <t>mm98285:</t>
        </r>
        <r>
          <rPr>
            <sz val="8"/>
            <color indexed="81"/>
            <rFont val="Tahoma"/>
            <family val="2"/>
          </rPr>
          <t xml:space="preserve">
includes estimate of 10K sq ft for expansion</t>
        </r>
      </text>
    </comment>
    <comment ref="R116" authorId="1">
      <text>
        <r>
          <rPr>
            <b/>
            <sz val="8"/>
            <color indexed="81"/>
            <rFont val="Tahoma"/>
            <family val="2"/>
          </rPr>
          <t xml:space="preserve">1/11: </t>
        </r>
        <r>
          <rPr>
            <sz val="8"/>
            <color indexed="81"/>
            <rFont val="Tahoma"/>
            <family val="2"/>
          </rPr>
          <t>Exp 6% sq ftge growth</t>
        </r>
        <r>
          <rPr>
            <b/>
            <sz val="8"/>
            <color indexed="81"/>
            <rFont val="Tahoma"/>
            <family val="2"/>
          </rPr>
          <t xml:space="preserve">
mm98285:</t>
        </r>
        <r>
          <rPr>
            <sz val="8"/>
            <color indexed="81"/>
            <rFont val="Tahoma"/>
            <family val="2"/>
          </rPr>
          <t xml:space="preserve">
includes estimate of 10K sq ft for expansion</t>
        </r>
      </text>
    </comment>
    <comment ref="N117" authorId="1">
      <text>
        <r>
          <rPr>
            <b/>
            <sz val="8"/>
            <color indexed="81"/>
            <rFont val="Tahoma"/>
            <family val="2"/>
          </rPr>
          <t>mm98285:</t>
        </r>
        <r>
          <rPr>
            <sz val="8"/>
            <color indexed="81"/>
            <rFont val="Tahoma"/>
            <family val="2"/>
          </rPr>
          <t xml:space="preserve">
12/06: expect 20% or lower growth</t>
        </r>
      </text>
    </comment>
    <comment ref="O117" authorId="7">
      <text>
        <r>
          <rPr>
            <b/>
            <sz val="8"/>
            <color indexed="81"/>
            <rFont val="Tahoma"/>
            <family val="2"/>
          </rPr>
          <t>oc48540:</t>
        </r>
        <r>
          <rPr>
            <sz val="8"/>
            <color indexed="81"/>
            <rFont val="Tahoma"/>
            <family val="2"/>
          </rPr>
          <t xml:space="preserve">
3Q07: Exp sq. ft to be same as '07</t>
        </r>
      </text>
    </comment>
    <comment ref="Q117" authorId="8">
      <text>
        <r>
          <rPr>
            <b/>
            <sz val="8"/>
            <color indexed="81"/>
            <rFont val="Tahoma"/>
            <family val="2"/>
          </rPr>
          <t>ns66486:</t>
        </r>
        <r>
          <rPr>
            <sz val="8"/>
            <color indexed="81"/>
            <rFont val="Tahoma"/>
            <family val="2"/>
          </rPr>
          <t xml:space="preserve">
4/10: expect 8% sq footage growth</t>
        </r>
      </text>
    </comment>
    <comment ref="S117" authorId="6">
      <text>
        <r>
          <rPr>
            <b/>
            <sz val="8"/>
            <color indexed="81"/>
            <rFont val="Tahoma"/>
            <family val="2"/>
          </rPr>
          <t>lauraro:</t>
        </r>
        <r>
          <rPr>
            <sz val="8"/>
            <color indexed="81"/>
            <rFont val="Tahoma"/>
            <family val="2"/>
          </rPr>
          <t xml:space="preserve">
4/24/12: Expect 5%
10/25/11: ~10%</t>
        </r>
      </text>
    </comment>
    <comment ref="N118" authorId="1">
      <text>
        <r>
          <rPr>
            <b/>
            <sz val="8"/>
            <color indexed="81"/>
            <rFont val="Tahoma"/>
            <family val="2"/>
          </rPr>
          <t>mm98285:</t>
        </r>
        <r>
          <rPr>
            <sz val="8"/>
            <color indexed="81"/>
            <rFont val="Tahoma"/>
            <family val="2"/>
          </rPr>
          <t xml:space="preserve">
operated by ImagineX group in FY 2007 and 2008 and included in "indirect sales"</t>
        </r>
      </text>
    </comment>
    <comment ref="O118" authorId="1">
      <text>
        <r>
          <rPr>
            <b/>
            <sz val="8"/>
            <color indexed="81"/>
            <rFont val="Tahoma"/>
            <family val="2"/>
          </rPr>
          <t>mm98285:</t>
        </r>
        <r>
          <rPr>
            <sz val="8"/>
            <color indexed="81"/>
            <rFont val="Tahoma"/>
            <family val="2"/>
          </rPr>
          <t xml:space="preserve">
operated by ImagineX group in FY 2007 and 2008 and included in "indirect sales"</t>
        </r>
      </text>
    </comment>
    <comment ref="R118" authorId="6">
      <text>
        <r>
          <rPr>
            <b/>
            <sz val="8"/>
            <color indexed="81"/>
            <rFont val="Tahoma"/>
            <family val="2"/>
          </rPr>
          <t>lauraro:</t>
        </r>
        <r>
          <rPr>
            <sz val="8"/>
            <color indexed="81"/>
            <rFont val="Tahoma"/>
            <family val="2"/>
          </rPr>
          <t xml:space="preserve">
1/11: Reit 65% sq ftge growth</t>
        </r>
      </text>
    </comment>
    <comment ref="Q119" authorId="8">
      <text>
        <r>
          <rPr>
            <b/>
            <sz val="8"/>
            <color indexed="81"/>
            <rFont val="Tahoma"/>
            <family val="2"/>
          </rPr>
          <t>ns66486:</t>
        </r>
        <r>
          <rPr>
            <sz val="8"/>
            <color indexed="81"/>
            <rFont val="Tahoma"/>
            <family val="2"/>
          </rPr>
          <t xml:space="preserve">
expect 50% square footage growth</t>
        </r>
      </text>
    </comment>
    <comment ref="R119" authorId="6">
      <text>
        <r>
          <rPr>
            <b/>
            <sz val="8"/>
            <color indexed="81"/>
            <rFont val="Tahoma"/>
            <family val="2"/>
          </rPr>
          <t xml:space="preserve">11/10: </t>
        </r>
        <r>
          <rPr>
            <sz val="8"/>
            <color indexed="81"/>
            <rFont val="Tahoma"/>
            <family val="2"/>
          </rPr>
          <t>COH said 25 China stores in 2011 with larger footprints rather than previously guided 30 China stores, still ~60% sq ftge growth</t>
        </r>
        <r>
          <rPr>
            <b/>
            <sz val="8"/>
            <color indexed="81"/>
            <rFont val="Tahoma"/>
            <family val="2"/>
          </rPr>
          <t xml:space="preserve">
lauraro:</t>
        </r>
        <r>
          <rPr>
            <sz val="8"/>
            <color indexed="81"/>
            <rFont val="Tahoma"/>
            <family val="2"/>
          </rPr>
          <t xml:space="preserve">
8/10: Exp square footage increase of about 60% in FY11</t>
        </r>
      </text>
    </comment>
    <comment ref="U119" authorId="5">
      <text>
        <r>
          <rPr>
            <b/>
            <sz val="9"/>
            <color indexed="81"/>
            <rFont val="Tahoma"/>
            <family val="2"/>
          </rPr>
          <t>turleamb:</t>
        </r>
        <r>
          <rPr>
            <sz val="9"/>
            <color indexed="81"/>
            <rFont val="Tahoma"/>
            <family val="2"/>
          </rPr>
          <t xml:space="preserve">
4/29/14: expect ~+25% sq.ft. growth</t>
        </r>
      </text>
    </comment>
    <comment ref="N137" authorId="1">
      <text>
        <r>
          <rPr>
            <b/>
            <sz val="8"/>
            <color indexed="81"/>
            <rFont val="Tahoma"/>
            <family val="2"/>
          </rPr>
          <t>mm98285:</t>
        </r>
        <r>
          <rPr>
            <sz val="8"/>
            <color indexed="81"/>
            <rFont val="Tahoma"/>
            <family val="2"/>
          </rPr>
          <t xml:space="preserve">
includes expansion sq footage</t>
        </r>
      </text>
    </comment>
    <comment ref="O137" authorId="1">
      <text>
        <r>
          <rPr>
            <b/>
            <sz val="8"/>
            <color indexed="81"/>
            <rFont val="Tahoma"/>
            <family val="2"/>
          </rPr>
          <t>mm98285:</t>
        </r>
        <r>
          <rPr>
            <sz val="8"/>
            <color indexed="81"/>
            <rFont val="Tahoma"/>
            <family val="2"/>
          </rPr>
          <t xml:space="preserve">
2500 avg sq ft</t>
        </r>
      </text>
    </comment>
    <comment ref="P137" authorId="1">
      <text>
        <r>
          <rPr>
            <sz val="8"/>
            <color indexed="81"/>
            <rFont val="Tahoma"/>
            <family val="2"/>
          </rPr>
          <t>2706 avg sq ft</t>
        </r>
      </text>
    </comment>
    <comment ref="Q137" authorId="1">
      <text>
        <r>
          <rPr>
            <sz val="8"/>
            <color indexed="81"/>
            <rFont val="Tahoma"/>
            <family val="2"/>
          </rPr>
          <t>2718 avg sq ft</t>
        </r>
      </text>
    </comment>
    <comment ref="R137" authorId="1">
      <text>
        <r>
          <rPr>
            <sz val="8"/>
            <color indexed="81"/>
            <rFont val="Tahoma"/>
            <family val="2"/>
          </rPr>
          <t>2714 avg sq ft</t>
        </r>
      </text>
    </comment>
    <comment ref="U137" authorId="3">
      <text>
        <r>
          <rPr>
            <b/>
            <sz val="8"/>
            <color indexed="81"/>
            <rFont val="Tahoma"/>
            <family val="2"/>
          </rPr>
          <t>solejay:</t>
        </r>
        <r>
          <rPr>
            <sz val="8"/>
            <color indexed="81"/>
            <rFont val="Tahoma"/>
            <family val="2"/>
          </rPr>
          <t xml:space="preserve">
10/22/13: based on Andera's prepared comments
7/30/2013 - "Importantly, we are also expanding about 20 locations – seven full price and about 13 factory "</t>
        </r>
      </text>
    </comment>
    <comment ref="U138" authorId="3">
      <text>
        <r>
          <rPr>
            <b/>
            <sz val="8"/>
            <color indexed="81"/>
            <rFont val="Tahoma"/>
            <family val="2"/>
          </rPr>
          <t>solejay:</t>
        </r>
        <r>
          <rPr>
            <sz val="8"/>
            <color indexed="81"/>
            <rFont val="Tahoma"/>
            <family val="2"/>
          </rPr>
          <t xml:space="preserve">
10/22/13: based upon Andrea's prepared comments
7/30/2013 - "Importantly, we are also expanding about 20 locations – seven full price and about 13 factory "</t>
        </r>
      </text>
    </comment>
    <comment ref="N139" authorId="1">
      <text>
        <r>
          <rPr>
            <b/>
            <sz val="8"/>
            <color indexed="81"/>
            <rFont val="Tahoma"/>
            <family val="2"/>
          </rPr>
          <t>mm98285:</t>
        </r>
        <r>
          <rPr>
            <sz val="8"/>
            <color indexed="81"/>
            <rFont val="Tahoma"/>
            <family val="2"/>
          </rPr>
          <t xml:space="preserve">
includes expansion sq footage</t>
        </r>
      </text>
    </comment>
    <comment ref="O139" authorId="1">
      <text>
        <r>
          <rPr>
            <b/>
            <sz val="8"/>
            <color indexed="81"/>
            <rFont val="Tahoma"/>
            <family val="2"/>
          </rPr>
          <t>mm98285:</t>
        </r>
        <r>
          <rPr>
            <sz val="8"/>
            <color indexed="81"/>
            <rFont val="Tahoma"/>
            <family val="2"/>
          </rPr>
          <t xml:space="preserve">
3500-4000 avg sq ft</t>
        </r>
      </text>
    </comment>
    <comment ref="P139" authorId="1">
      <text>
        <r>
          <rPr>
            <b/>
            <sz val="8"/>
            <color indexed="81"/>
            <rFont val="Tahoma"/>
            <family val="2"/>
          </rPr>
          <t>mm98285:</t>
        </r>
        <r>
          <rPr>
            <sz val="8"/>
            <color indexed="81"/>
            <rFont val="Tahoma"/>
            <family val="2"/>
          </rPr>
          <t xml:space="preserve">
3500-4000 avg sq ft</t>
        </r>
      </text>
    </comment>
    <comment ref="Q139" authorId="1">
      <text>
        <r>
          <rPr>
            <sz val="8"/>
            <color indexed="81"/>
            <rFont val="Tahoma"/>
            <family val="2"/>
          </rPr>
          <t>avg sq ft</t>
        </r>
      </text>
    </comment>
    <comment ref="R139" authorId="1">
      <text>
        <r>
          <rPr>
            <sz val="8"/>
            <color indexed="81"/>
            <rFont val="Tahoma"/>
            <family val="2"/>
          </rPr>
          <t xml:space="preserve"> avg sq ft</t>
        </r>
      </text>
    </comment>
    <comment ref="U139" authorId="3">
      <text>
        <r>
          <rPr>
            <b/>
            <sz val="8"/>
            <color indexed="81"/>
            <rFont val="Tahoma"/>
            <family val="2"/>
          </rPr>
          <t xml:space="preserve">solejay:
10/22/13: </t>
        </r>
        <r>
          <rPr>
            <sz val="8"/>
            <color indexed="81"/>
            <rFont val="Tahoma"/>
            <family val="2"/>
          </rPr>
          <t>Andera's prepared comments show sq. ft increased to ~8500 on incremental factory stores</t>
        </r>
        <r>
          <rPr>
            <b/>
            <sz val="8"/>
            <color indexed="81"/>
            <rFont val="Tahoma"/>
            <family val="2"/>
          </rPr>
          <t xml:space="preserve">
</t>
        </r>
        <r>
          <rPr>
            <sz val="8"/>
            <color indexed="81"/>
            <rFont val="Tahoma"/>
            <family val="2"/>
          </rPr>
          <t xml:space="preserve">
7/30/2013 - "Importantly, we are also expanding about 20 locations – seven full price and about 13 factory  to accommodate full build out of our dual gender presentation by adding men's to our existing stores-we expect about 7% sq. ft. growth in FY14 in NA"</t>
        </r>
      </text>
    </comment>
    <comment ref="R140" authorId="6">
      <text>
        <r>
          <rPr>
            <b/>
            <sz val="8"/>
            <color indexed="81"/>
            <rFont val="Tahoma"/>
            <family val="2"/>
          </rPr>
          <t>lauraro:</t>
        </r>
        <r>
          <rPr>
            <sz val="8"/>
            <color indexed="81"/>
            <rFont val="Tahoma"/>
            <family val="2"/>
          </rPr>
          <t xml:space="preserve">
Factory stores that opened in FY10 averaged just under 5,500 sq ft (and were all "regular" factory stores).  The new men's factory stores will be on average, 1/2 that size</t>
        </r>
      </text>
    </comment>
    <comment ref="S140" authorId="6">
      <text>
        <r>
          <rPr>
            <b/>
            <sz val="8"/>
            <color indexed="81"/>
            <rFont val="Tahoma"/>
            <family val="2"/>
          </rPr>
          <t>lauraro:</t>
        </r>
        <r>
          <rPr>
            <sz val="8"/>
            <color indexed="81"/>
            <rFont val="Tahoma"/>
            <family val="2"/>
          </rPr>
          <t xml:space="preserve">
Factory stores that opened in FY10 averaged just under 5,500 sq ft (and were all "regular" factory stores).  The new men's factory stores will be on average, 1/2 that size</t>
        </r>
      </text>
    </comment>
    <comment ref="T140" authorId="6">
      <text>
        <r>
          <rPr>
            <b/>
            <sz val="8"/>
            <color indexed="81"/>
            <rFont val="Tahoma"/>
            <family val="2"/>
          </rPr>
          <t>lauraro:</t>
        </r>
        <r>
          <rPr>
            <sz val="8"/>
            <color indexed="81"/>
            <rFont val="Tahoma"/>
            <family val="2"/>
          </rPr>
          <t xml:space="preserve">
Factory stores that opened in FY10 averaged just under 5,500 sq ft (and were all "regular" factory stores).  The new men's factory stores will be on average, 1/2 that size</t>
        </r>
      </text>
    </comment>
    <comment ref="U140" authorId="6">
      <text>
        <r>
          <rPr>
            <b/>
            <sz val="8"/>
            <color indexed="81"/>
            <rFont val="Tahoma"/>
            <family val="2"/>
          </rPr>
          <t>lauraro:</t>
        </r>
        <r>
          <rPr>
            <sz val="8"/>
            <color indexed="81"/>
            <rFont val="Tahoma"/>
            <family val="2"/>
          </rPr>
          <t xml:space="preserve">
10/22/13: Based upon Ander'as prepared comments- factory men's increased to ~3100 sq. ft for new stores
Factory stores that opened in FY10 averaged just under 5,500 sq ft (and were all "regular" factory stores).  The new men's factory stores will be on average, 1/2 that size</t>
        </r>
      </text>
    </comment>
    <comment ref="V140" authorId="6">
      <text>
        <r>
          <rPr>
            <b/>
            <sz val="8"/>
            <color indexed="81"/>
            <rFont val="Tahoma"/>
            <family val="2"/>
          </rPr>
          <t>lauraro:</t>
        </r>
        <r>
          <rPr>
            <sz val="8"/>
            <color indexed="81"/>
            <rFont val="Tahoma"/>
            <family val="2"/>
          </rPr>
          <t xml:space="preserve">
Factory stores that opened in FY10 averaged just under 5,500 sq ft (and were all "regular" factory stores).  The new men's factory stores will be on average, 1/2 that size</t>
        </r>
      </text>
    </comment>
    <comment ref="L141" authorId="1">
      <text>
        <r>
          <rPr>
            <b/>
            <sz val="8"/>
            <color indexed="81"/>
            <rFont val="Tahoma"/>
            <family val="2"/>
          </rPr>
          <t>mm98285:</t>
        </r>
        <r>
          <rPr>
            <sz val="8"/>
            <color indexed="81"/>
            <rFont val="Tahoma"/>
            <family val="2"/>
          </rPr>
          <t xml:space="preserve">
2005 10K: expanded 14 locations in 2005 - inflated calculation of new store size </t>
        </r>
      </text>
    </comment>
    <comment ref="N142" authorId="1">
      <text>
        <r>
          <rPr>
            <b/>
            <sz val="8"/>
            <color indexed="81"/>
            <rFont val="Tahoma"/>
            <family val="2"/>
          </rPr>
          <t>mm98285:</t>
        </r>
        <r>
          <rPr>
            <sz val="8"/>
            <color indexed="81"/>
            <rFont val="Tahoma"/>
            <family val="2"/>
          </rPr>
          <t xml:space="preserve">
includes expansion sq footage</t>
        </r>
      </text>
    </comment>
    <comment ref="R143" authorId="6">
      <text>
        <r>
          <rPr>
            <b/>
            <sz val="8"/>
            <color indexed="81"/>
            <rFont val="Tahoma"/>
            <family val="2"/>
          </rPr>
          <t xml:space="preserve">11/10: </t>
        </r>
        <r>
          <rPr>
            <sz val="8"/>
            <color indexed="81"/>
            <rFont val="Tahoma"/>
            <family val="2"/>
          </rPr>
          <t>COH said 25 China stores in 2011 with larger footprints rather than previously guided 30 China stores, still ~60% sq ftge growth</t>
        </r>
        <r>
          <rPr>
            <b/>
            <sz val="8"/>
            <color indexed="81"/>
            <rFont val="Tahoma"/>
            <family val="2"/>
          </rPr>
          <t xml:space="preserve">
lauraro:</t>
        </r>
        <r>
          <rPr>
            <sz val="8"/>
            <color indexed="81"/>
            <rFont val="Tahoma"/>
            <family val="2"/>
          </rPr>
          <t xml:space="preserve">
9/10: 1542 sq ft per Andrea</t>
        </r>
      </text>
    </comment>
    <comment ref="R144" authorId="6">
      <text>
        <r>
          <rPr>
            <b/>
            <sz val="8"/>
            <color indexed="81"/>
            <rFont val="Tahoma"/>
            <family val="2"/>
          </rPr>
          <t>lauraro:</t>
        </r>
        <r>
          <rPr>
            <sz val="8"/>
            <color indexed="81"/>
            <rFont val="Tahoma"/>
            <family val="2"/>
          </rPr>
          <t xml:space="preserve">
9/10: 4550 sq ft per Andrea</t>
        </r>
      </text>
    </comment>
    <comment ref="A145" authorId="6">
      <text>
        <r>
          <rPr>
            <b/>
            <sz val="8"/>
            <color indexed="81"/>
            <rFont val="Tahoma"/>
            <family val="2"/>
          </rPr>
          <t>lauraro:</t>
        </r>
        <r>
          <rPr>
            <sz val="8"/>
            <color indexed="81"/>
            <rFont val="Tahoma"/>
            <family val="2"/>
          </rPr>
          <t xml:space="preserve">
MS Estimate</t>
        </r>
      </text>
    </comment>
    <comment ref="S145" authorId="6">
      <text>
        <r>
          <rPr>
            <b/>
            <sz val="8"/>
            <color indexed="81"/>
            <rFont val="Tahoma"/>
            <family val="2"/>
          </rPr>
          <t>lauraro:</t>
        </r>
        <r>
          <rPr>
            <sz val="8"/>
            <color indexed="81"/>
            <rFont val="Tahoma"/>
            <family val="2"/>
          </rPr>
          <t xml:space="preserve">
MS estimate</t>
        </r>
      </text>
    </comment>
    <comment ref="A146" authorId="6">
      <text>
        <r>
          <rPr>
            <b/>
            <sz val="8"/>
            <color indexed="81"/>
            <rFont val="Tahoma"/>
            <family val="2"/>
          </rPr>
          <t>lauraro:</t>
        </r>
        <r>
          <rPr>
            <sz val="8"/>
            <color indexed="81"/>
            <rFont val="Tahoma"/>
            <family val="2"/>
          </rPr>
          <t xml:space="preserve">
MS Estimate</t>
        </r>
      </text>
    </comment>
    <comment ref="S146" authorId="6">
      <text>
        <r>
          <rPr>
            <b/>
            <sz val="8"/>
            <color indexed="81"/>
            <rFont val="Tahoma"/>
            <family val="2"/>
          </rPr>
          <t>lauraro:</t>
        </r>
        <r>
          <rPr>
            <sz val="8"/>
            <color indexed="81"/>
            <rFont val="Tahoma"/>
            <family val="2"/>
          </rPr>
          <t xml:space="preserve">
MS estimate</t>
        </r>
      </text>
    </comment>
    <comment ref="A147" authorId="6">
      <text>
        <r>
          <rPr>
            <b/>
            <sz val="8"/>
            <color indexed="81"/>
            <rFont val="Tahoma"/>
            <family val="2"/>
          </rPr>
          <t>lauraro:</t>
        </r>
        <r>
          <rPr>
            <sz val="8"/>
            <color indexed="81"/>
            <rFont val="Tahoma"/>
            <family val="2"/>
          </rPr>
          <t xml:space="preserve">
MS Estimate</t>
        </r>
      </text>
    </comment>
    <comment ref="S147" authorId="6">
      <text>
        <r>
          <rPr>
            <b/>
            <sz val="8"/>
            <color indexed="81"/>
            <rFont val="Tahoma"/>
            <family val="2"/>
          </rPr>
          <t>lauraro:</t>
        </r>
        <r>
          <rPr>
            <sz val="8"/>
            <color indexed="81"/>
            <rFont val="Tahoma"/>
            <family val="2"/>
          </rPr>
          <t xml:space="preserve">
MS estimate</t>
        </r>
      </text>
    </comment>
    <comment ref="S148" authorId="0">
      <text>
        <r>
          <rPr>
            <b/>
            <sz val="8"/>
            <color indexed="81"/>
            <rFont val="Tahoma"/>
            <family val="2"/>
          </rPr>
          <t>casselau:</t>
        </r>
        <r>
          <rPr>
            <sz val="8"/>
            <color indexed="81"/>
            <rFont val="Tahoma"/>
            <family val="2"/>
          </rPr>
          <t xml:space="preserve">
MS estimate</t>
        </r>
      </text>
    </comment>
    <comment ref="S149" authorId="0">
      <text>
        <r>
          <rPr>
            <b/>
            <sz val="8"/>
            <color indexed="81"/>
            <rFont val="Tahoma"/>
            <family val="2"/>
          </rPr>
          <t>casselau:</t>
        </r>
        <r>
          <rPr>
            <sz val="8"/>
            <color indexed="81"/>
            <rFont val="Tahoma"/>
            <family val="2"/>
          </rPr>
          <t xml:space="preserve">
MS estimate</t>
        </r>
      </text>
    </comment>
    <comment ref="A185" authorId="6">
      <text>
        <r>
          <rPr>
            <b/>
            <sz val="8"/>
            <color indexed="81"/>
            <rFont val="Tahoma"/>
            <family val="2"/>
          </rPr>
          <t>lauraro:</t>
        </r>
        <r>
          <rPr>
            <sz val="8"/>
            <color indexed="81"/>
            <rFont val="Tahoma"/>
            <family val="2"/>
          </rPr>
          <t xml:space="preserve">
MS est</t>
        </r>
      </text>
    </comment>
    <comment ref="A187" authorId="6">
      <text>
        <r>
          <rPr>
            <b/>
            <sz val="8"/>
            <color indexed="81"/>
            <rFont val="Tahoma"/>
            <family val="2"/>
          </rPr>
          <t>lauraro:</t>
        </r>
        <r>
          <rPr>
            <sz val="8"/>
            <color indexed="81"/>
            <rFont val="Tahoma"/>
            <family val="2"/>
          </rPr>
          <t xml:space="preserve">
MS est</t>
        </r>
      </text>
    </comment>
    <comment ref="R209" authorId="6">
      <text>
        <r>
          <rPr>
            <b/>
            <sz val="8"/>
            <color indexed="81"/>
            <rFont val="Tahoma"/>
            <family val="2"/>
          </rPr>
          <t>lauraro:</t>
        </r>
        <r>
          <rPr>
            <sz val="8"/>
            <color indexed="81"/>
            <rFont val="Tahoma"/>
            <family val="2"/>
          </rPr>
          <t xml:space="preserve">
includes men</t>
        </r>
      </text>
    </comment>
    <comment ref="R211" authorId="6">
      <text>
        <r>
          <rPr>
            <b/>
            <sz val="8"/>
            <color indexed="81"/>
            <rFont val="Tahoma"/>
            <family val="2"/>
          </rPr>
          <t xml:space="preserve">lauraro:
</t>
        </r>
        <r>
          <rPr>
            <sz val="8"/>
            <color indexed="81"/>
            <rFont val="Tahoma"/>
            <family val="2"/>
          </rPr>
          <t>estimate</t>
        </r>
      </text>
    </comment>
    <comment ref="X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Y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Z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AA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AB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AC222" authorId="9">
      <text>
        <r>
          <rPr>
            <b/>
            <sz val="9"/>
            <color indexed="81"/>
            <rFont val="Tahoma"/>
            <family val="2"/>
          </rPr>
          <t>Cassel, Lauren (Research):</t>
        </r>
        <r>
          <rPr>
            <sz val="9"/>
            <color indexed="81"/>
            <rFont val="Tahoma"/>
            <family val="2"/>
          </rPr>
          <t xml:space="preserve">
8/15/17: And, for Kate Spade, we expect 20-25 net openings globally and across channels with the majority of the new door growth coming in the outlet channel.</t>
        </r>
      </text>
    </comment>
    <comment ref="M224" authorId="9">
      <text>
        <r>
          <rPr>
            <b/>
            <sz val="9"/>
            <color indexed="81"/>
            <rFont val="Tahoma"/>
            <family val="2"/>
          </rPr>
          <t>Cassel, Lauren (Research):</t>
        </r>
        <r>
          <rPr>
            <sz val="9"/>
            <color indexed="81"/>
            <rFont val="Tahoma"/>
            <family val="2"/>
          </rPr>
          <t xml:space="preserve">
19 Specialty + 4 outlet (outlet average 1800 sqft, specialty 2300)</t>
        </r>
      </text>
    </comment>
    <comment ref="N224" authorId="9">
      <text>
        <r>
          <rPr>
            <b/>
            <sz val="9"/>
            <color indexed="81"/>
            <rFont val="Tahoma"/>
            <family val="2"/>
          </rPr>
          <t>Cassel, Lauren (Research):</t>
        </r>
        <r>
          <rPr>
            <sz val="9"/>
            <color indexed="81"/>
            <rFont val="Tahoma"/>
            <family val="2"/>
          </rPr>
          <t xml:space="preserve">
25 Specialty, 13 Outlet</t>
        </r>
      </text>
    </comment>
    <comment ref="O224" authorId="9">
      <text>
        <r>
          <rPr>
            <b/>
            <sz val="9"/>
            <color indexed="81"/>
            <rFont val="Tahoma"/>
            <family val="2"/>
          </rPr>
          <t>Cassel, Lauren (Research):</t>
        </r>
        <r>
          <rPr>
            <sz val="9"/>
            <color indexed="81"/>
            <rFont val="Tahoma"/>
            <family val="2"/>
          </rPr>
          <t xml:space="preserve">
48 Specialty, 28 Outlet</t>
        </r>
      </text>
    </comment>
    <comment ref="P224" authorId="9">
      <text>
        <r>
          <rPr>
            <b/>
            <sz val="9"/>
            <color indexed="81"/>
            <rFont val="Tahoma"/>
            <family val="2"/>
          </rPr>
          <t>Cassel, Lauren (Research):</t>
        </r>
        <r>
          <rPr>
            <sz val="9"/>
            <color indexed="81"/>
            <rFont val="Tahoma"/>
            <family val="2"/>
          </rPr>
          <t xml:space="preserve">
38 specialty retail stores, 29 outlet stores</t>
        </r>
      </text>
    </comment>
    <comment ref="Q224" authorId="9">
      <text>
        <r>
          <rPr>
            <b/>
            <sz val="9"/>
            <color indexed="81"/>
            <rFont val="Tahoma"/>
            <family val="2"/>
          </rPr>
          <t>Cassel, Lauren (Research):</t>
        </r>
        <r>
          <rPr>
            <sz val="9"/>
            <color indexed="81"/>
            <rFont val="Tahoma"/>
            <family val="2"/>
          </rPr>
          <t xml:space="preserve">
44 Specialty, 29 Outlet</t>
        </r>
      </text>
    </comment>
    <comment ref="R224" authorId="9">
      <text>
        <r>
          <rPr>
            <b/>
            <sz val="9"/>
            <color indexed="81"/>
            <rFont val="Tahoma"/>
            <family val="2"/>
          </rPr>
          <t>Cassel, Lauren (Research):</t>
        </r>
        <r>
          <rPr>
            <sz val="9"/>
            <color indexed="81"/>
            <rFont val="Tahoma"/>
            <family val="2"/>
          </rPr>
          <t xml:space="preserve">
50 Specialty (3 Intl), 29 US Outlet</t>
        </r>
      </text>
    </comment>
    <comment ref="S224" authorId="9">
      <text>
        <r>
          <rPr>
            <b/>
            <sz val="9"/>
            <color indexed="81"/>
            <rFont val="Tahoma"/>
            <family val="2"/>
          </rPr>
          <t>Cassel, Lauren (Research):
INCLUDES Kate Spade Saturday and Jack Spade stores</t>
        </r>
        <r>
          <rPr>
            <sz val="9"/>
            <color indexed="81"/>
            <rFont val="Tahoma"/>
            <family val="2"/>
          </rPr>
          <t xml:space="preserve">
We ended 2012 with 89 specialty retail stores, 32 outlet stores and 32 concessions, reflecting the net addition over the last 12 months of 18 specialty retail stores and 3 outlet stores and the acquisition of 21 specialty retail stores and 32 concessions.</t>
        </r>
      </text>
    </comment>
    <comment ref="T224" authorId="9">
      <text>
        <r>
          <rPr>
            <b/>
            <sz val="9"/>
            <color indexed="81"/>
            <rFont val="Tahoma"/>
            <family val="2"/>
          </rPr>
          <t>Cassel, Lauren (Research):
INCLUDES Kate Spade Saturday and Jack Spade stores</t>
        </r>
        <r>
          <rPr>
            <sz val="9"/>
            <color indexed="81"/>
            <rFont val="Tahoma"/>
            <family val="2"/>
          </rPr>
          <t xml:space="preserve">
We ended 2013 with 118 specialty retail stores, 51 outlet stores and 43 concessions, reflecting the net addition over the last 12 months of 37 specialty retail stores, 11 outlet stores and 11 concessions.
</t>
        </r>
      </text>
    </comment>
    <comment ref="U224" authorId="9">
      <text>
        <r>
          <rPr>
            <b/>
            <sz val="9"/>
            <color indexed="81"/>
            <rFont val="Tahoma"/>
            <family val="2"/>
          </rPr>
          <t>Cassel, Lauren (Research):</t>
        </r>
        <r>
          <rPr>
            <sz val="9"/>
            <color indexed="81"/>
            <rFont val="Tahoma"/>
            <family val="2"/>
          </rPr>
          <t xml:space="preserve">
EXCLUDES Kate Spade Saturday and Jack Spade stores</t>
        </r>
      </text>
    </comment>
    <comment ref="U226" authorId="9">
      <text>
        <r>
          <rPr>
            <b/>
            <sz val="9"/>
            <color indexed="81"/>
            <rFont val="Tahoma"/>
            <family val="2"/>
          </rPr>
          <t>Cassel, Lauren (Research):</t>
        </r>
        <r>
          <rPr>
            <sz val="9"/>
            <color indexed="81"/>
            <rFont val="Tahoma"/>
            <family val="2"/>
          </rPr>
          <t xml:space="preserve">
</t>
        </r>
        <r>
          <rPr>
            <b/>
            <sz val="9"/>
            <color indexed="81"/>
            <rFont val="Tahoma"/>
            <family val="2"/>
          </rPr>
          <t>INCLUDES Kate Spade Saturday and Jack Spade stores - will not match total store count which is adjusted to back out Saturday and Jack Spade</t>
        </r>
      </text>
    </comment>
    <comment ref="U227" authorId="9">
      <text>
        <r>
          <rPr>
            <b/>
            <sz val="9"/>
            <color indexed="81"/>
            <rFont val="Tahoma"/>
            <family val="2"/>
          </rPr>
          <t>Cassel, Lauren (Research):</t>
        </r>
        <r>
          <rPr>
            <sz val="9"/>
            <color indexed="81"/>
            <rFont val="Tahoma"/>
            <family val="2"/>
          </rPr>
          <t xml:space="preserve">
INCLUDES Kate Spade Saturday and Jack Spade stores - will not match total store count which is adjusted to back out Saturday and Jack Spade</t>
        </r>
      </text>
    </comment>
    <comment ref="A228" authorId="9">
      <text>
        <r>
          <rPr>
            <b/>
            <sz val="9"/>
            <color indexed="81"/>
            <rFont val="Tahoma"/>
            <family val="2"/>
          </rPr>
          <t>Cassel, Lauren (Research):</t>
        </r>
        <r>
          <rPr>
            <sz val="9"/>
            <color indexed="81"/>
            <rFont val="Tahoma"/>
            <family val="2"/>
          </rPr>
          <t xml:space="preserve">
Includes Concessions</t>
        </r>
      </text>
    </comment>
    <comment ref="U228" authorId="9">
      <text>
        <r>
          <rPr>
            <b/>
            <sz val="9"/>
            <color indexed="81"/>
            <rFont val="Tahoma"/>
            <family val="2"/>
          </rPr>
          <t>Cassel, Lauren (Research):
INCLUDES Kate Spade Saturday and Jack Spade stores - will not match total store count which is adjusted to back out Saturday and Jack Spade</t>
        </r>
        <r>
          <rPr>
            <sz val="9"/>
            <color indexed="81"/>
            <rFont val="Tahoma"/>
            <family val="2"/>
          </rPr>
          <t xml:space="preserve">
Includes Concessions</t>
        </r>
      </text>
    </comment>
    <comment ref="V228" authorId="9">
      <text>
        <r>
          <rPr>
            <b/>
            <sz val="9"/>
            <color indexed="81"/>
            <rFont val="Tahoma"/>
            <family val="2"/>
          </rPr>
          <t>Cassel, Lauren (Research):</t>
        </r>
        <r>
          <rPr>
            <sz val="9"/>
            <color indexed="81"/>
            <rFont val="Tahoma"/>
            <family val="2"/>
          </rPr>
          <t xml:space="preserve">
Includes Concessions</t>
        </r>
      </text>
    </comment>
    <comment ref="W228" authorId="9">
      <text>
        <r>
          <rPr>
            <b/>
            <sz val="9"/>
            <color indexed="81"/>
            <rFont val="Tahoma"/>
            <family val="2"/>
          </rPr>
          <t>Cassel, Lauren (Research):</t>
        </r>
        <r>
          <rPr>
            <sz val="9"/>
            <color indexed="81"/>
            <rFont val="Tahoma"/>
            <family val="2"/>
          </rPr>
          <t xml:space="preserve">
Includes Concessions</t>
        </r>
      </text>
    </comment>
    <comment ref="X228" authorId="9">
      <text>
        <r>
          <rPr>
            <b/>
            <sz val="9"/>
            <color indexed="81"/>
            <rFont val="Tahoma"/>
            <family val="2"/>
          </rPr>
          <t>Cassel, Lauren (Research):</t>
        </r>
        <r>
          <rPr>
            <sz val="9"/>
            <color indexed="81"/>
            <rFont val="Tahoma"/>
            <family val="2"/>
          </rPr>
          <t xml:space="preserve">
Includes Concessions</t>
        </r>
      </text>
    </comment>
    <comment ref="U229" authorId="9">
      <text>
        <r>
          <rPr>
            <b/>
            <sz val="9"/>
            <color indexed="81"/>
            <rFont val="Tahoma"/>
            <family val="2"/>
          </rPr>
          <t>Cassel, Lauren (Research):</t>
        </r>
        <r>
          <rPr>
            <sz val="9"/>
            <color indexed="81"/>
            <rFont val="Tahoma"/>
            <family val="2"/>
          </rPr>
          <t xml:space="preserve">
INCLUDES Kate Spade Saturday and Jack Spade stores - will not match total store count which is adjusted to back out Saturday and Jack Spade</t>
        </r>
      </text>
    </comment>
    <comment ref="A234" authorId="9">
      <text>
        <r>
          <rPr>
            <b/>
            <sz val="9"/>
            <color indexed="81"/>
            <rFont val="Tahoma"/>
            <family val="2"/>
          </rPr>
          <t>Cassel, Lauren (Research):</t>
        </r>
        <r>
          <rPr>
            <sz val="9"/>
            <color indexed="81"/>
            <rFont val="Tahoma"/>
            <family val="2"/>
          </rPr>
          <t xml:space="preserve">
Assume retail is ~60% of sales</t>
        </r>
      </text>
    </comment>
    <comment ref="N234" authorId="9">
      <text>
        <r>
          <rPr>
            <b/>
            <sz val="9"/>
            <color indexed="81"/>
            <rFont val="Tahoma"/>
            <family val="2"/>
          </rPr>
          <t>Cassel, Lauren (Research):</t>
        </r>
        <r>
          <rPr>
            <sz val="9"/>
            <color indexed="81"/>
            <rFont val="Tahoma"/>
            <family val="2"/>
          </rPr>
          <t xml:space="preserve">
Assume retail is ~60% of sales</t>
        </r>
      </text>
    </comment>
    <comment ref="O234" authorId="9">
      <text>
        <r>
          <rPr>
            <b/>
            <sz val="9"/>
            <color indexed="81"/>
            <rFont val="Tahoma"/>
            <family val="2"/>
          </rPr>
          <t>Cassel, Lauren (Research):</t>
        </r>
        <r>
          <rPr>
            <sz val="9"/>
            <color indexed="81"/>
            <rFont val="Tahoma"/>
            <family val="2"/>
          </rPr>
          <t xml:space="preserve">
Assume retail is ~60% of sales</t>
        </r>
      </text>
    </comment>
    <comment ref="P234" authorId="9">
      <text>
        <r>
          <rPr>
            <b/>
            <sz val="9"/>
            <color indexed="81"/>
            <rFont val="Tahoma"/>
            <family val="2"/>
          </rPr>
          <t>Cassel, Lauren (Research):</t>
        </r>
        <r>
          <rPr>
            <sz val="9"/>
            <color indexed="81"/>
            <rFont val="Tahoma"/>
            <family val="2"/>
          </rPr>
          <t xml:space="preserve">
Assume retail is ~60% of sales</t>
        </r>
      </text>
    </comment>
    <comment ref="Q234" authorId="9">
      <text>
        <r>
          <rPr>
            <b/>
            <sz val="9"/>
            <color indexed="81"/>
            <rFont val="Tahoma"/>
            <family val="2"/>
          </rPr>
          <t>Cassel, Lauren (Research):</t>
        </r>
        <r>
          <rPr>
            <sz val="9"/>
            <color indexed="81"/>
            <rFont val="Tahoma"/>
            <family val="2"/>
          </rPr>
          <t xml:space="preserve">
Assume retail is ~60% of sales</t>
        </r>
      </text>
    </comment>
    <comment ref="R234" authorId="9">
      <text>
        <r>
          <rPr>
            <b/>
            <sz val="9"/>
            <color indexed="81"/>
            <rFont val="Tahoma"/>
            <family val="2"/>
          </rPr>
          <t>Cassel, Lauren (Research):</t>
        </r>
        <r>
          <rPr>
            <sz val="9"/>
            <color indexed="81"/>
            <rFont val="Tahoma"/>
            <family val="2"/>
          </rPr>
          <t xml:space="preserve">
Assume retail is ~60% of sales</t>
        </r>
      </text>
    </comment>
    <comment ref="S234" authorId="9">
      <text>
        <r>
          <rPr>
            <b/>
            <sz val="9"/>
            <color indexed="81"/>
            <rFont val="Tahoma"/>
            <family val="2"/>
          </rPr>
          <t>Cassel, Lauren (Research):</t>
        </r>
        <r>
          <rPr>
            <sz val="9"/>
            <color indexed="81"/>
            <rFont val="Tahoma"/>
            <family val="2"/>
          </rPr>
          <t xml:space="preserve">
Assume retail is ~60% of sales</t>
        </r>
      </text>
    </comment>
    <comment ref="T234" authorId="9">
      <text>
        <r>
          <rPr>
            <b/>
            <sz val="9"/>
            <color indexed="81"/>
            <rFont val="Tahoma"/>
            <family val="2"/>
          </rPr>
          <t>Cassel, Lauren (Research):</t>
        </r>
        <r>
          <rPr>
            <sz val="9"/>
            <color indexed="81"/>
            <rFont val="Tahoma"/>
            <family val="2"/>
          </rPr>
          <t xml:space="preserve">
Assume retail is ~60% of sales</t>
        </r>
      </text>
    </comment>
    <comment ref="U234" authorId="9">
      <text>
        <r>
          <rPr>
            <b/>
            <sz val="9"/>
            <color indexed="81"/>
            <rFont val="Tahoma"/>
            <family val="2"/>
          </rPr>
          <t>Cassel, Lauren (Research):</t>
        </r>
        <r>
          <rPr>
            <sz val="9"/>
            <color indexed="81"/>
            <rFont val="Tahoma"/>
            <family val="2"/>
          </rPr>
          <t xml:space="preserve">
Assume retail is ~60% of sales</t>
        </r>
      </text>
    </comment>
    <comment ref="V234" authorId="9">
      <text>
        <r>
          <rPr>
            <b/>
            <sz val="9"/>
            <color indexed="81"/>
            <rFont val="Tahoma"/>
            <family val="2"/>
          </rPr>
          <t>Cassel, Lauren (Research):</t>
        </r>
        <r>
          <rPr>
            <sz val="9"/>
            <color indexed="81"/>
            <rFont val="Tahoma"/>
            <family val="2"/>
          </rPr>
          <t xml:space="preserve">
Assume retail is ~60% of sales</t>
        </r>
      </text>
    </comment>
    <comment ref="W234" authorId="9">
      <text>
        <r>
          <rPr>
            <b/>
            <sz val="9"/>
            <color indexed="81"/>
            <rFont val="Tahoma"/>
            <family val="2"/>
          </rPr>
          <t>Cassel, Lauren (Research):</t>
        </r>
        <r>
          <rPr>
            <sz val="9"/>
            <color indexed="81"/>
            <rFont val="Tahoma"/>
            <family val="2"/>
          </rPr>
          <t xml:space="preserve">
Assume retail is ~60% of sales</t>
        </r>
      </text>
    </comment>
    <comment ref="X234" authorId="9">
      <text>
        <r>
          <rPr>
            <b/>
            <sz val="9"/>
            <color indexed="81"/>
            <rFont val="Tahoma"/>
            <family val="2"/>
          </rPr>
          <t>Cassel, Lauren (Research):</t>
        </r>
        <r>
          <rPr>
            <sz val="9"/>
            <color indexed="81"/>
            <rFont val="Tahoma"/>
            <family val="2"/>
          </rPr>
          <t xml:space="preserve">
Assume retail is ~60% of sales</t>
        </r>
      </text>
    </comment>
    <comment ref="Y234" authorId="9">
      <text>
        <r>
          <rPr>
            <b/>
            <sz val="9"/>
            <color indexed="81"/>
            <rFont val="Tahoma"/>
            <family val="2"/>
          </rPr>
          <t>Cassel, Lauren (Research):</t>
        </r>
        <r>
          <rPr>
            <sz val="9"/>
            <color indexed="81"/>
            <rFont val="Tahoma"/>
            <family val="2"/>
          </rPr>
          <t xml:space="preserve">
Assume retail is ~60% of sales</t>
        </r>
      </text>
    </comment>
    <comment ref="Z234" authorId="9">
      <text>
        <r>
          <rPr>
            <b/>
            <sz val="9"/>
            <color indexed="81"/>
            <rFont val="Tahoma"/>
            <family val="2"/>
          </rPr>
          <t>Cassel, Lauren (Research):</t>
        </r>
        <r>
          <rPr>
            <sz val="9"/>
            <color indexed="81"/>
            <rFont val="Tahoma"/>
            <family val="2"/>
          </rPr>
          <t xml:space="preserve">
Assume retail is ~60% of sales</t>
        </r>
      </text>
    </comment>
    <comment ref="AA234" authorId="9">
      <text>
        <r>
          <rPr>
            <b/>
            <sz val="9"/>
            <color indexed="81"/>
            <rFont val="Tahoma"/>
            <family val="2"/>
          </rPr>
          <t>Cassel, Lauren (Research):</t>
        </r>
        <r>
          <rPr>
            <sz val="9"/>
            <color indexed="81"/>
            <rFont val="Tahoma"/>
            <family val="2"/>
          </rPr>
          <t xml:space="preserve">
Assume retail is ~60% of sales</t>
        </r>
      </text>
    </comment>
    <comment ref="AB234" authorId="9">
      <text>
        <r>
          <rPr>
            <b/>
            <sz val="9"/>
            <color indexed="81"/>
            <rFont val="Tahoma"/>
            <family val="2"/>
          </rPr>
          <t>Cassel, Lauren (Research):</t>
        </r>
        <r>
          <rPr>
            <sz val="9"/>
            <color indexed="81"/>
            <rFont val="Tahoma"/>
            <family val="2"/>
          </rPr>
          <t xml:space="preserve">
Assume retail is ~60% of sales</t>
        </r>
      </text>
    </comment>
    <comment ref="AC234" authorId="9">
      <text>
        <r>
          <rPr>
            <b/>
            <sz val="9"/>
            <color indexed="81"/>
            <rFont val="Tahoma"/>
            <family val="2"/>
          </rPr>
          <t>Cassel, Lauren (Research):</t>
        </r>
        <r>
          <rPr>
            <sz val="9"/>
            <color indexed="81"/>
            <rFont val="Tahoma"/>
            <family val="2"/>
          </rPr>
          <t xml:space="preserve">
Assume retail is ~60% of sales</t>
        </r>
      </text>
    </comment>
    <comment ref="A246" authorId="9">
      <text>
        <r>
          <rPr>
            <b/>
            <sz val="9"/>
            <color indexed="81"/>
            <rFont val="Tahoma"/>
            <family val="2"/>
          </rPr>
          <t>Cassel, Lauren (Research):</t>
        </r>
        <r>
          <rPr>
            <sz val="9"/>
            <color indexed="81"/>
            <rFont val="Tahoma"/>
            <family val="2"/>
          </rPr>
          <t xml:space="preserve">
Assume retail is ~60% of sales</t>
        </r>
      </text>
    </comment>
    <comment ref="P246" authorId="9">
      <text>
        <r>
          <rPr>
            <b/>
            <sz val="9"/>
            <color indexed="81"/>
            <rFont val="Tahoma"/>
            <family val="2"/>
          </rPr>
          <t>Cassel, Lauren (Research):</t>
        </r>
        <r>
          <rPr>
            <sz val="9"/>
            <color indexed="81"/>
            <rFont val="Tahoma"/>
            <family val="2"/>
          </rPr>
          <t xml:space="preserve">
Assume retail is ~60% of sales</t>
        </r>
      </text>
    </comment>
    <comment ref="Q246" authorId="9">
      <text>
        <r>
          <rPr>
            <b/>
            <sz val="9"/>
            <color indexed="81"/>
            <rFont val="Tahoma"/>
            <family val="2"/>
          </rPr>
          <t>Cassel, Lauren (Research):</t>
        </r>
        <r>
          <rPr>
            <sz val="9"/>
            <color indexed="81"/>
            <rFont val="Tahoma"/>
            <family val="2"/>
          </rPr>
          <t xml:space="preserve">
Assume retail is ~60% of sales</t>
        </r>
      </text>
    </comment>
    <comment ref="R246" authorId="9">
      <text>
        <r>
          <rPr>
            <b/>
            <sz val="9"/>
            <color indexed="81"/>
            <rFont val="Tahoma"/>
            <family val="2"/>
          </rPr>
          <t>Cassel, Lauren (Research):</t>
        </r>
        <r>
          <rPr>
            <sz val="9"/>
            <color indexed="81"/>
            <rFont val="Tahoma"/>
            <family val="2"/>
          </rPr>
          <t xml:space="preserve">
Assume retail is ~60% of sales</t>
        </r>
      </text>
    </comment>
    <comment ref="S246" authorId="9">
      <text>
        <r>
          <rPr>
            <b/>
            <sz val="9"/>
            <color indexed="81"/>
            <rFont val="Tahoma"/>
            <family val="2"/>
          </rPr>
          <t>Cassel, Lauren (Research):</t>
        </r>
        <r>
          <rPr>
            <sz val="9"/>
            <color indexed="81"/>
            <rFont val="Tahoma"/>
            <family val="2"/>
          </rPr>
          <t xml:space="preserve">
Assume retail is ~60% of sales</t>
        </r>
      </text>
    </comment>
    <comment ref="T246" authorId="9">
      <text>
        <r>
          <rPr>
            <b/>
            <sz val="9"/>
            <color indexed="81"/>
            <rFont val="Tahoma"/>
            <family val="2"/>
          </rPr>
          <t>Cassel, Lauren (Research):</t>
        </r>
        <r>
          <rPr>
            <sz val="9"/>
            <color indexed="81"/>
            <rFont val="Tahoma"/>
            <family val="2"/>
          </rPr>
          <t xml:space="preserve">
Assume retail is ~60% of sales</t>
        </r>
      </text>
    </comment>
    <comment ref="U246" authorId="9">
      <text>
        <r>
          <rPr>
            <b/>
            <sz val="9"/>
            <color indexed="81"/>
            <rFont val="Tahoma"/>
            <family val="2"/>
          </rPr>
          <t>Cassel, Lauren (Research):</t>
        </r>
        <r>
          <rPr>
            <sz val="9"/>
            <color indexed="81"/>
            <rFont val="Tahoma"/>
            <family val="2"/>
          </rPr>
          <t xml:space="preserve">
Assume retail is ~60% of sales</t>
        </r>
      </text>
    </comment>
    <comment ref="V246" authorId="9">
      <text>
        <r>
          <rPr>
            <b/>
            <sz val="9"/>
            <color indexed="81"/>
            <rFont val="Tahoma"/>
            <family val="2"/>
          </rPr>
          <t>Cassel, Lauren (Research):</t>
        </r>
        <r>
          <rPr>
            <sz val="9"/>
            <color indexed="81"/>
            <rFont val="Tahoma"/>
            <family val="2"/>
          </rPr>
          <t xml:space="preserve">
Assume retail is ~60% of sales</t>
        </r>
      </text>
    </comment>
    <comment ref="W246" authorId="9">
      <text>
        <r>
          <rPr>
            <b/>
            <sz val="9"/>
            <color indexed="81"/>
            <rFont val="Tahoma"/>
            <family val="2"/>
          </rPr>
          <t>Cassel, Lauren (Research):</t>
        </r>
        <r>
          <rPr>
            <sz val="9"/>
            <color indexed="81"/>
            <rFont val="Tahoma"/>
            <family val="2"/>
          </rPr>
          <t xml:space="preserve">
Assume retail is ~60% of sales</t>
        </r>
      </text>
    </comment>
    <comment ref="X246" authorId="9">
      <text>
        <r>
          <rPr>
            <b/>
            <sz val="9"/>
            <color indexed="81"/>
            <rFont val="Tahoma"/>
            <family val="2"/>
          </rPr>
          <t>Cassel, Lauren (Research):</t>
        </r>
        <r>
          <rPr>
            <sz val="9"/>
            <color indexed="81"/>
            <rFont val="Tahoma"/>
            <family val="2"/>
          </rPr>
          <t xml:space="preserve">
Assume retail is ~60% of sales</t>
        </r>
      </text>
    </comment>
    <comment ref="Y246" authorId="9">
      <text>
        <r>
          <rPr>
            <b/>
            <sz val="9"/>
            <color indexed="81"/>
            <rFont val="Tahoma"/>
            <family val="2"/>
          </rPr>
          <t>Cassel, Lauren (Research):</t>
        </r>
        <r>
          <rPr>
            <sz val="9"/>
            <color indexed="81"/>
            <rFont val="Tahoma"/>
            <family val="2"/>
          </rPr>
          <t xml:space="preserve">
Assume retail is ~60% of sales</t>
        </r>
      </text>
    </comment>
    <comment ref="Z246" authorId="9">
      <text>
        <r>
          <rPr>
            <b/>
            <sz val="9"/>
            <color indexed="81"/>
            <rFont val="Tahoma"/>
            <family val="2"/>
          </rPr>
          <t>Cassel, Lauren (Research):</t>
        </r>
        <r>
          <rPr>
            <sz val="9"/>
            <color indexed="81"/>
            <rFont val="Tahoma"/>
            <family val="2"/>
          </rPr>
          <t xml:space="preserve">
Assume retail is ~60% of sales</t>
        </r>
      </text>
    </comment>
    <comment ref="AA246" authorId="9">
      <text>
        <r>
          <rPr>
            <b/>
            <sz val="9"/>
            <color indexed="81"/>
            <rFont val="Tahoma"/>
            <family val="2"/>
          </rPr>
          <t>Cassel, Lauren (Research):</t>
        </r>
        <r>
          <rPr>
            <sz val="9"/>
            <color indexed="81"/>
            <rFont val="Tahoma"/>
            <family val="2"/>
          </rPr>
          <t xml:space="preserve">
Assume retail is ~60% of sales</t>
        </r>
      </text>
    </comment>
    <comment ref="AB246" authorId="9">
      <text>
        <r>
          <rPr>
            <b/>
            <sz val="9"/>
            <color indexed="81"/>
            <rFont val="Tahoma"/>
            <family val="2"/>
          </rPr>
          <t>Cassel, Lauren (Research):</t>
        </r>
        <r>
          <rPr>
            <sz val="9"/>
            <color indexed="81"/>
            <rFont val="Tahoma"/>
            <family val="2"/>
          </rPr>
          <t xml:space="preserve">
Assume retail is ~60% of sales</t>
        </r>
      </text>
    </comment>
    <comment ref="AC246" authorId="9">
      <text>
        <r>
          <rPr>
            <b/>
            <sz val="9"/>
            <color indexed="81"/>
            <rFont val="Tahoma"/>
            <family val="2"/>
          </rPr>
          <t>Cassel, Lauren (Research):</t>
        </r>
        <r>
          <rPr>
            <sz val="9"/>
            <color indexed="81"/>
            <rFont val="Tahoma"/>
            <family val="2"/>
          </rPr>
          <t xml:space="preserve">
Assume retail is ~60% of sales</t>
        </r>
      </text>
    </comment>
  </commentList>
</comments>
</file>

<file path=xl/comments8.xml><?xml version="1.0" encoding="utf-8"?>
<comments xmlns="http://schemas.openxmlformats.org/spreadsheetml/2006/main">
  <authors>
    <author>Cassel, Lauren (Research)</author>
    <author>Roberts, Cynthia (Research)</author>
  </authors>
  <commentList>
    <comment ref="D30" authorId="0">
      <text>
        <r>
          <rPr>
            <b/>
            <sz val="9"/>
            <color indexed="81"/>
            <rFont val="Tahoma"/>
            <family val="2"/>
          </rPr>
          <t>Cassel, Lauren (Research):</t>
        </r>
        <r>
          <rPr>
            <sz val="9"/>
            <color indexed="81"/>
            <rFont val="Tahoma"/>
            <family val="2"/>
          </rPr>
          <t xml:space="preserve">
11/7/17: Our North America shipments grew during the quarter driven by
footwear. As expected, our sales at POS declined due to the wrap impact of spring 2017 door closures. However, we were pleased to have positive year- on-year performance in comp doors within our largest accounts. Our results are especially strong in those doors which have been renovated into the Modern Luxury concept. Our international wholesale business declined as expected, due in part to shipment timing, with shifts into both the fourth quarter of 2017 and the second quarter of fiscal 2018, while sales at POS rose, driven by door growth.</t>
        </r>
      </text>
    </comment>
    <comment ref="E30" authorId="0">
      <text>
        <r>
          <rPr>
            <b/>
            <sz val="9"/>
            <color indexed="81"/>
            <rFont val="Tahoma"/>
            <family val="2"/>
          </rPr>
          <t>Cassel, Lauren (Research):</t>
        </r>
        <r>
          <rPr>
            <sz val="9"/>
            <color indexed="81"/>
            <rFont val="Tahoma"/>
            <family val="2"/>
          </rPr>
          <t xml:space="preserve">
11/7/17: Constant Currency -2%; The brand’s North America business declined modestly, while the international business was flat on a reported basis and up slightly in constant currency given the impact of the stronger U.S. dollar. The brand’s international constant currency sales growth was
driven by increases in Europe, Greater China and Japan.</t>
        </r>
      </text>
    </comment>
    <comment ref="G30" authorId="0">
      <text>
        <r>
          <rPr>
            <b/>
            <sz val="9"/>
            <color indexed="81"/>
            <rFont val="Tahoma"/>
            <family val="2"/>
          </rPr>
          <t>Cassel, Lauren (Research):</t>
        </r>
        <r>
          <rPr>
            <sz val="9"/>
            <color indexed="81"/>
            <rFont val="Tahoma"/>
            <family val="2"/>
          </rPr>
          <t xml:space="preserve">
11/7/17: North America comp down similarly; Includes a benefit of ~100 bps driven by an increase in global eCommerce; results include the negative impact associated with the shift in timing of the Chinese mid-autumn festival into October, inventory mix issues, as well as hurricanes and typhoons</t>
        </r>
      </text>
    </comment>
    <comment ref="I30" authorId="0">
      <text>
        <r>
          <rPr>
            <b/>
            <sz val="9"/>
            <color indexed="81"/>
            <rFont val="Tahoma"/>
            <family val="2"/>
          </rPr>
          <t>Cassel, Lauren (Research):</t>
        </r>
        <r>
          <rPr>
            <sz val="9"/>
            <color indexed="81"/>
            <rFont val="Tahoma"/>
            <family val="2"/>
          </rPr>
          <t xml:space="preserve">
11/7/17: Reflects the strategic pullback in wholesale disposition and online flash sales</t>
        </r>
      </text>
    </comment>
    <comment ref="L30" authorId="0">
      <text>
        <r>
          <rPr>
            <b/>
            <sz val="9"/>
            <color indexed="81"/>
            <rFont val="Tahoma"/>
            <family val="2"/>
          </rPr>
          <t>Cassel, Lauren (Research):</t>
        </r>
        <r>
          <rPr>
            <sz val="9"/>
            <color indexed="81"/>
            <rFont val="Tahoma"/>
            <family val="2"/>
          </rPr>
          <t xml:space="preserve">
11/7/17: Includes the negative impact of ~600 bps from a decline in global eCommerce, as projected</t>
        </r>
      </text>
    </comment>
    <comment ref="O30" authorId="0">
      <text>
        <r>
          <rPr>
            <b/>
            <sz val="9"/>
            <color indexed="81"/>
            <rFont val="Tahoma"/>
            <family val="2"/>
          </rPr>
          <t>Cassel, Lauren (Research):</t>
        </r>
        <r>
          <rPr>
            <sz val="9"/>
            <color indexed="81"/>
            <rFont val="Tahoma"/>
            <family val="2"/>
          </rPr>
          <t xml:space="preserve">
11/7/17:  Sales
rose 10% driven by international wholesale shipment timing with more modest increases
in the global direct business driven in turn by distribution growth and global ecommerce.</t>
        </r>
      </text>
    </comment>
    <comment ref="Y30" authorId="0">
      <text>
        <r>
          <rPr>
            <b/>
            <sz val="9"/>
            <color indexed="81"/>
            <rFont val="Tahoma"/>
            <family val="2"/>
          </rPr>
          <t>Cassel, Lauren (Research):</t>
        </r>
        <r>
          <rPr>
            <sz val="9"/>
            <color indexed="81"/>
            <rFont val="Tahoma"/>
            <family val="2"/>
          </rPr>
          <t xml:space="preserve">
11/7/17: </t>
        </r>
        <r>
          <rPr>
            <b/>
            <sz val="9"/>
            <color indexed="81"/>
            <rFont val="Tahoma"/>
            <family val="2"/>
          </rPr>
          <t>Driven by larger than expected driven by inventory mix challenges, notably in the North American outlet channel, where there was pent up demand for higher margin logo product which we were unable to satisfy.</t>
        </r>
        <r>
          <rPr>
            <sz val="9"/>
            <color indexed="81"/>
            <rFont val="Tahoma"/>
            <family val="2"/>
          </rPr>
          <t xml:space="preserve"> This decline was not fully offset by the benefit of lower product costs. We also experienced a </t>
        </r>
        <r>
          <rPr>
            <b/>
            <sz val="9"/>
            <color indexed="81"/>
            <rFont val="Tahoma"/>
            <family val="2"/>
          </rPr>
          <t xml:space="preserve">negative 30 basis point impact due to bringing the women’s footwear business in-house. </t>
        </r>
        <r>
          <rPr>
            <sz val="9"/>
            <color indexed="81"/>
            <rFont val="Tahoma"/>
            <family val="2"/>
          </rPr>
          <t xml:space="preserve">In  addition, currency pressured the brand’s gross margin rate by </t>
        </r>
        <r>
          <rPr>
            <b/>
            <sz val="9"/>
            <color indexed="81"/>
            <rFont val="Tahoma"/>
            <family val="2"/>
          </rPr>
          <t>70 basis points in the quarter.</t>
        </r>
      </text>
    </comment>
    <comment ref="AA30" authorId="0">
      <text>
        <r>
          <rPr>
            <b/>
            <sz val="9"/>
            <color indexed="81"/>
            <rFont val="Tahoma"/>
            <family val="2"/>
          </rPr>
          <t>Cassel, Lauren (Research):</t>
        </r>
        <r>
          <rPr>
            <sz val="9"/>
            <color indexed="81"/>
            <rFont val="Tahoma"/>
            <family val="2"/>
          </rPr>
          <t xml:space="preserve">
$76M GAAP</t>
        </r>
      </text>
    </comment>
    <comment ref="AC30" authorId="0">
      <text>
        <r>
          <rPr>
            <b/>
            <sz val="9"/>
            <color indexed="81"/>
            <rFont val="Tahoma"/>
            <family val="2"/>
          </rPr>
          <t>Cassel, Lauren (Research):</t>
        </r>
        <r>
          <rPr>
            <sz val="9"/>
            <color indexed="81"/>
            <rFont val="Tahoma"/>
            <family val="2"/>
          </rPr>
          <t xml:space="preserve">
11/7/17: above expectations and the prior year benefitting in part from lower discount rates in
the North America outlet channel.</t>
        </r>
      </text>
    </comment>
    <comment ref="AG30" authorId="0">
      <text>
        <r>
          <rPr>
            <b/>
            <sz val="9"/>
            <color indexed="81"/>
            <rFont val="Tahoma"/>
            <family val="2"/>
          </rPr>
          <t>Cassel, Lauren (Research):</t>
        </r>
        <r>
          <rPr>
            <sz val="9"/>
            <color indexed="81"/>
            <rFont val="Tahoma"/>
            <family val="2"/>
          </rPr>
          <t xml:space="preserve">
11/7/17: decline being driven by negative currency impact and channel mix given the higher  penetration of wholesale sales versus prior year.</t>
        </r>
      </text>
    </comment>
    <comment ref="AM30" authorId="0">
      <text>
        <r>
          <rPr>
            <b/>
            <sz val="9"/>
            <color indexed="81"/>
            <rFont val="Tahoma"/>
            <family val="2"/>
          </rPr>
          <t>Cassel, Lauren (Research):</t>
        </r>
        <r>
          <rPr>
            <sz val="9"/>
            <color indexed="81"/>
            <rFont val="Tahoma"/>
            <family val="2"/>
          </rPr>
          <t xml:space="preserve">
11/7/17: The year-over-year increase in expenses was due, in part, to higher occupancy costs, as well as increased depreciation.</t>
        </r>
      </text>
    </comment>
    <comment ref="AO30" authorId="0">
      <text>
        <r>
          <rPr>
            <b/>
            <sz val="9"/>
            <color indexed="81"/>
            <rFont val="Tahoma"/>
            <family val="2"/>
          </rPr>
          <t>Cassel, Lauren (Research):</t>
        </r>
        <r>
          <rPr>
            <sz val="9"/>
            <color indexed="81"/>
            <rFont val="Tahoma"/>
            <family val="2"/>
          </rPr>
          <t xml:space="preserve">
-$135M GAAP</t>
        </r>
      </text>
    </comment>
    <comment ref="AQ30" authorId="0">
      <text>
        <r>
          <rPr>
            <b/>
            <sz val="9"/>
            <color indexed="81"/>
            <rFont val="Tahoma"/>
            <family val="2"/>
          </rPr>
          <t>Cassel, Lauren (Research):</t>
        </r>
        <r>
          <rPr>
            <sz val="9"/>
            <color indexed="81"/>
            <rFont val="Tahoma"/>
            <family val="2"/>
          </rPr>
          <t xml:space="preserve">
11/7/17: As previously noted, when looking at Kate Spade results on a proforma basis, we did not anniversary certain compensation benefits, as expected.</t>
        </r>
      </text>
    </comment>
    <comment ref="AV30" authorId="0">
      <text>
        <r>
          <rPr>
            <b/>
            <sz val="9"/>
            <color indexed="81"/>
            <rFont val="Tahoma"/>
            <family val="2"/>
          </rPr>
          <t>Cassel, Lauren (Research):</t>
        </r>
        <r>
          <rPr>
            <sz val="9"/>
            <color indexed="81"/>
            <rFont val="Tahoma"/>
            <family val="2"/>
          </rPr>
          <t xml:space="preserve">
11/7/17: SG&amp;A expenses +1%</t>
        </r>
      </text>
    </comment>
    <comment ref="E31" authorId="1">
      <text>
        <r>
          <rPr>
            <b/>
            <sz val="9"/>
            <color indexed="81"/>
            <rFont val="Tahoma"/>
            <family val="2"/>
          </rPr>
          <t>Roberts, Cynthia (Research):</t>
        </r>
        <r>
          <rPr>
            <sz val="9"/>
            <color indexed="81"/>
            <rFont val="Tahoma"/>
            <family val="2"/>
          </rPr>
          <t xml:space="preserve">
2/6/18: constant currency +2%; Overall, for the second quarter, Coach sales increased 2%, both as reported and in constant currency, led by North America. While the international business in aggregate also rose on both the reported and constant currency basis. The brand's international constant currency sales growth was driven by increases in Europe, Greater China, South East Asia and Japan. Globally, we saw our business with the Chinese consumer increase with notable strength in Japan, Continental Europe and other Asia markets.
</t>
        </r>
      </text>
    </comment>
    <comment ref="G31" authorId="0">
      <text>
        <r>
          <rPr>
            <b/>
            <sz val="9"/>
            <color indexed="81"/>
            <rFont val="Tahoma"/>
            <family val="2"/>
          </rPr>
          <t>Cassel, Lauren (Research):</t>
        </r>
        <r>
          <rPr>
            <sz val="9"/>
            <color indexed="81"/>
            <rFont val="Tahoma"/>
            <family val="2"/>
          </rPr>
          <t xml:space="preserve">
2/6/18:  including 100 bps benefit from increase in global eCommerce; led by North America outperformance as the inventory mix was corrected and
mall traffic trends improved. Overall, Greater China comps rose with positive comps on the Mainland and a significant improvement in trend in
Hong Kong and Macau. Comps in Europe were flat year-over-year as expected, given the double-digit gains posted in last year's second quarter,
fueled by currency weakness, notably, in the U.K..
117/17: "positive quarter to date comps"</t>
        </r>
      </text>
    </comment>
    <comment ref="L31" authorId="1">
      <text>
        <r>
          <rPr>
            <b/>
            <sz val="9"/>
            <color indexed="81"/>
            <rFont val="Tahoma"/>
            <family val="2"/>
          </rPr>
          <t>Roberts, Cynthia (Research):</t>
        </r>
        <r>
          <rPr>
            <sz val="9"/>
            <color indexed="81"/>
            <rFont val="Tahoma"/>
            <family val="2"/>
          </rPr>
          <t xml:space="preserve">
2/6/18: includes  negative impact of ~400 bps from a decline in global eCommerce</t>
        </r>
      </text>
    </comment>
    <comment ref="O31" authorId="0">
      <text>
        <r>
          <rPr>
            <b/>
            <sz val="9"/>
            <color indexed="81"/>
            <rFont val="Tahoma"/>
            <family val="2"/>
          </rPr>
          <t>Cassel, Lauren (Research):</t>
        </r>
        <r>
          <rPr>
            <sz val="9"/>
            <color indexed="81"/>
            <rFont val="Tahoma"/>
            <family val="2"/>
          </rPr>
          <t xml:space="preserve">
11/7/17: Expect 2Q  results to be essentially even on a year-over-year basis, given the extremely difficult compare with last year’s second quarter, which benefitted from shipment timing shifts.</t>
        </r>
      </text>
    </comment>
    <comment ref="Y31" authorId="0">
      <text>
        <r>
          <rPr>
            <b/>
            <sz val="9"/>
            <color indexed="81"/>
            <rFont val="Tahoma"/>
            <family val="2"/>
          </rPr>
          <t>Cassel, Lauren (Research):</t>
        </r>
        <r>
          <rPr>
            <sz val="9"/>
            <color indexed="81"/>
            <rFont val="Tahoma"/>
            <family val="2"/>
          </rPr>
          <t xml:space="preserve">
2/6/18: includes -10 bps of pressure from currency and -30 bps from bring the women's footwear business in house
11/7/17: expect relatively similar 2Q/3Q decline </t>
        </r>
      </text>
    </comment>
    <comment ref="AC31" authorId="1">
      <text>
        <r>
          <rPr>
            <b/>
            <sz val="9"/>
            <color indexed="81"/>
            <rFont val="Tahoma"/>
            <family val="2"/>
          </rPr>
          <t>Roberts, Cynthia (Research):</t>
        </r>
        <r>
          <rPr>
            <sz val="9"/>
            <color indexed="81"/>
            <rFont val="Tahoma"/>
            <family val="2"/>
          </rPr>
          <t xml:space="preserve">
2/6/18: benefited from lower discount rates in North America up the the channel</t>
        </r>
      </text>
    </comment>
    <comment ref="AG31" authorId="1">
      <text>
        <r>
          <rPr>
            <b/>
            <sz val="9"/>
            <color indexed="81"/>
            <rFont val="Tahoma"/>
            <family val="2"/>
          </rPr>
          <t>Roberts, Cynthia (Research):</t>
        </r>
        <r>
          <rPr>
            <sz val="9"/>
            <color indexed="81"/>
            <rFont val="Tahoma"/>
            <family val="2"/>
          </rPr>
          <t xml:space="preserve">
2/6/18: FX  -170 bps impact </t>
        </r>
      </text>
    </comment>
    <comment ref="G32" authorId="1">
      <text>
        <r>
          <rPr>
            <b/>
            <sz val="9"/>
            <color indexed="81"/>
            <rFont val="Tahoma"/>
            <family val="2"/>
          </rPr>
          <t>Roberts, Cynthia (Research):</t>
        </r>
        <r>
          <rPr>
            <sz val="9"/>
            <color indexed="81"/>
            <rFont val="Tahoma"/>
            <family val="2"/>
          </rPr>
          <t xml:space="preserve">
2/6/18: "well -positioned" to drive positive comps, inlcudes ~50 bps Easter shift</t>
        </r>
      </text>
    </comment>
    <comment ref="Y32" authorId="0">
      <text>
        <r>
          <rPr>
            <b/>
            <sz val="9"/>
            <color indexed="81"/>
            <rFont val="Tahoma"/>
            <family val="2"/>
          </rPr>
          <t>Cassel, Lauren (Research):</t>
        </r>
        <r>
          <rPr>
            <sz val="9"/>
            <color indexed="81"/>
            <rFont val="Tahoma"/>
            <family val="2"/>
          </rPr>
          <t xml:space="preserve">
2/6/18: expect flattish
11/7/17: expect relatively similar 2Q/3Q decline </t>
        </r>
      </text>
    </comment>
    <comment ref="Y33" authorId="0">
      <text>
        <r>
          <rPr>
            <b/>
            <sz val="9"/>
            <color indexed="81"/>
            <rFont val="Tahoma"/>
            <family val="2"/>
          </rPr>
          <t>Cassel, Lauren (Research):</t>
        </r>
        <r>
          <rPr>
            <sz val="9"/>
            <color indexed="81"/>
            <rFont val="Tahoma"/>
            <family val="2"/>
          </rPr>
          <t xml:space="preserve">
2/6/18: reit improvement
11/7/17: expect 4Q to improve squentially </t>
        </r>
      </text>
    </comment>
    <comment ref="G34" authorId="0">
      <text>
        <r>
          <rPr>
            <b/>
            <sz val="9"/>
            <color indexed="81"/>
            <rFont val="Tahoma"/>
            <family val="2"/>
          </rPr>
          <t>Cassel, Lauren (Research):</t>
        </r>
        <r>
          <rPr>
            <sz val="9"/>
            <color indexed="81"/>
            <rFont val="Tahoma"/>
            <family val="2"/>
          </rPr>
          <t xml:space="preserve">
Guidance +LSD comp</t>
        </r>
      </text>
    </comment>
    <comment ref="L34" authorId="1">
      <text>
        <r>
          <rPr>
            <b/>
            <sz val="9"/>
            <color indexed="81"/>
            <rFont val="Tahoma"/>
            <family val="2"/>
          </rPr>
          <t>Roberts, Cynthia (Research):</t>
        </r>
        <r>
          <rPr>
            <sz val="9"/>
            <color indexed="81"/>
            <rFont val="Tahoma"/>
            <family val="2"/>
          </rPr>
          <t xml:space="preserve">
-8</t>
        </r>
      </text>
    </comment>
    <comment ref="Y34" authorId="0">
      <text>
        <r>
          <rPr>
            <b/>
            <sz val="9"/>
            <color indexed="81"/>
            <rFont val="Tahoma"/>
            <family val="2"/>
          </rPr>
          <t>Cassel, Lauren (Research):</t>
        </r>
        <r>
          <rPr>
            <sz val="9"/>
            <color indexed="81"/>
            <rFont val="Tahoma"/>
            <family val="2"/>
          </rPr>
          <t xml:space="preserve">
11/7/17: Expect Coach brand gross margin flat to up modestly for the year </t>
        </r>
      </text>
    </comment>
  </commentList>
</comments>
</file>

<file path=xl/comments9.xml><?xml version="1.0" encoding="utf-8"?>
<comments xmlns="http://schemas.openxmlformats.org/spreadsheetml/2006/main">
  <authors>
    <author>mm98285</author>
    <author>LM37689</author>
    <author>turleamb</author>
    <author>lauraro</author>
    <author>solejay</author>
    <author>Turley, Amber (Research)</author>
    <author>casselau</author>
    <author>Cassel, Lauren (Research)</author>
    <author>oc48540</author>
    <author>nicholjs</author>
    <author>Mains, Spencer (Research)</author>
    <author>kimberlg</author>
    <author>Baglione, Gregory  (Research)</author>
    <author>ns66486</author>
    <author>KG51925</author>
    <author>Roberts, Cynthia (Research)</author>
    <author>kg51925</author>
    <author>MB33100</author>
  </authors>
  <commentList>
    <comment ref="AV10" authorId="0">
      <text>
        <r>
          <rPr>
            <b/>
            <sz val="8"/>
            <color indexed="81"/>
            <rFont val="Tahoma"/>
            <family val="2"/>
          </rPr>
          <t>mm98285:</t>
        </r>
        <r>
          <rPr>
            <sz val="8"/>
            <color indexed="81"/>
            <rFont val="Tahoma"/>
            <family val="2"/>
          </rPr>
          <t xml:space="preserve">
8/07: $448.951 incl discontinued ops
</t>
        </r>
      </text>
    </comment>
    <comment ref="AZ10" authorId="1">
      <text>
        <r>
          <rPr>
            <b/>
            <sz val="8"/>
            <color indexed="81"/>
            <rFont val="Tahoma"/>
            <family val="2"/>
          </rPr>
          <t>LM37689:</t>
        </r>
        <r>
          <rPr>
            <sz val="8"/>
            <color indexed="81"/>
            <rFont val="Tahoma"/>
            <family val="2"/>
          </rPr>
          <t xml:space="preserve">
5/07: $553.851 incl discontinued ops
8/01/06:  guided to $535mm in 1Q</t>
        </r>
      </text>
    </comment>
    <comment ref="BD10" authorId="0">
      <text>
        <r>
          <rPr>
            <b/>
            <sz val="8"/>
            <color indexed="81"/>
            <rFont val="Tahoma"/>
            <family val="2"/>
          </rPr>
          <t>mm98285:</t>
        </r>
        <r>
          <rPr>
            <sz val="8"/>
            <color indexed="81"/>
            <rFont val="Tahoma"/>
            <family val="2"/>
          </rPr>
          <t xml:space="preserve">
4Q07: guide to $655mm</t>
        </r>
      </text>
    </comment>
    <comment ref="BH10" authorId="0">
      <text>
        <r>
          <rPr>
            <b/>
            <sz val="8"/>
            <color indexed="81"/>
            <rFont val="Tahoma"/>
            <family val="2"/>
          </rPr>
          <t>mm98285:</t>
        </r>
        <r>
          <rPr>
            <sz val="8"/>
            <color indexed="81"/>
            <rFont val="Tahoma"/>
            <family val="2"/>
          </rPr>
          <t xml:space="preserve">
7/29/08: guided to $765mm</t>
        </r>
      </text>
    </comment>
    <comment ref="BN10" authorId="2">
      <text>
        <r>
          <rPr>
            <b/>
            <sz val="9"/>
            <color indexed="81"/>
            <rFont val="Tahoma"/>
            <family val="2"/>
          </rPr>
          <t>turleamb:</t>
        </r>
        <r>
          <rPr>
            <sz val="9"/>
            <color indexed="81"/>
            <rFont val="Tahoma"/>
            <family val="2"/>
          </rPr>
          <t xml:space="preserve">
10/20/09: Fueling this trend was better traffic and transaction size comparisons
from 4Q. Average transaction size in full price was only slightly lower compared to prior year as increased handbag penetration
offset lower average unit retails in handbags. In factory where we continued the leverage the flexibility inherent in our business
model to drive sales through pricing, we saw increases in traffic and ticket while conversion levels were maintained.</t>
        </r>
      </text>
    </comment>
    <comment ref="BP10" authorId="3">
      <text>
        <r>
          <rPr>
            <b/>
            <sz val="8"/>
            <color indexed="81"/>
            <rFont val="Tahoma"/>
            <family val="2"/>
          </rPr>
          <t>lauraro:</t>
        </r>
        <r>
          <rPr>
            <sz val="8"/>
            <color indexed="81"/>
            <rFont val="Tahoma"/>
            <family val="2"/>
          </rPr>
          <t xml:space="preserve">
10/15: Cons $842</t>
        </r>
      </text>
    </comment>
    <comment ref="BR10" authorId="2">
      <text>
        <r>
          <rPr>
            <b/>
            <sz val="9"/>
            <color indexed="81"/>
            <rFont val="Tahoma"/>
            <family val="2"/>
          </rPr>
          <t>turleamb:</t>
        </r>
        <r>
          <rPr>
            <sz val="9"/>
            <color indexed="81"/>
            <rFont val="Tahoma"/>
            <family val="2"/>
          </rPr>
          <t xml:space="preserve">
10/26/10: In full price stores both conversion and ticket rose, partially offset by traffic. In factory, conversion and traffic rose partially offset
by average transaction size.</t>
        </r>
      </text>
    </comment>
    <comment ref="BU10" authorId="3">
      <text>
        <r>
          <rPr>
            <b/>
            <sz val="8"/>
            <color indexed="81"/>
            <rFont val="Tahoma"/>
            <family val="2"/>
          </rPr>
          <t>lauraro:</t>
        </r>
        <r>
          <rPr>
            <sz val="8"/>
            <color indexed="81"/>
            <rFont val="Tahoma"/>
            <family val="2"/>
          </rPr>
          <t xml:space="preserve">
8/2/11: +DD sales growth</t>
        </r>
      </text>
    </comment>
    <comment ref="BV10" authorId="3">
      <text>
        <r>
          <rPr>
            <b/>
            <sz val="8"/>
            <color indexed="81"/>
            <rFont val="Tahoma"/>
            <family val="2"/>
          </rPr>
          <t>lauraro:</t>
        </r>
        <r>
          <rPr>
            <sz val="8"/>
            <color indexed="81"/>
            <rFont val="Tahoma"/>
            <family val="2"/>
          </rPr>
          <t xml:space="preserve">
10/25/11: chain store sales rose 9.2%fueling the strong overall comp with similarly strong gains in
both channels driven by significant increases in conversion from prior year while tickets rose as well and store traffic declined.
It's important to note, however, that we continue to experience significant gains in traffic and sales on the Internet.
8/2/11: at least +MSD comps</t>
        </r>
      </text>
    </comment>
    <comment ref="BZ10" authorId="4">
      <text>
        <r>
          <rPr>
            <sz val="8"/>
            <color indexed="81"/>
            <rFont val="Tahoma"/>
            <family val="2"/>
          </rPr>
          <t>7/31/12: CFO - "when you’re modeling out the quarters, I would like you to remember that the first quarter will be the most challenging in terms of both top line – as we’re up against very strong North America comps and a larger currency benefit – and bottom line, due to the disproportionate impact of the investments and brand spend."
and
From the conf call - "we plan to support Legacy through a greater investment in integrated marketing communications, featuring bold new creative across print, digital, and outdoor.  These major marketing initiatives are timed to coincide with the publication of the September fashion books when they drop in mid-August"</t>
        </r>
      </text>
    </comment>
    <comment ref="CB10" authorId="2">
      <text>
        <r>
          <rPr>
            <b/>
            <sz val="8"/>
            <color indexed="81"/>
            <rFont val="Tahoma"/>
            <family val="2"/>
          </rPr>
          <t>turleamb:</t>
        </r>
        <r>
          <rPr>
            <sz val="8"/>
            <color indexed="81"/>
            <rFont val="Tahoma"/>
            <family val="2"/>
          </rPr>
          <t xml:space="preserve">
10/22/13: During the first quarter we achieved slight overall sales gains in constant
currency, benefiting from our geographic diversity. We continued to drive
excellent growth in emerging markets and Europe as well as in the Men`s business
and developing lifestyle categories, such as footwear.</t>
        </r>
      </text>
    </comment>
    <comment ref="CC10" authorId="4">
      <text>
        <r>
          <rPr>
            <sz val="8"/>
            <color indexed="81"/>
            <rFont val="Tahoma"/>
            <family val="2"/>
          </rPr>
          <t>10/22/13: On CC +2% with Intl +9%. Overall sales -1% in NA and -1% in Intl
7/30/2013 CFO - "Looking at overall top line growth, the first half, and especially first quarter, will be the most impacted by the yen."</t>
        </r>
      </text>
    </comment>
    <comment ref="CD10" authorId="2">
      <text>
        <r>
          <rPr>
            <b/>
            <sz val="8"/>
            <color indexed="81"/>
            <rFont val="Tahoma"/>
            <family val="2"/>
          </rPr>
          <t>turleamb:</t>
        </r>
        <r>
          <rPr>
            <sz val="8"/>
            <color indexed="81"/>
            <rFont val="Tahoma"/>
            <family val="2"/>
          </rPr>
          <t xml:space="preserve">
10/22/13: "traffic trends in factory stores and retail stores have been tough and indeed in full price stores traffic slightly worsened in our --
in the quarter, but overall conversion has remained strong."</t>
        </r>
      </text>
    </comment>
    <comment ref="CH10" authorId="5">
      <text>
        <r>
          <rPr>
            <b/>
            <sz val="9"/>
            <color indexed="81"/>
            <rFont val="Tahoma"/>
            <family val="2"/>
          </rPr>
          <t>Store comp -19%
Turley, Amber (Research):</t>
        </r>
        <r>
          <rPr>
            <sz val="9"/>
            <color indexed="81"/>
            <rFont val="Tahoma"/>
            <family val="2"/>
          </rPr>
          <t xml:space="preserve">
10/28/14: reduction of eOS negatively impacted comp 500 bps; curtailed preferred customer events impacting conversion and traffic trends remained weak y/y. AUR rose as did avg transcation size.. Outlets definitely more promotional environment with their competitive set becoming even more aggressive. Outlet traffic levels were weak and conversion was negative while ticket up slgitly. 
10/28/14: North American direct sales declined similarly for the quarter with
comparable store sales down 24% including the impact of reduced eOutlet events,
which pressured total comparable stores sales. As expected, at POS, sales in
North American department stores declined at a mid-teens rate versus prior year,
while shipments into department stores declined to a lesser degree. 
per IR 8/5/14: 1Q should be the worst b/c of the eOS pull back and no new product until end of 1Q then maybe somewhat better for remainder of the year. </t>
        </r>
      </text>
    </comment>
    <comment ref="CK10" authorId="6">
      <text>
        <r>
          <rPr>
            <b/>
            <sz val="9"/>
            <color indexed="81"/>
            <rFont val="Tahoma"/>
            <family val="2"/>
          </rPr>
          <t xml:space="preserve">10/26/15: </t>
        </r>
        <r>
          <rPr>
            <sz val="9"/>
            <color indexed="81"/>
            <rFont val="Tahoma"/>
            <family val="2"/>
          </rPr>
          <t>+3% constant currency; Coach brand sales $943M, -9% (-5% CC)
Logo less than 5% of full price and 30% of outlet sales 
8/4/15: FX most likely to disproportionately impact 1H (and 1Q)</t>
        </r>
      </text>
    </comment>
    <comment ref="CL10" authorId="6">
      <text>
        <r>
          <rPr>
            <b/>
            <sz val="9"/>
            <color indexed="81"/>
            <rFont val="Tahoma"/>
            <family val="2"/>
          </rPr>
          <t>casselau:</t>
        </r>
        <r>
          <rPr>
            <sz val="9"/>
            <color indexed="81"/>
            <rFont val="Tahoma"/>
            <family val="2"/>
          </rPr>
          <t xml:space="preserve">
stores -8%; EOS -1.5%</t>
        </r>
      </text>
    </comment>
    <comment ref="CO10" authorId="7">
      <text>
        <r>
          <rPr>
            <b/>
            <sz val="9"/>
            <color indexed="81"/>
            <rFont val="Tahoma"/>
            <family val="2"/>
          </rPr>
          <t>Cassel, Lauren (Research):
11/1/16: -1% on a constant currency basis,</t>
        </r>
        <r>
          <rPr>
            <sz val="9"/>
            <color indexed="81"/>
            <rFont val="Tahoma"/>
            <family val="2"/>
          </rPr>
          <t xml:space="preserve"> including ~150 bps of pressure related to COHs strategic decision to elevate the Coach brand’s positioning in the North American wholesale channel through a reduction in promotional events and door closures. 
8/9/16: expect wholesale impact to be about 1% to sales growth most notably in 1Q</t>
        </r>
      </text>
    </comment>
    <comment ref="CP10" authorId="7">
      <text>
        <r>
          <rPr>
            <b/>
            <sz val="9"/>
            <color indexed="81"/>
            <rFont val="Tahoma"/>
            <family val="2"/>
          </rPr>
          <t xml:space="preserve">Cassel, Lauren (Research):
11/1/16: </t>
        </r>
        <r>
          <rPr>
            <sz val="9"/>
            <color indexed="81"/>
            <rFont val="Tahoma"/>
            <family val="2"/>
          </rPr>
          <t xml:space="preserve">Total North American </t>
        </r>
        <r>
          <rPr>
            <b/>
            <sz val="9"/>
            <color indexed="81"/>
            <rFont val="Tahoma"/>
            <family val="2"/>
          </rPr>
          <t xml:space="preserve">bricks and mortar comparable store sales rose 3.6% (driven by ticket and conversion with traffic down modestly), </t>
        </r>
        <r>
          <rPr>
            <sz val="9"/>
            <color indexed="81"/>
            <rFont val="Tahoma"/>
            <family val="2"/>
          </rPr>
          <t xml:space="preserve">while </t>
        </r>
        <r>
          <rPr>
            <b/>
            <sz val="9"/>
            <color indexed="81"/>
            <rFont val="Tahoma"/>
            <family val="2"/>
          </rPr>
          <t>aggregate North American comparable store sales increased approximately 2%, including the negative impact of e-commerce</t>
        </r>
        <r>
          <rPr>
            <sz val="9"/>
            <color indexed="81"/>
            <rFont val="Tahoma"/>
            <family val="2"/>
          </rPr>
          <t xml:space="preserve"> driven by a further decline in the Company’s eOutlet flash sale business. Coach.com retail site demand is similar to retail stores</t>
        </r>
        <r>
          <rPr>
            <b/>
            <sz val="9"/>
            <color indexed="81"/>
            <rFont val="Tahoma"/>
            <family val="2"/>
          </rPr>
          <t xml:space="preserve">
 Comparable store sales increased by $9.3 million or 1.9% primarily due to increased transaction size and conversion in stores. Excluding the negative impact of the Internet business on comparable store sales, primarily due to a lower number of transactions, comparable stores sales increased 3.6%.</t>
        </r>
      </text>
    </comment>
    <comment ref="CS10" authorId="7">
      <text>
        <r>
          <rPr>
            <b/>
            <sz val="9"/>
            <color indexed="81"/>
            <rFont val="Tahoma"/>
            <family val="2"/>
          </rPr>
          <t>Cassel, Lauren (Research):</t>
        </r>
        <r>
          <rPr>
            <sz val="9"/>
            <color indexed="81"/>
            <rFont val="Tahoma"/>
            <family val="2"/>
          </rPr>
          <t xml:space="preserve">
Constant Currency +25%</t>
        </r>
      </text>
    </comment>
    <comment ref="AV11" authorId="0">
      <text>
        <r>
          <rPr>
            <b/>
            <sz val="8"/>
            <color indexed="81"/>
            <rFont val="Tahoma"/>
            <family val="2"/>
          </rPr>
          <t>mm98285:</t>
        </r>
        <r>
          <rPr>
            <sz val="8"/>
            <color indexed="81"/>
            <rFont val="Tahoma"/>
            <family val="2"/>
          </rPr>
          <t xml:space="preserve">
8/07: $650.336 incl discontinued ops
</t>
        </r>
      </text>
    </comment>
    <comment ref="AZ11" authorId="0">
      <text>
        <r>
          <rPr>
            <b/>
            <sz val="8"/>
            <color indexed="81"/>
            <rFont val="Tahoma"/>
            <family val="2"/>
          </rPr>
          <t>mm98285:</t>
        </r>
        <r>
          <rPr>
            <sz val="8"/>
            <color indexed="81"/>
            <rFont val="Tahoma"/>
            <family val="2"/>
          </rPr>
          <t xml:space="preserve">
5/07: $836.387 incl discontinued ops
10/24/06:  guided to $785mm in 2Q</t>
        </r>
      </text>
    </comment>
    <comment ref="BD11" authorId="0">
      <text>
        <r>
          <rPr>
            <b/>
            <sz val="8"/>
            <color indexed="81"/>
            <rFont val="Tahoma"/>
            <family val="2"/>
          </rPr>
          <t>mm98285:</t>
        </r>
        <r>
          <rPr>
            <sz val="8"/>
            <color indexed="81"/>
            <rFont val="Tahoma"/>
            <family val="2"/>
          </rPr>
          <t xml:space="preserve">
10/07: expect $970mm</t>
        </r>
      </text>
    </comment>
    <comment ref="BF11" authorId="0">
      <text>
        <r>
          <rPr>
            <b/>
            <sz val="8"/>
            <color indexed="81"/>
            <rFont val="Tahoma"/>
            <family val="2"/>
          </rPr>
          <t>mm98285:</t>
        </r>
        <r>
          <rPr>
            <sz val="8"/>
            <color indexed="81"/>
            <rFont val="Tahoma"/>
            <family val="2"/>
          </rPr>
          <t xml:space="preserve">
est. 8%</t>
        </r>
      </text>
    </comment>
    <comment ref="BH11" authorId="0">
      <text>
        <r>
          <rPr>
            <b/>
            <sz val="8"/>
            <color indexed="81"/>
            <rFont val="Tahoma"/>
            <family val="2"/>
          </rPr>
          <t>mm98285:</t>
        </r>
        <r>
          <rPr>
            <sz val="8"/>
            <color indexed="81"/>
            <rFont val="Tahoma"/>
            <family val="2"/>
          </rPr>
          <t xml:space="preserve">
1/09: $960M
10/21/08: guided to $1.05B</t>
        </r>
      </text>
    </comment>
    <comment ref="BI11" authorId="0">
      <text>
        <r>
          <rPr>
            <b/>
            <sz val="8"/>
            <color indexed="81"/>
            <rFont val="Tahoma"/>
            <family val="2"/>
          </rPr>
          <t>mm98285:</t>
        </r>
        <r>
          <rPr>
            <sz val="8"/>
            <color indexed="81"/>
            <rFont val="Tahoma"/>
            <family val="2"/>
          </rPr>
          <t xml:space="preserve">
10/08: expect 2Q sales of $1.05B, representing 8% increase</t>
        </r>
      </text>
    </comment>
    <comment ref="BN11" authorId="2">
      <text>
        <r>
          <rPr>
            <b/>
            <sz val="9"/>
            <color indexed="81"/>
            <rFont val="Tahoma"/>
            <family val="2"/>
          </rPr>
          <t>turleamb:</t>
        </r>
        <r>
          <rPr>
            <sz val="9"/>
            <color indexed="81"/>
            <rFont val="Tahoma"/>
            <family val="2"/>
          </rPr>
          <t xml:space="preserve">
1/20/10: Fueling these comp results were significant gains in conversion from prior year, offset in part by lower traffic. We were particularly
pleased with this improvement as conversion. In full-priced stores, average transaction size was modestly lower
compared to prior year as increased handbag penetration offset most of the impact of lower AURs while traffic trends held at
Q1 levels</t>
        </r>
      </text>
    </comment>
    <comment ref="BP11" authorId="3">
      <text>
        <r>
          <rPr>
            <b/>
            <sz val="8"/>
            <color indexed="81"/>
            <rFont val="Tahoma"/>
            <family val="2"/>
          </rPr>
          <t>lauraro:</t>
        </r>
        <r>
          <rPr>
            <sz val="8"/>
            <color indexed="81"/>
            <rFont val="Tahoma"/>
            <family val="2"/>
          </rPr>
          <t xml:space="preserve">
10/15: $1167</t>
        </r>
      </text>
    </comment>
    <comment ref="BR11" authorId="3">
      <text>
        <r>
          <rPr>
            <b/>
            <sz val="8"/>
            <color indexed="81"/>
            <rFont val="Tahoma"/>
            <family val="2"/>
          </rPr>
          <t>lauraro:</t>
        </r>
        <r>
          <rPr>
            <sz val="8"/>
            <color indexed="81"/>
            <rFont val="Tahoma"/>
            <family val="2"/>
          </rPr>
          <t xml:space="preserve">
1/25/11: comp driven by improved conversion and traffic in factory and FP
11/10: Raised guidance to +MSD NA comp for balance of FY11</t>
        </r>
      </text>
    </comment>
    <comment ref="BU11" authorId="3">
      <text>
        <r>
          <rPr>
            <b/>
            <sz val="8"/>
            <color indexed="81"/>
            <rFont val="Tahoma"/>
            <family val="2"/>
          </rPr>
          <t>lauraro:</t>
        </r>
        <r>
          <rPr>
            <sz val="8"/>
            <color indexed="81"/>
            <rFont val="Tahoma"/>
            <family val="2"/>
          </rPr>
          <t xml:space="preserve">
8/2/11: +DD sales growth</t>
        </r>
      </text>
    </comment>
    <comment ref="BV11" authorId="3">
      <text>
        <r>
          <rPr>
            <b/>
            <sz val="8"/>
            <color indexed="81"/>
            <rFont val="Tahoma"/>
            <family val="2"/>
          </rPr>
          <t xml:space="preserve">lauraro:
</t>
        </r>
        <r>
          <rPr>
            <sz val="8"/>
            <color indexed="81"/>
            <rFont val="Tahoma"/>
            <family val="2"/>
          </rPr>
          <t>1/24/12: Fueling these overall strong comp results were similar gains in both store
channels driven by conversion and average transaction size and continued strength in our e-commerce business. Overall retail traffic rose with
in-store trends consistent with prior quarters, while traffic on Coach.com continues to gain momentum
8/2/11: at least +MSD comps</t>
        </r>
      </text>
    </comment>
    <comment ref="BY11" authorId="6">
      <text>
        <r>
          <rPr>
            <b/>
            <sz val="8"/>
            <color indexed="81"/>
            <rFont val="Tahoma"/>
            <family val="2"/>
          </rPr>
          <t xml:space="preserve">
casselau:</t>
        </r>
        <r>
          <rPr>
            <sz val="8"/>
            <color indexed="81"/>
            <rFont val="Tahoma"/>
            <family val="2"/>
          </rPr>
          <t xml:space="preserve">
1/23: On a constant currency basis sales rose 5% for the quarter.</t>
        </r>
      </text>
    </comment>
    <comment ref="BZ11" authorId="6">
      <text>
        <r>
          <rPr>
            <b/>
            <sz val="8"/>
            <color indexed="81"/>
            <rFont val="Tahoma"/>
            <family val="2"/>
          </rPr>
          <t>casselau:</t>
        </r>
        <r>
          <rPr>
            <sz val="8"/>
            <color indexed="81"/>
            <rFont val="Tahoma"/>
            <family val="2"/>
          </rPr>
          <t xml:space="preserve">
most difficult compare given 3-year stack; currency is likely to be more of a topline growth headwind in 1H</t>
        </r>
      </text>
    </comment>
    <comment ref="CB11" authorId="2">
      <text>
        <r>
          <rPr>
            <b/>
            <sz val="8"/>
            <color indexed="81"/>
            <rFont val="Tahoma"/>
            <family val="2"/>
          </rPr>
          <t>turleamb:</t>
        </r>
        <r>
          <rPr>
            <sz val="8"/>
            <color indexed="81"/>
            <rFont val="Tahoma"/>
            <family val="2"/>
          </rPr>
          <t xml:space="preserve">
NA -9% and Intl +2%
weakness in NA womens bag and accessories business offset strong growth in mens footwear and sales in emerging Asia and Europe. Disappointed by NA which was impacted by substantially lower traffic in stores and their decision to limit access to e-Factory/sale sites</t>
        </r>
      </text>
    </comment>
    <comment ref="CC11" authorId="2">
      <text>
        <r>
          <rPr>
            <b/>
            <sz val="8"/>
            <color indexed="81"/>
            <rFont val="Tahoma"/>
            <family val="2"/>
          </rPr>
          <t>turleamb:</t>
        </r>
        <r>
          <rPr>
            <sz val="8"/>
            <color indexed="81"/>
            <rFont val="Tahoma"/>
            <family val="2"/>
          </rPr>
          <t xml:space="preserve">
1/22/14: CC -3%</t>
        </r>
      </text>
    </comment>
    <comment ref="CD11" authorId="6">
      <text>
        <r>
          <rPr>
            <b/>
            <sz val="9"/>
            <color indexed="81"/>
            <rFont val="Tahoma"/>
            <family val="2"/>
          </rPr>
          <t xml:space="preserve">turleamb:
</t>
        </r>
        <r>
          <rPr>
            <sz val="9"/>
            <color indexed="81"/>
            <rFont val="Tahoma"/>
            <family val="2"/>
          </rPr>
          <t xml:space="preserve">2/5/14 10-Q: Internet has a ~(1)% impact on the comp. </t>
        </r>
      </text>
    </comment>
    <comment ref="CG11" authorId="5">
      <text>
        <r>
          <rPr>
            <b/>
            <sz val="9"/>
            <color indexed="81"/>
            <rFont val="Tahoma"/>
            <family val="2"/>
          </rPr>
          <t>Turley, Amber (Research):</t>
        </r>
        <r>
          <rPr>
            <sz val="9"/>
            <color indexed="81"/>
            <rFont val="Tahoma"/>
            <family val="2"/>
          </rPr>
          <t xml:space="preserve">
1/29/15: -12% sales on constant currency basis. </t>
        </r>
      </text>
    </comment>
    <comment ref="CH11" authorId="5">
      <text>
        <r>
          <rPr>
            <b/>
            <sz val="9"/>
            <color indexed="81"/>
            <rFont val="Tahoma"/>
            <family val="2"/>
          </rPr>
          <t>Store comp -16%
Turley, Amber (Research):</t>
        </r>
        <r>
          <rPr>
            <sz val="9"/>
            <color indexed="81"/>
            <rFont val="Tahoma"/>
            <family val="2"/>
          </rPr>
          <t xml:space="preserve">
1/29/15: North American direct sales declined similarly for the
quarter with comparable store sales down 22% including the impact of reduced
eOutlet events, which pressured total comparable stores sales by about six
points.
10/28/14: "Over the year we expect our store comp trend to improve, as new product penetration grows across both channels, more stores are replatformed,
and marketing intensifies. However, our internet comp will worsen as we further curtail events."</t>
        </r>
      </text>
    </comment>
    <comment ref="CK11" authorId="6">
      <text>
        <r>
          <rPr>
            <b/>
            <sz val="9"/>
            <color indexed="81"/>
            <rFont val="Tahoma"/>
            <family val="2"/>
          </rPr>
          <t>casselau:</t>
        </r>
        <r>
          <rPr>
            <sz val="9"/>
            <color indexed="81"/>
            <rFont val="Tahoma"/>
            <family val="2"/>
          </rPr>
          <t xml:space="preserve">
constant currency +7%; Coach brand sales -3% (-1% CC)</t>
        </r>
      </text>
    </comment>
    <comment ref="CL11" authorId="6">
      <text>
        <r>
          <rPr>
            <b/>
            <sz val="9"/>
            <color indexed="81"/>
            <rFont val="Tahoma"/>
            <family val="2"/>
          </rPr>
          <t>casselau:
1/26/16: stores -3% EOS -1% (higher ticket (driven by units) offset by lower conversion and traffic; but traffic and conversion improved sequentially)</t>
        </r>
        <r>
          <rPr>
            <sz val="9"/>
            <color indexed="81"/>
            <rFont val="Tahoma"/>
            <family val="2"/>
          </rPr>
          <t xml:space="preserve">
8/4/15: expect inflection in 2Q driven by 75th anniversary marketing, product iniatiatives, and store remodels</t>
        </r>
      </text>
    </comment>
    <comment ref="CO11" authorId="7">
      <text>
        <r>
          <rPr>
            <b/>
            <sz val="9"/>
            <color indexed="81"/>
            <rFont val="Tahoma"/>
            <family val="2"/>
          </rPr>
          <t>Cassel, Lauren (Research):
1/31/17: includes a 40 bps benefit from FX; wholesale reduction negatively impacted sales growth by ~100 bps; Coach brand sales +2%</t>
        </r>
        <r>
          <rPr>
            <sz val="9"/>
            <color indexed="81"/>
            <rFont val="Tahoma"/>
            <family val="2"/>
          </rPr>
          <t xml:space="preserve">
11/1/16: expect wholesle headwind to lessen through the year</t>
        </r>
      </text>
    </comment>
    <comment ref="CP11" authorId="7">
      <text>
        <r>
          <rPr>
            <b/>
            <sz val="9"/>
            <color indexed="81"/>
            <rFont val="Tahoma"/>
            <family val="2"/>
          </rPr>
          <t>Cassel, Lauren (Research):</t>
        </r>
        <r>
          <rPr>
            <sz val="9"/>
            <color indexed="81"/>
            <rFont val="Tahoma"/>
            <family val="2"/>
          </rPr>
          <t xml:space="preserve">
1/31/17: Total North American bricks and mortar comparable store sales rose approximately 3.7% (driven by ticket and conversion, while traffic was down modestly), while aggregate North American comparable store sales increased approximately 3%, including the negative impact of e-commerce; NA tourist business was essentially flat with declines in Chinese tourist traffic once again offset by other nationalities, notably Japanese and Korean visitors </t>
        </r>
      </text>
    </comment>
    <comment ref="BB12" authorId="8">
      <text>
        <r>
          <rPr>
            <b/>
            <sz val="8"/>
            <color indexed="81"/>
            <rFont val="Tahoma"/>
            <family val="2"/>
          </rPr>
          <t>oc48540:</t>
        </r>
        <r>
          <rPr>
            <sz val="8"/>
            <color indexed="81"/>
            <rFont val="Tahoma"/>
            <family val="2"/>
          </rPr>
          <t xml:space="preserve">
est 20.1%
</t>
        </r>
      </text>
    </comment>
    <comment ref="BJ12" authorId="0">
      <text>
        <r>
          <rPr>
            <b/>
            <sz val="8"/>
            <color indexed="81"/>
            <rFont val="Tahoma"/>
            <family val="2"/>
          </rPr>
          <t>mm98285:</t>
        </r>
        <r>
          <rPr>
            <sz val="8"/>
            <color indexed="81"/>
            <rFont val="Tahoma"/>
            <family val="2"/>
          </rPr>
          <t xml:space="preserve">
-15% est.</t>
        </r>
      </text>
    </comment>
    <comment ref="BN12" authorId="2">
      <text>
        <r>
          <rPr>
            <b/>
            <sz val="9"/>
            <color indexed="81"/>
            <rFont val="Tahoma"/>
            <family val="2"/>
          </rPr>
          <t>turleamb:</t>
        </r>
        <r>
          <rPr>
            <sz val="9"/>
            <color indexed="81"/>
            <rFont val="Tahoma"/>
            <family val="2"/>
          </rPr>
          <t xml:space="preserve">
4/20/10: We were particularly pleased with the conversion improvement, as it is the driver that we have the most control over through
product and service. And full-price stores' average transaction size was slightly lower compared to prior year, as increased
handbag penetration offset most of the impact of lower handbag and accessory prices. Traffic trends improved from two
quarters -- from the second quarter and were only slightly down from the prior year. And factory, where we continue to leverage
the flexibility inherent in our business model to drive sales through pricing, we saw increases in both traffic and conversion,
while ticket declined slightly.</t>
        </r>
      </text>
    </comment>
    <comment ref="BP12" authorId="3">
      <text>
        <r>
          <rPr>
            <b/>
            <sz val="8"/>
            <color indexed="81"/>
            <rFont val="Tahoma"/>
            <family val="2"/>
          </rPr>
          <t>lauraro:</t>
        </r>
        <r>
          <rPr>
            <sz val="8"/>
            <color indexed="81"/>
            <rFont val="Tahoma"/>
            <family val="2"/>
          </rPr>
          <t xml:space="preserve">
10/15: Cons $908</t>
        </r>
      </text>
    </comment>
    <comment ref="BR12" authorId="3">
      <text>
        <r>
          <rPr>
            <b/>
            <sz val="8"/>
            <color indexed="81"/>
            <rFont val="Tahoma"/>
            <family val="2"/>
          </rPr>
          <t xml:space="preserve">4/26/11: </t>
        </r>
        <r>
          <rPr>
            <sz val="8"/>
            <color indexed="81"/>
            <rFont val="Tahoma"/>
            <family val="2"/>
          </rPr>
          <t>Fueling these overall strong comp results were similarly strong gains in both channels,
with significant gains in conversion from prior year and a modest growth in average transaction size, partially offset by a decline
in traffic, due to the calendar shift. We were particularly pleased with the improvement in conversion rate, since it's the driver
that we have the most control over through product and service.</t>
        </r>
        <r>
          <rPr>
            <b/>
            <sz val="8"/>
            <color indexed="81"/>
            <rFont val="Tahoma"/>
            <family val="2"/>
          </rPr>
          <t xml:space="preserve">
4/26/11: </t>
        </r>
        <r>
          <rPr>
            <sz val="8"/>
            <color indexed="81"/>
            <rFont val="Tahoma"/>
            <family val="2"/>
          </rPr>
          <t>We think COH’s N.A. comp could have been 1-2% higher if reported comps had been on a like-for-like week basis. 3Q10 (which began Dec 27, 2009 and ended March 27, 2010) included the post-Xmas shopping week of Dec 27 and the pre-Easter shopping period (Easter fell on April 4, 2010), neither of which were captured in 3Q11 (which began Jan 2, 2011 and ended April 2, 2011; Easter fell on April 24, 2011). As a result, COH’s 3Q11 was dealt a double blow due to the loss of the Christmas and Easter holiday shopping weeks vs. LY (we note that the Easter shift should provide some 4Q benefit)</t>
        </r>
        <r>
          <rPr>
            <sz val="8"/>
            <color indexed="81"/>
            <rFont val="Tahoma"/>
            <family val="2"/>
          </rPr>
          <t xml:space="preserve">
</t>
        </r>
        <r>
          <rPr>
            <b/>
            <sz val="8"/>
            <color indexed="81"/>
            <rFont val="Tahoma"/>
            <family val="2"/>
          </rPr>
          <t>1/11:</t>
        </r>
        <r>
          <rPr>
            <sz val="8"/>
            <color indexed="81"/>
            <rFont val="Tahoma"/>
            <family val="2"/>
          </rPr>
          <t xml:space="preserve"> Now expect +HSD comps for remainder of FY11
</t>
        </r>
        <r>
          <rPr>
            <b/>
            <sz val="8"/>
            <color indexed="81"/>
            <rFont val="Tahoma"/>
            <family val="2"/>
          </rPr>
          <t>11/10:</t>
        </r>
        <r>
          <rPr>
            <sz val="8"/>
            <color indexed="81"/>
            <rFont val="Tahoma"/>
            <family val="2"/>
          </rPr>
          <t xml:space="preserve"> Raised guidance to +MSD NA comp for balance of FY11</t>
        </r>
      </text>
    </comment>
    <comment ref="BT12" authorId="9">
      <text>
        <r>
          <rPr>
            <b/>
            <sz val="8"/>
            <color indexed="81"/>
            <rFont val="Tahoma"/>
            <family val="2"/>
          </rPr>
          <t>nicholjs:</t>
        </r>
        <r>
          <rPr>
            <sz val="8"/>
            <color indexed="81"/>
            <rFont val="Tahoma"/>
            <family val="2"/>
          </rPr>
          <t xml:space="preserve">
10/2010: Coach/Luxottica eyewear agreement announced; beginning January 2012
The multi-year agreement will begin on January 1, 2012 and include renewal options; the first collection will be presented during 2012. Coach eyewear is expected to generate strong growth, with annual sales - outside of Coach stores - targeted at approximately $100 million annually, after the initial launch period and once the distribution has been fully rolled out across key geographies and channels. 
</t>
        </r>
      </text>
    </comment>
    <comment ref="BU12" authorId="3">
      <text>
        <r>
          <rPr>
            <b/>
            <sz val="8"/>
            <color indexed="81"/>
            <rFont val="Tahoma"/>
            <family val="2"/>
          </rPr>
          <t>lauraro:</t>
        </r>
        <r>
          <rPr>
            <sz val="8"/>
            <color indexed="81"/>
            <rFont val="Tahoma"/>
            <family val="2"/>
          </rPr>
          <t xml:space="preserve">
8/2/11: +DD sales growth</t>
        </r>
      </text>
    </comment>
    <comment ref="BV12" authorId="3">
      <text>
        <r>
          <rPr>
            <b/>
            <sz val="8"/>
            <color indexed="81"/>
            <rFont val="Tahoma"/>
            <family val="2"/>
          </rPr>
          <t>lauraro:</t>
        </r>
        <r>
          <rPr>
            <sz val="8"/>
            <color indexed="81"/>
            <rFont val="Tahoma"/>
            <family val="2"/>
          </rPr>
          <t xml:space="preserve">
4/24/12: The primary driver of our retail comp gain was an increase in the overall number of transactions, while an increase in average transaction size
contributed as well. Overall retail traffic rose, as traffic on the internet continued to gain momentum, with in-store trends consistent with prior
quarters.
Turning to our store channels, both performed similarly, fueled by average transaction size gains, while conversion also rose in retail stores
8/2/11: at least +MSD comps</t>
        </r>
      </text>
    </comment>
    <comment ref="BY12" authorId="6">
      <text>
        <r>
          <rPr>
            <b/>
            <sz val="8"/>
            <color indexed="81"/>
            <rFont val="Tahoma"/>
            <family val="2"/>
          </rPr>
          <t>4/23: constant currency +10%
casselau:</t>
        </r>
        <r>
          <rPr>
            <sz val="8"/>
            <color indexed="81"/>
            <rFont val="Tahoma"/>
            <family val="2"/>
          </rPr>
          <t xml:space="preserve">
1/23/13: expect +HSD 2H sales growth </t>
        </r>
      </text>
    </comment>
    <comment ref="BZ12" authorId="6">
      <text>
        <r>
          <rPr>
            <b/>
            <sz val="8"/>
            <color indexed="81"/>
            <rFont val="Tahoma"/>
            <family val="2"/>
          </rPr>
          <t xml:space="preserve">1/23/13: </t>
        </r>
        <r>
          <rPr>
            <sz val="8"/>
            <color indexed="81"/>
            <rFont val="Tahoma"/>
            <family val="2"/>
          </rPr>
          <t xml:space="preserve">expect flat 2H 
comps </t>
        </r>
        <r>
          <rPr>
            <b/>
            <sz val="8"/>
            <color indexed="81"/>
            <rFont val="Tahoma"/>
            <family val="2"/>
          </rPr>
          <t xml:space="preserve">
casselau:</t>
        </r>
        <r>
          <rPr>
            <sz val="8"/>
            <color indexed="81"/>
            <rFont val="Tahoma"/>
            <family val="2"/>
          </rPr>
          <t xml:space="preserve">
expect comps to accelerate in 2H</t>
        </r>
      </text>
    </comment>
    <comment ref="CB12" authorId="2">
      <text>
        <r>
          <rPr>
            <b/>
            <sz val="9"/>
            <color indexed="81"/>
            <rFont val="Tahoma"/>
            <family val="2"/>
          </rPr>
          <t>turleamb:</t>
        </r>
        <r>
          <rPr>
            <sz val="9"/>
            <color indexed="81"/>
            <rFont val="Tahoma"/>
            <family val="2"/>
          </rPr>
          <t xml:space="preserve">
weaker yen has ~$21m (~ 5% of intl sales)</t>
        </r>
      </text>
    </comment>
    <comment ref="CC12" authorId="2">
      <text>
        <r>
          <rPr>
            <b/>
            <sz val="8"/>
            <color indexed="81"/>
            <rFont val="Tahoma"/>
            <family val="2"/>
          </rPr>
          <t>turleamb:</t>
        </r>
        <r>
          <rPr>
            <sz val="8"/>
            <color indexed="81"/>
            <rFont val="Tahoma"/>
            <family val="2"/>
          </rPr>
          <t xml:space="preserve">
4/29/14: Sales -5% CC ; weakness in NA handbags and accessories. Strong growth in mens, footwear and robust sales in Asia and Europe. Sharply lower store traffic (also weather and Easter shift impact) and internet hurt by elimination of 3rd party sale events and limited access to COH factory flash site; NA handbag market declerated slightly but still grew +HSD
1/22/14: </t>
        </r>
        <r>
          <rPr>
            <b/>
            <sz val="8"/>
            <color indexed="81"/>
            <rFont val="Tahoma"/>
            <family val="2"/>
          </rPr>
          <t xml:space="preserve">guidance is -LSD to -MSD in 2H </t>
        </r>
        <r>
          <rPr>
            <sz val="8"/>
            <color indexed="81"/>
            <rFont val="Tahoma"/>
            <family val="2"/>
          </rPr>
          <t>expect to deliver low single digit sales declines in constant currency in the second half. Assuming the yen remains close to 104, this would equate to low to mid single digit rate decrease in sales for the balance of the year in dollars.</t>
        </r>
      </text>
    </comment>
    <comment ref="CD12" authorId="2">
      <text>
        <r>
          <rPr>
            <b/>
            <sz val="8"/>
            <color indexed="81"/>
            <rFont val="Tahoma"/>
            <family val="2"/>
          </rPr>
          <t xml:space="preserve">Store comp -18%
turleamb:
</t>
        </r>
        <r>
          <rPr>
            <sz val="8"/>
            <color indexed="81"/>
            <rFont val="Tahoma"/>
            <family val="2"/>
          </rPr>
          <t>4/29/14: Easter shift out of 3Q was ~100 bps and weather was ~200 bps negative impact. 
Internet negatively impacted comps by ~300 bps due to discontinued 3rd party internet events and limited access to e-factory flash sale site. 
1/22/14: guidance similar to 2Q levels for balance of the year, 3Q more difficult compare due to Easter shift
Also, we are forecasting our North America comp run rate to be in the range of our Q2 levels for the balance of the year, with 3Q a more difficult
compare, given the Easter shift.</t>
        </r>
      </text>
    </comment>
    <comment ref="CF12" authorId="10">
      <text>
        <r>
          <rPr>
            <b/>
            <sz val="9"/>
            <color indexed="81"/>
            <rFont val="Tahoma"/>
            <family val="2"/>
          </rPr>
          <t>Mains, Spencer (Research):</t>
        </r>
        <r>
          <rPr>
            <sz val="9"/>
            <color indexed="81"/>
            <rFont val="Tahoma"/>
            <family val="2"/>
          </rPr>
          <t xml:space="preserve">
4/28/15: Above $400 price bucket of handbags grew in penetration to over 30% vs ~23% last year.  Logo represented less than 5% TY vs less than 10% LY.  In outlet it was below 30% TY vs 40% LY.
Outside of handbags, we continued to see relative strength in our lifestyle categories in 3Q.  Women's footwear increased penetration to ~10% from ~8% LY of NAm retail stores carrying a full offering.</t>
        </r>
      </text>
    </comment>
    <comment ref="CG12" authorId="10">
      <text>
        <r>
          <rPr>
            <b/>
            <sz val="9"/>
            <color indexed="81"/>
            <rFont val="Tahoma"/>
            <family val="2"/>
          </rPr>
          <t>Mains, Spencer (Research):</t>
        </r>
        <r>
          <rPr>
            <sz val="9"/>
            <color indexed="81"/>
            <rFont val="Tahoma"/>
            <family val="2"/>
          </rPr>
          <t xml:space="preserve">
4/28/15: 3% negative impact of currency.  International sales increased 4% on a constant currency basis and decreased 3% in dollars.</t>
        </r>
      </text>
    </comment>
    <comment ref="CH12" authorId="5">
      <text>
        <r>
          <rPr>
            <sz val="9"/>
            <color indexed="81"/>
            <rFont val="Tahoma"/>
            <family val="2"/>
          </rPr>
          <t xml:space="preserve">4/28/15: </t>
        </r>
        <r>
          <rPr>
            <b/>
            <sz val="9"/>
            <color indexed="81"/>
            <rFont val="Tahoma"/>
            <family val="2"/>
          </rPr>
          <t>Store comp -12%;</t>
        </r>
        <r>
          <rPr>
            <sz val="9"/>
            <color indexed="81"/>
            <rFont val="Tahoma"/>
            <family val="2"/>
          </rPr>
          <t xml:space="preserve"> eOS pressured comp by 11%.  Reduced cadence of eOS flash sales from 3x/week LY to 2x/month this quarter.  In addition, there were no 'Coach Days' in NAm department stores during the q vs. approx 30 days across wholesale accounts in 3Q14.
 Higher ticket offset by a decline in traffic which was pressured by weak mall trends as well as lower conversion.  While mall traffic continued its secular decline during this spring per ShopperTrak, sequential improvement in </t>
        </r>
        <r>
          <rPr>
            <b/>
            <sz val="9"/>
            <color indexed="81"/>
            <rFont val="Tahoma"/>
            <family val="2"/>
          </rPr>
          <t xml:space="preserve">our </t>
        </r>
        <r>
          <rPr>
            <sz val="9"/>
            <color indexed="81"/>
            <rFont val="Tahoma"/>
            <family val="2"/>
          </rPr>
          <t>traffic from the holiday quarter despite the weather.  Meaning, while still a drag to our overall comps, it was less onerous than 2Q.</t>
        </r>
        <r>
          <rPr>
            <sz val="9"/>
            <color indexed="81"/>
            <rFont val="Tahoma"/>
            <family val="2"/>
          </rPr>
          <t xml:space="preserve">
The four NAm stores re-opened in Nov continued to post positive comps and well outpace the balance of the chain.
1/29/15: Guidance: expect contniued pressure on sales due to reduced promotions and 2H store closure activity. Projecting mid teens comp decine in NAm stores with eOS pressuring NAm comp an additional 10%. 
10/28/14: "Over the year we expect our store comp trend to improve, as new product penetration grows across both channels, more stores are replatformed,
and marketing intensifies. However, our internet comp will worsen as we further curtail events."</t>
        </r>
      </text>
    </comment>
    <comment ref="CK12" authorId="7">
      <text>
        <r>
          <rPr>
            <b/>
            <sz val="9"/>
            <color indexed="81"/>
            <rFont val="Tahoma"/>
            <family val="2"/>
          </rPr>
          <t>Cassel, Lauren (Research):</t>
        </r>
        <r>
          <rPr>
            <sz val="9"/>
            <color indexed="81"/>
            <rFont val="Tahoma"/>
            <family val="2"/>
          </rPr>
          <t xml:space="preserve">
4/26/16: +13% CC; Coach brand +3% (+4% CC)</t>
        </r>
      </text>
    </comment>
    <comment ref="CL12" authorId="6">
      <text>
        <r>
          <rPr>
            <b/>
            <sz val="9"/>
            <color indexed="81"/>
            <rFont val="Tahoma"/>
            <family val="2"/>
          </rPr>
          <t>casselau:
4/26/16: eComm was slightly positive (-0.9% store comp)</t>
        </r>
        <r>
          <rPr>
            <sz val="9"/>
            <color indexed="81"/>
            <rFont val="Tahoma"/>
            <family val="2"/>
          </rPr>
          <t xml:space="preserve">
4/28/15: 3Q16 will be apples to apples on EOS.</t>
        </r>
      </text>
    </comment>
    <comment ref="CO12" authorId="7">
      <text>
        <r>
          <rPr>
            <b/>
            <sz val="9"/>
            <color indexed="81"/>
            <rFont val="Tahoma"/>
            <family val="2"/>
          </rPr>
          <t xml:space="preserve">Cassel, Lauren (Research):
5/2/17: -3% CC; reduction of wholesale impacted total sales growth by ~150 bps; </t>
        </r>
        <r>
          <rPr>
            <sz val="9"/>
            <color indexed="81"/>
            <rFont val="Tahoma"/>
            <family val="2"/>
          </rPr>
          <t>Coach brand sales -4% (wholesale negatively impacted by 150 bps); Estimate Easter shift ~1%
1/31/17: Specifically, our nominal revenue is expected to decline in the third quarter based on:
o First, the negative currency impact of about 100 basis points.
o Second, calendar shifts in North America, including the later timing of Easter, which falls into the fourth quarter this year versus the third quarter last year.
o Third, our strategic North America wholesale initiatives with the continued reduction in promotions and the next ‘tranche’ of door closures planned for Q3.
o And finally, an expected shift in Coach international wholesale shipment timing from the third quarter into the fourth quarter based on our visibility into second half orders.</t>
        </r>
      </text>
    </comment>
    <comment ref="CP12" authorId="7">
      <text>
        <r>
          <rPr>
            <b/>
            <sz val="9"/>
            <color indexed="81"/>
            <rFont val="Tahoma"/>
            <family val="2"/>
          </rPr>
          <t>Cassel, Lauren (Research):</t>
        </r>
        <r>
          <rPr>
            <sz val="9"/>
            <color indexed="81"/>
            <rFont val="Tahoma"/>
            <family val="2"/>
          </rPr>
          <t xml:space="preserve">
5/2/17: both aggregate and bricks and mortar comp +3.3%; comp driven by conversion and trransaction size while traffic was down moderately; $400+ bags penetration = 55%; "no major difference in traffic between channels"</t>
        </r>
      </text>
    </comment>
    <comment ref="AO13" authorId="0">
      <text>
        <r>
          <rPr>
            <b/>
            <sz val="8"/>
            <color indexed="81"/>
            <rFont val="Tahoma"/>
            <family val="2"/>
          </rPr>
          <t>mm98285:</t>
        </r>
        <r>
          <rPr>
            <sz val="8"/>
            <color indexed="81"/>
            <rFont val="Tahoma"/>
            <family val="2"/>
          </rPr>
          <t xml:space="preserve">
benefit from extra week</t>
        </r>
      </text>
    </comment>
    <comment ref="AZ13" authorId="8">
      <text>
        <r>
          <rPr>
            <b/>
            <sz val="8"/>
            <color indexed="81"/>
            <rFont val="Tahoma"/>
            <family val="2"/>
          </rPr>
          <t>oc48540:</t>
        </r>
        <r>
          <rPr>
            <sz val="8"/>
            <color indexed="81"/>
            <rFont val="Tahoma"/>
            <family val="2"/>
          </rPr>
          <t xml:space="preserve">
3Q07: Expect $640m representing 28% incr.</t>
        </r>
      </text>
    </comment>
    <comment ref="BB13" authorId="8">
      <text>
        <r>
          <rPr>
            <b/>
            <sz val="8"/>
            <color indexed="81"/>
            <rFont val="Tahoma"/>
            <family val="2"/>
          </rPr>
          <t>oc48540:</t>
        </r>
        <r>
          <rPr>
            <sz val="8"/>
            <color indexed="81"/>
            <rFont val="Tahoma"/>
            <family val="2"/>
          </rPr>
          <t xml:space="preserve">
3Q07: Expect 10% in Retail Channel</t>
        </r>
      </text>
    </comment>
    <comment ref="BD13" authorId="0">
      <text>
        <r>
          <rPr>
            <b/>
            <sz val="8"/>
            <color indexed="81"/>
            <rFont val="Tahoma"/>
            <family val="2"/>
          </rPr>
          <t>mm98285:</t>
        </r>
        <r>
          <rPr>
            <sz val="8"/>
            <color indexed="81"/>
            <rFont val="Tahoma"/>
            <family val="2"/>
          </rPr>
          <t xml:space="preserve">
4/08: expect $780mm</t>
        </r>
      </text>
    </comment>
    <comment ref="BL13" authorId="0">
      <text>
        <r>
          <rPr>
            <b/>
            <sz val="8"/>
            <color indexed="81"/>
            <rFont val="Tahoma"/>
            <family val="2"/>
          </rPr>
          <t>mm98285:</t>
        </r>
        <r>
          <rPr>
            <sz val="8"/>
            <color indexed="81"/>
            <rFont val="Tahoma"/>
            <family val="2"/>
          </rPr>
          <t xml:space="preserve">
8/10: mgmt cited $70M rev in extra week
1/10: assume get an extra $40-45M in sales for extra week</t>
        </r>
      </text>
    </comment>
    <comment ref="BM13" authorId="0">
      <text>
        <r>
          <rPr>
            <b/>
            <sz val="8"/>
            <color indexed="81"/>
            <rFont val="Tahoma"/>
            <family val="2"/>
          </rPr>
          <t xml:space="preserve">8/10: </t>
        </r>
        <r>
          <rPr>
            <sz val="8"/>
            <color indexed="81"/>
            <rFont val="Tahoma"/>
            <family val="2"/>
          </rPr>
          <t>Excluding the extra week, sales rose 13%</t>
        </r>
        <r>
          <rPr>
            <b/>
            <sz val="8"/>
            <color indexed="81"/>
            <rFont val="Tahoma"/>
            <family val="2"/>
          </rPr>
          <t xml:space="preserve">
mm98285:</t>
        </r>
        <r>
          <rPr>
            <sz val="8"/>
            <color indexed="81"/>
            <rFont val="Tahoma"/>
            <family val="2"/>
          </rPr>
          <t xml:space="preserve">
benefit from extra week</t>
        </r>
      </text>
    </comment>
    <comment ref="BN13" authorId="2">
      <text>
        <r>
          <rPr>
            <b/>
            <sz val="9"/>
            <color indexed="81"/>
            <rFont val="Tahoma"/>
            <family val="2"/>
          </rPr>
          <t>turleamb:</t>
        </r>
        <r>
          <rPr>
            <sz val="9"/>
            <color indexed="81"/>
            <rFont val="Tahoma"/>
            <family val="2"/>
          </rPr>
          <t xml:space="preserve">
8/3/10: full price stores' comps were driven by a
sharp rise in conversion on lower traffic year over year while tickets were stable. In factory where we continue to leverage the
flexibility inherent in our business model to drive sales through pricing, we continued to see increases in conversion and traffic,
while ticket declined modestly</t>
        </r>
      </text>
    </comment>
    <comment ref="BP13" authorId="3">
      <text>
        <r>
          <rPr>
            <b/>
            <sz val="8"/>
            <color indexed="81"/>
            <rFont val="Tahoma"/>
            <family val="2"/>
          </rPr>
          <t>lauraro:</t>
        </r>
        <r>
          <rPr>
            <sz val="8"/>
            <color indexed="81"/>
            <rFont val="Tahoma"/>
            <family val="2"/>
          </rPr>
          <t xml:space="preserve">
10/15: Cons $980</t>
        </r>
      </text>
    </comment>
    <comment ref="BQ13" authorId="0">
      <text>
        <r>
          <rPr>
            <b/>
            <sz val="8"/>
            <color indexed="81"/>
            <rFont val="Tahoma"/>
            <family val="2"/>
          </rPr>
          <t xml:space="preserve">1/11: </t>
        </r>
        <r>
          <rPr>
            <sz val="8"/>
            <color indexed="81"/>
            <rFont val="Tahoma"/>
            <family val="2"/>
          </rPr>
          <t>+15.4% total sales gr excl extra week of sales</t>
        </r>
        <r>
          <rPr>
            <b/>
            <sz val="8"/>
            <color indexed="81"/>
            <rFont val="Tahoma"/>
            <family val="2"/>
          </rPr>
          <t xml:space="preserve">
8/10: </t>
        </r>
        <r>
          <rPr>
            <sz val="8"/>
            <color indexed="81"/>
            <rFont val="Tahoma"/>
            <family val="2"/>
          </rPr>
          <t>Excluding the extra week in FY10, sales rose 13% (~$880.5 ($951-70))</t>
        </r>
        <r>
          <rPr>
            <b/>
            <sz val="8"/>
            <color indexed="81"/>
            <rFont val="Tahoma"/>
            <family val="2"/>
          </rPr>
          <t xml:space="preserve">
mm98285:</t>
        </r>
        <r>
          <rPr>
            <sz val="8"/>
            <color indexed="81"/>
            <rFont val="Tahoma"/>
            <family val="2"/>
          </rPr>
          <t xml:space="preserve">
anniversary LY's extra week</t>
        </r>
      </text>
    </comment>
    <comment ref="BR13" authorId="3">
      <text>
        <r>
          <rPr>
            <b/>
            <sz val="8"/>
            <color indexed="81"/>
            <rFont val="Tahoma"/>
            <family val="2"/>
          </rPr>
          <t>8/2/11:</t>
        </r>
        <r>
          <rPr>
            <sz val="8"/>
            <color indexed="81"/>
            <rFont val="Tahoma"/>
            <family val="2"/>
          </rPr>
          <t xml:space="preserve"> Fueling these overall comp results was strong gains in both the full price and factory channels, driven by significant increases
in conversion from prior year, while ticket and traffic were essentially the same. We were particularly pleased with the improvement
in the conversion rate, since it is the driver that we have the most control over through product and service.</t>
        </r>
        <r>
          <rPr>
            <b/>
            <sz val="8"/>
            <color indexed="81"/>
            <rFont val="Tahoma"/>
            <family val="2"/>
          </rPr>
          <t xml:space="preserve">
4/26: </t>
        </r>
        <r>
          <rPr>
            <sz val="8"/>
            <color indexed="81"/>
            <rFont val="Tahoma"/>
            <family val="2"/>
          </rPr>
          <t>+HSD despite tougher compares</t>
        </r>
        <r>
          <rPr>
            <sz val="8"/>
            <color indexed="81"/>
            <rFont val="Tahoma"/>
            <family val="2"/>
          </rPr>
          <t xml:space="preserve">
1/11: Now expect +HSD comps for remainder of FY11
11/10: Raised guidance to +MSD NA comp for balance of FY11</t>
        </r>
      </text>
    </comment>
    <comment ref="BU13" authorId="3">
      <text>
        <r>
          <rPr>
            <b/>
            <sz val="8"/>
            <color indexed="81"/>
            <rFont val="Tahoma"/>
            <family val="2"/>
          </rPr>
          <t>lauraro:</t>
        </r>
        <r>
          <rPr>
            <sz val="8"/>
            <color indexed="81"/>
            <rFont val="Tahoma"/>
            <family val="2"/>
          </rPr>
          <t xml:space="preserve">
8/2/11: +DD sales growth</t>
        </r>
      </text>
    </comment>
    <comment ref="BV13" authorId="3">
      <text>
        <r>
          <rPr>
            <sz val="8"/>
            <color indexed="81"/>
            <rFont val="Tahoma"/>
            <family val="2"/>
          </rPr>
          <t xml:space="preserve">7/31/12: As noted in our press release, an increasingly promotional environment in North America led to slower growth than expected in factory stores, which was entirely responsible for the change in the overall retail comp trend from the prior quarter. 
The primary driver of our overall retail comp gain was an increase in average transaction size. The trends in our full price stores and overall e-commerce channels were consistent with the prior quarter. Our factory store comp was impacted by the elimination of in-store couponing throughout most of the quarter and also by slowing traffic to factory malls.  </t>
        </r>
        <r>
          <rPr>
            <b/>
            <sz val="8"/>
            <color indexed="81"/>
            <rFont val="Tahoma"/>
            <family val="2"/>
          </rPr>
          <t xml:space="preserve">
lauraro:</t>
        </r>
        <r>
          <rPr>
            <sz val="8"/>
            <color indexed="81"/>
            <rFont val="Tahoma"/>
            <family val="2"/>
          </rPr>
          <t xml:space="preserve">
8/2/11: at least +MSD comps
</t>
        </r>
      </text>
    </comment>
    <comment ref="BX13" authorId="4">
      <text>
        <r>
          <rPr>
            <sz val="8"/>
            <color indexed="81"/>
            <rFont val="Tahoma"/>
            <family val="2"/>
          </rPr>
          <t>7/30/13 - COH announces departure of Mike Tucci and Jerry Strizke
7/31/12 -  "We estimate that the addressable women’s North American handbag and accessory category grew at least 10% in FY12. Coach continued to participate in the market growth performing similarly in our own direct channels."
and
"we’re also continuing to drive our Men’s business in North America – through new stand-alone and dual gender or side-by-side stores – and by dedicating more space for a broader Men’s assortment in existing retail stores. In FY12, Coach’s sales of Men’s bags and accessories doubled in North America, driving the overall Men’s premium category, which grew about 25% to nearly $800 million."</t>
        </r>
      </text>
    </comment>
    <comment ref="BY13" authorId="6">
      <text>
        <r>
          <rPr>
            <sz val="8"/>
            <color indexed="81"/>
            <rFont val="Tahoma"/>
            <family val="2"/>
          </rPr>
          <t xml:space="preserve">7/30/13: On a constant currency basis sales rose 9% for the quarter
CEO Lew Frankfort - "We generated strong international results, leveraged the Men’s opportunity globally, strengthened our digital capabilities and drove excellent initial results in the re-launch of footwear. While we maintained our outstanding profitability levels, we were not satisfied with our performance in the Women’s handbag and accessories category in North America.”
1/23/13: expect +HSD 2H sales growth </t>
        </r>
      </text>
    </comment>
    <comment ref="BZ13" authorId="6">
      <text>
        <r>
          <rPr>
            <sz val="8"/>
            <color indexed="81"/>
            <rFont val="Tahoma"/>
            <family val="2"/>
          </rPr>
          <t xml:space="preserve">7/30/2013: "... the 1.7% comparable store sales decrease was  due in part to the Easter shift, which we called out as a benefit to last quarter.  While Men’s and our newly re-launched footwear categories performed well, as I mentioned we were disappointed by our overall performance in Women’s handbags.  
More generally, internet sales and traffic continued up double-digit, consistent with consumers shifting shopping preferences, while in-store trends, notably traffic, were weak.  On these lower traffic levels, in-store conversion was up and transaction size held. 
Overall, we estimate that growth in the addressable women’s North American handbag and accessory category remained strong, rising low double-digits in fiscal 2013 to about $12 billion dollars, as bags and accessories continued to represent a growing portion of her wardrobe spend.  The combined North American premium women’s and men’s market rose about 15% in FY13, to about $11 billion. Coach continued to participate in the market growth with our own direct channels posting solid gains for the year, up 6% as mentioned, with a combined market share of about 30%.
Legacy and Madison remained our key collections in the fourth quarter, with new silhouettes and on-trend colors introduced throughout the period. The Madison Phoebe shoulder bag - launched at the end of March in North America and later globally – was particularly successful.  We also featured a new group of satchels and totes across multiple collections in June.  
More generally, we saw a continuation of trends favoring leather handbags across all price segments.  In particular, we enjoyed healthy year-over-year sales increases in small bags, and the above $400 segment continued to perform well at about 16% of handbags.  Our overall handbag penetration was even to last year. 
I’ll now give you an update on our footwear business, which, as you know, we re-launched this spring in over 170 retail stores in North America, with the objective of elevating our product proposition, supporting Coach as a lifestyle brand and reinforcing our fashion credibility.  
The collection - featuring great ballet flats, driving moccasins, fashion wedges, heels  and on-trend casual styles – has been very well received by consumers. In fact, footwear in these locations went to almost 12% of the business immediately and stayed at that level for the fourth quarter - versus about 7% in the year-ago June quarter - positively impacting productivity in these stores."
</t>
        </r>
        <r>
          <rPr>
            <b/>
            <sz val="8"/>
            <color indexed="81"/>
            <rFont val="Tahoma"/>
            <family val="2"/>
          </rPr>
          <t xml:space="preserve">
</t>
        </r>
        <r>
          <rPr>
            <sz val="8"/>
            <color indexed="81"/>
            <rFont val="Tahoma"/>
            <family val="2"/>
          </rPr>
          <t>4/23/13:</t>
        </r>
        <r>
          <rPr>
            <b/>
            <sz val="8"/>
            <color indexed="81"/>
            <rFont val="Tahoma"/>
            <family val="2"/>
          </rPr>
          <t xml:space="preserve"> </t>
        </r>
        <r>
          <rPr>
            <sz val="8"/>
            <color indexed="81"/>
            <rFont val="Tahoma"/>
            <family val="2"/>
          </rPr>
          <t>expect NA comp about even with prior year impacted by the Easter shift into March</t>
        </r>
        <r>
          <rPr>
            <b/>
            <sz val="8"/>
            <color indexed="81"/>
            <rFont val="Tahoma"/>
            <family val="2"/>
          </rPr>
          <t xml:space="preserve">
</t>
        </r>
        <r>
          <rPr>
            <sz val="8"/>
            <color indexed="81"/>
            <rFont val="Tahoma"/>
            <family val="2"/>
          </rPr>
          <t xml:space="preserve">
1/23/13: expect flat 2H 
comps </t>
        </r>
      </text>
    </comment>
    <comment ref="CC13" authorId="2">
      <text>
        <r>
          <rPr>
            <b/>
            <sz val="9"/>
            <color indexed="81"/>
            <rFont val="Tahoma"/>
            <family val="2"/>
          </rPr>
          <t>turleamb:</t>
        </r>
        <r>
          <rPr>
            <sz val="9"/>
            <color indexed="81"/>
            <rFont val="Tahoma"/>
            <family val="2"/>
          </rPr>
          <t xml:space="preserve">
8/5/14: CC -6%
4/29/14: guidance:
 ~(-10%) sales decline</t>
        </r>
      </text>
    </comment>
    <comment ref="CD13" authorId="2">
      <text>
        <r>
          <rPr>
            <b/>
            <sz val="8"/>
            <color indexed="81"/>
            <rFont val="Tahoma"/>
            <family val="2"/>
          </rPr>
          <t>Store comp -14%
turleamb:</t>
        </r>
        <r>
          <rPr>
            <sz val="8"/>
            <color indexed="81"/>
            <rFont val="Tahoma"/>
            <family val="2"/>
          </rPr>
          <t xml:space="preserve">
8/4/14: Internet comp was a drag on total comp by 300 bps (due to reduction of eOS) and traffic was the main driver of the negative comp.Excluding the elimination of third pasrty flash sites and limited access to factory online website, Internet would have contributed to comp. Based upon our estimates for NA Direct, this would be ~$90m impact. 
4/29/14: guidance: NA comps in the range of 3Q run rate. Note 3Q Easter shift hurt 3Q ~100 bps and weather impact hurt 3Q ~200 bps
1/22/14: </t>
        </r>
        <r>
          <rPr>
            <b/>
            <sz val="8"/>
            <color indexed="81"/>
            <rFont val="Tahoma"/>
            <family val="2"/>
          </rPr>
          <t xml:space="preserve">guidance similar to 2Q levels for balance of the year, 3Q more difficult compare due to Easter shift
</t>
        </r>
        <r>
          <rPr>
            <sz val="8"/>
            <color indexed="81"/>
            <rFont val="Tahoma"/>
            <family val="2"/>
          </rPr>
          <t>Also, we are forecasting our North America comp run rate to be in the range of our Q2 levels for the balance of the year, with 3Q a more difficult
compare, given the Easter shift.</t>
        </r>
      </text>
    </comment>
    <comment ref="CF13" authorId="6">
      <text>
        <r>
          <rPr>
            <b/>
            <sz val="9"/>
            <color indexed="81"/>
            <rFont val="Tahoma"/>
            <family val="2"/>
          </rPr>
          <t>casselau:</t>
        </r>
        <r>
          <rPr>
            <sz val="9"/>
            <color indexed="81"/>
            <rFont val="Tahoma"/>
            <family val="2"/>
          </rPr>
          <t xml:space="preserve">
includes $43M in revenue from May acquistion of Stuart Weitzman</t>
        </r>
      </text>
    </comment>
    <comment ref="CG13" authorId="6">
      <text>
        <r>
          <rPr>
            <b/>
            <sz val="9"/>
            <color indexed="81"/>
            <rFont val="Tahoma"/>
            <family val="2"/>
          </rPr>
          <t>casselau:
8/4/15: CC -8%</t>
        </r>
        <r>
          <rPr>
            <sz val="9"/>
            <color indexed="81"/>
            <rFont val="Tahoma"/>
            <family val="2"/>
          </rPr>
          <t xml:space="preserve">
4/28/15: assumes 4Q sales will be down by similar levels as 3Q on both a constant currnecy and reported basis </t>
        </r>
      </text>
    </comment>
    <comment ref="CH13" authorId="5">
      <text>
        <r>
          <rPr>
            <b/>
            <sz val="9"/>
            <color indexed="81"/>
            <rFont val="Tahoma"/>
            <family val="2"/>
          </rPr>
          <t xml:space="preserve">8/4/15: -10% store comp; EOS pressured comp by -9%; </t>
        </r>
        <r>
          <rPr>
            <sz val="9"/>
            <color indexed="81"/>
            <rFont val="Tahoma"/>
            <family val="2"/>
          </rPr>
          <t xml:space="preserve">higher ticket offset by lower traffic and lower conversion; average transaction size and comp conversion improved
*$400+ bags comped positively in sales and units and repesented 30% of total handbag sales vs. just over 20% LY
*Logo 1/3 of sales in Factory and less than 5% in Retail
</t>
        </r>
        <r>
          <rPr>
            <b/>
            <sz val="9"/>
            <color indexed="81"/>
            <rFont val="Tahoma"/>
            <family val="2"/>
          </rPr>
          <t xml:space="preserve">
4/28/15: </t>
        </r>
        <r>
          <rPr>
            <sz val="9"/>
            <color indexed="81"/>
            <rFont val="Tahoma"/>
            <family val="2"/>
          </rPr>
          <t xml:space="preserve">still expect to deliver a low-double-digit decline in constant currency; expect EOS to negatively impact by 10% (we estimate -11%) </t>
        </r>
        <r>
          <rPr>
            <b/>
            <sz val="9"/>
            <color indexed="81"/>
            <rFont val="Tahoma"/>
            <family val="2"/>
          </rPr>
          <t xml:space="preserve">
Turley, Amber (Research):</t>
        </r>
        <r>
          <rPr>
            <sz val="9"/>
            <color indexed="81"/>
            <rFont val="Tahoma"/>
            <family val="2"/>
          </rPr>
          <t xml:space="preserve">
1/29/15: Guidance: expect contniued pressure on sales due to reduced promotions and 2H store closure activity. Projecting mid teens comp decine in NAm stores with eOS pressuring NAm comp an additional 10%. 
10/28/14: "Over the year we expect our store comp trend to improve, as new product penetration grows across both channels, more stores are replatformed,
and marketing intensifies. However, our internet comp will worsen as we further curtail events."</t>
        </r>
      </text>
    </comment>
    <comment ref="CJ13" authorId="6">
      <text>
        <r>
          <rPr>
            <b/>
            <sz val="9"/>
            <color indexed="81"/>
            <rFont val="Tahoma"/>
            <family val="2"/>
          </rPr>
          <t>casselau:
8/9/16: 53rd week added $84M to 4Q revenue ($77M Coach, $7M SW)</t>
        </r>
        <r>
          <rPr>
            <sz val="9"/>
            <color indexed="81"/>
            <rFont val="Tahoma"/>
            <family val="2"/>
          </rPr>
          <t xml:space="preserve">
**Extra week expected to contribute $75-80M in incremental revenue</t>
        </r>
      </text>
    </comment>
    <comment ref="CK13" authorId="6">
      <text>
        <r>
          <rPr>
            <b/>
            <sz val="9"/>
            <color indexed="81"/>
            <rFont val="Tahoma"/>
            <family val="2"/>
          </rPr>
          <t>casselau:
8/9/16: CC +15% also</t>
        </r>
        <r>
          <rPr>
            <sz val="9"/>
            <color indexed="81"/>
            <rFont val="Tahoma"/>
            <family val="2"/>
          </rPr>
          <t xml:space="preserve">
**Extra week expected to contribute $75-80M in incremental revenue (7.5%-8.0% growth)</t>
        </r>
      </text>
    </comment>
    <comment ref="CL13" authorId="6">
      <text>
        <r>
          <rPr>
            <b/>
            <sz val="9"/>
            <color indexed="81"/>
            <rFont val="Tahoma"/>
            <family val="2"/>
          </rPr>
          <t>casselau:
8/9/16:  eComm added 1 pt to comp; outlet comp flat; higher ticket drove comp; overall transactions flat (lower traffic, better conversion)</t>
        </r>
        <r>
          <rPr>
            <sz val="9"/>
            <color indexed="81"/>
            <rFont val="Tahoma"/>
            <family val="2"/>
          </rPr>
          <t xml:space="preserve">
8/4/15: mgmt: expect positive comps in 4Q</t>
        </r>
      </text>
    </comment>
    <comment ref="CO13" authorId="7">
      <text>
        <r>
          <rPr>
            <b/>
            <sz val="9"/>
            <color indexed="81"/>
            <rFont val="Tahoma"/>
            <family val="2"/>
          </rPr>
          <t xml:space="preserve">Cassel, Lauren (Research):
8/15/17: </t>
        </r>
        <r>
          <rPr>
            <sz val="9"/>
            <color indexed="81"/>
            <rFont val="Tahoma"/>
            <family val="2"/>
          </rPr>
          <t xml:space="preserve">+6% y/y ex. 53rd week LY (+7% CC); Coach brand +5% ex. 53rd week (+7% CC) ; reduction of wholesale negatively impacted sales growth by ~60 bps
1/31/17: Per Andrea: expect +MSD dollar growth off of $1070M last year (ex. 53rd week) </t>
        </r>
        <r>
          <rPr>
            <b/>
            <sz val="9"/>
            <color indexed="81"/>
            <rFont val="Tahoma"/>
            <family val="2"/>
          </rPr>
          <t>excluding</t>
        </r>
        <r>
          <rPr>
            <sz val="9"/>
            <color indexed="81"/>
            <rFont val="Tahoma"/>
            <family val="2"/>
          </rPr>
          <t xml:space="preserve"> negative impact from currency of over 200 bps; we assume 6% growth, offset by 7.3% 53rd week = -1.3% minus ~200 bps currency impact
"Offsetting this, we are projecting strong topline growth in Q4 benefiting in part from the identified calendar and shipment timing shifts, and despite an expected negative impact from currency of over 200 basis points."</t>
        </r>
      </text>
    </comment>
    <comment ref="CP13" authorId="7">
      <text>
        <r>
          <rPr>
            <b/>
            <sz val="9"/>
            <color indexed="81"/>
            <rFont val="Tahoma"/>
            <family val="2"/>
          </rPr>
          <t>Cassel, Lauren (Research):</t>
        </r>
        <r>
          <rPr>
            <sz val="9"/>
            <color indexed="81"/>
            <rFont val="Tahoma"/>
            <family val="2"/>
          </rPr>
          <t xml:space="preserve">
5/2/17: In the fourth quarter, we would again expect to hold a short duration sale around Mother's Day and kick off our semiannual summer sale.
</t>
        </r>
        <r>
          <rPr>
            <b/>
            <sz val="9"/>
            <color indexed="81"/>
            <rFont val="Tahoma"/>
            <family val="2"/>
          </rPr>
          <t>Higher conversion drove the comp; traffic still slightly negatively although significantly improved vs. 3Q given Easter shift; tourism spending in NA decelerated, declines in Chinese spending offest by Japanese and Korean visitors (negatively impacted by almost a point)
Over $400+ category &gt;45% of handbag sales vs. ~40% LY
Small bags and accessories were also strong 
Below $300 penetration, similar to LY</t>
        </r>
      </text>
    </comment>
    <comment ref="AZ14" authorId="0">
      <text>
        <r>
          <rPr>
            <b/>
            <sz val="8"/>
            <color indexed="81"/>
            <rFont val="Tahoma"/>
            <family val="2"/>
          </rPr>
          <t>mm98285:</t>
        </r>
        <r>
          <rPr>
            <sz val="8"/>
            <color indexed="81"/>
            <rFont val="Tahoma"/>
            <family val="2"/>
          </rPr>
          <t xml:space="preserve">
3Q07: Expect net sales growth of 28% to at least $2.6bn
10/06: 1Q conf call expect to be $2.55b
8/06: expected to be $2.5b</t>
        </r>
      </text>
    </comment>
    <comment ref="BB14" authorId="0">
      <text>
        <r>
          <rPr>
            <b/>
            <sz val="8"/>
            <color indexed="81"/>
            <rFont val="Tahoma"/>
            <family val="2"/>
          </rPr>
          <t>mm98285:</t>
        </r>
        <r>
          <rPr>
            <sz val="8"/>
            <color indexed="81"/>
            <rFont val="Tahoma"/>
            <family val="2"/>
          </rPr>
          <t xml:space="preserve">
8/06: expect +10% comps for 2007</t>
        </r>
      </text>
    </comment>
    <comment ref="BD14" authorId="8">
      <text>
        <r>
          <rPr>
            <b/>
            <sz val="8"/>
            <color indexed="81"/>
            <rFont val="Tahoma"/>
            <family val="2"/>
          </rPr>
          <t>oc48540:</t>
        </r>
        <r>
          <rPr>
            <sz val="8"/>
            <color indexed="81"/>
            <rFont val="Tahoma"/>
            <family val="2"/>
          </rPr>
          <t xml:space="preserve">
4/08: $3.18B
1/08: $3.15B
10/07: expect $3.17b
4Q07: expect ~$3.161.1b
3Q07: Expect at least $3.1bn</t>
        </r>
      </text>
    </comment>
    <comment ref="BH14" authorId="0">
      <text>
        <r>
          <rPr>
            <b/>
            <sz val="8"/>
            <color indexed="81"/>
            <rFont val="Tahoma"/>
            <family val="2"/>
          </rPr>
          <t>mm98285:</t>
        </r>
        <r>
          <rPr>
            <sz val="8"/>
            <color indexed="81"/>
            <rFont val="Tahoma"/>
            <family val="2"/>
          </rPr>
          <t xml:space="preserve">
10/21/08: guided to $3.5B
7/29/08: guided to $3.61B</t>
        </r>
      </text>
    </comment>
    <comment ref="BI14" authorId="0">
      <text>
        <r>
          <rPr>
            <b/>
            <sz val="8"/>
            <color indexed="81"/>
            <rFont val="Tahoma"/>
            <family val="2"/>
          </rPr>
          <t>mm98285:</t>
        </r>
        <r>
          <rPr>
            <sz val="8"/>
            <color indexed="81"/>
            <rFont val="Tahoma"/>
            <family val="2"/>
          </rPr>
          <t xml:space="preserve">
10/08: expect sales growth of about 10%, revised from its previous estimate of 13%, to about $3.5 billion. </t>
        </r>
      </text>
    </comment>
    <comment ref="BL14" authorId="3">
      <text>
        <r>
          <rPr>
            <b/>
            <sz val="8"/>
            <color indexed="81"/>
            <rFont val="Tahoma"/>
            <family val="2"/>
          </rPr>
          <t>lauraro:</t>
        </r>
        <r>
          <rPr>
            <sz val="8"/>
            <color indexed="81"/>
            <rFont val="Tahoma"/>
            <family val="2"/>
          </rPr>
          <t xml:space="preserve">
8/10: Week 53 in 2010 contributed ~$70M sales</t>
        </r>
      </text>
    </comment>
    <comment ref="BP14" authorId="3">
      <text>
        <r>
          <rPr>
            <b/>
            <sz val="8"/>
            <color indexed="81"/>
            <rFont val="Tahoma"/>
            <family val="2"/>
          </rPr>
          <t>lauraro:</t>
        </r>
        <r>
          <rPr>
            <sz val="8"/>
            <color indexed="81"/>
            <rFont val="Tahoma"/>
            <family val="2"/>
          </rPr>
          <t xml:space="preserve">
8/10: Week 53 in 2010 contributed ~$70M sales</t>
        </r>
      </text>
    </comment>
    <comment ref="BQ14" authorId="3">
      <text>
        <r>
          <rPr>
            <b/>
            <sz val="8"/>
            <color indexed="81"/>
            <rFont val="Tahoma"/>
            <family val="2"/>
          </rPr>
          <t>lauraro:</t>
        </r>
        <r>
          <rPr>
            <sz val="8"/>
            <color indexed="81"/>
            <rFont val="Tahoma"/>
            <family val="2"/>
          </rPr>
          <t xml:space="preserve">
8/10: </t>
        </r>
        <r>
          <rPr>
            <b/>
            <sz val="8"/>
            <color indexed="81"/>
            <rFont val="Tahoma"/>
            <family val="2"/>
          </rPr>
          <t>Exp to achieve double-digit sales and earnings growth</t>
        </r>
        <r>
          <rPr>
            <sz val="8"/>
            <color indexed="81"/>
            <rFont val="Tahoma"/>
            <family val="2"/>
          </rPr>
          <t xml:space="preserve">
all comments are on a comparable, 52 week to 52 week basis. </t>
        </r>
      </text>
    </comment>
    <comment ref="BR14" authorId="3">
      <text>
        <r>
          <rPr>
            <b/>
            <sz val="8"/>
            <color indexed="81"/>
            <rFont val="Tahoma"/>
            <family val="2"/>
          </rPr>
          <t xml:space="preserve">11/10: </t>
        </r>
        <r>
          <rPr>
            <sz val="8"/>
            <color indexed="81"/>
            <rFont val="Tahoma"/>
            <family val="2"/>
          </rPr>
          <t>Raised guidance to +MSD NA comp for balance of FY11</t>
        </r>
        <r>
          <rPr>
            <b/>
            <sz val="8"/>
            <color indexed="81"/>
            <rFont val="Tahoma"/>
            <family val="2"/>
          </rPr>
          <t xml:space="preserve">
lauraro:</t>
        </r>
        <r>
          <rPr>
            <sz val="8"/>
            <color indexed="81"/>
            <rFont val="Tahoma"/>
            <family val="2"/>
          </rPr>
          <t xml:space="preserve">
8/10 L-MSD NA comp, which will fluctuate quarter to quarter as a result of calendar timing</t>
        </r>
      </text>
    </comment>
    <comment ref="BU14" authorId="3">
      <text>
        <r>
          <rPr>
            <b/>
            <sz val="8"/>
            <color indexed="81"/>
            <rFont val="Tahoma"/>
            <family val="2"/>
          </rPr>
          <t>lauraro:</t>
        </r>
        <r>
          <rPr>
            <sz val="8"/>
            <color indexed="81"/>
            <rFont val="Tahoma"/>
            <family val="2"/>
          </rPr>
          <t xml:space="preserve">
8/2/11: +DD sales growth</t>
        </r>
      </text>
    </comment>
    <comment ref="BV14" authorId="3">
      <text>
        <r>
          <rPr>
            <b/>
            <sz val="8"/>
            <color indexed="81"/>
            <rFont val="Tahoma"/>
            <family val="2"/>
          </rPr>
          <t>lauraro:</t>
        </r>
        <r>
          <rPr>
            <sz val="8"/>
            <color indexed="81"/>
            <rFont val="Tahoma"/>
            <family val="2"/>
          </rPr>
          <t xml:space="preserve">
8/2/11: at least +MSD comps</t>
        </r>
      </text>
    </comment>
    <comment ref="BX14" authorId="4">
      <text>
        <r>
          <rPr>
            <sz val="8"/>
            <color indexed="81"/>
            <rFont val="Tahoma"/>
            <family val="2"/>
          </rPr>
          <t xml:space="preserve">7/31/12:
"As we enter FY13, our overarching strategies remain largely unchanged:
• First, leveraging the global opportunity, by aggressively growing our international businesses through both distribution expansion and productivity gains,
• Second,  continuing to build our women’s business in the North American market, 
• Third, tapping into the large and now rapidly growing Men’s accessory category and
• Fourth, harnessing the growing power of the digital world."
"We are mindful of balancing the impact of a muted consumer environment in North America and a softening global macroeconomic outlook with our optimism around the launch of Legacy, Men’s growth and the strong international expansion opportunities for Coach"
</t>
        </r>
        <r>
          <rPr>
            <b/>
            <sz val="8"/>
            <color indexed="81"/>
            <rFont val="Tahoma"/>
            <family val="2"/>
          </rPr>
          <t xml:space="preserve">antons:
</t>
        </r>
        <r>
          <rPr>
            <sz val="8"/>
            <color indexed="81"/>
            <rFont val="Tahoma"/>
            <family val="2"/>
          </rPr>
          <t>From Conf. call - CFO, Expect +HSD FY13 net sales growth. "First and most generally, we expect to achieve high single-digit second-half sales growth, with North America comps about even with prior year."</t>
        </r>
      </text>
    </comment>
    <comment ref="BY14" authorId="4">
      <text>
        <r>
          <rPr>
            <sz val="8"/>
            <color indexed="81"/>
            <rFont val="Tahoma"/>
            <family val="2"/>
          </rPr>
          <t>7/30/13 - CEO Lew Frankfort - "During fiscal 2013, our Men’s business grew nearly 50% to over $600 million at retail. In China, our fastest growing market, sales grew 40% and totaled about $430 million."
7/31/12: +DD FY13 sales growth guidance; reiterated 10/23/12</t>
        </r>
      </text>
    </comment>
    <comment ref="BZ14" authorId="4">
      <text>
        <r>
          <rPr>
            <sz val="8"/>
            <color indexed="81"/>
            <rFont val="Tahoma"/>
            <family val="2"/>
          </rPr>
          <t xml:space="preserve">Internet comp +9% and store comp -9%. 
10-K:  primarily driven by sales from new and expanded stores and a 0.3% increase in comparable store sales, partially offset by decreased shipments into wholesale stores.NA Internet contributed +9% to comp growth
7/31/12: L-MSD FY13 guidance.
CFO - "Our sales will be driven in part by low-to-mid-single digit comps in North America where our comparisons will be more difficult in the first half.  In addition, currency is likely to be more of headwind early in the year."
</t>
        </r>
        <r>
          <rPr>
            <b/>
            <sz val="8"/>
            <color indexed="81"/>
            <rFont val="Tahoma"/>
            <family val="2"/>
          </rPr>
          <t>antons:</t>
        </r>
        <r>
          <rPr>
            <sz val="8"/>
            <color indexed="81"/>
            <rFont val="Tahoma"/>
            <family val="2"/>
          </rPr>
          <t xml:space="preserve">
1/23/13: CFO -  Flat Comps FY13 guidance
"First and most generally, we expect to achieve high single-digit second-half sales growth, with North America comps about even with prior year."</t>
        </r>
      </text>
    </comment>
    <comment ref="CB14" authorId="5">
      <text>
        <r>
          <rPr>
            <b/>
            <sz val="9"/>
            <color indexed="81"/>
            <rFont val="Tahoma"/>
            <family val="2"/>
          </rPr>
          <t>Turley, Amber (Research):</t>
        </r>
        <r>
          <rPr>
            <sz val="9"/>
            <color indexed="81"/>
            <rFont val="Tahoma"/>
            <family val="2"/>
          </rPr>
          <t xml:space="preserve">
10-K: F/X negatively impacted revenue by $155.9m</t>
        </r>
      </text>
    </comment>
    <comment ref="CC14" authorId="4">
      <text>
        <r>
          <rPr>
            <sz val="8"/>
            <color indexed="81"/>
            <rFont val="Tahoma"/>
            <family val="2"/>
          </rPr>
          <t xml:space="preserve">4/29/14: guidance: -HSD in dollars for FY14 and -MSD in CC for FY14
1/22/14: </t>
        </r>
        <r>
          <rPr>
            <b/>
            <sz val="8"/>
            <color indexed="81"/>
            <rFont val="Tahoma"/>
            <family val="2"/>
          </rPr>
          <t xml:space="preserve">guidance equals -LSD to -MSD in 2H, -LSD to -MSD for the year  </t>
        </r>
        <r>
          <rPr>
            <sz val="8"/>
            <color indexed="81"/>
            <rFont val="Tahoma"/>
            <family val="2"/>
          </rPr>
          <t xml:space="preserve">expect to deliver low single digit sales declines in constant currency in the second half
7/30/13 - </t>
        </r>
        <r>
          <rPr>
            <b/>
            <sz val="8"/>
            <color indexed="81"/>
            <rFont val="Tahoma"/>
            <family val="2"/>
          </rPr>
          <t>guidance equals  low-to-mid single digits.</t>
        </r>
        <r>
          <rPr>
            <sz val="8"/>
            <color indexed="81"/>
            <rFont val="Tahoma"/>
            <family val="2"/>
          </rPr>
          <t xml:space="preserve">  "We expect to deliver mid-single digit sales growth in constant currency. Assuming the yen at close to 100, this would equate to low-to-mid single digits in dollars, with currency more of a factor in the first half."
"As we’ve discussed, we’re also continuing to drive our Men’s business globally through new stand-alone and dual gender or side-by-side stores and by dedicating more space for a broader Men’s assortment in existing retail stores. In FY13, Coach’s sales of Men’s bags and accessories increased 50% in North America, driving the overall Men’s premium category, which grew 25% to about $1 billion dollars.  
Looking ahead we remain excited about the prospects for our global men’s business, where we believe we can reach $1 billion dollars in sales in three years from the $600 million achieved last year."</t>
        </r>
      </text>
    </comment>
    <comment ref="CD14" authorId="4">
      <text>
        <r>
          <rPr>
            <sz val="8"/>
            <color indexed="81"/>
            <rFont val="Tahoma"/>
            <family val="2"/>
          </rPr>
          <t>8/16/14 10-K: lower wholesale sales of $26.1 million due to lower shipments. The Internet business had a negative impact, of over 1%, on comparable store sales which is attributable to the Company's decision to eliminate third-party Internet events and to limit access to our outlet Internet sales site.Driven by lower traffic to stores
10/22/14: "forecasting our North America comp run rate to be down high single digits for the balance of FY 14."
7/30/2013 CFO - "we are not building an improvement from the negative low-single-digit Q4 North American comp run rate into our FY14 plans at this time"</t>
        </r>
      </text>
    </comment>
    <comment ref="CF14" authorId="6">
      <text>
        <r>
          <rPr>
            <b/>
            <sz val="9"/>
            <color indexed="81"/>
            <rFont val="Tahoma"/>
            <family val="2"/>
          </rPr>
          <t>casselau:</t>
        </r>
        <r>
          <rPr>
            <sz val="9"/>
            <color indexed="81"/>
            <rFont val="Tahoma"/>
            <family val="2"/>
          </rPr>
          <t xml:space="preserve">
8/4/15: men's $700M; $800M in shoes (Coach and SW) at retail (8% of NA women's premium footwear market 4% global)</t>
        </r>
      </text>
    </comment>
    <comment ref="CG14" authorId="2">
      <text>
        <r>
          <rPr>
            <b/>
            <sz val="9"/>
            <color indexed="81"/>
            <rFont val="Tahoma"/>
            <family val="2"/>
          </rPr>
          <t xml:space="preserve">8/4/15: CC -11%
</t>
        </r>
        <r>
          <rPr>
            <sz val="9"/>
            <color indexed="81"/>
            <rFont val="Tahoma"/>
            <family val="2"/>
          </rPr>
          <t xml:space="preserve">
1/28/15: Guidance: LDD decline in sales in constant currency though down slightly more on a reported basis due to the increasing strength of the dollar. 
10/28/14: Reiterate LDD decline in sales in constant currency and on a reported basis largely due to reduction of promotions and store closures. 
8/4/15: Guidance -LDD in CC and on a reported basis due to reduced promotions and store closure activity. COH embeds higher AUR in the comp expecting increased penetration of $400+ handbags and lower promotional activity particularly at eOS driving higher AUR. 
4/29/15: Expect FY15 worse than FY14 on CC basis. If FY14 is -4% on CC, FY15 could be -5% CC</t>
        </r>
      </text>
    </comment>
    <comment ref="CH14" authorId="5">
      <text>
        <r>
          <rPr>
            <b/>
            <sz val="9"/>
            <color indexed="81"/>
            <rFont val="Tahoma"/>
            <family val="2"/>
          </rPr>
          <t>8/4/15: stores -15%; EOS -7%</t>
        </r>
        <r>
          <rPr>
            <sz val="9"/>
            <color indexed="81"/>
            <rFont val="Tahoma"/>
            <family val="2"/>
          </rPr>
          <t xml:space="preserve">
1/29/15: Guidance: negative mid 20s comp. expect contniued pressure on sales due to reduced promotions and 2H store closure activity. Projecting mid teens comp decine in NAm stores with eOS pressuring NAm comp an additional 10%. 
10/28/14: Reiterate guidance: High teen comp decline in stores plus factory outlet online reduction pressuring internet comp by 10%. Expect throughout the year store comp t improve as the product and store initiatives rollout while the pressure from eOS will intensify as they continue to reduce cadence of events. 
"Over the year we expect our store comp trend to improve, as new product penetration grows across both channels, more stores are replatformed,
and marketing intensifies. However, our internet comp will worsen as we further curtail events."
8/5/14: Guidance negative high teesna NA store comp and online factory comp of -10% resulting in a combined comp of negative mid 20s to negative high 20s. 
Closing 70 of the least profitable/lowest productivity stores in NA, will have a small impact on positive comp. mgmt expects a bit of a transfer to other stores (per pg 13 on 8/5/14 earnings transcript). </t>
        </r>
      </text>
    </comment>
    <comment ref="CK14" authorId="6">
      <text>
        <r>
          <rPr>
            <b/>
            <sz val="9"/>
            <color indexed="81"/>
            <rFont val="Tahoma"/>
            <family val="2"/>
          </rPr>
          <t xml:space="preserve">casselau:
+9% CC; Coach brand flat (CC +2%)
1/26/16: </t>
        </r>
        <r>
          <rPr>
            <sz val="9"/>
            <color indexed="81"/>
            <rFont val="Tahoma"/>
            <family val="2"/>
          </rPr>
          <t>"Coach brand revenue +LSD in constant currency on a 52-week basis. However, based on current exchange rates, FX is now expected to negatively impact overall Fiscal 2016 revenue growth by 225-250 basis points; SW $340M, driving total revenu growth to +HSD on constant currency basis 
** Still have $75-$80M benefit from 53rd week</t>
        </r>
        <r>
          <rPr>
            <b/>
            <sz val="9"/>
            <color indexed="81"/>
            <rFont val="Tahoma"/>
            <family val="2"/>
          </rPr>
          <t xml:space="preserve">
</t>
        </r>
        <r>
          <rPr>
            <sz val="9"/>
            <color indexed="81"/>
            <rFont val="Tahoma"/>
            <family val="2"/>
          </rPr>
          <t xml:space="preserve">
</t>
        </r>
        <r>
          <rPr>
            <b/>
            <sz val="9"/>
            <color indexed="81"/>
            <rFont val="Tahoma"/>
            <family val="2"/>
          </rPr>
          <t>8/4/15: guidance:</t>
        </r>
        <r>
          <rPr>
            <sz val="9"/>
            <color indexed="81"/>
            <rFont val="Tahoma"/>
            <family val="2"/>
          </rPr>
          <t xml:space="preserve"> expect Coach stand-alone brand revenues to increase +LSD in constant currency (FX will have ~200 bps negative impact); excluding Stuart Weitzman $335M driving COH total revenue growth to +HSD
**Extra week expected to contribute $75-80M in incremental revenue
</t>
        </r>
      </text>
    </comment>
    <comment ref="CL14" authorId="6">
      <text>
        <r>
          <rPr>
            <b/>
            <sz val="9"/>
            <color indexed="81"/>
            <rFont val="Tahoma"/>
            <family val="2"/>
          </rPr>
          <t>casselau:</t>
        </r>
        <r>
          <rPr>
            <sz val="9"/>
            <color indexed="81"/>
            <rFont val="Tahoma"/>
            <family val="2"/>
          </rPr>
          <t xml:space="preserve">
8/4/15: projecting a -LSD aggregate comp decline; expect sequential improvement throughout the year</t>
        </r>
      </text>
    </comment>
    <comment ref="CO14" authorId="7">
      <text>
        <r>
          <rPr>
            <b/>
            <sz val="9"/>
            <color indexed="81"/>
            <rFont val="Tahoma"/>
            <family val="2"/>
          </rPr>
          <t xml:space="preserve">Cassel, Lauren (Research):
8/15/17: Excluding the 53rd week LY, net sales +2% on both reported and CC basis; NA wholesale right sizing negatively impacted sales growth by ~150 bps 
</t>
        </r>
        <r>
          <rPr>
            <sz val="9"/>
            <color indexed="81"/>
            <rFont val="Tahoma"/>
            <family val="2"/>
          </rPr>
          <t>1/31/17: The Company’s previous fiscal 2017 revenue guidance was for an increase of low-to-mid single digits, including an expected benefit from foreign currency of approximately 100-150 basis points.</t>
        </r>
        <r>
          <rPr>
            <b/>
            <sz val="9"/>
            <color indexed="81"/>
            <rFont val="Tahoma"/>
            <family val="2"/>
          </rPr>
          <t xml:space="preserve"> Given the significant strengthening of the U.S. dollar, the Company is now projecting revenue to increase low-single digits, including an expected negative impact from foreign currency of 50 basis points for the full fiscal year or over 100 basis points of pressure for the second half of the fiscal year based on current exchange rates.</t>
        </r>
        <r>
          <rPr>
            <sz val="9"/>
            <color indexed="81"/>
            <rFont val="Tahoma"/>
            <family val="2"/>
          </rPr>
          <t xml:space="preserve">
8/9/16: guidance: +L-MSD growth on 52-week basis including expected benefit from FX of 100-150 bps based on current exchange rates</t>
        </r>
      </text>
    </comment>
    <comment ref="CP14" authorId="7">
      <text>
        <r>
          <rPr>
            <b/>
            <sz val="9"/>
            <color indexed="81"/>
            <rFont val="Tahoma"/>
            <family val="2"/>
          </rPr>
          <t>Cassel, Lauren (Research):</t>
        </r>
        <r>
          <rPr>
            <sz val="9"/>
            <color indexed="81"/>
            <rFont val="Tahoma"/>
            <family val="2"/>
          </rPr>
          <t xml:space="preserve">
8/9/16: guidance +LSD comp guidance</t>
        </r>
      </text>
    </comment>
    <comment ref="CR14" authorId="7">
      <text>
        <r>
          <rPr>
            <b/>
            <sz val="9"/>
            <color indexed="81"/>
            <rFont val="Tahoma"/>
            <family val="2"/>
          </rPr>
          <t>Cassel, Lauren (Research):</t>
        </r>
        <r>
          <rPr>
            <sz val="9"/>
            <color indexed="81"/>
            <rFont val="Tahoma"/>
            <family val="2"/>
          </rPr>
          <t xml:space="preserve">
2/6/18: Reiterated guidance
8/15/17: guidance +~30% to $5.8-5.9B, with +LSD organic growth (+LSD global Coach comps) and the acquisition of Kate Spade adding $1.2B+ in revenue (assumes -HSD decrease in comps)</t>
        </r>
      </text>
    </comment>
    <comment ref="CS14" authorId="7">
      <text>
        <r>
          <rPr>
            <b/>
            <sz val="9"/>
            <color indexed="81"/>
            <rFont val="Tahoma"/>
            <family val="2"/>
          </rPr>
          <t>Cassel, Lauren (Research):</t>
        </r>
        <r>
          <rPr>
            <sz val="9"/>
            <color indexed="81"/>
            <rFont val="Tahoma"/>
            <family val="2"/>
          </rPr>
          <t xml:space="preserve">
</t>
        </r>
        <r>
          <rPr>
            <b/>
            <sz val="9"/>
            <color indexed="81"/>
            <rFont val="Tahoma"/>
            <family val="2"/>
          </rPr>
          <t>8/15/17: guidance +~30% to $5.8-5.9B, with +LSD organic growth and the acquisition of Kate Spade adding $1.2B+ in revenue</t>
        </r>
      </text>
    </comment>
    <comment ref="BL17" authorId="3">
      <text>
        <r>
          <rPr>
            <b/>
            <sz val="8"/>
            <color indexed="81"/>
            <rFont val="Tahoma"/>
            <family val="2"/>
          </rPr>
          <t>lauraro:</t>
        </r>
        <r>
          <rPr>
            <sz val="8"/>
            <color indexed="81"/>
            <rFont val="Tahoma"/>
            <family val="2"/>
          </rPr>
          <t xml:space="preserve">
9/10: Sales adjusted for extra week ($70M)</t>
        </r>
      </text>
    </comment>
    <comment ref="BU18" authorId="5">
      <text>
        <r>
          <rPr>
            <b/>
            <sz val="9"/>
            <color indexed="81"/>
            <rFont val="Tahoma"/>
            <family val="2"/>
          </rPr>
          <t>Turley, Amber (Research):</t>
        </r>
        <r>
          <rPr>
            <sz val="9"/>
            <color indexed="81"/>
            <rFont val="Tahoma"/>
            <family val="2"/>
          </rPr>
          <t xml:space="preserve">
Cost of sales consists of inventory costs and other related costs such as shrinkage, damages and replacements. Coach includes inbound product-related transportation costs from our service providers within cost of sales.</t>
        </r>
      </text>
    </comment>
    <comment ref="AV20" authorId="0">
      <text>
        <r>
          <rPr>
            <b/>
            <sz val="8"/>
            <color indexed="81"/>
            <rFont val="Tahoma"/>
            <family val="2"/>
          </rPr>
          <t>mm98285:</t>
        </r>
        <r>
          <rPr>
            <sz val="8"/>
            <color indexed="81"/>
            <rFont val="Tahoma"/>
            <family val="2"/>
          </rPr>
          <t xml:space="preserve">
8/07: $107.59 incl discontinued ops
</t>
        </r>
      </text>
    </comment>
    <comment ref="AZ20" authorId="0">
      <text>
        <r>
          <rPr>
            <b/>
            <sz val="8"/>
            <color indexed="81"/>
            <rFont val="Tahoma"/>
            <family val="2"/>
          </rPr>
          <t>mm98285:</t>
        </r>
        <r>
          <rPr>
            <sz val="8"/>
            <color indexed="81"/>
            <rFont val="Tahoma"/>
            <family val="2"/>
          </rPr>
          <t xml:space="preserve">
5/07: $129.171 incl discontinued ops</t>
        </r>
      </text>
    </comment>
    <comment ref="BA20" authorId="0">
      <text>
        <r>
          <rPr>
            <b/>
            <sz val="8"/>
            <color indexed="81"/>
            <rFont val="Tahoma"/>
            <family val="2"/>
          </rPr>
          <t>mm98285:</t>
        </r>
        <r>
          <rPr>
            <sz val="8"/>
            <color indexed="81"/>
            <rFont val="Tahoma"/>
            <family val="2"/>
          </rPr>
          <t xml:space="preserve">
+70 bps product mix and supply chain initiatives, partially offset by channel mix &amp; weak yen</t>
        </r>
      </text>
    </comment>
    <comment ref="BE20" authorId="0">
      <text>
        <r>
          <rPr>
            <b/>
            <sz val="8"/>
            <color indexed="81"/>
            <rFont val="Tahoma"/>
            <family val="2"/>
          </rPr>
          <t>mm98285:</t>
        </r>
        <r>
          <rPr>
            <sz val="8"/>
            <color indexed="81"/>
            <rFont val="Tahoma"/>
            <family val="2"/>
          </rPr>
          <t xml:space="preserve">
-20 bps unfavorable channel mix
-20 bps from weaker yen (as sold thru invtry purch w/weaker yen)
+30 bps as organic GM improved in specific channels (factory)</t>
        </r>
      </text>
    </comment>
    <comment ref="BI20" authorId="0">
      <text>
        <r>
          <rPr>
            <b/>
            <sz val="8"/>
            <color indexed="81"/>
            <rFont val="Tahoma"/>
            <family val="2"/>
          </rPr>
          <t>mm98285:</t>
        </r>
        <r>
          <rPr>
            <sz val="8"/>
            <color indexed="81"/>
            <rFont val="Tahoma"/>
            <family val="2"/>
          </rPr>
          <t xml:space="preserve">
10/08: Over half GM decline was driven by higher promos in factory channel (to drive conversion) as well as negative impact of channel mix (factory segment = lowest GM grew faster) and sharper pricing initiative
7/08: expect 74.0%</t>
        </r>
      </text>
    </comment>
    <comment ref="BM20" authorId="0">
      <text>
        <r>
          <rPr>
            <b/>
            <sz val="8"/>
            <color indexed="81"/>
            <rFont val="Tahoma"/>
            <family val="2"/>
          </rPr>
          <t>mm98285:</t>
        </r>
        <r>
          <rPr>
            <sz val="8"/>
            <color indexed="81"/>
            <rFont val="Tahoma"/>
            <family val="2"/>
          </rPr>
          <t xml:space="preserve">
10/20/09: decline primarily due to higher promos (we est. -140 bps) and channel mix (we estimate -50 bps)</t>
        </r>
      </text>
    </comment>
    <comment ref="BQ20" authorId="3">
      <text>
        <r>
          <rPr>
            <b/>
            <sz val="8"/>
            <color indexed="81"/>
            <rFont val="Tahoma"/>
            <family val="2"/>
          </rPr>
          <t>lauraro:</t>
        </r>
        <r>
          <rPr>
            <sz val="8"/>
            <color indexed="81"/>
            <rFont val="Tahoma"/>
            <family val="2"/>
          </rPr>
          <t xml:space="preserve">
11/10: The GM improvement was primarily due to sourcing cost improvements, notably in the factory channel where product mix continued to favor higher margin, made-for-factory product.
8/10: Exp gross margin is likely to expand in the first half of the year versus FY10
10/15: Cons 73.4%</t>
        </r>
      </text>
    </comment>
    <comment ref="BU20" authorId="3">
      <text>
        <r>
          <rPr>
            <b/>
            <sz val="8"/>
            <color indexed="81"/>
            <rFont val="Tahoma"/>
            <family val="2"/>
          </rPr>
          <t xml:space="preserve">10/25/2011: </t>
        </r>
        <r>
          <rPr>
            <sz val="8"/>
            <color indexed="81"/>
            <rFont val="Tahoma"/>
            <family val="2"/>
          </rPr>
          <t xml:space="preserve"> higher sourcing costs </t>
        </r>
        <r>
          <rPr>
            <b/>
            <sz val="8"/>
            <color indexed="81"/>
            <rFont val="Tahoma"/>
            <family val="2"/>
          </rPr>
          <t xml:space="preserve">
8/2/11: </t>
        </r>
        <r>
          <rPr>
            <sz val="8"/>
            <color indexed="81"/>
            <rFont val="Tahoma"/>
            <family val="2"/>
          </rPr>
          <t>Expect sequential improvement from 4Q11, but still down YoY</t>
        </r>
        <r>
          <rPr>
            <b/>
            <sz val="8"/>
            <color indexed="81"/>
            <rFont val="Tahoma"/>
            <family val="2"/>
          </rPr>
          <t xml:space="preserve">
lauraro:</t>
        </r>
        <r>
          <rPr>
            <sz val="8"/>
            <color indexed="81"/>
            <rFont val="Tahoma"/>
            <family val="2"/>
          </rPr>
          <t xml:space="preserve">
Expect 1Q/2Q 2012 to continue to have input cost headwinds</t>
        </r>
      </text>
    </comment>
    <comment ref="BY20" authorId="6">
      <text>
        <r>
          <rPr>
            <b/>
            <sz val="8"/>
            <color indexed="81"/>
            <rFont val="Tahoma"/>
            <family val="2"/>
          </rPr>
          <t>casselau:</t>
        </r>
        <r>
          <rPr>
            <sz val="8"/>
            <color indexed="81"/>
            <rFont val="Tahoma"/>
            <family val="2"/>
          </rPr>
          <t xml:space="preserve">
impacted by acq's by 30 bps; sourcing cost improvements offsetting higher cost of inventory repurchased in acq; excluding acq costs, were able to gain leverage to EPS</t>
        </r>
      </text>
    </comment>
    <comment ref="CF20" authorId="5">
      <text>
        <r>
          <rPr>
            <b/>
            <sz val="9"/>
            <color indexed="81"/>
            <rFont val="Tahoma"/>
            <family val="2"/>
          </rPr>
          <t>Turley, Amber (Research):</t>
        </r>
        <r>
          <rPr>
            <sz val="9"/>
            <color indexed="81"/>
            <rFont val="Tahoma"/>
            <family val="2"/>
          </rPr>
          <t xml:space="preserve">
10/28/14: $4M charges related to the destruction of inventory.</t>
        </r>
      </text>
    </comment>
    <comment ref="CG20" authorId="5">
      <text>
        <r>
          <rPr>
            <b/>
            <sz val="9"/>
            <color indexed="81"/>
            <rFont val="Tahoma"/>
            <family val="2"/>
          </rPr>
          <t>Turley, Amber (Research):</t>
        </r>
        <r>
          <rPr>
            <sz val="9"/>
            <color indexed="81"/>
            <rFont val="Tahoma"/>
            <family val="2"/>
          </rPr>
          <t xml:space="preserve">
10/28/14: saw ~100 bps of pressure from outlets and it sounded like another ~100 bps from higher product sourcing costs. F/X was the remaining ~60 bps
per IR 8/5/14: GM expect 1Q to be the lowest of the year (high level of outlet promos and higher eOS sales vs rest of the year) 
8/5/14: "leather continues to outpace logo across all channels, and we are designing into this trend" could suggest higher AUC</t>
        </r>
      </text>
    </comment>
    <comment ref="CJ20" authorId="6">
      <text>
        <r>
          <rPr>
            <b/>
            <sz val="9"/>
            <color indexed="81"/>
            <rFont val="Tahoma"/>
            <family val="2"/>
          </rPr>
          <t>casselau:</t>
        </r>
        <r>
          <rPr>
            <sz val="9"/>
            <color indexed="81"/>
            <rFont val="Tahoma"/>
            <family val="2"/>
          </rPr>
          <t xml:space="preserve">
10/26/15: excludes acquisition related purchase accounting costs</t>
        </r>
      </text>
    </comment>
    <comment ref="CK20" authorId="6">
      <text>
        <r>
          <rPr>
            <b/>
            <sz val="9"/>
            <color indexed="81"/>
            <rFont val="Tahoma"/>
            <family val="2"/>
          </rPr>
          <t>casselau:</t>
        </r>
        <r>
          <rPr>
            <sz val="9"/>
            <color indexed="81"/>
            <rFont val="Tahoma"/>
            <family val="2"/>
          </rPr>
          <t xml:space="preserve">
10/26/15: Coach brand gross margin 68.6%, -60 bps y/y from FX; SW gross margin 57.8%</t>
        </r>
      </text>
    </comment>
    <comment ref="CO20" authorId="7">
      <text>
        <r>
          <rPr>
            <b/>
            <sz val="9"/>
            <color indexed="81"/>
            <rFont val="Tahoma"/>
            <family val="2"/>
          </rPr>
          <t>Cassel, Lauren (Research):</t>
        </r>
        <r>
          <rPr>
            <sz val="9"/>
            <color indexed="81"/>
            <rFont val="Tahoma"/>
            <family val="2"/>
          </rPr>
          <t xml:space="preserve">
11/1/16: Coach brand GM 69.8%, including 40 bps of pressure from FX, vs. 68.6% LY (+120 bps); SW 58.9% vs. 57.8% LY; Coach brand - channel mix was a positive in the quarter, product mix and costs were a very large positive, returned to consumers in terms of pricing and value (partial offset), in terms of the currency impact (40 bps headwind)
NA Coach brand gross margin improved for the same reasons - passed on lower costs to consumers;</t>
        </r>
      </text>
    </comment>
    <comment ref="CR20" authorId="7">
      <text>
        <r>
          <rPr>
            <b/>
            <sz val="9"/>
            <color indexed="81"/>
            <rFont val="Tahoma"/>
            <family val="2"/>
          </rPr>
          <t>Cassel, Lauren (Research):</t>
        </r>
        <r>
          <rPr>
            <sz val="9"/>
            <color indexed="81"/>
            <rFont val="Tahoma"/>
            <family val="2"/>
          </rPr>
          <t xml:space="preserve">
Excludes $88.4M related to Kate Integration and Acquisition</t>
        </r>
      </text>
    </comment>
    <comment ref="CS20" authorId="7">
      <text>
        <r>
          <rPr>
            <b/>
            <sz val="9"/>
            <color indexed="81"/>
            <rFont val="Tahoma"/>
            <family val="2"/>
          </rPr>
          <t>Cassel, Lauren (Research):</t>
        </r>
        <r>
          <rPr>
            <sz val="9"/>
            <color indexed="81"/>
            <rFont val="Tahoma"/>
            <family val="2"/>
          </rPr>
          <t xml:space="preserve">
11/7/17: Kate spade pressured GM by ~130 bps, as expected</t>
        </r>
      </text>
    </comment>
    <comment ref="AV21" authorId="0">
      <text>
        <r>
          <rPr>
            <b/>
            <sz val="8"/>
            <color indexed="81"/>
            <rFont val="Tahoma"/>
            <family val="2"/>
          </rPr>
          <t>mm98285:</t>
        </r>
        <r>
          <rPr>
            <sz val="8"/>
            <color indexed="81"/>
            <rFont val="Tahoma"/>
            <family val="2"/>
          </rPr>
          <t xml:space="preserve">
8/07: $145.66 incl discontinued ops
</t>
        </r>
      </text>
    </comment>
    <comment ref="AZ21" authorId="0">
      <text>
        <r>
          <rPr>
            <b/>
            <sz val="8"/>
            <color indexed="81"/>
            <rFont val="Tahoma"/>
            <family val="2"/>
          </rPr>
          <t>mm98285:</t>
        </r>
        <r>
          <rPr>
            <sz val="8"/>
            <color indexed="81"/>
            <rFont val="Tahoma"/>
            <family val="2"/>
          </rPr>
          <t xml:space="preserve">
5/07: $191.911 incl discontinued ops</t>
        </r>
      </text>
    </comment>
    <comment ref="BA21" authorId="0">
      <text>
        <r>
          <rPr>
            <b/>
            <sz val="8"/>
            <color indexed="81"/>
            <rFont val="Tahoma"/>
            <family val="2"/>
          </rPr>
          <t>mm98285:</t>
        </r>
        <r>
          <rPr>
            <sz val="8"/>
            <color indexed="81"/>
            <rFont val="Tahoma"/>
            <family val="2"/>
          </rPr>
          <t xml:space="preserve">
~2/3 of decrease from currency fluctuations 
~1/3 of decrease from channel mix due to strong U.S. factory comps 
10/06:expect to be flat</t>
        </r>
      </text>
    </comment>
    <comment ref="BE21" authorId="0">
      <text>
        <r>
          <rPr>
            <b/>
            <sz val="8"/>
            <color indexed="81"/>
            <rFont val="Tahoma"/>
            <family val="2"/>
          </rPr>
          <t>mm98285:</t>
        </r>
        <r>
          <rPr>
            <sz val="8"/>
            <color indexed="81"/>
            <rFont val="Tahoma"/>
            <family val="2"/>
          </rPr>
          <t xml:space="preserve">
-100 bps given higher promos in direct business
-50 bps due to currency fluctuations
-40 bps due to unfavorable channel mix (factory grew faster &amp; Japan grew slower vs. total co.)
+40 bps from lower product costs given improved sourcing relations</t>
        </r>
      </text>
    </comment>
    <comment ref="BI21" authorId="0">
      <text>
        <r>
          <rPr>
            <b/>
            <sz val="8"/>
            <color indexed="81"/>
            <rFont val="Tahoma"/>
            <family val="2"/>
          </rPr>
          <t>mm98285:</t>
        </r>
        <r>
          <rPr>
            <sz val="8"/>
            <color indexed="81"/>
            <rFont val="Tahoma"/>
            <family val="2"/>
          </rPr>
          <t xml:space="preserve">
190 bps below management’s guidance of 74.0%  
We est. ~230bps of driven by higher promos in factory channel (to drive conversion) &amp; negative impact of channel mix
-100 bps from sharper pricing initiative 
expect ~74%</t>
        </r>
      </text>
    </comment>
    <comment ref="BM21" authorId="3">
      <text>
        <r>
          <rPr>
            <sz val="8"/>
            <color indexed="81"/>
            <rFont val="Tahoma"/>
            <family val="2"/>
          </rPr>
          <t>primary driver of our gross margin expansion was the reengineering of our product collections that resulted in lower average costs. These sourcing costs improvements more than offset continued high levels of promotional activity in factory stores, lower AURs in full price and channel mix</t>
        </r>
      </text>
    </comment>
    <comment ref="BQ21" authorId="3">
      <text>
        <r>
          <rPr>
            <sz val="8"/>
            <color indexed="81"/>
            <rFont val="Tahoma"/>
            <family val="2"/>
          </rPr>
          <t>1/11: Flat GM due to:
+ higher IMU (AUR +HSD (we est +9%))
- Japan (highest GM) lower % of total
- Factory (lower GM) higher % of total
11/30: cons 73.4%
10/15: Cons 73.1%</t>
        </r>
        <r>
          <rPr>
            <b/>
            <sz val="8"/>
            <color indexed="81"/>
            <rFont val="Tahoma"/>
            <family val="2"/>
          </rPr>
          <t xml:space="preserve">
lauraro:</t>
        </r>
        <r>
          <rPr>
            <sz val="8"/>
            <color indexed="81"/>
            <rFont val="Tahoma"/>
            <family val="2"/>
          </rPr>
          <t xml:space="preserve">
8/10: Exp gross margin is likely to expand in the first half of the year versus FY10</t>
        </r>
      </text>
    </comment>
    <comment ref="BT21" authorId="11">
      <text>
        <r>
          <rPr>
            <b/>
            <sz val="8"/>
            <color indexed="81"/>
            <rFont val="Tahoma"/>
            <family val="2"/>
          </rPr>
          <t>kimberlg:</t>
        </r>
        <r>
          <rPr>
            <sz val="8"/>
            <color indexed="81"/>
            <rFont val="Tahoma"/>
            <family val="2"/>
          </rPr>
          <t xml:space="preserve">
upside on Factory GM b/c IMU was good (higher price) and mix shift within Factory. Factory GM up, full price GM flat</t>
        </r>
      </text>
    </comment>
    <comment ref="BU21" authorId="3">
      <text>
        <r>
          <rPr>
            <b/>
            <sz val="8"/>
            <color indexed="81"/>
            <rFont val="Tahoma"/>
            <family val="2"/>
          </rPr>
          <t>8/2/11:</t>
        </r>
        <r>
          <rPr>
            <sz val="8"/>
            <color indexed="81"/>
            <rFont val="Tahoma"/>
            <family val="2"/>
          </rPr>
          <t xml:space="preserve"> Expect sequential improvement from 4Q11, but still down YoY</t>
        </r>
        <r>
          <rPr>
            <b/>
            <sz val="8"/>
            <color indexed="81"/>
            <rFont val="Tahoma"/>
            <family val="2"/>
          </rPr>
          <t xml:space="preserve">
lauraro:</t>
        </r>
        <r>
          <rPr>
            <sz val="8"/>
            <color indexed="81"/>
            <rFont val="Tahoma"/>
            <family val="2"/>
          </rPr>
          <t xml:space="preserve">
1/11: Don't expect to repeat higher than expected Factory as a % of sales, improving GM
Expect 1Q/2Q 2012 to continue to have input cost headwinds</t>
        </r>
      </text>
    </comment>
    <comment ref="BY21" authorId="6">
      <text>
        <r>
          <rPr>
            <b/>
            <sz val="8"/>
            <color indexed="81"/>
            <rFont val="Tahoma"/>
            <family val="2"/>
          </rPr>
          <t xml:space="preserve">01/08/13: </t>
        </r>
        <r>
          <rPr>
            <sz val="8"/>
            <color indexed="81"/>
            <rFont val="Tahoma"/>
            <family val="2"/>
          </rPr>
          <t xml:space="preserve">was 72.4%; lowered 100 bps due to 5% yen headwind to sales; Coach Japan hedges certain U.S. dollar-denominated inv purchases
</t>
        </r>
        <r>
          <rPr>
            <b/>
            <sz val="8"/>
            <color indexed="81"/>
            <rFont val="Tahoma"/>
            <family val="2"/>
          </rPr>
          <t xml:space="preserve">antons: 
</t>
        </r>
        <r>
          <rPr>
            <sz val="8"/>
            <color indexed="81"/>
            <rFont val="Tahoma"/>
            <family val="2"/>
          </rPr>
          <t>From 2Q13 Conf. call - CFO, GM ~-20 bps on higher inventory costs. "The gross margin rate was 72.2%, even with prior year, constrained by just over 20 basis points by the higher cost of inventory re-purchased in our acquisitions."</t>
        </r>
      </text>
    </comment>
    <comment ref="CC21" authorId="2">
      <text>
        <r>
          <rPr>
            <b/>
            <sz val="8"/>
            <color indexed="81"/>
            <rFont val="Tahoma"/>
            <family val="2"/>
          </rPr>
          <t>turleamb:</t>
        </r>
        <r>
          <rPr>
            <sz val="8"/>
            <color indexed="81"/>
            <rFont val="Tahoma"/>
            <family val="2"/>
          </rPr>
          <t xml:space="preserve">
2/5/14 10-Q: NA gross profit decreased 13.3% or $96.4 million to $627.6 million in the second quarter of fiscal 2014. Gross margin decreased 350 basis points from 67.3% in the second quarter of fiscal 2013 to 63.8% in the second quarter of fiscal 2014. The decrease in gross margin is primarily due to a 180 basis point decline due to increased promotional activity, primarily in our factory channel, and a 130 basis point decline as a result of selling products with a higher average unit cost.
International Gross Profit decreased $2.1 million to $330.9 million in the second quarter of fiscal 2014. Gross margin decreased 180 basis points from 79.7% in the second quarter of fiscal 2013 to 77.9% in the second quarter of fiscal 2014. The decrease in gross margin is primarily due to negative foreign currency exchange.</t>
        </r>
      </text>
    </comment>
    <comment ref="CG21" authorId="5">
      <text>
        <r>
          <rPr>
            <b/>
            <sz val="9"/>
            <color indexed="81"/>
            <rFont val="Tahoma"/>
            <family val="2"/>
          </rPr>
          <t>Turley, Amber (Research):</t>
        </r>
        <r>
          <rPr>
            <sz val="9"/>
            <color indexed="81"/>
            <rFont val="Tahoma"/>
            <family val="2"/>
          </rPr>
          <t xml:space="preserve">
1/29/15: GM benefitted from reduction of NAm promotional activity but was negatively impacted ($14.2M or 116 bps) by F/X (largely yen)
10-Q: Gross margin for the second quarter of fiscal 2015 was 68.9% as compared to 69.2% in the second quarter of fiscal 2014. Excluding items affecting comparability of $1.0 million, related to charges under our Transformation plan in the second quarter of fiscal 2015, gross profit decreased 14.4% or $141.7 million to $841.0 million; and gross margin was 69.0% in the second quarter of fiscal 2015. There were no items affecting comparability in the second quarter of fiscal 2014. Furthermore, our gross profit was negatively impacted by unfavorable effects of foreign currency of $14.2 million. 
</t>
        </r>
      </text>
    </comment>
    <comment ref="CJ21" authorId="12">
      <text>
        <r>
          <rPr>
            <b/>
            <sz val="9"/>
            <color indexed="81"/>
            <rFont val="Tahoma"/>
            <family val="2"/>
          </rPr>
          <t>Baglione, Gregory  (Research):</t>
        </r>
        <r>
          <rPr>
            <sz val="9"/>
            <color indexed="81"/>
            <rFont val="Tahoma"/>
            <family val="2"/>
          </rPr>
          <t xml:space="preserve">
1/26/16
Excludes:
$13.9M Transformation and other action costs
$8.5M Acquisition-related costs
$1.6M Acquisition-related purchase accounting costs
</t>
        </r>
      </text>
    </comment>
    <comment ref="CK21" authorId="6">
      <text>
        <r>
          <rPr>
            <b/>
            <sz val="9"/>
            <color indexed="81"/>
            <rFont val="Tahoma"/>
            <family val="2"/>
          </rPr>
          <t xml:space="preserve">casselau:
1/26/16: FX pressured GM by ~110 bps; Coach brand GM 67.7%; SW 64.3%
Coach brand NA margin declined due to increased promotions in the outlet and wholesale chanels as well as higher AUCs
</t>
        </r>
        <r>
          <rPr>
            <sz val="9"/>
            <color indexed="81"/>
            <rFont val="Tahoma"/>
            <family val="2"/>
          </rPr>
          <t xml:space="preserve">
10/26/15: per Andrea slightly below 68%; expect biggest currency impact in 2Q and 3Q (1Q least impacted) and take into account seasonality
</t>
        </r>
      </text>
    </comment>
    <comment ref="CO21" authorId="7">
      <text>
        <r>
          <rPr>
            <b/>
            <sz val="9"/>
            <color indexed="81"/>
            <rFont val="Tahoma"/>
            <family val="2"/>
          </rPr>
          <t>Cassel, Lauren (Research):</t>
        </r>
        <r>
          <rPr>
            <sz val="9"/>
            <color indexed="81"/>
            <rFont val="Tahoma"/>
            <family val="2"/>
          </rPr>
          <t xml:space="preserve">
1/31/17: Coach brand GM for the quarter was 69.0%, including approximately 30 basis points of benefit from currency, as compared to 67.7% in the prior year period; SW gross margin was 64.4% compared to 64.3% a year ago; total GM excludes 0.2M of acquisition related costs</t>
        </r>
      </text>
    </comment>
    <comment ref="CP21" authorId="7">
      <text>
        <r>
          <rPr>
            <b/>
            <sz val="9"/>
            <color indexed="81"/>
            <rFont val="Tahoma"/>
            <family val="2"/>
          </rPr>
          <t>Cassel, Lauren (Research):</t>
        </r>
        <r>
          <rPr>
            <sz val="9"/>
            <color indexed="81"/>
            <rFont val="Tahoma"/>
            <family val="2"/>
          </rPr>
          <t xml:space="preserve">
2/13/17: This gross margin increase of 120 basis points is primarily due to more favorable product mix and lower costs in the Coach brand.</t>
        </r>
      </text>
    </comment>
    <comment ref="CT21" authorId="7">
      <text>
        <r>
          <rPr>
            <b/>
            <sz val="9"/>
            <color indexed="81"/>
            <rFont val="Tahoma"/>
            <family val="2"/>
          </rPr>
          <t>Cassel, Lauren (Research):</t>
        </r>
        <r>
          <rPr>
            <sz val="9"/>
            <color indexed="81"/>
            <rFont val="Tahoma"/>
            <family val="2"/>
          </rPr>
          <t xml:space="preserve">
2/6/18:Kate Spade  -120 bps impact
11/7/17: expect sequential improvement vs. 1Q</t>
        </r>
      </text>
    </comment>
    <comment ref="BA22" authorId="0">
      <text>
        <r>
          <rPr>
            <b/>
            <sz val="8"/>
            <color indexed="81"/>
            <rFont val="Tahoma"/>
            <family val="2"/>
          </rPr>
          <t>mm98285:</t>
        </r>
        <r>
          <rPr>
            <sz val="8"/>
            <color indexed="81"/>
            <rFont val="Tahoma"/>
            <family val="2"/>
          </rPr>
          <t xml:space="preserve">
-60 bps given: 1) Factory channel growth and 2) Coach Japan growth below overall growth (highest GM channel) and 3) success in the high-growth lower-margin indirect/U.S. Wholesale business
10/06:expect to be flat</t>
        </r>
      </text>
    </comment>
    <comment ref="BE22" authorId="0">
      <text>
        <r>
          <rPr>
            <b/>
            <sz val="8"/>
            <color indexed="81"/>
            <rFont val="Tahoma"/>
            <family val="2"/>
          </rPr>
          <t>mm98285:</t>
        </r>
        <r>
          <rPr>
            <sz val="8"/>
            <color indexed="81"/>
            <rFont val="Tahoma"/>
            <family val="2"/>
          </rPr>
          <t xml:space="preserve">
negatively impacted by 1) sharp rise of yen (-190 bps), 2) con't promo env. (-60 bps) &amp; 3) channel mix (-30 bps)</t>
        </r>
      </text>
    </comment>
    <comment ref="BI22" authorId="0">
      <text>
        <r>
          <rPr>
            <b/>
            <sz val="8"/>
            <color indexed="81"/>
            <rFont val="Tahoma"/>
            <family val="2"/>
          </rPr>
          <t>mm98285:</t>
        </r>
        <r>
          <rPr>
            <sz val="8"/>
            <color indexed="81"/>
            <rFont val="Tahoma"/>
            <family val="2"/>
          </rPr>
          <t xml:space="preserve">
4/09: We est. ~200-250 bps of GM decline was driven by higher promos in factory (to drive conversion), ~75-100 bps due to negative impact of channel mix; &amp; ~75-100 bps from sharper pricing initiative (offering greater value to customers) </t>
        </r>
      </text>
    </comment>
    <comment ref="BM22" authorId="13">
      <text>
        <r>
          <rPr>
            <sz val="8"/>
            <color indexed="81"/>
            <rFont val="Tahoma"/>
            <family val="2"/>
          </rPr>
          <t>improvement driven primarily by lower manufacturing costs and product mix</t>
        </r>
      </text>
    </comment>
    <comment ref="BQ22" authorId="3">
      <text>
        <r>
          <rPr>
            <b/>
            <sz val="8"/>
            <color indexed="81"/>
            <rFont val="Tahoma"/>
            <family val="2"/>
          </rPr>
          <t>lauraro:</t>
        </r>
        <r>
          <rPr>
            <sz val="8"/>
            <color indexed="81"/>
            <rFont val="Tahoma"/>
            <family val="2"/>
          </rPr>
          <t xml:space="preserve">
4/26: 72.8% reflecting the impact of higher sourcing costs
1/11: Exp 3Q&gt;4Q, ~72.5% for the year (a little under 72 taken together)
11/30: 73.3%
10/15: 73.2%
8/10: Unlikely we'll be able to hold these GM levels in back of FY11, exp 72-73% range
Exp second half GM will be more difficult as we’ll face headwinds on the raw materials and labor cost side and, tougher second half compares, which will be offset in part by channel and product mix, as well as F/X
</t>
        </r>
      </text>
    </comment>
    <comment ref="BU22" authorId="3">
      <text>
        <r>
          <rPr>
            <b/>
            <sz val="8"/>
            <color indexed="81"/>
            <rFont val="Tahoma"/>
            <family val="2"/>
          </rPr>
          <t>lauraro:</t>
        </r>
        <r>
          <rPr>
            <sz val="8"/>
            <color indexed="81"/>
            <rFont val="Tahoma"/>
            <family val="2"/>
          </rPr>
          <t xml:space="preserve">
+100bps driven by product costs tailwinds and new Factory pricing strategy</t>
        </r>
      </text>
    </comment>
    <comment ref="BY22" authorId="3">
      <text>
        <r>
          <rPr>
            <b/>
            <sz val="8"/>
            <color indexed="81"/>
            <rFont val="Tahoma"/>
            <family val="2"/>
          </rPr>
          <t>lauraro:</t>
        </r>
        <r>
          <rPr>
            <sz val="8"/>
            <color indexed="81"/>
            <rFont val="Tahoma"/>
            <family val="2"/>
          </rPr>
          <t xml:space="preserve">
With 6.7% comp and new Factory pricing strategies, Factory could be upside surprise</t>
        </r>
      </text>
    </comment>
    <comment ref="CC22" authorId="2">
      <text>
        <r>
          <rPr>
            <b/>
            <sz val="8"/>
            <color indexed="81"/>
            <rFont val="Tahoma"/>
            <family val="2"/>
          </rPr>
          <t>turleamb:</t>
        </r>
        <r>
          <rPr>
            <sz val="8"/>
            <color indexed="81"/>
            <rFont val="Tahoma"/>
            <family val="2"/>
          </rPr>
          <t xml:space="preserve">
1/22/14: </t>
        </r>
        <r>
          <rPr>
            <b/>
            <sz val="8"/>
            <color indexed="81"/>
            <rFont val="Tahoma"/>
            <family val="2"/>
          </rPr>
          <t xml:space="preserve">guidance ~70% for 2H
</t>
        </r>
        <r>
          <rPr>
            <sz val="8"/>
            <color indexed="81"/>
            <rFont val="Tahoma"/>
            <family val="2"/>
          </rPr>
          <t>The primary impact compared to last year will be increased factory promotion levels, the weaker yen, rising sourcing costs, as well as inventory
amortization from the JV acquisition and Coach Europe.
MS expects incremental promo activity at factory given increased inventory</t>
        </r>
      </text>
    </comment>
    <comment ref="CJ22" authorId="7">
      <text>
        <r>
          <rPr>
            <b/>
            <sz val="9"/>
            <color indexed="81"/>
            <rFont val="Tahoma"/>
            <family val="2"/>
          </rPr>
          <t>Cassel, Lauren (Research):</t>
        </r>
        <r>
          <rPr>
            <sz val="9"/>
            <color indexed="81"/>
            <rFont val="Tahoma"/>
            <family val="2"/>
          </rPr>
          <t xml:space="preserve">
4/26/16: excludes $9.4M in transformation charges, $7.8M in acquisition related costs, and $0.3M in purchase accounting</t>
        </r>
      </text>
    </comment>
    <comment ref="CK22" authorId="7">
      <text>
        <r>
          <rPr>
            <b/>
            <sz val="9"/>
            <color indexed="81"/>
            <rFont val="Tahoma"/>
            <family val="2"/>
          </rPr>
          <t>Cassel, Lauren (Research):</t>
        </r>
        <r>
          <rPr>
            <sz val="9"/>
            <color indexed="81"/>
            <rFont val="Tahoma"/>
            <family val="2"/>
          </rPr>
          <t xml:space="preserve">
4/26/16: Coach brand GM 69.9% (currency -110 bps impact); SW GM 58.2%
North America gross margin declined on a year-over-year basis, but to a lesser extent than in 1H, as planned. M</t>
        </r>
        <r>
          <rPr>
            <b/>
            <sz val="9"/>
            <color indexed="81"/>
            <rFont val="Tahoma"/>
            <family val="2"/>
          </rPr>
          <t xml:space="preserve">argin continued to be negatively impacted by increased promotions in the outlet and wholesale channels </t>
        </r>
        <r>
          <rPr>
            <sz val="9"/>
            <color indexed="81"/>
            <rFont val="Tahoma"/>
            <family val="2"/>
          </rPr>
          <t>- in response to heightened discounting activity. These decreases were partially offset by the impact of an improved mix of elevated product sales and higher initial mark-ups, primarily in our outlet stores.</t>
        </r>
      </text>
    </comment>
    <comment ref="CO22" authorId="7">
      <text>
        <r>
          <rPr>
            <b/>
            <sz val="9"/>
            <color indexed="81"/>
            <rFont val="Tahoma"/>
            <family val="2"/>
          </rPr>
          <t>Cassel, Lauren (Research):
5/2/17: Coach brand gross margin +180 bps (including 20 bps from currency) to 71.7%; SW $50M, 62.1%, +390 bps y/y, reflective in part of channel mix and the benefit of currency and lower promotional levels</t>
        </r>
        <r>
          <rPr>
            <sz val="9"/>
            <color indexed="81"/>
            <rFont val="Tahoma"/>
            <family val="2"/>
          </rPr>
          <t xml:space="preserve">
1/31/17: As we move forward through the balance of the year, we would expect in the second half our gross margins for the Coach brand to continue to be expanding on a year-over-year basis, most notably notably in the third quarter. Again, we would expect channel mix to be even a slightly bigger benefit in the third quarter. </t>
        </r>
      </text>
    </comment>
    <comment ref="CP22" authorId="7">
      <text>
        <r>
          <rPr>
            <b/>
            <sz val="9"/>
            <color indexed="81"/>
            <rFont val="Tahoma"/>
            <family val="2"/>
          </rPr>
          <t xml:space="preserve">Cassel, Lauren (Research):
</t>
        </r>
        <r>
          <rPr>
            <sz val="9"/>
            <color indexed="81"/>
            <rFont val="Tahoma"/>
            <family val="2"/>
          </rPr>
          <t>1/31/17: still have product cost benefits, also will be helped by currency; far less promotional impact in 3Q as well</t>
        </r>
      </text>
    </comment>
    <comment ref="BA23" authorId="0">
      <text>
        <r>
          <rPr>
            <b/>
            <sz val="8"/>
            <color indexed="81"/>
            <rFont val="Tahoma"/>
            <family val="2"/>
          </rPr>
          <t>mm98285:</t>
        </r>
        <r>
          <rPr>
            <sz val="8"/>
            <color indexed="81"/>
            <rFont val="Tahoma"/>
            <family val="2"/>
          </rPr>
          <t xml:space="preserve">
-60 bps unfavorable channel mix (factory segment - lowest GM - grew faster than the overall company and Coach Japan - highest GM - grew slower than overall company)
+20 bps as organic GM improved in specific channels (specifically factory).
1/07: 2H: 78.3%
10/06:expect to be flat</t>
        </r>
      </text>
    </comment>
    <comment ref="BE23" authorId="0">
      <text>
        <r>
          <rPr>
            <b/>
            <sz val="8"/>
            <color indexed="81"/>
            <rFont val="Tahoma"/>
            <family val="2"/>
          </rPr>
          <t>mm98285:</t>
        </r>
        <r>
          <rPr>
            <sz val="8"/>
            <color indexed="81"/>
            <rFont val="Tahoma"/>
            <family val="2"/>
          </rPr>
          <t xml:space="preserve">
+80 bps given yen depreciation in 4Q (guid. of GM -300 bps assumed no change in the yen/dollar exchange rate) 
-170-200 bps neg. impact of channel mix, as factory (lowest GM channel) grew faster than overall co. &amp; Coach Japan (highest GM channel) grew slower than overall co. 
-100-130 bps more price promos in factory (to drive conversion)</t>
        </r>
      </text>
    </comment>
    <comment ref="BI23" authorId="0">
      <text>
        <r>
          <rPr>
            <b/>
            <sz val="8"/>
            <color indexed="81"/>
            <rFont val="Tahoma"/>
            <family val="2"/>
          </rPr>
          <t>mm98285:</t>
        </r>
        <r>
          <rPr>
            <sz val="8"/>
            <color indexed="81"/>
            <rFont val="Tahoma"/>
            <family val="2"/>
          </rPr>
          <t xml:space="preserve">
~-300 bps higher Factory promos to drive conversion
~-125 bps negative impact of channel mix (factory grew faster than full price 
~-125 bps sharper pricing initiative </t>
        </r>
      </text>
    </comment>
    <comment ref="BM23" authorId="13">
      <text>
        <r>
          <rPr>
            <sz val="8"/>
            <color indexed="81"/>
            <rFont val="Tahoma"/>
            <family val="2"/>
          </rPr>
          <t>4/20/2010: our gross margin is expected to expand significantly in Q4, though likely somewhat lower than Q3 rate due to channel mix, as factory will be distorted in the 14-week quarter</t>
        </r>
      </text>
    </comment>
    <comment ref="BQ23" authorId="3">
      <text>
        <r>
          <rPr>
            <b/>
            <sz val="8"/>
            <color indexed="81"/>
            <rFont val="Tahoma"/>
            <family val="2"/>
          </rPr>
          <t xml:space="preserve">4/26: </t>
        </r>
        <r>
          <rPr>
            <sz val="8"/>
            <color indexed="81"/>
            <rFont val="Tahoma"/>
            <family val="2"/>
          </rPr>
          <t>Previous comments regarding GM stand</t>
        </r>
        <r>
          <rPr>
            <sz val="8"/>
            <color indexed="81"/>
            <rFont val="Tahoma"/>
            <family val="2"/>
          </rPr>
          <t xml:space="preserve">
1/11: Exp 3Q&gt;4Q, ~72.5% for the year  (a little under 72 taken together)
11/30: 72.6%
10/15: 72.6%
8/10: Unlikely we'll be able to hold these GM levels in back of FY11
Exp second half GM will be more difficult as we’ll face headwinds on the raw materials and labor cost side and, tougher second half compares, which will be offset in part by channel and product mix, as well as F/X</t>
        </r>
      </text>
    </comment>
    <comment ref="BU23" authorId="3">
      <text>
        <r>
          <rPr>
            <sz val="8"/>
            <color indexed="81"/>
            <rFont val="Tahoma"/>
            <family val="2"/>
          </rPr>
          <t>7/31/12: GM expansion driven by channel mix and sourcing initiatives.</t>
        </r>
        <r>
          <rPr>
            <b/>
            <sz val="8"/>
            <color indexed="81"/>
            <rFont val="Tahoma"/>
            <family val="2"/>
          </rPr>
          <t xml:space="preserve">
</t>
        </r>
        <r>
          <rPr>
            <sz val="8"/>
            <color indexed="81"/>
            <rFont val="Tahoma"/>
            <family val="2"/>
          </rPr>
          <t xml:space="preserve">
4/24/12: GM expansion driven by sourcing initiatives and pricing strategies</t>
        </r>
      </text>
    </comment>
    <comment ref="BX23" authorId="4">
      <text>
        <r>
          <rPr>
            <sz val="8"/>
            <color indexed="81"/>
            <rFont val="Tahoma"/>
            <family val="2"/>
          </rPr>
          <t>7/30/13: from the press release - "During the fourth quarter of FY13, the company recorded charges of $53 million for unusual items. These consisted primarily of corporate restructuring severance-related expenses, impairment charges related to retail stores as well as a write down of a small amount of inventory.</t>
        </r>
        <r>
          <rPr>
            <b/>
            <sz val="8"/>
            <color indexed="81"/>
            <rFont val="Tahoma"/>
            <family val="2"/>
          </rPr>
          <t xml:space="preserve"> In aggregate, these actions increased the company’s SG&amp;A expenses by $48 million and cost of sales by $5 million in the period</t>
        </r>
        <r>
          <rPr>
            <sz val="8"/>
            <color indexed="81"/>
            <rFont val="Tahoma"/>
            <family val="2"/>
          </rPr>
          <t xml:space="preserve">, negatively impacting earnings by $33 million after tax or $0.11 per diluted share. Taken together, the company expects to capture over $50 million in annual savings related to these measures."
</t>
        </r>
      </text>
    </comment>
    <comment ref="BY23" authorId="6">
      <text>
        <r>
          <rPr>
            <sz val="8"/>
            <color indexed="81"/>
            <rFont val="Tahoma"/>
            <family val="2"/>
          </rPr>
          <t>7/30/2013 CFO - "gross margin was 73.0%, an increase 40bps versus year ago, primarily due to sourcing cost improvements"
4/23/13: 2H gross margin is planned to improve modestly on a y/y basis as channel mix and sourcing initiatives continue to contribute to profitability</t>
        </r>
      </text>
    </comment>
    <comment ref="CC23" authorId="2">
      <text>
        <r>
          <rPr>
            <b/>
            <sz val="8"/>
            <color indexed="81"/>
            <rFont val="Tahoma"/>
            <family val="2"/>
          </rPr>
          <t>turleamb:</t>
        </r>
        <r>
          <rPr>
            <sz val="8"/>
            <color indexed="81"/>
            <rFont val="Tahoma"/>
            <family val="2"/>
          </rPr>
          <t xml:space="preserve">
4/29/14: guidance ~69% reflecting typical seasonality from 3Q to 4Q
note: guidance exceeds typical ~100 bps deceleration from 3Q to 4Q but +13% inventory vs. -7% sales may impact 4Q margins more
1/22/14: </t>
        </r>
        <r>
          <rPr>
            <b/>
            <sz val="8"/>
            <color indexed="81"/>
            <rFont val="Tahoma"/>
            <family val="2"/>
          </rPr>
          <t xml:space="preserve">guidance ~70% for 2H
</t>
        </r>
        <r>
          <rPr>
            <sz val="8"/>
            <color indexed="81"/>
            <rFont val="Tahoma"/>
            <family val="2"/>
          </rPr>
          <t>The primary impact compared to last year will be increased factory promotion levels, the weaker yen, rising sourcing costs, as well as inventory
amortization from the JV acquisition and Coach Europe.</t>
        </r>
      </text>
    </comment>
    <comment ref="CF23" authorId="6">
      <text>
        <r>
          <rPr>
            <b/>
            <sz val="9"/>
            <color indexed="81"/>
            <rFont val="Tahoma"/>
            <family val="2"/>
          </rPr>
          <t>casselau:</t>
        </r>
        <r>
          <rPr>
            <sz val="9"/>
            <color indexed="81"/>
            <rFont val="Tahoma"/>
            <family val="2"/>
          </rPr>
          <t xml:space="preserve">
8/4/15: includes $24M gross profit from SW</t>
        </r>
      </text>
    </comment>
    <comment ref="CG23" authorId="6">
      <text>
        <r>
          <rPr>
            <b/>
            <sz val="9"/>
            <color indexed="81"/>
            <rFont val="Tahoma"/>
            <family val="2"/>
          </rPr>
          <t>casselau:
8/4/15:</t>
        </r>
        <r>
          <rPr>
            <sz val="9"/>
            <color indexed="81"/>
            <rFont val="Tahoma"/>
            <family val="2"/>
          </rPr>
          <t xml:space="preserve"> Our gross margin for the Coach brand was 69.5% in the fourth quarter on a Non-GAAP basis. The year-over-year increase in gross margin in Q4 was due to channel mix – driven by international outpacing North America as well as a significant decline in disposition sales – partially offset by a negative production variance impact, as expected.
4/28/15: expect 4Q gross margin to be similar to the prior year; expect higher sourcing costs largely offset by favorable channel mix and lower promotional activity for the year. </t>
        </r>
      </text>
    </comment>
    <comment ref="CK23" authorId="7">
      <text>
        <r>
          <rPr>
            <b/>
            <sz val="9"/>
            <color indexed="81"/>
            <rFont val="Tahoma"/>
            <family val="2"/>
          </rPr>
          <t>Cassel, Lauren (Research):</t>
        </r>
        <r>
          <rPr>
            <sz val="9"/>
            <color indexed="81"/>
            <rFont val="Tahoma"/>
            <family val="2"/>
          </rPr>
          <t xml:space="preserve">
8/9/16: Coach brand dollars +10%, 68.8% (-70 bps y/y), including 110 bps pressure from currency (+40 bps CC basis); SW GM 55.2%</t>
        </r>
      </text>
    </comment>
    <comment ref="CN23" authorId="7">
      <text>
        <r>
          <rPr>
            <b/>
            <sz val="9"/>
            <color indexed="81"/>
            <rFont val="Tahoma"/>
            <family val="2"/>
          </rPr>
          <t>Cassel, Lauren (Research):</t>
        </r>
        <r>
          <rPr>
            <sz val="9"/>
            <color indexed="81"/>
            <rFont val="Tahoma"/>
            <family val="2"/>
          </rPr>
          <t xml:space="preserve">
8/15/17: Excludes $2.3M of SW acquistion related charges</t>
        </r>
      </text>
    </comment>
    <comment ref="CO23" authorId="7">
      <text>
        <r>
          <rPr>
            <b/>
            <sz val="9"/>
            <color indexed="81"/>
            <rFont val="Tahoma"/>
            <family val="2"/>
          </rPr>
          <t xml:space="preserve">Cassel, Lauren (Research):
8/15/17: Coach brand 67.4%, including -20 bps from FX, -140 bps y/y reflecting, in part, the anticipated negative impact of channel mix; SW $53M or 58.9% gross margin as compared to 55.2% LY 
Now anniversarying product cost benefits, which did not offset increased promotional activity in outlet channel
</t>
        </r>
        <r>
          <rPr>
            <sz val="9"/>
            <color indexed="81"/>
            <rFont val="Tahoma"/>
            <family val="2"/>
          </rPr>
          <t>5/2/17: per Andrea - gross margin will be down y/y
1/31/17: per Andrea; very little if any 4Q gross margin expansion</t>
        </r>
      </text>
    </comment>
    <comment ref="CP23" authorId="7">
      <text>
        <r>
          <rPr>
            <b/>
            <sz val="9"/>
            <color indexed="81"/>
            <rFont val="Tahoma"/>
            <family val="2"/>
          </rPr>
          <t>Cassel, Lauren (Research):</t>
        </r>
        <r>
          <rPr>
            <sz val="9"/>
            <color indexed="81"/>
            <rFont val="Tahoma"/>
            <family val="2"/>
          </rPr>
          <t xml:space="preserve">
8/15/17: As expected, we experienced a year-over-year decline in gross margin in the quarter. </t>
        </r>
        <r>
          <rPr>
            <b/>
            <sz val="9"/>
            <color indexed="81"/>
            <rFont val="Tahoma"/>
            <family val="2"/>
          </rPr>
          <t>Specifically, channel mix - which was a benefit in the first nine months of the year - negatively impacted gross margin in the quarter. In addition, as we’re now anniversarying lower product costs, this benefit did not fully offset the ongoing negative impact resulting from promotional activity, notably the North America outlet channel where the environment remains very competitive.</t>
        </r>
      </text>
    </comment>
    <comment ref="BE24" authorId="0">
      <text>
        <r>
          <rPr>
            <b/>
            <sz val="8"/>
            <color indexed="81"/>
            <rFont val="Tahoma"/>
            <family val="2"/>
          </rPr>
          <t>mm98285:</t>
        </r>
        <r>
          <rPr>
            <sz val="8"/>
            <color indexed="81"/>
            <rFont val="Tahoma"/>
            <family val="2"/>
          </rPr>
          <t xml:space="preserve">
1/08: expect -100 bps</t>
        </r>
      </text>
    </comment>
    <comment ref="BI24" authorId="0">
      <text>
        <r>
          <rPr>
            <b/>
            <sz val="8"/>
            <color indexed="81"/>
            <rFont val="Tahoma"/>
            <family val="2"/>
          </rPr>
          <t>mm98285:</t>
        </r>
        <r>
          <rPr>
            <sz val="8"/>
            <color indexed="81"/>
            <rFont val="Tahoma"/>
            <family val="2"/>
          </rPr>
          <t xml:space="preserve">
decline driven by promo activities at Factory stores and channel mix and to a lessor extent sharper pricing initiative &amp; increase in avg unit cost
7/08: expect ~74.0%</t>
        </r>
      </text>
    </comment>
    <comment ref="BM24" authorId="0">
      <text>
        <r>
          <rPr>
            <b/>
            <sz val="8"/>
            <color indexed="81"/>
            <rFont val="Tahoma"/>
            <family val="2"/>
          </rPr>
          <t>mm98285:</t>
        </r>
        <r>
          <rPr>
            <sz val="8"/>
            <color indexed="81"/>
            <rFont val="Tahoma"/>
            <family val="2"/>
          </rPr>
          <t xml:space="preserve">
11/09: expect ~72%
7/09 &amp; 4/09: expect 70-72%</t>
        </r>
      </text>
    </comment>
    <comment ref="BQ24" authorId="3">
      <text>
        <r>
          <rPr>
            <b/>
            <sz val="8"/>
            <color indexed="81"/>
            <rFont val="Tahoma"/>
            <family val="2"/>
          </rPr>
          <t>lauraro:</t>
        </r>
        <r>
          <rPr>
            <sz val="8"/>
            <color indexed="81"/>
            <rFont val="Tahoma"/>
            <family val="2"/>
          </rPr>
          <t xml:space="preserve">
1/11: 72-73%
8/10: Exp 72.5%-73% GM
"it's very dynamic, that year-over-year total year gross margin rates should approximate FY10's rates in FY11 with favorably first half and less favorable comparisons backhalf."</t>
        </r>
      </text>
    </comment>
    <comment ref="BR24" authorId="14">
      <text>
        <r>
          <rPr>
            <b/>
            <sz val="8"/>
            <color indexed="81"/>
            <rFont val="Tahoma"/>
            <family val="2"/>
          </rPr>
          <t xml:space="preserve">9/10: </t>
        </r>
        <r>
          <rPr>
            <sz val="8"/>
            <color indexed="81"/>
            <rFont val="Tahoma"/>
            <family val="2"/>
          </rPr>
          <t>Exp 72.5%-73% FY11 GM</t>
        </r>
        <r>
          <rPr>
            <b/>
            <sz val="8"/>
            <color indexed="81"/>
            <rFont val="Tahoma"/>
            <family val="2"/>
          </rPr>
          <t xml:space="preserve">
KG51925:</t>
        </r>
        <r>
          <rPr>
            <sz val="8"/>
            <color indexed="81"/>
            <rFont val="Tahoma"/>
            <family val="2"/>
          </rPr>
          <t xml:space="preserve">
we see 50bps mdse margin impvmt on:
1. lower factory promos
2. favorable China mix shift
3. a "few pts" of positive AUR</t>
        </r>
      </text>
    </comment>
    <comment ref="BU24" authorId="3">
      <text>
        <r>
          <rPr>
            <b/>
            <sz val="8"/>
            <color indexed="81"/>
            <rFont val="Tahoma"/>
            <family val="2"/>
          </rPr>
          <t>lauraro:</t>
        </r>
        <r>
          <rPr>
            <sz val="8"/>
            <color indexed="81"/>
            <rFont val="Tahoma"/>
            <family val="2"/>
          </rPr>
          <t xml:space="preserve">
</t>
        </r>
        <r>
          <rPr>
            <b/>
            <sz val="8"/>
            <color indexed="81"/>
            <rFont val="Tahoma"/>
            <family val="2"/>
          </rPr>
          <t xml:space="preserve">4/24/12: </t>
        </r>
        <r>
          <rPr>
            <sz val="8"/>
            <color indexed="81"/>
            <rFont val="Tahoma"/>
            <family val="2"/>
          </rPr>
          <t xml:space="preserve">Similar to prior year levels
</t>
        </r>
        <r>
          <rPr>
            <b/>
            <sz val="8"/>
            <color indexed="81"/>
            <rFont val="Tahoma"/>
            <family val="2"/>
          </rPr>
          <t xml:space="preserve">10/25/11: </t>
        </r>
        <r>
          <rPr>
            <sz val="8"/>
            <color indexed="81"/>
            <rFont val="Tahoma"/>
            <family val="2"/>
          </rPr>
          <t xml:space="preserve">think about mid-point of 72-73% as annual target
</t>
        </r>
        <r>
          <rPr>
            <b/>
            <sz val="8"/>
            <color indexed="81"/>
            <rFont val="Tahoma"/>
            <family val="2"/>
          </rPr>
          <t>8/2/11:</t>
        </r>
        <r>
          <rPr>
            <sz val="8"/>
            <color indexed="81"/>
            <rFont val="Tahoma"/>
            <family val="2"/>
          </rPr>
          <t xml:space="preserve"> 1H12 GM sequentially higher than 2H11 (but lower vs. LY) and 72-73% for the year
</t>
        </r>
        <r>
          <rPr>
            <b/>
            <sz val="8"/>
            <color indexed="81"/>
            <rFont val="Tahoma"/>
            <family val="2"/>
          </rPr>
          <t xml:space="preserve">8/10: </t>
        </r>
        <r>
          <rPr>
            <sz val="8"/>
            <color indexed="81"/>
            <rFont val="Tahoma"/>
            <family val="2"/>
          </rPr>
          <t>Exp GM expansion YoY in FY12</t>
        </r>
      </text>
    </comment>
    <comment ref="BY24" authorId="4">
      <text>
        <r>
          <rPr>
            <sz val="8"/>
            <color indexed="81"/>
            <rFont val="Tahoma"/>
            <family val="2"/>
          </rPr>
          <t xml:space="preserve">4/23/13: reiterate 73%
7/31/12: guidance = 73%
CFO - "our gross margin is planned to improve modestly, as channel mix and our sourcing initiatives continue to contribute to profitability. On balance, we expect gross margin to remain high and in the 73% range for the year." 
</t>
        </r>
        <r>
          <rPr>
            <b/>
            <sz val="8"/>
            <color indexed="81"/>
            <rFont val="Tahoma"/>
            <family val="2"/>
          </rPr>
          <t xml:space="preserve">antons: 
</t>
        </r>
        <r>
          <rPr>
            <sz val="8"/>
            <color indexed="81"/>
            <rFont val="Tahoma"/>
            <family val="2"/>
          </rPr>
          <t>From 2Q13 Conf. call - CFO, Expect GM to remain high at ~73%. "On balance, we continue to expect gross margin to remain high, at about the 73% area for the year."</t>
        </r>
      </text>
    </comment>
    <comment ref="CC24" authorId="4">
      <text>
        <r>
          <rPr>
            <sz val="8"/>
            <color indexed="81"/>
            <rFont val="Tahoma"/>
            <family val="2"/>
          </rPr>
          <t xml:space="preserve">4/29/14: guidance GM ~70% for FY
1/22/14: </t>
        </r>
        <r>
          <rPr>
            <b/>
            <sz val="8"/>
            <color indexed="81"/>
            <rFont val="Tahoma"/>
            <family val="2"/>
          </rPr>
          <t xml:space="preserve">guidance GM projected ~70% for 2H and FY </t>
        </r>
        <r>
          <rPr>
            <sz val="8"/>
            <color indexed="81"/>
            <rFont val="Tahoma"/>
            <family val="2"/>
          </rPr>
          <t xml:space="preserve">The primary impact compared to last year will be increased factory promotion levels, the weaker yen, rising sourcing costs, as well as inventory
amortization from the JV acquisition and Coach Europe.
</t>
        </r>
        <r>
          <rPr>
            <sz val="8"/>
            <color indexed="81"/>
            <rFont val="Tahoma"/>
            <family val="2"/>
          </rPr>
          <t xml:space="preserve">
10/22/13: GM projected at 70-71% for the year. "The primary impact compared to last year will be increased factory clearance levels, the weaker yen, rising sourcing costs, as well as inventory
amortization from the JV acquisition in Coach Europe." heightened promotional activity at NA factory is the reason for the change in GM guidance. Also yen is about 50 bps of pressure
7/30/2013 CFO - "Gross margin is projected at 71% to 72% for the year. The expected decline versus prior year primarily reflects currency – notably the weaker yen, rising labor costs, especially in the second half, as well as inventory amortization from the JV acquisition in Coach Europe."  </t>
        </r>
      </text>
    </comment>
    <comment ref="CG24" authorId="5">
      <text>
        <r>
          <rPr>
            <b/>
            <sz val="9"/>
            <color indexed="81"/>
            <rFont val="Tahoma"/>
            <family val="2"/>
          </rPr>
          <t>Turley, Amber (Research):</t>
        </r>
        <r>
          <rPr>
            <sz val="9"/>
            <color indexed="81"/>
            <rFont val="Tahoma"/>
            <family val="2"/>
          </rPr>
          <t xml:space="preserve">
1/29/15: Reiterate 69%-70% with higher sourcing costs largely offset by favorable channel mix and lower promotional activity. 
10/28/14: Reiterate guidnace 69-70%. higher sourcing costs largely offset by favorable channel mix and lower promotional activity. 
8/5/14: Guidance 69-70%. Expect higher sourcing costs largely offset by favorable channel mix and lower promotional activity. </t>
        </r>
      </text>
    </comment>
    <comment ref="CK24" authorId="6">
      <text>
        <r>
          <rPr>
            <b/>
            <sz val="9"/>
            <color indexed="81"/>
            <rFont val="Tahoma"/>
            <family val="2"/>
          </rPr>
          <t xml:space="preserve">casselau:
8/9/16: Coach brand gross margin 68.7% including ~100 bps pressure from currency; rate even with LY on CC basis; SW GM 59.1%
</t>
        </r>
        <r>
          <rPr>
            <sz val="9"/>
            <color indexed="81"/>
            <rFont val="Tahoma"/>
            <family val="2"/>
          </rPr>
          <t>1/26/16: GM for Coach Brand now expected ~in range of LY's margin or about 69.5%. FX will impact by ~90-100 bps. SW will impact by 70bps</t>
        </r>
        <r>
          <rPr>
            <b/>
            <sz val="9"/>
            <color indexed="81"/>
            <rFont val="Tahoma"/>
            <family val="2"/>
          </rPr>
          <t xml:space="preserve">
</t>
        </r>
        <r>
          <rPr>
            <sz val="9"/>
            <color indexed="81"/>
            <rFont val="Tahoma"/>
            <family val="2"/>
          </rPr>
          <t xml:space="preserve">
8/4/15: guidance for Coach brand: 70% constant currency, but FX will negative impact GM by 80-100 bps; SW will negatively impact consolidated gross margin by 80-90 bps
68% range for the full year
Per Andrea, FY GM in the area of 67.8%</t>
        </r>
      </text>
    </comment>
    <comment ref="CL24" authorId="6">
      <text>
        <r>
          <rPr>
            <b/>
            <sz val="9"/>
            <color indexed="81"/>
            <rFont val="Tahoma"/>
            <family val="2"/>
          </rPr>
          <t xml:space="preserve">casselau:
1/26/16: GM for Coach Brand now expected ~in range of LY's margin or about 69.5%. FX will impact by ~90-100 bps. SW will impact by 70bps
</t>
        </r>
        <r>
          <rPr>
            <sz val="9"/>
            <color indexed="81"/>
            <rFont val="Tahoma"/>
            <family val="2"/>
          </rPr>
          <t xml:space="preserve">
8/4/15: we assume 100 bps headwind from Stuart Weitzman and 80 to 100 bps impact from FX but assume some of the SW FX hit will be in the FX = net 130 bps headwind</t>
        </r>
      </text>
    </comment>
    <comment ref="CO24" authorId="7">
      <text>
        <r>
          <rPr>
            <b/>
            <sz val="9"/>
            <color indexed="81"/>
            <rFont val="Tahoma"/>
            <family val="2"/>
          </rPr>
          <t>Cassel, Lauren (Research):</t>
        </r>
        <r>
          <rPr>
            <sz val="9"/>
            <color indexed="81"/>
            <rFont val="Tahoma"/>
            <family val="2"/>
          </rPr>
          <t xml:space="preserve">
8/9/16: expect Coach brand gross margin in 69-70% range</t>
        </r>
      </text>
    </comment>
    <comment ref="CT24" authorId="7">
      <text>
        <r>
          <rPr>
            <b/>
            <sz val="9"/>
            <color indexed="81"/>
            <rFont val="Tahoma"/>
            <family val="2"/>
          </rPr>
          <t>Cassel, Lauren (Research):
11/7/17: expect Coach brand GM flat to up slightly</t>
        </r>
        <r>
          <rPr>
            <sz val="9"/>
            <color indexed="81"/>
            <rFont val="Tahoma"/>
            <family val="2"/>
          </rPr>
          <t xml:space="preserve">
8/15/17: Kate Spade will negatively impact gross margin by -170 to -200 bps; Coach brand GM modest gross margin rate expansion; Jimlar will also negatively impact GM</t>
        </r>
      </text>
    </comment>
    <comment ref="BX28" authorId="2">
      <text>
        <r>
          <rPr>
            <b/>
            <sz val="8"/>
            <color indexed="81"/>
            <rFont val="Tahoma"/>
            <family val="2"/>
          </rPr>
          <t>turleamb:</t>
        </r>
        <r>
          <rPr>
            <sz val="8"/>
            <color indexed="81"/>
            <rFont val="Tahoma"/>
            <family val="2"/>
          </rPr>
          <t xml:space="preserve">
Selling, general and administrative expenses are comprised of four categories: (1) selling; (2) advertising, marketing and design; (3) distribution and consumer service; and (4) administrative. Selling expenses include store employee compensation, occupancy costs and supply costs, wholesale and retail account administration compensation globally and Coach international operating expenses. These expenses are affected by the number of Coach-operated stores open during any fiscal period. Advertising, marketing and design expenses include employee compensation, media space and production, advertising agency fees (primarily to support North America), new product design costs, public relations and market research expenses. Distribution and consumer service expenses include warehousing, order fulfillment, shipping and handling, customer service and bag repair costs. Administrative expenses include compensation costs for “corporate” functions including: executive, finance, human resources, legal and information systems departments, as well as corporate headquarters occupancy costs, consulting and software expenses.</t>
        </r>
      </text>
    </comment>
    <comment ref="AV30" authorId="0">
      <text>
        <r>
          <rPr>
            <b/>
            <sz val="8"/>
            <color indexed="81"/>
            <rFont val="Tahoma"/>
            <family val="2"/>
          </rPr>
          <t>mm98285:</t>
        </r>
        <r>
          <rPr>
            <sz val="8"/>
            <color indexed="81"/>
            <rFont val="Tahoma"/>
            <family val="2"/>
          </rPr>
          <t xml:space="preserve">
8/07: $196.252 incl discontinued ops
</t>
        </r>
      </text>
    </comment>
    <comment ref="AZ30" authorId="0">
      <text>
        <r>
          <rPr>
            <b/>
            <sz val="8"/>
            <color indexed="81"/>
            <rFont val="Tahoma"/>
            <family val="2"/>
          </rPr>
          <t>mm98285:</t>
        </r>
        <r>
          <rPr>
            <sz val="8"/>
            <color indexed="81"/>
            <rFont val="Tahoma"/>
            <family val="2"/>
          </rPr>
          <t xml:space="preserve">
5/07: $227.014 incl discontinued ops</t>
        </r>
      </text>
    </comment>
    <comment ref="BA30" authorId="0">
      <text>
        <r>
          <rPr>
            <b/>
            <sz val="8"/>
            <color indexed="81"/>
            <rFont val="Tahoma"/>
            <family val="2"/>
          </rPr>
          <t>mm98285:</t>
        </r>
        <r>
          <rPr>
            <sz val="8"/>
            <color indexed="81"/>
            <rFont val="Tahoma"/>
            <family val="2"/>
          </rPr>
          <t xml:space="preserve">
+340 bps levge in U.S. store base, given strong comps, &amp; levge on semi-fix corp functions</t>
        </r>
      </text>
    </comment>
    <comment ref="BE30" authorId="0">
      <text>
        <r>
          <rPr>
            <b/>
            <sz val="8"/>
            <color indexed="81"/>
            <rFont val="Tahoma"/>
            <family val="2"/>
          </rPr>
          <t>mm98285:</t>
        </r>
        <r>
          <rPr>
            <sz val="8"/>
            <color indexed="81"/>
            <rFont val="Tahoma"/>
            <family val="2"/>
          </rPr>
          <t xml:space="preserve">
-130 bps levge on strong U.S. comp (+19.3% in 1Q08)
4Q07: guide to 42.1%</t>
        </r>
      </text>
    </comment>
    <comment ref="BI30" authorId="0">
      <text>
        <r>
          <rPr>
            <b/>
            <sz val="8"/>
            <color indexed="81"/>
            <rFont val="Tahoma"/>
            <family val="2"/>
          </rPr>
          <t>mm98285:</t>
        </r>
        <r>
          <rPr>
            <sz val="8"/>
            <color indexed="81"/>
            <rFont val="Tahoma"/>
            <family val="2"/>
          </rPr>
          <t xml:space="preserve">
10/08: growth given deleverage on the +0.6% comp and investments in the China businesses
7/08: expect 43.0%</t>
        </r>
      </text>
    </comment>
    <comment ref="BM30" authorId="0">
      <text>
        <r>
          <rPr>
            <b/>
            <sz val="8"/>
            <color indexed="81"/>
            <rFont val="Tahoma"/>
            <family val="2"/>
          </rPr>
          <t>mm98285:</t>
        </r>
        <r>
          <rPr>
            <sz val="8"/>
            <color indexed="81"/>
            <rFont val="Tahoma"/>
            <family val="2"/>
          </rPr>
          <t xml:space="preserve">
look at SG&amp;A breakout tab for color by segment</t>
        </r>
      </text>
    </comment>
    <comment ref="BP30" authorId="3">
      <text>
        <r>
          <rPr>
            <b/>
            <sz val="8"/>
            <color indexed="81"/>
            <rFont val="Tahoma"/>
            <family val="2"/>
          </rPr>
          <t>lauraro:</t>
        </r>
        <r>
          <rPr>
            <sz val="8"/>
            <color indexed="81"/>
            <rFont val="Tahoma"/>
            <family val="2"/>
          </rPr>
          <t xml:space="preserve">
11/10: driven primarily by increased selling expenses</t>
        </r>
      </text>
    </comment>
    <comment ref="BQ30" authorId="3">
      <text>
        <r>
          <rPr>
            <b/>
            <sz val="8"/>
            <color indexed="81"/>
            <rFont val="Tahoma"/>
            <family val="2"/>
          </rPr>
          <t>lauraro:</t>
        </r>
        <r>
          <rPr>
            <sz val="8"/>
            <color indexed="81"/>
            <rFont val="Tahoma"/>
            <family val="2"/>
          </rPr>
          <t xml:space="preserve">
11/10: Leveraged selling expense base on higher sales
10/15: cons 43%</t>
        </r>
      </text>
    </comment>
    <comment ref="BX30" authorId="6">
      <text>
        <r>
          <rPr>
            <b/>
            <sz val="8"/>
            <color indexed="81"/>
            <rFont val="Tahoma"/>
            <family val="2"/>
          </rPr>
          <t>casselau:</t>
        </r>
        <r>
          <rPr>
            <sz val="8"/>
            <color indexed="81"/>
            <rFont val="Tahoma"/>
            <family val="2"/>
          </rPr>
          <t xml:space="preserve">
10/23: reflect impact of Korea and Malaysia retail business acquisition during the Q</t>
        </r>
      </text>
    </comment>
    <comment ref="BY30" authorId="6">
      <text>
        <r>
          <rPr>
            <sz val="8"/>
            <color indexed="81"/>
            <rFont val="Tahoma"/>
            <family val="2"/>
          </rPr>
          <t>50bps from increase in global marketing spend</t>
        </r>
      </text>
    </comment>
    <comment ref="CB30" authorId="2">
      <text>
        <r>
          <rPr>
            <b/>
            <sz val="8"/>
            <color indexed="81"/>
            <rFont val="Tahoma"/>
            <family val="2"/>
          </rPr>
          <t>turleamb:</t>
        </r>
        <r>
          <rPr>
            <sz val="8"/>
            <color indexed="81"/>
            <rFont val="Tahoma"/>
            <family val="2"/>
          </rPr>
          <t xml:space="preserve">
10-Q: Recorded loss of $2.6m related to sale of Reed Krakoff business in SG&amp;A</t>
        </r>
      </text>
    </comment>
    <comment ref="CC30" authorId="2">
      <text>
        <r>
          <rPr>
            <b/>
            <sz val="8"/>
            <color indexed="81"/>
            <rFont val="Tahoma"/>
            <family val="2"/>
          </rPr>
          <t>turleamb:</t>
        </r>
        <r>
          <rPr>
            <sz val="8"/>
            <color indexed="81"/>
            <rFont val="Tahoma"/>
            <family val="2"/>
          </rPr>
          <t xml:space="preserve">
10/22/13: all SG&amp;A leverage due to timing shift of New York stories is going to hit in 2Q. </t>
        </r>
      </text>
    </comment>
    <comment ref="CF30" authorId="5">
      <text>
        <r>
          <rPr>
            <b/>
            <sz val="9"/>
            <color indexed="81"/>
            <rFont val="Tahoma"/>
            <family val="2"/>
          </rPr>
          <t>Turley, Amber (Research):</t>
        </r>
        <r>
          <rPr>
            <sz val="9"/>
            <color indexed="81"/>
            <rFont val="Tahoma"/>
            <family val="2"/>
          </rPr>
          <t xml:space="preserve">
10/28/14: $33M in charges related to corporate restructuring (eliminated 150 jobs - 6% decrease in global corporate staffing levels) and related costs, accelerated depreciation charges as a result of store updates and closures and charges related to the destruction of inventory.</t>
        </r>
      </text>
    </comment>
    <comment ref="CG30" authorId="2">
      <text>
        <r>
          <rPr>
            <b/>
            <sz val="8"/>
            <color indexed="81"/>
            <rFont val="Tahoma"/>
            <family val="2"/>
          </rPr>
          <t>turleamb:</t>
        </r>
        <r>
          <rPr>
            <sz val="8"/>
            <color indexed="81"/>
            <rFont val="Tahoma"/>
            <family val="2"/>
          </rPr>
          <t xml:space="preserve">
10/28/14: "Importantly, while our first-quarter SG&amp;A expenses actualized below our expectations and were down from prior year, this is more a function of
timing than any change in our full-year plans."
MS note: expect to continue to deliver deleverage on full price payroll and rent ~ 30 bps deleverage
8/5/14 transcript pg. 13: Product hits in early Sept and marketing will hit at approx the same time then store renovations start later in 2Q with first locations opening in NA as well as the flagship store in Shinjuku Japan opening in Oct/Nov time frame. </t>
        </r>
      </text>
    </comment>
    <comment ref="CJ30" authorId="6">
      <text>
        <r>
          <rPr>
            <b/>
            <sz val="9"/>
            <color indexed="81"/>
            <rFont val="Tahoma"/>
            <family val="2"/>
          </rPr>
          <t>casselau:</t>
        </r>
        <r>
          <rPr>
            <sz val="9"/>
            <color indexed="81"/>
            <rFont val="Tahoma"/>
            <family val="2"/>
          </rPr>
          <t xml:space="preserve">
10/26/15: excludes transformation, acquisition costs, and acquisition related purchase accounting costs</t>
        </r>
      </text>
    </comment>
    <comment ref="CK30" authorId="6">
      <text>
        <r>
          <rPr>
            <b/>
            <sz val="9"/>
            <color indexed="81"/>
            <rFont val="Tahoma"/>
            <family val="2"/>
          </rPr>
          <t>casselau:</t>
        </r>
        <r>
          <rPr>
            <sz val="9"/>
            <color indexed="81"/>
            <rFont val="Tahoma"/>
            <family val="2"/>
          </rPr>
          <t xml:space="preserve">
10/26/15: $497M for coach brand (non GAAP) or 52.7%; SW $35.5M or 40.6% </t>
        </r>
      </text>
    </comment>
    <comment ref="CL30" authorId="6">
      <text>
        <r>
          <rPr>
            <b/>
            <sz val="9"/>
            <color indexed="81"/>
            <rFont val="Tahoma"/>
            <family val="2"/>
          </rPr>
          <t>casselau:</t>
        </r>
        <r>
          <rPr>
            <sz val="9"/>
            <color indexed="81"/>
            <rFont val="Tahoma"/>
            <family val="2"/>
          </rPr>
          <t xml:space="preserve">
8/4/15: assumes Coach brand +4% dollar growth; expect SG&amp;A to increase more in 1H </t>
        </r>
      </text>
    </comment>
    <comment ref="CN30" authorId="7">
      <text>
        <r>
          <rPr>
            <b/>
            <sz val="9"/>
            <color indexed="81"/>
            <rFont val="Tahoma"/>
            <family val="2"/>
          </rPr>
          <t>Cassel, Lauren (Research):</t>
        </r>
        <r>
          <rPr>
            <sz val="9"/>
            <color indexed="81"/>
            <rFont val="Tahoma"/>
            <family val="2"/>
          </rPr>
          <t xml:space="preserve">
11/1/16: excludes $7.1M in operational efficiency charges and $3.4M in acquisition related costs</t>
        </r>
      </text>
    </comment>
    <comment ref="CO30" authorId="7">
      <text>
        <r>
          <rPr>
            <b/>
            <sz val="9"/>
            <color indexed="81"/>
            <rFont val="Tahoma"/>
            <family val="2"/>
          </rPr>
          <t>Cassel, Lauren (Research):</t>
        </r>
        <r>
          <rPr>
            <sz val="9"/>
            <color indexed="81"/>
            <rFont val="Tahoma"/>
            <family val="2"/>
          </rPr>
          <t xml:space="preserve">
11/1/16: Coach brand SG&amp;A $493M (-1% y/y), 51.9% of sales vs. 52.7% of sales LY; SW $45M vs. $36M LY due to an increase in store occupancy costs and the timing of marketing expenses; SW rate 51.4% vs. 40.6% LY</t>
        </r>
      </text>
    </comment>
    <comment ref="CR30" authorId="7">
      <text>
        <r>
          <rPr>
            <b/>
            <sz val="9"/>
            <color indexed="81"/>
            <rFont val="Tahoma"/>
            <family val="2"/>
          </rPr>
          <t>Cassel, Lauren (Research):</t>
        </r>
        <r>
          <rPr>
            <sz val="9"/>
            <color indexed="81"/>
            <rFont val="Tahoma"/>
            <family val="2"/>
          </rPr>
          <t xml:space="preserve">
Excludes $3.1M related to operational efficiency plan and $99.1M related to integratoin and acquisiton </t>
        </r>
      </text>
    </comment>
    <comment ref="CS30" authorId="7">
      <text>
        <r>
          <rPr>
            <b/>
            <sz val="9"/>
            <color indexed="81"/>
            <rFont val="Tahoma"/>
            <family val="2"/>
          </rPr>
          <t>Cassel, Lauren (Research):</t>
        </r>
        <r>
          <rPr>
            <sz val="9"/>
            <color indexed="81"/>
            <rFont val="Tahoma"/>
            <family val="2"/>
          </rPr>
          <t xml:space="preserve">
11/7/17: delverage driven by the Coach brand where expenses increased slightly vs. LY on the lower level of sales, as well as the addition of Kate Spade which had a higher SG&amp;A rate in the quarter</t>
        </r>
      </text>
    </comment>
    <comment ref="AV31" authorId="0">
      <text>
        <r>
          <rPr>
            <b/>
            <sz val="8"/>
            <color indexed="81"/>
            <rFont val="Tahoma"/>
            <family val="2"/>
          </rPr>
          <t>mm98285:</t>
        </r>
        <r>
          <rPr>
            <sz val="8"/>
            <color indexed="81"/>
            <rFont val="Tahoma"/>
            <family val="2"/>
          </rPr>
          <t xml:space="preserve">
8/07: $230.734 incl discontinued ops
</t>
        </r>
      </text>
    </comment>
    <comment ref="AZ31" authorId="0">
      <text>
        <r>
          <rPr>
            <b/>
            <sz val="8"/>
            <color indexed="81"/>
            <rFont val="Tahoma"/>
            <family val="2"/>
          </rPr>
          <t>mm98285:</t>
        </r>
        <r>
          <rPr>
            <sz val="8"/>
            <color indexed="81"/>
            <rFont val="Tahoma"/>
            <family val="2"/>
          </rPr>
          <t xml:space="preserve">
5/07: $282.489 incl discontinued ops</t>
        </r>
      </text>
    </comment>
    <comment ref="BA31" authorId="0">
      <text>
        <r>
          <rPr>
            <b/>
            <sz val="8"/>
            <color indexed="81"/>
            <rFont val="Tahoma"/>
            <family val="2"/>
          </rPr>
          <t>mm98285:</t>
        </r>
        <r>
          <rPr>
            <sz val="8"/>
            <color indexed="81"/>
            <rFont val="Tahoma"/>
            <family val="2"/>
          </rPr>
          <t xml:space="preserve">
Decrease driven by sig. leverage on strong U.S. comps</t>
        </r>
      </text>
    </comment>
    <comment ref="BE31" authorId="0">
      <text>
        <r>
          <rPr>
            <b/>
            <sz val="8"/>
            <color indexed="81"/>
            <rFont val="Tahoma"/>
            <family val="2"/>
          </rPr>
          <t>mm98285:</t>
        </r>
        <r>
          <rPr>
            <sz val="8"/>
            <color indexed="81"/>
            <rFont val="Tahoma"/>
            <family val="2"/>
          </rPr>
          <t xml:space="preserve">
Decrease driven by co’s ability to leverage expenses (notably selling and distribution costs) on higher sales base</t>
        </r>
      </text>
    </comment>
    <comment ref="BI31" authorId="0">
      <text>
        <r>
          <rPr>
            <b/>
            <sz val="8"/>
            <color indexed="81"/>
            <rFont val="Tahoma"/>
            <family val="2"/>
          </rPr>
          <t>mm98285:</t>
        </r>
        <r>
          <rPr>
            <sz val="8"/>
            <color indexed="81"/>
            <rFont val="Tahoma"/>
            <family val="2"/>
          </rPr>
          <t xml:space="preserve">
deleverage on -13.2% comp &amp; China investments (incremental exp's not included in LY SG&amp;A)
SG&amp;A dollars ~$20M below prior guid. for ~$367M (or 35% of $1.05BN) provided on 1Q EPS call given cuts to SG&amp;A through lower variable costs (i.e. % rent, store wages) on lower sales and lower fixed costs incl. delaying spending initiatives w/ longer pay back times, delaying hiring except for growth initiatives (China/Collections initiative), &amp; lower bonuses
10/08: expect 35%</t>
        </r>
      </text>
    </comment>
    <comment ref="BM31" authorId="3">
      <text>
        <r>
          <rPr>
            <sz val="8"/>
            <color indexed="81"/>
            <rFont val="Tahoma"/>
            <family val="2"/>
          </rPr>
          <t>It's important to note that the prior year's quarter benefited from significant accrual reversals for bonuses and headquarters rent. If you were to exclude these items from the year-ago period, we did  achieve expense leverage in Q2. Once again, our two primary direct businesses here in North America and Japan both provided leverage, not only to their own P&amp;Ls, but also to the corporate P&amp;L.</t>
        </r>
      </text>
    </comment>
    <comment ref="BN31" authorId="0">
      <text>
        <r>
          <rPr>
            <b/>
            <sz val="8"/>
            <color indexed="81"/>
            <rFont val="Tahoma"/>
            <family val="2"/>
          </rPr>
          <t>mm98285:</t>
        </r>
        <r>
          <rPr>
            <sz val="8"/>
            <color indexed="81"/>
            <rFont val="Tahoma"/>
            <family val="2"/>
          </rPr>
          <t xml:space="preserve">
10/20/09: expect higher growth as anniversary LY's bonus accrual reversal  and cost cuts</t>
        </r>
      </text>
    </comment>
    <comment ref="BQ31" authorId="3">
      <text>
        <r>
          <rPr>
            <b/>
            <sz val="8"/>
            <color indexed="81"/>
            <rFont val="Tahoma"/>
            <family val="2"/>
          </rPr>
          <t>lauraro:</t>
        </r>
        <r>
          <rPr>
            <sz val="8"/>
            <color indexed="81"/>
            <rFont val="Tahoma"/>
            <family val="2"/>
          </rPr>
          <t xml:space="preserve">
11/30: cons 37.0%
10/15: cons 36.7%</t>
        </r>
      </text>
    </comment>
    <comment ref="BT31" authorId="3">
      <text>
        <r>
          <rPr>
            <b/>
            <sz val="8"/>
            <color indexed="81"/>
            <rFont val="Tahoma"/>
            <family val="2"/>
          </rPr>
          <t>lauraro:</t>
        </r>
        <r>
          <rPr>
            <sz val="8"/>
            <color indexed="81"/>
            <rFont val="Tahoma"/>
            <family val="2"/>
          </rPr>
          <t xml:space="preserve">
1/24: excludes $20.270M charitable contribution - offsets tax benefit</t>
        </r>
      </text>
    </comment>
    <comment ref="BU31" authorId="11">
      <text>
        <r>
          <rPr>
            <b/>
            <sz val="8"/>
            <color indexed="81"/>
            <rFont val="Tahoma"/>
            <family val="2"/>
          </rPr>
          <t xml:space="preserve">1/24: </t>
        </r>
        <r>
          <rPr>
            <sz val="8"/>
            <color indexed="81"/>
            <rFont val="Tahoma"/>
            <family val="2"/>
          </rPr>
          <t>36.2% ex charitable donation</t>
        </r>
        <r>
          <rPr>
            <b/>
            <sz val="8"/>
            <color indexed="81"/>
            <rFont val="Tahoma"/>
            <family val="2"/>
          </rPr>
          <t xml:space="preserve">
kimberlg:</t>
        </r>
        <r>
          <rPr>
            <sz val="8"/>
            <color indexed="81"/>
            <rFont val="Tahoma"/>
            <family val="2"/>
          </rPr>
          <t xml:space="preserve">
HK listing will hit $2M
2H11 Taiwan 24 stores comes into SG&amp;A expense</t>
        </r>
      </text>
    </comment>
    <comment ref="BY31" authorId="11">
      <text>
        <r>
          <rPr>
            <b/>
            <sz val="8"/>
            <color indexed="81"/>
            <rFont val="Tahoma"/>
            <family val="2"/>
          </rPr>
          <t>kimberlg:</t>
        </r>
        <r>
          <rPr>
            <sz val="8"/>
            <color indexed="81"/>
            <rFont val="Tahoma"/>
            <family val="2"/>
          </rPr>
          <t xml:space="preserve">
LY rate=36.2% excl charitable contribution</t>
        </r>
      </text>
    </comment>
    <comment ref="CB31" authorId="2">
      <text>
        <r>
          <rPr>
            <b/>
            <sz val="8"/>
            <color indexed="81"/>
            <rFont val="Tahoma"/>
            <family val="2"/>
          </rPr>
          <t>turleamb:</t>
        </r>
        <r>
          <rPr>
            <sz val="8"/>
            <color indexed="81"/>
            <rFont val="Tahoma"/>
            <family val="2"/>
          </rPr>
          <t xml:space="preserve">
2/5/14 10-q: Selling, general and administrative expenses decreased 2.2% to $546.7 million in the second quarter of fiscal 2014 as compared to $558.8 million in the second quarter of fiscal 2013. As a percentage of net sales, selling, general and administrative expenses increased to 38.5% during the second quarter of fiscal 2014 as compared to 37.2% during the second quarter of fiscal 2013.
Selling expenses were $410.5 million, or 28.9% of net sales, in the second quarter of fiscal 2014 compared to $417.1 million, or 27.7% of net sales, in the second quarter of fiscal 2013. The dollar decrease in selling expenses reflected lower selling costs associated with lower sales in North America and the favorable impact of the foreign currency exchange rates related to Coach Japan. These decreases were offset by increases in new store openings and the impact of acquiring our 50% interest in our European joint venture.
Advertising, marketing and design costs were $64.5 million, or 4.5% of net sales, in the second quarter of fiscal 2014, compared to $65.3 million, or 4.3% of net sales, during the same period of fiscal 2013. Advertising, marketing and design costs remained fairly consistent from the same period in the prior year due to the fact that the decrease in advertising, marketing and design costs related to the divestiture of the Reed Krakoff business was offset by increased expense as a part of the Company’s new marketing campaigns. Excluding fiscal 2013 costs associated with the Reed Krakoff business, the Company expects full year advertising, marketing and design costs to be higher than those costs incurred in fiscal 2013. Distribution and consumer service expenses were $25.0 million, or 1.8% of net sales, in the second quarter of fiscal 2014, compared to $24.3 million, or 1.6% of net sales, in the second quarter of fiscal 2013. Distribution and consumer service expenses remained fairly consistent from the same period in the prior year.
Administrative expenses were $46.7 million, or 3.3% of net sales, in the second quarter of fiscal 2014 compared to $52.1 million, or 3.5% of net sales, during the same period of fiscal 2013. The dollar decrease in the second quarter of fiscal 2014 reflects lower performance-related compensation costs.</t>
        </r>
      </text>
    </comment>
    <comment ref="CC31" authorId="2">
      <text>
        <r>
          <rPr>
            <b/>
            <sz val="8"/>
            <color indexed="81"/>
            <rFont val="Tahoma"/>
            <family val="2"/>
          </rPr>
          <t>turleamb:</t>
        </r>
        <r>
          <rPr>
            <sz val="8"/>
            <color indexed="81"/>
            <rFont val="Tahoma"/>
            <family val="2"/>
          </rPr>
          <t xml:space="preserve">
1/22/14: Our SG&amp;A dollars actually declined slightly, on a year-over-year basis, as we manage variable costs to the lower sales levels.Adjusted our outlook for lower performance-based compensation levels and benefited from the weaker yen. We also realized the benefit of our fourth quarter restructuring actions, and the sale of our K, which were offset by higher spending on Coach brand
marketing as well as the impact of taking Coach Europe inhouse.
10/22/13: "In terms of advertising spend, we are intensifying spending in the quarter so you'll be seeing in both our traditional media and digital, a much
stronger presence of Coach communicating the -- the broader expression of the brand"</t>
        </r>
      </text>
    </comment>
    <comment ref="CG31" authorId="5">
      <text>
        <r>
          <rPr>
            <b/>
            <sz val="9"/>
            <color indexed="81"/>
            <rFont val="Tahoma"/>
            <family val="2"/>
          </rPr>
          <t>Turley, Amber (Research):</t>
        </r>
        <r>
          <rPr>
            <sz val="9"/>
            <color indexed="81"/>
            <rFont val="Tahoma"/>
            <family val="2"/>
          </rPr>
          <t xml:space="preserve">
1/29/15: These charges consisted
primarily of accelerated depreciation for renovations, lease termination costs
related to store closures and organizational efficiency costs. These actions
increased the company`s SG&amp;A expenses by $19 million and cost of sales by $1
million, negatively impacting net income by $14 million after tax or $0.05 per
diluted share in the second quarter. In addition, the company recorded costs of
$4 million associated with the pending acquisition of Stuart Weitzman which
impacted net income by $2 million after tax or $0.01 per diluted share</t>
        </r>
      </text>
    </comment>
    <comment ref="CH31" authorId="5">
      <text>
        <r>
          <rPr>
            <b/>
            <sz val="9"/>
            <color indexed="81"/>
            <rFont val="Tahoma"/>
            <family val="2"/>
          </rPr>
          <t>Turley, Amber (Research):</t>
        </r>
        <r>
          <rPr>
            <sz val="9"/>
            <color indexed="81"/>
            <rFont val="Tahoma"/>
            <family val="2"/>
          </rPr>
          <t xml:space="preserve">
10/28/14: 2Q and 3Q sg&amp;a compares will show the most significant increase given the prior year dollar declines and timing of COH's marketing spend in FY15. 
8/5/14: 2Q and 3Q show the most significant y/y increases due to timing of marketing spend and SG&amp;A cuts last year</t>
        </r>
      </text>
    </comment>
    <comment ref="CJ31" authorId="6">
      <text>
        <r>
          <rPr>
            <b/>
            <sz val="9"/>
            <color indexed="81"/>
            <rFont val="Tahoma"/>
            <family val="2"/>
          </rPr>
          <t>casselau:</t>
        </r>
        <r>
          <rPr>
            <sz val="9"/>
            <color indexed="81"/>
            <rFont val="Tahoma"/>
            <family val="2"/>
          </rPr>
          <t xml:space="preserve">
Coach brand SG&amp;A $536M; somehwat lower than expected due to lower occupancy costs as well as a shift in marketing timing </t>
        </r>
      </text>
    </comment>
    <comment ref="CL31" authorId="6">
      <text>
        <r>
          <rPr>
            <b/>
            <sz val="9"/>
            <color indexed="81"/>
            <rFont val="Tahoma"/>
            <family val="2"/>
          </rPr>
          <t>casselau:
10/27/15: per Andrea total company SG&amp;A +10%</t>
        </r>
        <r>
          <rPr>
            <sz val="9"/>
            <color indexed="81"/>
            <rFont val="Tahoma"/>
            <family val="2"/>
          </rPr>
          <t xml:space="preserve">
expect SG&amp;A to increase more in 1H </t>
        </r>
      </text>
    </comment>
    <comment ref="CN31" authorId="7">
      <text>
        <r>
          <rPr>
            <b/>
            <sz val="9"/>
            <color indexed="81"/>
            <rFont val="Tahoma"/>
            <family val="2"/>
          </rPr>
          <t>Cassel, Lauren (Research):</t>
        </r>
        <r>
          <rPr>
            <sz val="9"/>
            <color indexed="81"/>
            <rFont val="Tahoma"/>
            <family val="2"/>
          </rPr>
          <t xml:space="preserve">
1/31/17: excludes $3.7M related to operational efficiency plan, and $13.0M from acquisition related costs </t>
        </r>
      </text>
    </comment>
    <comment ref="CO31" authorId="7">
      <text>
        <r>
          <rPr>
            <b/>
            <sz val="9"/>
            <color indexed="81"/>
            <rFont val="Tahoma"/>
            <family val="2"/>
          </rPr>
          <t>Cassel, Lauren (Research):</t>
        </r>
        <r>
          <rPr>
            <sz val="9"/>
            <color indexed="81"/>
            <rFont val="Tahoma"/>
            <family val="2"/>
          </rPr>
          <t xml:space="preserve">
1/31/17: reflects in part the impact of currency and the companys continued investment in stuart weitzman, as well as higher marketing spend versus prior year</t>
        </r>
      </text>
    </comment>
    <comment ref="CP31" authorId="7">
      <text>
        <r>
          <rPr>
            <b/>
            <sz val="9"/>
            <color indexed="81"/>
            <rFont val="Tahoma"/>
            <family val="2"/>
          </rPr>
          <t>Cassel, Lauren (Research):</t>
        </r>
        <r>
          <rPr>
            <sz val="9"/>
            <color indexed="81"/>
            <rFont val="Tahoma"/>
            <family val="2"/>
          </rPr>
          <t xml:space="preserve">
1/31/17: Coach brand SG&amp;A expenses increased 4%, and represented 46.5% of sales compared to 45.4% in the year ago period; Stuart Weitzman brand SG&amp;A expenses were $53 million compared to $38 million a year ago, due to an increase in store occupancy costs associated with new openings, the timing of marketing expenses, as well as the Company’s strategic investments in team and infrastructure.
11/1/16: expect SG&amp;A dollar growth ahead of sales due to 75th anniversary marketing initiatives (opening of Fifth Avenue and Regent Street)</t>
        </r>
      </text>
    </comment>
    <comment ref="BA32" authorId="0">
      <text>
        <r>
          <rPr>
            <b/>
            <sz val="8"/>
            <color indexed="81"/>
            <rFont val="Tahoma"/>
            <family val="2"/>
          </rPr>
          <t>mm98285:</t>
        </r>
        <r>
          <rPr>
            <sz val="8"/>
            <color indexed="81"/>
            <rFont val="Tahoma"/>
            <family val="2"/>
          </rPr>
          <t xml:space="preserve">
Decrease driven by sig. leverage on strong U.S. comps
1/07: 2H: 42.3% (or +200 bps)</t>
        </r>
      </text>
    </comment>
    <comment ref="BE32" authorId="0">
      <text>
        <r>
          <rPr>
            <b/>
            <sz val="8"/>
            <color indexed="81"/>
            <rFont val="Tahoma"/>
            <family val="2"/>
          </rPr>
          <t>mm98285:</t>
        </r>
        <r>
          <rPr>
            <sz val="8"/>
            <color indexed="81"/>
            <rFont val="Tahoma"/>
            <family val="2"/>
          </rPr>
          <t xml:space="preserve">
expense levg, notable selling and distribution costs on higher sales base</t>
        </r>
      </text>
    </comment>
    <comment ref="BH32" authorId="0">
      <text>
        <r>
          <rPr>
            <b/>
            <sz val="8"/>
            <color indexed="81"/>
            <rFont val="Tahoma"/>
            <family val="2"/>
          </rPr>
          <t>mm98285:</t>
        </r>
        <r>
          <rPr>
            <sz val="8"/>
            <color indexed="81"/>
            <rFont val="Tahoma"/>
            <family val="2"/>
          </rPr>
          <t xml:space="preserve">
excludes 3 one-time charges  of $13.4M ($8.3M after tax) related to reduction of corp staffing levels in U.S, closure of 4 N.S. retail stores and closure of sample making facility in Italy</t>
        </r>
      </text>
    </comment>
    <comment ref="BI32" authorId="0">
      <text>
        <r>
          <rPr>
            <b/>
            <sz val="8"/>
            <color indexed="81"/>
            <rFont val="Tahoma"/>
            <family val="2"/>
          </rPr>
          <t>mm98285:</t>
        </r>
        <r>
          <rPr>
            <sz val="8"/>
            <color indexed="81"/>
            <rFont val="Tahoma"/>
            <family val="2"/>
          </rPr>
          <t xml:space="preserve">
4/09: increase given deleverage on -4.2% comp, China investments &amp; new product initiatives (incremental). SG&amp;A excludes one-time charges of $13M ($8M after-tax) were related to 1) the reduction of US corp staffing levels, 2) closure of 4 N.A retail stores and 3) closure of COH’s sample-making facility in Italy
2/09: Mgmt indicated there is less room to cut variable expenses in 2H09 given 3Q and 4Q are lower sales volume quarters as well as added costs from acquiring the China business (transaction closes April 1, 2009).  </t>
        </r>
      </text>
    </comment>
    <comment ref="BM32" authorId="13">
      <text>
        <r>
          <rPr>
            <b/>
            <sz val="8"/>
            <color indexed="81"/>
            <rFont val="Tahoma"/>
            <family val="2"/>
          </rPr>
          <t>ns66486:</t>
        </r>
        <r>
          <rPr>
            <sz val="8"/>
            <color indexed="81"/>
            <rFont val="Tahoma"/>
            <family val="2"/>
          </rPr>
          <t xml:space="preserve">
Overall SG&amp;A expenses increased primarily from higher administrative expenses driven by higher
performance-based compensation</t>
        </r>
      </text>
    </comment>
    <comment ref="BQ32" authorId="3">
      <text>
        <r>
          <rPr>
            <b/>
            <sz val="8"/>
            <color indexed="81"/>
            <rFont val="Tahoma"/>
            <family val="2"/>
          </rPr>
          <t xml:space="preserve">4/26/11: </t>
        </r>
        <r>
          <rPr>
            <sz val="8"/>
            <color indexed="81"/>
            <rFont val="Tahoma"/>
            <family val="2"/>
          </rPr>
          <t>During the third quarter of fiscal 2011, the Company decreased the provision for income taxes by $15.5 million, primarily as a result of a favorable settlement of a multi-year tax return examination. The Company used the net income favorability to contribute $20.9 million to the Coach Foundation and 400 million yen or $4.8 million to the Japanese Red Cross Society. The Company believed that in order to reflect the direct results of the normal, ongoing business operations, both the tax adjustments and the resulting Coach Foundation funding and Japanese Red Cross Society contribution needed to be adjusted. This exclusion is consistent with the way management views its results and is the basis on which incentive compensation will be calculated for fiscal 2011.</t>
        </r>
        <r>
          <rPr>
            <sz val="8"/>
            <color indexed="81"/>
            <rFont val="Tahoma"/>
            <family val="2"/>
          </rPr>
          <t xml:space="preserve">
</t>
        </r>
        <r>
          <rPr>
            <b/>
            <sz val="8"/>
            <color indexed="81"/>
            <rFont val="Tahoma"/>
            <family val="2"/>
          </rPr>
          <t>1/11:</t>
        </r>
        <r>
          <rPr>
            <sz val="8"/>
            <color indexed="81"/>
            <rFont val="Tahoma"/>
            <family val="2"/>
          </rPr>
          <t xml:space="preserve"> Expect leverage
</t>
        </r>
        <r>
          <rPr>
            <b/>
            <sz val="8"/>
            <color indexed="81"/>
            <rFont val="Tahoma"/>
            <family val="2"/>
          </rPr>
          <t>11/30:</t>
        </r>
        <r>
          <rPr>
            <sz val="8"/>
            <color indexed="81"/>
            <rFont val="Tahoma"/>
            <family val="2"/>
          </rPr>
          <t xml:space="preserve"> 44.1%
</t>
        </r>
        <r>
          <rPr>
            <b/>
            <sz val="8"/>
            <color indexed="81"/>
            <rFont val="Tahoma"/>
            <family val="2"/>
          </rPr>
          <t>10/15:</t>
        </r>
        <r>
          <rPr>
            <sz val="8"/>
            <color indexed="81"/>
            <rFont val="Tahoma"/>
            <family val="2"/>
          </rPr>
          <t xml:space="preserve"> cons 44.3%</t>
        </r>
      </text>
    </comment>
    <comment ref="BU32" authorId="11">
      <text>
        <r>
          <rPr>
            <b/>
            <sz val="8"/>
            <color indexed="81"/>
            <rFont val="Tahoma"/>
            <family val="2"/>
          </rPr>
          <t>kimberlg:</t>
        </r>
        <r>
          <rPr>
            <sz val="8"/>
            <color indexed="81"/>
            <rFont val="Tahoma"/>
            <family val="2"/>
          </rPr>
          <t xml:space="preserve">
1/24/12: maybe 20bps dlvg 2H12, more dlvg in 4Q than 3Q
10/25/11: expect some delvg in 2H12 on Taiwan and other invest's</t>
        </r>
      </text>
    </comment>
    <comment ref="BX32" authorId="11">
      <text>
        <r>
          <rPr>
            <b/>
            <sz val="8"/>
            <color indexed="81"/>
            <rFont val="Tahoma"/>
            <family val="2"/>
          </rPr>
          <t>kimberlg:</t>
        </r>
        <r>
          <rPr>
            <sz val="8"/>
            <color indexed="81"/>
            <rFont val="Tahoma"/>
            <family val="2"/>
          </rPr>
          <t xml:space="preserve">
about $525mm</t>
        </r>
      </text>
    </comment>
    <comment ref="BY32" authorId="6">
      <text>
        <r>
          <rPr>
            <b/>
            <sz val="8"/>
            <color indexed="81"/>
            <rFont val="Tahoma"/>
            <family val="2"/>
          </rPr>
          <t>casselau:</t>
        </r>
        <r>
          <rPr>
            <sz val="8"/>
            <color indexed="81"/>
            <rFont val="Tahoma"/>
            <family val="2"/>
          </rPr>
          <t xml:space="preserve">
4/23: increase reflects acquisition of retail businesses in Asia</t>
        </r>
      </text>
    </comment>
    <comment ref="CC32" authorId="2">
      <text>
        <r>
          <rPr>
            <b/>
            <sz val="8"/>
            <color indexed="81"/>
            <rFont val="Tahoma"/>
            <family val="2"/>
          </rPr>
          <t>turleamb:</t>
        </r>
        <r>
          <rPr>
            <sz val="8"/>
            <color indexed="81"/>
            <rFont val="Tahoma"/>
            <family val="2"/>
          </rPr>
          <t xml:space="preserve">
4/29/14: SG&amp;A dollars declined slightly y/y as COH managed variable costs to lower sales levels, adjusted outlook for lower performance based compensation levels and benefitted from weaker Yen. Also realized the benefit of 4Q13 restructuring actions and sale of RK which funded higher spending on COH brand marketing and helped offset the impact of taking COH Europe in house. 
1/22/14: </t>
        </r>
        <r>
          <rPr>
            <b/>
            <sz val="8"/>
            <color indexed="81"/>
            <rFont val="Tahoma"/>
            <family val="2"/>
          </rPr>
          <t>guidance modest +MSD dollar growth in 2H</t>
        </r>
        <r>
          <rPr>
            <sz val="8"/>
            <color indexed="81"/>
            <rFont val="Tahoma"/>
            <family val="2"/>
          </rPr>
          <t xml:space="preserve">
with increased investments in Europe, marketing and other initiatives generally funded by the restructuring actions taken in LY 4Q but with some deleverage on the lower sales forecast</t>
        </r>
        <r>
          <rPr>
            <sz val="8"/>
            <color indexed="81"/>
            <rFont val="Tahoma"/>
            <family val="2"/>
          </rPr>
          <t xml:space="preserve">
expect modest mid single digit SG&amp;A dollar growth in the second hax half with
Therefore, for the full year, SG&amp;A will be up low single digits.</t>
        </r>
      </text>
    </comment>
    <comment ref="CH32" authorId="5">
      <text>
        <r>
          <rPr>
            <b/>
            <sz val="9"/>
            <color indexed="81"/>
            <rFont val="Tahoma"/>
            <family val="2"/>
          </rPr>
          <t>Turley, Amber (Research):</t>
        </r>
        <r>
          <rPr>
            <sz val="9"/>
            <color indexed="81"/>
            <rFont val="Tahoma"/>
            <family val="2"/>
          </rPr>
          <t xml:space="preserve">
1/29/15: Expect 2H compares will have modest increases given prior year dollar declines and timing of marketing spend. 
10/28/14: 2Q and 3Q sg&amp;a compares will show the most significant increase given the prior year dollar declines and timing of COH's marketing spend in FY15. 
8/5/14: 2Q and 3Q show the most significant y/y increases due to timing of marketing spend and SG&amp;A cuts last year</t>
        </r>
      </text>
    </comment>
    <comment ref="CJ32" authorId="7">
      <text>
        <r>
          <rPr>
            <b/>
            <sz val="9"/>
            <color indexed="81"/>
            <rFont val="Tahoma"/>
            <family val="2"/>
          </rPr>
          <t>Cassel, Lauren (Research):</t>
        </r>
        <r>
          <rPr>
            <sz val="9"/>
            <color indexed="81"/>
            <rFont val="Tahoma"/>
            <family val="2"/>
          </rPr>
          <t xml:space="preserve">
4/26/16: Coach brand $523M (+1%) or 54.8%; SW $39M or 48.9%</t>
        </r>
      </text>
    </comment>
    <comment ref="CL32" authorId="6">
      <text>
        <r>
          <rPr>
            <b/>
            <sz val="9"/>
            <color indexed="81"/>
            <rFont val="Tahoma"/>
            <family val="2"/>
          </rPr>
          <t>casselau:</t>
        </r>
        <r>
          <rPr>
            <sz val="9"/>
            <color indexed="81"/>
            <rFont val="Tahoma"/>
            <family val="2"/>
          </rPr>
          <t xml:space="preserve">
per Andrea total company SG&amp;A +10%
1/26/16
Lowering SG&amp;A growth to 8.6% vs. 9.8%
$50M SG&amp;A growth
$40M from SW
2% SG&amp;A growth or $10M from Core
=55.8% SG&amp;A rate
Then, Reducing SG&amp;A rate  50 bps to $45M total ($5M estimated FX benefit
Results in 55.3% SG&amp;A rate, or 8.6%</t>
        </r>
      </text>
    </comment>
    <comment ref="CN32" authorId="7">
      <text>
        <r>
          <rPr>
            <b/>
            <sz val="9"/>
            <color indexed="81"/>
            <rFont val="Tahoma"/>
            <family val="2"/>
          </rPr>
          <t>Cassel, Lauren (Research):</t>
        </r>
        <r>
          <rPr>
            <sz val="9"/>
            <color indexed="81"/>
            <rFont val="Tahoma"/>
            <family val="2"/>
          </rPr>
          <t xml:space="preserve">
5/2/17: excludes $6.4M from the operational efficiency plan (reflect Coach Brand changes primarily related to organizational efficiency and technology infrastructure costs) and $4.5M  of acquistion related costs
5/2/17: Coach brand $509M GAAP, non-GAAP $500M, -4%, 54.6% of sales vs. 54.8% LY; SW non-GAAP $44M vs. $39 prior year due to an increase in store occupancy costs as well as strategic investments in team and infrastructure. 55.2% vs. 48.9% LY</t>
        </r>
      </text>
    </comment>
    <comment ref="CP32" authorId="7">
      <text>
        <r>
          <rPr>
            <b/>
            <sz val="9"/>
            <color indexed="81"/>
            <rFont val="Tahoma"/>
            <family val="2"/>
          </rPr>
          <t>Cassel, Lauren (Research):</t>
        </r>
        <r>
          <rPr>
            <sz val="9"/>
            <color indexed="81"/>
            <rFont val="Tahoma"/>
            <family val="2"/>
          </rPr>
          <t xml:space="preserve">
1/31/16: per Andrea, dollars will be very slightly down, but delever on lower sales</t>
        </r>
      </text>
    </comment>
    <comment ref="CS32" authorId="15">
      <text>
        <r>
          <rPr>
            <b/>
            <sz val="9"/>
            <color indexed="81"/>
            <rFont val="Tahoma"/>
            <family val="2"/>
          </rPr>
          <t>Roberts, Cynthia (Research):</t>
        </r>
        <r>
          <rPr>
            <sz val="9"/>
            <color indexed="81"/>
            <rFont val="Tahoma"/>
            <family val="2"/>
          </rPr>
          <t xml:space="preserve">
2/6/17: acquiring and assuming operational control of certain international businesses;TPR will now record all SG&amp;A expenses related with the businesses but will only recognize the step up in retail revenue (i.e. the delta between retail and wholesale revenue). </t>
        </r>
      </text>
    </comment>
    <comment ref="BA33" authorId="0">
      <text>
        <r>
          <rPr>
            <b/>
            <sz val="8"/>
            <color indexed="81"/>
            <rFont val="Tahoma"/>
            <family val="2"/>
          </rPr>
          <t>mm98285:</t>
        </r>
        <r>
          <rPr>
            <sz val="8"/>
            <color indexed="81"/>
            <rFont val="Tahoma"/>
            <family val="2"/>
          </rPr>
          <t xml:space="preserve">
-sig. levge on strong U.S. comps
1/07: 2H: 42.3% (or +200 bps)</t>
        </r>
      </text>
    </comment>
    <comment ref="BE33" authorId="0">
      <text>
        <r>
          <rPr>
            <b/>
            <sz val="8"/>
            <color indexed="81"/>
            <rFont val="Tahoma"/>
            <family val="2"/>
          </rPr>
          <t>mm98285:</t>
        </r>
        <r>
          <rPr>
            <sz val="8"/>
            <color indexed="81"/>
            <rFont val="Tahoma"/>
            <family val="2"/>
          </rPr>
          <t xml:space="preserve">
leverage on semi-fixed corp, expense bucket</t>
        </r>
      </text>
    </comment>
    <comment ref="BH33" authorId="0">
      <text>
        <r>
          <rPr>
            <b/>
            <sz val="8"/>
            <color indexed="81"/>
            <rFont val="Tahoma"/>
            <family val="2"/>
          </rPr>
          <t>mm98285:</t>
        </r>
        <r>
          <rPr>
            <sz val="8"/>
            <color indexed="81"/>
            <rFont val="Tahoma"/>
            <family val="2"/>
          </rPr>
          <t xml:space="preserve">
excludes $15.0M for contribution to Coach Foundation</t>
        </r>
      </text>
    </comment>
    <comment ref="BI33" authorId="0">
      <text>
        <r>
          <rPr>
            <b/>
            <sz val="8"/>
            <color indexed="81"/>
            <rFont val="Tahoma"/>
            <family val="2"/>
          </rPr>
          <t>mm98285:</t>
        </r>
        <r>
          <rPr>
            <sz val="8"/>
            <color indexed="81"/>
            <rFont val="Tahoma"/>
            <family val="2"/>
          </rPr>
          <t xml:space="preserve">
deleverage on -6.1% comp &amp; investments in China businesses &amp; new product initiatives (incremental exp's not incl. in LY SG&amp;A).  
2/09: Mgmt indicated there is less room to cut variable expenses in 2H09 given 3Q and 4Q are lower sales volume quarters as well as added costs from acquiring the China business (transaction closes April 1, 2009).  </t>
        </r>
      </text>
    </comment>
    <comment ref="BM33" authorId="0">
      <text>
        <r>
          <rPr>
            <sz val="8"/>
            <color indexed="81"/>
            <rFont val="Tahoma"/>
            <family val="2"/>
          </rPr>
          <t>400bps leverage absorbed by reinstalled bonuses, RK investment, China investment
in 4Q10 bonsues were paid (not in FY09)
4/20/2010: expect SG&amp;A dollar growth will be quite close to top-line growth</t>
        </r>
        <r>
          <rPr>
            <b/>
            <sz val="8"/>
            <color indexed="81"/>
            <rFont val="Tahoma"/>
            <family val="2"/>
          </rPr>
          <t xml:space="preserve">
</t>
        </r>
        <r>
          <rPr>
            <sz val="8"/>
            <color indexed="81"/>
            <rFont val="Tahoma"/>
            <family val="2"/>
          </rPr>
          <t xml:space="preserve">
get extra week in this quarter
was 44% SG&amp;A rate excluding the extra week</t>
        </r>
      </text>
    </comment>
    <comment ref="BQ33" authorId="3">
      <text>
        <r>
          <rPr>
            <b/>
            <sz val="8"/>
            <color indexed="81"/>
            <rFont val="Tahoma"/>
            <family val="2"/>
          </rPr>
          <t>lauraro:</t>
        </r>
        <r>
          <rPr>
            <sz val="8"/>
            <color indexed="81"/>
            <rFont val="Tahoma"/>
            <family val="2"/>
          </rPr>
          <t xml:space="preserve">
LY SG&amp;A w/o extra week was 44.2%, we est lvg off of that
11/30: 42.6%</t>
        </r>
      </text>
    </comment>
    <comment ref="BT33" authorId="4">
      <text>
        <r>
          <rPr>
            <b/>
            <sz val="8"/>
            <color indexed="81"/>
            <rFont val="Tahoma"/>
            <family val="2"/>
          </rPr>
          <t>solejay:</t>
        </r>
        <r>
          <rPr>
            <sz val="8"/>
            <color indexed="81"/>
            <rFont val="Tahoma"/>
            <family val="2"/>
          </rPr>
          <t xml:space="preserve">
excludes charitable contribution</t>
        </r>
      </text>
    </comment>
    <comment ref="BU33" authorId="11">
      <text>
        <r>
          <rPr>
            <b/>
            <sz val="8"/>
            <color indexed="81"/>
            <rFont val="Tahoma"/>
            <family val="2"/>
          </rPr>
          <t>kimberlg:</t>
        </r>
        <r>
          <rPr>
            <sz val="8"/>
            <color indexed="81"/>
            <rFont val="Tahoma"/>
            <family val="2"/>
          </rPr>
          <t xml:space="preserve">
4/24/12: Expect developed businesses to continue to deliver leverage.  Given transition of distributor operated wholesale businesses acceleration, expect expenses to slightly outpace top-line growth in the fourth quarter
1/24/12: maybe 20bps dlvg 2H12, more dlvg in 4Q than 3Q</t>
        </r>
      </text>
    </comment>
    <comment ref="BX33" authorId="11">
      <text>
        <r>
          <rPr>
            <sz val="8"/>
            <color indexed="81"/>
            <rFont val="Tahoma"/>
            <family val="2"/>
          </rPr>
          <t>7/30/13: from the press release - During the fourth quarter of FY13, the company recorded charges of $53 million for unusual items. These consisted primarily of corporate restructuring severance-related expenses, impairment charges related to retail stores as well as a write down of a small amount of inventory.</t>
        </r>
        <r>
          <rPr>
            <b/>
            <sz val="8"/>
            <color indexed="81"/>
            <rFont val="Tahoma"/>
            <family val="2"/>
          </rPr>
          <t xml:space="preserve"> In aggregate, these actions increased the company’s SG&amp;A expenses by $48 million and cost of sales by $5 million in the period</t>
        </r>
        <r>
          <rPr>
            <sz val="8"/>
            <color indexed="81"/>
            <rFont val="Tahoma"/>
            <family val="2"/>
          </rPr>
          <t>, negatively impacting earnings by $33 million after tax or $0.11 per diluted share. Taken together, the company expects to capture over $50 million in annual savings related to these measures.
CFO - "These restructuring actions will drive efficiencies across our business by streamlining our organization and leveraging our global capabilities and technology. In addition, these savings will, in part, fund key initiatives related to our transformation, notably increases in brand support."
March 2013 - about $545mm</t>
        </r>
      </text>
    </comment>
    <comment ref="BZ33" authorId="6">
      <text>
        <r>
          <rPr>
            <b/>
            <sz val="8"/>
            <color indexed="81"/>
            <rFont val="Tahoma"/>
            <family val="2"/>
          </rPr>
          <t>casselau:</t>
        </r>
        <r>
          <rPr>
            <sz val="8"/>
            <color indexed="81"/>
            <rFont val="Tahoma"/>
            <family val="2"/>
          </rPr>
          <t xml:space="preserve">
4/23/18: mgmt color: "slightly higher than 12%"</t>
        </r>
      </text>
    </comment>
    <comment ref="CC33" authorId="2">
      <text>
        <r>
          <rPr>
            <b/>
            <sz val="8"/>
            <color indexed="81"/>
            <rFont val="Tahoma"/>
            <family val="2"/>
          </rPr>
          <t>turleamb:</t>
        </r>
        <r>
          <rPr>
            <sz val="8"/>
            <color indexed="81"/>
            <rFont val="Tahoma"/>
            <family val="2"/>
          </rPr>
          <t xml:space="preserve">
4/29/14: guidance +MSD increase in SG&amp;A dollars in 4Q reflective of marketing spend and some timing of financial adjustments compared to LY. 
1/22/14: </t>
        </r>
        <r>
          <rPr>
            <b/>
            <sz val="8"/>
            <color indexed="81"/>
            <rFont val="Tahoma"/>
            <family val="2"/>
          </rPr>
          <t>guidance modest +MSD dollar growth in 2H</t>
        </r>
        <r>
          <rPr>
            <sz val="8"/>
            <color indexed="81"/>
            <rFont val="Tahoma"/>
            <family val="2"/>
          </rPr>
          <t xml:space="preserve">
with increased investments in Europe, marketing and other initiatives generally funded by the restructuring actions taken in LY 4Q but with some deleverage on the lower sales forecast</t>
        </r>
        <r>
          <rPr>
            <sz val="8"/>
            <color indexed="81"/>
            <rFont val="Tahoma"/>
            <family val="2"/>
          </rPr>
          <t xml:space="preserve">
expect modest mid single digit SG&amp;A dollar growth in the second hax half with increased investments in Europe, marketing and
other initiatives generally funded by the restructuring actions taken in last year's Q4, but with some deleverage on the lower sales forecast.
Therefore, for the full year, SG&amp;A will be up low single digits.</t>
        </r>
      </text>
    </comment>
    <comment ref="CF33" authorId="6">
      <text>
        <r>
          <rPr>
            <b/>
            <sz val="9"/>
            <color indexed="81"/>
            <rFont val="Tahoma"/>
            <family val="2"/>
          </rPr>
          <t xml:space="preserve">casselau:
8/4/15: </t>
        </r>
        <r>
          <rPr>
            <sz val="9"/>
            <color indexed="81"/>
            <rFont val="Tahoma"/>
            <family val="2"/>
          </rPr>
          <t>excludes charges of $66 million under its multi-year transformation plan. These charges consisted primarily of accelerated depreciation for renovations, lease termination costs related to store closures and organizational efficiency costs. In addition, the company recorded costs of approximately $21 million associated with the acquisition of Stuart Weitzman in the fourth quarter. 
4/28/15: expect SG&amp;A dollars to be down slightly in 4Q (1%)</t>
        </r>
      </text>
    </comment>
    <comment ref="CH33" authorId="5">
      <text>
        <r>
          <rPr>
            <b/>
            <sz val="9"/>
            <color indexed="81"/>
            <rFont val="Tahoma"/>
            <family val="2"/>
          </rPr>
          <t>Turley, Amber (Research):</t>
        </r>
        <r>
          <rPr>
            <sz val="9"/>
            <color indexed="81"/>
            <rFont val="Tahoma"/>
            <family val="2"/>
          </rPr>
          <t xml:space="preserve">
1/29/15: Expect 2H compares will have modest increases given prior year dollar declines and timing of marketing spend.</t>
        </r>
      </text>
    </comment>
    <comment ref="CJ33" authorId="7">
      <text>
        <r>
          <rPr>
            <b/>
            <sz val="9"/>
            <color indexed="81"/>
            <rFont val="Tahoma"/>
            <family val="2"/>
          </rPr>
          <t>Cassel, Lauren (Research):</t>
        </r>
        <r>
          <rPr>
            <sz val="9"/>
            <color indexed="81"/>
            <rFont val="Tahoma"/>
            <family val="2"/>
          </rPr>
          <t xml:space="preserve">
$665.9M ex transformation and operational efficiency charges; primarily related to lease termination charges and organizational efficiency costs</t>
        </r>
      </text>
    </comment>
    <comment ref="CL33" authorId="6">
      <text>
        <r>
          <rPr>
            <b/>
            <sz val="9"/>
            <color indexed="81"/>
            <rFont val="Tahoma"/>
            <family val="2"/>
          </rPr>
          <t xml:space="preserve">casselau:
8/9/16: Coach brand SG&amp;A $565M, +4%, 53.8% of sales vs. 56.8% LY; SW $43M or 50.8% of sales
</t>
        </r>
        <r>
          <rPr>
            <sz val="9"/>
            <color indexed="81"/>
            <rFont val="Tahoma"/>
            <family val="2"/>
          </rPr>
          <t xml:space="preserve">
per Andrea total company SG&amp;A +10%
$50M related to SW/SG&amp;A growth
Produces 54.3% SG&amp;A rate
Reducing SG&amp;A by $5M to given FX benefit
Produces $610M SG&amp;A or +8.0% growth</t>
        </r>
      </text>
    </comment>
    <comment ref="CN33" authorId="7">
      <text>
        <r>
          <rPr>
            <b/>
            <sz val="9"/>
            <color indexed="81"/>
            <rFont val="Tahoma"/>
            <family val="2"/>
          </rPr>
          <t>Cassel, Lauren (Research):</t>
        </r>
        <r>
          <rPr>
            <sz val="9"/>
            <color indexed="81"/>
            <rFont val="Tahoma"/>
            <family val="2"/>
          </rPr>
          <t xml:space="preserve">
8/15/17: During the fourth fiscal quarter of 2017, the Company recorded non-cash impairment charges related to stores and a negotiated reduction in a purchase commitment which increased SG&amp;A expenses by $20 million on both a reported and non-GAAP basis.  
</t>
        </r>
        <r>
          <rPr>
            <b/>
            <sz val="9"/>
            <color indexed="81"/>
            <rFont val="Tahoma"/>
            <family val="2"/>
          </rPr>
          <t xml:space="preserve">Excludes: 1) </t>
        </r>
        <r>
          <rPr>
            <sz val="9"/>
            <color indexed="81"/>
            <rFont val="Tahoma"/>
            <family val="2"/>
          </rPr>
          <t>charges of approximately $7 million, primarily related to organizational efficiency and technology infrastructure cost;</t>
        </r>
        <r>
          <rPr>
            <b/>
            <sz val="9"/>
            <color indexed="81"/>
            <rFont val="Tahoma"/>
            <family val="2"/>
          </rPr>
          <t xml:space="preserve"> 2) </t>
        </r>
        <r>
          <rPr>
            <sz val="9"/>
            <color indexed="81"/>
            <rFont val="Tahoma"/>
            <family val="2"/>
          </rPr>
          <t xml:space="preserve">$28 million, consisting of $35 million in income associated with a reduction in estimated contingent purchase price payments, included in Coach brand results, partially offset by $7 million of integration-related costs included in Stuart Weitzman results; </t>
        </r>
        <r>
          <rPr>
            <b/>
            <sz val="9"/>
            <color indexed="81"/>
            <rFont val="Tahoma"/>
            <family val="2"/>
          </rPr>
          <t>3)</t>
        </r>
        <r>
          <rPr>
            <sz val="9"/>
            <color indexed="81"/>
            <rFont val="Tahoma"/>
            <family val="2"/>
          </rPr>
          <t xml:space="preserve"> Fourth fiscal quarter and full year charges of approximately $17 million, which relate to fees for bridge financing and acquisition-related costs</t>
        </r>
      </text>
    </comment>
    <comment ref="CO33" authorId="7">
      <text>
        <r>
          <rPr>
            <b/>
            <sz val="9"/>
            <color indexed="81"/>
            <rFont val="Tahoma"/>
            <family val="2"/>
          </rPr>
          <t xml:space="preserve">Cassel, Lauren (Research):
8/15/17: On a non-GAAP basis, Coach Brand SG&amp;A expenses were $531M and represented 50.8% of sales as compared to 52.8% LY; SW $46M or 52.5% of sales vs. 50.8% last year reflecting in part the increase in store occupancy costs, as well as the company's strategic investments in team and infrastructure 
</t>
        </r>
        <r>
          <rPr>
            <sz val="9"/>
            <color indexed="81"/>
            <rFont val="Tahoma"/>
            <family val="2"/>
          </rPr>
          <t xml:space="preserve">
1/31/17: per Andrea: expect significant leverage in 4Q</t>
        </r>
      </text>
    </comment>
    <comment ref="CP33" authorId="7">
      <text>
        <r>
          <rPr>
            <b/>
            <sz val="9"/>
            <color indexed="81"/>
            <rFont val="Tahoma"/>
            <family val="2"/>
          </rPr>
          <t>Cassel, Lauren (Research):
8/15/17:</t>
        </r>
        <r>
          <rPr>
            <sz val="9"/>
            <color indexed="81"/>
            <rFont val="Tahoma"/>
            <family val="2"/>
          </rPr>
          <t xml:space="preserve"> As noted in our press release SG&amp;A expenses for both Q4 and full year 2017 include $20 million in non-cash charges relating to the impairment of select stores and a
negotiated reduction in a prior purchase commitment for certain store fixtures that
we deemed no longer appropriate.
11/1/16: Expect SW leverage in 4Q (not 1Q-3Q) sa they anniversary the Canadian acquisition</t>
        </r>
      </text>
    </comment>
    <comment ref="CR33" authorId="7">
      <text>
        <r>
          <rPr>
            <b/>
            <sz val="9"/>
            <color indexed="81"/>
            <rFont val="Tahoma"/>
            <family val="2"/>
          </rPr>
          <t>Cassel, Lauren (Research):</t>
        </r>
        <r>
          <rPr>
            <sz val="9"/>
            <color indexed="81"/>
            <rFont val="Tahoma"/>
            <family val="2"/>
          </rPr>
          <t xml:space="preserve">
Need to remember to remove $20M in non-cash charges LY</t>
        </r>
      </text>
    </comment>
    <comment ref="CS33" authorId="15">
      <text>
        <r>
          <rPr>
            <b/>
            <sz val="9"/>
            <color indexed="81"/>
            <rFont val="Tahoma"/>
            <family val="2"/>
          </rPr>
          <t>Roberts, Cynthia (Research):</t>
        </r>
        <r>
          <rPr>
            <sz val="9"/>
            <color indexed="81"/>
            <rFont val="Tahoma"/>
            <family val="2"/>
          </rPr>
          <t xml:space="preserve">
2/6/17: acquiring and assuming operational control of certain international businesses;TPR will now record all SG&amp;A expenses related with the businesses but will only recognize the step up in retail revenue (i.e. the delta between retail and wholesale revenue). </t>
        </r>
      </text>
    </comment>
    <comment ref="BE34" authorId="0">
      <text>
        <r>
          <rPr>
            <b/>
            <sz val="8"/>
            <color indexed="81"/>
            <rFont val="Tahoma"/>
            <family val="2"/>
          </rPr>
          <t>mm98285:</t>
        </r>
        <r>
          <rPr>
            <sz val="8"/>
            <color indexed="81"/>
            <rFont val="Tahoma"/>
            <family val="2"/>
          </rPr>
          <t xml:space="preserve">
1/08: expect leverage
4Q07: guided to 38.9%</t>
        </r>
      </text>
    </comment>
    <comment ref="BI34" authorId="0">
      <text>
        <r>
          <rPr>
            <b/>
            <sz val="8"/>
            <color indexed="81"/>
            <rFont val="Tahoma"/>
            <family val="2"/>
          </rPr>
          <t>mm98285:</t>
        </r>
        <r>
          <rPr>
            <sz val="8"/>
            <color indexed="81"/>
            <rFont val="Tahoma"/>
            <family val="2"/>
          </rPr>
          <t xml:space="preserve">
10/08: expect 40.0%
7/08: expect 40.0%</t>
        </r>
      </text>
    </comment>
    <comment ref="BL34" authorId="0">
      <text>
        <r>
          <rPr>
            <b/>
            <sz val="8"/>
            <color indexed="81"/>
            <rFont val="Tahoma"/>
            <family val="2"/>
          </rPr>
          <t>mm98285:</t>
        </r>
        <r>
          <rPr>
            <sz val="8"/>
            <color indexed="81"/>
            <rFont val="Tahoma"/>
            <family val="2"/>
          </rPr>
          <t xml:space="preserve">
4/09: expect $50M total pre-tax savings in FY10 given SG&amp;A reductions</t>
        </r>
      </text>
    </comment>
    <comment ref="BQ34" authorId="3">
      <text>
        <r>
          <rPr>
            <sz val="8"/>
            <color indexed="81"/>
            <rFont val="Tahoma"/>
            <family val="2"/>
          </rPr>
          <t>9/10: Exp Flat SG&amp;A in FY11 due to reinstalled bonuses, RK setup costs, China expansion</t>
        </r>
        <r>
          <rPr>
            <b/>
            <sz val="8"/>
            <color indexed="81"/>
            <rFont val="Tahoma"/>
            <family val="2"/>
          </rPr>
          <t xml:space="preserve">
lauraro:</t>
        </r>
        <r>
          <rPr>
            <sz val="8"/>
            <color indexed="81"/>
            <rFont val="Tahoma"/>
            <family val="2"/>
          </rPr>
          <t xml:space="preserve">
8/10: expect the expense ratio for the full year FY11 to be about flat to FY10, even as we ramp investment spend to include Reed Krakoff, Europe and building the infrastructure for global growth, while continuing to deliver leverage across the balance of the business. Taken together, investments will impact FY11 earnings per share by about a nickel more than investment spend did in FY10 (12c per Andrea)</t>
        </r>
      </text>
    </comment>
    <comment ref="BU34" authorId="3">
      <text>
        <r>
          <rPr>
            <b/>
            <sz val="8"/>
            <color indexed="81"/>
            <rFont val="Tahoma"/>
            <family val="2"/>
          </rPr>
          <t>lauraro:</t>
        </r>
        <r>
          <rPr>
            <sz val="8"/>
            <color indexed="81"/>
            <rFont val="Tahoma"/>
            <family val="2"/>
          </rPr>
          <t xml:space="preserve">
4/24/12: Similar to LY
8/2/11: flattish
flat for year w/ 70 bps of lvg 1Q offset by deleverage in 2H12</t>
        </r>
      </text>
    </comment>
    <comment ref="BX34" authorId="4">
      <text>
        <r>
          <rPr>
            <sz val="8"/>
            <color indexed="81"/>
            <rFont val="Tahoma"/>
            <family val="2"/>
          </rPr>
          <t xml:space="preserve">7/31/12: As noted, FY13 will be an investment year for us, as we amplify our actions to drive long-term growth.
Our most significant investment is accelerating our international growth through the acquisition of the domestic retail operations of our key Asian distributors and the further development of infrastructure to support this global growth.
In FY13, we will also distort our investments in the digital space to expand and deepen our engagement with consumers.
In addition, we will increase our marketing spend toward strengthening our brand positioning with distinctive new product and elevated store environments across all channels and geographies. 
Some of these initiatives will be in the form of CapEx, while others will result in higher operating expenses such as those associated with the  transition of the Asia retail businesses including Taiwan – which we won’t anniversary until January 2013 – and Malaysia and Korea, which are being acquired in Q1. 
</t>
        </r>
      </text>
    </comment>
    <comment ref="BY34" authorId="4">
      <text>
        <r>
          <rPr>
            <sz val="8"/>
            <color indexed="81"/>
            <rFont val="Tahoma"/>
            <family val="2"/>
          </rPr>
          <t xml:space="preserve">10/24/12 - 150 bps deleverage, heaviest in 1H, eases in 2H
from andrea: $90M of y/y increase from acquisitions, $10M from ecom/digital platforms; $20M from legacy marketing/fixturing
7/31/12: guidance = 150 bps deleverage
CFO - "on SG&amp;A, international acquisitions alone will cause our expenses to rise at least 150 basis points. In addition, the in-store enhancements and marketing programs for Legacy will have a more pronounced impact in the first quarter." 
</t>
        </r>
        <r>
          <rPr>
            <b/>
            <sz val="8"/>
            <color indexed="81"/>
            <rFont val="Tahoma"/>
            <family val="2"/>
          </rPr>
          <t xml:space="preserve">antons:
</t>
        </r>
        <r>
          <rPr>
            <sz val="8"/>
            <color indexed="81"/>
            <rFont val="Tahoma"/>
            <family val="2"/>
          </rPr>
          <t>From 2Q13 Conf. call - CFO, Expect 150 bps deleverage due to international acquisitions. "...on SG&amp;A,as we've noted previously, international acquisitions alone will cause our expenses to rise about 150 basis points for the year."</t>
        </r>
      </text>
    </comment>
    <comment ref="CC34" authorId="4">
      <text>
        <r>
          <rPr>
            <sz val="8"/>
            <color indexed="81"/>
            <rFont val="Tahoma"/>
            <family val="2"/>
          </rPr>
          <t xml:space="preserve">4/29/14: guidance: expect SG&amp;A dollars for FY roughly even with LY. With increased investments generally funded by restructuring actions taken in 4Q LY but with some deleverage on lower sales forecast. 
1/22/14: </t>
        </r>
        <r>
          <rPr>
            <b/>
            <sz val="8"/>
            <color indexed="81"/>
            <rFont val="Tahoma"/>
            <family val="2"/>
          </rPr>
          <t>guidance SG&amp;A +LSD</t>
        </r>
        <r>
          <rPr>
            <sz val="8"/>
            <color indexed="81"/>
            <rFont val="Tahoma"/>
            <family val="2"/>
          </rPr>
          <t xml:space="preserve">
10/22/13: "expect modest SG&amp;A dollar growth with increased investments in Europe, marketing and other brand transformation inititatives generally funded by restructuring actions taken in 4Q with some deleverage on a lower sales forecast"
7/30/2013 CFO - "SG&amp;A expenses are expected to grow in line with sales. Increased investments in Europe, marketing and other brand transformation initiatives are expected to be funded by the restructuring actions."  </t>
        </r>
      </text>
    </comment>
    <comment ref="CG34" authorId="5">
      <text>
        <r>
          <rPr>
            <b/>
            <sz val="9"/>
            <color indexed="81"/>
            <rFont val="Tahoma"/>
            <family val="2"/>
          </rPr>
          <t xml:space="preserve">4/28/15: </t>
        </r>
        <r>
          <rPr>
            <sz val="9"/>
            <color indexed="81"/>
            <rFont val="Tahoma"/>
            <family val="2"/>
          </rPr>
          <t>SG&amp;A expenses now expected to be slightly below prior year, reflective of increase marketing spend and transformation initiatives, offset by shifts in fleet actions, currency, and a faster realization of savings than anticipated</t>
        </r>
        <r>
          <rPr>
            <b/>
            <sz val="9"/>
            <color indexed="81"/>
            <rFont val="Tahoma"/>
            <family val="2"/>
          </rPr>
          <t xml:space="preserve">
Turley, Amber (Research):</t>
        </r>
        <r>
          <rPr>
            <sz val="9"/>
            <color indexed="81"/>
            <rFont val="Tahoma"/>
            <family val="2"/>
          </rPr>
          <t xml:space="preserve">
7/17/14: 8-K indicated COH will take a $45m-$60m cash charge in FY15. </t>
        </r>
      </text>
    </comment>
    <comment ref="CH34" authorId="5">
      <text>
        <r>
          <rPr>
            <b/>
            <sz val="9"/>
            <color indexed="81"/>
            <rFont val="Tahoma"/>
            <family val="2"/>
          </rPr>
          <t xml:space="preserve">8/4/15: </t>
        </r>
        <r>
          <rPr>
            <sz val="9"/>
            <color indexed="81"/>
            <rFont val="Tahoma"/>
            <family val="2"/>
          </rPr>
          <t>driven by lower occupancy and depreciation expense related to renovation and flagship store timing, the benefit of the stronger dollar and the realization of cost savings faster than anticipated</t>
        </r>
        <r>
          <rPr>
            <b/>
            <sz val="9"/>
            <color indexed="81"/>
            <rFont val="Tahoma"/>
            <family val="2"/>
          </rPr>
          <t xml:space="preserve">
Turley, Amber (Research):</t>
        </r>
        <r>
          <rPr>
            <sz val="9"/>
            <color indexed="81"/>
            <rFont val="Tahoma"/>
            <family val="2"/>
          </rPr>
          <t xml:space="preserve">
1/28/15: Guidance: +LSD $ growth reflective of increased marketing spend but helped by currency and faster than expected realization of savings. 
10/28/14: Reiterate guidance SG&amp;A expenses still expected to grow LSD to MSD $ growth reflecting increased marketing spend and transofrmation initiatives. 
8/5/14: +LSD to +MSD
**prob closer to 3.5%-4% 
1/29/15: SG&amp;A expected to grow at LSD</t>
        </r>
      </text>
    </comment>
    <comment ref="CJ34" authorId="7">
      <text>
        <r>
          <rPr>
            <b/>
            <sz val="9"/>
            <color indexed="81"/>
            <rFont val="Tahoma"/>
            <family val="2"/>
          </rPr>
          <t>Cassel, Lauren (Research):</t>
        </r>
        <r>
          <rPr>
            <sz val="9"/>
            <color indexed="81"/>
            <rFont val="Tahoma"/>
            <family val="2"/>
          </rPr>
          <t xml:space="preserve">
8/9/16: SW SG&amp;A $155M</t>
        </r>
      </text>
    </comment>
    <comment ref="CK34" authorId="6">
      <text>
        <r>
          <rPr>
            <b/>
            <sz val="9"/>
            <color indexed="81"/>
            <rFont val="Tahoma"/>
            <family val="2"/>
          </rPr>
          <t xml:space="preserve">casselau:
1/26/16: </t>
        </r>
        <r>
          <rPr>
            <sz val="9"/>
            <color indexed="81"/>
            <rFont val="Tahoma"/>
            <family val="2"/>
          </rPr>
          <t xml:space="preserve">SG&amp;A net of savings - are now expected to grow at a low-single digit rate in constant currency, while growth is expected to be roughly flat in dollars. The lower projected rate of growth is based on favorability realized in the first half of the fiscal year. We continue to expect at least $50 million in incremental cost savings from our transformation and restructuring initiatives
</t>
        </r>
        <r>
          <rPr>
            <b/>
            <sz val="9"/>
            <color indexed="81"/>
            <rFont val="Tahoma"/>
            <family val="2"/>
          </rPr>
          <t xml:space="preserve">
10/26/15: Expense growth ahead of sales is reflective of increased marketing spend, transformation initiatives, and higher occupancy and depreciation expenses related to store renovation and 20 Flagship project timing shifts from FY15 to FY16, as discussed previously.</t>
        </r>
        <r>
          <rPr>
            <sz val="9"/>
            <color indexed="81"/>
            <rFont val="Tahoma"/>
            <family val="2"/>
          </rPr>
          <t xml:space="preserve">
4/28/15: per Andrea: expect occupancy and D&amp;A to increase in FY16</t>
        </r>
      </text>
    </comment>
    <comment ref="CL34" authorId="6">
      <text>
        <r>
          <rPr>
            <b/>
            <sz val="9"/>
            <color indexed="81"/>
            <rFont val="Tahoma"/>
            <family val="2"/>
          </rPr>
          <t xml:space="preserve">casselau:
1/26/16: </t>
        </r>
        <r>
          <rPr>
            <sz val="9"/>
            <color indexed="81"/>
            <rFont val="Tahoma"/>
            <family val="2"/>
          </rPr>
          <t>SG&amp;A net of savings - are now expected to grow at a low-single digit rate in constant currency, while growth is expected to be roughly flat in dollars. The lower projected rate of growth is based on favorability realized in the first half of the fiscal year. We continue to expect at least $50 million in incremental cost savings from our transformation and restructuring initiatives.
Per Andrea--</t>
        </r>
        <r>
          <rPr>
            <b/>
            <sz val="9"/>
            <color indexed="81"/>
            <rFont val="Tahoma"/>
            <family val="2"/>
          </rPr>
          <t xml:space="preserve">
10/26/15:  per Andrea +9-10% for full year
</t>
        </r>
        <r>
          <rPr>
            <sz val="9"/>
            <color indexed="81"/>
            <rFont val="Tahoma"/>
            <family val="2"/>
          </rPr>
          <t>However, given the favorability realized in Q1, which was also driven in part by the reversal of prior year accruals,</t>
        </r>
        <r>
          <rPr>
            <b/>
            <sz val="9"/>
            <color indexed="81"/>
            <rFont val="Tahoma"/>
            <family val="2"/>
          </rPr>
          <t xml:space="preserve"> </t>
        </r>
        <r>
          <rPr>
            <sz val="9"/>
            <color indexed="81"/>
            <rFont val="Tahoma"/>
            <family val="2"/>
          </rPr>
          <t>we now expect COACH BRAND SG&amp;A expense to come in at the lower end of this mid-single-digit, constant currency range.</t>
        </r>
        <r>
          <rPr>
            <b/>
            <sz val="9"/>
            <color indexed="81"/>
            <rFont val="Tahoma"/>
            <family val="2"/>
          </rPr>
          <t xml:space="preserve">
</t>
        </r>
        <r>
          <rPr>
            <sz val="9"/>
            <color indexed="81"/>
            <rFont val="Tahoma"/>
            <family val="2"/>
          </rPr>
          <t xml:space="preserve">
8/4/15: guidance +MSD growth in CC, driven primarily by a shift in project timing from FY15 but dollar growth expected to be "somewhat lower"
"SG&amp;A expenses, net of savings, are expected to grow at a mid-single digit rate in constant currency -somewhat less in dollars - and ahead of sales reflective of our increased marketing spend, transformation initiatives, and higher occupancy and depreciation expenses related to store renovation and Flagship project timing shifts from FY15 to FY16. We continue to expect at least $50 million in incremental cost savings from our transformation and restructuring initiatives. When modeling the year, keep in mind SG&amp;A expenses are expected to grow faster in the first half driven by investments and marketing spend associated with the 75th, anniversary, in part offset by currency."</t>
        </r>
      </text>
    </comment>
    <comment ref="CN34" authorId="7">
      <text>
        <r>
          <rPr>
            <b/>
            <sz val="9"/>
            <color indexed="81"/>
            <rFont val="Tahoma"/>
            <family val="2"/>
          </rPr>
          <t xml:space="preserve">Cassel, Lauren (Research):
8/15/17: Excludes: 
1) </t>
        </r>
        <r>
          <rPr>
            <sz val="9"/>
            <color indexed="81"/>
            <rFont val="Tahoma"/>
            <family val="2"/>
          </rPr>
          <t xml:space="preserve">~$24M primarily related to organizational efficiency, technology infrastructure costs and to a lesser extent, network optimization costs; </t>
        </r>
        <r>
          <rPr>
            <b/>
            <sz val="9"/>
            <color indexed="81"/>
            <rFont val="Tahoma"/>
            <family val="2"/>
          </rPr>
          <t xml:space="preserve">2) </t>
        </r>
        <r>
          <rPr>
            <sz val="9"/>
            <color indexed="81"/>
            <rFont val="Tahoma"/>
            <family val="2"/>
          </rPr>
          <t xml:space="preserve"> Full year income of approximately $6 million, consisting of a net of $27 million in income primarily associated with a reduction in estimated contingent purchase price payments, included in Coach brand results, partially offset by $21 million of integration-related costs included in Stuart Weitzman results; an 3)  Fourth fiscal quarter and full year charges of approximately $17 million, which relate to fees for bridge financing and acquisition-related costs (KATE)
4/26/16: Assumes:
2% SG&amp;A inflation = +46M
-$47.5M in headcount savings
$10-15M in D&amp;A savings spread over two years (assume -$6M per year)
10% variable expense on 2-3% comp = +$6M
= Net $1.5M decline in SG&amp;A</t>
        </r>
      </text>
    </comment>
    <comment ref="CO34" authorId="7">
      <text>
        <r>
          <rPr>
            <b/>
            <sz val="9"/>
            <color indexed="81"/>
            <rFont val="Tahoma"/>
            <family val="2"/>
          </rPr>
          <t>Cassel, Lauren (Research):</t>
        </r>
        <r>
          <rPr>
            <sz val="9"/>
            <color indexed="81"/>
            <rFont val="Tahoma"/>
            <family val="2"/>
          </rPr>
          <t xml:space="preserve">
8/15/17: On a non-GAAP basis, SG&amp;A expenses were $2.27 billion and represented 50.6% of sales,</t>
        </r>
        <r>
          <rPr>
            <b/>
            <sz val="9"/>
            <color indexed="81"/>
            <rFont val="Tahoma"/>
            <family val="2"/>
          </rPr>
          <t xml:space="preserve"> including $20 million or 50 basis points in non-cash charges as noted above,</t>
        </r>
        <r>
          <rPr>
            <sz val="9"/>
            <color indexed="81"/>
            <rFont val="Tahoma"/>
            <family val="2"/>
          </rPr>
          <t xml:space="preserve"> as compared to 50.7% a year ago, reflecting in part the company’s continued investment in Stuart Weitzman. </t>
        </r>
      </text>
    </comment>
    <comment ref="AZ60" authorId="0">
      <text>
        <r>
          <rPr>
            <b/>
            <sz val="8"/>
            <color indexed="81"/>
            <rFont val="Tahoma"/>
            <family val="2"/>
          </rPr>
          <t>mm98285:</t>
        </r>
        <r>
          <rPr>
            <sz val="8"/>
            <color indexed="81"/>
            <rFont val="Tahoma"/>
            <family val="2"/>
          </rPr>
          <t xml:space="preserve">
8/06: expect to be up 21%</t>
        </r>
      </text>
    </comment>
    <comment ref="BE60" authorId="0">
      <text>
        <r>
          <rPr>
            <b/>
            <sz val="8"/>
            <color indexed="81"/>
            <rFont val="Tahoma"/>
            <family val="2"/>
          </rPr>
          <t>mm98285:</t>
        </r>
        <r>
          <rPr>
            <sz val="8"/>
            <color indexed="81"/>
            <rFont val="Tahoma"/>
            <family val="2"/>
          </rPr>
          <t xml:space="preserve">
4Q07: guided to 34.6%</t>
        </r>
      </text>
    </comment>
    <comment ref="BQ60" authorId="3">
      <text>
        <r>
          <rPr>
            <b/>
            <sz val="8"/>
            <color indexed="81"/>
            <rFont val="Tahoma"/>
            <family val="2"/>
          </rPr>
          <t>lauraro:</t>
        </r>
        <r>
          <rPr>
            <sz val="8"/>
            <color indexed="81"/>
            <rFont val="Tahoma"/>
            <family val="2"/>
          </rPr>
          <t xml:space="preserve">
10/15: cons 30.3%</t>
        </r>
      </text>
    </comment>
    <comment ref="BY60" authorId="4">
      <text>
        <r>
          <rPr>
            <sz val="8"/>
            <color indexed="81"/>
            <rFont val="Tahoma"/>
            <family val="2"/>
          </rPr>
          <t xml:space="preserve">
10/23: excluding acq's, OM would have compressed 80 bps, expected given the distortion of marketing into 1Q to support legacy; "long-term growth investments, notably in Asia, implcted proditability levels for the period"
7/31/12: CFO - "when you’re modeling out the quarters, I would like you to remember that the first quarter will be the most challenging in terms of both top line – as we’re up against very strong North America comps and a larger currency benefit – and bottom line, due to the disproportionate impact of the investments and brand spend."</t>
        </r>
      </text>
    </comment>
    <comment ref="CK60" authorId="6">
      <text>
        <r>
          <rPr>
            <b/>
            <sz val="9"/>
            <color indexed="81"/>
            <rFont val="Tahoma"/>
            <family val="2"/>
          </rPr>
          <t>casselau:</t>
        </r>
        <r>
          <rPr>
            <sz val="9"/>
            <color indexed="81"/>
            <rFont val="Tahoma"/>
            <family val="2"/>
          </rPr>
          <t xml:space="preserve">
10/26/15: Coach brand $150M or 15.9% (non GAAP); reported $134M or 14.2%; SW $15.1M or 17.2%</t>
        </r>
      </text>
    </comment>
    <comment ref="CO60" authorId="7">
      <text>
        <r>
          <rPr>
            <b/>
            <sz val="9"/>
            <color indexed="81"/>
            <rFont val="Tahoma"/>
            <family val="2"/>
          </rPr>
          <t>Cassel, Lauren (Research):</t>
        </r>
        <r>
          <rPr>
            <sz val="9"/>
            <color indexed="81"/>
            <rFont val="Tahoma"/>
            <family val="2"/>
          </rPr>
          <t xml:space="preserve">
11/1/16: Coach brand EBIT  $170M (+13% y/y), EBIT margin 17.9% vs. 15.9% LY (+200 bps y/y); SW $7M (7.5%) vs. $15M (17.2%) LY</t>
        </r>
      </text>
    </comment>
    <comment ref="CS60" authorId="7">
      <text>
        <r>
          <rPr>
            <b/>
            <sz val="9"/>
            <color indexed="81"/>
            <rFont val="Tahoma"/>
            <family val="2"/>
          </rPr>
          <t>Cassel, Lauren (Research):</t>
        </r>
        <r>
          <rPr>
            <sz val="9"/>
            <color indexed="81"/>
            <rFont val="Tahoma"/>
            <family val="2"/>
          </rPr>
          <t xml:space="preserve">
kate spade pressured EBIT margin by 140 bps</t>
        </r>
      </text>
    </comment>
    <comment ref="AZ61" authorId="0">
      <text>
        <r>
          <rPr>
            <b/>
            <sz val="8"/>
            <color indexed="81"/>
            <rFont val="Tahoma"/>
            <family val="2"/>
          </rPr>
          <t>mm98285:</t>
        </r>
        <r>
          <rPr>
            <sz val="8"/>
            <color indexed="81"/>
            <rFont val="Tahoma"/>
            <family val="2"/>
          </rPr>
          <t xml:space="preserve">
10/06: targeted to be +22%</t>
        </r>
      </text>
    </comment>
    <comment ref="BF61" authorId="0">
      <text>
        <r>
          <rPr>
            <b/>
            <sz val="8"/>
            <color indexed="81"/>
            <rFont val="Tahoma"/>
            <family val="2"/>
          </rPr>
          <t>mm98285:</t>
        </r>
        <r>
          <rPr>
            <sz val="8"/>
            <color indexed="81"/>
            <rFont val="Tahoma"/>
            <family val="2"/>
          </rPr>
          <t xml:space="preserve">
10/07: expect +20%</t>
        </r>
      </text>
    </comment>
    <comment ref="BI61" authorId="0">
      <text>
        <r>
          <rPr>
            <b/>
            <sz val="8"/>
            <color indexed="81"/>
            <rFont val="Tahoma"/>
            <family val="2"/>
          </rPr>
          <t>mm98285:</t>
        </r>
        <r>
          <rPr>
            <sz val="8"/>
            <color indexed="81"/>
            <rFont val="Tahoma"/>
            <family val="2"/>
          </rPr>
          <t xml:space="preserve">
expect 39%</t>
        </r>
      </text>
    </comment>
    <comment ref="BQ61" authorId="3">
      <text>
        <r>
          <rPr>
            <b/>
            <sz val="8"/>
            <color indexed="81"/>
            <rFont val="Tahoma"/>
            <family val="2"/>
          </rPr>
          <t>lauraro:</t>
        </r>
        <r>
          <rPr>
            <sz val="8"/>
            <color indexed="81"/>
            <rFont val="Tahoma"/>
            <family val="2"/>
          </rPr>
          <t xml:space="preserve">
10/15: cons 36.4%</t>
        </r>
      </text>
    </comment>
    <comment ref="CK61" authorId="6">
      <text>
        <r>
          <rPr>
            <b/>
            <sz val="9"/>
            <color indexed="81"/>
            <rFont val="Tahoma"/>
            <family val="2"/>
          </rPr>
          <t>casselau:</t>
        </r>
        <r>
          <rPr>
            <sz val="9"/>
            <color indexed="81"/>
            <rFont val="Tahoma"/>
            <family val="2"/>
          </rPr>
          <t xml:space="preserve">
Coach brand EBIT margin 22.3%/$263M; SW 23.6%</t>
        </r>
      </text>
    </comment>
    <comment ref="CO61" authorId="7">
      <text>
        <r>
          <rPr>
            <b/>
            <sz val="9"/>
            <color indexed="81"/>
            <rFont val="Tahoma"/>
            <family val="2"/>
          </rPr>
          <t>Cassel, Lauren (Research):</t>
        </r>
        <r>
          <rPr>
            <sz val="9"/>
            <color indexed="81"/>
            <rFont val="Tahoma"/>
            <family val="2"/>
          </rPr>
          <t xml:space="preserve">
1/31/17: On a non-GAAP basis, Coach brand EBIT was $271 million, an increase of 3%, while operating margin was 22.5% compared to operating margin of 22.3% LY; SW operating income was $23 million or 19.8% of sales versus $22 million or 23.6% of sales in the prior year</t>
        </r>
      </text>
    </comment>
    <comment ref="CS61" authorId="15">
      <text>
        <r>
          <rPr>
            <b/>
            <sz val="9"/>
            <color indexed="81"/>
            <rFont val="Tahoma"/>
            <family val="2"/>
          </rPr>
          <t>Roberts, Cynthia (Research):</t>
        </r>
        <r>
          <rPr>
            <sz val="9"/>
            <color indexed="81"/>
            <rFont val="Tahoma"/>
            <family val="2"/>
          </rPr>
          <t xml:space="preserve">
2/6/18: Kate Spade pressured margin  60 bps</t>
        </r>
      </text>
    </comment>
    <comment ref="CT61" authorId="7">
      <text>
        <r>
          <rPr>
            <b/>
            <sz val="9"/>
            <color indexed="81"/>
            <rFont val="Tahoma"/>
            <family val="2"/>
          </rPr>
          <t>Cassel, Lauren (Research):</t>
        </r>
        <r>
          <rPr>
            <sz val="9"/>
            <color indexed="81"/>
            <rFont val="Tahoma"/>
            <family val="2"/>
          </rPr>
          <t xml:space="preserve">
8/15/17: expect +DD EBIT growth in 2Q-4Q</t>
        </r>
      </text>
    </comment>
    <comment ref="BP62" authorId="3">
      <text>
        <r>
          <rPr>
            <b/>
            <sz val="8"/>
            <color indexed="81"/>
            <rFont val="Tahoma"/>
            <family val="2"/>
          </rPr>
          <t xml:space="preserve">4/26/11: </t>
        </r>
        <r>
          <rPr>
            <sz val="8"/>
            <color indexed="81"/>
            <rFont val="Tahoma"/>
            <family val="2"/>
          </rPr>
          <t>For the third fiscal quarter, operating income on a non-GAAP basis totaled $280 million</t>
        </r>
        <r>
          <rPr>
            <sz val="8"/>
            <color indexed="81"/>
            <rFont val="Tahoma"/>
            <family val="2"/>
          </rPr>
          <t xml:space="preserve">
</t>
        </r>
      </text>
    </comment>
    <comment ref="BQ62" authorId="3">
      <text>
        <r>
          <rPr>
            <b/>
            <sz val="8"/>
            <color indexed="81"/>
            <rFont val="Tahoma"/>
            <family val="2"/>
          </rPr>
          <t>4/26:</t>
        </r>
        <r>
          <rPr>
            <sz val="8"/>
            <color indexed="81"/>
            <rFont val="Tahoma"/>
            <family val="2"/>
          </rPr>
          <t xml:space="preserve"> </t>
        </r>
        <r>
          <rPr>
            <sz val="8"/>
            <color indexed="81"/>
            <rFont val="Tahoma"/>
            <family val="2"/>
          </rPr>
          <t>Would have leveraged Op Margin ex Japan impact</t>
        </r>
      </text>
    </comment>
    <comment ref="CK62" authorId="7">
      <text>
        <r>
          <rPr>
            <b/>
            <sz val="9"/>
            <color indexed="81"/>
            <rFont val="Tahoma"/>
            <family val="2"/>
          </rPr>
          <t>Cassel, Lauren (Research):</t>
        </r>
        <r>
          <rPr>
            <sz val="9"/>
            <color indexed="81"/>
            <rFont val="Tahoma"/>
            <family val="2"/>
          </rPr>
          <t xml:space="preserve">
4/26/16: Coach brand +15.1%; SW 9.3%</t>
        </r>
      </text>
    </comment>
    <comment ref="CO62" authorId="7">
      <text>
        <r>
          <rPr>
            <b/>
            <sz val="9"/>
            <color indexed="81"/>
            <rFont val="Tahoma"/>
            <family val="2"/>
          </rPr>
          <t>Cassel, Lauren (Research):</t>
        </r>
        <r>
          <rPr>
            <sz val="9"/>
            <color indexed="81"/>
            <rFont val="Tahoma"/>
            <family val="2"/>
          </rPr>
          <t xml:space="preserve">
5/2/17: Coach brand (non-GAAP) $156M or 17.1% vs. 15.1% LY; SW non-GAAP $6M vs. $7M LY or 6.9% vs. 9.3% LY</t>
        </r>
      </text>
    </comment>
    <comment ref="CT62" authorId="7">
      <text>
        <r>
          <rPr>
            <b/>
            <sz val="9"/>
            <color indexed="81"/>
            <rFont val="Tahoma"/>
            <family val="2"/>
          </rPr>
          <t>Cassel, Lauren (Research):</t>
        </r>
        <r>
          <rPr>
            <sz val="9"/>
            <color indexed="81"/>
            <rFont val="Tahoma"/>
            <family val="2"/>
          </rPr>
          <t xml:space="preserve">
8/15/17: expect +DD EBIT growth in 2Q-4Q</t>
        </r>
      </text>
    </comment>
    <comment ref="BB63" authorId="8">
      <text>
        <r>
          <rPr>
            <b/>
            <sz val="8"/>
            <color indexed="81"/>
            <rFont val="Tahoma"/>
            <family val="2"/>
          </rPr>
          <t>oc48540:</t>
        </r>
        <r>
          <rPr>
            <sz val="8"/>
            <color indexed="81"/>
            <rFont val="Tahoma"/>
            <family val="2"/>
          </rPr>
          <t xml:space="preserve">
3Q07: Expect operating income up 36% reflect 200bps impr.</t>
        </r>
      </text>
    </comment>
    <comment ref="BE63" authorId="0">
      <text>
        <r>
          <rPr>
            <b/>
            <sz val="8"/>
            <color indexed="81"/>
            <rFont val="Tahoma"/>
            <family val="2"/>
          </rPr>
          <t>mm98285:</t>
        </r>
        <r>
          <rPr>
            <sz val="8"/>
            <color indexed="81"/>
            <rFont val="Tahoma"/>
            <family val="2"/>
          </rPr>
          <t xml:space="preserve">
4/08: expect 35%</t>
        </r>
      </text>
    </comment>
    <comment ref="BQ63" authorId="3">
      <text>
        <r>
          <rPr>
            <b/>
            <sz val="8"/>
            <color indexed="81"/>
            <rFont val="Tahoma"/>
            <family val="2"/>
          </rPr>
          <t>lauraro:</t>
        </r>
        <r>
          <rPr>
            <sz val="8"/>
            <color indexed="81"/>
            <rFont val="Tahoma"/>
            <family val="2"/>
          </rPr>
          <t xml:space="preserve">
10/15: 30%</t>
        </r>
      </text>
    </comment>
    <comment ref="CF63" authorId="6">
      <text>
        <r>
          <rPr>
            <b/>
            <sz val="9"/>
            <color indexed="81"/>
            <rFont val="Tahoma"/>
            <family val="2"/>
          </rPr>
          <t>casselau:</t>
        </r>
        <r>
          <rPr>
            <sz val="9"/>
            <color indexed="81"/>
            <rFont val="Tahoma"/>
            <family val="2"/>
          </rPr>
          <t xml:space="preserve">
$4M from Stuart Weitzman</t>
        </r>
      </text>
    </comment>
    <comment ref="CK63" authorId="7">
      <text>
        <r>
          <rPr>
            <b/>
            <sz val="9"/>
            <color indexed="81"/>
            <rFont val="Tahoma"/>
            <family val="2"/>
          </rPr>
          <t>Cassel, Lauren (Research):</t>
        </r>
        <r>
          <rPr>
            <sz val="9"/>
            <color indexed="81"/>
            <rFont val="Tahoma"/>
            <family val="2"/>
          </rPr>
          <t xml:space="preserve">
8/9/16: Coach brand 16.0% vs. 12.7% LY; SW 4.4%</t>
        </r>
      </text>
    </comment>
    <comment ref="CO63" authorId="7">
      <text>
        <r>
          <rPr>
            <b/>
            <sz val="9"/>
            <color indexed="81"/>
            <rFont val="Tahoma"/>
            <family val="2"/>
          </rPr>
          <t>Cassel, Lauren (Research):</t>
        </r>
        <r>
          <rPr>
            <sz val="9"/>
            <color indexed="81"/>
            <rFont val="Tahoma"/>
            <family val="2"/>
          </rPr>
          <t xml:space="preserve">
8/15/17: including approximately 180 basis points of non-cash charges as noted, versus 15.1% in last year’s fourth quarter. 
non-GAAP, Coach brand EBIT was $174M (16.6% EBIT margin vs. 16.0% LY); SQ $6M, 6.4% of sales vs. 4.4% LY</t>
        </r>
      </text>
    </comment>
    <comment ref="CT63" authorId="7">
      <text>
        <r>
          <rPr>
            <b/>
            <sz val="9"/>
            <color indexed="81"/>
            <rFont val="Tahoma"/>
            <family val="2"/>
          </rPr>
          <t>Cassel, Lauren (Research):</t>
        </r>
        <r>
          <rPr>
            <sz val="9"/>
            <color indexed="81"/>
            <rFont val="Tahoma"/>
            <family val="2"/>
          </rPr>
          <t xml:space="preserve">
8/15/17: expect +DD EBIT growth in 2Q-4Q</t>
        </r>
      </text>
    </comment>
    <comment ref="BA64" authorId="0">
      <text>
        <r>
          <rPr>
            <b/>
            <sz val="8"/>
            <color indexed="81"/>
            <rFont val="Tahoma"/>
            <family val="2"/>
          </rPr>
          <t>mm98285:</t>
        </r>
        <r>
          <rPr>
            <sz val="8"/>
            <color indexed="81"/>
            <rFont val="Tahoma"/>
            <family val="2"/>
          </rPr>
          <t xml:space="preserve">
3Q07: Expect 38% driven by further SG&amp;A leverage (targetting op margin increase of 300bps)
1/07: guided to over 38%
10/06: targeting 37.5%
8/06: expected to be nearly 37% (up ~50bps)</t>
        </r>
      </text>
    </comment>
    <comment ref="BB64" authorId="0">
      <text>
        <r>
          <rPr>
            <b/>
            <sz val="8"/>
            <color indexed="81"/>
            <rFont val="Tahoma"/>
            <family val="2"/>
          </rPr>
          <t>mm98285:</t>
        </r>
        <r>
          <rPr>
            <sz val="8"/>
            <color indexed="81"/>
            <rFont val="Tahoma"/>
            <family val="2"/>
          </rPr>
          <t xml:space="preserve">
3Q07: Expect operating income dollar growth of about 37% 
1/07: guided to 32% $ growth
10/06: expect to be +25% over LY
8/06: expected to increase over 20%</t>
        </r>
      </text>
    </comment>
    <comment ref="BE64" authorId="0">
      <text>
        <r>
          <rPr>
            <b/>
            <sz val="8"/>
            <color indexed="81"/>
            <rFont val="Tahoma"/>
            <family val="2"/>
          </rPr>
          <t>mm98285:</t>
        </r>
        <r>
          <rPr>
            <sz val="8"/>
            <color indexed="81"/>
            <rFont val="Tahoma"/>
            <family val="2"/>
          </rPr>
          <t xml:space="preserve">
4/08: nearly 37%
1/08: 37.7%
10/07: 38.3%
4Q07: guided to +50 bps (38.5%)</t>
        </r>
      </text>
    </comment>
    <comment ref="BF64" authorId="0">
      <text>
        <r>
          <rPr>
            <b/>
            <sz val="8"/>
            <color indexed="81"/>
            <rFont val="Tahoma"/>
            <family val="2"/>
          </rPr>
          <t>mm98285:</t>
        </r>
        <r>
          <rPr>
            <sz val="8"/>
            <color indexed="81"/>
            <rFont val="Tahoma"/>
            <family val="2"/>
          </rPr>
          <t xml:space="preserve">
4/08: 18%
10/07: over 22% growth
4Q07: guided to +23%</t>
        </r>
      </text>
    </comment>
    <comment ref="BI64" authorId="0">
      <text>
        <r>
          <rPr>
            <b/>
            <sz val="8"/>
            <color indexed="81"/>
            <rFont val="Tahoma"/>
            <family val="2"/>
          </rPr>
          <t>mm98285:</t>
        </r>
        <r>
          <rPr>
            <sz val="8"/>
            <color indexed="81"/>
            <rFont val="Tahoma"/>
            <family val="2"/>
          </rPr>
          <t xml:space="preserve">
10/08: expect 34-34.5%
7/08: expect 34-34.5%</t>
        </r>
      </text>
    </comment>
    <comment ref="BQ64" authorId="3">
      <text>
        <r>
          <rPr>
            <b/>
            <sz val="8"/>
            <color indexed="81"/>
            <rFont val="Tahoma"/>
            <family val="2"/>
          </rPr>
          <t xml:space="preserve">4/26: </t>
        </r>
        <r>
          <rPr>
            <sz val="8"/>
            <color indexed="81"/>
            <rFont val="Tahoma"/>
            <family val="2"/>
          </rPr>
          <t>Reit 31.5% Op Margin</t>
        </r>
        <r>
          <rPr>
            <sz val="8"/>
            <color indexed="81"/>
            <rFont val="Tahoma"/>
            <family val="2"/>
          </rPr>
          <t xml:space="preserve">
1/11: Reit 31.5% Op Margin (on a 52 week basis)
Similar to FY10</t>
        </r>
      </text>
    </comment>
    <comment ref="BU64" authorId="3">
      <text>
        <r>
          <rPr>
            <b/>
            <sz val="8"/>
            <color indexed="81"/>
            <rFont val="Tahoma"/>
            <family val="2"/>
          </rPr>
          <t>lauraro:</t>
        </r>
        <r>
          <rPr>
            <sz val="8"/>
            <color indexed="81"/>
            <rFont val="Tahoma"/>
            <family val="2"/>
          </rPr>
          <t xml:space="preserve">
4/24/12: FY OM slightly ahead of LY
8/2/11: roughly flat for the year</t>
        </r>
      </text>
    </comment>
    <comment ref="BY64" authorId="4">
      <text>
        <r>
          <rPr>
            <sz val="8"/>
            <color indexed="81"/>
            <rFont val="Tahoma"/>
            <family val="2"/>
          </rPr>
          <t xml:space="preserve">4/23/13: reiterate 31%
7/31/12: guidance = 31%
CFO - "we would expect some compression in the operating margin, to about 31%. Notably, we expect our core businesses to continue to deliver leverage."
</t>
        </r>
        <r>
          <rPr>
            <b/>
            <sz val="8"/>
            <color indexed="81"/>
            <rFont val="Tahoma"/>
            <family val="2"/>
          </rPr>
          <t xml:space="preserve">antons: 
</t>
        </r>
        <r>
          <rPr>
            <sz val="8"/>
            <color indexed="81"/>
            <rFont val="Tahoma"/>
            <family val="2"/>
          </rPr>
          <t>From 2Q13 Conf. call - CFO, Expect OM pressure to ~31%. "we still expect an annual operating margin of about 31%, with the compression from prior year as a result of our investments."</t>
        </r>
      </text>
    </comment>
    <comment ref="CC64" authorId="4">
      <text>
        <r>
          <rPr>
            <sz val="8"/>
            <color indexed="81"/>
            <rFont val="Tahoma"/>
            <family val="2"/>
          </rPr>
          <t xml:space="preserve">4/29/14: guidance: 25-26% based on lower than expected sales 
1/22/14: </t>
        </r>
        <r>
          <rPr>
            <b/>
            <sz val="8"/>
            <color indexed="81"/>
            <rFont val="Tahoma"/>
            <family val="2"/>
          </rPr>
          <t>guidance 26-27% for FY</t>
        </r>
        <r>
          <rPr>
            <sz val="8"/>
            <color indexed="81"/>
            <rFont val="Tahoma"/>
            <family val="2"/>
          </rPr>
          <t xml:space="preserve">
10/22/13: "we would expect operating margins to be about 28%."
7/30/2013 CFO - "we would expect operating margin to remain high at about 30%"  </t>
        </r>
      </text>
    </comment>
    <comment ref="CG64" authorId="5">
      <text>
        <r>
          <rPr>
            <b/>
            <sz val="9"/>
            <color indexed="81"/>
            <rFont val="Tahoma"/>
            <family val="2"/>
          </rPr>
          <t>Turley, Amber (Research):</t>
        </r>
        <r>
          <rPr>
            <sz val="9"/>
            <color indexed="81"/>
            <rFont val="Tahoma"/>
            <family val="2"/>
          </rPr>
          <t xml:space="preserve">
10/28/14: Reiterate guidance of high teens operating margin. 
8/5/14: high teens EBIT margin</t>
        </r>
      </text>
    </comment>
    <comment ref="CK64" authorId="6">
      <text>
        <r>
          <rPr>
            <b/>
            <sz val="9"/>
            <color indexed="81"/>
            <rFont val="Tahoma"/>
            <family val="2"/>
          </rPr>
          <t xml:space="preserve">casselau:
8/9/16: 17.6% Coach brand EBIT, dollars -7% y/y to $728M; SW $48M or 14.0%
4/26/16: Coach brand operating margin for Fiscal 2016 is still estimated to be in the mid-to-high teens </t>
        </r>
        <r>
          <rPr>
            <sz val="9"/>
            <color indexed="81"/>
            <rFont val="Tahoma"/>
            <family val="2"/>
          </rPr>
          <t xml:space="preserve">
</t>
        </r>
        <r>
          <rPr>
            <b/>
            <sz val="9"/>
            <color indexed="81"/>
            <rFont val="Tahoma"/>
            <family val="2"/>
          </rPr>
          <t xml:space="preserve">1/26/16: </t>
        </r>
        <r>
          <rPr>
            <sz val="9"/>
            <color indexed="81"/>
            <rFont val="Tahoma"/>
            <family val="2"/>
          </rPr>
          <t xml:space="preserve">Coach brand operating margin for Fiscal 2016 is still estimated to be in the mid-to-high teens with some shift between the gross margin and expense ratio from previous annual guidance. Overall, the Stuart Weitzman business is now projected to negatively impact consolidated gross margin and operating margin by about 70 basis points and approximately </t>
        </r>
        <r>
          <rPr>
            <b/>
            <sz val="9"/>
            <color indexed="81"/>
            <rFont val="Tahoma"/>
            <family val="2"/>
          </rPr>
          <t xml:space="preserve">20 basis points, </t>
        </r>
        <r>
          <rPr>
            <sz val="9"/>
            <color indexed="81"/>
            <rFont val="Tahoma"/>
            <family val="2"/>
          </rPr>
          <t xml:space="preserve">respectively – an improvement from previous guidance (80-90, </t>
        </r>
        <r>
          <rPr>
            <b/>
            <sz val="9"/>
            <color indexed="81"/>
            <rFont val="Tahoma"/>
            <family val="2"/>
          </rPr>
          <t>50)</t>
        </r>
        <r>
          <rPr>
            <sz val="9"/>
            <color indexed="81"/>
            <rFont val="Tahoma"/>
            <family val="2"/>
          </rPr>
          <t xml:space="preserve"> . 
Therefore, taken together with its projection for the Coach brand, the Company is raising its operating income outlook for Coach, Inc. for Fiscal 2016. 
8/4/15: guidance: mid-to-high teens for Coach Brand; SW will negatively impact consolidated EBIT margin by ~50 bps</t>
        </r>
      </text>
    </comment>
    <comment ref="CO64" authorId="7">
      <text>
        <r>
          <rPr>
            <b/>
            <sz val="9"/>
            <color indexed="81"/>
            <rFont val="Tahoma"/>
            <family val="2"/>
          </rPr>
          <t xml:space="preserve">Cassel, Lauren (Research):
8/15/17:  On a non-GAAP basis, operating income was $813 million, while operating margin was 18.1%, including 50 basis points in non-cash charges as noted above, versus 17.3% a year ago. 
</t>
        </r>
        <r>
          <rPr>
            <sz val="9"/>
            <color indexed="81"/>
            <rFont val="Tahoma"/>
            <family val="2"/>
          </rPr>
          <t xml:space="preserve">
8/9/16: guidance: 18.5-19.0%; incorporates negative impact of both SW and the strategic decision to elevate the Coach brand's positioning in the NA wholesale channel, including the closure of 25% of doors and a reduction in markdown allowances; excluding this impact, Coach brand EBIT margin would be in the area of ~20%</t>
        </r>
      </text>
    </comment>
    <comment ref="CT64" authorId="7">
      <text>
        <r>
          <rPr>
            <b/>
            <sz val="9"/>
            <color indexed="81"/>
            <rFont val="Tahoma"/>
            <family val="2"/>
          </rPr>
          <t>Cassel, Lauren (Research):</t>
        </r>
        <r>
          <rPr>
            <sz val="9"/>
            <color indexed="81"/>
            <rFont val="Tahoma"/>
            <family val="2"/>
          </rPr>
          <t xml:space="preserve">
2/6/18: Reiterate guidance
8/15/17: </t>
        </r>
        <r>
          <rPr>
            <b/>
            <sz val="9"/>
            <color indexed="81"/>
            <rFont val="Tahoma"/>
            <family val="2"/>
          </rPr>
          <t xml:space="preserve">guidance +22-25% growth driven by +MSD organic growth, acquisition of Kate Spade, and estimated synergies of $30-35M ($50M annualized).  </t>
        </r>
        <r>
          <rPr>
            <sz val="9"/>
            <color indexed="81"/>
            <rFont val="Tahoma"/>
            <family val="2"/>
          </rPr>
          <t xml:space="preserve">These synergies are expected to offset in part the reduction in profitability from the strategic and deliberate pullback of Kate Spade wholesale disposition and online flash sales channels. </t>
        </r>
        <r>
          <rPr>
            <b/>
            <sz val="9"/>
            <color indexed="81"/>
            <rFont val="Tahoma"/>
            <family val="2"/>
          </rPr>
          <t>Taken together, the Kate Spade business and resulting synergies are expected to contribute approximately $130-$140 million to operating income.</t>
        </r>
      </text>
    </comment>
    <comment ref="BD70" authorId="0">
      <text>
        <r>
          <rPr>
            <b/>
            <sz val="8"/>
            <color indexed="81"/>
            <rFont val="Tahoma"/>
            <family val="2"/>
          </rPr>
          <t>mm98285:</t>
        </r>
        <r>
          <rPr>
            <sz val="8"/>
            <color indexed="81"/>
            <rFont val="Tahoma"/>
            <family val="2"/>
          </rPr>
          <t xml:space="preserve">
4Q07: guided to $15.8mm</t>
        </r>
      </text>
    </comment>
    <comment ref="BL70" authorId="0">
      <text>
        <r>
          <rPr>
            <b/>
            <sz val="8"/>
            <color indexed="81"/>
            <rFont val="Tahoma"/>
            <family val="2"/>
          </rPr>
          <t xml:space="preserve">1Q11 10Q: </t>
        </r>
        <r>
          <rPr>
            <sz val="8"/>
            <color indexed="81"/>
            <rFont val="Tahoma"/>
            <family val="2"/>
          </rPr>
          <t>Changed acctng method for uncertainty in income taxes in July 2010. Net interest expense under new method would have been $1.835M</t>
        </r>
        <r>
          <rPr>
            <b/>
            <sz val="8"/>
            <color indexed="81"/>
            <rFont val="Tahoma"/>
            <family val="2"/>
          </rPr>
          <t xml:space="preserve">
mm98285:</t>
        </r>
        <r>
          <rPr>
            <sz val="8"/>
            <color indexed="81"/>
            <rFont val="Tahoma"/>
            <family val="2"/>
          </rPr>
          <t xml:space="preserve">
11/09: lower interest income on lower rates</t>
        </r>
      </text>
    </comment>
    <comment ref="BP70" authorId="3">
      <text>
        <r>
          <rPr>
            <b/>
            <sz val="8"/>
            <color indexed="81"/>
            <rFont val="Tahoma"/>
            <family val="2"/>
          </rPr>
          <t>1Q11 10Q:</t>
        </r>
        <r>
          <rPr>
            <sz val="8"/>
            <color indexed="81"/>
            <rFont val="Tahoma"/>
            <family val="2"/>
          </rPr>
          <t xml:space="preserve"> Changed acctng method for uncertainty in income taxes in July 2010. Net interest expense under previous method would have been ($1.842)M</t>
        </r>
      </text>
    </comment>
    <comment ref="CJ70" authorId="2">
      <text>
        <r>
          <rPr>
            <b/>
            <sz val="8"/>
            <color indexed="81"/>
            <rFont val="Tahoma"/>
            <family val="2"/>
          </rPr>
          <t>$900M long-term debt (assumes $600M at 4.25% interest rate, other $300M at 5%)
turleamb:</t>
        </r>
        <r>
          <rPr>
            <sz val="8"/>
            <color indexed="81"/>
            <rFont val="Tahoma"/>
            <family val="2"/>
          </rPr>
          <t xml:space="preserve">
assumes ~$600m in LT debt at ~4.3% coupon = $~25.8m interest offset by ~1m income </t>
        </r>
      </text>
    </comment>
    <comment ref="CR70" authorId="7">
      <text>
        <r>
          <rPr>
            <b/>
            <sz val="9"/>
            <color indexed="81"/>
            <rFont val="Tahoma"/>
            <family val="2"/>
          </rPr>
          <t>Cassel, Lauren (Research):</t>
        </r>
        <r>
          <rPr>
            <sz val="9"/>
            <color indexed="81"/>
            <rFont val="Tahoma"/>
            <family val="2"/>
          </rPr>
          <t xml:space="preserve">
11/7/17: driven by higher debt levels associated with Kate Spade acquisiton </t>
        </r>
      </text>
    </comment>
    <comment ref="BD71" authorId="0">
      <text>
        <r>
          <rPr>
            <b/>
            <sz val="8"/>
            <color indexed="81"/>
            <rFont val="Tahoma"/>
            <family val="2"/>
          </rPr>
          <t>mm98285:</t>
        </r>
        <r>
          <rPr>
            <sz val="8"/>
            <color indexed="81"/>
            <rFont val="Tahoma"/>
            <family val="2"/>
          </rPr>
          <t xml:space="preserve">
11/07: cash reduction given  $368 share repurchase in Nov. and assume add'l $100mm repurch in 2Q</t>
        </r>
      </text>
    </comment>
    <comment ref="BH71" authorId="0">
      <text>
        <r>
          <rPr>
            <b/>
            <sz val="8"/>
            <color indexed="81"/>
            <rFont val="Tahoma"/>
            <family val="2"/>
          </rPr>
          <t>mm98285:</t>
        </r>
        <r>
          <rPr>
            <sz val="8"/>
            <color indexed="81"/>
            <rFont val="Tahoma"/>
            <family val="2"/>
          </rPr>
          <t xml:space="preserve">
lower return on invtmt given lower cash balance and lower interest rate</t>
        </r>
      </text>
    </comment>
    <comment ref="BP71" authorId="3">
      <text>
        <r>
          <rPr>
            <b/>
            <sz val="8"/>
            <color indexed="81"/>
            <rFont val="Tahoma"/>
            <family val="2"/>
          </rPr>
          <t>lauraro:</t>
        </r>
        <r>
          <rPr>
            <sz val="8"/>
            <color indexed="81"/>
            <rFont val="Tahoma"/>
            <family val="2"/>
          </rPr>
          <t xml:space="preserve">
The decrease is attributable to lower returns on our investments primarily due to changes in interest rates, including interest rates on the cross-currency swaps, and lower cash and investment balances.</t>
        </r>
      </text>
    </comment>
    <comment ref="CJ71" authorId="2">
      <text>
        <r>
          <rPr>
            <b/>
            <sz val="8"/>
            <color indexed="81"/>
            <rFont val="Tahoma"/>
            <family val="2"/>
          </rPr>
          <t>$900M long-term debt (assumes $600M at 4.25% interest rate, other $300M at 5%)
turleamb:</t>
        </r>
        <r>
          <rPr>
            <sz val="8"/>
            <color indexed="81"/>
            <rFont val="Tahoma"/>
            <family val="2"/>
          </rPr>
          <t xml:space="preserve">
assumes ~$600m in LT debt at ~4.3% coupon = $~25.8m interest offset by ~1m income </t>
        </r>
      </text>
    </comment>
    <comment ref="BD72" authorId="0">
      <text>
        <r>
          <rPr>
            <b/>
            <sz val="8"/>
            <color indexed="81"/>
            <rFont val="Tahoma"/>
            <family val="2"/>
          </rPr>
          <t>mm98285:</t>
        </r>
        <r>
          <rPr>
            <sz val="8"/>
            <color indexed="81"/>
            <rFont val="Tahoma"/>
            <family val="2"/>
          </rPr>
          <t xml:space="preserve">
11/07: cash reduction given assumption of $150mm repurch in 3Q</t>
        </r>
      </text>
    </comment>
    <comment ref="CF72" authorId="2">
      <text>
        <r>
          <rPr>
            <b/>
            <sz val="8"/>
            <color indexed="81"/>
            <rFont val="Tahoma"/>
            <family val="2"/>
          </rPr>
          <t>turleamb:</t>
        </r>
        <r>
          <rPr>
            <sz val="8"/>
            <color indexed="81"/>
            <rFont val="Tahoma"/>
            <family val="2"/>
          </rPr>
          <t xml:space="preserve">
assumes ~$600m in LT debt at ~4.3% coupon = $~25.8m interest offset by ~1m income partially through 3Q</t>
        </r>
      </text>
    </comment>
    <comment ref="CJ72" authorId="2">
      <text>
        <r>
          <rPr>
            <b/>
            <sz val="8"/>
            <color indexed="81"/>
            <rFont val="Tahoma"/>
            <family val="2"/>
          </rPr>
          <t>$900M long-term debt (assumes $600M at 4.25% interest rate, other $300M at 5%)
turleamb:</t>
        </r>
        <r>
          <rPr>
            <sz val="8"/>
            <color indexed="81"/>
            <rFont val="Tahoma"/>
            <family val="2"/>
          </rPr>
          <t xml:space="preserve">
assumes ~$600m in LT debt at ~4.3% coupon = $~25.8m interest offset by ~1m income 
1/26/16
Raised to $9M given company guidance (Net interest expense per quarter will go up b/c we won’t have interest income from the money we’re putting towards the HQ.)</t>
        </r>
      </text>
    </comment>
    <comment ref="BD73" authorId="0">
      <text>
        <r>
          <rPr>
            <b/>
            <sz val="8"/>
            <color indexed="81"/>
            <rFont val="Tahoma"/>
            <family val="2"/>
          </rPr>
          <t>mm98285:</t>
        </r>
        <r>
          <rPr>
            <sz val="8"/>
            <color indexed="81"/>
            <rFont val="Tahoma"/>
            <family val="2"/>
          </rPr>
          <t xml:space="preserve">
11/07: cash reduction given assumption of $150mm repurch in 4Q</t>
        </r>
      </text>
    </comment>
    <comment ref="BH73" authorId="0">
      <text>
        <r>
          <rPr>
            <b/>
            <sz val="8"/>
            <color indexed="81"/>
            <rFont val="Tahoma"/>
            <family val="2"/>
          </rPr>
          <t>mm98285:</t>
        </r>
        <r>
          <rPr>
            <sz val="8"/>
            <color indexed="81"/>
            <rFont val="Tahoma"/>
            <family val="2"/>
          </rPr>
          <t xml:space="preserve">
excludes $2M given unusual items</t>
        </r>
      </text>
    </comment>
    <comment ref="CF73" authorId="2">
      <text>
        <r>
          <rPr>
            <b/>
            <sz val="8"/>
            <color indexed="81"/>
            <rFont val="Tahoma"/>
            <family val="2"/>
          </rPr>
          <t>$900M long-term debt (assumes $600M at 4.25% interest rate, other $300M at 5%)
turleamb:</t>
        </r>
        <r>
          <rPr>
            <sz val="8"/>
            <color indexed="81"/>
            <rFont val="Tahoma"/>
            <family val="2"/>
          </rPr>
          <t xml:space="preserve">
assumes ~$600m in LT debt at ~4.3% coupon = $~25.8m interest offset by ~1m income </t>
        </r>
      </text>
    </comment>
    <comment ref="CJ73" authorId="2">
      <text>
        <r>
          <rPr>
            <b/>
            <sz val="8"/>
            <color indexed="81"/>
            <rFont val="Tahoma"/>
            <family val="2"/>
          </rPr>
          <t>$900M long-term debt (assumes $600M at 4.25% interest rate, other $300M at 5%)
turleamb:</t>
        </r>
        <r>
          <rPr>
            <sz val="8"/>
            <color indexed="81"/>
            <rFont val="Tahoma"/>
            <family val="2"/>
          </rPr>
          <t xml:space="preserve">
assumes ~$600m in LT debt at ~4.3% coupon = $~25.8m interest offset by ~1m income 
1/26/16
Raised to $9M given company guidance</t>
        </r>
      </text>
    </comment>
    <comment ref="CN73" authorId="7">
      <text>
        <r>
          <rPr>
            <b/>
            <sz val="9"/>
            <color indexed="81"/>
            <rFont val="Tahoma"/>
            <family val="2"/>
          </rPr>
          <t>Cassel, Lauren (Research):</t>
        </r>
        <r>
          <rPr>
            <sz val="9"/>
            <color indexed="81"/>
            <rFont val="Tahoma"/>
            <family val="2"/>
          </rPr>
          <t xml:space="preserve">
Excludes Kate Spade bridge financing Interest</t>
        </r>
      </text>
    </comment>
    <comment ref="AZ74" authorId="1">
      <text>
        <r>
          <rPr>
            <b/>
            <sz val="8"/>
            <color indexed="81"/>
            <rFont val="Tahoma"/>
            <family val="2"/>
          </rPr>
          <t>LM37689:</t>
        </r>
        <r>
          <rPr>
            <sz val="8"/>
            <color indexed="81"/>
            <rFont val="Tahoma"/>
            <family val="2"/>
          </rPr>
          <t xml:space="preserve">
3Q07: Expect interest income of about $40m
1/07: gudied to $40M
10/06: expect $35MM </t>
        </r>
      </text>
    </comment>
    <comment ref="BD74" authorId="0">
      <text>
        <r>
          <rPr>
            <b/>
            <sz val="8"/>
            <color indexed="81"/>
            <rFont val="Tahoma"/>
            <family val="2"/>
          </rPr>
          <t>mm98285:</t>
        </r>
        <r>
          <rPr>
            <sz val="8"/>
            <color indexed="81"/>
            <rFont val="Tahoma"/>
            <family val="2"/>
          </rPr>
          <t xml:space="preserve">
4/08: $44mm
1/08: $40mm
10/07: $70mm
4Q07: guided to $86.1mm</t>
        </r>
      </text>
    </comment>
    <comment ref="BH74" authorId="0">
      <text>
        <r>
          <rPr>
            <b/>
            <sz val="8"/>
            <color indexed="81"/>
            <rFont val="Tahoma"/>
            <family val="2"/>
          </rPr>
          <t>mm98285:</t>
        </r>
        <r>
          <rPr>
            <sz val="8"/>
            <color indexed="81"/>
            <rFont val="Tahoma"/>
            <family val="2"/>
          </rPr>
          <t xml:space="preserve">
lower interest rates and cash balances
3/09: Nov. 26, 2008 assumed $23M mortgage w/ interest exp of 4.68%  annually (or $1.1M annually)
1/08: assume interest of $50mm
11/07: assume interest income of ~$70mm given $1b cash reduction given share repurch</t>
        </r>
      </text>
    </comment>
    <comment ref="BL74" authorId="14">
      <text>
        <r>
          <rPr>
            <b/>
            <sz val="8"/>
            <color indexed="81"/>
            <rFont val="Tahoma"/>
            <family val="2"/>
          </rPr>
          <t>KG51925:</t>
        </r>
        <r>
          <rPr>
            <sz val="8"/>
            <color indexed="81"/>
            <rFont val="Tahoma"/>
            <family val="2"/>
          </rPr>
          <t xml:space="preserve">
FIN 48 penalty and interest accruals hit this line also, in add'n to interest income. Likely need to model flat $0 b/c accrual is roughly offsetting the low int income being generated.</t>
        </r>
      </text>
    </comment>
    <comment ref="CJ74" authorId="6">
      <text>
        <r>
          <rPr>
            <b/>
            <sz val="9"/>
            <color indexed="81"/>
            <rFont val="Tahoma"/>
            <family val="2"/>
          </rPr>
          <t>casselau:</t>
        </r>
        <r>
          <rPr>
            <sz val="9"/>
            <color indexed="81"/>
            <rFont val="Tahoma"/>
            <family val="2"/>
          </rPr>
          <t xml:space="preserve">
8/4/15: guidance $30-35M</t>
        </r>
      </text>
    </comment>
    <comment ref="CN74" authorId="7">
      <text>
        <r>
          <rPr>
            <b/>
            <sz val="9"/>
            <color indexed="81"/>
            <rFont val="Tahoma"/>
            <family val="2"/>
          </rPr>
          <t>Cassel, Lauren (Research):
5/2/17: guidance $20M</t>
        </r>
        <r>
          <rPr>
            <sz val="9"/>
            <color indexed="81"/>
            <rFont val="Tahoma"/>
            <family val="2"/>
          </rPr>
          <t xml:space="preserve">
8/9/16: guidance $25M</t>
        </r>
      </text>
    </comment>
    <comment ref="CR74" authorId="7">
      <text>
        <r>
          <rPr>
            <b/>
            <sz val="9"/>
            <color indexed="81"/>
            <rFont val="Tahoma"/>
            <family val="2"/>
          </rPr>
          <t xml:space="preserve">Cassel, Lauren (Research):
2/6/18: Guidance 75-78M reflecting debt repayment in F3Q
11/7/17: guidance: now expected to be $80-85M
8/15/17: guidance: interest expense ~$90M for the year </t>
        </r>
      </text>
    </comment>
    <comment ref="AZ84" authorId="8">
      <text>
        <r>
          <rPr>
            <b/>
            <sz val="8"/>
            <color indexed="81"/>
            <rFont val="Tahoma"/>
            <family val="2"/>
          </rPr>
          <t>oc48540:</t>
        </r>
        <r>
          <rPr>
            <sz val="8"/>
            <color indexed="81"/>
            <rFont val="Tahoma"/>
            <family val="2"/>
          </rPr>
          <t xml:space="preserve">
Assume "contin" Pre-tax income for first 3Q of $775.5+4Q of $250.2 =$1025.7m</t>
        </r>
      </text>
    </comment>
    <comment ref="BD84" authorId="8">
      <text>
        <r>
          <rPr>
            <b/>
            <sz val="8"/>
            <color indexed="81"/>
            <rFont val="Tahoma"/>
            <family val="2"/>
          </rPr>
          <t>oc48540:</t>
        </r>
        <r>
          <rPr>
            <sz val="8"/>
            <color indexed="81"/>
            <rFont val="Tahoma"/>
            <family val="2"/>
          </rPr>
          <t xml:space="preserve">
</t>
        </r>
      </text>
    </comment>
    <comment ref="BF84" authorId="8">
      <text>
        <r>
          <rPr>
            <b/>
            <sz val="8"/>
            <color indexed="81"/>
            <rFont val="Tahoma"/>
            <family val="2"/>
          </rPr>
          <t>oc48540:</t>
        </r>
        <r>
          <rPr>
            <sz val="8"/>
            <color indexed="81"/>
            <rFont val="Tahoma"/>
            <family val="2"/>
          </rPr>
          <t xml:space="preserve">
3Q07: Expect nearly 25% (based on contin LY of $1025.7)</t>
        </r>
      </text>
    </comment>
    <comment ref="AV90" authorId="0">
      <text>
        <r>
          <rPr>
            <b/>
            <sz val="8"/>
            <color indexed="81"/>
            <rFont val="Tahoma"/>
            <family val="2"/>
          </rPr>
          <t>mm98285:</t>
        </r>
        <r>
          <rPr>
            <sz val="8"/>
            <color indexed="81"/>
            <rFont val="Tahoma"/>
            <family val="2"/>
          </rPr>
          <t xml:space="preserve">
8/07: $57.381 incl discontinued ops
</t>
        </r>
      </text>
    </comment>
    <comment ref="AZ90" authorId="0">
      <text>
        <r>
          <rPr>
            <b/>
            <sz val="8"/>
            <color indexed="81"/>
            <rFont val="Tahoma"/>
            <family val="2"/>
          </rPr>
          <t>mm98285:</t>
        </r>
        <r>
          <rPr>
            <sz val="8"/>
            <color indexed="81"/>
            <rFont val="Tahoma"/>
            <family val="2"/>
          </rPr>
          <t xml:space="preserve">
5/07: $78.639 incl discontinued ops</t>
        </r>
      </text>
    </comment>
    <comment ref="BE90" authorId="0">
      <text>
        <r>
          <rPr>
            <b/>
            <sz val="8"/>
            <color indexed="81"/>
            <rFont val="Tahoma"/>
            <family val="2"/>
          </rPr>
          <t>mm98285:</t>
        </r>
        <r>
          <rPr>
            <sz val="8"/>
            <color indexed="81"/>
            <rFont val="Tahoma"/>
            <family val="2"/>
          </rPr>
          <t xml:space="preserve">
4Q07: guided to 39%</t>
        </r>
      </text>
    </comment>
    <comment ref="BL90" authorId="3">
      <text>
        <r>
          <rPr>
            <b/>
            <sz val="8"/>
            <color indexed="81"/>
            <rFont val="Tahoma"/>
            <family val="2"/>
          </rPr>
          <t>1Q11 10Q</t>
        </r>
        <r>
          <rPr>
            <sz val="8"/>
            <color indexed="81"/>
            <rFont val="Tahoma"/>
            <family val="2"/>
          </rPr>
          <t>: Changed acctng method for uncertainty in income taxes in July 2010. Inc tax provision under new method would have been $84.255M</t>
        </r>
      </text>
    </comment>
    <comment ref="BM90" authorId="0">
      <text>
        <r>
          <rPr>
            <b/>
            <sz val="8"/>
            <color indexed="81"/>
            <rFont val="Tahoma"/>
            <family val="2"/>
          </rPr>
          <t>mm98285:</t>
        </r>
        <r>
          <rPr>
            <sz val="8"/>
            <color indexed="81"/>
            <rFont val="Tahoma"/>
            <family val="2"/>
          </rPr>
          <t xml:space="preserve">
11/09: reorganization of the owenrship of COH's business in Japan</t>
        </r>
      </text>
    </comment>
    <comment ref="BP90" authorId="3">
      <text>
        <r>
          <rPr>
            <b/>
            <sz val="8"/>
            <color indexed="81"/>
            <rFont val="Tahoma"/>
            <family val="2"/>
          </rPr>
          <t>1Q11 10Q:</t>
        </r>
        <r>
          <rPr>
            <sz val="8"/>
            <color indexed="81"/>
            <rFont val="Tahoma"/>
            <family val="2"/>
          </rPr>
          <t xml:space="preserve"> Changed acctng method for uncertainty in income taxes in July 2010. Inc tax provision under prev method would have been $94.132M</t>
        </r>
        <r>
          <rPr>
            <sz val="8"/>
            <color indexed="81"/>
            <rFont val="Tahoma"/>
            <family val="2"/>
          </rPr>
          <t xml:space="preserve">
</t>
        </r>
      </text>
    </comment>
    <comment ref="BU90" authorId="3">
      <text>
        <r>
          <rPr>
            <b/>
            <sz val="8"/>
            <color indexed="81"/>
            <rFont val="Tahoma"/>
            <family val="2"/>
          </rPr>
          <t>lauraro:</t>
        </r>
        <r>
          <rPr>
            <sz val="8"/>
            <color indexed="81"/>
            <rFont val="Tahoma"/>
            <family val="2"/>
          </rPr>
          <t xml:space="preserve">
8/2/11: 33% for the year</t>
        </r>
      </text>
    </comment>
    <comment ref="BY90" authorId="3">
      <text>
        <r>
          <rPr>
            <b/>
            <sz val="8"/>
            <color indexed="81"/>
            <rFont val="Tahoma"/>
            <family val="2"/>
          </rPr>
          <t>lauraro:</t>
        </r>
        <r>
          <rPr>
            <sz val="8"/>
            <color indexed="81"/>
            <rFont val="Tahoma"/>
            <family val="2"/>
          </rPr>
          <t xml:space="preserve">
8/2/11: 33% for the year</t>
        </r>
      </text>
    </comment>
    <comment ref="CF90" authorId="5">
      <text>
        <r>
          <rPr>
            <b/>
            <sz val="9"/>
            <color indexed="81"/>
            <rFont val="Tahoma"/>
            <family val="2"/>
          </rPr>
          <t>Turley, Amber (Research):</t>
        </r>
        <r>
          <rPr>
            <sz val="9"/>
            <color indexed="81"/>
            <rFont val="Tahoma"/>
            <family val="2"/>
          </rPr>
          <t xml:space="preserve">
10/28/14: Charges related to corporate restructuring and related costs, accelerated depreciation charges as a result of store updates and closures and charges related to the destruction of inventory.</t>
        </r>
      </text>
    </comment>
    <comment ref="CS90" authorId="7">
      <text>
        <r>
          <rPr>
            <b/>
            <sz val="9"/>
            <color indexed="81"/>
            <rFont val="Tahoma"/>
            <family val="2"/>
          </rPr>
          <t>Cassel, Lauren (Research):</t>
        </r>
        <r>
          <rPr>
            <sz val="9"/>
            <color indexed="81"/>
            <rFont val="Tahoma"/>
            <family val="2"/>
          </rPr>
          <t xml:space="preserve">
11/7/17: stock compensation accounting change favorable influenced tax impact; This accounting change lowered the
effective tax rate by approximately 5% in the first quarter. Our Q1 tax rate also
benefitted from the geographic mix of earnings.</t>
        </r>
      </text>
    </comment>
    <comment ref="AV91" authorId="0">
      <text>
        <r>
          <rPr>
            <b/>
            <sz val="8"/>
            <color indexed="81"/>
            <rFont val="Tahoma"/>
            <family val="2"/>
          </rPr>
          <t>mm98285:</t>
        </r>
        <r>
          <rPr>
            <sz val="8"/>
            <color indexed="81"/>
            <rFont val="Tahoma"/>
            <family val="2"/>
          </rPr>
          <t xml:space="preserve">
8/07: $106.758 incl discontinued ops
</t>
        </r>
      </text>
    </comment>
    <comment ref="AZ91" authorId="0">
      <text>
        <r>
          <rPr>
            <b/>
            <sz val="8"/>
            <color indexed="81"/>
            <rFont val="Tahoma"/>
            <family val="2"/>
          </rPr>
          <t>mm98285:</t>
        </r>
        <r>
          <rPr>
            <sz val="8"/>
            <color indexed="81"/>
            <rFont val="Tahoma"/>
            <family val="2"/>
          </rPr>
          <t xml:space="preserve">
5/07: $142.402 incl discontinued ops</t>
        </r>
      </text>
    </comment>
    <comment ref="BI91" authorId="0">
      <text>
        <r>
          <rPr>
            <b/>
            <sz val="8"/>
            <color indexed="81"/>
            <rFont val="Tahoma"/>
            <family val="2"/>
          </rPr>
          <t>mm98285:</t>
        </r>
        <r>
          <rPr>
            <sz val="8"/>
            <color indexed="81"/>
            <rFont val="Tahoma"/>
            <family val="2"/>
          </rPr>
          <t xml:space="preserve">
decrease in tax rate due to increase in foreign-source income which is taxed at lower rate</t>
        </r>
      </text>
    </comment>
    <comment ref="BM91" authorId="0">
      <text>
        <r>
          <rPr>
            <b/>
            <sz val="8"/>
            <color indexed="81"/>
            <rFont val="Tahoma"/>
            <family val="2"/>
          </rPr>
          <t>mm98285:</t>
        </r>
        <r>
          <rPr>
            <sz val="8"/>
            <color indexed="81"/>
            <rFont val="Tahoma"/>
            <family val="2"/>
          </rPr>
          <t xml:space="preserve">
decrease in tax rate primarily attributable to reorganization of ownership structure of COH's business in Japan
11/09: expect ~37%</t>
        </r>
      </text>
    </comment>
    <comment ref="BQ91" authorId="3">
      <text>
        <r>
          <rPr>
            <b/>
            <sz val="8"/>
            <color indexed="81"/>
            <rFont val="Tahoma"/>
            <family val="2"/>
          </rPr>
          <t>lauraro:</t>
        </r>
        <r>
          <rPr>
            <sz val="8"/>
            <color indexed="81"/>
            <rFont val="Tahoma"/>
            <family val="2"/>
          </rPr>
          <t xml:space="preserve">
The decrease in the effective tax rate is primarily attributable to higher profitability in lower tax rate jurisdictions in which income is earned, due to the increased globalization of the Company, and a lower effective state tax rate.</t>
        </r>
      </text>
    </comment>
    <comment ref="BT91" authorId="3">
      <text>
        <r>
          <rPr>
            <b/>
            <sz val="8"/>
            <color indexed="81"/>
            <rFont val="Tahoma"/>
            <family val="2"/>
          </rPr>
          <t>lauraro:</t>
        </r>
        <r>
          <rPr>
            <sz val="8"/>
            <color indexed="81"/>
            <rFont val="Tahoma"/>
            <family val="2"/>
          </rPr>
          <t xml:space="preserve">
1/24: Excludes $12.365M one-time tax benefit, offset by charitable donation ($20.27M pre-tax) included in SG&amp;A</t>
        </r>
      </text>
    </comment>
    <comment ref="BU91" authorId="3">
      <text>
        <r>
          <rPr>
            <b/>
            <sz val="8"/>
            <color indexed="81"/>
            <rFont val="Tahoma"/>
            <family val="2"/>
          </rPr>
          <t xml:space="preserve">lauraro:
1/24: </t>
        </r>
        <r>
          <rPr>
            <sz val="8"/>
            <color indexed="81"/>
            <rFont val="Tahoma"/>
            <family val="2"/>
          </rPr>
          <t>32.9% without one-time benefit</t>
        </r>
        <r>
          <rPr>
            <sz val="8"/>
            <color indexed="81"/>
            <rFont val="Tahoma"/>
            <family val="2"/>
          </rPr>
          <t xml:space="preserve">
8/2/11: 33% for the year</t>
        </r>
      </text>
    </comment>
    <comment ref="CJ91" authorId="12">
      <text>
        <r>
          <rPr>
            <b/>
            <sz val="9"/>
            <color indexed="81"/>
            <rFont val="Tahoma"/>
            <family val="2"/>
          </rPr>
          <t>Baglione, Gregory  (Research):</t>
        </r>
        <r>
          <rPr>
            <sz val="9"/>
            <color indexed="81"/>
            <rFont val="Tahoma"/>
            <family val="2"/>
          </rPr>
          <t xml:space="preserve">
1/26/16
Tax adjustment due to Non-Gaap charges ~$5.7M
</t>
        </r>
      </text>
    </comment>
    <comment ref="CS91" authorId="7">
      <text>
        <r>
          <rPr>
            <b/>
            <sz val="9"/>
            <color indexed="81"/>
            <rFont val="Tahoma"/>
            <family val="2"/>
          </rPr>
          <t>Cassel, Lauren (Research):</t>
        </r>
        <r>
          <rPr>
            <sz val="9"/>
            <color indexed="81"/>
            <rFont val="Tahoma"/>
            <family val="2"/>
          </rPr>
          <t xml:space="preserve">
2/6/18: excludes one time charge of $296M from the repatriation of foreign accumulated earnings, partly offset by a  $102M benefit from the re-measurement of of net deferred tax liabilities
Per Andrea, 29%</t>
        </r>
      </text>
    </comment>
    <comment ref="BH92" authorId="0">
      <text>
        <r>
          <rPr>
            <b/>
            <sz val="8"/>
            <color indexed="81"/>
            <rFont val="Tahoma"/>
            <family val="2"/>
          </rPr>
          <t>mm98285:</t>
        </r>
        <r>
          <rPr>
            <sz val="8"/>
            <color indexed="81"/>
            <rFont val="Tahoma"/>
            <family val="2"/>
          </rPr>
          <t xml:space="preserve">
add back $5M given excluding 3 one-time charges of $13M in SG&amp;A ($8M after tax) related to reduction of corp staffing levels in U.S, closure of 4 N.S. retail stores and closure of sample making facility in Italy</t>
        </r>
      </text>
    </comment>
    <comment ref="BI92" authorId="0">
      <text>
        <r>
          <rPr>
            <b/>
            <sz val="8"/>
            <color indexed="81"/>
            <rFont val="Tahoma"/>
            <family val="2"/>
          </rPr>
          <t>mm98285:</t>
        </r>
        <r>
          <rPr>
            <sz val="8"/>
            <color indexed="81"/>
            <rFont val="Tahoma"/>
            <family val="2"/>
          </rPr>
          <t xml:space="preserve">
1/09: expect inline with 2Q</t>
        </r>
      </text>
    </comment>
    <comment ref="BM92" authorId="0">
      <text>
        <r>
          <rPr>
            <b/>
            <sz val="8"/>
            <color indexed="81"/>
            <rFont val="Tahoma"/>
            <family val="2"/>
          </rPr>
          <t>mm98285:</t>
        </r>
        <r>
          <rPr>
            <sz val="8"/>
            <color indexed="81"/>
            <rFont val="Tahoma"/>
            <family val="2"/>
          </rPr>
          <t xml:space="preserve">
11/09: expect ~37%</t>
        </r>
      </text>
    </comment>
    <comment ref="BQ92" authorId="3">
      <text>
        <r>
          <rPr>
            <b/>
            <sz val="8"/>
            <color indexed="81"/>
            <rFont val="Tahoma"/>
            <family val="2"/>
          </rPr>
          <t xml:space="preserve">10Q: </t>
        </r>
        <r>
          <rPr>
            <sz val="8"/>
            <color indexed="81"/>
            <rFont val="Tahoma"/>
            <family val="2"/>
          </rPr>
          <t>The effective tax rate was 26.5% in the third quarter of fiscal 2011 as compared to 37.2% in the third quarter of fiscal 2010. Excluding the benefit from the items affecting comparability, the effective tax rate was 33.25% in the third quarter of fiscal 2011. The decrease in the effective tax rate is primarily attributable to a favorable settlement of a multi-year tax return examination and higher profitability in lower tax rate jurisdictions in which income is earned, due to the increased globalization of the Company, and a lower effective state tax rate.</t>
        </r>
        <r>
          <rPr>
            <b/>
            <sz val="8"/>
            <color indexed="81"/>
            <rFont val="Tahoma"/>
            <family val="2"/>
          </rPr>
          <t xml:space="preserve">
1/11: </t>
        </r>
        <r>
          <rPr>
            <sz val="8"/>
            <color indexed="81"/>
            <rFont val="Tahoma"/>
            <family val="2"/>
          </rPr>
          <t>Tax rate ~same as 1H, 33.25%</t>
        </r>
      </text>
    </comment>
    <comment ref="BU92" authorId="3">
      <text>
        <r>
          <rPr>
            <b/>
            <sz val="8"/>
            <color indexed="81"/>
            <rFont val="Tahoma"/>
            <family val="2"/>
          </rPr>
          <t>lauraro:</t>
        </r>
        <r>
          <rPr>
            <sz val="8"/>
            <color indexed="81"/>
            <rFont val="Tahoma"/>
            <family val="2"/>
          </rPr>
          <t xml:space="preserve">
8/2/11: 33% for the year</t>
        </r>
      </text>
    </comment>
    <comment ref="CK92" authorId="6">
      <text>
        <r>
          <rPr>
            <b/>
            <sz val="9"/>
            <color indexed="81"/>
            <rFont val="Tahoma"/>
            <family val="2"/>
          </rPr>
          <t>casselau:</t>
        </r>
        <r>
          <rPr>
            <sz val="9"/>
            <color indexed="81"/>
            <rFont val="Tahoma"/>
            <family val="2"/>
          </rPr>
          <t xml:space="preserve">
1/26/16: Per andrea use 15% tax rate for 3Q
10/26/15: expect tax rate below 20%
</t>
        </r>
      </text>
    </comment>
    <comment ref="CO92" authorId="7">
      <text>
        <r>
          <rPr>
            <b/>
            <sz val="9"/>
            <color indexed="81"/>
            <rFont val="Tahoma"/>
            <family val="2"/>
          </rPr>
          <t>Cassel, Lauren (Research):</t>
        </r>
        <r>
          <rPr>
            <sz val="9"/>
            <color indexed="81"/>
            <rFont val="Tahoma"/>
            <family val="2"/>
          </rPr>
          <t xml:space="preserve">
1/31/17: significantly lower tax rate forecasted in Q3 versus Q4, consistent with our typical cadence based on the anticipated expiration of statutes in the third quarter.</t>
        </r>
      </text>
    </comment>
    <comment ref="AS93" authorId="0">
      <text>
        <r>
          <rPr>
            <b/>
            <sz val="8"/>
            <color indexed="81"/>
            <rFont val="Tahoma"/>
            <family val="2"/>
          </rPr>
          <t>mm98285:</t>
        </r>
        <r>
          <rPr>
            <sz val="8"/>
            <color indexed="81"/>
            <rFont val="Tahoma"/>
            <family val="2"/>
          </rPr>
          <t xml:space="preserve">
8/06: Coach Japan earnings permanenty reinvested; tax provision relating to the repatriation of those earnings was reversed </t>
        </r>
      </text>
    </comment>
    <comment ref="BH93" authorId="0">
      <text>
        <r>
          <rPr>
            <b/>
            <sz val="8"/>
            <color indexed="81"/>
            <rFont val="Tahoma"/>
            <family val="2"/>
          </rPr>
          <t>mm98285:</t>
        </r>
        <r>
          <rPr>
            <sz val="8"/>
            <color indexed="81"/>
            <rFont val="Tahoma"/>
            <family val="2"/>
          </rPr>
          <t xml:space="preserve">
in 4Q COH recorded unusual items resulting in substantially lower tax rate of 29.5% which consisted of favorable settlement of multi-year tax return examination, which decreased tax provision by $9M as well as certain other tax accounting adjustments (these items also increased net interest income by $2M) - excluded</t>
        </r>
      </text>
    </comment>
    <comment ref="BI93" authorId="0">
      <text>
        <r>
          <rPr>
            <b/>
            <sz val="8"/>
            <color indexed="81"/>
            <rFont val="Tahoma"/>
            <family val="2"/>
          </rPr>
          <t>mm98285:</t>
        </r>
        <r>
          <rPr>
            <sz val="8"/>
            <color indexed="81"/>
            <rFont val="Tahoma"/>
            <family val="2"/>
          </rPr>
          <t xml:space="preserve">
1/09: expect inline with 2Q</t>
        </r>
      </text>
    </comment>
    <comment ref="BM93" authorId="0">
      <text>
        <r>
          <rPr>
            <b/>
            <sz val="8"/>
            <color indexed="81"/>
            <rFont val="Tahoma"/>
            <family val="2"/>
          </rPr>
          <t>mm98285:</t>
        </r>
        <r>
          <rPr>
            <sz val="8"/>
            <color indexed="81"/>
            <rFont val="Tahoma"/>
            <family val="2"/>
          </rPr>
          <t xml:space="preserve">
11/09: expect ~37%</t>
        </r>
      </text>
    </comment>
    <comment ref="BQ93" authorId="3">
      <text>
        <r>
          <rPr>
            <b/>
            <sz val="8"/>
            <color indexed="81"/>
            <rFont val="Tahoma"/>
            <family val="2"/>
          </rPr>
          <t xml:space="preserve">4/26: </t>
        </r>
        <r>
          <rPr>
            <sz val="8"/>
            <color indexed="81"/>
            <rFont val="Tahoma"/>
            <family val="2"/>
          </rPr>
          <t>reit tax same as 1st 9mos ~33.25%</t>
        </r>
        <r>
          <rPr>
            <sz val="8"/>
            <color indexed="81"/>
            <rFont val="Tahoma"/>
            <family val="2"/>
          </rPr>
          <t xml:space="preserve">
Tax rate ~same as 1H, 33.25%</t>
        </r>
      </text>
    </comment>
    <comment ref="BU93" authorId="3">
      <text>
        <r>
          <rPr>
            <b/>
            <sz val="8"/>
            <color indexed="81"/>
            <rFont val="Tahoma"/>
            <family val="2"/>
          </rPr>
          <t>lauraro:</t>
        </r>
        <r>
          <rPr>
            <sz val="8"/>
            <color indexed="81"/>
            <rFont val="Tahoma"/>
            <family val="2"/>
          </rPr>
          <t xml:space="preserve">
4/24/12: 33%
8/2/11: 33% for the year</t>
        </r>
      </text>
    </comment>
    <comment ref="CG93" authorId="6">
      <text>
        <r>
          <rPr>
            <b/>
            <sz val="9"/>
            <color indexed="81"/>
            <rFont val="Tahoma"/>
            <family val="2"/>
          </rPr>
          <t>casselau:</t>
        </r>
        <r>
          <rPr>
            <sz val="9"/>
            <color indexed="81"/>
            <rFont val="Tahoma"/>
            <family val="2"/>
          </rPr>
          <t xml:space="preserve">
4/28/15: there may be some variability in the tax rate in 4Q</t>
        </r>
      </text>
    </comment>
    <comment ref="CK93" authorId="6">
      <text>
        <r>
          <rPr>
            <b/>
            <sz val="9"/>
            <color indexed="81"/>
            <rFont val="Tahoma"/>
            <family val="2"/>
          </rPr>
          <t xml:space="preserve">casselau:
1/26/16: Per Andrea 31% tax rate for 4Q
</t>
        </r>
        <r>
          <rPr>
            <sz val="9"/>
            <color indexed="81"/>
            <rFont val="Tahoma"/>
            <family val="2"/>
          </rPr>
          <t xml:space="preserve">
10/26/15: per Andrea tax rate in the low 30s
</t>
        </r>
      </text>
    </comment>
    <comment ref="BA94" authorId="0">
      <text>
        <r>
          <rPr>
            <b/>
            <sz val="8"/>
            <color indexed="81"/>
            <rFont val="Tahoma"/>
            <family val="2"/>
          </rPr>
          <t xml:space="preserve">mm98285:
</t>
        </r>
        <r>
          <rPr>
            <sz val="8"/>
            <color indexed="81"/>
            <rFont val="Tahoma"/>
            <family val="2"/>
          </rPr>
          <t>3Q07: Expect 38.5%</t>
        </r>
        <r>
          <rPr>
            <sz val="8"/>
            <color indexed="81"/>
            <rFont val="Tahoma"/>
            <family val="2"/>
          </rPr>
          <t xml:space="preserve">
8/06: expect tax rate of 38.5% for year (incremental taxable income being taxed at higher rates)</t>
        </r>
      </text>
    </comment>
    <comment ref="BE94" authorId="8">
      <text>
        <r>
          <rPr>
            <b/>
            <sz val="8"/>
            <color indexed="81"/>
            <rFont val="Tahoma"/>
            <family val="2"/>
          </rPr>
          <t>oc48540:</t>
        </r>
        <r>
          <rPr>
            <sz val="8"/>
            <color indexed="81"/>
            <rFont val="Tahoma"/>
            <family val="2"/>
          </rPr>
          <t xml:space="preserve">
3Q07: Expect higher tax rate rising to about 39% due to incremental taxable income taxed at higher rates</t>
        </r>
      </text>
    </comment>
    <comment ref="BI94" authorId="0">
      <text>
        <r>
          <rPr>
            <b/>
            <sz val="8"/>
            <color indexed="81"/>
            <rFont val="Tahoma"/>
            <family val="2"/>
          </rPr>
          <t>mm98285:</t>
        </r>
        <r>
          <rPr>
            <sz val="8"/>
            <color indexed="81"/>
            <rFont val="Tahoma"/>
            <family val="2"/>
          </rPr>
          <t xml:space="preserve">
7/08: expect 38.25%</t>
        </r>
      </text>
    </comment>
    <comment ref="BQ94" authorId="3">
      <text>
        <r>
          <rPr>
            <b/>
            <sz val="8"/>
            <color indexed="81"/>
            <rFont val="Tahoma"/>
            <family val="2"/>
          </rPr>
          <t>lauraro:</t>
        </r>
        <r>
          <rPr>
            <sz val="8"/>
            <color indexed="81"/>
            <rFont val="Tahoma"/>
            <family val="2"/>
          </rPr>
          <t xml:space="preserve">
8/10: tax rate is likely to be in the area of 35% </t>
        </r>
      </text>
    </comment>
    <comment ref="BU94" authorId="3">
      <text>
        <r>
          <rPr>
            <b/>
            <sz val="8"/>
            <color indexed="81"/>
            <rFont val="Tahoma"/>
            <family val="2"/>
          </rPr>
          <t>lauraro:</t>
        </r>
        <r>
          <rPr>
            <sz val="8"/>
            <color indexed="81"/>
            <rFont val="Tahoma"/>
            <family val="2"/>
          </rPr>
          <t xml:space="preserve">
8/2/11: 33% for the year</t>
        </r>
      </text>
    </comment>
    <comment ref="BY94" authorId="4">
      <text>
        <r>
          <rPr>
            <sz val="8"/>
            <color indexed="81"/>
            <rFont val="Tahoma"/>
            <family val="2"/>
          </rPr>
          <t xml:space="preserve">4/23/13: lower rate due to intl mix shift; expect 32.5%
7/31/12: 33%
</t>
        </r>
        <r>
          <rPr>
            <b/>
            <sz val="8"/>
            <color indexed="81"/>
            <rFont val="Tahoma"/>
            <family val="2"/>
          </rPr>
          <t xml:space="preserve">antons:
</t>
        </r>
        <r>
          <rPr>
            <sz val="8"/>
            <color indexed="81"/>
            <rFont val="Tahoma"/>
            <family val="2"/>
          </rPr>
          <t>From 2Q13 Conf. call - CFO, Expect ~33% FY13 tax rate. "our tax rate is likely to be in the area of 33% for the year, as
we continue to further refine our international tax strategy."</t>
        </r>
      </text>
    </comment>
    <comment ref="CC94" authorId="4">
      <text>
        <r>
          <rPr>
            <sz val="8"/>
            <color indexed="81"/>
            <rFont val="Tahoma"/>
            <family val="2"/>
          </rPr>
          <t xml:space="preserve">4/29/14: guidance ~30% for FY. Benefitting from certain discreet items as well as favorable geographic mix. 
1/22/14: </t>
        </r>
        <r>
          <rPr>
            <b/>
            <sz val="8"/>
            <color indexed="81"/>
            <rFont val="Tahoma"/>
            <family val="2"/>
          </rPr>
          <t>guidance 32% for FY</t>
        </r>
        <r>
          <rPr>
            <sz val="8"/>
            <color indexed="81"/>
            <rFont val="Tahoma"/>
            <family val="2"/>
          </rPr>
          <t xml:space="preserve">
10/22/13: "tax rate is expected to be around 32% for the year"
7/30/2013 CFO - "our tax rate is expected to be in the area of 33% for the year."  </t>
        </r>
      </text>
    </comment>
    <comment ref="CG94" authorId="5">
      <text>
        <r>
          <rPr>
            <b/>
            <sz val="9"/>
            <color indexed="81"/>
            <rFont val="Tahoma"/>
            <family val="2"/>
          </rPr>
          <t xml:space="preserve">Turley, Amber (Research):
</t>
        </r>
        <r>
          <rPr>
            <sz val="9"/>
            <color indexed="81"/>
            <rFont val="Tahoma"/>
            <family val="2"/>
          </rPr>
          <t>1/29/15: Guidance ~32%
10/28/14: ~32% tax rate. Do not expect to anniversary some of the one time tax benefits generated in 2H14
8/5/14: 32% tax rate since COH will not benefit from certain tax deductions achieved LY</t>
        </r>
      </text>
    </comment>
    <comment ref="CK94" authorId="6">
      <text>
        <r>
          <rPr>
            <b/>
            <sz val="9"/>
            <color indexed="81"/>
            <rFont val="Tahoma"/>
            <family val="2"/>
          </rPr>
          <t xml:space="preserve">casselau:
1/26/16: FY Tax rate ~28%
</t>
        </r>
        <r>
          <rPr>
            <sz val="9"/>
            <color indexed="81"/>
            <rFont val="Tahoma"/>
            <family val="2"/>
          </rPr>
          <t xml:space="preserve">
8/4/15: guidance 28%; expect our rate to be lower in fiscal year 2016 primarily attributable to the geographic mix of earnings, the anticipated closure of certain audits, the expiration of statutes in fiscal year 2016 and the ongoing benefit of available foreign tax credits.
</t>
        </r>
      </text>
    </comment>
    <comment ref="CO94" authorId="7">
      <text>
        <r>
          <rPr>
            <b/>
            <sz val="9"/>
            <color indexed="81"/>
            <rFont val="Tahoma"/>
            <family val="2"/>
          </rPr>
          <t>Cassel, Lauren (Research):
1/31/17: guidance 26%</t>
        </r>
        <r>
          <rPr>
            <sz val="9"/>
            <color indexed="81"/>
            <rFont val="Tahoma"/>
            <family val="2"/>
          </rPr>
          <t xml:space="preserve">
8/9/16: guidance 28%</t>
        </r>
      </text>
    </comment>
    <comment ref="CS94" authorId="7">
      <text>
        <r>
          <rPr>
            <b/>
            <sz val="9"/>
            <color indexed="81"/>
            <rFont val="Tahoma"/>
            <family val="2"/>
          </rPr>
          <t>Cassel, Lauren (Research):</t>
        </r>
        <r>
          <rPr>
            <sz val="9"/>
            <color indexed="81"/>
            <rFont val="Tahoma"/>
            <family val="2"/>
          </rPr>
          <t xml:space="preserve">
2/6/18: Guidance 19.5-21% relfecting lower US federal corporate tax rate
8/15/17: guidance: 25-26% tax rate for the year</t>
        </r>
      </text>
    </comment>
    <comment ref="CF124" authorId="6">
      <text>
        <r>
          <rPr>
            <b/>
            <sz val="9"/>
            <color indexed="81"/>
            <rFont val="Tahoma"/>
            <family val="2"/>
          </rPr>
          <t>casselau:</t>
        </r>
        <r>
          <rPr>
            <sz val="9"/>
            <color indexed="81"/>
            <rFont val="Tahoma"/>
            <family val="2"/>
          </rPr>
          <t xml:space="preserve">
8/4/15: Stuart Weitzman contributed $2M of Net Income</t>
        </r>
      </text>
    </comment>
    <comment ref="AR141" authorId="0">
      <text>
        <r>
          <rPr>
            <b/>
            <sz val="8"/>
            <color indexed="81"/>
            <rFont val="Tahoma"/>
            <family val="2"/>
          </rPr>
          <t>mm98285:</t>
        </r>
        <r>
          <rPr>
            <sz val="8"/>
            <color indexed="81"/>
            <rFont val="Tahoma"/>
            <family val="2"/>
          </rPr>
          <t xml:space="preserve">
9/07: includes discon't ops of $0.01 (corp accounts bus.)</t>
        </r>
      </text>
    </comment>
    <comment ref="AV141" authorId="8">
      <text>
        <r>
          <rPr>
            <b/>
            <sz val="8"/>
            <color indexed="81"/>
            <rFont val="Tahoma"/>
            <family val="2"/>
          </rPr>
          <t>oc48540:</t>
        </r>
        <r>
          <rPr>
            <sz val="8"/>
            <color indexed="81"/>
            <rFont val="Tahoma"/>
            <family val="2"/>
          </rPr>
          <t xml:space="preserve">
Includes income from discontinued operations: i.e. CA business = $0.015 in 1Q06</t>
        </r>
      </text>
    </comment>
    <comment ref="AZ141" authorId="1">
      <text>
        <r>
          <rPr>
            <b/>
            <sz val="8"/>
            <color indexed="81"/>
            <rFont val="Tahoma"/>
            <family val="2"/>
          </rPr>
          <t>LM37689:</t>
        </r>
        <r>
          <rPr>
            <sz val="8"/>
            <color indexed="81"/>
            <rFont val="Tahoma"/>
            <family val="2"/>
          </rPr>
          <t xml:space="preserve">
4/07: $0.34 incl. discon'td ops
8/0/061 conference call: projected to be $0.30</t>
        </r>
      </text>
    </comment>
    <comment ref="BD141" authorId="0">
      <text>
        <r>
          <rPr>
            <b/>
            <sz val="8"/>
            <color indexed="81"/>
            <rFont val="Tahoma"/>
            <family val="2"/>
          </rPr>
          <t>mm98285:</t>
        </r>
        <r>
          <rPr>
            <sz val="8"/>
            <color indexed="81"/>
            <rFont val="Tahoma"/>
            <family val="2"/>
          </rPr>
          <t xml:space="preserve">
4Q07; guide to $0.39 vs. cons of $0.38</t>
        </r>
      </text>
    </comment>
    <comment ref="BH141" authorId="0">
      <text>
        <r>
          <rPr>
            <b/>
            <sz val="8"/>
            <color indexed="81"/>
            <rFont val="Tahoma"/>
            <family val="2"/>
          </rPr>
          <t>mm98285:</t>
        </r>
        <r>
          <rPr>
            <sz val="8"/>
            <color indexed="81"/>
            <rFont val="Tahoma"/>
            <family val="2"/>
          </rPr>
          <t xml:space="preserve">
7/29/08: guided to $0.44</t>
        </r>
      </text>
    </comment>
    <comment ref="BP141" authorId="3">
      <text>
        <r>
          <rPr>
            <b/>
            <sz val="8"/>
            <color indexed="81"/>
            <rFont val="Tahoma"/>
            <family val="2"/>
          </rPr>
          <t>lauraro:</t>
        </r>
        <r>
          <rPr>
            <sz val="8"/>
            <color indexed="81"/>
            <rFont val="Tahoma"/>
            <family val="2"/>
          </rPr>
          <t xml:space="preserve">
10/15: Consensus $0.55
10/13: Consensus $0.55</t>
        </r>
      </text>
    </comment>
    <comment ref="BT141" authorId="3">
      <text>
        <r>
          <rPr>
            <b/>
            <sz val="8"/>
            <color indexed="81"/>
            <rFont val="Tahoma"/>
            <family val="2"/>
          </rPr>
          <t>lauraro:</t>
        </r>
        <r>
          <rPr>
            <sz val="8"/>
            <color indexed="81"/>
            <rFont val="Tahoma"/>
            <family val="2"/>
          </rPr>
          <t xml:space="preserve">
10/25: cons 70c
8/2/11: Consensus $0.69
we feel comfortable at 70c</t>
        </r>
      </text>
    </comment>
    <comment ref="BU141" authorId="3">
      <text>
        <r>
          <rPr>
            <b/>
            <sz val="8"/>
            <color indexed="81"/>
            <rFont val="Tahoma"/>
            <family val="2"/>
          </rPr>
          <t>lauraro:</t>
        </r>
        <r>
          <rPr>
            <sz val="8"/>
            <color indexed="81"/>
            <rFont val="Tahoma"/>
            <family val="2"/>
          </rPr>
          <t xml:space="preserve">
8/2/11: +DD EPS growth (greater than Sales for the year)</t>
        </r>
      </text>
    </comment>
    <comment ref="CJ141" authorId="6">
      <text>
        <r>
          <rPr>
            <b/>
            <sz val="9"/>
            <color indexed="81"/>
            <rFont val="Tahoma"/>
            <family val="2"/>
          </rPr>
          <t>casselau:</t>
        </r>
        <r>
          <rPr>
            <sz val="9"/>
            <color indexed="81"/>
            <rFont val="Tahoma"/>
            <family val="2"/>
          </rPr>
          <t xml:space="preserve">
10/26/15: includes 4c from SW
During the first quarter of FY16, the company recorded charges of $13 million under its multi-year transformation plan. These charges consisted primarily of organizational efficiency costs and accelerated depreciation for stores renovations. In addition, the company recorded costs of approximately $11 million associated with the acquisition of Stuart Weitzman (which primarily includes the impact of limited life purchase accounting and contingent payments). These actions taken together increased the company’s SG&amp;A expenses by about $23 million and cost of sales by about $1 million, negatively impacting net income by $17 million after tax or about $0.06 per diluted share in the first quarter. </t>
        </r>
      </text>
    </comment>
    <comment ref="CN141" authorId="7">
      <text>
        <r>
          <rPr>
            <b/>
            <sz val="9"/>
            <color indexed="81"/>
            <rFont val="Tahoma"/>
            <family val="2"/>
          </rPr>
          <t>Cassel, Lauren (Research):</t>
        </r>
        <r>
          <rPr>
            <sz val="9"/>
            <color indexed="81"/>
            <rFont val="Tahoma"/>
            <family val="2"/>
          </rPr>
          <t xml:space="preserve">
11/1/16: GAAP EPS 42c</t>
        </r>
      </text>
    </comment>
    <comment ref="AR142" authorId="0">
      <text>
        <r>
          <rPr>
            <b/>
            <sz val="8"/>
            <color indexed="81"/>
            <rFont val="Tahoma"/>
            <family val="2"/>
          </rPr>
          <t>mm98285:</t>
        </r>
        <r>
          <rPr>
            <sz val="8"/>
            <color indexed="81"/>
            <rFont val="Tahoma"/>
            <family val="2"/>
          </rPr>
          <t xml:space="preserve">
9/07: includes discon't ops of $0.02 (corp accounts bus.)</t>
        </r>
      </text>
    </comment>
    <comment ref="AV142" authorId="8">
      <text>
        <r>
          <rPr>
            <b/>
            <sz val="8"/>
            <color indexed="81"/>
            <rFont val="Tahoma"/>
            <family val="2"/>
          </rPr>
          <t>oc48540:</t>
        </r>
        <r>
          <rPr>
            <sz val="8"/>
            <color indexed="81"/>
            <rFont val="Tahoma"/>
            <family val="2"/>
          </rPr>
          <t xml:space="preserve">
Includes income from discontinued operations: i.e. CA business = $0.032 in 2Q06</t>
        </r>
      </text>
    </comment>
    <comment ref="AZ142" authorId="0">
      <text>
        <r>
          <rPr>
            <b/>
            <sz val="8"/>
            <color indexed="81"/>
            <rFont val="Tahoma"/>
            <family val="2"/>
          </rPr>
          <t>mm98285:</t>
        </r>
        <r>
          <rPr>
            <sz val="8"/>
            <color indexed="81"/>
            <rFont val="Tahoma"/>
            <family val="2"/>
          </rPr>
          <t xml:space="preserve">
4/07: $0.61 incl discon'td ops
10/24: guided to $0.56</t>
        </r>
      </text>
    </comment>
    <comment ref="BD142" authorId="0">
      <text>
        <r>
          <rPr>
            <b/>
            <sz val="8"/>
            <color indexed="81"/>
            <rFont val="Tahoma"/>
            <family val="2"/>
          </rPr>
          <t>mm98285:</t>
        </r>
        <r>
          <rPr>
            <sz val="8"/>
            <color indexed="81"/>
            <rFont val="Tahoma"/>
            <family val="2"/>
          </rPr>
          <t xml:space="preserve">
10/07: guided to $0.68</t>
        </r>
      </text>
    </comment>
    <comment ref="BH142" authorId="0">
      <text>
        <r>
          <rPr>
            <b/>
            <sz val="8"/>
            <color indexed="81"/>
            <rFont val="Tahoma"/>
            <family val="2"/>
          </rPr>
          <t>mm98285:</t>
        </r>
        <r>
          <rPr>
            <sz val="8"/>
            <color indexed="81"/>
            <rFont val="Tahoma"/>
            <family val="2"/>
          </rPr>
          <t xml:space="preserve">
1/09: expect ~$0.67
10/21/08: guided to $0.77</t>
        </r>
      </text>
    </comment>
    <comment ref="BP142" authorId="3">
      <text>
        <r>
          <rPr>
            <b/>
            <sz val="8"/>
            <color indexed="81"/>
            <rFont val="Tahoma"/>
            <family val="2"/>
          </rPr>
          <t>lauraro:</t>
        </r>
        <r>
          <rPr>
            <sz val="8"/>
            <color indexed="81"/>
            <rFont val="Tahoma"/>
            <family val="2"/>
          </rPr>
          <t xml:space="preserve">
1/25/11: Con 97c
10/15: Consensus $0.91
10/13: Consensus $0.91</t>
        </r>
      </text>
    </comment>
    <comment ref="BT142" authorId="3">
      <text>
        <r>
          <rPr>
            <b/>
            <sz val="8"/>
            <color indexed="81"/>
            <rFont val="Tahoma"/>
            <family val="2"/>
          </rPr>
          <t>lauraro:
1/20: cons $1.15</t>
        </r>
        <r>
          <rPr>
            <sz val="8"/>
            <color indexed="81"/>
            <rFont val="Tahoma"/>
            <family val="2"/>
          </rPr>
          <t xml:space="preserve">
10/13: Consensus $1.01</t>
        </r>
      </text>
    </comment>
    <comment ref="BU142" authorId="3">
      <text>
        <r>
          <rPr>
            <b/>
            <sz val="8"/>
            <color indexed="81"/>
            <rFont val="Tahoma"/>
            <family val="2"/>
          </rPr>
          <t>lauraro:</t>
        </r>
        <r>
          <rPr>
            <sz val="8"/>
            <color indexed="81"/>
            <rFont val="Tahoma"/>
            <family val="2"/>
          </rPr>
          <t xml:space="preserve">
8/2/11: +DD EPS growth (greater than Sales for the year)</t>
        </r>
      </text>
    </comment>
    <comment ref="CF142" authorId="5">
      <text>
        <r>
          <rPr>
            <b/>
            <sz val="9"/>
            <color indexed="81"/>
            <rFont val="Tahoma"/>
            <family val="2"/>
          </rPr>
          <t>Turley, Amber (Research):</t>
        </r>
        <r>
          <rPr>
            <sz val="9"/>
            <color indexed="81"/>
            <rFont val="Tahoma"/>
            <family val="2"/>
          </rPr>
          <t xml:space="preserve">
1/29/15: These charges consisted
primarily of accelerated depreciation for renovations, lease termination costs
related to store closures and organizational efficiency costs. These actions
increased the company`s SG&amp;A expenses by $19 million and cost of sales by $1
million, negatively impacting net income by $14 million after tax or $0.05 per
diluted share in the second quarter. In addition, the company recorded costs of
$4 million associated with the pending acquisition of Stuart Weitzman which
impacted net income by $2 million after tax or $0.01 per diluted share</t>
        </r>
      </text>
    </comment>
    <comment ref="CJ142" authorId="6">
      <text>
        <r>
          <rPr>
            <b/>
            <sz val="9"/>
            <color indexed="81"/>
            <rFont val="Tahoma"/>
            <family val="2"/>
          </rPr>
          <t>casselau:
1/26/16: 5c from Stuart Weitzman</t>
        </r>
      </text>
    </comment>
    <comment ref="AR143" authorId="0">
      <text>
        <r>
          <rPr>
            <b/>
            <sz val="8"/>
            <color indexed="81"/>
            <rFont val="Tahoma"/>
            <family val="2"/>
          </rPr>
          <t>mm98285:</t>
        </r>
        <r>
          <rPr>
            <sz val="8"/>
            <color indexed="81"/>
            <rFont val="Tahoma"/>
            <family val="2"/>
          </rPr>
          <t xml:space="preserve">
9/07: includes discon't ops of $0.01 (corp accounts bus.)</t>
        </r>
      </text>
    </comment>
    <comment ref="AV143" authorId="8">
      <text>
        <r>
          <rPr>
            <b/>
            <sz val="8"/>
            <color indexed="81"/>
            <rFont val="Tahoma"/>
            <family val="2"/>
          </rPr>
          <t>oc48540:</t>
        </r>
        <r>
          <rPr>
            <sz val="8"/>
            <color indexed="81"/>
            <rFont val="Tahoma"/>
            <family val="2"/>
          </rPr>
          <t xml:space="preserve">
excludes income from discontinued operations: i.e. CA business = $0.018 in 3Q06</t>
        </r>
      </text>
    </comment>
    <comment ref="AZ143" authorId="0">
      <text>
        <r>
          <rPr>
            <b/>
            <sz val="8"/>
            <color indexed="81"/>
            <rFont val="Tahoma"/>
            <family val="2"/>
          </rPr>
          <t>mm98285:</t>
        </r>
        <r>
          <rPr>
            <sz val="8"/>
            <color indexed="81"/>
            <rFont val="Tahoma"/>
            <family val="2"/>
          </rPr>
          <t xml:space="preserve">
4/07: EPS of $0.40 including discon'td ops (1c)
1/07: 2H EPS: $0.77</t>
        </r>
      </text>
    </comment>
    <comment ref="BH143" authorId="0">
      <text>
        <r>
          <rPr>
            <b/>
            <sz val="8"/>
            <color indexed="81"/>
            <rFont val="Tahoma"/>
            <family val="2"/>
          </rPr>
          <t>mm98285:</t>
        </r>
        <r>
          <rPr>
            <sz val="8"/>
            <color indexed="81"/>
            <rFont val="Tahoma"/>
            <family val="2"/>
          </rPr>
          <t xml:space="preserve">
excludes $0.026 one-time charge related to cost reduction measures</t>
        </r>
      </text>
    </comment>
    <comment ref="BP143" authorId="3">
      <text>
        <r>
          <rPr>
            <b/>
            <sz val="8"/>
            <color indexed="81"/>
            <rFont val="Tahoma"/>
            <family val="2"/>
          </rPr>
          <t>lauraro:</t>
        </r>
        <r>
          <rPr>
            <sz val="8"/>
            <color indexed="81"/>
            <rFont val="Tahoma"/>
            <family val="2"/>
          </rPr>
          <t xml:space="preserve">
4/26: cons 60c
10/15: Consensus $0.56
10/13: Consensus $0.56</t>
        </r>
      </text>
    </comment>
    <comment ref="BT143" authorId="3">
      <text>
        <r>
          <rPr>
            <b/>
            <sz val="8"/>
            <color indexed="81"/>
            <rFont val="Tahoma"/>
            <family val="2"/>
          </rPr>
          <t>lauraro:</t>
        </r>
        <r>
          <rPr>
            <sz val="8"/>
            <color indexed="81"/>
            <rFont val="Tahoma"/>
            <family val="2"/>
          </rPr>
          <t xml:space="preserve">
10/13: Consensus $0.64</t>
        </r>
      </text>
    </comment>
    <comment ref="BU143" authorId="3">
      <text>
        <r>
          <rPr>
            <b/>
            <sz val="8"/>
            <color indexed="81"/>
            <rFont val="Tahoma"/>
            <family val="2"/>
          </rPr>
          <t>lauraro:</t>
        </r>
        <r>
          <rPr>
            <sz val="8"/>
            <color indexed="81"/>
            <rFont val="Tahoma"/>
            <family val="2"/>
          </rPr>
          <t xml:space="preserve">
8/2/11: +DD EPS growth (greater than Sales for the year)</t>
        </r>
      </text>
    </comment>
    <comment ref="CJ143" authorId="6">
      <text>
        <r>
          <rPr>
            <b/>
            <sz val="9"/>
            <color indexed="81"/>
            <rFont val="Tahoma"/>
            <family val="2"/>
          </rPr>
          <t>casselau:
4/26/16: SW contributed 2c</t>
        </r>
        <r>
          <rPr>
            <sz val="9"/>
            <color indexed="81"/>
            <rFont val="Tahoma"/>
            <family val="2"/>
          </rPr>
          <t xml:space="preserve">
assume 3c from SW</t>
        </r>
      </text>
    </comment>
    <comment ref="AR144" authorId="0">
      <text>
        <r>
          <rPr>
            <b/>
            <sz val="8"/>
            <color indexed="81"/>
            <rFont val="Tahoma"/>
            <family val="2"/>
          </rPr>
          <t>mm98285:</t>
        </r>
        <r>
          <rPr>
            <sz val="8"/>
            <color indexed="81"/>
            <rFont val="Tahoma"/>
            <family val="2"/>
          </rPr>
          <t xml:space="preserve">
9/07: includes discon't ops of $0.01 (corp accounts bus.)</t>
        </r>
      </text>
    </comment>
    <comment ref="AV144" authorId="8">
      <text>
        <r>
          <rPr>
            <b/>
            <sz val="8"/>
            <color indexed="81"/>
            <rFont val="Tahoma"/>
            <family val="2"/>
          </rPr>
          <t>oc48540:</t>
        </r>
        <r>
          <rPr>
            <sz val="8"/>
            <color indexed="81"/>
            <rFont val="Tahoma"/>
            <family val="2"/>
          </rPr>
          <t xml:space="preserve">
excludes income from discontinued operations: i.e. CA business = $0.013 in 4Q06</t>
        </r>
      </text>
    </comment>
    <comment ref="AZ144" authorId="0">
      <text>
        <r>
          <rPr>
            <b/>
            <sz val="8"/>
            <color indexed="81"/>
            <rFont val="Tahoma"/>
            <family val="2"/>
          </rPr>
          <t xml:space="preserve">mm98285:
</t>
        </r>
        <r>
          <rPr>
            <sz val="8"/>
            <color indexed="81"/>
            <rFont val="Tahoma"/>
            <family val="2"/>
          </rPr>
          <t xml:space="preserve">3Q07: guided to $0.40 excl discon'td ops
</t>
        </r>
        <r>
          <rPr>
            <sz val="8"/>
            <color indexed="81"/>
            <rFont val="Tahoma"/>
            <family val="2"/>
          </rPr>
          <t xml:space="preserve">
1/07: 2H EPS: $0.77</t>
        </r>
      </text>
    </comment>
    <comment ref="BD144" authorId="0">
      <text>
        <r>
          <rPr>
            <b/>
            <sz val="8"/>
            <color indexed="81"/>
            <rFont val="Tahoma"/>
            <family val="2"/>
          </rPr>
          <t>mm98285:</t>
        </r>
        <r>
          <rPr>
            <sz val="8"/>
            <color indexed="81"/>
            <rFont val="Tahoma"/>
            <family val="2"/>
          </rPr>
          <t xml:space="preserve">
4/08: expect $0.50</t>
        </r>
      </text>
    </comment>
    <comment ref="BL144" authorId="3">
      <text>
        <r>
          <rPr>
            <b/>
            <sz val="8"/>
            <color indexed="81"/>
            <rFont val="Tahoma"/>
            <family val="2"/>
          </rPr>
          <t>lauraro:</t>
        </r>
        <r>
          <rPr>
            <sz val="8"/>
            <color indexed="81"/>
            <rFont val="Tahoma"/>
            <family val="2"/>
          </rPr>
          <t xml:space="preserve">
8/10: Excluding extra week, 52-53c, 23% growth (off LY's 45c reported eps)</t>
        </r>
      </text>
    </comment>
    <comment ref="BM144" authorId="0">
      <text>
        <r>
          <rPr>
            <b/>
            <sz val="8"/>
            <color indexed="81"/>
            <rFont val="Tahoma"/>
            <family val="2"/>
          </rPr>
          <t xml:space="preserve">8/10: </t>
        </r>
        <r>
          <rPr>
            <sz val="8"/>
            <color indexed="81"/>
            <rFont val="Tahoma"/>
            <family val="2"/>
          </rPr>
          <t>EPS +23% excluding the extra week  (off LY's 45c reported eps)</t>
        </r>
        <r>
          <rPr>
            <b/>
            <sz val="8"/>
            <color indexed="81"/>
            <rFont val="Tahoma"/>
            <family val="2"/>
          </rPr>
          <t xml:space="preserve">
mm98285:</t>
        </r>
        <r>
          <rPr>
            <sz val="8"/>
            <color indexed="81"/>
            <rFont val="Tahoma"/>
            <family val="2"/>
          </rPr>
          <t xml:space="preserve">
get extra week in this quarter</t>
        </r>
      </text>
    </comment>
    <comment ref="BP144" authorId="3">
      <text>
        <r>
          <rPr>
            <b/>
            <sz val="8"/>
            <color indexed="81"/>
            <rFont val="Tahoma"/>
            <family val="2"/>
          </rPr>
          <t>lauraro:</t>
        </r>
        <r>
          <rPr>
            <sz val="8"/>
            <color indexed="81"/>
            <rFont val="Tahoma"/>
            <family val="2"/>
          </rPr>
          <t xml:space="preserve">
8/2: cons 65c
10/15: Consensus $0.63
10/13: Consensus $0.63</t>
        </r>
      </text>
    </comment>
    <comment ref="BQ144" authorId="3">
      <text>
        <r>
          <rPr>
            <b/>
            <sz val="8"/>
            <color indexed="81"/>
            <rFont val="Tahoma"/>
            <family val="2"/>
          </rPr>
          <t xml:space="preserve">4/26: </t>
        </r>
        <r>
          <rPr>
            <sz val="8"/>
            <color indexed="81"/>
            <rFont val="Tahoma"/>
            <family val="2"/>
          </rPr>
          <t>+15% ex extra week LY</t>
        </r>
        <r>
          <rPr>
            <sz val="8"/>
            <color indexed="81"/>
            <rFont val="Tahoma"/>
            <family val="2"/>
          </rPr>
          <t xml:space="preserve">
</t>
        </r>
        <r>
          <rPr>
            <b/>
            <sz val="8"/>
            <color indexed="81"/>
            <rFont val="Tahoma"/>
            <family val="2"/>
          </rPr>
          <t>8/10:</t>
        </r>
        <r>
          <rPr>
            <sz val="8"/>
            <color indexed="81"/>
            <rFont val="Tahoma"/>
            <family val="2"/>
          </rPr>
          <t xml:space="preserve"> FY10 +23% excluding the extra week (52-53c)</t>
        </r>
      </text>
    </comment>
    <comment ref="BT144" authorId="3">
      <text>
        <r>
          <rPr>
            <b/>
            <sz val="8"/>
            <color indexed="81"/>
            <rFont val="Tahoma"/>
            <family val="2"/>
          </rPr>
          <t>lauraro:</t>
        </r>
        <r>
          <rPr>
            <sz val="8"/>
            <color indexed="81"/>
            <rFont val="Tahoma"/>
            <family val="2"/>
          </rPr>
          <t xml:space="preserve">
10/13: Consensus $0.73</t>
        </r>
      </text>
    </comment>
    <comment ref="BU144" authorId="3">
      <text>
        <r>
          <rPr>
            <b/>
            <sz val="8"/>
            <color indexed="81"/>
            <rFont val="Tahoma"/>
            <family val="2"/>
          </rPr>
          <t>lauraro:</t>
        </r>
        <r>
          <rPr>
            <sz val="8"/>
            <color indexed="81"/>
            <rFont val="Tahoma"/>
            <family val="2"/>
          </rPr>
          <t xml:space="preserve">
8/2/11: +DD EPS growth (greater than Sales for the year)</t>
        </r>
      </text>
    </comment>
    <comment ref="CF144" authorId="6">
      <text>
        <r>
          <rPr>
            <b/>
            <sz val="9"/>
            <color indexed="81"/>
            <rFont val="Tahoma"/>
            <family val="2"/>
          </rPr>
          <t>casselau:</t>
        </r>
        <r>
          <rPr>
            <sz val="9"/>
            <color indexed="81"/>
            <rFont val="Tahoma"/>
            <family val="2"/>
          </rPr>
          <t xml:space="preserve">
8/4/15: Stuart Weitzman contributed 1c</t>
        </r>
      </text>
    </comment>
    <comment ref="CJ144" authorId="6">
      <text>
        <r>
          <rPr>
            <b/>
            <sz val="9"/>
            <color indexed="81"/>
            <rFont val="Tahoma"/>
            <family val="2"/>
          </rPr>
          <t>casselau:
8/9/16: 53rd week added 7c</t>
        </r>
        <r>
          <rPr>
            <sz val="9"/>
            <color indexed="81"/>
            <rFont val="Tahoma"/>
            <family val="2"/>
          </rPr>
          <t xml:space="preserve">
53rd week will add 6c</t>
        </r>
      </text>
    </comment>
    <comment ref="AV145" authorId="8">
      <text>
        <r>
          <rPr>
            <b/>
            <sz val="8"/>
            <color indexed="81"/>
            <rFont val="Tahoma"/>
            <family val="2"/>
          </rPr>
          <t>oc48540:</t>
        </r>
        <r>
          <rPr>
            <sz val="8"/>
            <color indexed="81"/>
            <rFont val="Tahoma"/>
            <family val="2"/>
          </rPr>
          <t xml:space="preserve">
Incl income from discontn'd ops: i.e. CA business = $0.078 in 2006 (EPS of $1.19 excl discon'td ops)</t>
        </r>
      </text>
    </comment>
    <comment ref="AZ145" authorId="1">
      <text>
        <r>
          <rPr>
            <b/>
            <sz val="8"/>
            <color indexed="81"/>
            <rFont val="Tahoma"/>
            <family val="2"/>
          </rPr>
          <t xml:space="preserve">LM37689:
</t>
        </r>
        <r>
          <rPr>
            <sz val="8"/>
            <color indexed="81"/>
            <rFont val="Tahoma"/>
            <family val="2"/>
          </rPr>
          <t xml:space="preserve">3Q07: Guided to $1.67 (excl ~10c from discon'td ops) or 40% EPS growth on contin. basis vs LY's $1.19 on same basis
</t>
        </r>
        <r>
          <rPr>
            <sz val="8"/>
            <color indexed="81"/>
            <rFont val="Tahoma"/>
            <family val="2"/>
          </rPr>
          <t xml:space="preserve">
1/07: guided to $1.71
12/13/06 cons: $1.66
10/06: 1Q conf call guided to $1.63
8/01/06 conference call guided to $1.55</t>
        </r>
      </text>
    </comment>
    <comment ref="BD145" authorId="16">
      <text>
        <r>
          <rPr>
            <b/>
            <sz val="8"/>
            <color indexed="81"/>
            <rFont val="Tahoma"/>
            <family val="2"/>
          </rPr>
          <t xml:space="preserve">kg51925:
</t>
        </r>
        <r>
          <rPr>
            <sz val="8"/>
            <color indexed="81"/>
            <rFont val="Tahoma"/>
            <family val="2"/>
          </rPr>
          <t>2/08, 1/08: &amp; 10/07: reiterated guid of $2.06</t>
        </r>
        <r>
          <rPr>
            <b/>
            <sz val="8"/>
            <color indexed="81"/>
            <rFont val="Tahoma"/>
            <family val="2"/>
          </rPr>
          <t xml:space="preserve">
</t>
        </r>
        <r>
          <rPr>
            <sz val="8"/>
            <color indexed="81"/>
            <rFont val="Tahoma"/>
            <family val="2"/>
          </rPr>
          <t>4Q07: guided to at least $2.06 vs. cons of $2.04</t>
        </r>
        <r>
          <rPr>
            <b/>
            <sz val="8"/>
            <color indexed="81"/>
            <rFont val="Tahoma"/>
            <family val="2"/>
          </rPr>
          <t xml:space="preserve">
</t>
        </r>
        <r>
          <rPr>
            <sz val="8"/>
            <color indexed="81"/>
            <rFont val="Tahoma"/>
            <family val="2"/>
          </rPr>
          <t>3Q07: Expect $2.02 compare to adj. of $1.98 or pub. Consensus of $2.09</t>
        </r>
        <r>
          <rPr>
            <sz val="8"/>
            <color indexed="81"/>
            <rFont val="Tahoma"/>
            <family val="2"/>
          </rPr>
          <t xml:space="preserve">
12/13/06 consensus $2.00</t>
        </r>
      </text>
    </comment>
    <comment ref="BE145" authorId="8">
      <text>
        <r>
          <rPr>
            <b/>
            <sz val="8"/>
            <color indexed="81"/>
            <rFont val="Tahoma"/>
            <family val="2"/>
          </rPr>
          <t>oc48540:</t>
        </r>
        <r>
          <rPr>
            <sz val="8"/>
            <color indexed="81"/>
            <rFont val="Tahoma"/>
            <family val="2"/>
          </rPr>
          <t xml:space="preserve">
</t>
        </r>
      </text>
    </comment>
    <comment ref="BH145" authorId="0">
      <text>
        <r>
          <rPr>
            <b/>
            <sz val="8"/>
            <color indexed="81"/>
            <rFont val="Tahoma"/>
            <family val="2"/>
          </rPr>
          <t>mm98285:</t>
        </r>
        <r>
          <rPr>
            <sz val="8"/>
            <color indexed="81"/>
            <rFont val="Tahoma"/>
            <family val="2"/>
          </rPr>
          <t xml:space="preserve">
7/29/08: guided to at least $2.25 (includes 5-6c dilution from acq of retail business in Greater China)</t>
        </r>
      </text>
    </comment>
    <comment ref="BP145" authorId="3">
      <text>
        <r>
          <rPr>
            <b/>
            <sz val="8"/>
            <color indexed="81"/>
            <rFont val="Tahoma"/>
            <family val="2"/>
          </rPr>
          <t>lauraro:</t>
        </r>
        <r>
          <rPr>
            <sz val="8"/>
            <color indexed="81"/>
            <rFont val="Tahoma"/>
            <family val="2"/>
          </rPr>
          <t xml:space="preserve">
10/15: Consensus $2.64
10/13: Consensus $2.64
8/10: </t>
        </r>
        <r>
          <rPr>
            <b/>
            <sz val="8"/>
            <color indexed="81"/>
            <rFont val="Tahoma"/>
            <family val="2"/>
          </rPr>
          <t>Exp to achieve double-digit sales and earnings growth</t>
        </r>
        <r>
          <rPr>
            <sz val="8"/>
            <color indexed="81"/>
            <rFont val="Tahoma"/>
            <family val="2"/>
          </rPr>
          <t xml:space="preserve">
all comments are on a comparable, 52 week to 52 week basis. </t>
        </r>
      </text>
    </comment>
    <comment ref="BT145" authorId="3">
      <text>
        <r>
          <rPr>
            <b/>
            <sz val="8"/>
            <color indexed="81"/>
            <rFont val="Tahoma"/>
            <family val="2"/>
          </rPr>
          <t>lauraro:</t>
        </r>
        <r>
          <rPr>
            <sz val="8"/>
            <color indexed="81"/>
            <rFont val="Tahoma"/>
            <family val="2"/>
          </rPr>
          <t xml:space="preserve">
10/15: Cons $2.95
10/14: Cons $2.95
10/13: Consensus $2.94</t>
        </r>
      </text>
    </comment>
    <comment ref="BU145" authorId="3">
      <text>
        <r>
          <rPr>
            <b/>
            <sz val="8"/>
            <color indexed="81"/>
            <rFont val="Tahoma"/>
            <family val="2"/>
          </rPr>
          <t>lauraro:</t>
        </r>
        <r>
          <rPr>
            <sz val="8"/>
            <color indexed="81"/>
            <rFont val="Tahoma"/>
            <family val="2"/>
          </rPr>
          <t xml:space="preserve">
8/2/11: +DD EPS growth (greater than Sales for the year)</t>
        </r>
      </text>
    </comment>
    <comment ref="BX145" authorId="4">
      <text>
        <r>
          <rPr>
            <sz val="8"/>
            <color indexed="81"/>
            <rFont val="Tahoma"/>
            <family val="2"/>
          </rPr>
          <t xml:space="preserve">7/31/12: CFO - "Our goals are unchanged - we remain committed to achieving double-digit top- and bottom-line growth over our planning horizon." </t>
        </r>
      </text>
    </comment>
    <comment ref="CJ145" authorId="6">
      <text>
        <r>
          <rPr>
            <b/>
            <sz val="9"/>
            <color indexed="81"/>
            <rFont val="Tahoma"/>
            <family val="2"/>
          </rPr>
          <t>casselau:
8/9/16: extra week added 7c
1/26/16: SW expected to add 12c and extra week 6c</t>
        </r>
        <r>
          <rPr>
            <sz val="9"/>
            <color indexed="81"/>
            <rFont val="Tahoma"/>
            <family val="2"/>
          </rPr>
          <t xml:space="preserve">
8/4/15: Stuart Weitzman expected to add 9c and 53rd week +6c</t>
        </r>
      </text>
    </comment>
    <comment ref="CO145" authorId="7">
      <text>
        <r>
          <rPr>
            <b/>
            <sz val="9"/>
            <color indexed="81"/>
            <rFont val="Tahoma"/>
            <family val="2"/>
          </rPr>
          <t>Cassel, Lauren (Research):</t>
        </r>
        <r>
          <rPr>
            <sz val="9"/>
            <color indexed="81"/>
            <rFont val="Tahoma"/>
            <family val="2"/>
          </rPr>
          <t xml:space="preserve">
8/9/16: guidance: +DD growth in EPS (on 52 week basis - $1.91)</t>
        </r>
      </text>
    </comment>
    <comment ref="CR145" authorId="7">
      <text>
        <r>
          <rPr>
            <b/>
            <sz val="9"/>
            <color indexed="81"/>
            <rFont val="Tahoma"/>
            <family val="2"/>
          </rPr>
          <t>Cassel, Lauren (Research):
2/6/18: Guidance $2.52-$2.60
11/7/17: reiterate $2.35-$2.40</t>
        </r>
        <r>
          <rPr>
            <sz val="9"/>
            <color indexed="81"/>
            <rFont val="Tahoma"/>
            <family val="2"/>
          </rPr>
          <t xml:space="preserve">
8/15/17: guidance: $2.35-2.40 EPS (+10-12% y/y), including +L-MSD accretion from the Kate acquisition</t>
        </r>
      </text>
    </comment>
    <comment ref="BD161" authorId="17">
      <text>
        <r>
          <rPr>
            <b/>
            <sz val="8"/>
            <color indexed="81"/>
            <rFont val="Tahoma"/>
            <family val="2"/>
          </rPr>
          <t>MB33100:</t>
        </r>
        <r>
          <rPr>
            <sz val="8"/>
            <color indexed="81"/>
            <rFont val="Tahoma"/>
            <family val="2"/>
          </rPr>
          <t xml:space="preserve">
10/07: repurchased 3mm shares at avg cost of $43.72
4Q07: guided to 383mm shares outstanding
12/06: assumes $250mm of share repo authorization will remain into 2008, at $43/ share, plus 2mm shs of options creep</t>
        </r>
      </text>
    </comment>
    <comment ref="BH161" authorId="17">
      <text>
        <r>
          <rPr>
            <b/>
            <sz val="8"/>
            <color indexed="81"/>
            <rFont val="Tahoma"/>
            <family val="2"/>
          </rPr>
          <t>MB33100:</t>
        </r>
        <r>
          <rPr>
            <sz val="8"/>
            <color indexed="81"/>
            <rFont val="Tahoma"/>
            <family val="2"/>
          </rPr>
          <t xml:space="preserve">
10/21/08: repo'd $300mm or 10.529598mm shares in 1Q
8/26/08: new $1b auth. completed $163 left under prior auth in 1Q (5.7 m  at avg cost of $28.45), assume $200/qtr or $800 in FY09
4/08: assume repo $600mm evenly thru FY09
1/08: $661mm remaining in Nov auth, assume $110mm per quarter through 2009
11/07: issued new $1b share repurch auth. thru FY09. Assume repurch $100mm in 2Q and $150mm/qtr in 3Q08-4Q09, offset by 2mm option creep
8/07: assumes $100mm shares repo in 2008, at $50/ share = 2mm share buyback, plus 2mm shs of options creep (given option creep trend in 2006)</t>
        </r>
      </text>
    </comment>
    <comment ref="BP161" authorId="14">
      <text>
        <r>
          <rPr>
            <b/>
            <sz val="8"/>
            <color indexed="81"/>
            <rFont val="Tahoma"/>
            <family val="2"/>
          </rPr>
          <t xml:space="preserve">10Q: </t>
        </r>
        <r>
          <rPr>
            <sz val="8"/>
            <color indexed="81"/>
            <rFont val="Tahoma"/>
            <family val="2"/>
          </rPr>
          <t>COH repo'ed and retired 3,585 shares of stock at an avg cost of $38.35 ($137.5M spent on share repo).
As of 10/2/2010 $422, 128 remaining in repo program</t>
        </r>
        <r>
          <rPr>
            <b/>
            <sz val="8"/>
            <color indexed="81"/>
            <rFont val="Tahoma"/>
            <family val="2"/>
          </rPr>
          <t xml:space="preserve">
KG51925:</t>
        </r>
        <r>
          <rPr>
            <sz val="8"/>
            <color indexed="81"/>
            <rFont val="Tahoma"/>
            <family val="2"/>
          </rPr>
          <t xml:space="preserve">
assumes $200mm repo at $40/share or 5mm shares</t>
        </r>
      </text>
    </comment>
    <comment ref="BT161" authorId="3">
      <text>
        <r>
          <rPr>
            <b/>
            <sz val="8"/>
            <color indexed="81"/>
            <rFont val="Tahoma"/>
            <family val="2"/>
          </rPr>
          <t>lauraro:</t>
        </r>
        <r>
          <rPr>
            <sz val="8"/>
            <color indexed="81"/>
            <rFont val="Tahoma"/>
            <family val="2"/>
          </rPr>
          <t xml:space="preserve">
10/25: repoed and retired nearly 1.1M shares at an avg cost of $55.30, spending a total of $59M.  ~$900M remained under the company's current share repo authorization.
1/11: 3.5M repo'ed @$65 /share ~$230M
10/25/11: End of qtr share count 297M (b/c higher share price...)</t>
        </r>
      </text>
    </comment>
    <comment ref="BX161" authorId="6">
      <text>
        <r>
          <rPr>
            <b/>
            <sz val="8"/>
            <color indexed="81"/>
            <rFont val="Tahoma"/>
            <family val="2"/>
          </rPr>
          <t>casselau:</t>
        </r>
        <r>
          <rPr>
            <sz val="8"/>
            <color indexed="81"/>
            <rFont val="Tahoma"/>
            <family val="2"/>
          </rPr>
          <t xml:space="preserve">
10/23: BOD has authorized the repurchase of up to $1.5B by June 30, 2015; in 1Q repuchased nearly 3.1M shares at an avg cost of $56.59, spending $175M</t>
        </r>
      </text>
    </comment>
    <comment ref="CB161" authorId="4">
      <text>
        <r>
          <rPr>
            <b/>
            <sz val="8"/>
            <color indexed="81"/>
            <rFont val="Tahoma"/>
            <family val="2"/>
          </rPr>
          <t xml:space="preserve">solejay:
</t>
        </r>
        <r>
          <rPr>
            <sz val="8"/>
            <color indexed="81"/>
            <rFont val="Tahoma"/>
            <family val="2"/>
          </rPr>
          <t>10/22/13: in 1Q repurchased 3.3m shares at avg cost of $53.17 spending a total of $175m. At the end of the period, $1.2B remained under the repurchase authorization</t>
        </r>
        <r>
          <rPr>
            <sz val="8"/>
            <color indexed="81"/>
            <rFont val="Tahoma"/>
            <family val="2"/>
          </rPr>
          <t xml:space="preserve">
7/30/13 - "At the end of the year approximately $1.4 billion remained under the company’s current repurchase authorization."</t>
        </r>
      </text>
    </comment>
    <comment ref="CF161" authorId="2">
      <text>
        <r>
          <rPr>
            <b/>
            <sz val="9"/>
            <color indexed="81"/>
            <rFont val="Tahoma"/>
            <family val="2"/>
          </rPr>
          <t>turleamb:</t>
        </r>
        <r>
          <rPr>
            <sz val="9"/>
            <color indexed="81"/>
            <rFont val="Tahoma"/>
            <family val="2"/>
          </rPr>
          <t xml:space="preserve">
assume stock price doesn't appreciate and options are anti-dilutive</t>
        </r>
      </text>
    </comment>
    <comment ref="AN162" authorId="1">
      <text>
        <r>
          <rPr>
            <b/>
            <sz val="7"/>
            <color indexed="81"/>
            <rFont val="Tahoma"/>
            <family val="2"/>
          </rPr>
          <t>LM37689:</t>
        </r>
        <r>
          <rPr>
            <sz val="7"/>
            <color indexed="81"/>
            <rFont val="Tahoma"/>
            <family val="2"/>
          </rPr>
          <t xml:space="preserve">
On January 24, 2005, Coach's Board of Directors authorized a two-for-one split of the Company's common stock.</t>
        </r>
      </text>
    </comment>
    <comment ref="BD162" authorId="17">
      <text>
        <r>
          <rPr>
            <b/>
            <sz val="8"/>
            <color indexed="81"/>
            <rFont val="Tahoma"/>
            <family val="2"/>
          </rPr>
          <t>MB33100:</t>
        </r>
        <r>
          <rPr>
            <sz val="8"/>
            <color indexed="81"/>
            <rFont val="Tahoma"/>
            <family val="2"/>
          </rPr>
          <t xml:space="preserve">
1/08: repo'd 20.480927mm shares for $707mm ($661mm available under Nov. auth)
11/07: completed prior $500mm auth with $368mm (10.6mm share) repurch in early Nov. Also issued new $1b share repurch auth. thru FY09. Assume repurch $100mm in 2Q and $150mm/qtr in 3Q08-4Q09
10/07: assumes 2mm creep offset by ~1.5mm share repurchase (3mm repurchase in 1Q - get half share reduction in 1Q and half in 2Q)
12/06: assumes $250mm of share repo authorization will remain into 2008, at $43/ share, plus 2mm shs of options creep</t>
        </r>
      </text>
    </comment>
    <comment ref="BH162" authorId="17">
      <text>
        <r>
          <rPr>
            <b/>
            <sz val="8"/>
            <color indexed="81"/>
            <rFont val="Tahoma"/>
            <family val="2"/>
          </rPr>
          <t>MB33100:</t>
        </r>
        <r>
          <rPr>
            <sz val="8"/>
            <color indexed="81"/>
            <rFont val="Tahoma"/>
            <family val="2"/>
          </rPr>
          <t xml:space="preserve">
1/09: repo'd 6.052724M shares for $103mm ($17.08 avg cost)
10/08: assume repo ~$200mm
8/25/08: new $1b auth, assume $800mm repo in FY09
4/08: assume repo $600mm evenly thru FY09
1/08: $661mm remaining in Nov auth, assume $110mm per quarter through 2009
11/07: issued new $1b share repurch auth. thru FY09. Assume repurch $100mm in 2Q and $150mm/qtr in 3Q08-4Q09, offset by 2mm option creep
8/07: assumes $100mm shares repo in 2008, at $50/ share = 2mm share buyback, plus 2mm shs of options creep (given option creep trend in 2006)</t>
        </r>
      </text>
    </comment>
    <comment ref="BL162" authorId="0">
      <text>
        <r>
          <rPr>
            <b/>
            <sz val="8"/>
            <color indexed="81"/>
            <rFont val="Tahoma"/>
            <family val="2"/>
          </rPr>
          <t>mm98285:</t>
        </r>
        <r>
          <rPr>
            <sz val="8"/>
            <color indexed="81"/>
            <rFont val="Tahoma"/>
            <family val="2"/>
          </rPr>
          <t xml:space="preserve">
1/10: repurchased 8.565M shares at avg cost of $35.03 for $300M ($409.625M remains under authorization)</t>
        </r>
      </text>
    </comment>
    <comment ref="BP162" authorId="14">
      <text>
        <r>
          <rPr>
            <b/>
            <sz val="8"/>
            <color indexed="81"/>
            <rFont val="Tahoma"/>
            <family val="2"/>
          </rPr>
          <t xml:space="preserve">1/25/11: </t>
        </r>
        <r>
          <rPr>
            <sz val="8"/>
            <color indexed="81"/>
            <rFont val="Tahoma"/>
            <family val="2"/>
          </rPr>
          <t xml:space="preserve">2Q11 repo'd and retired 6,955 shares of common stock at an average cost of $55.72, spending $388M
</t>
        </r>
        <r>
          <rPr>
            <b/>
            <sz val="8"/>
            <color indexed="81"/>
            <rFont val="Tahoma"/>
            <family val="2"/>
          </rPr>
          <t xml:space="preserve">11/29/10: </t>
        </r>
        <r>
          <rPr>
            <sz val="8"/>
            <color indexed="81"/>
            <rFont val="Tahoma"/>
            <family val="2"/>
          </rPr>
          <t>If COH didn't buy back any shares, based on the current share price and publicly available information re options, strike prices, exercise activity and the like: 2Q11 Avg. 304.6mm, 3Q11 Avg. 307.3mm, 4Q11 Avg. 308.1mm, FY11 Avg. 305.4mm
As you know, we bought back about $140mm worth in Q1 and suggested that we'd be comfortable with that pace - which at $55/share = 2.55mm shares a quarter. 
2Q: Assume 304.6mm less 2/3 the effect from 2.55mm share repo (no repos last month of q when restricted)</t>
        </r>
        <r>
          <rPr>
            <b/>
            <sz val="8"/>
            <color indexed="81"/>
            <rFont val="Tahoma"/>
            <family val="2"/>
          </rPr>
          <t xml:space="preserve">
KG51925:</t>
        </r>
        <r>
          <rPr>
            <sz val="8"/>
            <color indexed="81"/>
            <rFont val="Tahoma"/>
            <family val="2"/>
          </rPr>
          <t xml:space="preserve">
assumes $200mm repo at $40/share or 5mm shares</t>
        </r>
      </text>
    </comment>
    <comment ref="BT162" authorId="11">
      <text>
        <r>
          <rPr>
            <b/>
            <sz val="8"/>
            <color indexed="81"/>
            <rFont val="Tahoma"/>
            <family val="2"/>
          </rPr>
          <t>kimberlg:</t>
        </r>
        <r>
          <rPr>
            <sz val="8"/>
            <color indexed="81"/>
            <rFont val="Tahoma"/>
            <family val="2"/>
          </rPr>
          <t xml:space="preserve">
293M a bit too low
1/24/12: bought 4.8M shares at $62.48 for $300M.  
High stock price suggests repos in week 4 October and 1H November (or at least b/f Thanksgiving</t>
        </r>
      </text>
    </comment>
    <comment ref="BX162" authorId="6">
      <text>
        <r>
          <rPr>
            <b/>
            <sz val="8"/>
            <color indexed="81"/>
            <rFont val="Tahoma"/>
            <family val="2"/>
          </rPr>
          <t>casselau:</t>
        </r>
        <r>
          <rPr>
            <sz val="8"/>
            <color indexed="81"/>
            <rFont val="Tahoma"/>
            <family val="2"/>
          </rPr>
          <t xml:space="preserve">
1/23/13: repurchased nearly 4M shares at an avg cost of $56.63, for a total of $225M and YTD $400M. ~ $1.4B remains under the company’s current repurchase authorization. 
</t>
        </r>
      </text>
    </comment>
    <comment ref="CB162" authorId="2">
      <text>
        <r>
          <rPr>
            <b/>
            <sz val="8"/>
            <color indexed="81"/>
            <rFont val="Tahoma"/>
            <family val="2"/>
          </rPr>
          <t>turleamb:</t>
        </r>
        <r>
          <rPr>
            <sz val="8"/>
            <color indexed="81"/>
            <rFont val="Tahoma"/>
            <family val="2"/>
          </rPr>
          <t xml:space="preserve">
2/5/14 10-Q: On 1/24/14 COH had 277,581,114 basic shares outstanding. 
Weighted avg basic shares = 279.085 
+ Employee benefit and share award plans 0.827
+ Stock option programs 1.622
= weighted avg diluted shares 281.534
1/22/14: During the second quarter, we repurchased and retired about 3.3 million shares of common stock, at an average cost of $52.99, spending a total
of 175 million.
At the end of the period, about $1 billion remained under the company's current repurchase authorization.
</t>
        </r>
      </text>
    </comment>
    <comment ref="CF162" authorId="5">
      <text>
        <r>
          <rPr>
            <b/>
            <sz val="9"/>
            <color indexed="81"/>
            <rFont val="Tahoma"/>
            <family val="2"/>
          </rPr>
          <t>Turley, Amber (Research):</t>
        </r>
        <r>
          <rPr>
            <sz val="9"/>
            <color indexed="81"/>
            <rFont val="Tahoma"/>
            <family val="2"/>
          </rPr>
          <t xml:space="preserve">
per 10-Q: As of 10/24/14 had 275,590,311 shares outstanding</t>
        </r>
      </text>
    </comment>
    <comment ref="AZ163" authorId="0">
      <text>
        <r>
          <rPr>
            <b/>
            <sz val="8"/>
            <color indexed="81"/>
            <rFont val="Tahoma"/>
            <family val="2"/>
          </rPr>
          <t>mm98285:</t>
        </r>
        <r>
          <rPr>
            <sz val="8"/>
            <color indexed="81"/>
            <rFont val="Tahoma"/>
            <family val="2"/>
          </rPr>
          <t xml:space="preserve">
1/07: 2H ~380</t>
        </r>
      </text>
    </comment>
    <comment ref="BD163" authorId="17">
      <text>
        <r>
          <rPr>
            <b/>
            <sz val="8"/>
            <color indexed="81"/>
            <rFont val="Tahoma"/>
            <family val="2"/>
          </rPr>
          <t>MB33100:</t>
        </r>
        <r>
          <rPr>
            <sz val="8"/>
            <color indexed="81"/>
            <rFont val="Tahoma"/>
            <family val="2"/>
          </rPr>
          <t xml:space="preserve">
4/08: repo'd 11.349802mm for $327mm (avg cost $28.85); $333mm remains under Nov auth.
1/08: $661mm remaining in Nov auth, assume $110mm per quarter through 2009
1/08 end of 2Q diluted share count = 356,711,864 shares o/s
11/07: issued new $1b share repurch auth. thru FY09. Assume repurch $100mm in 2Q and $150mm/qtr in 3Q08-4Q09, offset by 2mm option creep
10/07: assumes no share repo and 2mm option creep
12/06: assumes $250mm of share repo authorization will remain into 2008, at $43/ share, plus 2mm shs of options creep</t>
        </r>
      </text>
    </comment>
    <comment ref="BH163" authorId="17">
      <text>
        <r>
          <rPr>
            <b/>
            <sz val="8"/>
            <color indexed="81"/>
            <rFont val="Tahoma"/>
            <family val="2"/>
          </rPr>
          <t>MB33100:</t>
        </r>
        <r>
          <rPr>
            <sz val="8"/>
            <color indexed="81"/>
            <rFont val="Tahoma"/>
            <family val="2"/>
          </rPr>
          <t xml:space="preserve">
4/09: repo'd 3.6m shares at avg cost of $13.98 for $50M ($710M remains)
1/09: assume $100mm repo ($760mm remains end of 2Q09)
10/08: assume repo ~$200mm/qtr
4/08: assume repo $600mm evenly thru FY09
1/08: $661mm remaining in Nov auth, assume $110mm per quarter through 2009
11/07: issued new $1b share repurch auth. thru FY09. Assume repurch $100mm in 2Q and $150mm/qtr in 3Q08-4Q09, offset by 2mm option creep
8/07: assumes $100mm shares repo in 2008, at $50/ share = 2mm share buyback, plus 2mm shs of options creep (given option creep trend in 2006)</t>
        </r>
      </text>
    </comment>
    <comment ref="BL163" authorId="13">
      <text>
        <r>
          <rPr>
            <sz val="8"/>
            <color indexed="81"/>
            <rFont val="Tahoma"/>
            <family val="2"/>
          </rPr>
          <t>repurchased 11.3mm shares at an avg cost of $35.52, spending a total of $400mm; authorizes new $1BN buyback</t>
        </r>
      </text>
    </comment>
    <comment ref="BP163" authorId="3">
      <text>
        <r>
          <rPr>
            <b/>
            <sz val="8"/>
            <color indexed="81"/>
            <rFont val="Tahoma"/>
            <family val="2"/>
          </rPr>
          <t xml:space="preserve">4/26/11: </t>
        </r>
        <r>
          <rPr>
            <sz val="8"/>
            <color indexed="81"/>
            <rFont val="Tahoma"/>
            <family val="2"/>
          </rPr>
          <t>repurchased and retired 3,530 shares of common stock at an average cost of $54.51 per share, spending $192M</t>
        </r>
        <r>
          <rPr>
            <b/>
            <sz val="8"/>
            <color indexed="81"/>
            <rFont val="Tahoma"/>
            <family val="2"/>
          </rPr>
          <t xml:space="preserve">
1/2011: </t>
        </r>
        <r>
          <rPr>
            <sz val="8"/>
            <color indexed="81"/>
            <rFont val="Tahoma"/>
            <family val="2"/>
          </rPr>
          <t xml:space="preserve">board authorized new $1.5B share repo program
</t>
        </r>
        <r>
          <rPr>
            <b/>
            <sz val="8"/>
            <color indexed="81"/>
            <rFont val="Tahoma"/>
            <family val="2"/>
          </rPr>
          <t>1/11:</t>
        </r>
        <r>
          <rPr>
            <sz val="8"/>
            <color indexed="81"/>
            <rFont val="Tahoma"/>
            <family val="2"/>
          </rPr>
          <t xml:space="preserve"> Exp 303 for back half
</t>
        </r>
        <r>
          <rPr>
            <b/>
            <sz val="8"/>
            <color indexed="81"/>
            <rFont val="Tahoma"/>
            <family val="2"/>
          </rPr>
          <t>11/29/10:</t>
        </r>
        <r>
          <rPr>
            <sz val="8"/>
            <color indexed="81"/>
            <rFont val="Tahoma"/>
            <family val="2"/>
          </rPr>
          <t xml:space="preserve"> If COH didn't buy back any shares, based on the current share price and publicly available information re options, strike prices, exercise activity and the like: 2Q11 Avg. 304.6mm, 3Q11 Avg. 307.3mm, 4Q11 Avg. 308.1mm, FY11 Avg. 305.4mm
As you know, we bought back about $140mm worth in Q1 and suggested that we'd be comfortable with that pace - which at $55/share = 2.55mm shares a quarter. 
3Q: Assume 2.7mm share creep (307.3-304.6) and full effect of 2.55mm share repo, based on 2Q calc'ed shares outstanding</t>
        </r>
      </text>
    </comment>
    <comment ref="BT163" authorId="3">
      <text>
        <r>
          <rPr>
            <b/>
            <sz val="8"/>
            <color indexed="81"/>
            <rFont val="Tahoma"/>
            <family val="2"/>
          </rPr>
          <t>lauraro:</t>
        </r>
        <r>
          <rPr>
            <sz val="8"/>
            <color indexed="81"/>
            <rFont val="Tahoma"/>
            <family val="2"/>
          </rPr>
          <t xml:space="preserve">
4/24/12: Repo'ed 2.33M shares at avg price $73.92, spending $172M, at the end of the period ~$430M remained under the current authorization</t>
        </r>
      </text>
    </comment>
    <comment ref="BX163" authorId="6">
      <text>
        <r>
          <rPr>
            <b/>
            <sz val="8"/>
            <color indexed="81"/>
            <rFont val="Tahoma"/>
            <family val="2"/>
          </rPr>
          <t>casselau:</t>
        </r>
        <r>
          <rPr>
            <sz val="8"/>
            <color indexed="81"/>
            <rFont val="Tahoma"/>
            <family val="2"/>
          </rPr>
          <t xml:space="preserve">
4/23/13: 1.4B remains in repurchase authorization</t>
        </r>
      </text>
    </comment>
    <comment ref="CB163" authorId="2">
      <text>
        <r>
          <rPr>
            <b/>
            <sz val="9"/>
            <color indexed="81"/>
            <rFont val="Tahoma"/>
            <family val="2"/>
          </rPr>
          <t>turleamb:</t>
        </r>
        <r>
          <rPr>
            <sz val="9"/>
            <color indexed="81"/>
            <rFont val="Tahoma"/>
            <family val="2"/>
          </rPr>
          <t xml:space="preserve">
4/29/14: repurchased and retired about 3.6 million shares of its common stock at an average cost of $47.99, spending a total of $175 million and taking the year-to-date total to $525 million. At the end of the period, approximately $835 million remained under the company`s current repurchase authorization. 
</t>
        </r>
      </text>
    </comment>
    <comment ref="AB164" authorId="1">
      <text>
        <r>
          <rPr>
            <b/>
            <sz val="7"/>
            <color indexed="81"/>
            <rFont val="Tahoma"/>
            <family val="2"/>
          </rPr>
          <t>LM37689:</t>
        </r>
        <r>
          <rPr>
            <sz val="7"/>
            <color indexed="81"/>
            <rFont val="Tahoma"/>
            <family val="2"/>
          </rPr>
          <t xml:space="preserve">
two-for-one split effective on July 3, 2002.</t>
        </r>
      </text>
    </comment>
    <comment ref="AZ164" authorId="0">
      <text>
        <r>
          <rPr>
            <b/>
            <sz val="8"/>
            <color indexed="81"/>
            <rFont val="Tahoma"/>
            <family val="2"/>
          </rPr>
          <t>mm98285:</t>
        </r>
        <r>
          <rPr>
            <sz val="8"/>
            <color indexed="81"/>
            <rFont val="Tahoma"/>
            <family val="2"/>
          </rPr>
          <t xml:space="preserve">
1/07: 2H ~380</t>
        </r>
      </text>
    </comment>
    <comment ref="BD164" authorId="17">
      <text>
        <r>
          <rPr>
            <b/>
            <sz val="8"/>
            <color indexed="81"/>
            <rFont val="Tahoma"/>
            <family val="2"/>
          </rPr>
          <t>MB33100:</t>
        </r>
        <r>
          <rPr>
            <sz val="8"/>
            <color indexed="81"/>
            <rFont val="Tahoma"/>
            <family val="2"/>
          </rPr>
          <t xml:space="preserve">
7/08: repo'd 4.831698mmshares for $170mm in 4Q ($163mm remains)
4/08: $333mm remains entering 4Q; assume $250mm repo in 4Q
1/08: $661mm remaining in Nov auth, assume $110mm per quarter through 2009
</t>
        </r>
        <r>
          <rPr>
            <sz val="8"/>
            <color indexed="81"/>
            <rFont val="Tahoma"/>
            <family val="2"/>
          </rPr>
          <t>11/07: issued new $1b share repurch auth. thru FY09. Assume repurch $100mm in 2Q and $150mm/qtr in 3Q08-4Q09, offset by 2mm option creep</t>
        </r>
        <r>
          <rPr>
            <b/>
            <sz val="8"/>
            <color indexed="81"/>
            <rFont val="Tahoma"/>
            <family val="2"/>
          </rPr>
          <t xml:space="preserve">
</t>
        </r>
        <r>
          <rPr>
            <sz val="8"/>
            <color indexed="81"/>
            <rFont val="Tahoma"/>
            <family val="2"/>
          </rPr>
          <t>10/07: assumes no share repo and 2mm option creep
12/06: assumes $250mm of share repo authorization will remain into 2008, at $43/ share, plus 2mm shs of options creep</t>
        </r>
      </text>
    </comment>
    <comment ref="BH164" authorId="17">
      <text>
        <r>
          <rPr>
            <b/>
            <sz val="8"/>
            <color indexed="81"/>
            <rFont val="Tahoma"/>
            <family val="2"/>
          </rPr>
          <t>MB33100:</t>
        </r>
        <r>
          <rPr>
            <sz val="8"/>
            <color indexed="81"/>
            <rFont val="Tahoma"/>
            <family val="2"/>
          </rPr>
          <t xml:space="preserve">
7/09: no share repo in 4Q09
4/09: assume repo ~$50M in 4Q for ~2.6M shares
1/09: assume repo ~$100mm in 4Q
10/08: assume repo ~$200mm in 4Q
4/08: assume repo $600mm evenly thru FY09
1/08: $661mm remaining in Nov auth, assume $110mm per quarter through 2009
11/07: issued new $1b share repurch auth. thru FY09. Assume repurch $100mm in 2Q and $150mm/qtr in 3Q08-4Q09, offset by 2mm option creep
8/07: assumes $100mm shares repo in 2008, at $50/ share = 2mm share buyback, plus 2mm shs of options creep (given option creep trend in 2006)</t>
        </r>
      </text>
    </comment>
    <comment ref="BL164" authorId="13">
      <text>
        <r>
          <rPr>
            <b/>
            <sz val="8"/>
            <color indexed="81"/>
            <rFont val="Tahoma"/>
            <family val="2"/>
          </rPr>
          <t>ns66486:</t>
        </r>
        <r>
          <rPr>
            <sz val="8"/>
            <color indexed="81"/>
            <rFont val="Tahoma"/>
            <family val="2"/>
          </rPr>
          <t xml:space="preserve">
assume ~$150M share repo, or 3.5m shares</t>
        </r>
      </text>
    </comment>
    <comment ref="BP164" authorId="3">
      <text>
        <r>
          <rPr>
            <b/>
            <sz val="8"/>
            <color indexed="81"/>
            <rFont val="Tahoma"/>
            <family val="2"/>
          </rPr>
          <t xml:space="preserve">8/2: </t>
        </r>
        <r>
          <rPr>
            <sz val="8"/>
            <color indexed="81"/>
            <rFont val="Tahoma"/>
            <family val="2"/>
          </rPr>
          <t xml:space="preserve"> End of Q share count: 296,074
6.3M shares of our common stock at an average cost of $60.08, spending a total of $381 million.  At the end of the year, approximately $962 million remained under our present repurchase authorization.</t>
        </r>
        <r>
          <rPr>
            <b/>
            <sz val="8"/>
            <color indexed="81"/>
            <rFont val="Tahoma"/>
            <family val="2"/>
          </rPr>
          <t xml:space="preserve">
4/26: </t>
        </r>
        <r>
          <rPr>
            <sz val="8"/>
            <color indexed="81"/>
            <rFont val="Tahoma"/>
            <family val="2"/>
          </rPr>
          <t>Repos should be offset by exercise of options</t>
        </r>
        <r>
          <rPr>
            <sz val="8"/>
            <color indexed="81"/>
            <rFont val="Tahoma"/>
            <family val="2"/>
          </rPr>
          <t xml:space="preserve">
1/11: Exp 303 for back half
11/29/10: If COH didn't buy back any shares, based on the current share price and publicly available information re options, strike prices, exercise activity and the like: 2Q11 Avg. 304.6mm, 3Q11 Avg. 307.3mm, 4Q11 Avg. 308.1mm, FY11 Avg. 305.4mm
As you know, we bought back about $140mm worth in Q1 and suggested that we'd be comfortable with that pace - which at $55/share = 2.55mm shares a quarter. 
4Q: Assume 0.8mm share creep (308.1-307.3) and full effect of 2.55mm share repo, based on 3Q calc'ed shares outstanding</t>
        </r>
      </text>
    </comment>
    <comment ref="BT164" authorId="3">
      <text>
        <r>
          <rPr>
            <sz val="8"/>
            <color indexed="81"/>
            <rFont val="Tahoma"/>
            <family val="2"/>
          </rPr>
          <t>7/31/12:  bought back ~2.5 mn shares at an avg cost of $67.79.
On April 27, 2012,Coach had 287,370,913 outstanding shares of common stock</t>
        </r>
      </text>
    </comment>
    <comment ref="BX164" authorId="4">
      <text>
        <r>
          <rPr>
            <b/>
            <sz val="8"/>
            <color indexed="81"/>
            <rFont val="Tahoma"/>
            <family val="2"/>
          </rPr>
          <t>solejay:</t>
        </r>
        <r>
          <rPr>
            <sz val="8"/>
            <color indexed="81"/>
            <rFont val="Tahoma"/>
            <family val="2"/>
          </rPr>
          <t xml:space="preserve">
7/30/13 - "At the end of the year approximately $1.4 billion remained under the company’s current repurchase authorization."</t>
        </r>
      </text>
    </comment>
    <comment ref="CB164" authorId="2">
      <text>
        <r>
          <rPr>
            <b/>
            <sz val="9"/>
            <color indexed="81"/>
            <rFont val="Tahoma"/>
            <family val="2"/>
          </rPr>
          <t>turleamb:</t>
        </r>
        <r>
          <rPr>
            <sz val="9"/>
            <color indexed="81"/>
            <rFont val="Tahoma"/>
            <family val="2"/>
          </rPr>
          <t xml:space="preserve">
5/6/14: As of 4/25/14 COH had 274,172,356 shares outstanding
4/29/14: However, given our current outlook for the business, domestic cash flow requirements, including funding our transformation initiatives to drive long-term growth, we do not anticipate further share repurchases during the remainder of FY14.</t>
        </r>
      </text>
    </comment>
    <comment ref="BD165" authorId="8">
      <text>
        <r>
          <rPr>
            <b/>
            <sz val="8"/>
            <color indexed="81"/>
            <rFont val="Tahoma"/>
            <family val="2"/>
          </rPr>
          <t>oc48540:</t>
        </r>
        <r>
          <rPr>
            <sz val="8"/>
            <color indexed="81"/>
            <rFont val="Tahoma"/>
            <family val="2"/>
          </rPr>
          <t xml:space="preserve">
7/08: repo'd 39.688123mm shares in FY08 for $1.34B ($163mm remains at year-end)
4Q07: guided to 386mm shares outstanding
3Q07: Expect higher share count brought on by option exercises</t>
        </r>
      </text>
    </comment>
    <comment ref="BL165" authorId="0">
      <text>
        <r>
          <rPr>
            <b/>
            <sz val="8"/>
            <color indexed="81"/>
            <rFont val="Tahoma"/>
            <family val="2"/>
          </rPr>
          <t>mm98285:</t>
        </r>
        <r>
          <rPr>
            <sz val="8"/>
            <color indexed="81"/>
            <rFont val="Tahoma"/>
            <family val="2"/>
          </rPr>
          <t xml:space="preserve">
7/09: assume $250M share repo for $ shares
10/08: conservatively assume $400mm share repo for ~16mm shares
assume repo $200mm or 5m shares</t>
        </r>
      </text>
    </comment>
    <comment ref="BP165" authorId="0">
      <text>
        <r>
          <rPr>
            <sz val="8"/>
            <color indexed="81"/>
            <rFont val="Tahoma"/>
            <family val="2"/>
          </rPr>
          <t>5/10: assume $200M/qtr in 1H or ~5M shares per Q, drops in 2H to 3.75M per Q
4/10: assume ~$750M share repo or ~4 per Q
3/10: assume ~$500M share repo or ~3.3 per q
assume $450M share repo or ~4M per quarter</t>
        </r>
      </text>
    </comment>
    <comment ref="BX165" authorId="11">
      <text>
        <r>
          <rPr>
            <b/>
            <sz val="8"/>
            <color indexed="81"/>
            <rFont val="Tahoma"/>
            <family val="2"/>
          </rPr>
          <t>kimberlg:</t>
        </r>
        <r>
          <rPr>
            <sz val="8"/>
            <color indexed="81"/>
            <rFont val="Tahoma"/>
            <family val="2"/>
          </rPr>
          <t xml:space="preserve">
7/31/12 stock price is $50
COH likely to spend $700M in share repos ($719M is annual average)
at $50 = 14M shares
at $55 = 12.7M shares</t>
        </r>
      </text>
    </comment>
    <comment ref="CB165" authorId="4">
      <text>
        <r>
          <rPr>
            <sz val="8"/>
            <color indexed="81"/>
            <rFont val="Tahoma"/>
            <family val="2"/>
          </rPr>
          <t>1/22/14: Our current FY '14 outlook continues to reflect about $700 million in share repurchases, approximately equivalent to our prior three-year average
10/22/13: reiterated $700m in share repurchases
Repurchased $175m in 1Q
If we assume $53 avg share price, this means COH can use the remaining $525 to purchase 9.9m shares from 2-4Q
7/30/2013 CFO - "Our current FY14 outlook reflects approximately $700 million dollars in share repurchases, approximately equivalent to our prior three year average."
If we assume a $55 average stock price for the year, this means COH can buy back about 12.5M shares</t>
        </r>
      </text>
    </comment>
    <comment ref="CF165" authorId="5">
      <text>
        <r>
          <rPr>
            <b/>
            <sz val="9"/>
            <color indexed="81"/>
            <rFont val="Tahoma"/>
            <family val="2"/>
          </rPr>
          <t>Turley, Amber (Research):</t>
        </r>
        <r>
          <rPr>
            <sz val="9"/>
            <color indexed="81"/>
            <rFont val="Tahoma"/>
            <family val="2"/>
          </rPr>
          <t xml:space="preserve">
8/5/14: COH suggested modeling 278m shares (incl options)</t>
        </r>
      </text>
    </comment>
    <comment ref="CN165" authorId="7">
      <text>
        <r>
          <rPr>
            <b/>
            <sz val="9"/>
            <color indexed="81"/>
            <rFont val="Tahoma"/>
            <family val="2"/>
          </rPr>
          <t>Cassel, Lauren (Research):</t>
        </r>
        <r>
          <rPr>
            <sz val="9"/>
            <color indexed="81"/>
            <rFont val="Tahoma"/>
            <family val="2"/>
          </rPr>
          <t xml:space="preserve">
8/9/16: guidance 283M</t>
        </r>
      </text>
    </comment>
    <comment ref="CR165" authorId="7">
      <text>
        <r>
          <rPr>
            <b/>
            <sz val="9"/>
            <color indexed="81"/>
            <rFont val="Tahoma"/>
            <family val="2"/>
          </rPr>
          <t>Cassel, Lauren (Research):</t>
        </r>
        <r>
          <rPr>
            <sz val="9"/>
            <color indexed="81"/>
            <rFont val="Tahoma"/>
            <family val="2"/>
          </rPr>
          <t xml:space="preserve">
2/6/18: reit 289M
guidance 289M</t>
        </r>
      </text>
    </comment>
    <comment ref="BP171" authorId="13">
      <text>
        <r>
          <rPr>
            <b/>
            <sz val="8"/>
            <color indexed="81"/>
            <rFont val="Tahoma"/>
            <family val="2"/>
          </rPr>
          <t>8/10:</t>
        </r>
        <r>
          <rPr>
            <sz val="8"/>
            <color indexed="81"/>
            <rFont val="Tahoma"/>
            <family val="2"/>
          </rPr>
          <t xml:space="preserve"> Reit $0.15 quarterly dividend</t>
        </r>
        <r>
          <rPr>
            <b/>
            <sz val="8"/>
            <color indexed="81"/>
            <rFont val="Tahoma"/>
            <family val="2"/>
          </rPr>
          <t xml:space="preserve">
ns66486:</t>
        </r>
        <r>
          <rPr>
            <sz val="8"/>
            <color indexed="81"/>
            <rFont val="Tahoma"/>
            <family val="2"/>
          </rPr>
          <t xml:space="preserve">
4/10: raised annual dividend to $0.60 payable to stockholders in July 2010</t>
        </r>
      </text>
    </comment>
    <comment ref="BL172" authorId="0">
      <text>
        <r>
          <rPr>
            <b/>
            <sz val="8"/>
            <color indexed="81"/>
            <rFont val="Tahoma"/>
            <family val="2"/>
          </rPr>
          <t>mm98285:</t>
        </r>
        <r>
          <rPr>
            <sz val="8"/>
            <color indexed="81"/>
            <rFont val="Tahoma"/>
            <family val="2"/>
          </rPr>
          <t xml:space="preserve">
Board of Directors has declared a quarterly cash dividend of $0.075 per common share. The dividend is payable on December 28, 2009 to shareholders of record as of the close of business on December 7, 2009. 
</t>
        </r>
      </text>
    </comment>
    <comment ref="BL173" authorId="0">
      <text>
        <r>
          <rPr>
            <b/>
            <sz val="8"/>
            <color indexed="81"/>
            <rFont val="Tahoma"/>
            <family val="2"/>
          </rPr>
          <t>mm98285:</t>
        </r>
        <r>
          <rPr>
            <sz val="8"/>
            <color indexed="81"/>
            <rFont val="Tahoma"/>
            <family val="2"/>
          </rPr>
          <t xml:space="preserve">
2/18/10: declared a quarterly cash dividend of $0.075 per common share payable on March 29, 2010 to shareholders of record as of the close of business on March 8, 2010. </t>
        </r>
      </text>
    </comment>
    <comment ref="BT173" authorId="3">
      <text>
        <r>
          <rPr>
            <b/>
            <sz val="8"/>
            <color indexed="81"/>
            <rFont val="Tahoma"/>
            <family val="2"/>
          </rPr>
          <t>lauraro:</t>
        </r>
        <r>
          <rPr>
            <sz val="8"/>
            <color indexed="81"/>
            <rFont val="Tahoma"/>
            <family val="2"/>
          </rPr>
          <t xml:space="preserve">
2/16/12: Coach, Inc. (NYSE: COH, SEHK: 6388), a leading marketer of modern classic American accessories, today announced that its Board of Directors has declared a quarterly cash dividend of $0.225 per common share. The dividend is payable on April 2, 2012 to shareholders of record as of the close of business on March 9, 2012.</t>
        </r>
      </text>
    </comment>
    <comment ref="CB173" authorId="2">
      <text>
        <r>
          <rPr>
            <b/>
            <sz val="9"/>
            <color indexed="81"/>
            <rFont val="Tahoma"/>
            <family val="2"/>
          </rPr>
          <t>turleamb:</t>
        </r>
        <r>
          <rPr>
            <sz val="9"/>
            <color indexed="81"/>
            <rFont val="Tahoma"/>
            <family val="2"/>
          </rPr>
          <t xml:space="preserve">
4/29/14: "As noted in our press release, the Board declared a quarterly dividend of $0.3375 per common share, payable at the end of June, maintaining our annual rate of $1.35. It's important to mention that we have modified the timing of our annual dividend rate assessment to align with the Company's fiscal year end and the review of our annual operating plan."</t>
        </r>
      </text>
    </comment>
    <comment ref="BH174" authorId="0">
      <text>
        <r>
          <rPr>
            <b/>
            <sz val="8"/>
            <color indexed="81"/>
            <rFont val="Tahoma"/>
            <family val="2"/>
          </rPr>
          <t>mm98285:</t>
        </r>
        <r>
          <rPr>
            <sz val="8"/>
            <color indexed="81"/>
            <rFont val="Tahoma"/>
            <family val="2"/>
          </rPr>
          <t xml:space="preserve">
4/09: BoD voted to initiate cash dividend at an annual rate of $0.30 per share. First quarterly payment of $0.075 per share will be paid on June 29, 2009 to sotckholders of record as of June 8, 2009</t>
        </r>
      </text>
    </comment>
    <comment ref="CF197" authorId="5">
      <text>
        <r>
          <rPr>
            <b/>
            <sz val="9"/>
            <color indexed="81"/>
            <rFont val="Tahoma"/>
            <family val="2"/>
          </rPr>
          <t>Turley, Amber (Research):</t>
        </r>
        <r>
          <rPr>
            <sz val="9"/>
            <color indexed="81"/>
            <rFont val="Tahoma"/>
            <family val="2"/>
          </rPr>
          <t xml:space="preserve">
As of 8/1/14 had 274,631,764 basic shares outstanding</t>
        </r>
      </text>
    </comment>
    <comment ref="CB198" authorId="2">
      <text>
        <r>
          <rPr>
            <b/>
            <sz val="8"/>
            <color indexed="81"/>
            <rFont val="Tahoma"/>
            <family val="2"/>
          </rPr>
          <t>turleamb:</t>
        </r>
        <r>
          <rPr>
            <sz val="8"/>
            <color indexed="81"/>
            <rFont val="Tahoma"/>
            <family val="2"/>
          </rPr>
          <t xml:space="preserve">
2/5/14 10-Q: On 1/24/14 COH had 277,581,114 basic shares outstanding</t>
        </r>
      </text>
    </comment>
    <comment ref="CF198" authorId="5">
      <text>
        <r>
          <rPr>
            <b/>
            <sz val="9"/>
            <color indexed="81"/>
            <rFont val="Tahoma"/>
            <family val="2"/>
          </rPr>
          <t>Turley, Amber (Research):</t>
        </r>
        <r>
          <rPr>
            <sz val="9"/>
            <color indexed="81"/>
            <rFont val="Tahoma"/>
            <family val="2"/>
          </rPr>
          <t xml:space="preserve">
1Q 10-q: As of 10/24/14 275,590,311 basic shares outstanding</t>
        </r>
      </text>
    </comment>
    <comment ref="CB200" authorId="2">
      <text>
        <r>
          <rPr>
            <b/>
            <sz val="9"/>
            <color indexed="81"/>
            <rFont val="Tahoma"/>
            <family val="2"/>
          </rPr>
          <t>turleamb:</t>
        </r>
        <r>
          <rPr>
            <sz val="9"/>
            <color indexed="81"/>
            <rFont val="Tahoma"/>
            <family val="2"/>
          </rPr>
          <t xml:space="preserve">
5/6/14: As of 4/25/14 COH had 274,172,356 shares outstanding</t>
        </r>
      </text>
    </comment>
    <comment ref="BL211" authorId="0">
      <text>
        <r>
          <rPr>
            <b/>
            <sz val="8"/>
            <color indexed="81"/>
            <rFont val="Tahoma"/>
            <family val="2"/>
          </rPr>
          <t>mm98285:</t>
        </r>
        <r>
          <rPr>
            <sz val="8"/>
            <color indexed="81"/>
            <rFont val="Tahoma"/>
            <family val="2"/>
          </rPr>
          <t xml:space="preserve">
7/09: expect to be up ~$10M vs. LY</t>
        </r>
      </text>
    </comment>
    <comment ref="AZ218" authorId="8">
      <text>
        <r>
          <rPr>
            <b/>
            <sz val="8"/>
            <color indexed="81"/>
            <rFont val="Tahoma"/>
            <family val="2"/>
          </rPr>
          <t>oc48540:</t>
        </r>
        <r>
          <rPr>
            <sz val="8"/>
            <color indexed="81"/>
            <rFont val="Tahoma"/>
            <family val="2"/>
          </rPr>
          <t xml:space="preserve">
Note: Feeds into Data Central</t>
        </r>
      </text>
    </comment>
  </commentList>
</comments>
</file>

<file path=xl/comments10.xml><?xml version="1.0" encoding="utf-8"?>
<comments xmlns="http://schemas.openxmlformats.org/spreadsheetml/2006/main">
  <authors>
    <author>mm98285</author>
    <author>casselau</author>
    <author>turleamb</author>
    <author>Cassel, Lauren (Research)</author>
    <author>jwyatt</author>
    <author>Turley, Amber (Research)</author>
    <author>Roberts, Cynthia (Research)</author>
    <author>MB33100</author>
  </authors>
  <commentList>
    <comment ref="Q5" authorId="0">
      <text>
        <r>
          <rPr>
            <b/>
            <sz val="8"/>
            <color indexed="81"/>
            <rFont val="Tahoma"/>
            <family val="2"/>
          </rPr>
          <t>mm98285:</t>
        </r>
        <r>
          <rPr>
            <sz val="8"/>
            <color indexed="81"/>
            <rFont val="Tahoma"/>
            <family val="2"/>
          </rPr>
          <t xml:space="preserve">
3/08: will have extra week</t>
        </r>
      </text>
    </comment>
    <comment ref="L7" authorId="0">
      <text>
        <r>
          <rPr>
            <b/>
            <sz val="8"/>
            <color indexed="81"/>
            <rFont val="Tahoma"/>
            <family val="2"/>
          </rPr>
          <t>mm98285:</t>
        </r>
        <r>
          <rPr>
            <sz val="8"/>
            <color indexed="81"/>
            <rFont val="Tahoma"/>
            <family val="2"/>
          </rPr>
          <t xml:space="preserve">
includes net sales from the corporate accounts business of $58.7mm</t>
        </r>
      </text>
    </comment>
    <comment ref="M7" authorId="0">
      <text>
        <r>
          <rPr>
            <b/>
            <sz val="8"/>
            <color indexed="81"/>
            <rFont val="Tahoma"/>
            <family val="2"/>
          </rPr>
          <t>mm98285:</t>
        </r>
        <r>
          <rPr>
            <sz val="8"/>
            <color indexed="81"/>
            <rFont val="Tahoma"/>
            <family val="2"/>
          </rPr>
          <t xml:space="preserve">
excludes net sales from corporate accounts business of$76.4mm </t>
        </r>
      </text>
    </comment>
    <comment ref="X7" authorId="1">
      <text>
        <r>
          <rPr>
            <b/>
            <sz val="9"/>
            <color indexed="81"/>
            <rFont val="Tahoma"/>
            <family val="2"/>
          </rPr>
          <t>casselau:</t>
        </r>
        <r>
          <rPr>
            <sz val="9"/>
            <color indexed="81"/>
            <rFont val="Tahoma"/>
            <family val="2"/>
          </rPr>
          <t xml:space="preserve">
8/4/15: targeting men's $1B</t>
        </r>
      </text>
    </comment>
    <comment ref="N8" authorId="0">
      <text>
        <r>
          <rPr>
            <b/>
            <sz val="8"/>
            <color indexed="81"/>
            <rFont val="Tahoma"/>
            <family val="2"/>
          </rPr>
          <t>mm98285:</t>
        </r>
        <r>
          <rPr>
            <sz val="8"/>
            <color indexed="81"/>
            <rFont val="Tahoma"/>
            <family val="2"/>
          </rPr>
          <t xml:space="preserve">
8/06 (meeting w/Andrea): sales expected to grow at 18-20% going forward</t>
        </r>
      </text>
    </comment>
    <comment ref="R8" authorId="0">
      <text>
        <r>
          <rPr>
            <b/>
            <sz val="8"/>
            <color indexed="81"/>
            <rFont val="Tahoma"/>
            <family val="2"/>
          </rPr>
          <t>mm98285:</t>
        </r>
        <r>
          <rPr>
            <sz val="8"/>
            <color indexed="81"/>
            <rFont val="Tahoma"/>
            <family val="2"/>
          </rPr>
          <t xml:space="preserve">
anniversaring extra week in 2010
17% higher than LY excl $70M due to extra week</t>
        </r>
      </text>
    </comment>
    <comment ref="W8" authorId="2">
      <text>
        <r>
          <rPr>
            <b/>
            <sz val="9"/>
            <color indexed="81"/>
            <rFont val="Tahoma"/>
            <family val="2"/>
          </rPr>
          <t>turleamb:</t>
        </r>
        <r>
          <rPr>
            <sz val="9"/>
            <color indexed="81"/>
            <rFont val="Tahoma"/>
            <family val="2"/>
          </rPr>
          <t xml:space="preserve">
6/19/14 analyst day: expect to return to LSD growth</t>
        </r>
      </text>
    </comment>
    <comment ref="X8" authorId="2">
      <text>
        <r>
          <rPr>
            <b/>
            <sz val="9"/>
            <color indexed="81"/>
            <rFont val="Tahoma"/>
            <family val="2"/>
          </rPr>
          <t>turleamb:</t>
        </r>
        <r>
          <rPr>
            <sz val="9"/>
            <color indexed="81"/>
            <rFont val="Tahoma"/>
            <family val="2"/>
          </rPr>
          <t xml:space="preserve">
6/19/14 analyst day: expect growth in line with the category </t>
        </r>
      </text>
    </comment>
    <comment ref="Z12" authorId="3">
      <text>
        <r>
          <rPr>
            <b/>
            <sz val="9"/>
            <color indexed="81"/>
            <rFont val="Tahoma"/>
            <family val="2"/>
          </rPr>
          <t>Cassel, Lauren (Research):</t>
        </r>
        <r>
          <rPr>
            <sz val="9"/>
            <color indexed="81"/>
            <rFont val="Tahoma"/>
            <family val="2"/>
          </rPr>
          <t xml:space="preserve">
11/6/17: we now expect to achieve run-rate synergies of approximately $100 to $115 million in fiscal 2019 versus our previous guidance of $50 million (50% COGS, 50% SG&amp;A)</t>
        </r>
      </text>
    </comment>
    <comment ref="N13" authorId="0">
      <text>
        <r>
          <rPr>
            <b/>
            <sz val="8"/>
            <color indexed="81"/>
            <rFont val="Tahoma"/>
            <family val="2"/>
          </rPr>
          <t>mm98285:</t>
        </r>
        <r>
          <rPr>
            <sz val="8"/>
            <color indexed="81"/>
            <rFont val="Tahoma"/>
            <family val="2"/>
          </rPr>
          <t xml:space="preserve">
8/06 (meeting w/Andrea): GM expected to be flat at ~78% going forward</t>
        </r>
      </text>
    </comment>
    <comment ref="X13" authorId="2">
      <text>
        <r>
          <rPr>
            <b/>
            <sz val="9"/>
            <color indexed="81"/>
            <rFont val="Tahoma"/>
            <family val="2"/>
          </rPr>
          <t>turleamb:</t>
        </r>
        <r>
          <rPr>
            <sz val="9"/>
            <color indexed="81"/>
            <rFont val="Tahoma"/>
            <family val="2"/>
          </rPr>
          <t xml:space="preserve">
6/19/14 analyst day: expect 69-70%</t>
        </r>
      </text>
    </comment>
    <comment ref="G15" authorId="0">
      <text>
        <r>
          <rPr>
            <b/>
            <sz val="8"/>
            <color indexed="81"/>
            <rFont val="Tahoma"/>
            <family val="2"/>
          </rPr>
          <t>mm98285:</t>
        </r>
        <r>
          <rPr>
            <sz val="8"/>
            <color indexed="81"/>
            <rFont val="Tahoma"/>
            <family val="2"/>
          </rPr>
          <t xml:space="preserve">
excludes options expense</t>
        </r>
      </text>
    </comment>
    <comment ref="H15" authorId="0">
      <text>
        <r>
          <rPr>
            <b/>
            <sz val="8"/>
            <color indexed="81"/>
            <rFont val="Tahoma"/>
            <family val="2"/>
          </rPr>
          <t>mm98285:</t>
        </r>
        <r>
          <rPr>
            <sz val="8"/>
            <color indexed="81"/>
            <rFont val="Tahoma"/>
            <family val="2"/>
          </rPr>
          <t xml:space="preserve">
excludes options expense</t>
        </r>
      </text>
    </comment>
    <comment ref="I15" authorId="0">
      <text>
        <r>
          <rPr>
            <b/>
            <sz val="8"/>
            <color indexed="81"/>
            <rFont val="Tahoma"/>
            <family val="2"/>
          </rPr>
          <t>mm98285:</t>
        </r>
        <r>
          <rPr>
            <sz val="8"/>
            <color indexed="81"/>
            <rFont val="Tahoma"/>
            <family val="2"/>
          </rPr>
          <t xml:space="preserve">
$346.4 prior to restatement</t>
        </r>
      </text>
    </comment>
    <comment ref="J15" authorId="0">
      <text>
        <r>
          <rPr>
            <b/>
            <sz val="8"/>
            <color indexed="81"/>
            <rFont val="Tahoma"/>
            <family val="2"/>
          </rPr>
          <t>mm98285:</t>
        </r>
        <r>
          <rPr>
            <sz val="8"/>
            <color indexed="81"/>
            <rFont val="Tahoma"/>
            <family val="2"/>
          </rPr>
          <t xml:space="preserve">
$433.7 prior to restatement</t>
        </r>
      </text>
    </comment>
    <comment ref="K15" authorId="0">
      <text>
        <r>
          <rPr>
            <b/>
            <sz val="8"/>
            <color indexed="81"/>
            <rFont val="Tahoma"/>
            <family val="2"/>
          </rPr>
          <t>mm98285:</t>
        </r>
        <r>
          <rPr>
            <sz val="8"/>
            <color indexed="81"/>
            <rFont val="Tahoma"/>
            <family val="2"/>
          </rPr>
          <t xml:space="preserve">
$545.6 prior to restatement</t>
        </r>
      </text>
    </comment>
    <comment ref="L15" authorId="0">
      <text>
        <r>
          <rPr>
            <b/>
            <sz val="8"/>
            <color indexed="81"/>
            <rFont val="Tahoma"/>
            <family val="2"/>
          </rPr>
          <t>mm98285:</t>
        </r>
        <r>
          <rPr>
            <sz val="8"/>
            <color indexed="81"/>
            <rFont val="Tahoma"/>
            <family val="2"/>
          </rPr>
          <t xml:space="preserve">
10K: Selling $492.7m; Adv $78.8m; Dist $36.0m; Admin $124.4m</t>
        </r>
      </text>
    </comment>
    <comment ref="M15" authorId="0">
      <text>
        <r>
          <rPr>
            <b/>
            <sz val="8"/>
            <color indexed="81"/>
            <rFont val="Tahoma"/>
            <family val="2"/>
          </rPr>
          <t>mm98285:</t>
        </r>
        <r>
          <rPr>
            <sz val="8"/>
            <color indexed="81"/>
            <rFont val="Tahoma"/>
            <family val="2"/>
          </rPr>
          <t xml:space="preserve">
10K: Selling $576.6m; Adv $100.6m; Dist $42.2m; Admin $147.5m</t>
        </r>
      </text>
    </comment>
    <comment ref="N15" authorId="0">
      <text>
        <r>
          <rPr>
            <b/>
            <sz val="8"/>
            <color indexed="81"/>
            <rFont val="Tahoma"/>
            <family val="2"/>
          </rPr>
          <t>mm98285:</t>
        </r>
        <r>
          <rPr>
            <sz val="8"/>
            <color indexed="81"/>
            <rFont val="Tahoma"/>
            <family val="2"/>
          </rPr>
          <t xml:space="preserve">
10K: Selling $718.0m; Adv $119.8m; Dist $53.2m; Admin $138.6m</t>
        </r>
      </text>
    </comment>
    <comment ref="X15" authorId="3">
      <text>
        <r>
          <rPr>
            <b/>
            <sz val="9"/>
            <color indexed="81"/>
            <rFont val="Tahoma"/>
            <family val="2"/>
          </rPr>
          <t xml:space="preserve">Cassel, Lauren (Research):
</t>
        </r>
        <r>
          <rPr>
            <sz val="9"/>
            <color indexed="81"/>
            <rFont val="Tahoma"/>
            <family val="2"/>
          </rPr>
          <t>4/26/16: Assumes:
2% SG&amp;A inflation = +46M
-$47.5M in headcount savings
$10-15M in D&amp;A savings spread over two years (assume -$6M per year)
10% variable expense on 3% comp = +$6M
= Net $1.5M decline in SG&amp;A</t>
        </r>
      </text>
    </comment>
    <comment ref="Z15" authorId="3">
      <text>
        <r>
          <rPr>
            <b/>
            <sz val="9"/>
            <color indexed="81"/>
            <rFont val="Tahoma"/>
            <family val="2"/>
          </rPr>
          <t>Cassel, Lauren (Research):</t>
        </r>
        <r>
          <rPr>
            <sz val="9"/>
            <color indexed="81"/>
            <rFont val="Tahoma"/>
            <family val="2"/>
          </rPr>
          <t xml:space="preserve">
11/6/17: we now expect to achieve run-rate synergies of approximately $100 to $115 million in fiscal 2019 versus our previous guidance of $50 million (50% COGS, 50% SG&amp;A)</t>
        </r>
      </text>
    </comment>
    <comment ref="X16" authorId="2">
      <text>
        <r>
          <rPr>
            <b/>
            <sz val="9"/>
            <color indexed="81"/>
            <rFont val="Tahoma"/>
            <family val="2"/>
          </rPr>
          <t>turleamb:</t>
        </r>
        <r>
          <rPr>
            <sz val="9"/>
            <color indexed="81"/>
            <rFont val="Tahoma"/>
            <family val="2"/>
          </rPr>
          <t xml:space="preserve">
6/19/14 analyst day: expect to leverage to bottom line</t>
        </r>
      </text>
    </comment>
    <comment ref="K18" authorId="0">
      <text>
        <r>
          <rPr>
            <b/>
            <sz val="8"/>
            <color indexed="81"/>
            <rFont val="Tahoma"/>
            <family val="2"/>
          </rPr>
          <t>mm98285:</t>
        </r>
        <r>
          <rPr>
            <sz val="8"/>
            <color indexed="81"/>
            <rFont val="Tahoma"/>
            <family val="2"/>
          </rPr>
          <t xml:space="preserve">
$55.352m minimum rentals
$7.555m contingent rentals</t>
        </r>
      </text>
    </comment>
    <comment ref="L18" authorId="0">
      <text>
        <r>
          <rPr>
            <b/>
            <sz val="8"/>
            <color indexed="81"/>
            <rFont val="Tahoma"/>
            <family val="2"/>
          </rPr>
          <t>mm98285:</t>
        </r>
        <r>
          <rPr>
            <sz val="8"/>
            <color indexed="81"/>
            <rFont val="Tahoma"/>
            <family val="2"/>
          </rPr>
          <t xml:space="preserve">
$73.283m minimum rentals
$12.101m contingent rentals</t>
        </r>
      </text>
    </comment>
    <comment ref="M18" authorId="0">
      <text>
        <r>
          <rPr>
            <b/>
            <sz val="8"/>
            <color indexed="81"/>
            <rFont val="Tahoma"/>
            <family val="2"/>
          </rPr>
          <t>mm98285:</t>
        </r>
        <r>
          <rPr>
            <sz val="8"/>
            <color indexed="81"/>
            <rFont val="Tahoma"/>
            <family val="2"/>
          </rPr>
          <t xml:space="preserve">
$121.9M =  all in rent expense incl CAM, taxes &amp; Insurance
$77.376m minimum rentals
$16.380m contingent rentals</t>
        </r>
      </text>
    </comment>
    <comment ref="N18" authorId="0">
      <text>
        <r>
          <rPr>
            <b/>
            <sz val="8"/>
            <color indexed="81"/>
            <rFont val="Tahoma"/>
            <family val="2"/>
          </rPr>
          <t>mm98285:</t>
        </r>
        <r>
          <rPr>
            <sz val="8"/>
            <color indexed="81"/>
            <rFont val="Tahoma"/>
            <family val="2"/>
          </rPr>
          <t xml:space="preserve">
$139.7M =  all in rent expense incl CAM, taxes &amp; Insurance
$83.006m minimum rentals
$24.452m contingent rentals</t>
        </r>
      </text>
    </comment>
    <comment ref="O18" authorId="0">
      <text>
        <r>
          <rPr>
            <b/>
            <sz val="8"/>
            <color indexed="81"/>
            <rFont val="Tahoma"/>
            <family val="2"/>
          </rPr>
          <t>mm98285:</t>
        </r>
        <r>
          <rPr>
            <sz val="8"/>
            <color indexed="81"/>
            <rFont val="Tahoma"/>
            <family val="2"/>
          </rPr>
          <t xml:space="preserve">
$172.9M = all in rent expense incl CAM, taxes &amp; Insurance
$92.675m minimum rentals
$40.294m contingent rentals
90% of $133mm = NA Store rent + all Japan rent incl. office
10-K base rent includes estimated $13M for NYC office space</t>
        </r>
      </text>
    </comment>
    <comment ref="P18" authorId="0">
      <text>
        <r>
          <rPr>
            <b/>
            <sz val="8"/>
            <color indexed="81"/>
            <rFont val="Tahoma"/>
            <family val="2"/>
          </rPr>
          <t>mm98285:</t>
        </r>
        <r>
          <rPr>
            <sz val="8"/>
            <color indexed="81"/>
            <rFont val="Tahoma"/>
            <family val="2"/>
          </rPr>
          <t xml:space="preserve">
10K: $107.272M minimum rentals, $43.995M contingent rentals
5/09: $203.3M = estimated  all in rent expense incl CAM, taxes &amp; Insurance</t>
        </r>
      </text>
    </comment>
    <comment ref="Q18" authorId="0">
      <text>
        <r>
          <rPr>
            <b/>
            <sz val="8"/>
            <color indexed="81"/>
            <rFont val="Tahoma"/>
            <family val="2"/>
          </rPr>
          <t>8/10:</t>
        </r>
        <r>
          <rPr>
            <sz val="8"/>
            <color indexed="81"/>
            <rFont val="Tahoma"/>
            <family val="2"/>
          </rPr>
          <t xml:space="preserve">
10K: $121.563M minimum rentals, $59.806M contingent rentals</t>
        </r>
      </text>
    </comment>
    <comment ref="R18" authorId="4">
      <text>
        <r>
          <rPr>
            <b/>
            <sz val="8"/>
            <color indexed="81"/>
            <rFont val="Tahoma"/>
            <family val="2"/>
          </rPr>
          <t>jwyatt:</t>
        </r>
        <r>
          <rPr>
            <sz val="8"/>
            <color indexed="81"/>
            <rFont val="Tahoma"/>
            <family val="2"/>
          </rPr>
          <t xml:space="preserve">
10-K: 129.11 minimum
77.795 contingent
</t>
        </r>
      </text>
    </comment>
    <comment ref="S18" authorId="4">
      <text>
        <r>
          <rPr>
            <b/>
            <sz val="8"/>
            <color indexed="81"/>
            <rFont val="Tahoma"/>
            <family val="2"/>
          </rPr>
          <t>jwyatt:</t>
        </r>
        <r>
          <rPr>
            <sz val="8"/>
            <color indexed="81"/>
            <rFont val="Tahoma"/>
            <family val="2"/>
          </rPr>
          <t xml:space="preserve">
10-k: 153minimum, 94 contingent</t>
        </r>
      </text>
    </comment>
    <comment ref="T18" authorId="2">
      <text>
        <r>
          <rPr>
            <b/>
            <sz val="8"/>
            <color indexed="81"/>
            <rFont val="Tahoma"/>
            <family val="2"/>
          </rPr>
          <t>turleamb:</t>
        </r>
        <r>
          <rPr>
            <sz val="8"/>
            <color indexed="81"/>
            <rFont val="Tahoma"/>
            <family val="2"/>
          </rPr>
          <t xml:space="preserve">
10-k: $169 minimum, $113 contingent
</t>
        </r>
      </text>
    </comment>
    <comment ref="U18" authorId="2">
      <text>
        <r>
          <rPr>
            <b/>
            <sz val="8"/>
            <color indexed="81"/>
            <rFont val="Tahoma"/>
            <family val="2"/>
          </rPr>
          <t>turleamb:</t>
        </r>
        <r>
          <rPr>
            <sz val="8"/>
            <color indexed="81"/>
            <rFont val="Tahoma"/>
            <family val="2"/>
          </rPr>
          <t xml:space="preserve">
10-k: $172 minimum; $144 contingent rent
A portion of the increase in contingent rent from FY13 was due to the inclusion of concession based expense attributable to certain shop in shops in the international segment
</t>
        </r>
      </text>
    </comment>
    <comment ref="V18" authorId="1">
      <text>
        <r>
          <rPr>
            <b/>
            <sz val="9"/>
            <color indexed="81"/>
            <rFont val="Tahoma"/>
            <family val="2"/>
          </rPr>
          <t>minimum rent 213.8
contingent rent 142.8
includes $27.3 million of lease termination charges due to transformation-related store closures.
casselau:</t>
        </r>
        <r>
          <rPr>
            <sz val="9"/>
            <color indexed="81"/>
            <rFont val="Tahoma"/>
            <family val="2"/>
          </rPr>
          <t xml:space="preserve">
Per Andrea:  the inclusion of concession-based expense in FY14 (for the first time), caused an unusual increase in the total rent and that excluding that step up the increase was fairly small, even with a larger footprint growth.  Beyond that cannot provide any guidance</t>
        </r>
      </text>
    </comment>
    <comment ref="W18" authorId="1">
      <text>
        <r>
          <rPr>
            <b/>
            <sz val="9"/>
            <color indexed="81"/>
            <rFont val="Tahoma"/>
            <family val="2"/>
          </rPr>
          <t xml:space="preserve">casselau:
Minimum rent 229.9M
Contingent rent 134.8M
Includes $5.9M of lease termination charges 
</t>
        </r>
        <r>
          <rPr>
            <sz val="9"/>
            <color indexed="81"/>
            <rFont val="Tahoma"/>
            <family val="2"/>
          </rPr>
          <t xml:space="preserve">
4/8/16: Per Christina: In terms of rent expense, your estimate/assumptions for minimum and contingent rent seem generally reasonable.   In terms of lease termination charges, it is more complex (for example, the charges are incurred when the contract to close is signed not necessarily timed to the closures), but at a high level, given our guidance for store closures this year vs. last year (i.e. significantly fewer retail closures in NA in FY16 vs. FY15), last year’s lease termination charge would not be the right proxy.   However, as an offset, it does not look like you’re contemplating rent associated with Stuart Weitzman.</t>
        </r>
      </text>
    </comment>
    <comment ref="A26" authorId="0">
      <text>
        <r>
          <rPr>
            <b/>
            <sz val="8"/>
            <color indexed="81"/>
            <rFont val="Tahoma"/>
            <family val="2"/>
          </rPr>
          <t>mm98285:</t>
        </r>
        <r>
          <rPr>
            <sz val="8"/>
            <color indexed="81"/>
            <rFont val="Tahoma"/>
            <family val="2"/>
          </rPr>
          <t xml:space="preserve">
store employee comp, store occupancy costs, store supply costs, wholesale and retail account admin comp, and COH intl operating exp. These expenses are affected by the number of Coach operated stores open during any fiscal period and store performance, as comepnsation and rent expenses vary with sales. </t>
        </r>
      </text>
    </comment>
    <comment ref="A30" authorId="0">
      <text>
        <r>
          <rPr>
            <b/>
            <sz val="8"/>
            <color indexed="81"/>
            <rFont val="Tahoma"/>
            <family val="2"/>
          </rPr>
          <t>mm98285:</t>
        </r>
        <r>
          <rPr>
            <sz val="8"/>
            <color indexed="81"/>
            <rFont val="Tahoma"/>
            <family val="2"/>
          </rPr>
          <t xml:space="preserve">
warehousing, order fulfillment, shipping and handling, customer service and bag repair costs</t>
        </r>
      </text>
    </comment>
    <comment ref="A35" authorId="0">
      <text>
        <r>
          <rPr>
            <b/>
            <sz val="8"/>
            <color indexed="81"/>
            <rFont val="Tahoma"/>
            <family val="2"/>
          </rPr>
          <t>mm98285:</t>
        </r>
        <r>
          <rPr>
            <sz val="8"/>
            <color indexed="81"/>
            <rFont val="Tahoma"/>
            <family val="2"/>
          </rPr>
          <t xml:space="preserve">
employee comp, media space and production, ad agency fees (mostly for NA), new product design costs, PR and market research. 
</t>
        </r>
      </text>
    </comment>
    <comment ref="A37" authorId="5">
      <text>
        <r>
          <rPr>
            <b/>
            <sz val="9"/>
            <color indexed="81"/>
            <rFont val="Tahoma"/>
            <family val="2"/>
          </rPr>
          <t>Turley, Amber (Research):</t>
        </r>
        <r>
          <rPr>
            <sz val="9"/>
            <color indexed="81"/>
            <rFont val="Tahoma"/>
            <family val="2"/>
          </rPr>
          <t xml:space="preserve">
includes expenses related to direct marketing activities such as direct mail pieces, digital and other media and production costs. </t>
        </r>
      </text>
    </comment>
    <comment ref="V37" authorId="1">
      <text>
        <r>
          <rPr>
            <b/>
            <sz val="9"/>
            <color indexed="81"/>
            <rFont val="Tahoma"/>
            <family val="2"/>
          </rPr>
          <t>casselau:</t>
        </r>
        <r>
          <rPr>
            <sz val="9"/>
            <color indexed="81"/>
            <rFont val="Tahoma"/>
            <family val="2"/>
          </rPr>
          <t xml:space="preserve">
including $2M for SW</t>
        </r>
      </text>
    </comment>
    <comment ref="Q48" authorId="5">
      <text>
        <r>
          <rPr>
            <b/>
            <sz val="9"/>
            <color indexed="81"/>
            <rFont val="Tahoma"/>
            <family val="2"/>
          </rPr>
          <t>Turley, Amber (Research):</t>
        </r>
        <r>
          <rPr>
            <sz val="9"/>
            <color indexed="81"/>
            <rFont val="Tahoma"/>
            <family val="2"/>
          </rPr>
          <t xml:space="preserve">
DTC: $85,110
IndirectL: $10,138
Corp Unallocated: $31,496</t>
        </r>
      </text>
    </comment>
    <comment ref="R48" authorId="5">
      <text>
        <r>
          <rPr>
            <b/>
            <sz val="9"/>
            <color indexed="81"/>
            <rFont val="Tahoma"/>
            <family val="2"/>
          </rPr>
          <t>Turley, Amber (Research):</t>
        </r>
        <r>
          <rPr>
            <sz val="9"/>
            <color indexed="81"/>
            <rFont val="Tahoma"/>
            <family val="2"/>
          </rPr>
          <t xml:space="preserve">
DTC: $82,333
Indirect: $11,273
Corp Unallocated: $31,500</t>
        </r>
      </text>
    </comment>
    <comment ref="S48" authorId="5">
      <text>
        <r>
          <rPr>
            <b/>
            <sz val="9"/>
            <color indexed="81"/>
            <rFont val="Tahoma"/>
            <family val="2"/>
          </rPr>
          <t>Turley, Amber (Research):</t>
        </r>
        <r>
          <rPr>
            <sz val="9"/>
            <color indexed="81"/>
            <rFont val="Tahoma"/>
            <family val="2"/>
          </rPr>
          <t xml:space="preserve">
NA 63,800
Intl 38,361
Corp Unallocated 30,748</t>
        </r>
      </text>
    </comment>
    <comment ref="T48" authorId="2">
      <text>
        <r>
          <rPr>
            <b/>
            <sz val="8"/>
            <color indexed="81"/>
            <rFont val="Tahoma"/>
            <family val="2"/>
          </rPr>
          <t>turleamb:</t>
        </r>
        <r>
          <rPr>
            <sz val="8"/>
            <color indexed="81"/>
            <rFont val="Tahoma"/>
            <family val="2"/>
          </rPr>
          <t xml:space="preserve">
NA: 72,279
Intl: 45,693
Corp Unallocated (due to HQ JV): 45,015</t>
        </r>
      </text>
    </comment>
    <comment ref="U48" authorId="2">
      <text>
        <r>
          <rPr>
            <b/>
            <sz val="8"/>
            <color indexed="81"/>
            <rFont val="Tahoma"/>
            <family val="2"/>
          </rPr>
          <t>turleamb:</t>
        </r>
        <r>
          <rPr>
            <sz val="8"/>
            <color indexed="81"/>
            <rFont val="Tahoma"/>
            <family val="2"/>
          </rPr>
          <t xml:space="preserve">
NA: 72,883
Intl: 58,837
Corp Unallocated: 57,640</t>
        </r>
      </text>
    </comment>
    <comment ref="V48" authorId="2">
      <text>
        <r>
          <rPr>
            <b/>
            <sz val="9"/>
            <color indexed="81"/>
            <rFont val="Tahoma"/>
            <family val="2"/>
          </rPr>
          <t>turleamb:</t>
        </r>
        <r>
          <rPr>
            <sz val="9"/>
            <color indexed="81"/>
            <rFont val="Tahoma"/>
            <family val="2"/>
          </rPr>
          <t xml:space="preserve">
adjusted to reflect HQ spend. Assume $190m in HQ cash outflow. Per 10-K (pg 63) Buildings are depreciated on a straight-line basis over 40 years. 
10-K: The Company expects to incur additional pre-tax charges of approximately $120,000 to $170,000, primarily in fiscal 2015, in connection with the Transformation Plan. These costs will primarily consist of store-related costs (including accelerated depreciation charges as a result of store updates) and organizational efficiency charges (including employee severance costs).
</t>
        </r>
      </text>
    </comment>
    <comment ref="V51" authorId="1">
      <text>
        <r>
          <rPr>
            <b/>
            <sz val="9"/>
            <color indexed="81"/>
            <rFont val="Tahoma"/>
            <family val="2"/>
          </rPr>
          <t>casselau:</t>
        </r>
        <r>
          <rPr>
            <sz val="9"/>
            <color indexed="81"/>
            <rFont val="Tahoma"/>
            <family val="2"/>
          </rPr>
          <t xml:space="preserve">
Depreciation and amortization expense includes $48.8 million of transformation-related charges, for the fiscal year ended June 27, 2015. These charges are recorded as corporate unallocated expenses.</t>
        </r>
      </text>
    </comment>
    <comment ref="W51" authorId="3">
      <text>
        <r>
          <rPr>
            <b/>
            <sz val="9"/>
            <color indexed="81"/>
            <rFont val="Tahoma"/>
            <family val="2"/>
          </rPr>
          <t>Cassel, Lauren (Research):</t>
        </r>
        <r>
          <rPr>
            <sz val="9"/>
            <color indexed="81"/>
            <rFont val="Tahoma"/>
            <family val="2"/>
          </rPr>
          <t xml:space="preserve">
)  
Depreciation and amortization expense includes $8.5 million of transformation-related and operational efficiency plan charges for the fiscal year ended July 2, 2016. </t>
        </r>
      </text>
    </comment>
    <comment ref="Z61" authorId="3">
      <text>
        <r>
          <rPr>
            <b/>
            <sz val="9"/>
            <color indexed="81"/>
            <rFont val="Tahoma"/>
            <family val="2"/>
          </rPr>
          <t>Cassel, Lauren (Research):</t>
        </r>
        <r>
          <rPr>
            <sz val="9"/>
            <color indexed="81"/>
            <rFont val="Tahoma"/>
            <family val="2"/>
          </rPr>
          <t xml:space="preserve">
11/6/17: we now expect to achieve run-rate synergies of approximately $100 to $115 million in fiscal 2019 versus our previous guidance of $50 million (50% COGS, 50% SG&amp;A)</t>
        </r>
      </text>
    </comment>
    <comment ref="V62" authorId="5">
      <text>
        <r>
          <rPr>
            <b/>
            <sz val="9"/>
            <color indexed="81"/>
            <rFont val="Tahoma"/>
            <family val="2"/>
          </rPr>
          <t>Turley, Amber (Research):</t>
        </r>
        <r>
          <rPr>
            <sz val="9"/>
            <color indexed="81"/>
            <rFont val="Tahoma"/>
            <family val="2"/>
          </rPr>
          <t xml:space="preserve">
6/19/14: analyst day slide 244: expect high teens</t>
        </r>
      </text>
    </comment>
    <comment ref="X62" authorId="2">
      <text>
        <r>
          <rPr>
            <b/>
            <sz val="9"/>
            <color indexed="81"/>
            <rFont val="Tahoma"/>
            <family val="2"/>
          </rPr>
          <t xml:space="preserve">4/26/16:  </t>
        </r>
        <r>
          <rPr>
            <sz val="9"/>
            <color indexed="81"/>
            <rFont val="Tahoma"/>
            <family val="2"/>
          </rPr>
          <t>expect 20% operating margin for the Coach brand in Fiscal Year 2017 (SW ~20 bps impact)</t>
        </r>
        <r>
          <rPr>
            <b/>
            <sz val="9"/>
            <color indexed="81"/>
            <rFont val="Tahoma"/>
            <family val="2"/>
          </rPr>
          <t xml:space="preserve">
8/4/15: around ~20% </t>
        </r>
        <r>
          <rPr>
            <sz val="9"/>
            <color indexed="81"/>
            <rFont val="Tahoma"/>
            <family val="2"/>
          </rPr>
          <t xml:space="preserve">
6/19/14 analyst day: expect 20-25%</t>
        </r>
      </text>
    </comment>
    <comment ref="Z71" authorId="6">
      <text>
        <r>
          <rPr>
            <b/>
            <sz val="9"/>
            <color indexed="81"/>
            <rFont val="Tahoma"/>
            <family val="2"/>
          </rPr>
          <t>Roberts, Cynthia (Research):</t>
        </r>
        <r>
          <rPr>
            <sz val="9"/>
            <color indexed="81"/>
            <rFont val="Tahoma"/>
            <family val="2"/>
          </rPr>
          <t xml:space="preserve">
2/6/18: preliminary 300 bps benefit from lower US federal corporate tax rate. Assuming preliminary 24-25% guidance yields 21-22% rate</t>
        </r>
      </text>
    </comment>
    <comment ref="AA71" authorId="6">
      <text>
        <r>
          <rPr>
            <b/>
            <sz val="9"/>
            <color indexed="81"/>
            <rFont val="Tahoma"/>
            <family val="2"/>
          </rPr>
          <t>Roberts, Cynthia (Research):</t>
        </r>
        <r>
          <rPr>
            <sz val="9"/>
            <color indexed="81"/>
            <rFont val="Tahoma"/>
            <family val="2"/>
          </rPr>
          <t xml:space="preserve">
2/6/18: preliminary 300 bps benefit from lower US federal corporate tax rate. Assuming preliminary 24-25% guidance yields 21-22% rate</t>
        </r>
      </text>
    </comment>
    <comment ref="AB71" authorId="6">
      <text>
        <r>
          <rPr>
            <b/>
            <sz val="9"/>
            <color indexed="81"/>
            <rFont val="Tahoma"/>
            <family val="2"/>
          </rPr>
          <t>Roberts, Cynthia (Research):</t>
        </r>
        <r>
          <rPr>
            <sz val="9"/>
            <color indexed="81"/>
            <rFont val="Tahoma"/>
            <family val="2"/>
          </rPr>
          <t xml:space="preserve">
2/6/18: preliminary 300 bps benefit from lower US federal corporate tax rate. Assuming preliminary 24-25% guidance yields 21-22% rate</t>
        </r>
      </text>
    </comment>
    <comment ref="AC71" authorId="6">
      <text>
        <r>
          <rPr>
            <b/>
            <sz val="9"/>
            <color indexed="81"/>
            <rFont val="Tahoma"/>
            <family val="2"/>
          </rPr>
          <t>Roberts, Cynthia (Research):</t>
        </r>
        <r>
          <rPr>
            <sz val="9"/>
            <color indexed="81"/>
            <rFont val="Tahoma"/>
            <family val="2"/>
          </rPr>
          <t xml:space="preserve">
2/6/18: preliminary 300 bps benefit from lower US federal corporate tax rate. Assuming preliminary 24-25% guidance yields 21-22% rate</t>
        </r>
      </text>
    </comment>
    <comment ref="M73" authorId="0">
      <text>
        <r>
          <rPr>
            <b/>
            <sz val="8"/>
            <color indexed="81"/>
            <rFont val="Tahoma"/>
            <family val="2"/>
          </rPr>
          <t>mm98285:</t>
        </r>
        <r>
          <rPr>
            <sz val="8"/>
            <color indexed="81"/>
            <rFont val="Tahoma"/>
            <family val="2"/>
          </rPr>
          <t xml:space="preserve">
10K: purchase of Sumitomo's 50% interest in Coach Japan on 7/1/05, eliminated minority interest as of 1Q06</t>
        </r>
      </text>
    </comment>
    <comment ref="O88" authorId="7">
      <text>
        <r>
          <rPr>
            <b/>
            <sz val="8"/>
            <color indexed="81"/>
            <rFont val="Tahoma"/>
            <family val="2"/>
          </rPr>
          <t>MB33100:</t>
        </r>
        <r>
          <rPr>
            <sz val="8"/>
            <color indexed="81"/>
            <rFont val="Tahoma"/>
            <family val="2"/>
          </rPr>
          <t xml:space="preserve">
12/06: assumes $250mm of share repo authorization will remain into 2008, at $43/ share, plus 2mm shs of options creep</t>
        </r>
      </text>
    </comment>
    <comment ref="R88" authorId="0">
      <text>
        <r>
          <rPr>
            <b/>
            <sz val="8"/>
            <color indexed="81"/>
            <rFont val="Tahoma"/>
            <family val="2"/>
          </rPr>
          <t>mm98285:</t>
        </r>
        <r>
          <rPr>
            <sz val="8"/>
            <color indexed="81"/>
            <rFont val="Tahoma"/>
            <family val="2"/>
          </rPr>
          <t xml:space="preserve">
10/08: conservatively assume $400mm share repo for ~13mm shares offset by 8mm option creep</t>
        </r>
      </text>
    </comment>
  </commentList>
</comments>
</file>

<file path=xl/comments11.xml><?xml version="1.0" encoding="utf-8"?>
<comments xmlns="http://schemas.openxmlformats.org/spreadsheetml/2006/main">
  <authors>
    <author>mm98285</author>
    <author>ns66486</author>
    <author>lauraro</author>
  </authors>
  <commentList>
    <comment ref="AB80" authorId="0">
      <text>
        <r>
          <rPr>
            <b/>
            <sz val="8"/>
            <color indexed="81"/>
            <rFont val="Tahoma"/>
            <family val="2"/>
          </rPr>
          <t>mm98285:</t>
        </r>
        <r>
          <rPr>
            <sz val="8"/>
            <color indexed="81"/>
            <rFont val="Tahoma"/>
            <family val="2"/>
          </rPr>
          <t xml:space="preserve">
includes CJI</t>
        </r>
      </text>
    </comment>
    <comment ref="AF116" authorId="0">
      <text>
        <r>
          <rPr>
            <b/>
            <sz val="8"/>
            <color indexed="81"/>
            <rFont val="Tahoma"/>
            <family val="2"/>
          </rPr>
          <t>mm98285:</t>
        </r>
        <r>
          <rPr>
            <sz val="8"/>
            <color indexed="81"/>
            <rFont val="Tahoma"/>
            <family val="2"/>
          </rPr>
          <t xml:space="preserve">
total inventory -16.0% (or ~-8% in units given -8% decline in average unit cost)</t>
        </r>
      </text>
    </comment>
    <comment ref="AF119" authorId="1">
      <text>
        <r>
          <rPr>
            <b/>
            <sz val="8"/>
            <color indexed="81"/>
            <rFont val="Tahoma"/>
            <family val="2"/>
          </rPr>
          <t>ns66486:</t>
        </r>
        <r>
          <rPr>
            <sz val="8"/>
            <color indexed="81"/>
            <rFont val="Tahoma"/>
            <family val="2"/>
          </rPr>
          <t xml:space="preserve">
4/20/2010: expect to see some inventory growth as build inventories for fall season and anniversary AUC improvements</t>
        </r>
      </text>
    </comment>
    <comment ref="AF123" authorId="2">
      <text>
        <r>
          <rPr>
            <b/>
            <sz val="8"/>
            <color indexed="81"/>
            <rFont val="Tahoma"/>
            <family val="2"/>
          </rPr>
          <t>lauraro:</t>
        </r>
        <r>
          <rPr>
            <sz val="8"/>
            <color indexed="81"/>
            <rFont val="Tahoma"/>
            <family val="2"/>
          </rPr>
          <t xml:space="preserve">
8/10: Exp inv growth (~20%?) at end of 1Q11 as we build inv against current trends to maximize sales this holiday season</t>
        </r>
      </text>
    </comment>
  </commentList>
</comments>
</file>

<file path=xl/comments12.xml><?xml version="1.0" encoding="utf-8"?>
<comments xmlns="http://schemas.openxmlformats.org/spreadsheetml/2006/main">
  <authors>
    <author>casselau</author>
    <author>turleamb</author>
    <author>Cassel, Lauren (Research)</author>
    <author>mm98285</author>
    <author>Turley, Amber (Research)</author>
  </authors>
  <commentList>
    <comment ref="BE10" authorId="0">
      <text>
        <r>
          <rPr>
            <sz val="8"/>
            <color indexed="81"/>
            <rFont val="Tahoma"/>
            <family val="2"/>
          </rPr>
          <t>inv growth would have been in line with sales if not for SE Asia acq's</t>
        </r>
      </text>
    </comment>
    <comment ref="BI10" authorId="1">
      <text>
        <r>
          <rPr>
            <b/>
            <sz val="8"/>
            <color indexed="81"/>
            <rFont val="Tahoma"/>
            <family val="2"/>
          </rPr>
          <t>turleamb:</t>
        </r>
        <r>
          <rPr>
            <sz val="8"/>
            <color indexed="81"/>
            <rFont val="Tahoma"/>
            <family val="2"/>
          </rPr>
          <t xml:space="preserve">
10/22/13: drivers of inventory increase: "think about the increased overall AUC or average unit cost is driving overall inventory and obviously our sales were
slightly -- were below our expectation"</t>
        </r>
      </text>
    </comment>
    <comment ref="BP10" authorId="0">
      <text>
        <r>
          <rPr>
            <b/>
            <sz val="9"/>
            <color indexed="81"/>
            <rFont val="Tahoma"/>
            <family val="2"/>
          </rPr>
          <t>casselau:</t>
        </r>
        <r>
          <rPr>
            <sz val="9"/>
            <color indexed="81"/>
            <rFont val="Tahoma"/>
            <family val="2"/>
          </rPr>
          <t xml:space="preserve">
includes $32M of SW inventory </t>
        </r>
      </text>
    </comment>
    <comment ref="BQ10" authorId="0">
      <text>
        <r>
          <rPr>
            <b/>
            <sz val="9"/>
            <color indexed="81"/>
            <rFont val="Tahoma"/>
            <family val="2"/>
          </rPr>
          <t>casselau:</t>
        </r>
        <r>
          <rPr>
            <sz val="9"/>
            <color indexed="81"/>
            <rFont val="Tahoma"/>
            <family val="2"/>
          </rPr>
          <t xml:space="preserve">
Coach brand -9%</t>
        </r>
      </text>
    </comment>
    <comment ref="BX10" authorId="2">
      <text>
        <r>
          <rPr>
            <b/>
            <sz val="9"/>
            <color indexed="81"/>
            <rFont val="Tahoma"/>
            <family val="2"/>
          </rPr>
          <t>Cassel, Lauren (Research):</t>
        </r>
        <r>
          <rPr>
            <sz val="9"/>
            <color indexed="81"/>
            <rFont val="Tahoma"/>
            <family val="2"/>
          </rPr>
          <t xml:space="preserve">
$283M associated with Kate Spade </t>
        </r>
      </text>
    </comment>
    <comment ref="BY10" authorId="2">
      <text>
        <r>
          <rPr>
            <b/>
            <sz val="9"/>
            <color indexed="81"/>
            <rFont val="Tahoma"/>
            <family val="2"/>
          </rPr>
          <t>Cassel, Lauren (Research):</t>
        </r>
        <r>
          <rPr>
            <sz val="9"/>
            <color indexed="81"/>
            <rFont val="Tahoma"/>
            <family val="2"/>
          </rPr>
          <t xml:space="preserve">
8/15/17: Similarly, we would expect a higher inventory to sales ratio than has been our recent history due to elevated inventory levels at Kate Spade. We will protect the brand by not
moving excess inventory into the disposition market but rather primarily flow it into our owned network into the second half of the year. Therefore, we would expect our inventory to sales ratio to improve as we move through fiscal 2018.</t>
        </r>
      </text>
    </comment>
    <comment ref="BI11" authorId="1">
      <text>
        <r>
          <rPr>
            <b/>
            <sz val="8"/>
            <color indexed="81"/>
            <rFont val="Tahoma"/>
            <family val="2"/>
          </rPr>
          <t>turleamb:</t>
        </r>
        <r>
          <rPr>
            <sz val="8"/>
            <color indexed="81"/>
            <rFont val="Tahoma"/>
            <family val="2"/>
          </rPr>
          <t xml:space="preserve">
1/22/14: Shipments into international wholesale accounts increased significantly, as
expected, due to timing of a Chinese holiday while underlying POS sales trends
increased slightly.
As mentioned on our last
call, we have planned for inventory levels to be up over the balance of the fiscal year, based on several key factors, including distribution growth,
the acquisition of Coach Europe, higher average unit cost, and our expansion into lifestyle categories. Also sales below expectations is driving inventory levels. operating model, with a robust factory channel, allows us to view our inventory as currency and our balances our high quality and
current</t>
        </r>
      </text>
    </comment>
    <comment ref="BP11" authorId="0">
      <text>
        <r>
          <rPr>
            <b/>
            <sz val="9"/>
            <color indexed="81"/>
            <rFont val="Tahoma"/>
            <family val="2"/>
          </rPr>
          <t>casselau:</t>
        </r>
        <r>
          <rPr>
            <sz val="9"/>
            <color indexed="81"/>
            <rFont val="Tahoma"/>
            <family val="2"/>
          </rPr>
          <t xml:space="preserve">
$29M related to Stuart Weitzman</t>
        </r>
      </text>
    </comment>
    <comment ref="BQ11" authorId="0">
      <text>
        <r>
          <rPr>
            <b/>
            <sz val="9"/>
            <color indexed="81"/>
            <rFont val="Tahoma"/>
            <family val="2"/>
          </rPr>
          <t>casselau:</t>
        </r>
        <r>
          <rPr>
            <sz val="9"/>
            <color indexed="81"/>
            <rFont val="Tahoma"/>
            <family val="2"/>
          </rPr>
          <t xml:space="preserve">
Coach brand inventory -9%</t>
        </r>
      </text>
    </comment>
    <comment ref="BY11" authorId="2">
      <text>
        <r>
          <rPr>
            <b/>
            <sz val="9"/>
            <color indexed="81"/>
            <rFont val="Tahoma"/>
            <family val="2"/>
          </rPr>
          <t>Cassel, Lauren (Research):</t>
        </r>
        <r>
          <rPr>
            <sz val="9"/>
            <color indexed="81"/>
            <rFont val="Tahoma"/>
            <family val="2"/>
          </rPr>
          <t xml:space="preserve">
11/7/17: Therefore, we
expect our inventory to sales ratio to improve as we move through fiscal 2018.</t>
        </r>
      </text>
    </comment>
    <comment ref="AJ12" authorId="3">
      <text>
        <r>
          <rPr>
            <b/>
            <sz val="8"/>
            <color indexed="81"/>
            <rFont val="Tahoma"/>
            <family val="2"/>
          </rPr>
          <t>mm98285:</t>
        </r>
        <r>
          <rPr>
            <sz val="8"/>
            <color indexed="81"/>
            <rFont val="Tahoma"/>
            <family val="2"/>
          </rPr>
          <t xml:space="preserve">
319.655 prior
</t>
        </r>
      </text>
    </comment>
    <comment ref="BM12" authorId="4">
      <text>
        <r>
          <rPr>
            <b/>
            <sz val="9"/>
            <color indexed="81"/>
            <rFont val="Tahoma"/>
            <family val="2"/>
          </rPr>
          <t>Turley, Amber (Research):</t>
        </r>
        <r>
          <rPr>
            <sz val="9"/>
            <color indexed="81"/>
            <rFont val="Tahoma"/>
            <family val="2"/>
          </rPr>
          <t xml:space="preserve">
1/29/15: Inventory should trend with sales. May have some puts and takes for holiday quarters or store openings but that's the trend that should continue (in line with sales)</t>
        </r>
      </text>
    </comment>
    <comment ref="BP12" authorId="2">
      <text>
        <r>
          <rPr>
            <b/>
            <sz val="9"/>
            <color indexed="81"/>
            <rFont val="Tahoma"/>
            <family val="2"/>
          </rPr>
          <t>Cassel, Lauren (Research):</t>
        </r>
        <r>
          <rPr>
            <sz val="9"/>
            <color indexed="81"/>
            <rFont val="Tahoma"/>
            <family val="2"/>
          </rPr>
          <t xml:space="preserve">
4/26/16: The Company ended the third quarter of FY16 with inventory of $464 million including $27 million associated with Stuart Weitzman. This compared to ending inventory for the Coach brand of $457 million for the third quarter of FY15. Therefore, inventory rose 2% on a consolidated basis but declined 4% for the Coach brand. </t>
        </r>
      </text>
    </comment>
    <comment ref="BY12" authorId="2">
      <text>
        <r>
          <rPr>
            <b/>
            <sz val="9"/>
            <color indexed="81"/>
            <rFont val="Tahoma"/>
            <family val="2"/>
          </rPr>
          <t>Cassel, Lauren (Research):</t>
        </r>
        <r>
          <rPr>
            <sz val="9"/>
            <color indexed="81"/>
            <rFont val="Tahoma"/>
            <family val="2"/>
          </rPr>
          <t xml:space="preserve">
11/7/17: Therefore, we
expect our inventory to sales ratio to improve as we move through fiscal 2018.</t>
        </r>
      </text>
    </comment>
    <comment ref="BI13" authorId="1">
      <text>
        <r>
          <rPr>
            <b/>
            <sz val="8"/>
            <color indexed="81"/>
            <rFont val="Tahoma"/>
            <family val="2"/>
          </rPr>
          <t>turleamb:</t>
        </r>
        <r>
          <rPr>
            <sz val="8"/>
            <color indexed="81"/>
            <rFont val="Tahoma"/>
            <family val="2"/>
          </rPr>
          <t xml:space="preserve">
10/22/13: "We expect based on square footage growth that you'll -- you will see continued inventory growth through FY '14, and we have a few factors that
I outlined, AUC cost increases, the acquisition of Coach Europe, and also our expansion into lifestyle categories."</t>
        </r>
      </text>
    </comment>
    <comment ref="BL13" authorId="0">
      <text>
        <r>
          <rPr>
            <b/>
            <sz val="9"/>
            <color indexed="81"/>
            <rFont val="Tahoma"/>
            <family val="2"/>
          </rPr>
          <t>casselau:</t>
        </r>
        <r>
          <rPr>
            <sz val="9"/>
            <color indexed="81"/>
            <rFont val="Tahoma"/>
            <family val="2"/>
          </rPr>
          <t xml:space="preserve">
includes $33M in Stuart Weitzman inventory</t>
        </r>
      </text>
    </comment>
    <comment ref="BM13" authorId="4">
      <text>
        <r>
          <rPr>
            <b/>
            <sz val="9"/>
            <color indexed="81"/>
            <rFont val="Tahoma"/>
            <family val="2"/>
          </rPr>
          <t xml:space="preserve">8/4/15: </t>
        </r>
        <r>
          <rPr>
            <sz val="9"/>
            <color indexed="81"/>
            <rFont val="Tahoma"/>
            <family val="2"/>
          </rPr>
          <t>Therefore, inventory declined 8% on a Coach Inc. consolidated basis and 14% for the Coach brand in line with sales.
1/29/15: Inventory should trend with sales. May have some puts and takes for holiday quarters or store openings but that's the trend that should continue (in line with sales)</t>
        </r>
      </text>
    </comment>
    <comment ref="BY13" authorId="2">
      <text>
        <r>
          <rPr>
            <b/>
            <sz val="9"/>
            <color indexed="81"/>
            <rFont val="Tahoma"/>
            <family val="2"/>
          </rPr>
          <t>Cassel, Lauren (Research):</t>
        </r>
        <r>
          <rPr>
            <sz val="9"/>
            <color indexed="81"/>
            <rFont val="Tahoma"/>
            <family val="2"/>
          </rPr>
          <t xml:space="preserve">
11/7/17: Therefore, we
expect our inventory to sales ratio to improve as we move through fiscal 2018.</t>
        </r>
      </text>
    </comment>
    <comment ref="AR15" authorId="1">
      <text>
        <r>
          <rPr>
            <b/>
            <sz val="8"/>
            <color indexed="81"/>
            <rFont val="Tahoma"/>
            <family val="2"/>
          </rPr>
          <t>turleamb:</t>
        </r>
        <r>
          <rPr>
            <sz val="8"/>
            <color indexed="81"/>
            <rFont val="Tahoma"/>
            <family val="2"/>
          </rPr>
          <t xml:space="preserve">
accounts receivable and other current assets</t>
        </r>
      </text>
    </comment>
    <comment ref="BD19" authorId="1">
      <text>
        <r>
          <rPr>
            <b/>
            <sz val="8"/>
            <color indexed="81"/>
            <rFont val="Tahoma"/>
            <family val="2"/>
          </rPr>
          <t>turleamb:</t>
        </r>
        <r>
          <rPr>
            <sz val="8"/>
            <color indexed="81"/>
            <rFont val="Tahoma"/>
            <family val="2"/>
          </rPr>
          <t xml:space="preserve">
includes AR, other CA, prepaid expenses, current deferred income taxes</t>
        </r>
      </text>
    </comment>
  </commentList>
</comments>
</file>

<file path=xl/comments13.xml><?xml version="1.0" encoding="utf-8"?>
<comments xmlns="http://schemas.openxmlformats.org/spreadsheetml/2006/main">
  <authors>
    <author>Turley, Amber (Research)</author>
    <author>turleamb</author>
    <author>LM37689</author>
    <author>casselau</author>
  </authors>
  <commentList>
    <comment ref="AH8" authorId="0">
      <text>
        <r>
          <rPr>
            <b/>
            <sz val="9"/>
            <color indexed="81"/>
            <rFont val="Tahoma"/>
            <family val="2"/>
          </rPr>
          <t>Turley, Amber (Research):</t>
        </r>
        <r>
          <rPr>
            <sz val="9"/>
            <color indexed="81"/>
            <rFont val="Tahoma"/>
            <family val="2"/>
          </rPr>
          <t xml:space="preserve">
$660.9 in cash and cash equivalents. $246.6 in short term investments
10-Q: Substantially all of our cash and short-term
investments are held outside the U.S. in jurisdictions where we intend to permanently reinvest our undistributed earnings to support our continued
growth. We are not dependent on foreign cash to fund our domestic operations. If our plans change and we choose to repatriate any funds to the
U.S. in the future, we would be subject to applicable U.S. and foreign taxes.</t>
        </r>
      </text>
    </comment>
    <comment ref="AF9" authorId="1">
      <text>
        <r>
          <rPr>
            <b/>
            <sz val="9"/>
            <color indexed="81"/>
            <rFont val="Tahoma"/>
            <family val="2"/>
          </rPr>
          <t>turleamb:</t>
        </r>
        <r>
          <rPr>
            <sz val="9"/>
            <color indexed="81"/>
            <rFont val="Tahoma"/>
            <family val="2"/>
          </rPr>
          <t xml:space="preserve">
10-Q: ~75% of cash overseas</t>
        </r>
      </text>
    </comment>
    <comment ref="AH9" authorId="0">
      <text>
        <r>
          <rPr>
            <b/>
            <sz val="9"/>
            <color indexed="81"/>
            <rFont val="Tahoma"/>
            <family val="2"/>
          </rPr>
          <t>Turley, Amber (Research):</t>
        </r>
        <r>
          <rPr>
            <sz val="9"/>
            <color indexed="81"/>
            <rFont val="Tahoma"/>
            <family val="2"/>
          </rPr>
          <t xml:space="preserve">
$836.3M cash and cash equivalents. $228.6M short term investments</t>
        </r>
      </text>
    </comment>
    <comment ref="AF10" authorId="1">
      <text>
        <r>
          <rPr>
            <b/>
            <sz val="9"/>
            <color indexed="81"/>
            <rFont val="Tahoma"/>
            <family val="2"/>
          </rPr>
          <t>turleamb:</t>
        </r>
        <r>
          <rPr>
            <sz val="9"/>
            <color indexed="81"/>
            <rFont val="Tahoma"/>
            <family val="2"/>
          </rPr>
          <t xml:space="preserve">
4/29/14: 
continue to deploy intl cash into high quality investments with higher yields and durations over a year - in turn there's a shift between cash and short term investments into other noncurrent assets
Note: we expect more than 75% of cash is overseas since in 2Q 75% was and they repo'd shares in 3Q</t>
        </r>
      </text>
    </comment>
    <comment ref="P11" authorId="2">
      <text>
        <r>
          <rPr>
            <b/>
            <sz val="8"/>
            <color indexed="81"/>
            <rFont val="Tahoma"/>
            <family val="2"/>
          </rPr>
          <t>LM37689:</t>
        </r>
        <r>
          <rPr>
            <sz val="8"/>
            <color indexed="81"/>
            <rFont val="Tahoma"/>
            <family val="2"/>
          </rPr>
          <t xml:space="preserve">
8/06 earnings call: reflects the repurchase of over $600 million of Coach common stock</t>
        </r>
      </text>
    </comment>
    <comment ref="AH20" authorId="0">
      <text>
        <r>
          <rPr>
            <b/>
            <sz val="9"/>
            <color indexed="81"/>
            <rFont val="Tahoma"/>
            <family val="2"/>
          </rPr>
          <t>Turley, Amber (Research):</t>
        </r>
        <r>
          <rPr>
            <sz val="9"/>
            <color indexed="81"/>
            <rFont val="Tahoma"/>
            <family val="2"/>
          </rPr>
          <t xml:space="preserve">
10/28/14: $170 million outstanding on our credit facility, in order to cover our working capital needs in light
of investments in our business and new corporate headquarters.</t>
        </r>
      </text>
    </comment>
    <comment ref="AH28" authorId="3">
      <text>
        <r>
          <rPr>
            <b/>
            <sz val="9"/>
            <color indexed="81"/>
            <rFont val="Tahoma"/>
            <family val="2"/>
          </rPr>
          <t>casselau:</t>
        </r>
        <r>
          <rPr>
            <sz val="9"/>
            <color indexed="81"/>
            <rFont val="Tahoma"/>
            <family val="2"/>
          </rPr>
          <t xml:space="preserve">
4/28/15: As expected during the quarter, we announced the closing of an underwritten public offering of 4.25% senior unsecured notes with an aggregate principal amount of $600 million. In addition, we amended our existing revolving credit facility to borrow up to $1.0 billion up from $700 million previously. This amendment included the issuance of a five-year senior unsecured $300 million term loan. Therefore, in total, we had borrowings of approximately $900 million outstanding as of the end of the third quarter. As previously shared, we expect to use these proceeds to cover our working capital needs in light of investments in our business, the acquisition of Stuart Weitzman and the new corporate headquarters.</t>
        </r>
      </text>
    </comment>
  </commentList>
</comments>
</file>

<file path=xl/comments14.xml><?xml version="1.0" encoding="utf-8"?>
<comments xmlns="http://schemas.openxmlformats.org/spreadsheetml/2006/main">
  <authors>
    <author>mm98285</author>
    <author>turleamb</author>
    <author>Turley, Amber (Research)</author>
    <author>LM37689</author>
    <author>ns66486</author>
    <author>kimberlg</author>
    <author>solejay</author>
    <author>casselau</author>
    <author>Cassel, Lauren (Research)</author>
    <author>MB33100</author>
    <author>lauraro</author>
  </authors>
  <commentList>
    <comment ref="R8" authorId="0">
      <text>
        <r>
          <rPr>
            <b/>
            <sz val="8"/>
            <color indexed="81"/>
            <rFont val="Tahoma"/>
            <family val="2"/>
          </rPr>
          <t>mm98285:</t>
        </r>
        <r>
          <rPr>
            <sz val="8"/>
            <color indexed="81"/>
            <rFont val="Tahoma"/>
            <family val="2"/>
          </rPr>
          <t xml:space="preserve">
11/06: hardcoded NI because it was restated to include options expense but B/S and C/F were not restated for 2002-2003</t>
        </r>
      </text>
    </comment>
    <comment ref="T8" authorId="0">
      <text>
        <r>
          <rPr>
            <b/>
            <sz val="8"/>
            <color indexed="81"/>
            <rFont val="Tahoma"/>
            <family val="2"/>
          </rPr>
          <t>mm98285:</t>
        </r>
        <r>
          <rPr>
            <sz val="8"/>
            <color indexed="81"/>
            <rFont val="Tahoma"/>
            <family val="2"/>
          </rPr>
          <t xml:space="preserve">
11/06: hardcoded NI because it was restated to include options expense but B/S and C/F were not restated for 2002-2003</t>
        </r>
      </text>
    </comment>
    <comment ref="Z8" authorId="0">
      <text>
        <r>
          <rPr>
            <b/>
            <sz val="8"/>
            <color indexed="81"/>
            <rFont val="Tahoma"/>
            <family val="2"/>
          </rPr>
          <t>mm98285:</t>
        </r>
        <r>
          <rPr>
            <sz val="8"/>
            <color indexed="81"/>
            <rFont val="Tahoma"/>
            <family val="2"/>
          </rPr>
          <t xml:space="preserve">
includes income from discont ops ($30.437mm in 2006)</t>
        </r>
      </text>
    </comment>
    <comment ref="AB8" authorId="0">
      <text>
        <r>
          <rPr>
            <b/>
            <sz val="8"/>
            <color indexed="81"/>
            <rFont val="Tahoma"/>
            <family val="2"/>
          </rPr>
          <t>mm98285:</t>
        </r>
        <r>
          <rPr>
            <sz val="8"/>
            <color indexed="81"/>
            <rFont val="Tahoma"/>
            <family val="2"/>
          </rPr>
          <t xml:space="preserve">
10K: includes $27.136mm income from discontinued operations (corp accts bus)</t>
        </r>
      </text>
    </comment>
    <comment ref="AD8" authorId="0">
      <text>
        <r>
          <rPr>
            <b/>
            <sz val="8"/>
            <color indexed="81"/>
            <rFont val="Tahoma"/>
            <family val="2"/>
          </rPr>
          <t>mm98285:</t>
        </r>
        <r>
          <rPr>
            <sz val="8"/>
            <color indexed="81"/>
            <rFont val="Tahoma"/>
            <family val="2"/>
          </rPr>
          <t xml:space="preserve">
$41mm in 1-time items in 4Q excluded in con't net income</t>
        </r>
      </text>
    </comment>
    <comment ref="AN8" authorId="1">
      <text>
        <r>
          <rPr>
            <b/>
            <sz val="8"/>
            <color indexed="81"/>
            <rFont val="Tahoma"/>
            <family val="2"/>
          </rPr>
          <t>turleamb:</t>
        </r>
        <r>
          <rPr>
            <sz val="8"/>
            <color indexed="81"/>
            <rFont val="Tahoma"/>
            <family val="2"/>
          </rPr>
          <t xml:space="preserve">
adjusted for restructuring charges</t>
        </r>
      </text>
    </comment>
    <comment ref="AP8" authorId="2">
      <text>
        <r>
          <rPr>
            <b/>
            <sz val="9"/>
            <color indexed="81"/>
            <rFont val="Tahoma"/>
            <family val="2"/>
          </rPr>
          <t>Turley, Amber (Research):</t>
        </r>
        <r>
          <rPr>
            <sz val="9"/>
            <color indexed="81"/>
            <rFont val="Tahoma"/>
            <family val="2"/>
          </rPr>
          <t xml:space="preserve">
adjusted for restructuring charges</t>
        </r>
      </text>
    </comment>
    <comment ref="AR8" authorId="2">
      <text>
        <r>
          <rPr>
            <b/>
            <sz val="9"/>
            <color indexed="81"/>
            <rFont val="Tahoma"/>
            <family val="2"/>
          </rPr>
          <t>Turley, Amber (Research):</t>
        </r>
        <r>
          <rPr>
            <sz val="9"/>
            <color indexed="81"/>
            <rFont val="Tahoma"/>
            <family val="2"/>
          </rPr>
          <t xml:space="preserve">
adjusted for restructuring charges</t>
        </r>
      </text>
    </comment>
    <comment ref="AT8" authorId="2">
      <text>
        <r>
          <rPr>
            <b/>
            <sz val="9"/>
            <color indexed="81"/>
            <rFont val="Tahoma"/>
            <family val="2"/>
          </rPr>
          <t>Turley, Amber (Research):</t>
        </r>
        <r>
          <rPr>
            <sz val="9"/>
            <color indexed="81"/>
            <rFont val="Tahoma"/>
            <family val="2"/>
          </rPr>
          <t xml:space="preserve">
adjusted for restructuring charges</t>
        </r>
      </text>
    </comment>
    <comment ref="AV8" authorId="2">
      <text>
        <r>
          <rPr>
            <b/>
            <sz val="9"/>
            <color indexed="81"/>
            <rFont val="Tahoma"/>
            <family val="2"/>
          </rPr>
          <t>Turley, Amber (Research):</t>
        </r>
        <r>
          <rPr>
            <sz val="9"/>
            <color indexed="81"/>
            <rFont val="Tahoma"/>
            <family val="2"/>
          </rPr>
          <t xml:space="preserve">
adjusted for restructuring charges</t>
        </r>
      </text>
    </comment>
    <comment ref="AH9" authorId="0">
      <text>
        <r>
          <rPr>
            <b/>
            <sz val="8"/>
            <color indexed="81"/>
            <rFont val="Tahoma"/>
            <family val="2"/>
          </rPr>
          <t>mm98285:</t>
        </r>
        <r>
          <rPr>
            <sz val="8"/>
            <color indexed="81"/>
            <rFont val="Tahoma"/>
            <family val="2"/>
          </rPr>
          <t xml:space="preserve">
7/09: expect to be up ~$10M vs. LY</t>
        </r>
      </text>
    </comment>
    <comment ref="AN11" authorId="1">
      <text>
        <r>
          <rPr>
            <b/>
            <sz val="8"/>
            <color indexed="81"/>
            <rFont val="Tahoma"/>
            <family val="2"/>
          </rPr>
          <t>turleamb:</t>
        </r>
        <r>
          <rPr>
            <sz val="8"/>
            <color indexed="81"/>
            <rFont val="Tahoma"/>
            <family val="2"/>
          </rPr>
          <t xml:space="preserve">
restructuring charge</t>
        </r>
      </text>
    </comment>
    <comment ref="AP11" authorId="2">
      <text>
        <r>
          <rPr>
            <b/>
            <sz val="9"/>
            <color indexed="81"/>
            <rFont val="Tahoma"/>
            <family val="2"/>
          </rPr>
          <t>Turley, Amber (Research):</t>
        </r>
        <r>
          <rPr>
            <sz val="9"/>
            <color indexed="81"/>
            <rFont val="Tahoma"/>
            <family val="2"/>
          </rPr>
          <t xml:space="preserve">
transformation, restructuring and other related charges; sale of Reed Krakoff business</t>
        </r>
      </text>
    </comment>
    <comment ref="AR11" authorId="1">
      <text>
        <r>
          <rPr>
            <b/>
            <sz val="9"/>
            <color indexed="81"/>
            <rFont val="Tahoma"/>
            <family val="2"/>
          </rPr>
          <t>turleamb:</t>
        </r>
        <r>
          <rPr>
            <sz val="9"/>
            <color indexed="81"/>
            <rFont val="Tahoma"/>
            <family val="2"/>
          </rPr>
          <t xml:space="preserve">
6/19/14 analyst day: $250m - $300m transformation costs, about 40% of which will be cash charges taken in the next 18 mos</t>
        </r>
      </text>
    </comment>
    <comment ref="Z14" authorId="0">
      <text>
        <r>
          <rPr>
            <b/>
            <sz val="8"/>
            <color indexed="81"/>
            <rFont val="Tahoma"/>
            <family val="2"/>
          </rPr>
          <t>mm98285:</t>
        </r>
        <r>
          <rPr>
            <sz val="8"/>
            <color indexed="81"/>
            <rFont val="Tahoma"/>
            <family val="2"/>
          </rPr>
          <t xml:space="preserve">
share-based comp ($69.190) + other, net (-$14.723) + provision for bad debt ($0.252)</t>
        </r>
      </text>
    </comment>
    <comment ref="AB14" authorId="0">
      <text>
        <r>
          <rPr>
            <b/>
            <sz val="8"/>
            <color indexed="81"/>
            <rFont val="Tahoma"/>
            <family val="2"/>
          </rPr>
          <t>mm98285:</t>
        </r>
        <r>
          <rPr>
            <sz val="8"/>
            <color indexed="81"/>
            <rFont val="Tahoma"/>
            <family val="2"/>
          </rPr>
          <t xml:space="preserve">
share-based comp ($56.726) + other, net (-$5.375) + provision for bad debt ($1.845)</t>
        </r>
      </text>
    </comment>
    <comment ref="AD14" authorId="0">
      <text>
        <r>
          <rPr>
            <b/>
            <sz val="8"/>
            <color indexed="81"/>
            <rFont val="Tahoma"/>
            <family val="2"/>
          </rPr>
          <t>mm98285:</t>
        </r>
        <r>
          <rPr>
            <sz val="8"/>
            <color indexed="81"/>
            <rFont val="Tahoma"/>
            <family val="2"/>
          </rPr>
          <t xml:space="preserve">
share-based comp ($66.979) + other, net (6.845) + provision for bad debt ($0.286)</t>
        </r>
      </text>
    </comment>
    <comment ref="AN14" authorId="1">
      <text>
        <r>
          <rPr>
            <b/>
            <sz val="8"/>
            <color indexed="81"/>
            <rFont val="Tahoma"/>
            <family val="2"/>
          </rPr>
          <t>turleamb:</t>
        </r>
        <r>
          <rPr>
            <sz val="8"/>
            <color indexed="81"/>
            <rFont val="Tahoma"/>
            <family val="2"/>
          </rPr>
          <t xml:space="preserve">
provisions for bad debt, share based comp, other noncash credits, and charges</t>
        </r>
      </text>
    </comment>
    <comment ref="V19" authorId="0">
      <text>
        <r>
          <rPr>
            <b/>
            <sz val="8"/>
            <color indexed="81"/>
            <rFont val="Tahoma"/>
            <family val="2"/>
          </rPr>
          <t>mm98285:</t>
        </r>
        <r>
          <rPr>
            <sz val="8"/>
            <color indexed="81"/>
            <rFont val="Tahoma"/>
            <family val="2"/>
          </rPr>
          <t xml:space="preserve">
10K: new/expanded stores in N.A. $30.3m; new/expanded stores in Japan $16m; dept store/dist. renovations $3.9m; corp syst &amp; infrastructure $16.5 (totals $67.7, before restatement) </t>
        </r>
      </text>
    </comment>
    <comment ref="X19" authorId="0">
      <text>
        <r>
          <rPr>
            <b/>
            <sz val="8"/>
            <color indexed="81"/>
            <rFont val="Tahoma"/>
            <family val="2"/>
          </rPr>
          <t>mm98285:</t>
        </r>
        <r>
          <rPr>
            <sz val="8"/>
            <color indexed="81"/>
            <rFont val="Tahoma"/>
            <family val="2"/>
          </rPr>
          <t xml:space="preserve">
10K: new stores in N.A. $20m, expanded stores in N.a. $19.9; new/expanded stores in Japan $22.9m; dept store/dist. Renovations $4.7m; corp syst &amp; infrastructure $14 </t>
        </r>
      </text>
    </comment>
    <comment ref="Z19" authorId="0">
      <text>
        <r>
          <rPr>
            <b/>
            <sz val="8"/>
            <color indexed="81"/>
            <rFont val="Tahoma"/>
            <family val="2"/>
          </rPr>
          <t>mm98285:</t>
        </r>
        <r>
          <rPr>
            <sz val="8"/>
            <color indexed="81"/>
            <rFont val="Tahoma"/>
            <family val="2"/>
          </rPr>
          <t xml:space="preserve">
10K: new/expanded stores in N.A. $56m; new/expanded stores in Japan $14m; dept store/dist. Renovations $6m; corp syst &amp; infrastructure $58 </t>
        </r>
      </text>
    </comment>
    <comment ref="AB19" authorId="3">
      <text>
        <r>
          <rPr>
            <b/>
            <sz val="9"/>
            <color indexed="81"/>
            <rFont val="Tahoma"/>
            <family val="2"/>
          </rPr>
          <t>mm98285:</t>
        </r>
        <r>
          <rPr>
            <sz val="9"/>
            <color indexed="81"/>
            <rFont val="Tahoma"/>
            <family val="2"/>
          </rPr>
          <t xml:space="preserve">
Fiscal 2007 Actual:
New/expanded stores (N.A.) $70mm
New/expanded stores (Japan) $17mm
Dept store (AND Intl Wholeale store) renovations $9mm IT (and infrastructure) 45mm Total $141mm
3Q07: Expect $160m primarily for new stores and expansions both here and in Japan, as well as wholesale expansion/renovations</t>
        </r>
        <r>
          <rPr>
            <b/>
            <sz val="9"/>
            <color indexed="81"/>
            <rFont val="Tahoma"/>
            <family val="2"/>
          </rPr>
          <t xml:space="preserve">
</t>
        </r>
      </text>
    </comment>
    <comment ref="AD19" authorId="0">
      <text>
        <r>
          <rPr>
            <b/>
            <sz val="8"/>
            <color indexed="81"/>
            <rFont val="Tahoma"/>
            <family val="2"/>
          </rPr>
          <t>mm98285:</t>
        </r>
        <r>
          <rPr>
            <sz val="8"/>
            <color indexed="81"/>
            <rFont val="Tahoma"/>
            <family val="2"/>
          </rPr>
          <t xml:space="preserve">
10K: $104.3mm for new and expanded stores, $21.8mm for spending on department store renovations and distributor locations, $9.3mm for Japan openings and expansions, $39.3mm for corp systems and infrasturcure including $8.5mm for DC expansion
4/08: FY08 Expectations:
New/expanded stores (N.A.) $110mm
New/expanded stores (Japan) $15mm
Dept Stores/IW $20mm
JAX DC Expansion $15mm
IT/Infrastructure $40mm
4Q07: expect $200mm, includes $12-15mm for DC expansion</t>
        </r>
      </text>
    </comment>
    <comment ref="AF19" authorId="0">
      <text>
        <r>
          <rPr>
            <b/>
            <sz val="9"/>
            <color indexed="81"/>
            <rFont val="Tahoma"/>
            <family val="2"/>
          </rPr>
          <t>mm98285:</t>
        </r>
        <r>
          <rPr>
            <sz val="9"/>
            <color indexed="81"/>
            <rFont val="Tahoma"/>
            <family val="2"/>
          </rPr>
          <t xml:space="preserve">
10K: $103.3M for purchase of corp HQ in NYC
new stores &amp; expansions: $71.9M in N.A. &amp; $11.3M in Japan
$4.0M for investments in corp infrastructure in HK and mainland China
$11.4M for dept store renovations and distributor locations
$38.4M corp systems and infrastructure
1Q: $45.551M
4/09: $165M excl. HQ purchase ($15M lower than projected at 2Q due to elimination of add'l LT payback initiatives &amp; negotiated savings for ongoing projects) 
3/09: primarily for new stores &amp; expansions in NA, Japan, China, as well as dept store, distributor locations &amp; corp infrastructure. Also incl. $103.3M related to corp HQ purch
10/08: expect $250mm primarily for new stores/expansions in U.S. &amp; Japan incl. $65mm purchase of 1/2 of NYC HQ building. Down $15M vs. prior guid, excl. HQ purch. given deferral of certain projects w/ L-T pay backs.
10K: expect $200mm (for store expansions, and corp infrasturcture) excludes purchase of corp HQ</t>
        </r>
      </text>
    </comment>
    <comment ref="AH19" authorId="0">
      <text>
        <r>
          <rPr>
            <sz val="8"/>
            <color indexed="81"/>
            <rFont val="Tahoma"/>
            <family val="2"/>
          </rPr>
          <t>10/10: includes 42 new stores
4/10: expect $90-100M, down from previous forecast
1Q: $20.034, 2Q: $16.865
10K &amp; 7/09 &amp; 4/09: expect $110M
3/09: expect to decline given fewer store openings and suspension of retail store expansions</t>
        </r>
      </text>
    </comment>
    <comment ref="AJ19" authorId="4">
      <text>
        <r>
          <rPr>
            <b/>
            <sz val="10"/>
            <color indexed="81"/>
            <rFont val="Tahoma"/>
            <family val="2"/>
          </rPr>
          <t xml:space="preserve">1/11: </t>
        </r>
        <r>
          <rPr>
            <sz val="10"/>
            <color indexed="81"/>
            <rFont val="Tahoma"/>
            <family val="2"/>
          </rPr>
          <t>Reit $150M primarily due to new store openings</t>
        </r>
        <r>
          <rPr>
            <b/>
            <sz val="10"/>
            <color indexed="81"/>
            <rFont val="Tahoma"/>
            <family val="2"/>
          </rPr>
          <t xml:space="preserve">
11/10: </t>
        </r>
        <r>
          <rPr>
            <sz val="10"/>
            <color indexed="81"/>
            <rFont val="Tahoma"/>
            <family val="2"/>
          </rPr>
          <t>Reit $150M</t>
        </r>
        <r>
          <rPr>
            <b/>
            <sz val="10"/>
            <color indexed="81"/>
            <rFont val="Tahoma"/>
            <family val="2"/>
          </rPr>
          <t xml:space="preserve">
8/10: </t>
        </r>
        <r>
          <rPr>
            <sz val="10"/>
            <color indexed="81"/>
            <rFont val="Tahoma"/>
            <family val="2"/>
          </rPr>
          <t>Exp capex ~$150M, includes 65 new stores</t>
        </r>
        <r>
          <rPr>
            <b/>
            <sz val="10"/>
            <color indexed="81"/>
            <rFont val="Tahoma"/>
            <family val="2"/>
          </rPr>
          <t xml:space="preserve">
ns66486:</t>
        </r>
        <r>
          <rPr>
            <sz val="10"/>
            <color indexed="81"/>
            <rFont val="Tahoma"/>
            <family val="2"/>
          </rPr>
          <t xml:space="preserve">
4/10: expect $130-150M in capex</t>
        </r>
      </text>
    </comment>
    <comment ref="AL19" authorId="5">
      <text>
        <r>
          <rPr>
            <b/>
            <sz val="8"/>
            <color indexed="81"/>
            <rFont val="Tahoma"/>
            <family val="2"/>
          </rPr>
          <t>kimberlg:</t>
        </r>
        <r>
          <rPr>
            <sz val="8"/>
            <color indexed="81"/>
            <rFont val="Tahoma"/>
            <family val="2"/>
          </rPr>
          <t xml:space="preserve">
4/24/2012: $200M
10/25/11: ~$200M
8/2/11: increased capex driven by the timing shifts of certain projects but primarily for the opening of new stores across all geographies and investments in technology necessary to enable global expansion
10/25/10: we estimate 82 new stores</t>
        </r>
      </text>
    </comment>
    <comment ref="AN19" authorId="5">
      <text>
        <r>
          <rPr>
            <sz val="8"/>
            <color indexed="81"/>
            <rFont val="Tahoma"/>
            <family val="2"/>
          </rPr>
          <t>7/31/12: CFO - "based on our current plans for FY13, we expect that CapEx for next year will be up in the area of $250 million dollars, primarily due to new store openings and expansions across all geographies, elevating our store environments within our existing stores and investments in the technology and infrastructure necessary to enable global expansion. "</t>
        </r>
        <r>
          <rPr>
            <b/>
            <sz val="8"/>
            <color indexed="81"/>
            <rFont val="Tahoma"/>
            <family val="2"/>
          </rPr>
          <t xml:space="preserve">
kimberlg:</t>
        </r>
        <r>
          <rPr>
            <sz val="8"/>
            <color indexed="81"/>
            <rFont val="Tahoma"/>
            <family val="2"/>
          </rPr>
          <t xml:space="preserve">
10/25/10 we est 95 new stores
</t>
        </r>
        <r>
          <rPr>
            <b/>
            <sz val="8"/>
            <color indexed="81"/>
            <rFont val="Tahoma"/>
            <family val="2"/>
          </rPr>
          <t xml:space="preserve">antons:
</t>
        </r>
        <r>
          <rPr>
            <sz val="8"/>
            <color indexed="81"/>
            <rFont val="Tahoma"/>
            <family val="2"/>
          </rPr>
          <t xml:space="preserve">From 2Q13 Conf. call - CFO, Expect FY13 CapEx to be ~$250 mm. "We continue to expect the CapEx this year will be in the area of $250 million, primarily due to new store openings and expansions across all geographies, elevating our store environment, and investments in technology infrastructure necessary to enable global expansion. </t>
        </r>
      </text>
    </comment>
    <comment ref="AP19" authorId="6">
      <text>
        <r>
          <rPr>
            <sz val="8"/>
            <color indexed="81"/>
            <rFont val="Tahoma"/>
            <family val="2"/>
          </rPr>
          <t xml:space="preserve">8/4/14: CapEx $220. Decline from previous guidance related to further shift in timing of retail store and wholesale remodels and conversions into FY15. $2.1m of this CapEx went towards the HQ
4/29/14:guidance $250-$260m
5/6/14 10-Q: "The Company expects to invest approximately $370,000 in the Hudson Yards joint venture between the beginning of the fourth quarter of fiscal 2014 through fiscal 2016, with approximately $30,000 estimated for the remainder of fiscal 2014, depending on construction progress.Outside of investments in the joint venture, the Company expects to incur approximately $190,000 of capital expenditures over the remaining period of construction."
1/22/14: Reiterate $280m. Our cap ex spend can was $61 million, even with the year ago. Consistent with our guidance, last quarter, we expect the cap ex this year will be in the area of $280 million, primarily due to new store openings,
and expansions across all geographics, elevating our store environments within our existing stores, and investments in the technology and infrastructure necessary to enable our global expansion and transformation.
Spent $51m in CapEx vs. $43m in 3Q LY. 
10/22/13: Reiterate $280m "primarily due to new store openings and expansions across all geographies, elevating our store environments within our existing stores and investments in the technology and infrastructure necessary to enable our global expansion and transformation."
7/30/2013 CFO - "It’s important to note that based on our current plans for FY14, we expect CapEx for the next year to be up in the area of $280 million dollars, primarily due to new store openings and expansions across all geographies, elevating our store environments within our existing stores and investments in the technology and infrastructure necessary to enable global expansion." </t>
        </r>
      </text>
    </comment>
    <comment ref="AR19" authorId="1">
      <text>
        <r>
          <rPr>
            <b/>
            <sz val="9"/>
            <color indexed="81"/>
            <rFont val="Tahoma"/>
            <family val="2"/>
          </rPr>
          <t>casselau:
8/4/15L Finally, we originally expected CapEx to total about $350 - $400 million excluding our headquarters spend in FY15, and actualized at about $200 million, with some shift into FY16 primarily associated with project timing, including some key flagship locations.
4/28/15: Based on renovation and flagship project timing, we now expect CapEx for FY15 to be in the area of $275 million to $300 million dollars, excluding the costs associated with the new headquarters. The capital costs associated with our new headquarters are now expected to be approximately $15 million in FY15, driven by construction timing.
turleamb:</t>
        </r>
        <r>
          <rPr>
            <sz val="9"/>
            <color indexed="81"/>
            <rFont val="Tahoma"/>
            <family val="2"/>
          </rPr>
          <t xml:space="preserve">
1/29/15: Expect CapEx $300-$350M plus HQ CapEx which is now expected ~$90M in Fy15
10/28/14: Expect $350M CapEx + $100 Cap Ex for the HQ. 
8/14/14 10-K (pg 42): expect to spend $300-$350m in CapEx in addition to $90-$125m in CapEx related to the Hudson Yards new HQ
8/4/14: Guidance FY15 CapEx $350m excluding HQ costs which are now expected to be $100m in FY15 given construction estimates
*note this capEx guidance may be a bit liberal. Bottom up estimate for $350m CapEx guidance (ex $100 for HQ):
10 NA store openings @ est~$2m per store = $20m
20 China stores @ est~$2.5m per store = $25m
China flagships (assume ~$20-30m total extra for flagships)
Europe 15 store openings @ est ~$2.5m per store =$35-40m
Japan: renovate key doors in Tokyo, Shinjuku flagship (opening in Oct), renovating Ginza/Shibuya in Spring assume ~$5-8m per store = est~$20-30m
Opening 40 new wholsale doors/converting 250-300 to open case format (backing in to this based on other estimates would imply $400K per SiS)
IT/Infrastructure assume ~$70m (down vs our prior year estimates of ~80-90m). CapEx will be primarily for investments in stores in NAm and new stores in Asia and Europe to support transformation related initiatives. Will also continue to invest in deparmtent stores and distributor locations and corporate infrastructure, primarily technology. 
6/19/14 analyst day: guided $400m CapEx not including HQ CapEx. 
E-mail from IR shows $190m in CapEx in 2015. 
assume $190m CapEx for the new HQ that they move into in FY16 is split with 2/3 of the cash spent in 2015 and 1/3 in 2016. $535m was financed through a JV. Gross outlay for new HQ is $750m
1/29/15 earnings call: HQ costs now expected to be $90mm in FY15</t>
        </r>
      </text>
    </comment>
    <comment ref="AT19" authorId="1">
      <text>
        <r>
          <rPr>
            <b/>
            <sz val="9"/>
            <color indexed="81"/>
            <rFont val="Tahoma"/>
            <family val="2"/>
          </rPr>
          <t xml:space="preserve">4/26/16: We expect CapEx for FY16 for Coach, Inc. to in the area of $250 million dollars, excluding the capital costs associated with the new headquarters, which are expected to be approximately $175 million in FY16.
8/4/15: We expect CapEx for FY16 for Coach, Inc. to in the area of $300 million dollars, excluding the capital costs associated with the new headquarters, which are now expected to be approximately $185 million in FY16.
*now estimate $450M to replatform stores vs; $570 prior
turleamb: </t>
        </r>
        <r>
          <rPr>
            <sz val="9"/>
            <color indexed="81"/>
            <rFont val="Tahoma"/>
            <family val="2"/>
          </rPr>
          <t xml:space="preserve">assume $570m to replatform stores is divided by 3 years ($190) and added to existing ~$210m in capex, plus assume $173m in HQ CapEx (remainder of what is left over from $188m in HQ CapEx spread over FY15/16)
</t>
        </r>
      </text>
    </comment>
    <comment ref="AV19" authorId="1">
      <text>
        <r>
          <rPr>
            <sz val="9"/>
            <color indexed="81"/>
            <rFont val="Tahoma"/>
            <family val="2"/>
          </rPr>
          <t xml:space="preserve">5/2/17: $300M guidance 
11/1/16: $68M in 1Q; expect full year capex $325M
8/22/15: ~7% of COH brand sales
6/19/14 analyst day slides pg. 244: CapEx ~7% of sales (assuming growth in line with the category)
assume $570m to replatform stores is divided by 3 years ($190) and added to existing ~$210m in capex
</t>
        </r>
      </text>
    </comment>
    <comment ref="AX19" authorId="1">
      <text>
        <r>
          <rPr>
            <sz val="9"/>
            <color indexed="81"/>
            <rFont val="Tahoma"/>
            <family val="2"/>
          </rPr>
          <t xml:space="preserve">8/15/17: We also expect CapEx for Coach, Inc. to be approximately $325 million
dollars in FY18.
8/22/15: ~5% of COH brand sales
</t>
        </r>
      </text>
    </comment>
    <comment ref="AZ19" authorId="1">
      <text>
        <r>
          <rPr>
            <sz val="9"/>
            <color indexed="81"/>
            <rFont val="Tahoma"/>
            <family val="2"/>
          </rPr>
          <t xml:space="preserve">8/22/15: ~4-5% of COH brand sales
</t>
        </r>
      </text>
    </comment>
    <comment ref="AR34" authorId="7">
      <text>
        <r>
          <rPr>
            <b/>
            <sz val="9"/>
            <color indexed="81"/>
            <rFont val="Tahoma"/>
            <family val="2"/>
          </rPr>
          <t>casselau:</t>
        </r>
        <r>
          <rPr>
            <sz val="9"/>
            <color indexed="81"/>
            <rFont val="Tahoma"/>
            <family val="2"/>
          </rPr>
          <t xml:space="preserve">
For the fiscal year 2015, net cash from operating activities was $937 million dollars compared to $985 million a year ago. Free cash flow in fiscal year ‟15 was an inflow of $738 million dollars versus $766 million in the fiscal year ‟14.</t>
        </r>
      </text>
    </comment>
    <comment ref="AR39" authorId="1">
      <text>
        <r>
          <rPr>
            <b/>
            <sz val="9"/>
            <color indexed="81"/>
            <rFont val="Tahoma"/>
            <family val="2"/>
          </rPr>
          <t>less debt issuance costs
turleamb:</t>
        </r>
        <r>
          <rPr>
            <sz val="9"/>
            <color indexed="81"/>
            <rFont val="Tahoma"/>
            <family val="2"/>
          </rPr>
          <t xml:space="preserve">
per IR 8/5/14: COH will need to finance the remainder ($540m) of the building</t>
        </r>
      </text>
    </comment>
    <comment ref="AX39" authorId="8">
      <text>
        <r>
          <rPr>
            <b/>
            <sz val="9"/>
            <color indexed="81"/>
            <rFont val="Tahoma"/>
            <family val="2"/>
          </rPr>
          <t xml:space="preserve">Cassel, Lauren (Research):
8/15/17: Subsequent to the close of the fiscal year, we borrowed $1.1 billion in term loans which, combined with cash on hand, allowed us to fully fund the acquisition of Kate Spade, which closed on July 11th.
</t>
        </r>
        <r>
          <rPr>
            <sz val="9"/>
            <color indexed="81"/>
            <rFont val="Tahoma"/>
            <family val="2"/>
          </rPr>
          <t>Post the Kate Spade acquisition, our total debt was approximately $2.7 billion dollars. As previously noted, we intend to repay our $800 million 6-month term loan with cash on hand an d end fiscal 2018 with $1.9 billion of debt.</t>
        </r>
      </text>
    </comment>
    <comment ref="AX41" authorId="8">
      <text>
        <r>
          <rPr>
            <b/>
            <sz val="9"/>
            <color indexed="81"/>
            <rFont val="Tahoma"/>
            <family val="2"/>
          </rPr>
          <t>Cassel, Lauren (Research):</t>
        </r>
        <r>
          <rPr>
            <sz val="9"/>
            <color indexed="81"/>
            <rFont val="Tahoma"/>
            <family val="2"/>
          </rPr>
          <t xml:space="preserve">
8/15/17: We expect to reduce our outstanding borrowings to $1.9 billion by the end of FY2018 with the repayment of an $800 million 6-month term loan with excess cash.</t>
        </r>
      </text>
    </comment>
    <comment ref="V42" authorId="0">
      <text>
        <r>
          <rPr>
            <b/>
            <sz val="8"/>
            <color indexed="81"/>
            <rFont val="Tahoma"/>
            <family val="2"/>
          </rPr>
          <t>mm98285:</t>
        </r>
        <r>
          <rPr>
            <sz val="8"/>
            <color indexed="81"/>
            <rFont val="Tahoma"/>
            <family val="2"/>
          </rPr>
          <t xml:space="preserve">
8/06: repurchased 3.022m shares at an avg cost of $18.18 (~$55m)</t>
        </r>
      </text>
    </comment>
    <comment ref="X42" authorId="0">
      <text>
        <r>
          <rPr>
            <b/>
            <sz val="8"/>
            <color indexed="81"/>
            <rFont val="Tahoma"/>
            <family val="2"/>
          </rPr>
          <t>mm98285:</t>
        </r>
        <r>
          <rPr>
            <sz val="8"/>
            <color indexed="81"/>
            <rFont val="Tahoma"/>
            <family val="2"/>
          </rPr>
          <t xml:space="preserve">
8/06: repurchased 11m shares at an avg cost of $24.09 (~$265m)</t>
        </r>
      </text>
    </comment>
    <comment ref="Z42" authorId="0">
      <text>
        <r>
          <rPr>
            <b/>
            <sz val="8"/>
            <color indexed="81"/>
            <rFont val="Tahoma"/>
            <family val="2"/>
          </rPr>
          <t>mm98285:</t>
        </r>
        <r>
          <rPr>
            <sz val="8"/>
            <color indexed="81"/>
            <rFont val="Tahoma"/>
            <family val="2"/>
          </rPr>
          <t xml:space="preserve">
8/06: repurchased 19.055m shares at an avg cost of $31.50 (~$600m)</t>
        </r>
      </text>
    </comment>
    <comment ref="AB42" authorId="0">
      <text>
        <r>
          <rPr>
            <b/>
            <sz val="8"/>
            <color indexed="81"/>
            <rFont val="Tahoma"/>
            <family val="2"/>
          </rPr>
          <t>mm98285:</t>
        </r>
        <r>
          <rPr>
            <sz val="8"/>
            <color indexed="81"/>
            <rFont val="Tahoma"/>
            <family val="2"/>
          </rPr>
          <t xml:space="preserve">
11/06: assume $100mm add'l (beyond the $150mm in 1Q) pruchased thru 2007
10/06: repo'd 5M shares at $29.99 for $150M in 1Q, completed existing auth. New $500M auth thru 6/08
8/06: as of 7/1/06 had $150m remaining in stock repurchase program (auth. $500m on 5/9/06, which exp on 6/07)</t>
        </r>
      </text>
    </comment>
    <comment ref="AD42" authorId="9">
      <text>
        <r>
          <rPr>
            <b/>
            <sz val="9"/>
            <color indexed="81"/>
            <rFont val="Tahoma"/>
            <family val="2"/>
          </rPr>
          <t>MB33100:</t>
        </r>
        <r>
          <rPr>
            <sz val="9"/>
            <color indexed="81"/>
            <rFont val="Tahoma"/>
            <family val="2"/>
          </rPr>
          <t xml:space="preserve">
7/08: repo'd 39.688123mm shares in FY08 for $1.34B ($163mm remains at year-end)
2Q: repo'd 20.480927mm shares for $707mm; 3Q: repo'd 11.349802mm for $327mm; 4Q repo'd 4.831698mm shares for $170mm 
11/07: announced $1b share repurch auth through June 2009 (end of FY09), assume repurchase evenly over 2Q08-4Q09, also announced completion of previous $500mm repurchase (assume beginning of Nov), for $368 or 10.6m shares
10/07: 1Q: repo'd 3mm shares at avg cost of $43.72 or $131mm ($368mm remains under repo auth.)
3Q07: Expect no share purchases in 2008.
-assume $500mm authorization is split $250 each in 2007 and 2008</t>
        </r>
      </text>
    </comment>
    <comment ref="AF42" authorId="0">
      <text>
        <r>
          <rPr>
            <b/>
            <sz val="9"/>
            <color indexed="81"/>
            <rFont val="Tahoma"/>
            <family val="2"/>
          </rPr>
          <t>mm98285:</t>
        </r>
        <r>
          <rPr>
            <sz val="9"/>
            <color indexed="81"/>
            <rFont val="Tahoma"/>
            <family val="2"/>
          </rPr>
          <t xml:space="preserve">
repo'd 20.2M shares in 1Q-3Q (none in 4Q); $709.625M remains
1/09: repo $300mm in 1Q for 10.6M shares, $103mm in 2Q for 6M shares, $50M in 3Q
8/25/08: complete prior $163mm in 1Q and anounce new $1b auth, assume $800mm repo in FY09
7/08: $163mm remains under auth at end of FY08
11/07: announced $1b share repurch auth through June 2009 (end of FY09), assume repurchase evenly over 2Q08-4Q09</t>
        </r>
      </text>
    </comment>
    <comment ref="AH42" authorId="0">
      <text>
        <r>
          <rPr>
            <sz val="9"/>
            <color indexed="81"/>
            <rFont val="Tahoma"/>
            <family val="2"/>
          </rPr>
          <t>4/10: repo'd $400M (11.3M shares) in 3Q10 ($10M remains, authorized $1BN)
1/10: repo'd $300M (8.6M shares) in 2Q10 ($409.625M remains)
10K: $709.625M remains</t>
        </r>
      </text>
    </comment>
    <comment ref="A45" authorId="3">
      <text>
        <r>
          <rPr>
            <b/>
            <sz val="7"/>
            <color indexed="81"/>
            <rFont val="Tahoma"/>
            <family val="2"/>
          </rPr>
          <t>LM37689:</t>
        </r>
        <r>
          <rPr>
            <sz val="7"/>
            <color indexed="81"/>
            <rFont val="Tahoma"/>
            <family val="2"/>
          </rPr>
          <t xml:space="preserve">
In June 2001, Coach established Coach Japan, a joint venture with Sumitomo Corporation. </t>
        </r>
      </text>
    </comment>
    <comment ref="R45" authorId="3">
      <text>
        <r>
          <rPr>
            <b/>
            <sz val="7"/>
            <color indexed="81"/>
            <rFont val="Tahoma"/>
            <family val="2"/>
          </rPr>
          <t>LM37689:</t>
        </r>
        <r>
          <rPr>
            <sz val="7"/>
            <color indexed="81"/>
            <rFont val="Tahoma"/>
            <family val="2"/>
          </rPr>
          <t xml:space="preserve">
partner contribution to joint venture</t>
        </r>
      </text>
    </comment>
    <comment ref="X45" authorId="3">
      <text>
        <r>
          <rPr>
            <b/>
            <sz val="7"/>
            <color indexed="81"/>
            <rFont val="Tahoma"/>
            <family val="2"/>
          </rPr>
          <t>LM37689:</t>
        </r>
        <r>
          <rPr>
            <sz val="7"/>
            <color indexed="81"/>
            <rFont val="Tahoma"/>
            <family val="2"/>
          </rPr>
          <t xml:space="preserve">
Acquistion of joint venture: (228.431)
Distribution of earnings to joint venture shareholders: (57.403)
Repayment of joint venture partner contribution: (15.524)</t>
        </r>
      </text>
    </comment>
    <comment ref="AN45" authorId="1">
      <text>
        <r>
          <rPr>
            <b/>
            <sz val="9"/>
            <color indexed="81"/>
            <rFont val="Tahoma"/>
            <family val="2"/>
          </rPr>
          <t>turleamb:</t>
        </r>
        <r>
          <rPr>
            <sz val="9"/>
            <color indexed="81"/>
            <rFont val="Tahoma"/>
            <family val="2"/>
          </rPr>
          <t xml:space="preserve">
re CapEx and JV in new HQ (e-mail from IR): To simplify this, the total outlay is $750MM gross or $620MM net (after we receive the $130MM for our current headquarters when we move out of 516 W. 34th Street in FY16.)  The gross outlay of $750MM is divided between capex, associated with the physical buildout of the space of about $215MM ($25MM spent in FY13 and $190MM when we start building out the property in FY15) and the remaining $535MM is the investment in the JV (NOT IN CAPEX) = $94MM was invested in FY13 and approximately $440MM will be spent over the next three years (FY14-FY16.)  
</t>
        </r>
      </text>
    </comment>
    <comment ref="AP45" authorId="1">
      <text>
        <r>
          <rPr>
            <b/>
            <sz val="9"/>
            <color indexed="81"/>
            <rFont val="Tahoma"/>
            <family val="2"/>
          </rPr>
          <t>turleamb:</t>
        </r>
        <r>
          <rPr>
            <sz val="9"/>
            <color indexed="81"/>
            <rFont val="Tahoma"/>
            <family val="2"/>
          </rPr>
          <t xml:space="preserve">
3Q 10-Q: During the quarter and nine months ended March 29, 2014, the Company invested $21.5 and $62.9 million, respectively, in the joint venture. The Company’s latest estimate contemplates investing approximately $30 million in the fourth quarter of fiscal 2014. 
The joint venture investments will be financed by the Company with cash on hand, borrowings under its credit facility and approximately $130 million of proceeds from the sale of its current headquarters buildings in fiscal 2016.
re CapEx and JV in new HQ (e-mail from IR): To simplify this, the total outlay is $750MM gross or $620MM net (after we receive the $130MM for our current headquarters when we move out of 516 W. 34th Street in FY16.)  The gross outlay of $750MM is divided between capex, associated with the physical buildout of the space of about $215MM ($25MM spent in FY13 and $190MM when we start building out the property in FY15) and the remaining $535MM is the investment in the JV (NOT IN CAPEX) = $94MM was invested in FY13 and approximately $440MM will be spent over the next three years (FY14-FY16.)  
</t>
        </r>
      </text>
    </comment>
    <comment ref="AR45" authorId="1">
      <text>
        <r>
          <rPr>
            <b/>
            <sz val="9"/>
            <color indexed="81"/>
            <rFont val="Tahoma"/>
            <family val="2"/>
          </rPr>
          <t>turleamb:</t>
        </r>
        <r>
          <rPr>
            <sz val="9"/>
            <color indexed="81"/>
            <rFont val="Tahoma"/>
            <family val="2"/>
          </rPr>
          <t xml:space="preserve">
8/5/14: per IR $240m invested in JV
per IR ~$220m will be invested in JV in 2015
Assumes COH contributed $30m in 4Q13, leaving 340m remaining (per 3Q 10-Q The Company expects to invest approximately $370 million between the beginning of the fourth quarter of fiscal 2014 through fiscal 2016). We assume the spend is split in half. 
re CapEx and JV in new HQ (e-mail from IR): To simplify this, the total outlay is $750MM gross or $620MM net (after we receive the $130MM for our current headquarters when we move out of 516 W. 34th Street in FY16.)  The gross outlay of $750MM is divided between capex, associated with the physical buildout of the space of about $215MM ($25MM spent in FY13 and $190MM when we start building out the property in FY15) and the remaining $535MM is the investment in the JV (NOT IN CAPEX) = $94MM was invested in FY13 and approximately $440MM will be spent over the next three years (FY14-FY16.)  
</t>
        </r>
      </text>
    </comment>
    <comment ref="AT45" authorId="1">
      <text>
        <r>
          <rPr>
            <b/>
            <sz val="9"/>
            <color indexed="81"/>
            <rFont val="Tahoma"/>
            <family val="2"/>
          </rPr>
          <t>turleamb:</t>
        </r>
        <r>
          <rPr>
            <sz val="9"/>
            <color indexed="81"/>
            <rFont val="Tahoma"/>
            <family val="2"/>
          </rPr>
          <t xml:space="preserve">
per IR ~$114m will be invested in the JV in Fy16. COH also reaceives $130m back for the current HQ building
per iR ~$111m will be invested in JV in 2016
Assumes remaining estimated $340m to spend on JV for HQ (as of end of FY14) was divided in half between 2015 and 2016 and then  added $130m received from sale of HQ.
re CapEx and JV in new HQ (e-mail from IR): To simplify this, the total outlay is $750MM gross or $620MM net (after we receive the $130MM for our current headquarters when we move out of 516 W. 34th Street in FY16.)  The gross outlay of $750MM is divided between capex, associated with the physical buildout of the space of about $215MM ($25MM spent in FY13 and $190MM when we start building out the property in FY15) and the remaining $535MM is the investment in the JV (NOT IN CAPEX) = $94MM was invested in FY13 and approximately $440MM will be spent over the next three years (FY14-FY16.)  
</t>
        </r>
      </text>
    </comment>
    <comment ref="AF47" authorId="0">
      <text>
        <r>
          <rPr>
            <b/>
            <sz val="8"/>
            <color indexed="81"/>
            <rFont val="Tahoma"/>
            <family val="2"/>
          </rPr>
          <t>mm98285:</t>
        </r>
        <r>
          <rPr>
            <sz val="8"/>
            <color indexed="81"/>
            <rFont val="Tahoma"/>
            <family val="2"/>
          </rPr>
          <t xml:space="preserve">
$24.4 million use of cash related to the acquisition of our retail businesses in Hong Kong, Macau and mainland China.</t>
        </r>
      </text>
    </comment>
    <comment ref="AL47" authorId="10">
      <text>
        <r>
          <rPr>
            <b/>
            <sz val="8"/>
            <color indexed="81"/>
            <rFont val="Tahoma"/>
            <family val="2"/>
          </rPr>
          <t>lauraro:</t>
        </r>
        <r>
          <rPr>
            <sz val="8"/>
            <color indexed="81"/>
            <rFont val="Tahoma"/>
            <family val="2"/>
          </rPr>
          <t xml:space="preserve">
The aggregate
purchase prices of the Singapore and Taiwan businesses were $7,595 and $46,916, respectively, both paid during fiscal 2012.</t>
        </r>
      </text>
    </comment>
    <comment ref="AP47" authorId="1">
      <text>
        <r>
          <rPr>
            <b/>
            <sz val="9"/>
            <color indexed="81"/>
            <rFont val="Tahoma"/>
            <family val="2"/>
          </rPr>
          <t>turleamb:</t>
        </r>
        <r>
          <rPr>
            <sz val="9"/>
            <color indexed="81"/>
            <rFont val="Tahoma"/>
            <family val="2"/>
          </rPr>
          <t xml:space="preserve">
5/6/14 (10-Q pg9):  re Europe Acquisition "The cash payments were made in installments with $7,893 paid in fiscal 2013, $5,437 paid in the first quarter of fiscal 2014 offset by cash acquired as part of the acquisition of $3,453. The remaining $1,775 was paid at the beginning of the third quarter of fiscal 2014."</t>
        </r>
      </text>
    </comment>
    <comment ref="AR47" authorId="7">
      <text>
        <r>
          <rPr>
            <b/>
            <sz val="9"/>
            <color indexed="81"/>
            <rFont val="Tahoma"/>
            <family val="2"/>
          </rPr>
          <t>casselau:</t>
        </r>
        <r>
          <rPr>
            <sz val="9"/>
            <color indexed="81"/>
            <rFont val="Tahoma"/>
            <family val="2"/>
          </rPr>
          <t xml:space="preserve">
includes acquistion of lease rights</t>
        </r>
      </text>
    </comment>
    <comment ref="AV50" authorId="8">
      <text>
        <r>
          <rPr>
            <b/>
            <sz val="9"/>
            <color indexed="81"/>
            <rFont val="Tahoma"/>
            <family val="2"/>
          </rPr>
          <t>Cassel, Lauren (Research):</t>
        </r>
        <r>
          <rPr>
            <sz val="9"/>
            <color indexed="81"/>
            <rFont val="Tahoma"/>
            <family val="2"/>
          </rPr>
          <t xml:space="preserve">
Hudson Yards sale  of investments, net of expesnes; Sale of former headquarters, net of expenses</t>
        </r>
      </text>
    </comment>
    <comment ref="AP59" authorId="1">
      <text>
        <r>
          <rPr>
            <b/>
            <sz val="8"/>
            <color indexed="81"/>
            <rFont val="Tahoma"/>
            <family val="2"/>
          </rPr>
          <t>turleamb:</t>
        </r>
        <r>
          <rPr>
            <sz val="8"/>
            <color indexed="81"/>
            <rFont val="Tahoma"/>
            <family val="2"/>
          </rPr>
          <t xml:space="preserve">
1/22/14: about 2/3 of the cash is international and COH does not plan to repatriate. </t>
        </r>
      </text>
    </comment>
  </commentList>
</comments>
</file>

<file path=xl/comments15.xml><?xml version="1.0" encoding="utf-8"?>
<comments xmlns="http://schemas.openxmlformats.org/spreadsheetml/2006/main">
  <authors>
    <author>turleamb</author>
    <author>Turley, Amber (Research)</author>
    <author>mm98285</author>
    <author>Cassel, Lauren (Research)</author>
    <author>MB33100</author>
    <author>Debbie Ong</author>
  </authors>
  <commentList>
    <comment ref="AP8" authorId="0">
      <text>
        <r>
          <rPr>
            <b/>
            <sz val="8"/>
            <color indexed="81"/>
            <rFont val="Tahoma"/>
            <family val="2"/>
          </rPr>
          <t>turleamb:</t>
        </r>
        <r>
          <rPr>
            <sz val="8"/>
            <color indexed="81"/>
            <rFont val="Tahoma"/>
            <family val="2"/>
          </rPr>
          <t xml:space="preserve">
1/22/14: ~2/3 of cash is international and COH does not plan to repatriate.  Looking forward at the balance sheet, we're deploying international cash into high quality investments with higher yields and with some durations
over a year and expect a shift between cash and short-term investments into other noncurrent assets
10/22/13: Looking forward at the balance sheet, we're deploying international cash into high quality investments with higher yields and with some durations
over a year and expect a shift between cash and short-term investments into other noncurrent assets</t>
        </r>
      </text>
    </comment>
    <comment ref="AP9" authorId="0">
      <text>
        <r>
          <rPr>
            <b/>
            <sz val="8"/>
            <color indexed="81"/>
            <rFont val="Tahoma"/>
            <family val="2"/>
          </rPr>
          <t>turleamb:</t>
        </r>
        <r>
          <rPr>
            <sz val="8"/>
            <color indexed="81"/>
            <rFont val="Tahoma"/>
            <family val="2"/>
          </rPr>
          <t xml:space="preserve">
8/5/14: Per 10-K pg 60: ST investments consist primarily of time deposits, US treasuries and govt agency securities and high credit quality US and non US issued corporate debt securities w/ original maturities great than 3 months and less than 1 year, classified as available for sale and held to maturity. 
1/22/14: We expect a shift towards non-current assets from ST ivnenstments.  "Looking forward at the balance sheet, we're deploying international cash into high quality investments with higher yields and with some durations
over a year and expect a shift between cash and short-term investments into other noncurrent assets"</t>
        </r>
      </text>
    </comment>
    <comment ref="AP11" authorId="0">
      <text>
        <r>
          <rPr>
            <b/>
            <sz val="8"/>
            <color indexed="81"/>
            <rFont val="Tahoma"/>
            <family val="2"/>
          </rPr>
          <t>turleamb:</t>
        </r>
        <r>
          <rPr>
            <sz val="8"/>
            <color indexed="81"/>
            <rFont val="Tahoma"/>
            <family val="2"/>
          </rPr>
          <t xml:space="preserve">
increased due to inventory build with new category introductions and product launch, also slower than expected sales</t>
        </r>
      </text>
    </comment>
    <comment ref="AP13" authorId="1">
      <text>
        <r>
          <rPr>
            <b/>
            <sz val="9"/>
            <color indexed="81"/>
            <rFont val="Tahoma"/>
            <family val="2"/>
          </rPr>
          <t>Turley, Amber (Research):</t>
        </r>
        <r>
          <rPr>
            <sz val="9"/>
            <color indexed="81"/>
            <rFont val="Tahoma"/>
            <family val="2"/>
          </rPr>
          <t xml:space="preserve">
</t>
        </r>
      </text>
    </comment>
    <comment ref="AP18" authorId="1">
      <text>
        <r>
          <rPr>
            <b/>
            <sz val="9"/>
            <color indexed="81"/>
            <rFont val="Tahoma"/>
            <family val="2"/>
          </rPr>
          <t>Turley, Amber (Research):</t>
        </r>
        <r>
          <rPr>
            <sz val="9"/>
            <color indexed="81"/>
            <rFont val="Tahoma"/>
            <family val="2"/>
          </rPr>
          <t xml:space="preserve">
10-K pg 60: LT investments include equity method investment related to Hudson Yard JV and the Reed Krakoff cost method investment. </t>
        </r>
      </text>
    </comment>
    <comment ref="AP20" authorId="1">
      <text>
        <r>
          <rPr>
            <b/>
            <sz val="9"/>
            <color indexed="81"/>
            <rFont val="Tahoma"/>
            <family val="2"/>
          </rPr>
          <t>Turley, Amber (Research):</t>
        </r>
        <r>
          <rPr>
            <sz val="9"/>
            <color indexed="81"/>
            <rFont val="Tahoma"/>
            <family val="2"/>
          </rPr>
          <t xml:space="preserve">
Acquisition of Europe added $14.8m to goodwill, F/X had a +$1.556 impact. </t>
        </r>
      </text>
    </comment>
    <comment ref="AP23" authorId="0">
      <text>
        <r>
          <rPr>
            <b/>
            <sz val="8"/>
            <color indexed="81"/>
            <rFont val="Tahoma"/>
            <family val="2"/>
          </rPr>
          <t>turleamb:</t>
        </r>
        <r>
          <rPr>
            <sz val="8"/>
            <color indexed="81"/>
            <rFont val="Tahoma"/>
            <family val="2"/>
          </rPr>
          <t xml:space="preserve">
1/22/14: We expect a shift towards non-current assets from cash.  "Looking forward at the balance sheet, we're deploying international cash into high quality investments with higher yields and with some durations
over a year and expect a shift between cash and short-term investments into other noncurrent assets"
5/6/14 10-Q: ~$160m of Other Assets is the equity method investment related to Husdon Jards JV and Reed Krakoff cost method investment. </t>
        </r>
      </text>
    </comment>
    <comment ref="AD39" authorId="2">
      <text>
        <r>
          <rPr>
            <b/>
            <sz val="8"/>
            <color indexed="81"/>
            <rFont val="Tahoma"/>
            <family val="2"/>
          </rPr>
          <t>mm98285:</t>
        </r>
        <r>
          <rPr>
            <sz val="8"/>
            <color indexed="81"/>
            <rFont val="Tahoma"/>
            <family val="2"/>
          </rPr>
          <t xml:space="preserve">
4.5% interest made semiannually due 2014</t>
        </r>
      </text>
    </comment>
    <comment ref="AF39" authorId="2">
      <text>
        <r>
          <rPr>
            <b/>
            <sz val="8"/>
            <color indexed="81"/>
            <rFont val="Tahoma"/>
            <family val="2"/>
          </rPr>
          <t>mm98285:</t>
        </r>
        <r>
          <rPr>
            <sz val="8"/>
            <color indexed="81"/>
            <rFont val="Tahoma"/>
            <family val="2"/>
          </rPr>
          <t xml:space="preserve">
$2.6M industrial rev ond related to FL DC (interest at 4.5% due 2014) and $23M mortgage on its corp HQ (paid $103.3M cash + $23M mortgage) w/ 4.68% annual interest. Principal payments begin in July 2009 with final payment of $21.555M due June 2013</t>
        </r>
      </text>
    </comment>
    <comment ref="AX39" authorId="3">
      <text>
        <r>
          <rPr>
            <b/>
            <sz val="9"/>
            <color indexed="81"/>
            <rFont val="Tahoma"/>
            <family val="2"/>
          </rPr>
          <t>Cassel, Lauren (Research):</t>
        </r>
        <r>
          <rPr>
            <sz val="9"/>
            <color indexed="81"/>
            <rFont val="Tahoma"/>
            <family val="2"/>
          </rPr>
          <t xml:space="preserve">
8/15/17: Post the Kate Spade acquisition, our total debt was approximately $2.7 billion dollars. As previously noted, we intend to repay our $800 million 6-month term loan with cash on hand and end fiscal 2018 with $1.9 billion of debt.</t>
        </r>
      </text>
    </comment>
    <comment ref="AN40" authorId="1">
      <text>
        <r>
          <rPr>
            <b/>
            <sz val="9"/>
            <color indexed="81"/>
            <rFont val="Tahoma"/>
            <family val="2"/>
          </rPr>
          <t>Turley, Amber (Research):</t>
        </r>
        <r>
          <rPr>
            <sz val="9"/>
            <color indexed="81"/>
            <rFont val="Tahoma"/>
            <family val="2"/>
          </rPr>
          <t xml:space="preserve">
per 10-K: deferred rent $117,502</t>
        </r>
      </text>
    </comment>
    <comment ref="AP40" authorId="1">
      <text>
        <r>
          <rPr>
            <b/>
            <sz val="9"/>
            <color indexed="81"/>
            <rFont val="Tahoma"/>
            <family val="2"/>
          </rPr>
          <t>Turley, Amber (Research):</t>
        </r>
        <r>
          <rPr>
            <sz val="9"/>
            <color indexed="81"/>
            <rFont val="Tahoma"/>
            <family val="2"/>
          </rPr>
          <t xml:space="preserve">
per 10-K pg 62: Deferred rent $135,154 in FY14</t>
        </r>
      </text>
    </comment>
    <comment ref="X86" authorId="4">
      <text>
        <r>
          <rPr>
            <b/>
            <sz val="8"/>
            <color indexed="81"/>
            <rFont val="Tahoma"/>
            <family val="2"/>
          </rPr>
          <t>MB33100:</t>
        </r>
        <r>
          <rPr>
            <sz val="8"/>
            <color indexed="81"/>
            <rFont val="Tahoma"/>
            <family val="2"/>
          </rPr>
          <t xml:space="preserve">
217.22.. changed so DC wont show dep as negative
</t>
        </r>
      </text>
    </comment>
    <comment ref="AB89" authorId="4">
      <text>
        <r>
          <rPr>
            <b/>
            <sz val="8"/>
            <color indexed="81"/>
            <rFont val="Tahoma"/>
            <family val="2"/>
          </rPr>
          <t>MB33100:</t>
        </r>
        <r>
          <rPr>
            <sz val="8"/>
            <color indexed="81"/>
            <rFont val="Tahoma"/>
            <family val="2"/>
          </rPr>
          <t xml:space="preserve">
grow at 8%, inline with 2003-2006 growth</t>
        </r>
      </text>
    </comment>
    <comment ref="AD89" authorId="4">
      <text>
        <r>
          <rPr>
            <b/>
            <sz val="8"/>
            <color indexed="81"/>
            <rFont val="Tahoma"/>
            <family val="2"/>
          </rPr>
          <t>MB33100:</t>
        </r>
        <r>
          <rPr>
            <sz val="8"/>
            <color indexed="81"/>
            <rFont val="Tahoma"/>
            <family val="2"/>
          </rPr>
          <t xml:space="preserve">
grow at 8%, inline with 2003-2006 growth</t>
        </r>
      </text>
    </comment>
    <comment ref="AF89" authorId="4">
      <text>
        <r>
          <rPr>
            <b/>
            <sz val="8"/>
            <color indexed="81"/>
            <rFont val="Tahoma"/>
            <family val="2"/>
          </rPr>
          <t>MB33100:</t>
        </r>
        <r>
          <rPr>
            <sz val="8"/>
            <color indexed="81"/>
            <rFont val="Tahoma"/>
            <family val="2"/>
          </rPr>
          <t xml:space="preserve">
grow at 8%, inline with 2003-2006 growth</t>
        </r>
      </text>
    </comment>
    <comment ref="AH89" authorId="4">
      <text>
        <r>
          <rPr>
            <b/>
            <sz val="8"/>
            <color indexed="81"/>
            <rFont val="Tahoma"/>
            <family val="2"/>
          </rPr>
          <t>MB33100:</t>
        </r>
        <r>
          <rPr>
            <sz val="8"/>
            <color indexed="81"/>
            <rFont val="Tahoma"/>
            <family val="2"/>
          </rPr>
          <t xml:space="preserve">
grow at 8%, inline with 2003-2006 growth</t>
        </r>
      </text>
    </comment>
    <comment ref="AJ89" authorId="4">
      <text>
        <r>
          <rPr>
            <b/>
            <sz val="8"/>
            <color indexed="81"/>
            <rFont val="Tahoma"/>
            <family val="2"/>
          </rPr>
          <t>MB33100:</t>
        </r>
        <r>
          <rPr>
            <sz val="8"/>
            <color indexed="81"/>
            <rFont val="Tahoma"/>
            <family val="2"/>
          </rPr>
          <t xml:space="preserve">
grow at 8%, inline with 2003-2006 growth</t>
        </r>
      </text>
    </comment>
    <comment ref="AL89" authorId="4">
      <text>
        <r>
          <rPr>
            <b/>
            <sz val="8"/>
            <color indexed="81"/>
            <rFont val="Tahoma"/>
            <family val="2"/>
          </rPr>
          <t>MB33100:</t>
        </r>
        <r>
          <rPr>
            <sz val="8"/>
            <color indexed="81"/>
            <rFont val="Tahoma"/>
            <family val="2"/>
          </rPr>
          <t xml:space="preserve">
grow at 8%, inline with 2003-2006 growth</t>
        </r>
      </text>
    </comment>
    <comment ref="AN89" authorId="4">
      <text>
        <r>
          <rPr>
            <b/>
            <sz val="8"/>
            <color indexed="81"/>
            <rFont val="Tahoma"/>
            <family val="2"/>
          </rPr>
          <t>MB33100:</t>
        </r>
        <r>
          <rPr>
            <sz val="8"/>
            <color indexed="81"/>
            <rFont val="Tahoma"/>
            <family val="2"/>
          </rPr>
          <t xml:space="preserve">
grow at 8%, inline with 2003-2006 growth</t>
        </r>
      </text>
    </comment>
    <comment ref="AP89" authorId="4">
      <text>
        <r>
          <rPr>
            <b/>
            <sz val="8"/>
            <color indexed="81"/>
            <rFont val="Tahoma"/>
            <family val="2"/>
          </rPr>
          <t>MB33100:</t>
        </r>
        <r>
          <rPr>
            <sz val="8"/>
            <color indexed="81"/>
            <rFont val="Tahoma"/>
            <family val="2"/>
          </rPr>
          <t xml:space="preserve">
grow at 8%, inline with 2003-2006 growth</t>
        </r>
      </text>
    </comment>
    <comment ref="AR89" authorId="4">
      <text>
        <r>
          <rPr>
            <b/>
            <sz val="8"/>
            <color indexed="81"/>
            <rFont val="Tahoma"/>
            <family val="2"/>
          </rPr>
          <t>MB33100:</t>
        </r>
        <r>
          <rPr>
            <sz val="8"/>
            <color indexed="81"/>
            <rFont val="Tahoma"/>
            <family val="2"/>
          </rPr>
          <t xml:space="preserve">
grow at 8%, inline with 2003-2006 growth</t>
        </r>
      </text>
    </comment>
    <comment ref="AT89" authorId="4">
      <text>
        <r>
          <rPr>
            <b/>
            <sz val="8"/>
            <color indexed="81"/>
            <rFont val="Tahoma"/>
            <family val="2"/>
          </rPr>
          <t>MB33100:</t>
        </r>
        <r>
          <rPr>
            <sz val="8"/>
            <color indexed="81"/>
            <rFont val="Tahoma"/>
            <family val="2"/>
          </rPr>
          <t xml:space="preserve">
grow at 8%, inline with 2003-2006 growth</t>
        </r>
      </text>
    </comment>
    <comment ref="AV89" authorId="4">
      <text>
        <r>
          <rPr>
            <b/>
            <sz val="8"/>
            <color indexed="81"/>
            <rFont val="Tahoma"/>
            <family val="2"/>
          </rPr>
          <t>MB33100:</t>
        </r>
        <r>
          <rPr>
            <sz val="8"/>
            <color indexed="81"/>
            <rFont val="Tahoma"/>
            <family val="2"/>
          </rPr>
          <t xml:space="preserve">
grow at 8%, inline with 2003-2006 growth</t>
        </r>
      </text>
    </comment>
    <comment ref="AX89" authorId="4">
      <text>
        <r>
          <rPr>
            <b/>
            <sz val="8"/>
            <color indexed="81"/>
            <rFont val="Tahoma"/>
            <family val="2"/>
          </rPr>
          <t>MB33100:</t>
        </r>
        <r>
          <rPr>
            <sz val="8"/>
            <color indexed="81"/>
            <rFont val="Tahoma"/>
            <family val="2"/>
          </rPr>
          <t xml:space="preserve">
grow at 8%, inline with 2003-2006 growth</t>
        </r>
      </text>
    </comment>
    <comment ref="AZ89" authorId="4">
      <text>
        <r>
          <rPr>
            <b/>
            <sz val="8"/>
            <color indexed="81"/>
            <rFont val="Tahoma"/>
            <family val="2"/>
          </rPr>
          <t>MB33100:</t>
        </r>
        <r>
          <rPr>
            <sz val="8"/>
            <color indexed="81"/>
            <rFont val="Tahoma"/>
            <family val="2"/>
          </rPr>
          <t xml:space="preserve">
grow at 8%, inline with 2003-2006 growth</t>
        </r>
      </text>
    </comment>
    <comment ref="BB89" authorId="4">
      <text>
        <r>
          <rPr>
            <b/>
            <sz val="8"/>
            <color indexed="81"/>
            <rFont val="Tahoma"/>
            <family val="2"/>
          </rPr>
          <t>MB33100:</t>
        </r>
        <r>
          <rPr>
            <sz val="8"/>
            <color indexed="81"/>
            <rFont val="Tahoma"/>
            <family val="2"/>
          </rPr>
          <t xml:space="preserve">
grow at 8%, inline with 2003-2006 growth</t>
        </r>
      </text>
    </comment>
    <comment ref="BD89" authorId="4">
      <text>
        <r>
          <rPr>
            <b/>
            <sz val="8"/>
            <color indexed="81"/>
            <rFont val="Tahoma"/>
            <family val="2"/>
          </rPr>
          <t>MB33100:</t>
        </r>
        <r>
          <rPr>
            <sz val="8"/>
            <color indexed="81"/>
            <rFont val="Tahoma"/>
            <family val="2"/>
          </rPr>
          <t xml:space="preserve">
grow at 8%, inline with 2003-2006 growth</t>
        </r>
      </text>
    </comment>
    <comment ref="BF89" authorId="4">
      <text>
        <r>
          <rPr>
            <b/>
            <sz val="8"/>
            <color indexed="81"/>
            <rFont val="Tahoma"/>
            <family val="2"/>
          </rPr>
          <t>MB33100:</t>
        </r>
        <r>
          <rPr>
            <sz val="8"/>
            <color indexed="81"/>
            <rFont val="Tahoma"/>
            <family val="2"/>
          </rPr>
          <t xml:space="preserve">
grow at 8%, inline with 2003-2006 growth</t>
        </r>
      </text>
    </comment>
    <comment ref="B97" authorId="5">
      <text>
        <r>
          <rPr>
            <b/>
            <sz val="8"/>
            <color indexed="81"/>
            <rFont val="Tahoma"/>
            <family val="2"/>
          </rPr>
          <t>Debbie Ong:</t>
        </r>
        <r>
          <rPr>
            <sz val="8"/>
            <color indexed="81"/>
            <rFont val="Tahoma"/>
            <family val="2"/>
          </rPr>
          <t xml:space="preserve">
includes LIFO reserve, if applicable</t>
        </r>
      </text>
    </comment>
  </commentList>
</comments>
</file>

<file path=xl/comments16.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comments17.xml><?xml version="1.0" encoding="utf-8"?>
<comments xmlns="http://schemas.openxmlformats.org/spreadsheetml/2006/main">
  <authors>
    <author>Cassel, Lauren (Research)</author>
  </authors>
  <commentList>
    <comment ref="M5" authorId="0">
      <text>
        <r>
          <rPr>
            <b/>
            <sz val="9"/>
            <color indexed="81"/>
            <rFont val="Tahoma"/>
            <family val="2"/>
          </rPr>
          <t>Cassel, Lauren (Research):</t>
        </r>
        <r>
          <rPr>
            <sz val="9"/>
            <color indexed="81"/>
            <rFont val="Tahoma"/>
            <family val="2"/>
          </rPr>
          <t xml:space="preserve">
COACH BRAND ONLY</t>
        </r>
      </text>
    </comment>
  </commentList>
</comments>
</file>

<file path=xl/sharedStrings.xml><?xml version="1.0" encoding="utf-8"?>
<sst xmlns="http://schemas.openxmlformats.org/spreadsheetml/2006/main" count="3683" uniqueCount="1274">
  <si>
    <t>Percentage of assets, non depreciable</t>
  </si>
  <si>
    <t>Fade rate for depreciation of opening balance</t>
  </si>
  <si>
    <t>Multiple to take the asset to the original book value</t>
  </si>
  <si>
    <t>Total depreciable assets</t>
  </si>
  <si>
    <t>Depreciation of take on book value</t>
  </si>
  <si>
    <t>Check</t>
  </si>
  <si>
    <t>Market Capitalization</t>
  </si>
  <si>
    <t>Minority Interest</t>
  </si>
  <si>
    <t>USD</t>
  </si>
  <si>
    <t>Average Fully Diluted Shares</t>
  </si>
  <si>
    <t>BASE CASE</t>
  </si>
  <si>
    <t>2016E</t>
  </si>
  <si>
    <t>2018E</t>
  </si>
  <si>
    <t>MS v. Cons</t>
  </si>
  <si>
    <t>Variance</t>
  </si>
  <si>
    <t>Inventory $s</t>
  </si>
  <si>
    <t>Guidance</t>
  </si>
  <si>
    <t>Stock price</t>
  </si>
  <si>
    <t>Risk/reward</t>
  </si>
  <si>
    <t>Mulitple</t>
  </si>
  <si>
    <t>Scenario</t>
  </si>
  <si>
    <t>Difference</t>
  </si>
  <si>
    <t>Upside</t>
  </si>
  <si>
    <t>Downside</t>
  </si>
  <si>
    <t>2017E</t>
  </si>
  <si>
    <t>Depreciation &amp; Amortization</t>
  </si>
  <si>
    <t>Interest and Other Exp/(Inc)</t>
  </si>
  <si>
    <t>Pretax Income</t>
  </si>
  <si>
    <t>Net Income from Operations</t>
  </si>
  <si>
    <t>Operating EPS</t>
  </si>
  <si>
    <t>Average Diluted Shares</t>
  </si>
  <si>
    <t>Comparable Store Sales</t>
  </si>
  <si>
    <t>BULL CASE</t>
  </si>
  <si>
    <t>BEAR CASE</t>
  </si>
  <si>
    <t>A=Actual; E=Estimate</t>
  </si>
  <si>
    <t>Capital in excess of par value</t>
  </si>
  <si>
    <t>Accumulated other comprehensive income</t>
  </si>
  <si>
    <t>Unearned compensation</t>
  </si>
  <si>
    <t xml:space="preserve">Common stock </t>
  </si>
  <si>
    <t>Tax Rate</t>
  </si>
  <si>
    <t>Turnover</t>
  </si>
  <si>
    <t>Analysis</t>
  </si>
  <si>
    <t xml:space="preserve">Excl.  </t>
  </si>
  <si>
    <t>Occup. Costs</t>
  </si>
  <si>
    <t>EBITDA</t>
  </si>
  <si>
    <t>EPS</t>
  </si>
  <si>
    <t>Excess Cash</t>
  </si>
  <si>
    <t>Gross Margin</t>
  </si>
  <si>
    <t>EBITDA Margin</t>
  </si>
  <si>
    <t>Operating Margin</t>
  </si>
  <si>
    <t>Net Margin</t>
  </si>
  <si>
    <t>($ millions except per-share data)</t>
  </si>
  <si>
    <t>Quarterly Results and Estimates</t>
  </si>
  <si>
    <t>Annual Results and Estimates</t>
  </si>
  <si>
    <t/>
  </si>
  <si>
    <t>Bank overdraft</t>
  </si>
  <si>
    <t>INTERACTIVE</t>
  </si>
  <si>
    <t>Base</t>
  </si>
  <si>
    <t xml:space="preserve">Type "Bull / Base / Bear" here to toggle scenarios &gt;&gt; </t>
  </si>
  <si>
    <t>Sara Lee Corportation Equity</t>
  </si>
  <si>
    <t>Additional capital contribution</t>
  </si>
  <si>
    <t>Effect of changes in foreign exchange rate on cash</t>
  </si>
  <si>
    <t>June</t>
  </si>
  <si>
    <t>Sept</t>
  </si>
  <si>
    <t>Income Statement</t>
  </si>
  <si>
    <t>Total Sales</t>
  </si>
  <si>
    <t>Cost of Goods Sold</t>
  </si>
  <si>
    <t>mscalc:defaultCurrencyCalc</t>
  </si>
  <si>
    <t>ZAV(Avg(TF.FN.InterestExpenseOnDebt(period=#1,sdate=0FY,edate=-4FY,curn=#2)/(TF.FN.STDebtAndCurrentPortionLTDebt(period=#1,sdate=0FY,edate=-4FY,curn=#2)+TF.FN.LTDebtExclCapitalizedLeases(period=#1,sdate=0FY,edate=-4FY,curn=#2))))</t>
  </si>
  <si>
    <t>ZAV(TF.FN.InterestExpenseOnDebt(period=FY0,sdate=#1,edate=#2,curn=#3)/(ZAV(TF.FN.STDebtAndCurrentPortionLTDebt(period=FY0,sdate=#1,edate=#2,curn=#3))+ZAV(TF.FN.LTDebtExclCapitalizedLeases(period=FY0,sdate=#1,edate=#2,curn=#3))))</t>
  </si>
  <si>
    <t>Interest Rate Calculation</t>
  </si>
  <si>
    <t>TRSL data download</t>
  </si>
  <si>
    <t>5 years Average Interest Rate</t>
  </si>
  <si>
    <t xml:space="preserve">Interest Rate </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</si>
  <si>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</si>
  <si>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</si>
  <si>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</si>
  <si>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</si>
  <si>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</si>
  <si>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COH.N,mscalc:defaultCurrencyCalc</t>
  </si>
  <si>
    <t>COH.N,mscalc:closePriceCurrencyCalc</t>
  </si>
  <si>
    <t>COH.N,mscalc:targetPrice,,,,USD</t>
  </si>
  <si>
    <t>COH.N,mscalc:sedolCodeCalc</t>
  </si>
  <si>
    <t>2646015</t>
  </si>
  <si>
    <t>COH.N,mscalc:targetPrice</t>
  </si>
  <si>
    <t>,mscalc:targetPrice,,,,USD</t>
  </si>
  <si>
    <t>,mscalc:closePriceCurrencyCalc</t>
  </si>
  <si>
    <t>,mscalc:sedolCodeCalc</t>
  </si>
  <si>
    <t>Gross Profit</t>
  </si>
  <si>
    <t xml:space="preserve">     EPS from Cont Ops</t>
  </si>
  <si>
    <t>Other LT liabs (incl defrred landlord credits)</t>
  </si>
  <si>
    <t>ST investments</t>
  </si>
  <si>
    <t xml:space="preserve">    D&amp;A Rate</t>
  </si>
  <si>
    <t>SG&amp;A Expense</t>
  </si>
  <si>
    <t xml:space="preserve">   Pretax Income</t>
  </si>
  <si>
    <t xml:space="preserve">EBITDA </t>
  </si>
  <si>
    <t>Margin Analysis</t>
  </si>
  <si>
    <t xml:space="preserve">Gross Margin </t>
  </si>
  <si>
    <t>Expense Ratio</t>
  </si>
  <si>
    <t>Pretax Margin</t>
  </si>
  <si>
    <t>Year-Over-Year Growth</t>
  </si>
  <si>
    <t>SG&amp;A  Expense</t>
  </si>
  <si>
    <t>1Q13</t>
  </si>
  <si>
    <t>2Q13</t>
  </si>
  <si>
    <t>3Q13</t>
  </si>
  <si>
    <t>4Q13</t>
  </si>
  <si>
    <t>Operating Income</t>
  </si>
  <si>
    <t>Earnings Per Share</t>
  </si>
  <si>
    <t>Annual Data (Yearend)</t>
  </si>
  <si>
    <t>Inventory Turnover</t>
  </si>
  <si>
    <t>Payables / Inventory</t>
  </si>
  <si>
    <t>Debt to Total capital</t>
  </si>
  <si>
    <t>7. Income Taxes</t>
  </si>
  <si>
    <t xml:space="preserve">5.  Interest Income/ (Expense) </t>
  </si>
  <si>
    <t>Source: Company reports and Morgan Stanley Research estimates.</t>
  </si>
  <si>
    <t>DATAMorgan Stanley ITEMS</t>
  </si>
  <si>
    <t>Bull</t>
  </si>
  <si>
    <t>Bear</t>
  </si>
  <si>
    <t>2010A</t>
  </si>
  <si>
    <t>cons</t>
  </si>
  <si>
    <t>Quarterly Analysis of Debt and Total Capital</t>
  </si>
  <si>
    <t>Cash &amp; Equivalents</t>
  </si>
  <si>
    <t>1Q13A</t>
  </si>
  <si>
    <t>1Q14A</t>
  </si>
  <si>
    <t>1Q14E</t>
  </si>
  <si>
    <t xml:space="preserve">North America Total </t>
  </si>
  <si>
    <t xml:space="preserve">International Total </t>
  </si>
  <si>
    <t>Int'l Comparable-Store Sales</t>
  </si>
  <si>
    <t>NA Comp Store Sales</t>
  </si>
  <si>
    <t>Total Capital</t>
  </si>
  <si>
    <t>Pension Assets</t>
  </si>
  <si>
    <t>Pension Liabilities</t>
  </si>
  <si>
    <t>Pension Surplus/Defecit</t>
  </si>
  <si>
    <t>Gross PPE</t>
  </si>
  <si>
    <t>Accumulated Depreciation</t>
  </si>
  <si>
    <t xml:space="preserve">Amortization </t>
  </si>
  <si>
    <t>Total D&amp;A</t>
  </si>
  <si>
    <t>Capex Growth</t>
  </si>
  <si>
    <t>Capex Maintenance</t>
  </si>
  <si>
    <t>Total Capex</t>
  </si>
  <si>
    <t>Shares</t>
  </si>
  <si>
    <t>Fact Japan:</t>
  </si>
  <si>
    <t>Operating Results Summary &amp; Financial Analysis, Fiscal 2003-2013E</t>
  </si>
  <si>
    <t xml:space="preserve">   % Chg. from LY (Avg. Sq. Ft.)</t>
  </si>
  <si>
    <t>Growth</t>
  </si>
  <si>
    <t>2007A</t>
  </si>
  <si>
    <t>Loans to related parties</t>
  </si>
  <si>
    <t>NM</t>
  </si>
  <si>
    <t>Depreciation %</t>
  </si>
  <si>
    <t>Actual</t>
  </si>
  <si>
    <t>Square Footage</t>
  </si>
  <si>
    <t>At</t>
  </si>
  <si>
    <t>Sq. Ft.</t>
  </si>
  <si>
    <t>($ millions, except inventory per sq. ft. data)</t>
  </si>
  <si>
    <t>Store Analysis</t>
  </si>
  <si>
    <t>Square Footage Analysis</t>
  </si>
  <si>
    <t>Square Ft.</t>
  </si>
  <si>
    <t>(11)</t>
  </si>
  <si>
    <t>(12)</t>
  </si>
  <si>
    <t>(14)</t>
  </si>
  <si>
    <t>(13)</t>
  </si>
  <si>
    <t>Productivity (3)/(13)</t>
  </si>
  <si>
    <t>(15)</t>
  </si>
  <si>
    <t>(16)</t>
  </si>
  <si>
    <t>(17)</t>
  </si>
  <si>
    <t>E</t>
  </si>
  <si>
    <t>Mar</t>
  </si>
  <si>
    <t>Dec</t>
  </si>
  <si>
    <t>on Hand</t>
  </si>
  <si>
    <t>Days Inventory</t>
  </si>
  <si>
    <t>Avg. (a)</t>
  </si>
  <si>
    <t>Follow</t>
  </si>
  <si>
    <t>Qtr (b)</t>
  </si>
  <si>
    <t>Revision</t>
  </si>
  <si>
    <t>Sales (mm, except per foot data) (a)</t>
  </si>
  <si>
    <t xml:space="preserve"> </t>
  </si>
  <si>
    <t>Cash Per Share</t>
  </si>
  <si>
    <t>Interest Expense</t>
  </si>
  <si>
    <t>Depreciation</t>
  </si>
  <si>
    <t>U.S. Factory</t>
  </si>
  <si>
    <t>Internet</t>
  </si>
  <si>
    <t>Other</t>
  </si>
  <si>
    <t>Less:  Accrued Liabilities and Other     (Y-o-Y % Change vs. % Sales Growth)</t>
  </si>
  <si>
    <t>Tax benefit from exercise of stock options</t>
  </si>
  <si>
    <t>Deferred Taxes</t>
  </si>
  <si>
    <t>Short-Term Debt</t>
  </si>
  <si>
    <t>Long-Term Debt</t>
  </si>
  <si>
    <t>Total Debt</t>
  </si>
  <si>
    <t>Net Debt (Total Debt Less Cash)</t>
  </si>
  <si>
    <t>Shareholders' Equity</t>
  </si>
  <si>
    <t>Total Debt as % of Total Capital</t>
  </si>
  <si>
    <t>Net Debt as % of Total Capital</t>
  </si>
  <si>
    <t>Long-term investments</t>
  </si>
  <si>
    <t>Indefinite life intangibles</t>
  </si>
  <si>
    <t>Accrued liabilities</t>
  </si>
  <si>
    <t>Revolving credit facility</t>
  </si>
  <si>
    <t>Current portion of long-term debt</t>
  </si>
  <si>
    <t>Coach</t>
  </si>
  <si>
    <t>MS</t>
  </si>
  <si>
    <t>Consensus</t>
  </si>
  <si>
    <t>Variance vs.</t>
  </si>
  <si>
    <t xml:space="preserve">  Operating Income</t>
  </si>
  <si>
    <t>Interest Expense/(Income)</t>
  </si>
  <si>
    <t>Net Inc. From Ops</t>
  </si>
  <si>
    <t>Average Shares</t>
  </si>
  <si>
    <t>Comp. Store Sales</t>
  </si>
  <si>
    <t>310bs</t>
  </si>
  <si>
    <t>Upsides/Downsides</t>
  </si>
  <si>
    <t>Inventory per sq ft.</t>
  </si>
  <si>
    <t>Total Inventory y/y chg.</t>
  </si>
  <si>
    <t>2012A</t>
  </si>
  <si>
    <t>Korea</t>
  </si>
  <si>
    <t>1. Net Sales    (% Increase -- Total/N.A. Comparable Stores)</t>
  </si>
  <si>
    <t>N.A. Comparable-Store Sales</t>
  </si>
  <si>
    <t>Free Cash Flow</t>
  </si>
  <si>
    <t>Borrowings on revolving credit facility</t>
  </si>
  <si>
    <t>Borrowings (repayments) from Sara Lee</t>
  </si>
  <si>
    <t>Equity distribution</t>
  </si>
  <si>
    <t xml:space="preserve">Retained earnings </t>
  </si>
  <si>
    <t xml:space="preserve">Cash and equivalents </t>
  </si>
  <si>
    <t xml:space="preserve">     Rent Expense</t>
  </si>
  <si>
    <t xml:space="preserve">    Rent % of Sales</t>
  </si>
  <si>
    <t xml:space="preserve">    GM excl. Rent % of Sales</t>
  </si>
  <si>
    <t>Dividend</t>
  </si>
  <si>
    <t>Diluted shares outstanding</t>
  </si>
  <si>
    <t>EOY Divisional Sq. Ftge. (Gross Sq. Ft.)</t>
  </si>
  <si>
    <t>2013A</t>
  </si>
  <si>
    <t>Note: For 2000 and after, avg. net sales per store and net sales per avg. gross sq ft only include COH's "Direct Sales" revenue</t>
  </si>
  <si>
    <t>EBIT</t>
  </si>
  <si>
    <t>Int'l Sales</t>
  </si>
  <si>
    <t>Estimate</t>
  </si>
  <si>
    <t>NA Sales</t>
  </si>
  <si>
    <t>+DD</t>
  </si>
  <si>
    <r>
      <t>3a. Options Expense</t>
    </r>
    <r>
      <rPr>
        <vertAlign val="superscript"/>
        <sz val="10"/>
        <rFont val="Arial"/>
        <family val="2"/>
      </rPr>
      <t>1</t>
    </r>
  </si>
  <si>
    <r>
      <t>10a.  EPS Excl Options</t>
    </r>
    <r>
      <rPr>
        <vertAlign val="superscript"/>
        <sz val="10"/>
        <rFont val="Arial"/>
        <family val="2"/>
      </rPr>
      <t>1</t>
    </r>
  </si>
  <si>
    <r>
      <t>1</t>
    </r>
    <r>
      <rPr>
        <sz val="8"/>
        <rFont val="Arial"/>
        <family val="2"/>
      </rPr>
      <t xml:space="preserve"> Options expense excluded from operating income and net income prior to 2002</t>
    </r>
  </si>
  <si>
    <t>Invested Capital:</t>
  </si>
  <si>
    <t>Current assets</t>
  </si>
  <si>
    <t>Non-interest bearing current liabilities</t>
  </si>
  <si>
    <t>1996A</t>
  </si>
  <si>
    <t>Net working capital (NWC)</t>
  </si>
  <si>
    <t>Net fixed assets</t>
  </si>
  <si>
    <t>Goodwill</t>
  </si>
  <si>
    <t>Adjustments:</t>
  </si>
  <si>
    <t>Accumulated goodwill amortization</t>
  </si>
  <si>
    <t>Unrecorded goodwill</t>
  </si>
  <si>
    <t>Cumulative asset writedowns</t>
  </si>
  <si>
    <t>Present value of operating leases</t>
  </si>
  <si>
    <t>Total fixed assets &amp; equivalents</t>
  </si>
  <si>
    <t>Other Assets</t>
  </si>
  <si>
    <t>Invested capital (YE)</t>
  </si>
  <si>
    <t>Average invested capital</t>
  </si>
  <si>
    <t>Incremental NWC</t>
  </si>
  <si>
    <t>Incremental fixed assets</t>
  </si>
  <si>
    <t>Incremental other assets</t>
  </si>
  <si>
    <t>Incremental invested capital (YE)</t>
  </si>
  <si>
    <t>Turns:</t>
  </si>
  <si>
    <t>NWC turns</t>
  </si>
  <si>
    <t>Fixed asset turns</t>
  </si>
  <si>
    <t>Other asset turns</t>
  </si>
  <si>
    <t>YE IC turns</t>
  </si>
  <si>
    <t>Avg IC turns</t>
  </si>
  <si>
    <t>VBA Inputs:</t>
  </si>
  <si>
    <t>Required Cash</t>
  </si>
  <si>
    <t>LIFO Reserve</t>
  </si>
  <si>
    <t>For Edge model calculations</t>
  </si>
  <si>
    <t>4.  Operating Income (% Operating Margin)</t>
  </si>
  <si>
    <t>Revenue</t>
  </si>
  <si>
    <t>Taxes</t>
  </si>
  <si>
    <t>Capital Expenditures</t>
  </si>
  <si>
    <t>New Store Size (Gross Sq. Ft.)</t>
  </si>
  <si>
    <t>Return on Equity</t>
  </si>
  <si>
    <t>Interest Inc./(Exp.)</t>
  </si>
  <si>
    <t xml:space="preserve">Earnings Per Share </t>
  </si>
  <si>
    <t>Net Inc. From Operations</t>
  </si>
  <si>
    <t>2002A</t>
  </si>
  <si>
    <t>2003A</t>
  </si>
  <si>
    <t>Deferred Income Taxes</t>
  </si>
  <si>
    <t xml:space="preserve">    Options Expense</t>
  </si>
  <si>
    <t>3a.  Reorganization Costs   (% of Sales) (a)</t>
  </si>
  <si>
    <t>3b.  Options Expense   (% of Sales) (b)</t>
  </si>
  <si>
    <t>(b)</t>
  </si>
  <si>
    <t>Note: Options expense excluded from operating income and net income prior to 2002 in the Annual Results</t>
  </si>
  <si>
    <t>1997A</t>
  </si>
  <si>
    <t>1998A</t>
  </si>
  <si>
    <t>1999A</t>
  </si>
  <si>
    <t>Receivable from Sara Lee</t>
  </si>
  <si>
    <t xml:space="preserve">These actions were intended to reduce costs and resulted in the transfer of production to lower cost thrid-party manufacturers.   </t>
  </si>
  <si>
    <t>Retail Stores</t>
  </si>
  <si>
    <t>Factory Stores</t>
  </si>
  <si>
    <t>Coach Japan</t>
  </si>
  <si>
    <t>Average Basic Shares Outstanding</t>
  </si>
  <si>
    <t>Depreciation/Amortization</t>
  </si>
  <si>
    <t>2014E</t>
  </si>
  <si>
    <t>Supplemental Analysis: Selling, General &amp; Administrative Expenses per Average Store  (% Sales)</t>
  </si>
  <si>
    <t>Quarterly Operating Results and Financial Analysis, Fiscal 2000A-2004E</t>
  </si>
  <si>
    <t>Coach Japan-Sumitomo</t>
  </si>
  <si>
    <t>Indirect</t>
  </si>
  <si>
    <t>3c. Reoganization Costs</t>
  </si>
  <si>
    <t>11.  Shares Outstanding</t>
  </si>
  <si>
    <t xml:space="preserve">Annual Data </t>
  </si>
  <si>
    <t xml:space="preserve">Note: FY04 results include an extra week (53 week year). FY10 will also incorporate an extra week. </t>
  </si>
  <si>
    <t>Minority interest</t>
  </si>
  <si>
    <t>Annual Earnings Model, Fiscal 2001A-2014E</t>
  </si>
  <si>
    <t>Annual Sales Model, Fiscal 2001A-2014E</t>
  </si>
  <si>
    <t>2012E</t>
  </si>
  <si>
    <t>N.A.</t>
  </si>
  <si>
    <t>N.A. Avg.</t>
  </si>
  <si>
    <t>Options expense excluded from operating income and net income prior to 2002</t>
  </si>
  <si>
    <t>Minority Interest, Net of Tax</t>
  </si>
  <si>
    <t xml:space="preserve">     % Operating Margin</t>
  </si>
  <si>
    <t>Excess tax benefit from share-based compensation</t>
  </si>
  <si>
    <t>Repayment of long term debt</t>
  </si>
  <si>
    <t>3b.  Depr. &amp; Amort.</t>
  </si>
  <si>
    <t>2011A</t>
  </si>
  <si>
    <t xml:space="preserve">Company </t>
  </si>
  <si>
    <t>D&amp;A (incl in GM &amp; SG&amp;A)</t>
  </si>
  <si>
    <t>CapEx ($ millions)</t>
  </si>
  <si>
    <t>Avg Size (gross square feet)</t>
  </si>
  <si>
    <t>Coach Europe</t>
  </si>
  <si>
    <t>1Q12</t>
  </si>
  <si>
    <t>2Q12</t>
  </si>
  <si>
    <t>3Q12</t>
  </si>
  <si>
    <t>4Q12</t>
  </si>
  <si>
    <t>Interest Margin</t>
  </si>
  <si>
    <t xml:space="preserve">China </t>
  </si>
  <si>
    <t>Avg</t>
  </si>
  <si>
    <t>China Square Footage Growth</t>
  </si>
  <si>
    <t>Sales / Avg. Sq Ft -- Coach Japan</t>
  </si>
  <si>
    <t>Sales / Avg. Sq Ft -- N.A. Retail*</t>
  </si>
  <si>
    <t>Sales / Avg. Sq Ft -- N.A. Factory*</t>
  </si>
  <si>
    <t>*N.A. Retail and Factory sales per average square foot are based on our estimates for N.A. retail and factory revenues.</t>
  </si>
  <si>
    <t xml:space="preserve">            These estimates are based on historical % of total sales provided by the company and growth rates. </t>
  </si>
  <si>
    <t>Malaysia</t>
  </si>
  <si>
    <t>qtrP&amp;L</t>
  </si>
  <si>
    <t>Other assets and liabilities</t>
  </si>
  <si>
    <t>ROE</t>
  </si>
  <si>
    <t>Note: Direct refers to sales of Coach product in stores (in both N.A. and Japan), the internet, and catalogs; Indirect refers to sales of Coach product to other retailers (wholesale customers).</t>
  </si>
  <si>
    <t>Repurchase of common stock</t>
  </si>
  <si>
    <t>Proceeds from exercise of stock options</t>
  </si>
  <si>
    <t>Proceeds (net of purchase) from S-T investments</t>
  </si>
  <si>
    <t>Dividends paid</t>
  </si>
  <si>
    <t>Coach, Inc</t>
  </si>
  <si>
    <t>2005A</t>
  </si>
  <si>
    <t xml:space="preserve">     Adjusted Rent Expense</t>
  </si>
  <si>
    <t xml:space="preserve">     Adj. Rent % of Sales</t>
  </si>
  <si>
    <t>12.  Dividends per share</t>
  </si>
  <si>
    <t>Adj:</t>
  </si>
  <si>
    <t>Discontinued Operations (Corporate Accounts Business)</t>
  </si>
  <si>
    <t>NA Comp</t>
  </si>
  <si>
    <t>Taiwan</t>
  </si>
  <si>
    <t>Property, plant and equipment, gross</t>
  </si>
  <si>
    <t>Avg. Gross PP&amp;E/Sales</t>
  </si>
  <si>
    <r>
      <t>Sales per square foot</t>
    </r>
    <r>
      <rPr>
        <vertAlign val="superscript"/>
        <sz val="10"/>
        <rFont val="Arial"/>
        <family val="2"/>
      </rPr>
      <t xml:space="preserve"> (1)</t>
    </r>
  </si>
  <si>
    <r>
      <t xml:space="preserve">(1) </t>
    </r>
    <r>
      <rPr>
        <i/>
        <sz val="10"/>
        <rFont val="Arial"/>
        <family val="2"/>
      </rPr>
      <t xml:space="preserve">U.S. Retail and Factory and Japan sales are based on our estimates and company guidance. </t>
    </r>
  </si>
  <si>
    <t>2015E</t>
  </si>
  <si>
    <t>MW requirements</t>
  </si>
  <si>
    <t>Net Issuances</t>
  </si>
  <si>
    <t>Unrecorded Goodwill from Poolings</t>
  </si>
  <si>
    <t>Period end</t>
  </si>
  <si>
    <t>-</t>
  </si>
  <si>
    <t>Currency</t>
  </si>
  <si>
    <t>Borrowings of L-T Debt</t>
  </si>
  <si>
    <t>Repayments of revolving credit facility</t>
  </si>
  <si>
    <t>Avg. Divisional Sq. Ftge. (Gross Sq. Ft.)</t>
  </si>
  <si>
    <t>Total Factory</t>
  </si>
  <si>
    <t>Current Stock Price</t>
  </si>
  <si>
    <t>Count</t>
  </si>
  <si>
    <t>Europe</t>
  </si>
  <si>
    <t xml:space="preserve">Total </t>
  </si>
  <si>
    <t>Cons before results today</t>
  </si>
  <si>
    <t>U.S. Retail</t>
  </si>
  <si>
    <t>Acquisition of Joint Venture</t>
  </si>
  <si>
    <t>Coach China</t>
  </si>
  <si>
    <t>2013E</t>
  </si>
  <si>
    <t>Dep/CapEx</t>
  </si>
  <si>
    <t>Rent Expense Growth</t>
  </si>
  <si>
    <t>Square Footage Growth</t>
  </si>
  <si>
    <t>SG&amp;A ex D&amp;A, Marketing &amp; Rent</t>
  </si>
  <si>
    <t>% of Sales</t>
  </si>
  <si>
    <t>Selling/</t>
  </si>
  <si>
    <t>Selling ex-Rent</t>
  </si>
  <si>
    <t xml:space="preserve">Selling (ex-Rent) / </t>
  </si>
  <si>
    <t>Rent</t>
  </si>
  <si>
    <t>Expense</t>
  </si>
  <si>
    <t>Rent %</t>
  </si>
  <si>
    <t>of Selling</t>
  </si>
  <si>
    <t>Marketing</t>
  </si>
  <si>
    <t>Distribution</t>
  </si>
  <si>
    <t>Selling Growth</t>
  </si>
  <si>
    <t>Selling ex-Rent Growth</t>
  </si>
  <si>
    <t>Rent Growth</t>
  </si>
  <si>
    <t>Non-Rent</t>
  </si>
  <si>
    <t>Administrative Growth</t>
  </si>
  <si>
    <t>Selling Ex-Rent / Store</t>
  </si>
  <si>
    <t>ex-Rent/D&amp;A</t>
  </si>
  <si>
    <t>Selling Ex-Rent /D&amp;A</t>
  </si>
  <si>
    <t xml:space="preserve">Selling (ex-Rent/D&amp;A) / </t>
  </si>
  <si>
    <t xml:space="preserve">Avg. Gross Sq.Ft. </t>
  </si>
  <si>
    <t xml:space="preserve">Avg. Gross </t>
  </si>
  <si>
    <t xml:space="preserve">Sq.Ft. </t>
  </si>
  <si>
    <t>Selling Ex-Rent &amp; D&amp;A/Sq.Ft.</t>
  </si>
  <si>
    <t>Selling Ex-Rent &amp; D&amp;A/Store (MM)</t>
  </si>
  <si>
    <t>Avg. Gross Sq.Ft. (MM)</t>
  </si>
  <si>
    <t>1Q14</t>
  </si>
  <si>
    <t>2Q14</t>
  </si>
  <si>
    <t>3Q14</t>
  </si>
  <si>
    <t>GROSS PROFIT</t>
  </si>
  <si>
    <t>North America</t>
  </si>
  <si>
    <t>Intl</t>
  </si>
  <si>
    <t>Corp Unallocated</t>
  </si>
  <si>
    <t>Internet comp</t>
  </si>
  <si>
    <r>
      <t>FY14:</t>
    </r>
    <r>
      <rPr>
        <sz val="8"/>
        <rFont val="Arial"/>
        <family val="2"/>
      </rPr>
      <t xml:space="preserve"> ~32% </t>
    </r>
  </si>
  <si>
    <r>
      <t>FY14:</t>
    </r>
    <r>
      <rPr>
        <sz val="8"/>
        <rFont val="Arial"/>
        <family val="2"/>
      </rPr>
      <t xml:space="preserve"> Committed to achieving +DD growth over the planning horizon</t>
    </r>
  </si>
  <si>
    <t>ROA</t>
  </si>
  <si>
    <t>Net Debt to Equity</t>
  </si>
  <si>
    <t>SG&amp;A Breakout</t>
  </si>
  <si>
    <t>Factory Store - Men</t>
  </si>
  <si>
    <t>Factory Stores-Men</t>
  </si>
  <si>
    <t>DataCentral</t>
  </si>
  <si>
    <t>coh.us</t>
  </si>
  <si>
    <t>First Call Estimates</t>
  </si>
  <si>
    <t>2009A</t>
  </si>
  <si>
    <t>Income before Minority Interest</t>
  </si>
  <si>
    <t>Basic Shares Outstanding</t>
  </si>
  <si>
    <t>Depreciation &amp; Amort.</t>
  </si>
  <si>
    <t>Avg Basic Shares Outstanding</t>
  </si>
  <si>
    <t>CAGR</t>
  </si>
  <si>
    <t>%</t>
  </si>
  <si>
    <t xml:space="preserve">   % Chg. from LY</t>
  </si>
  <si>
    <t># Stores Open BOY</t>
  </si>
  <si>
    <t>- Stores Closed</t>
  </si>
  <si>
    <t># Stores Open EOY</t>
  </si>
  <si>
    <t>Avg. # Open</t>
  </si>
  <si>
    <t xml:space="preserve">   % Chg. Avg. Units</t>
  </si>
  <si>
    <t>Avg. Gross Sq. Ft. (MM)</t>
  </si>
  <si>
    <t>Ending Gross Sq. Ft. (MM)</t>
  </si>
  <si>
    <t>Avg. Store Size (Gross Sq. Ft.)</t>
  </si>
  <si>
    <t>Net Sales Per Avg Gross Sq Ft</t>
  </si>
  <si>
    <t>New Space Productivity</t>
  </si>
  <si>
    <t>Operating Profit ($MM)</t>
  </si>
  <si>
    <t xml:space="preserve">     % Margin</t>
  </si>
  <si>
    <t>TOTAL ASSETS</t>
  </si>
  <si>
    <t>Jan</t>
  </si>
  <si>
    <t>($ millions except per share data)</t>
  </si>
  <si>
    <t>1.  Sales</t>
  </si>
  <si>
    <t xml:space="preserve">     % Increase</t>
  </si>
  <si>
    <t>2.  Cost of Goods Sold</t>
  </si>
  <si>
    <t>3.  SG&amp;A Expense</t>
  </si>
  <si>
    <t xml:space="preserve">     Expense Ratio</t>
  </si>
  <si>
    <t>4.  Operating Income</t>
  </si>
  <si>
    <t>6.  Pretax Income</t>
  </si>
  <si>
    <t xml:space="preserve">       % Margin</t>
  </si>
  <si>
    <t xml:space="preserve">       % Tax Rate</t>
  </si>
  <si>
    <t xml:space="preserve">       % Net Margin</t>
  </si>
  <si>
    <t xml:space="preserve">       % Increase</t>
  </si>
  <si>
    <t>($ in millions except per share data)</t>
  </si>
  <si>
    <t>1Q</t>
  </si>
  <si>
    <t>2Q</t>
  </si>
  <si>
    <t>3Q</t>
  </si>
  <si>
    <t>4Q</t>
  </si>
  <si>
    <t>Year</t>
  </si>
  <si>
    <t>6 Mos</t>
  </si>
  <si>
    <t>9 Mos</t>
  </si>
  <si>
    <t>2.  Cost of Goods Sold   (% Gross Margin)</t>
  </si>
  <si>
    <t>3.  Selling, General &amp; Administrative Expenses   (% of Sales)</t>
  </si>
  <si>
    <t>7.  Income Taxes/(Credit)   (% Tax Rate)</t>
  </si>
  <si>
    <t>Balance Sheet</t>
  </si>
  <si>
    <t>($ in millions)</t>
  </si>
  <si>
    <t>Current Assets:</t>
  </si>
  <si>
    <t>Note: Ending cash balance + ST investments</t>
  </si>
  <si>
    <t>Total Current Assets</t>
  </si>
  <si>
    <t>Liabilities and Shareholders' Equity</t>
  </si>
  <si>
    <t>Current Liabilities:</t>
  </si>
  <si>
    <t>Accounts payable</t>
  </si>
  <si>
    <t>Total Current Liabilities</t>
  </si>
  <si>
    <t>Revolving Credit Facility</t>
  </si>
  <si>
    <t>Shareholders' Equity:</t>
  </si>
  <si>
    <t>Total Shareholders' Equity</t>
  </si>
  <si>
    <t>Balance Check</t>
  </si>
  <si>
    <t>Long-term debt</t>
  </si>
  <si>
    <t>TOTAL LIABILITIES AND S/H EQUITY</t>
  </si>
  <si>
    <t>Sales</t>
  </si>
  <si>
    <t>COGS</t>
  </si>
  <si>
    <t>SG&amp;A</t>
  </si>
  <si>
    <t>Ratio calculations:</t>
  </si>
  <si>
    <t>Net Income</t>
  </si>
  <si>
    <t>A/R / Sales</t>
  </si>
  <si>
    <t>2 year stack comp</t>
  </si>
  <si>
    <t>Last Quarter</t>
  </si>
  <si>
    <t>Inventory Spread</t>
  </si>
  <si>
    <t>A/P / Inventory</t>
  </si>
  <si>
    <t>Merchandise Inventory / Sales</t>
  </si>
  <si>
    <t>Cash Flow Statement</t>
  </si>
  <si>
    <t xml:space="preserve">     % Gross Margin</t>
  </si>
  <si>
    <t>($ millions)</t>
  </si>
  <si>
    <t>$ in Millions</t>
  </si>
  <si>
    <t>% Change</t>
  </si>
  <si>
    <t>Quarterly</t>
  </si>
  <si>
    <t>Stores</t>
  </si>
  <si>
    <t>Inventory</t>
  </si>
  <si>
    <t>Inventory vs.</t>
  </si>
  <si>
    <t>Open</t>
  </si>
  <si>
    <t>Y-o-Y</t>
  </si>
  <si>
    <t>Cost of</t>
  </si>
  <si>
    <t>End of</t>
  </si>
  <si>
    <t>Prior</t>
  </si>
  <si>
    <t>Following</t>
  </si>
  <si>
    <t>at End</t>
  </si>
  <si>
    <t>per</t>
  </si>
  <si>
    <t>Goods Sold</t>
  </si>
  <si>
    <t>Quarter</t>
  </si>
  <si>
    <t>Average</t>
  </si>
  <si>
    <t>REVENUES</t>
  </si>
  <si>
    <t>OPERATING INCOME</t>
  </si>
  <si>
    <t>chg</t>
  </si>
  <si>
    <t>mgn</t>
  </si>
  <si>
    <t>2001A</t>
  </si>
  <si>
    <t>2000A</t>
  </si>
  <si>
    <r>
      <t>FY14:</t>
    </r>
    <r>
      <rPr>
        <sz val="8"/>
        <rFont val="Arial"/>
        <family val="2"/>
      </rPr>
      <t xml:space="preserve"> -LSD in CC and -LSD to -MSD in $</t>
    </r>
  </si>
  <si>
    <t>FY14: ~70%</t>
  </si>
  <si>
    <t>FY14: 1-3% dollar growth</t>
  </si>
  <si>
    <r>
      <t>FY14:</t>
    </r>
    <r>
      <rPr>
        <sz val="8"/>
        <rFont val="Arial"/>
        <family val="2"/>
      </rPr>
      <t xml:space="preserve"> 26-27%</t>
    </r>
  </si>
  <si>
    <r>
      <t xml:space="preserve">FY14: </t>
    </r>
    <r>
      <rPr>
        <sz val="8"/>
        <rFont val="Arial"/>
        <family val="2"/>
      </rPr>
      <t>Balance of the year 2Q levels with 3Q toughest compare due to Easter shift</t>
    </r>
  </si>
  <si>
    <t>Prior Year</t>
  </si>
  <si>
    <t>Store</t>
  </si>
  <si>
    <t>Change</t>
  </si>
  <si>
    <t>x</t>
  </si>
  <si>
    <r>
      <t>FY14:</t>
    </r>
    <r>
      <rPr>
        <sz val="8"/>
        <rFont val="Arial"/>
        <family val="2"/>
      </rPr>
      <t xml:space="preserve"> 4-6%</t>
    </r>
  </si>
  <si>
    <r>
      <t xml:space="preserve">FY14: </t>
    </r>
    <r>
      <rPr>
        <sz val="8"/>
        <rFont val="Arial"/>
        <family val="2"/>
      </rPr>
      <t>71-72%</t>
    </r>
  </si>
  <si>
    <r>
      <t xml:space="preserve">FY14: </t>
    </r>
    <r>
      <rPr>
        <sz val="8"/>
        <rFont val="Arial"/>
        <family val="2"/>
      </rPr>
      <t>in line with sales</t>
    </r>
  </si>
  <si>
    <r>
      <t>FY14:</t>
    </r>
    <r>
      <rPr>
        <sz val="8"/>
        <rFont val="Arial"/>
        <family val="2"/>
      </rPr>
      <t xml:space="preserve"> ~30%</t>
    </r>
  </si>
  <si>
    <r>
      <t>FY14:</t>
    </r>
    <r>
      <rPr>
        <sz val="8"/>
        <rFont val="Arial"/>
        <family val="2"/>
      </rPr>
      <t xml:space="preserve"> ~33% </t>
    </r>
  </si>
  <si>
    <t>Singapore</t>
  </si>
  <si>
    <t>Quarterly Analysis of "Operating" Working Capital, 2002-2008A</t>
  </si>
  <si>
    <t>China Factory</t>
  </si>
  <si>
    <t>Coach China - Factory</t>
  </si>
  <si>
    <t>China - Factory</t>
  </si>
  <si>
    <t>N/A</t>
  </si>
  <si>
    <t>Total N.A.</t>
  </si>
  <si>
    <t>(a) Cost of Goods Sold divided by average inventory for the quarter.</t>
  </si>
  <si>
    <t>(b) Following quarter's COGS divided by inventory at the end of the quarter.</t>
  </si>
  <si>
    <t>Total</t>
  </si>
  <si>
    <t>Comp</t>
  </si>
  <si>
    <t>Total/Comp</t>
  </si>
  <si>
    <t>Spread</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</si>
  <si>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</si>
  <si>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</si>
  <si>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</si>
  <si>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</si>
  <si>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</si>
  <si>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</si>
  <si>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</si>
  <si>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</si>
  <si>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</si>
  <si>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</si>
  <si>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</si>
  <si>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</si>
  <si>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</si>
  <si>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</si>
  <si>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</si>
  <si>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</si>
  <si>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</si>
  <si>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</si>
  <si>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</si>
  <si>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</si>
  <si>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</si>
  <si>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</si>
  <si>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</si>
  <si>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</si>
  <si>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Depreciation and amortization</t>
  </si>
  <si>
    <t>Other non-cash adjustments</t>
  </si>
  <si>
    <t>TOTAL OPERATING SOURCES</t>
  </si>
  <si>
    <t>Uses of Cash</t>
  </si>
  <si>
    <t>Capital expenditures</t>
  </si>
  <si>
    <t>Increase (decrease) in</t>
  </si>
  <si>
    <t>sales</t>
  </si>
  <si>
    <t>Selling, General and Administrative Expenses</t>
  </si>
  <si>
    <t>Selling</t>
  </si>
  <si>
    <t xml:space="preserve">Advertising, </t>
  </si>
  <si>
    <t>NA (FP &amp; Factory)</t>
  </si>
  <si>
    <t>Retail Stores - Men's</t>
  </si>
  <si>
    <t>Retail Stores-Men</t>
  </si>
  <si>
    <t>Marketing, &amp; Design</t>
  </si>
  <si>
    <t>Consumer Service</t>
  </si>
  <si>
    <t>Distribution &amp;</t>
  </si>
  <si>
    <t>Administrative</t>
  </si>
  <si>
    <t>Inventories</t>
  </si>
  <si>
    <t xml:space="preserve">(Increase) decrease in </t>
  </si>
  <si>
    <t>Total working capital uses</t>
  </si>
  <si>
    <t>INTERNAL CASH GENERATION (FUNDS NEEDED)</t>
  </si>
  <si>
    <t>TOTAL OPERATING USES</t>
  </si>
  <si>
    <t>External Sources and Changes in Cash</t>
  </si>
  <si>
    <t>Beginning cash balance</t>
  </si>
  <si>
    <t>Ending cash balance</t>
  </si>
  <si>
    <t>China</t>
  </si>
  <si>
    <t>Total NA</t>
  </si>
  <si>
    <t>Equity Value</t>
  </si>
  <si>
    <t>Cons. 3Q13E</t>
  </si>
  <si>
    <t>Avg. Sales/Store</t>
  </si>
  <si>
    <t>Avg. Store Size</t>
  </si>
  <si>
    <t>D&amp;A</t>
  </si>
  <si>
    <t>Assumptions</t>
  </si>
  <si>
    <t>Rent Expense</t>
  </si>
  <si>
    <t>EBITDAR</t>
  </si>
  <si>
    <t>Increase (decrease) in cash</t>
  </si>
  <si>
    <t>NA</t>
  </si>
  <si>
    <t xml:space="preserve">Net Sales ($MM) </t>
  </si>
  <si>
    <t>TOTAL EXTERNAL SOURCES</t>
  </si>
  <si>
    <t>Total External Sources &amp; Cash</t>
  </si>
  <si>
    <t>Inventory     (Y-o-Y % Change vs. % Sales Growth)</t>
  </si>
  <si>
    <t>ROC</t>
  </si>
  <si>
    <t>Equals:  "Operating" Working Capital     (Y-o-Y % Change vs. % Sales Growth)</t>
  </si>
  <si>
    <t>Plus:  Receivables and Other Current Assets     (Y-o-Y % Change vs. % Sales Growth)</t>
  </si>
  <si>
    <t>Less:   Accounts Payable     (Y-o-Y % Change vs. % Sales Growth)</t>
  </si>
  <si>
    <t>5.  Interest Income/ (Expense)   (% Sales)</t>
  </si>
  <si>
    <t>6.  Pretax Income    (% Pretax Margin)</t>
  </si>
  <si>
    <t>+ New Store Openings</t>
  </si>
  <si>
    <t>Deferred income taxes</t>
  </si>
  <si>
    <t>Property, plant and equipment, net</t>
  </si>
  <si>
    <t>Accrued Expenses / SG&amp;A</t>
  </si>
  <si>
    <t>2004A</t>
  </si>
  <si>
    <t xml:space="preserve">Other non-current assets </t>
  </si>
  <si>
    <t>2006A</t>
  </si>
  <si>
    <t>Trade accounts receivable</t>
  </si>
  <si>
    <t>8. Minority Interest, Net of Tax</t>
  </si>
  <si>
    <t>9.  Income from Cont Ops</t>
  </si>
  <si>
    <t>10.  Adj. EPS from Cont Ops (a)</t>
  </si>
  <si>
    <t>Reorganization costs</t>
  </si>
  <si>
    <t>Prepaid expenses and other current assets</t>
  </si>
  <si>
    <t>Minority interest, net of tax</t>
  </si>
  <si>
    <t xml:space="preserve">For the fiscal year ending June 30th </t>
  </si>
  <si>
    <t xml:space="preserve">At June 30th </t>
  </si>
  <si>
    <t>At June 30th</t>
  </si>
  <si>
    <t>For the fiscal year ending June 30</t>
  </si>
  <si>
    <t>total</t>
  </si>
  <si>
    <t>2008A</t>
  </si>
  <si>
    <t>2009 end</t>
  </si>
  <si>
    <t>2008 end</t>
  </si>
  <si>
    <t>2007 end</t>
  </si>
  <si>
    <t>2006 end</t>
  </si>
  <si>
    <t>Floor Space (Sq Ft millions)</t>
  </si>
  <si>
    <t>Statutory Tax Rate</t>
  </si>
  <si>
    <t>Federal taxes</t>
  </si>
  <si>
    <t>State Taxes</t>
  </si>
  <si>
    <t>Average Basic Shares</t>
  </si>
  <si>
    <t>ND</t>
  </si>
  <si>
    <t>LEASE MODEL</t>
  </si>
  <si>
    <t>Template Start Year</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</si>
  <si>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</si>
  <si>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</si>
  <si>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</si>
  <si>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</si>
  <si>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</si>
  <si>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</si>
  <si>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</si>
  <si>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</si>
  <si>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</si>
  <si>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</si>
  <si>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</si>
  <si>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Interest</t>
  </si>
  <si>
    <t>Repayment</t>
  </si>
  <si>
    <t>Debt Issuances (Reductions)</t>
  </si>
  <si>
    <t>Implied debt</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</si>
  <si>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</si>
  <si>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</si>
  <si>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</si>
  <si>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</si>
  <si>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</si>
  <si>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</si>
  <si>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</si>
  <si>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</si>
  <si>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</si>
  <si>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</si>
  <si>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</si>
  <si>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</si>
  <si>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</si>
  <si>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 of Capital Expenditures financed through operating leases (sustainable)</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</si>
  <si>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</si>
  <si>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</si>
  <si>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</si>
  <si>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</si>
  <si>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</si>
  <si>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</si>
  <si>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</si>
  <si>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</si>
  <si>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</si>
  <si>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</si>
  <si>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</si>
  <si>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</si>
  <si>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</si>
  <si>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</si>
  <si>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</si>
  <si>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</si>
  <si>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</si>
  <si>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</si>
  <si>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</si>
  <si>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</si>
  <si>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</si>
  <si>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</si>
  <si>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</si>
  <si>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</si>
  <si>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</si>
  <si>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</si>
  <si>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</si>
  <si>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</si>
  <si>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</si>
  <si>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</si>
  <si>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</si>
  <si>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</si>
  <si>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</si>
  <si>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</si>
  <si>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</si>
  <si>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</si>
  <si>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</si>
  <si>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</si>
  <si>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</si>
  <si>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</si>
  <si>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</si>
  <si>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</si>
  <si>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</si>
  <si>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Period</t>
  </si>
  <si>
    <t>Present Value of Incremental Lease Payments</t>
  </si>
  <si>
    <t>Increase in current year lease payments versus previous years expected</t>
  </si>
  <si>
    <t>Estimated additions to leased assets in period</t>
  </si>
  <si>
    <t>Depreciation schedule</t>
  </si>
  <si>
    <t>Assumed Average Lease Life</t>
  </si>
  <si>
    <t>Retail Stores-Men or Dual gender</t>
  </si>
  <si>
    <t>Factory Stores-Men or Dual Gender</t>
  </si>
  <si>
    <t>2016 EPS</t>
  </si>
  <si>
    <t>2014A</t>
  </si>
  <si>
    <t>NA Check</t>
  </si>
  <si>
    <t>Sales Check</t>
  </si>
  <si>
    <t>Implied NA</t>
  </si>
  <si>
    <t>Wholesale</t>
  </si>
  <si>
    <t xml:space="preserve">NA Retail + </t>
  </si>
  <si>
    <t>Total Indirect</t>
  </si>
  <si>
    <t>Shipping &amp; Handling</t>
  </si>
  <si>
    <t>Advertising</t>
  </si>
  <si>
    <t>NA Store D&amp;A</t>
  </si>
  <si>
    <t>Intl Store D&amp;A</t>
  </si>
  <si>
    <t>Corp Unallocated D&amp;A</t>
  </si>
  <si>
    <t>NA D&amp;A/store</t>
  </si>
  <si>
    <t>Intl D&amp;A/store</t>
  </si>
  <si>
    <t>G&amp;A</t>
  </si>
  <si>
    <t>Advertising, Marketing &amp; Design</t>
  </si>
  <si>
    <t>Distribution &amp; Consumer Service</t>
  </si>
  <si>
    <t>Selling Expenses</t>
  </si>
  <si>
    <t>Selling expenses ex Rent/D&amp;A</t>
  </si>
  <si>
    <t>+</t>
  </si>
  <si>
    <t>(should</t>
  </si>
  <si>
    <t>match AA)</t>
  </si>
  <si>
    <t>% y/y growth</t>
  </si>
  <si>
    <t>4Q14</t>
  </si>
  <si>
    <r>
      <t>8.  Minority Interest, Net of Tax  (% Change)</t>
    </r>
    <r>
      <rPr>
        <sz val="10"/>
        <color indexed="12"/>
        <rFont val="Arial"/>
        <family val="2"/>
      </rPr>
      <t xml:space="preserve"> </t>
    </r>
  </si>
  <si>
    <r>
      <t>9.  Earnings from Continuing Operations  (% Change)</t>
    </r>
    <r>
      <rPr>
        <sz val="10"/>
        <rFont val="Arial"/>
        <family val="2"/>
      </rPr>
      <t xml:space="preserve"> </t>
    </r>
  </si>
  <si>
    <r>
      <t>10. EPS from Continuing Operations -- Fully Diluted   (% Change)</t>
    </r>
    <r>
      <rPr>
        <sz val="10"/>
        <rFont val="Arial"/>
        <family val="2"/>
      </rPr>
      <t xml:space="preserve"> </t>
    </r>
  </si>
  <si>
    <r>
      <t>10a. EPS Excl Options Exp -- Fully Diluted   (% Change)</t>
    </r>
    <r>
      <rPr>
        <sz val="10"/>
        <rFont val="Arial"/>
        <family val="2"/>
      </rPr>
      <t xml:space="preserve"> </t>
    </r>
  </si>
  <si>
    <r>
      <t>11.  Average Shares Outstanding -- Fully Diluted</t>
    </r>
    <r>
      <rPr>
        <sz val="10"/>
        <color indexed="12"/>
        <rFont val="Arial"/>
        <family val="2"/>
      </rPr>
      <t xml:space="preserve"> </t>
    </r>
  </si>
  <si>
    <t>2019E</t>
  </si>
  <si>
    <t>2020E</t>
  </si>
  <si>
    <t>Other Sales (e) ($MM)</t>
  </si>
  <si>
    <t>10-15E</t>
  </si>
  <si>
    <t>15-20E</t>
  </si>
  <si>
    <t>1Q15</t>
  </si>
  <si>
    <t>2Q15</t>
  </si>
  <si>
    <t>3Q15</t>
  </si>
  <si>
    <t>4Q15</t>
  </si>
  <si>
    <t>FY15 y/y Margin Change</t>
  </si>
  <si>
    <t>COH.O,mscalc:defaultCurrencyCalc</t>
  </si>
  <si>
    <t>COH.O,mscalc:sedolCodeCalc</t>
  </si>
  <si>
    <t>Feb</t>
  </si>
  <si>
    <t>WACC</t>
  </si>
  <si>
    <t>NOPAT</t>
  </si>
  <si>
    <t>COH.N,mscalc:sharePriceCurrent</t>
  </si>
  <si>
    <t>(1) - (2)</t>
  </si>
  <si>
    <t>Analysis ofNorth America Space Productivity, 2012A-2016E</t>
  </si>
  <si>
    <t>Segment Sales and Operating Income, 2012A-2016E</t>
  </si>
  <si>
    <t>CC</t>
  </si>
  <si>
    <t>Other Int'l</t>
  </si>
  <si>
    <t>Japan</t>
  </si>
  <si>
    <t>Int'l</t>
  </si>
  <si>
    <t>Corp. Unallocated</t>
  </si>
  <si>
    <t>Total Company EBIT</t>
  </si>
  <si>
    <t>Old Reporting Structure</t>
  </si>
  <si>
    <t>Total Direct Sales (e) ($MM)</t>
  </si>
  <si>
    <t>Indirect Sales (e) ($MM)</t>
  </si>
  <si>
    <t xml:space="preserve">Sanity Check </t>
  </si>
  <si>
    <t>Avg Net Sales Per NA Store ($MM)</t>
  </si>
  <si>
    <t>Avg Net Sales Per Int'l Store ($MM)</t>
  </si>
  <si>
    <t>Est</t>
  </si>
  <si>
    <t>Quarterly Analysis of Inventory Turnover, 2000A-2016E</t>
  </si>
  <si>
    <t>2015A</t>
  </si>
  <si>
    <t>Stuart Weitzman</t>
  </si>
  <si>
    <t>NA + Intl + SW</t>
  </si>
  <si>
    <t>Stuart Weitzman ($MM)</t>
  </si>
  <si>
    <t>LY</t>
  </si>
  <si>
    <t>31.41</t>
  </si>
  <si>
    <t>Acquisitions, net of cash acquired</t>
  </si>
  <si>
    <t>SW</t>
  </si>
  <si>
    <t>CFO</t>
  </si>
  <si>
    <t>FCF</t>
  </si>
  <si>
    <t>2021E</t>
  </si>
  <si>
    <t>2016A</t>
  </si>
  <si>
    <t>2022E</t>
  </si>
  <si>
    <t>~</t>
  </si>
  <si>
    <t>1Q16</t>
  </si>
  <si>
    <t>2Q16</t>
  </si>
  <si>
    <t>3Q16</t>
  </si>
  <si>
    <t>4Q16</t>
  </si>
  <si>
    <t>Model</t>
  </si>
  <si>
    <t>Forecasts</t>
  </si>
  <si>
    <t>Metric</t>
  </si>
  <si>
    <t>Margin</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</si>
  <si>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</si>
  <si>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</si>
  <si>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</si>
  <si>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</si>
  <si>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</si>
  <si>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</si>
  <si>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</si>
  <si>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</si>
  <si>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</si>
  <si>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</si>
  <si>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</si>
  <si>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</si>
  <si>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</si>
  <si>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</si>
  <si>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</si>
  <si>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</si>
  <si>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</si>
  <si>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</si>
  <si>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</si>
  <si>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</si>
  <si>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</si>
  <si>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</si>
  <si>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</si>
  <si>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</si>
  <si>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</si>
  <si>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</si>
  <si>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</si>
  <si>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</si>
  <si>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</si>
  <si>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</si>
  <si>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</si>
  <si>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Kate Spade</t>
  </si>
  <si>
    <t xml:space="preserve">Comp </t>
  </si>
  <si>
    <t>Inventory Growth</t>
  </si>
  <si>
    <t>Forward Sales Growth</t>
  </si>
  <si>
    <t>1Q17</t>
  </si>
  <si>
    <t>2Q17</t>
  </si>
  <si>
    <t>3Q17</t>
  </si>
  <si>
    <t>4Q17</t>
  </si>
  <si>
    <t>2017A</t>
  </si>
  <si>
    <t>Coach North America Sales ($MM)</t>
  </si>
  <si>
    <t>Coach International Sales ($MM)</t>
  </si>
  <si>
    <t>Kate Spade Global Sales ($MM)</t>
  </si>
  <si>
    <t>Coach Brand Store Counts</t>
  </si>
  <si>
    <t>Global Comparable Sales</t>
  </si>
  <si>
    <t>Kate Spade Store Counts</t>
  </si>
  <si>
    <t xml:space="preserve">Total Coach Store Count </t>
  </si>
  <si>
    <t>Coach North American Retail Stores</t>
  </si>
  <si>
    <t>Coach North American Factory Stores</t>
  </si>
  <si>
    <t xml:space="preserve">North </t>
  </si>
  <si>
    <t>America</t>
  </si>
  <si>
    <t>(8a)</t>
  </si>
  <si>
    <t>(8b)</t>
  </si>
  <si>
    <t>Total Coach Sq Ft (millions)</t>
  </si>
  <si>
    <t>Total Coach Sq Ft Growth</t>
  </si>
  <si>
    <t>Kate Spade North American Retail Stores</t>
  </si>
  <si>
    <t>Analysis of Kate Spade Space Productivity, 2012A-2018E</t>
  </si>
  <si>
    <t>Total Avg.</t>
  </si>
  <si>
    <t># Store Open EOY</t>
  </si>
  <si>
    <t>Specialty - North America</t>
  </si>
  <si>
    <t xml:space="preserve">Not owned by COH </t>
  </si>
  <si>
    <t>Outlet - North America</t>
  </si>
  <si>
    <t>Avg Net Sales Per Store ($MM)</t>
  </si>
  <si>
    <t>Specialty - International</t>
  </si>
  <si>
    <t>Outlet - International</t>
  </si>
  <si>
    <t>Kate Spade International Retail Stores</t>
  </si>
  <si>
    <t xml:space="preserve">Kate Spade International Outlet Stores </t>
  </si>
  <si>
    <t>Kate Spade North American Outlet Stores</t>
  </si>
  <si>
    <t>Total Kate Spade Store Count</t>
  </si>
  <si>
    <t>NOT OWNED BY COACH INC. UNTIL 7/12/17</t>
  </si>
  <si>
    <t>Kate Spade Not Owned by Coach Inc. Until 7/12/17</t>
  </si>
  <si>
    <t>Kate Spade SSS</t>
  </si>
  <si>
    <t>Sales / Avg. Sq Ft -- Total Coach Brand</t>
  </si>
  <si>
    <t>Sales / Avg. Sq Ft -- Coach North America</t>
  </si>
  <si>
    <t>US</t>
  </si>
  <si>
    <t>35</t>
  </si>
  <si>
    <t>TPR.N</t>
  </si>
  <si>
    <t>TAPESTRY INC</t>
  </si>
  <si>
    <t>Stuart Weitzman Store Counts</t>
  </si>
  <si>
    <t>International</t>
  </si>
  <si>
    <t>Coach Brand</t>
  </si>
  <si>
    <t xml:space="preserve">Global Comp </t>
  </si>
  <si>
    <t>Tapestry, Inc</t>
  </si>
  <si>
    <t>No Longer Reported</t>
  </si>
  <si>
    <t>1Q18</t>
  </si>
  <si>
    <t>Segment Sales and Operating Income, 2017-2018E</t>
  </si>
  <si>
    <t>Coach Global Sales</t>
  </si>
  <si>
    <t>Coach Global SSS (NA Prior to 2018)</t>
  </si>
  <si>
    <t>TPR.N,mscalc:targetPrice,,,,USD</t>
  </si>
  <si>
    <t>TPR.N,mscalc:sedolCodeCalc</t>
  </si>
  <si>
    <t>TPR.N,mscalc:closePriceCurrencyCalc</t>
  </si>
  <si>
    <t>$AB$2</t>
  </si>
  <si>
    <t>BF09HX3</t>
  </si>
  <si>
    <t>Coach SSS (Global 2018-)</t>
  </si>
  <si>
    <t>2Q17A</t>
  </si>
  <si>
    <t>2Q18A</t>
  </si>
  <si>
    <t>Coach Comp. Store Sales</t>
  </si>
  <si>
    <t>2Q18E</t>
  </si>
  <si>
    <t>2Q18</t>
  </si>
  <si>
    <t>37</t>
  </si>
  <si>
    <t>MSA13041</t>
  </si>
  <si>
    <t>Research</t>
  </si>
  <si>
    <t>#Refresh#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</si>
  <si>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</si>
  <si>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</si>
  <si>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</si>
  <si>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</si>
  <si>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</si>
  <si>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</si>
  <si>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</si>
  <si>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</si>
  <si>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08 Feb 2018</t>
  </si>
  <si>
    <t>Ticker: TPR.N</t>
  </si>
  <si>
    <t>Stock Rating: Underweight</t>
  </si>
  <si>
    <t>Industry: Retail, Specialty Retail</t>
  </si>
  <si>
    <t>Industry View: Cautious</t>
  </si>
  <si>
    <t>Price as of 08 Feb 2018: 50.10</t>
  </si>
  <si>
    <t>Target Price: 38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</si>
  <si>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</si>
  <si>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</si>
  <si>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</si>
  <si>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</si>
  <si>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TAPESTRY INC.</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</si>
  <si>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</si>
  <si>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</si>
  <si>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</si>
  <si>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</si>
  <si>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</si>
  <si>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</si>
  <si>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</si>
  <si>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</si>
  <si>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</si>
  <si>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</si>
  <si>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</si>
  <si>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</si>
  <si>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</si>
  <si>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</si>
  <si>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</si>
  <si>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</si>
  <si>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</si>
  <si>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</si>
  <si>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</si>
  <si>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</si>
  <si>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</si>
  <si>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</si>
  <si>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</si>
  <si>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</si>
  <si>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</si>
  <si>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</si>
  <si>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</si>
  <si>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</si>
  <si>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</si>
  <si>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</si>
  <si>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</si>
  <si>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</si>
  <si>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</si>
  <si>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</si>
  <si>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</si>
  <si>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</si>
  <si>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</si>
  <si>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</si>
  <si>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</si>
  <si>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</si>
  <si>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</si>
  <si>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</si>
  <si>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</si>
  <si>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</si>
  <si>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</si>
  <si>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</si>
  <si>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</si>
  <si>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</si>
  <si>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</si>
  <si>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</si>
  <si>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</si>
  <si>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</si>
  <si>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</si>
  <si>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</si>
  <si>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</si>
  <si>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</si>
  <si>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</si>
  <si>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</si>
  <si>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</si>
  <si>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</si>
  <si>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</si>
  <si>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</si>
  <si>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</si>
  <si>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</si>
  <si>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</si>
  <si>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</si>
  <si>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</si>
  <si>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</si>
  <si>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</si>
  <si>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</si>
  <si>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</si>
  <si>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</si>
  <si>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</si>
  <si>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</si>
  <si>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</si>
  <si>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</si>
  <si>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</si>
  <si>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</si>
  <si>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</si>
  <si>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</si>
  <si>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</si>
  <si>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</si>
  <si>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</si>
  <si>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</si>
  <si>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</si>
  <si>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</si>
  <si>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</si>
  <si>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</si>
  <si>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</si>
  <si>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</si>
  <si>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</si>
  <si>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</si>
  <si>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</si>
  <si>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</si>
  <si>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</si>
  <si>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</si>
  <si>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</si>
  <si>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</si>
  <si>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</si>
  <si>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</si>
  <si>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</si>
  <si>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</si>
  <si>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</si>
  <si>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</si>
  <si>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</si>
  <si>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</si>
  <si>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</si>
  <si>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</si>
  <si>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</si>
  <si>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</si>
  <si>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</si>
  <si>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</si>
  <si>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</si>
  <si>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</si>
  <si>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</si>
  <si>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</si>
  <si>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</si>
  <si>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</si>
  <si>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</si>
  <si>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</si>
  <si>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</si>
  <si>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</si>
  <si>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</si>
  <si>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</si>
  <si>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</si>
  <si>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</si>
  <si>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</si>
  <si>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</si>
  <si>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</si>
  <si>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</si>
  <si>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</si>
  <si>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</si>
  <si>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</si>
  <si>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</si>
  <si>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</si>
  <si>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</si>
  <si>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</si>
  <si>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</si>
  <si>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</si>
  <si>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</si>
  <si>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</si>
  <si>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</si>
  <si>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</si>
  <si>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</si>
  <si>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</si>
  <si>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</si>
  <si>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</si>
  <si>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</si>
  <si>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</si>
  <si>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</si>
  <si>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</si>
  <si>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</si>
  <si>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</si>
  <si>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</si>
  <si>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</si>
  <si>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</si>
  <si>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</si>
  <si>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</si>
  <si>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</si>
  <si>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</si>
  <si>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</si>
  <si>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</si>
  <si>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</si>
  <si>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</si>
  <si>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</si>
  <si>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</si>
  <si>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</si>
  <si>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</si>
  <si>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</si>
  <si>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</si>
  <si>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</si>
  <si>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</si>
  <si>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</si>
  <si>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</si>
  <si>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</si>
  <si>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</si>
  <si>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TAPESTRY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</si>
  <si>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</si>
  <si>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</si>
  <si>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</si>
  <si>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</si>
  <si>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</si>
  <si>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</si>
  <si>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</si>
  <si>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</si>
  <si>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</si>
  <si>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</si>
  <si>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</si>
  <si>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</si>
  <si>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</si>
  <si>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</si>
  <si>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</si>
  <si>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</si>
  <si>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</si>
  <si>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</si>
  <si>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</si>
  <si>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</si>
  <si>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</si>
  <si>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</si>
  <si>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</si>
  <si>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</si>
  <si>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</si>
  <si>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</si>
  <si>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</si>
  <si>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</si>
  <si>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</si>
  <si>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</si>
  <si>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</si>
  <si>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</si>
  <si>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</si>
  <si>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</si>
  <si>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</si>
  <si>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</si>
  <si>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</si>
  <si>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</si>
  <si>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</si>
  <si>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</si>
  <si>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</si>
  <si>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</si>
  <si>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</si>
  <si>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</si>
  <si>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</si>
  <si>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</si>
  <si>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</si>
  <si>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</si>
  <si>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</si>
  <si>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</si>
  <si>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</si>
  <si>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</si>
  <si>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</si>
  <si>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</si>
  <si>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</si>
  <si>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</si>
  <si>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</si>
  <si>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</si>
  <si>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</si>
  <si>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</si>
  <si>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</si>
  <si>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</si>
  <si>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</si>
  <si>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</si>
  <si>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</si>
  <si>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</si>
  <si>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</si>
  <si>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TAPESTRY INC.</t>
  </si>
  <si>
    <t>In the next 3 months, Morgan Stanley expects to receive or intends to seek compensation for investment</t>
  </si>
  <si>
    <t>banking services from TAPESTRY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</si>
  <si>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</si>
  <si>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</si>
  <si>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</si>
  <si>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</si>
  <si>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</si>
  <si>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</si>
  <si>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</si>
  <si>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</si>
  <si>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</si>
  <si>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</si>
  <si>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</si>
  <si>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</si>
  <si>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</si>
  <si>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</si>
  <si>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</si>
  <si>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</si>
  <si>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</si>
  <si>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</si>
  <si>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</si>
  <si>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</si>
  <si>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</si>
  <si>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</si>
  <si>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</si>
  <si>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</si>
  <si>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</si>
  <si>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</si>
  <si>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</si>
  <si>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</si>
  <si>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</si>
  <si>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</si>
  <si>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</si>
  <si>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</si>
  <si>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</si>
  <si>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</si>
  <si>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</si>
  <si>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</si>
  <si>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</si>
  <si>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</si>
  <si>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</si>
  <si>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</si>
  <si>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</si>
  <si>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</si>
  <si>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</si>
  <si>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</si>
  <si>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</si>
  <si>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</si>
  <si>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</si>
  <si>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</si>
  <si>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</si>
  <si>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</si>
  <si>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</si>
  <si>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</si>
  <si>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</si>
  <si>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</si>
  <si>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</si>
  <si>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</si>
  <si>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</si>
  <si>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</si>
  <si>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</si>
  <si>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</si>
  <si>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</si>
  <si>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</si>
  <si>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</si>
  <si>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</si>
  <si>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</si>
  <si>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</si>
  <si>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</si>
  <si>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</si>
  <si>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</si>
  <si>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</si>
  <si>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</si>
  <si>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</si>
  <si>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</si>
  <si>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Quarterly Update</t>
  </si>
  <si>
    <t>NorthAmerica</t>
  </si>
  <si>
    <t>robertcy</t>
  </si>
  <si>
    <t>L:\RETAIL\Greenberger\Companies\COH\Models\TPR.xlsm</t>
  </si>
  <si>
    <t>[BRO MSA]</t>
  </si>
  <si>
    <t>[PRODUCT MODEL]</t>
  </si>
  <si>
    <t>[EMAIL_ALERT YES]</t>
  </si>
  <si>
    <t>[DISCIPLINE Company]</t>
  </si>
  <si>
    <t>[SUPPRESSED NO]</t>
  </si>
  <si>
    <t>[DOCDAT 2018-02-08]</t>
  </si>
  <si>
    <t>[DOCTIME 08:39]</t>
  </si>
  <si>
    <t>[PSYM TPR.N(S&amp;P) (None)]</t>
  </si>
  <si>
    <t>[COU 1]</t>
  </si>
  <si>
    <t>[ANA ]</t>
  </si>
  <si>
    <t>[HL TPR.N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</si>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</sst>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94">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_);\(#,##0.0\)"/>
    <numFmt numFmtId="168" formatCode="#,##0.000_);[Red]\(#,##0.000\)"/>
    <numFmt numFmtId="169" formatCode="#,##0.0000_);[Red]\(#,##0.0000\)"/>
    <numFmt numFmtId="170" formatCode="#,##0.0_);[Red]\(#,##0.0\)"/>
    <numFmt numFmtId="171" formatCode="0.000"/>
    <numFmt numFmtId="172" formatCode="&quot;$&quot;#,##0.0_);[Red]\(&quot;$&quot;#,##0.0\)"/>
    <numFmt numFmtId="173" formatCode="&quot;$&quot;#,##0.0_);\(&quot;$&quot;#,##0.0\)"/>
    <numFmt numFmtId="174" formatCode="0.0%;\(0.0\)%"/>
    <numFmt numFmtId="175" formatCode="_(* #,##0_);_(* \(#,##0\);_(* &quot;-&quot;??_);_(@_)"/>
    <numFmt numFmtId="176" formatCode="&quot;$&quot;#,##0.00"/>
    <numFmt numFmtId="177" formatCode="&quot;$&quot;#,##0"/>
    <numFmt numFmtId="178" formatCode="General_)"/>
    <numFmt numFmtId="179" formatCode="0.0_)"/>
    <numFmt numFmtId="180" formatCode="&quot;$&quot;#,##0.0"/>
    <numFmt numFmtId="181" formatCode="_(* #,##0.0000_);_(* \(#,##0.0000\);_(* &quot;-&quot;??_);_(@_)"/>
    <numFmt numFmtId="182" formatCode="0_);\(0\)"/>
    <numFmt numFmtId="183" formatCode="#,##0.0000_);\(#,##0.0000\)"/>
    <numFmt numFmtId="184" formatCode="&quot;$&quot;#,##0.000_);\(&quot;$&quot;#,##0.000\)"/>
    <numFmt numFmtId="185" formatCode="###0_);\(###0\)"/>
    <numFmt numFmtId="186" formatCode="&quot;$&quot;#,##0.0\ ;[Red]\(&quot;$&quot;#,##0.0\)"/>
    <numFmt numFmtId="187" formatCode="0.0%;\(0.0%\)"/>
    <numFmt numFmtId="188" formatCode="\(0.00\)"/>
    <numFmt numFmtId="189" formatCode="\(0.0\)"/>
    <numFmt numFmtId="190" formatCode="\+0.0;\-0.0"/>
    <numFmt numFmtId="191" formatCode="0.000_)"/>
    <numFmt numFmtId="192" formatCode="&quot;$&quot;#,##0.000"/>
    <numFmt numFmtId="193" formatCode="####\A"/>
    <numFmt numFmtId="194" formatCode="\/0.0;\/\-0.0"/>
    <numFmt numFmtId="195" formatCode="####&quot;E&quot;"/>
    <numFmt numFmtId="196" formatCode="#,##0.0\ ;[Red]\(#,##0.0\)"/>
    <numFmt numFmtId="197" formatCode="#,##0.0%\ ;[Red]\(#,##0.0%\)"/>
    <numFmt numFmtId="198" formatCode="####\P\F"/>
    <numFmt numFmtId="199" formatCode="0.0_);[Red]\(0.0\)"/>
    <numFmt numFmtId="200" formatCode="0.0_);\(0.0\)"/>
    <numFmt numFmtId="201" formatCode="0.00_);\(0.00\)"/>
    <numFmt numFmtId="202" formatCode="#,##0.000_);\(#,##0.000\)"/>
    <numFmt numFmtId="203" formatCode="#,##0.000000000000000_);[Red]\(#,##0.000000000000000\)"/>
    <numFmt numFmtId="204" formatCode="\+0.00;\-0.00"/>
    <numFmt numFmtId="205" formatCode="#,##0.000"/>
    <numFmt numFmtId="206" formatCode="&quot;$&quot;#,##0.000_);[Red]\(&quot;$&quot;#,##0.000\)"/>
    <numFmt numFmtId="207" formatCode="_(* #,##0.00000_);_(* \(#,##0.00000\);_(* &quot;-&quot;??_);_(@_)"/>
    <numFmt numFmtId="208" formatCode="_(* #,##0.0_);_(* \(#,##0.0\);_(* &quot;-&quot;??_);_(@_)"/>
    <numFmt numFmtId="209" formatCode="\+0;\-0"/>
    <numFmt numFmtId="210" formatCode="###0.0_);\(###0.0\)"/>
    <numFmt numFmtId="211" formatCode="####&quot;A&quot;"/>
    <numFmt numFmtId="212" formatCode="_(* #,##0.000_);_(* \(#,##0.000\);_(* &quot;-&quot;??_);_(@_)"/>
    <numFmt numFmtId="215" formatCode="0.0000"/>
    <numFmt numFmtId="216" formatCode="\(0.000\)"/>
    <numFmt numFmtId="218" formatCode="_-&quot;£&quot;* #,##0.00_-;\-&quot;£&quot;* #,##0.00_-;_-&quot;£&quot;* &quot;-&quot;??_-;_-@_-"/>
    <numFmt numFmtId="219" formatCode="_-* #,##0.00_-;\-* #,##0.00_-;_-* &quot;-&quot;??_-;_-@_-"/>
    <numFmt numFmtId="233" formatCode="0\ &quot;bps&quot;"/>
    <numFmt numFmtId="237" formatCode="0.0\ \/;\-0.0\ \/"/>
    <numFmt numFmtId="238" formatCode="_(* #,##0.0_);_(* \(#,##0.0\);_(* &quot;-&quot;?_);_(@_)"/>
    <numFmt numFmtId="240" formatCode="#,##0.00000000000000_);[Red]\(#,##0.00000000000000\)"/>
    <numFmt numFmtId="241" formatCode="#,##0.0;\(#,##0.0\)"/>
    <numFmt numFmtId="242" formatCode="#,##0;\(#,##0\)"/>
    <numFmt numFmtId="244" formatCode="\F###0\A"/>
    <numFmt numFmtId="245" formatCode="\F###0\E"/>
    <numFmt numFmtId="246" formatCode="###0"/>
    <numFmt numFmtId="247" formatCode="###0.00"/>
    <numFmt numFmtId="249" formatCode="###0.0"/>
    <numFmt numFmtId="250" formatCode="\F###0"/>
    <numFmt numFmtId="257" formatCode="_(&quot;$&quot;* #,##0.0_);_(&quot;$&quot;* \(#,##0.0\);_(&quot;$&quot;* &quot;-&quot;?_);_(@_)"/>
    <numFmt numFmtId="258" formatCode="_(&quot;$&quot;* #,##0.0_);_(&quot;$&quot;* \(#,##0.0\);_(&quot;$&quot;* &quot;-&quot;??_);_(@_)"/>
    <numFmt numFmtId="260" formatCode="_(&quot;$&quot;* #,##0_);_(&quot;$&quot;* \(#,##0\);_(&quot;$&quot;* &quot;-&quot;??_);_(@_)"/>
    <numFmt numFmtId="261" formatCode="0.00000"/>
    <numFmt numFmtId="262" formatCode="0E+00"/>
    <numFmt numFmtId="263" formatCode="\+0.0%;\-0.0%"/>
    <numFmt numFmtId="264" formatCode="&quot;$&quot;#,##0.0000_);\(&quot;$&quot;#,##0.0000\)"/>
    <numFmt numFmtId="265" formatCode="0.000%;\(0.000%\)"/>
    <numFmt numFmtId="266" formatCode="0\A"/>
    <numFmt numFmtId="267" formatCode="&quot;$&quot;#,##0.00\ ;[Red]\(&quot;$&quot;#,##0.00\)"/>
    <numFmt numFmtId="269" formatCode="0.00000000000000"/>
    <numFmt numFmtId="270" formatCode="0.00%;\(0.00%\)"/>
    <numFmt numFmtId="271" formatCode="#,##0.00000_);\(#,##0.00000\)"/>
    <numFmt numFmtId="272" formatCode="_(&quot;$&quot;* #,##0.000_);_(&quot;$&quot;* \(#,##0.000\);_(&quot;$&quot;* &quot;-&quot;??_);_(@_)"/>
    <numFmt numFmtId="273" formatCode="mm/yyyy"/>
    <numFmt numFmtId="274" formatCode="0.0000000000000"/>
    <numFmt numFmtId="275" formatCode="0.000000000000000"/>
    <numFmt numFmtId="277" formatCode="0.0;\(0.0\)"/>
    <numFmt numFmtId="278" formatCode="###0.00_);\(###0.00\)"/>
    <numFmt numFmtId="279" formatCode="#,##0\ ;[Red]\(#,##0\)"/>
    <numFmt numFmtId="280" formatCode="0;\(0\)"/>
    <numFmt numFmtId="281" formatCode="0%;\(0%\)"/>
    <numFmt numFmtId="287" formatCode="mm/dd/yy\ hh:mm"/>
  </numFmts>
  <fonts count="170">
    <font>
      <sz val="10"/>
      <name val="Arial"/>
    </font>
    <font>
      <sz val="10"/>
      <name val="Arial"/>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sz val="8"/>
      <color indexed="10"/>
      <name val="Arial"/>
      <family val="2"/>
    </font>
    <font>
      <b/>
      <u/>
      <sz val="10"/>
      <name val="Arial"/>
      <family val="2"/>
    </font>
    <font>
      <sz val="10"/>
      <color indexed="10"/>
      <name val="Arial"/>
      <family val="2"/>
    </font>
    <font>
      <sz val="8"/>
      <color indexed="8"/>
      <name val="Arial"/>
      <family val="2"/>
    </font>
    <font>
      <u/>
      <sz val="8"/>
      <name val="Arial"/>
      <family val="2"/>
    </font>
    <font>
      <sz val="8"/>
      <color indexed="17"/>
      <name val="Arial"/>
      <family val="2"/>
    </font>
    <font>
      <i/>
      <sz val="10"/>
      <name val="Arial"/>
      <family val="2"/>
    </font>
    <font>
      <b/>
      <i/>
      <sz val="8"/>
      <name val="Arial"/>
      <family val="2"/>
    </font>
    <font>
      <sz val="9"/>
      <name val="Futura UBS Bk"/>
    </font>
    <font>
      <i/>
      <sz val="10"/>
      <color indexed="9"/>
      <name val="Arial"/>
      <family val="2"/>
    </font>
    <font>
      <b/>
      <sz val="12"/>
      <name val="Arial"/>
      <family val="2"/>
    </font>
    <font>
      <u/>
      <sz val="10"/>
      <color indexed="20"/>
      <name val="Arial"/>
      <family val="2"/>
    </font>
    <font>
      <sz val="10"/>
      <color indexed="8"/>
      <name val="Arial"/>
      <family val="2"/>
    </font>
    <font>
      <b/>
      <sz val="10"/>
      <color indexed="9"/>
      <name val="Arial"/>
      <family val="2"/>
    </font>
    <font>
      <b/>
      <sz val="8"/>
      <color indexed="21"/>
      <name val="Arial"/>
      <family val="2"/>
    </font>
    <font>
      <sz val="8"/>
      <color indexed="21"/>
      <name val="Arial"/>
      <family val="2"/>
    </font>
    <font>
      <vertAlign val="superscript"/>
      <sz val="10"/>
      <name val="Arial"/>
      <family val="2"/>
    </font>
    <font>
      <sz val="10"/>
      <color indexed="20"/>
      <name val="Arial"/>
      <family val="2"/>
    </font>
    <font>
      <sz val="8"/>
      <name val="Arial"/>
      <family val="2"/>
    </font>
    <font>
      <b/>
      <sz val="7"/>
      <color indexed="81"/>
      <name val="Tahoma"/>
      <family val="2"/>
    </font>
    <font>
      <sz val="7"/>
      <color indexed="81"/>
      <name val="Tahoma"/>
      <family val="2"/>
    </font>
    <font>
      <b/>
      <sz val="10"/>
      <color indexed="20"/>
      <name val="Arial"/>
      <family val="2"/>
    </font>
    <font>
      <u/>
      <sz val="10"/>
      <color indexed="10"/>
      <name val="Arial"/>
      <family val="2"/>
    </font>
    <font>
      <u/>
      <sz val="10"/>
      <color indexed="20"/>
      <name val="Arial"/>
      <family val="2"/>
    </font>
    <font>
      <sz val="10"/>
      <color indexed="9"/>
      <name val="Arial"/>
      <family val="2"/>
    </font>
    <font>
      <b/>
      <sz val="9"/>
      <color indexed="81"/>
      <name val="Tahoma"/>
      <family val="2"/>
    </font>
    <font>
      <sz val="9"/>
      <color indexed="81"/>
      <name val="Tahoma"/>
      <family val="2"/>
    </font>
    <font>
      <sz val="10"/>
      <color indexed="17"/>
      <name val="Arial"/>
      <family val="2"/>
    </font>
    <font>
      <i/>
      <sz val="10"/>
      <color indexed="12"/>
      <name val="Arial"/>
      <family val="2"/>
    </font>
    <font>
      <b/>
      <sz val="10"/>
      <color indexed="12"/>
      <name val="CIR Trade Gothic Cn"/>
    </font>
    <font>
      <sz val="10"/>
      <color indexed="8"/>
      <name val="CIR Trade Gothic Cn"/>
    </font>
    <font>
      <sz val="10"/>
      <name val="CIR Trade Gothic Cn"/>
    </font>
    <font>
      <b/>
      <sz val="10"/>
      <name val="CIR Trade Gothic Cn"/>
    </font>
    <font>
      <u/>
      <sz val="10"/>
      <name val="CIR Trade Gothic Cn"/>
    </font>
    <font>
      <i/>
      <sz val="10"/>
      <name val="CIR Trade Gothic Cn"/>
    </font>
    <font>
      <sz val="10"/>
      <color indexed="12"/>
      <name val="CIR Trade Gothic Cn"/>
    </font>
    <font>
      <sz val="10"/>
      <color indexed="23"/>
      <name val="CIR Trade Gothic Cn"/>
    </font>
    <font>
      <sz val="10"/>
      <color indexed="20"/>
      <name val="CIR Trade Gothic Cn"/>
    </font>
    <font>
      <sz val="10"/>
      <color indexed="10"/>
      <name val="CIR Trade Gothic Cn"/>
    </font>
    <font>
      <b/>
      <sz val="10"/>
      <color indexed="20"/>
      <name val="CIR Trade Gothic Cn"/>
    </font>
    <font>
      <u/>
      <sz val="10"/>
      <color indexed="20"/>
      <name val="CIR Trade Gothic Cn"/>
    </font>
    <font>
      <b/>
      <i/>
      <sz val="10"/>
      <name val="CIR Trade Gothic Cn"/>
    </font>
    <font>
      <b/>
      <u/>
      <sz val="10"/>
      <name val="CIR Trade Gothic Cn"/>
    </font>
    <font>
      <i/>
      <sz val="10"/>
      <color indexed="20"/>
      <name val="Arial"/>
      <family val="2"/>
    </font>
    <font>
      <sz val="10"/>
      <color indexed="23"/>
      <name val="Arial"/>
      <family val="2"/>
    </font>
    <font>
      <b/>
      <u/>
      <sz val="10"/>
      <color indexed="12"/>
      <name val="Arial"/>
      <family val="2"/>
    </font>
    <font>
      <sz val="10"/>
      <color indexed="57"/>
      <name val="Arial"/>
      <family val="2"/>
    </font>
    <font>
      <sz val="10"/>
      <color indexed="55"/>
      <name val="Arial"/>
      <family val="2"/>
    </font>
    <font>
      <sz val="10"/>
      <color indexed="42"/>
      <name val="Arial"/>
      <family val="2"/>
    </font>
    <font>
      <sz val="10"/>
      <name val="MS Sans Serif"/>
      <family val="2"/>
    </font>
    <font>
      <sz val="8"/>
      <name val="Times New Roman"/>
      <family val="1"/>
    </font>
    <font>
      <b/>
      <sz val="8"/>
      <color indexed="9"/>
      <name val="Arial"/>
      <family val="2"/>
    </font>
    <font>
      <b/>
      <sz val="10"/>
      <color indexed="8"/>
      <name val="Times New Roman"/>
      <family val="1"/>
    </font>
    <font>
      <sz val="9"/>
      <name val="Times New Roman"/>
      <family val="1"/>
    </font>
    <font>
      <sz val="9"/>
      <name val="Times New Roman"/>
      <family val="1"/>
    </font>
    <font>
      <sz val="10"/>
      <color indexed="8"/>
      <name val="Times New Roman"/>
      <family val="1"/>
    </font>
    <font>
      <i/>
      <sz val="8"/>
      <name val="Times New Roman"/>
      <family val="1"/>
    </font>
    <font>
      <sz val="8"/>
      <color indexed="9"/>
      <name val="Arial"/>
      <family val="2"/>
    </font>
    <font>
      <b/>
      <sz val="14"/>
      <color indexed="18"/>
      <name val="Arial"/>
      <family val="2"/>
    </font>
    <font>
      <b/>
      <sz val="12"/>
      <color indexed="12"/>
      <name val="Arial"/>
      <family val="2"/>
    </font>
    <font>
      <sz val="10"/>
      <color indexed="53"/>
      <name val="Arial"/>
      <family val="2"/>
    </font>
    <font>
      <b/>
      <i/>
      <sz val="10"/>
      <color indexed="12"/>
      <name val="Arial"/>
      <family val="2"/>
    </font>
    <font>
      <u/>
      <sz val="8"/>
      <color indexed="81"/>
      <name val="Tahoma"/>
      <family val="2"/>
    </font>
    <font>
      <sz val="11"/>
      <name val="Arial"/>
      <family val="2"/>
    </font>
    <font>
      <b/>
      <sz val="11"/>
      <name val="Arial"/>
      <family val="2"/>
    </font>
    <font>
      <sz val="8"/>
      <color indexed="9"/>
      <name val="Arial"/>
      <family val="2"/>
    </font>
    <font>
      <b/>
      <sz val="8"/>
      <color indexed="10"/>
      <name val="Arial"/>
      <family val="2"/>
    </font>
    <font>
      <sz val="8"/>
      <color indexed="22"/>
      <name val="Arial"/>
      <family val="2"/>
    </font>
    <font>
      <sz val="10"/>
      <color indexed="22"/>
      <name val="Arial"/>
      <family val="2"/>
    </font>
    <font>
      <b/>
      <sz val="10"/>
      <color indexed="81"/>
      <name val="Tahoma"/>
      <family val="2"/>
    </font>
    <font>
      <sz val="10"/>
      <color indexed="81"/>
      <name val="Tahoma"/>
      <family val="2"/>
    </font>
    <font>
      <b/>
      <sz val="10"/>
      <color indexed="10"/>
      <name val="Arial"/>
      <family val="2"/>
    </font>
    <font>
      <sz val="10"/>
      <color indexed="62"/>
      <name val="Arial"/>
      <family val="2"/>
    </font>
    <font>
      <vertAlign val="superscript"/>
      <sz val="8"/>
      <name val="Arial"/>
      <family val="2"/>
    </font>
    <font>
      <sz val="8"/>
      <color indexed="55"/>
      <name val="Arial"/>
      <family val="2"/>
    </font>
    <font>
      <b/>
      <sz val="10"/>
      <color indexed="22"/>
      <name val="Arial"/>
      <family val="2"/>
    </font>
    <font>
      <b/>
      <sz val="8"/>
      <color indexed="12"/>
      <name val="Arial"/>
      <family val="2"/>
    </font>
    <font>
      <sz val="10"/>
      <color indexed="43"/>
      <name val="Arial"/>
      <family val="2"/>
    </font>
    <font>
      <i/>
      <sz val="10"/>
      <color indexed="22"/>
      <name val="Arial"/>
      <family val="2"/>
    </font>
    <font>
      <b/>
      <i/>
      <sz val="10"/>
      <name val="Arial"/>
      <family val="2"/>
    </font>
    <font>
      <sz val="8"/>
      <color indexed="23"/>
      <name val="Arial"/>
      <family val="2"/>
    </font>
    <font>
      <b/>
      <u/>
      <sz val="8"/>
      <color indexed="23"/>
      <name val="Arial"/>
      <family val="2"/>
    </font>
    <font>
      <b/>
      <sz val="10"/>
      <color indexed="8"/>
      <name val="Arial"/>
      <family val="2"/>
    </font>
    <font>
      <b/>
      <sz val="8"/>
      <color indexed="62"/>
      <name val="Arial"/>
      <family val="2"/>
    </font>
    <font>
      <sz val="10"/>
      <color indexed="63"/>
      <name val="Arial"/>
      <family val="2"/>
    </font>
    <font>
      <sz val="10"/>
      <color indexed="56"/>
      <name val="Arial"/>
      <family val="2"/>
    </font>
    <font>
      <sz val="10"/>
      <color indexed="10"/>
      <name val="CIR Trade Gothic Cn"/>
    </font>
    <font>
      <sz val="10"/>
      <name val="Arial"/>
      <family val="2"/>
    </font>
    <font>
      <b/>
      <sz val="10"/>
      <color indexed="8"/>
      <name val="CIR Trade Gothic Cn"/>
    </font>
    <font>
      <b/>
      <u/>
      <sz val="10"/>
      <color indexed="8"/>
      <name val="CIR Trade Gothic Cn"/>
    </font>
    <font>
      <b/>
      <u/>
      <sz val="10"/>
      <color indexed="12"/>
      <name val="CIR Trade Gothic Cn"/>
    </font>
    <font>
      <u/>
      <sz val="10"/>
      <color indexed="8"/>
      <name val="CIR Trade Gothic Cn"/>
    </font>
    <font>
      <sz val="10"/>
      <color indexed="55"/>
      <name val="CIR Trade Gothic Cn"/>
    </font>
    <font>
      <sz val="10"/>
      <color indexed="17"/>
      <name val="CIR Trade Gothic Cn"/>
    </font>
    <font>
      <i/>
      <sz val="10"/>
      <color indexed="8"/>
      <name val="CIR Trade Gothic Cn"/>
    </font>
    <font>
      <sz val="10"/>
      <name val="ＭＳ Ｐゴシック"/>
      <family val="3"/>
      <charset val="128"/>
    </font>
    <font>
      <sz val="10"/>
      <color indexed="18"/>
      <name val="Arial"/>
      <family val="2"/>
    </font>
    <font>
      <b/>
      <i/>
      <sz val="10"/>
      <color indexed="10"/>
      <name val="Arial"/>
      <family val="2"/>
    </font>
    <font>
      <b/>
      <i/>
      <sz val="10"/>
      <color indexed="56"/>
      <name val="Arial"/>
      <family val="2"/>
    </font>
    <font>
      <b/>
      <u/>
      <sz val="10"/>
      <color indexed="8"/>
      <name val="Arial"/>
      <family val="2"/>
    </font>
    <font>
      <sz val="10"/>
      <color indexed="59"/>
      <name val="Arial"/>
      <family val="2"/>
    </font>
    <font>
      <sz val="10"/>
      <color indexed="14"/>
      <name val="Arial"/>
      <family val="2"/>
    </font>
    <font>
      <sz val="10"/>
      <color indexed="19"/>
      <name val="Arial"/>
      <family val="2"/>
    </font>
    <font>
      <u/>
      <sz val="10"/>
      <color indexed="18"/>
      <name val="Arial"/>
      <family val="2"/>
    </font>
    <font>
      <u/>
      <sz val="10"/>
      <color indexed="19"/>
      <name val="Arial"/>
      <family val="2"/>
    </font>
    <font>
      <sz val="10"/>
      <name val="Arial"/>
      <family val="2"/>
    </font>
    <font>
      <sz val="8"/>
      <name val="Arial"/>
      <family val="2"/>
    </font>
    <font>
      <sz val="10"/>
      <color indexed="8"/>
      <name val="MS Sans Serif"/>
      <family val="2"/>
    </font>
    <font>
      <sz val="8.25"/>
      <name val="Microsoft Sans Serif"/>
      <family val="2"/>
    </font>
    <font>
      <sz val="10"/>
      <color indexed="17"/>
      <name val="Arial"/>
      <family val="2"/>
    </font>
    <font>
      <sz val="10"/>
      <color indexed="12"/>
      <name val="Arial"/>
      <family val="2"/>
    </font>
    <font>
      <sz val="8"/>
      <color indexed="12"/>
      <name val="Arial"/>
      <family val="2"/>
    </font>
    <font>
      <b/>
      <sz val="8"/>
      <color indexed="22"/>
      <name val="Arial"/>
      <family val="2"/>
    </font>
    <font>
      <sz val="8"/>
      <color indexed="57"/>
      <name val="Arial"/>
      <family val="2"/>
    </font>
    <font>
      <sz val="10"/>
      <color indexed="17"/>
      <name val="Arial"/>
      <family val="2"/>
    </font>
    <font>
      <sz val="10"/>
      <color indexed="12"/>
      <name val="Arial"/>
      <family val="2"/>
    </font>
    <font>
      <sz val="10"/>
      <color indexed="10"/>
      <name val="Arial"/>
      <family val="2"/>
    </font>
    <font>
      <sz val="8"/>
      <color indexed="17"/>
      <name val="Arial"/>
      <family val="2"/>
    </font>
    <font>
      <sz val="8"/>
      <color indexed="8"/>
      <name val="Arial"/>
      <family val="2"/>
    </font>
    <font>
      <sz val="10"/>
      <color indexed="12"/>
      <name val="Arial"/>
      <family val="2"/>
    </font>
    <font>
      <sz val="8"/>
      <color indexed="12"/>
      <name val="Arial"/>
      <family val="2"/>
    </font>
    <font>
      <sz val="10"/>
      <color indexed="12"/>
      <name val="CIR Trade Gothic Cn"/>
    </font>
    <font>
      <sz val="8"/>
      <color indexed="12"/>
      <name val="CIR Trade Gothic Cn"/>
    </font>
    <font>
      <b/>
      <sz val="8"/>
      <color indexed="12"/>
      <name val="Arial"/>
      <family val="2"/>
    </font>
    <font>
      <sz val="10"/>
      <color indexed="17"/>
      <name val="Arial"/>
      <family val="2"/>
    </font>
    <font>
      <b/>
      <u/>
      <sz val="10"/>
      <color indexed="12"/>
      <name val="CIR Trade Gothic Cn"/>
    </font>
    <font>
      <sz val="8"/>
      <color indexed="17"/>
      <name val="Arial"/>
      <family val="2"/>
    </font>
    <font>
      <b/>
      <sz val="10"/>
      <color indexed="12"/>
      <name val="CIR Trade Gothic Cn"/>
    </font>
    <font>
      <sz val="10"/>
      <color indexed="12"/>
      <name val="Arial"/>
      <family val="2"/>
    </font>
    <font>
      <sz val="10"/>
      <color indexed="17"/>
      <name val="Arial"/>
      <family val="2"/>
    </font>
    <font>
      <b/>
      <i/>
      <sz val="10"/>
      <color indexed="62"/>
      <name val="Arial"/>
      <family val="2"/>
    </font>
    <font>
      <i/>
      <sz val="10"/>
      <color indexed="8"/>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sz val="10"/>
      <name val="Arial"/>
      <family val="2"/>
    </font>
    <font>
      <sz val="11"/>
      <color theme="1"/>
      <name val="Calibri"/>
      <family val="2"/>
      <scheme val="minor"/>
    </font>
    <font>
      <i/>
      <sz val="10"/>
      <color rgb="FF0000FF"/>
      <name val="Arial"/>
      <family val="2"/>
    </font>
    <font>
      <sz val="10"/>
      <color rgb="FF0000FF"/>
      <name val="Arial"/>
      <family val="2"/>
    </font>
    <font>
      <sz val="10"/>
      <color rgb="FF0000FF"/>
      <name val="CIR Trade Gothic Cn"/>
    </font>
    <font>
      <sz val="8"/>
      <color rgb="FF0000FF"/>
      <name val="Arial"/>
      <family val="2"/>
    </font>
    <font>
      <b/>
      <sz val="10"/>
      <color indexed="63"/>
      <name val="Arial"/>
      <family val="2"/>
    </font>
    <font>
      <i/>
      <sz val="10"/>
      <color indexed="63"/>
      <name val="Arial"/>
      <family val="2"/>
    </font>
    <font>
      <sz val="10"/>
      <color rgb="FF008000"/>
      <name val="CIR Trade Gothic Cn"/>
    </font>
    <font>
      <sz val="10"/>
      <color rgb="FF008000"/>
      <name val="Arial"/>
      <family val="2"/>
    </font>
    <font>
      <sz val="10"/>
      <color rgb="FFFF0000"/>
      <name val="Arial"/>
      <family val="2"/>
    </font>
    <font>
      <sz val="10"/>
      <name val="Arial Unicode MS"/>
      <family val="2"/>
    </font>
    <font>
      <b/>
      <sz val="12"/>
      <color rgb="FF000080"/>
      <name val="Arial"/>
      <family val="2"/>
    </font>
  </fonts>
  <fills count="18">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53"/>
        <bgColor indexed="64"/>
      </patternFill>
    </fill>
    <fill>
      <patternFill patternType="solid">
        <fgColor indexed="48"/>
        <bgColor indexed="64"/>
      </patternFill>
    </fill>
    <fill>
      <patternFill patternType="solid">
        <fgColor indexed="55"/>
        <bgColor indexed="64"/>
      </patternFill>
    </fill>
    <fill>
      <patternFill patternType="solid">
        <fgColor indexed="44"/>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indexed="65"/>
        <bgColor indexed="64"/>
      </patternFill>
    </fill>
  </fills>
  <borders count="29">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right/>
      <top/>
      <bottom style="double">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20"/>
      </top>
      <bottom style="thin">
        <color indexed="20"/>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ashed">
        <color indexed="2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1">
    <xf numFmtId="0" fontId="0" fillId="0" borderId="0"/>
    <xf numFmtId="0" fontId="1" fillId="0" borderId="0"/>
    <xf numFmtId="0" fontId="1" fillId="0" borderId="0"/>
    <xf numFmtId="0" fontId="108" fillId="0" borderId="0"/>
    <xf numFmtId="0" fontId="8" fillId="0" borderId="0"/>
    <xf numFmtId="0" fontId="8" fillId="0" borderId="0"/>
    <xf numFmtId="0" fontId="126" fillId="0" borderId="0" applyNumberFormat="0" applyFont="0" applyFill="0" applyBorder="0" applyAlignment="0" applyProtection="0"/>
    <xf numFmtId="0" fontId="8" fillId="0" borderId="0" applyFill="0" applyAlignment="0">
      <protection locked="0"/>
    </xf>
    <xf numFmtId="0" fontId="1" fillId="0" borderId="0"/>
    <xf numFmtId="0" fontId="1" fillId="5" borderId="0" applyNumberFormat="0" applyFont="0" applyBorder="0" applyAlignment="0" applyProtection="0"/>
    <xf numFmtId="0" fontId="70" fillId="0" borderId="0"/>
    <xf numFmtId="0" fontId="70" fillId="0" borderId="0"/>
    <xf numFmtId="0" fontId="73" fillId="0" borderId="0"/>
    <xf numFmtId="43" fontId="1" fillId="0" borderId="0" applyFont="0" applyFill="0" applyBorder="0" applyAlignment="0" applyProtection="0"/>
    <xf numFmtId="43" fontId="12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0" fontId="126" fillId="0" borderId="0" applyNumberFormat="0" applyFill="0" applyBorder="0" applyAlignment="0" applyProtection="0">
      <alignment vertical="top"/>
      <protection locked="0"/>
    </xf>
    <xf numFmtId="0" fontId="8" fillId="0" borderId="0"/>
    <xf numFmtId="0" fontId="158" fillId="0" borderId="0"/>
    <xf numFmtId="0" fontId="8" fillId="0" borderId="0"/>
    <xf numFmtId="0" fontId="2" fillId="0" borderId="0"/>
    <xf numFmtId="0" fontId="8" fillId="0" borderId="0"/>
    <xf numFmtId="0" fontId="1" fillId="0" borderId="0"/>
    <xf numFmtId="0" fontId="2" fillId="0" borderId="0"/>
    <xf numFmtId="37" fontId="3" fillId="0" borderId="0"/>
    <xf numFmtId="0" fontId="3" fillId="0" borderId="0"/>
    <xf numFmtId="0" fontId="4" fillId="0" borderId="0" applyBorder="0"/>
    <xf numFmtId="178" fontId="5" fillId="0" borderId="0" applyNumberFormat="0" applyBorder="0" applyAlignment="0">
      <alignment horizontal="left"/>
    </xf>
    <xf numFmtId="0" fontId="74" fillId="0" borderId="0"/>
    <xf numFmtId="0" fontId="4" fillId="0" borderId="0"/>
    <xf numFmtId="0" fontId="4" fillId="0" borderId="0"/>
    <xf numFmtId="0" fontId="8" fillId="0" borderId="0"/>
    <xf numFmtId="0" fontId="1" fillId="0" borderId="0"/>
    <xf numFmtId="178" fontId="3" fillId="0" borderId="0"/>
    <xf numFmtId="0" fontId="6" fillId="0" borderId="0"/>
    <xf numFmtId="0" fontId="75" fillId="0" borderId="0">
      <alignment vertical="center"/>
    </xf>
    <xf numFmtId="9" fontId="1" fillId="0" borderId="0" applyFont="0" applyFill="0" applyBorder="0" applyAlignment="0" applyProtection="0"/>
    <xf numFmtId="9" fontId="126" fillId="0" borderId="0" applyFont="0" applyFill="0" applyBorder="0" applyAlignment="0" applyProtection="0"/>
    <xf numFmtId="9" fontId="10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8" fillId="5" borderId="0" applyNumberFormat="0" applyFont="0" applyBorder="0" applyAlignment="0" applyProtection="0"/>
    <xf numFmtId="0" fontId="76" fillId="0" borderId="0"/>
    <xf numFmtId="0" fontId="76" fillId="0" borderId="9">
      <alignment horizontal="centerContinuous"/>
    </xf>
    <xf numFmtId="0" fontId="77" fillId="0" borderId="9"/>
    <xf numFmtId="0" fontId="4" fillId="4" borderId="6" applyNumberFormat="0" applyProtection="0">
      <alignment wrapText="1"/>
    </xf>
    <xf numFmtId="170" fontId="7" fillId="0" borderId="0"/>
    <xf numFmtId="0" fontId="3" fillId="0" borderId="0"/>
  </cellStyleXfs>
  <cellXfs count="2436">
    <xf numFmtId="0" fontId="0" fillId="0" borderId="0" xfId="0"/>
    <xf numFmtId="0" fontId="1" fillId="0" borderId="0" xfId="1"/>
    <xf numFmtId="166" fontId="8" fillId="0" borderId="0" xfId="39" applyNumberFormat="1" applyFont="1"/>
    <xf numFmtId="0" fontId="8" fillId="0" borderId="0" xfId="0" applyFont="1"/>
    <xf numFmtId="0" fontId="4" fillId="0" borderId="0" xfId="0" applyFont="1"/>
    <xf numFmtId="0" fontId="11" fillId="0" borderId="0" xfId="0" applyFont="1"/>
    <xf numFmtId="0" fontId="13" fillId="0" borderId="0" xfId="0" applyFont="1" applyAlignment="1" applyProtection="1">
      <alignment horizontal="left"/>
    </xf>
    <xf numFmtId="0" fontId="11" fillId="0" borderId="2" xfId="0" applyFont="1" applyBorder="1"/>
    <xf numFmtId="0" fontId="14" fillId="0" borderId="0" xfId="0" applyFont="1"/>
    <xf numFmtId="193" fontId="10" fillId="0" borderId="2" xfId="0" applyNumberFormat="1" applyFont="1" applyBorder="1" applyAlignment="1">
      <alignment horizontal="centerContinuous"/>
    </xf>
    <xf numFmtId="0" fontId="4" fillId="0" borderId="0" xfId="0" applyFont="1" applyBorder="1"/>
    <xf numFmtId="0" fontId="17" fillId="0" borderId="0" xfId="0" applyFont="1"/>
    <xf numFmtId="190" fontId="4" fillId="0" borderId="0" xfId="39" applyNumberFormat="1" applyFont="1"/>
    <xf numFmtId="180" fontId="4" fillId="0" borderId="0" xfId="0" applyNumberFormat="1" applyFont="1"/>
    <xf numFmtId="164" fontId="4" fillId="0" borderId="0" xfId="0" applyNumberFormat="1" applyFont="1"/>
    <xf numFmtId="176" fontId="4" fillId="0" borderId="0" xfId="0" applyNumberFormat="1" applyFont="1"/>
    <xf numFmtId="165" fontId="4" fillId="0" borderId="0" xfId="0" applyNumberFormat="1" applyFont="1"/>
    <xf numFmtId="164" fontId="4" fillId="0" borderId="2" xfId="0" applyNumberFormat="1" applyFont="1" applyBorder="1"/>
    <xf numFmtId="4" fontId="4" fillId="0" borderId="0" xfId="0" applyNumberFormat="1" applyFont="1"/>
    <xf numFmtId="194" fontId="4" fillId="0" borderId="0" xfId="0" applyNumberFormat="1" applyFont="1" applyAlignment="1">
      <alignment horizontal="left"/>
    </xf>
    <xf numFmtId="172" fontId="4" fillId="0" borderId="0" xfId="0" applyNumberFormat="1" applyFont="1"/>
    <xf numFmtId="170" fontId="4" fillId="0" borderId="0" xfId="0" applyNumberFormat="1" applyFont="1"/>
    <xf numFmtId="190" fontId="8" fillId="0" borderId="0" xfId="0" applyNumberFormat="1" applyFont="1"/>
    <xf numFmtId="190" fontId="8" fillId="0" borderId="2" xfId="0" applyNumberFormat="1" applyFont="1" applyBorder="1"/>
    <xf numFmtId="0" fontId="11" fillId="0" borderId="0" xfId="0" applyFont="1" applyAlignment="1">
      <alignment horizontal="center"/>
    </xf>
    <xf numFmtId="0" fontId="11" fillId="0" borderId="0" xfId="0" applyFont="1" applyBorder="1"/>
    <xf numFmtId="190" fontId="8" fillId="0" borderId="0" xfId="0" applyNumberFormat="1" applyFont="1" applyBorder="1"/>
    <xf numFmtId="37" fontId="13" fillId="0" borderId="0" xfId="27" applyFont="1"/>
    <xf numFmtId="37" fontId="13" fillId="0" borderId="0" xfId="27" applyFont="1" applyProtection="1"/>
    <xf numFmtId="37" fontId="4" fillId="0" borderId="0" xfId="27" applyFont="1"/>
    <xf numFmtId="37" fontId="4" fillId="0" borderId="0" xfId="27" applyFont="1" applyAlignment="1" applyProtection="1">
      <alignment horizontal="left"/>
    </xf>
    <xf numFmtId="179" fontId="4" fillId="0" borderId="0" xfId="27" applyNumberFormat="1" applyFont="1" applyProtection="1"/>
    <xf numFmtId="37" fontId="13" fillId="0" borderId="0" xfId="27" applyFont="1" applyAlignment="1" applyProtection="1">
      <alignment horizontal="left"/>
    </xf>
    <xf numFmtId="179" fontId="13" fillId="0" borderId="0" xfId="27" applyNumberFormat="1" applyFont="1" applyProtection="1"/>
    <xf numFmtId="37" fontId="4" fillId="0" borderId="0" xfId="27" applyFont="1" applyAlignment="1">
      <alignment horizontal="center"/>
    </xf>
    <xf numFmtId="0" fontId="10" fillId="0" borderId="2" xfId="0" applyFont="1" applyBorder="1" applyAlignment="1">
      <alignment horizontal="center"/>
    </xf>
    <xf numFmtId="0" fontId="10" fillId="0" borderId="0" xfId="0" applyFont="1" applyAlignment="1">
      <alignment horizontal="center"/>
    </xf>
    <xf numFmtId="0" fontId="10" fillId="0" borderId="0" xfId="0" applyFont="1" applyBorder="1" applyAlignment="1">
      <alignment horizontal="center"/>
    </xf>
    <xf numFmtId="0" fontId="10" fillId="0" borderId="0" xfId="0" applyFont="1" applyBorder="1" applyAlignment="1">
      <alignment horizontal="centerContinuous"/>
    </xf>
    <xf numFmtId="0" fontId="10" fillId="0" borderId="2" xfId="0" applyFont="1" applyBorder="1" applyAlignment="1">
      <alignment horizontal="centerContinuous"/>
    </xf>
    <xf numFmtId="193" fontId="14" fillId="0" borderId="0" xfId="0" applyNumberFormat="1" applyFont="1" applyAlignment="1">
      <alignment horizontal="left"/>
    </xf>
    <xf numFmtId="0" fontId="11" fillId="0" borderId="0" xfId="0" applyFont="1" applyAlignment="1">
      <alignment horizontal="left"/>
    </xf>
    <xf numFmtId="0" fontId="11" fillId="0" borderId="2" xfId="0" applyFont="1" applyBorder="1" applyAlignment="1">
      <alignment horizontal="left"/>
    </xf>
    <xf numFmtId="1" fontId="4" fillId="0" borderId="0" xfId="0" applyNumberFormat="1" applyFont="1"/>
    <xf numFmtId="170" fontId="4" fillId="0" borderId="2" xfId="0" applyNumberFormat="1" applyFont="1" applyBorder="1"/>
    <xf numFmtId="0" fontId="13" fillId="0" borderId="0" xfId="0" applyFont="1"/>
    <xf numFmtId="6" fontId="13" fillId="0" borderId="0" xfId="0" quotePrefix="1" applyNumberFormat="1" applyFont="1"/>
    <xf numFmtId="193" fontId="10" fillId="0" borderId="0" xfId="0" applyNumberFormat="1" applyFont="1" applyBorder="1" applyAlignment="1">
      <alignment horizontal="center"/>
    </xf>
    <xf numFmtId="38" fontId="4" fillId="0" borderId="0" xfId="0" applyNumberFormat="1" applyFont="1"/>
    <xf numFmtId="0" fontId="11" fillId="0" borderId="2" xfId="0" applyFont="1" applyBorder="1" applyAlignment="1">
      <alignment horizontal="center"/>
    </xf>
    <xf numFmtId="166" fontId="4" fillId="0" borderId="0" xfId="39" applyNumberFormat="1" applyFont="1"/>
    <xf numFmtId="0" fontId="25" fillId="0" borderId="0" xfId="0" applyFont="1" applyBorder="1"/>
    <xf numFmtId="0" fontId="16" fillId="0" borderId="0" xfId="0" applyFont="1" applyAlignment="1">
      <alignment horizontal="left"/>
    </xf>
    <xf numFmtId="0" fontId="14" fillId="0" borderId="0" xfId="0" applyFont="1" applyAlignment="1">
      <alignment horizontal="left"/>
    </xf>
    <xf numFmtId="0" fontId="8" fillId="0" borderId="2" xfId="0" applyFont="1" applyBorder="1"/>
    <xf numFmtId="172" fontId="17" fillId="0" borderId="0" xfId="0" applyNumberFormat="1" applyFont="1"/>
    <xf numFmtId="0" fontId="8" fillId="0" borderId="0" xfId="0" applyFont="1" applyBorder="1"/>
    <xf numFmtId="0" fontId="10" fillId="0" borderId="0" xfId="0" applyFont="1"/>
    <xf numFmtId="0" fontId="4" fillId="0" borderId="0" xfId="0" applyFont="1" applyAlignment="1">
      <alignment horizontal="center"/>
    </xf>
    <xf numFmtId="170" fontId="17" fillId="0" borderId="0" xfId="0" applyNumberFormat="1" applyFont="1"/>
    <xf numFmtId="0" fontId="11" fillId="0" borderId="0" xfId="0" applyFont="1" applyBorder="1" applyAlignment="1">
      <alignment horizontal="center"/>
    </xf>
    <xf numFmtId="0" fontId="8" fillId="0" borderId="0" xfId="0" applyFont="1" applyFill="1"/>
    <xf numFmtId="167" fontId="17" fillId="0" borderId="0" xfId="0" applyNumberFormat="1" applyFont="1"/>
    <xf numFmtId="0" fontId="27" fillId="0" borderId="0" xfId="0" applyFont="1"/>
    <xf numFmtId="0" fontId="17" fillId="0" borderId="0" xfId="0" applyFont="1" applyFill="1"/>
    <xf numFmtId="0" fontId="4" fillId="0" borderId="0" xfId="0" applyFont="1" applyFill="1"/>
    <xf numFmtId="173" fontId="17" fillId="0" borderId="0" xfId="0" applyNumberFormat="1" applyFont="1"/>
    <xf numFmtId="2" fontId="4" fillId="0" borderId="0" xfId="0" applyNumberFormat="1" applyFont="1"/>
    <xf numFmtId="190" fontId="4" fillId="0" borderId="0" xfId="39" applyNumberFormat="1" applyFont="1" applyAlignment="1">
      <alignment horizontal="right"/>
    </xf>
    <xf numFmtId="0" fontId="16" fillId="0" borderId="0" xfId="0" applyFont="1" applyAlignment="1">
      <alignment horizontal="centerContinuous"/>
    </xf>
    <xf numFmtId="0" fontId="4" fillId="0" borderId="0" xfId="0" applyFont="1" applyAlignment="1">
      <alignment horizontal="centerContinuous"/>
    </xf>
    <xf numFmtId="0" fontId="14" fillId="0" borderId="0" xfId="0" applyFont="1" applyAlignment="1">
      <alignment horizontal="centerContinuous"/>
    </xf>
    <xf numFmtId="0" fontId="11" fillId="0" borderId="2" xfId="0" applyFont="1" applyBorder="1" applyAlignment="1" applyProtection="1">
      <alignment horizontal="left"/>
    </xf>
    <xf numFmtId="167" fontId="4" fillId="0" borderId="0" xfId="0" applyNumberFormat="1" applyFont="1"/>
    <xf numFmtId="173" fontId="4" fillId="0" borderId="0" xfId="0" applyNumberFormat="1" applyFont="1"/>
    <xf numFmtId="187" fontId="4" fillId="0" borderId="0" xfId="0" applyNumberFormat="1" applyFont="1"/>
    <xf numFmtId="0" fontId="10" fillId="0" borderId="4" xfId="0" applyFont="1" applyBorder="1" applyAlignment="1">
      <alignment horizontal="center"/>
    </xf>
    <xf numFmtId="0" fontId="4" fillId="0" borderId="12" xfId="0" applyFont="1" applyBorder="1"/>
    <xf numFmtId="170" fontId="4" fillId="0" borderId="0" xfId="0" applyNumberFormat="1" applyFont="1" applyBorder="1"/>
    <xf numFmtId="4" fontId="4" fillId="0" borderId="13" xfId="0" applyNumberFormat="1" applyFont="1" applyBorder="1"/>
    <xf numFmtId="171" fontId="17" fillId="0" borderId="0" xfId="0" applyNumberFormat="1" applyFont="1"/>
    <xf numFmtId="3" fontId="4" fillId="0" borderId="0" xfId="0" applyNumberFormat="1" applyFont="1"/>
    <xf numFmtId="177" fontId="4" fillId="0" borderId="0" xfId="0" applyNumberFormat="1" applyFont="1"/>
    <xf numFmtId="171" fontId="4" fillId="0" borderId="0" xfId="0" applyNumberFormat="1" applyFont="1"/>
    <xf numFmtId="166" fontId="4" fillId="0" borderId="0" xfId="39" applyNumberFormat="1" applyFont="1" applyBorder="1"/>
    <xf numFmtId="0" fontId="10" fillId="0" borderId="0" xfId="0" applyFont="1" applyAlignment="1">
      <alignment horizontal="centerContinuous"/>
    </xf>
    <xf numFmtId="170" fontId="4" fillId="0" borderId="0" xfId="0" applyNumberFormat="1" applyFont="1" applyFill="1" applyBorder="1"/>
    <xf numFmtId="167" fontId="4" fillId="0" borderId="0" xfId="0" applyNumberFormat="1" applyFont="1" applyProtection="1"/>
    <xf numFmtId="167" fontId="4" fillId="0" borderId="0" xfId="0" applyNumberFormat="1" applyFont="1" applyFill="1" applyProtection="1"/>
    <xf numFmtId="9" fontId="8" fillId="0" borderId="0" xfId="39" applyFont="1"/>
    <xf numFmtId="200" fontId="8" fillId="0" borderId="0" xfId="0" applyNumberFormat="1" applyFont="1"/>
    <xf numFmtId="201" fontId="8" fillId="0" borderId="0" xfId="0" applyNumberFormat="1" applyFont="1"/>
    <xf numFmtId="9" fontId="4" fillId="0" borderId="0" xfId="39" applyFont="1"/>
    <xf numFmtId="0" fontId="11" fillId="0" borderId="0" xfId="29" applyFont="1" applyAlignment="1" applyProtection="1">
      <alignment horizontal="left"/>
    </xf>
    <xf numFmtId="170" fontId="4" fillId="0" borderId="0" xfId="0" applyNumberFormat="1" applyFont="1" applyFill="1" applyProtection="1"/>
    <xf numFmtId="167" fontId="4" fillId="0" borderId="0" xfId="0" applyNumberFormat="1" applyFont="1" applyBorder="1"/>
    <xf numFmtId="178" fontId="4" fillId="0" borderId="0" xfId="30" applyFont="1" applyAlignment="1"/>
    <xf numFmtId="0" fontId="11" fillId="0" borderId="0" xfId="0" applyFont="1" applyBorder="1" applyAlignment="1">
      <alignment horizontal="left"/>
    </xf>
    <xf numFmtId="0" fontId="11" fillId="0" borderId="0" xfId="0" applyFont="1" applyFill="1"/>
    <xf numFmtId="167" fontId="17" fillId="0" borderId="0" xfId="0" applyNumberFormat="1" applyFont="1" applyFill="1"/>
    <xf numFmtId="172" fontId="17" fillId="0" borderId="0" xfId="0" applyNumberFormat="1" applyFont="1" applyFill="1"/>
    <xf numFmtId="170" fontId="17" fillId="0" borderId="0" xfId="0" applyNumberFormat="1" applyFont="1" applyFill="1"/>
    <xf numFmtId="4" fontId="4" fillId="0" borderId="0" xfId="0" applyNumberFormat="1" applyFont="1" applyAlignment="1">
      <alignment horizontal="right"/>
    </xf>
    <xf numFmtId="0" fontId="35" fillId="0" borderId="0" xfId="0" applyFont="1" applyBorder="1" applyAlignment="1">
      <alignment horizontal="right"/>
    </xf>
    <xf numFmtId="0" fontId="35" fillId="0" borderId="2" xfId="0" applyFont="1" applyBorder="1" applyAlignment="1">
      <alignment horizontal="right"/>
    </xf>
    <xf numFmtId="0" fontId="35" fillId="0" borderId="0" xfId="0" applyFont="1" applyAlignment="1">
      <alignment horizontal="right"/>
    </xf>
    <xf numFmtId="4" fontId="36" fillId="0" borderId="0" xfId="0" applyNumberFormat="1" applyFont="1" applyBorder="1" applyAlignment="1">
      <alignment horizontal="right"/>
    </xf>
    <xf numFmtId="0" fontId="36" fillId="0" borderId="0" xfId="0" applyFont="1" applyAlignment="1">
      <alignment horizontal="right"/>
    </xf>
    <xf numFmtId="0" fontId="36" fillId="0" borderId="0" xfId="0" applyFont="1" applyBorder="1" applyAlignment="1">
      <alignment horizontal="right"/>
    </xf>
    <xf numFmtId="4" fontId="36" fillId="0" borderId="13" xfId="0" applyNumberFormat="1" applyFont="1" applyBorder="1" applyAlignment="1">
      <alignment horizontal="right"/>
    </xf>
    <xf numFmtId="0" fontId="36" fillId="0" borderId="12" xfId="0" applyFont="1" applyBorder="1" applyAlignment="1">
      <alignment horizontal="right"/>
    </xf>
    <xf numFmtId="164" fontId="36" fillId="0" borderId="0" xfId="0" applyNumberFormat="1" applyFont="1" applyBorder="1" applyAlignment="1">
      <alignment horizontal="right"/>
    </xf>
    <xf numFmtId="164" fontId="36" fillId="0" borderId="13" xfId="0" applyNumberFormat="1" applyFont="1" applyBorder="1" applyAlignment="1">
      <alignment horizontal="right"/>
    </xf>
    <xf numFmtId="179" fontId="13" fillId="0" borderId="0" xfId="27" applyNumberFormat="1" applyFont="1" applyFill="1" applyProtection="1"/>
    <xf numFmtId="37" fontId="13" fillId="0" borderId="0" xfId="27" applyFont="1" applyFill="1"/>
    <xf numFmtId="0" fontId="4" fillId="0" borderId="0" xfId="0" applyFont="1" applyFill="1" applyBorder="1"/>
    <xf numFmtId="0" fontId="4" fillId="0" borderId="4" xfId="0" applyFont="1" applyBorder="1"/>
    <xf numFmtId="1" fontId="4" fillId="0" borderId="0" xfId="0" applyNumberFormat="1" applyFont="1" applyAlignment="1">
      <alignment horizontal="right"/>
    </xf>
    <xf numFmtId="0" fontId="13" fillId="0" borderId="0" xfId="0" applyFont="1" applyFill="1"/>
    <xf numFmtId="0" fontId="20" fillId="0" borderId="2" xfId="0" applyFont="1" applyBorder="1"/>
    <xf numFmtId="164" fontId="4" fillId="0" borderId="2" xfId="0" applyNumberFormat="1" applyFont="1" applyFill="1" applyBorder="1"/>
    <xf numFmtId="4" fontId="36" fillId="0" borderId="2" xfId="0" applyNumberFormat="1" applyFont="1" applyBorder="1" applyAlignment="1">
      <alignment horizontal="right"/>
    </xf>
    <xf numFmtId="173" fontId="4" fillId="0" borderId="0" xfId="0" applyNumberFormat="1" applyFont="1" applyFill="1"/>
    <xf numFmtId="166" fontId="4" fillId="0" borderId="0" xfId="0" applyNumberFormat="1" applyFont="1"/>
    <xf numFmtId="0" fontId="27" fillId="0" borderId="0" xfId="0" applyFont="1" applyFill="1" applyAlignment="1" applyProtection="1">
      <alignment horizontal="left"/>
    </xf>
    <xf numFmtId="0" fontId="27" fillId="0" borderId="0" xfId="0" applyFont="1" applyAlignment="1" applyProtection="1">
      <alignment horizontal="left"/>
    </xf>
    <xf numFmtId="0" fontId="27" fillId="0" borderId="0" xfId="0" applyFont="1" applyAlignment="1">
      <alignment horizontal="centerContinuous"/>
    </xf>
    <xf numFmtId="0" fontId="8" fillId="0" borderId="0" xfId="0" applyFont="1" applyAlignment="1">
      <alignment horizontal="centerContinuous"/>
    </xf>
    <xf numFmtId="193" fontId="11" fillId="0" borderId="2" xfId="0" applyNumberFormat="1" applyFont="1" applyBorder="1" applyAlignment="1">
      <alignment horizontal="center"/>
    </xf>
    <xf numFmtId="195" fontId="20" fillId="0" borderId="2" xfId="0" applyNumberFormat="1" applyFont="1" applyBorder="1" applyAlignment="1">
      <alignment horizontal="center"/>
    </xf>
    <xf numFmtId="193" fontId="22" fillId="0" borderId="0" xfId="0" applyNumberFormat="1" applyFont="1" applyBorder="1" applyAlignment="1">
      <alignment horizontal="center"/>
    </xf>
    <xf numFmtId="0" fontId="22" fillId="0" borderId="0" xfId="0" applyFont="1" applyBorder="1" applyAlignment="1">
      <alignment horizontal="center"/>
    </xf>
    <xf numFmtId="172" fontId="8" fillId="0" borderId="0" xfId="0" applyNumberFormat="1" applyFont="1" applyFill="1"/>
    <xf numFmtId="201" fontId="12" fillId="0" borderId="0" xfId="0" applyNumberFormat="1" applyFont="1" applyFill="1"/>
    <xf numFmtId="201" fontId="12" fillId="0" borderId="0" xfId="0" applyNumberFormat="1" applyFont="1"/>
    <xf numFmtId="200" fontId="12" fillId="0" borderId="0" xfId="0" applyNumberFormat="1" applyFont="1" applyFill="1"/>
    <xf numFmtId="200" fontId="12" fillId="0" borderId="0" xfId="0" applyNumberFormat="1" applyFont="1"/>
    <xf numFmtId="201" fontId="12" fillId="0" borderId="2" xfId="0" applyNumberFormat="1" applyFont="1" applyFill="1" applyBorder="1"/>
    <xf numFmtId="200" fontId="12" fillId="0" borderId="2" xfId="0" applyNumberFormat="1" applyFont="1" applyFill="1" applyBorder="1"/>
    <xf numFmtId="172" fontId="8" fillId="0" borderId="0" xfId="0" applyNumberFormat="1" applyFont="1"/>
    <xf numFmtId="39" fontId="8" fillId="0" borderId="0" xfId="0" applyNumberFormat="1" applyFont="1"/>
    <xf numFmtId="39" fontId="8" fillId="0" borderId="0" xfId="0" applyNumberFormat="1" applyFont="1" applyBorder="1"/>
    <xf numFmtId="39" fontId="12" fillId="0" borderId="0" xfId="0" applyNumberFormat="1" applyFont="1" applyFill="1"/>
    <xf numFmtId="167" fontId="12" fillId="0" borderId="0" xfId="0" applyNumberFormat="1" applyFont="1" applyFill="1"/>
    <xf numFmtId="167" fontId="8" fillId="0" borderId="0" xfId="0" applyNumberFormat="1" applyFont="1" applyBorder="1"/>
    <xf numFmtId="167" fontId="8" fillId="0" borderId="0" xfId="0" applyNumberFormat="1" applyFont="1"/>
    <xf numFmtId="39" fontId="12" fillId="0" borderId="0" xfId="0" applyNumberFormat="1" applyFont="1"/>
    <xf numFmtId="39" fontId="12" fillId="0" borderId="0" xfId="0" applyNumberFormat="1" applyFont="1" applyBorder="1"/>
    <xf numFmtId="167" fontId="12" fillId="0" borderId="0" xfId="0" applyNumberFormat="1" applyFont="1"/>
    <xf numFmtId="167" fontId="8" fillId="0" borderId="0" xfId="0" applyNumberFormat="1" applyFont="1" applyFill="1"/>
    <xf numFmtId="168" fontId="8" fillId="0" borderId="0" xfId="0" applyNumberFormat="1" applyFont="1"/>
    <xf numFmtId="170" fontId="8" fillId="0" borderId="0" xfId="0" applyNumberFormat="1" applyFont="1" applyFill="1"/>
    <xf numFmtId="39" fontId="8" fillId="0" borderId="0" xfId="0" applyNumberFormat="1" applyFont="1" applyFill="1"/>
    <xf numFmtId="170" fontId="8" fillId="0" borderId="0" xfId="0" applyNumberFormat="1" applyFont="1"/>
    <xf numFmtId="0" fontId="8" fillId="0" borderId="0" xfId="0" applyFont="1" applyFill="1" applyBorder="1"/>
    <xf numFmtId="0" fontId="8" fillId="0" borderId="13" xfId="0" applyFont="1" applyBorder="1"/>
    <xf numFmtId="0" fontId="8" fillId="0" borderId="4" xfId="0" applyFont="1" applyBorder="1"/>
    <xf numFmtId="172" fontId="8" fillId="0" borderId="4" xfId="0" applyNumberFormat="1" applyFont="1" applyBorder="1"/>
    <xf numFmtId="180" fontId="8" fillId="0" borderId="4" xfId="0" applyNumberFormat="1" applyFont="1" applyBorder="1"/>
    <xf numFmtId="206" fontId="8" fillId="0" borderId="4" xfId="0" applyNumberFormat="1" applyFont="1" applyBorder="1"/>
    <xf numFmtId="0" fontId="9" fillId="0" borderId="2" xfId="0" applyFont="1" applyBorder="1"/>
    <xf numFmtId="172" fontId="8" fillId="0" borderId="0" xfId="0" applyNumberFormat="1" applyFont="1" applyBorder="1"/>
    <xf numFmtId="170" fontId="12" fillId="0" borderId="0" xfId="0" applyNumberFormat="1" applyFont="1" applyFill="1"/>
    <xf numFmtId="206" fontId="8" fillId="0" borderId="0" xfId="0" applyNumberFormat="1" applyFont="1" applyBorder="1"/>
    <xf numFmtId="212" fontId="8" fillId="0" borderId="0" xfId="0" applyNumberFormat="1" applyFont="1"/>
    <xf numFmtId="164" fontId="8" fillId="0" borderId="0" xfId="0" applyNumberFormat="1" applyFont="1"/>
    <xf numFmtId="208" fontId="8" fillId="0" borderId="0" xfId="13" applyNumberFormat="1" applyFont="1"/>
    <xf numFmtId="169" fontId="8" fillId="0" borderId="0" xfId="0" applyNumberFormat="1" applyFont="1"/>
    <xf numFmtId="178" fontId="8" fillId="0" borderId="0" xfId="30" applyFont="1" applyAlignment="1"/>
    <xf numFmtId="0" fontId="42" fillId="0" borderId="14" xfId="0" applyFont="1" applyBorder="1"/>
    <xf numFmtId="44" fontId="42" fillId="0" borderId="14" xfId="17" applyFont="1" applyBorder="1"/>
    <xf numFmtId="0" fontId="38" fillId="0" borderId="0" xfId="0" applyFont="1"/>
    <xf numFmtId="208" fontId="38" fillId="0" borderId="0" xfId="13" applyNumberFormat="1" applyFont="1"/>
    <xf numFmtId="208" fontId="38" fillId="0" borderId="0" xfId="13" applyNumberFormat="1" applyFont="1" applyFill="1" applyAlignment="1"/>
    <xf numFmtId="165" fontId="23" fillId="0" borderId="0" xfId="0" applyNumberFormat="1" applyFont="1"/>
    <xf numFmtId="170" fontId="9" fillId="0" borderId="0" xfId="0" applyNumberFormat="1" applyFont="1"/>
    <xf numFmtId="208" fontId="38" fillId="0" borderId="0" xfId="13" applyNumberFormat="1" applyFont="1" applyFill="1"/>
    <xf numFmtId="170" fontId="43" fillId="0" borderId="0" xfId="0" applyNumberFormat="1" applyFont="1"/>
    <xf numFmtId="44" fontId="8" fillId="0" borderId="0" xfId="17" applyFont="1"/>
    <xf numFmtId="9" fontId="8" fillId="0" borderId="0" xfId="39" applyFont="1" applyFill="1"/>
    <xf numFmtId="170" fontId="38" fillId="0" borderId="0" xfId="0" applyNumberFormat="1" applyFont="1"/>
    <xf numFmtId="165" fontId="38" fillId="0" borderId="0" xfId="0" applyNumberFormat="1" applyFont="1"/>
    <xf numFmtId="170" fontId="44" fillId="0" borderId="0" xfId="0" applyNumberFormat="1" applyFont="1"/>
    <xf numFmtId="165" fontId="44" fillId="0" borderId="0" xfId="0" applyNumberFormat="1" applyFont="1"/>
    <xf numFmtId="0" fontId="12" fillId="0" borderId="0" xfId="0" applyFont="1" applyFill="1"/>
    <xf numFmtId="211" fontId="11" fillId="0" borderId="2" xfId="0" applyNumberFormat="1" applyFont="1" applyBorder="1" applyAlignment="1">
      <alignment horizontal="center"/>
    </xf>
    <xf numFmtId="205" fontId="17" fillId="0" borderId="0" xfId="0" applyNumberFormat="1" applyFont="1" applyAlignment="1">
      <alignment horizontal="center"/>
    </xf>
    <xf numFmtId="4" fontId="4" fillId="0" borderId="0" xfId="0" applyNumberFormat="1" applyFont="1" applyBorder="1"/>
    <xf numFmtId="1" fontId="4" fillId="0" borderId="0" xfId="0" applyNumberFormat="1" applyFont="1" applyFill="1"/>
    <xf numFmtId="164" fontId="4" fillId="0" borderId="0" xfId="0" applyNumberFormat="1" applyFont="1" applyAlignment="1">
      <alignment horizontal="center"/>
    </xf>
    <xf numFmtId="205" fontId="4" fillId="0" borderId="0" xfId="0" applyNumberFormat="1" applyFont="1" applyAlignment="1">
      <alignment horizontal="center"/>
    </xf>
    <xf numFmtId="205" fontId="4" fillId="0" borderId="0" xfId="0" applyNumberFormat="1" applyFont="1" applyFill="1" applyAlignment="1">
      <alignment horizontal="center"/>
    </xf>
    <xf numFmtId="200" fontId="8" fillId="0" borderId="0" xfId="0" applyNumberFormat="1" applyFont="1" applyFill="1"/>
    <xf numFmtId="200" fontId="8" fillId="0" borderId="2" xfId="0" applyNumberFormat="1" applyFont="1" applyFill="1" applyBorder="1"/>
    <xf numFmtId="195" fontId="20" fillId="0" borderId="0" xfId="0" applyNumberFormat="1" applyFont="1" applyBorder="1" applyAlignment="1">
      <alignment horizontal="center"/>
    </xf>
    <xf numFmtId="200" fontId="8" fillId="0" borderId="0" xfId="0" applyNumberFormat="1" applyFont="1" applyFill="1" applyBorder="1"/>
    <xf numFmtId="172" fontId="12" fillId="0" borderId="0" xfId="0" applyNumberFormat="1" applyFont="1" applyFill="1"/>
    <xf numFmtId="170" fontId="38" fillId="0" borderId="0" xfId="0" applyNumberFormat="1" applyFont="1" applyFill="1"/>
    <xf numFmtId="208" fontId="38" fillId="0" borderId="0" xfId="13" applyNumberFormat="1" applyFont="1" applyAlignment="1">
      <alignment horizontal="right"/>
    </xf>
    <xf numFmtId="208" fontId="38" fillId="0" borderId="0" xfId="13" applyNumberFormat="1" applyFont="1" applyFill="1" applyAlignment="1">
      <alignment horizontal="right"/>
    </xf>
    <xf numFmtId="170" fontId="44" fillId="0" borderId="0" xfId="0" applyNumberFormat="1" applyFont="1" applyAlignment="1">
      <alignment horizontal="right"/>
    </xf>
    <xf numFmtId="44" fontId="38" fillId="0" borderId="0" xfId="17" applyFont="1" applyAlignment="1">
      <alignment horizontal="right"/>
    </xf>
    <xf numFmtId="170" fontId="38" fillId="0" borderId="0" xfId="0" applyNumberFormat="1" applyFont="1" applyFill="1" applyAlignment="1">
      <alignment horizontal="right"/>
    </xf>
    <xf numFmtId="0" fontId="38" fillId="0" borderId="0" xfId="0" applyFont="1" applyFill="1" applyAlignment="1">
      <alignment horizontal="right"/>
    </xf>
    <xf numFmtId="170" fontId="38" fillId="0" borderId="0" xfId="0" applyNumberFormat="1" applyFont="1" applyAlignment="1">
      <alignment horizontal="right"/>
    </xf>
    <xf numFmtId="0" fontId="38" fillId="0" borderId="0" xfId="0" applyFont="1" applyAlignment="1">
      <alignment horizontal="right"/>
    </xf>
    <xf numFmtId="9" fontId="38" fillId="0" borderId="0" xfId="39" applyFont="1" applyAlignment="1">
      <alignment horizontal="right"/>
    </xf>
    <xf numFmtId="165" fontId="38" fillId="0" borderId="0" xfId="0" applyNumberFormat="1" applyFont="1" applyFill="1"/>
    <xf numFmtId="200" fontId="38" fillId="0" borderId="0" xfId="0" applyNumberFormat="1" applyFont="1" applyFill="1"/>
    <xf numFmtId="200" fontId="44" fillId="0" borderId="0" xfId="0" applyNumberFormat="1" applyFont="1" applyAlignment="1">
      <alignment horizontal="right"/>
    </xf>
    <xf numFmtId="200" fontId="38" fillId="0" borderId="0" xfId="17" applyNumberFormat="1" applyFont="1" applyAlignment="1">
      <alignment horizontal="right"/>
    </xf>
    <xf numFmtId="9" fontId="38" fillId="0" borderId="0" xfId="39" applyFont="1" applyFill="1" applyAlignment="1">
      <alignment horizontal="right"/>
    </xf>
    <xf numFmtId="44" fontId="38" fillId="0" borderId="0" xfId="17" applyFont="1" applyFill="1" applyAlignment="1">
      <alignment horizontal="right"/>
    </xf>
    <xf numFmtId="9" fontId="8" fillId="6" borderId="0" xfId="0" applyNumberFormat="1" applyFont="1" applyFill="1" applyAlignment="1">
      <alignment horizontal="right"/>
    </xf>
    <xf numFmtId="44" fontId="8" fillId="6" borderId="0" xfId="17" applyFont="1" applyFill="1" applyAlignment="1">
      <alignment horizontal="right"/>
    </xf>
    <xf numFmtId="173" fontId="17" fillId="0" borderId="0" xfId="0" applyNumberFormat="1" applyFont="1" applyFill="1"/>
    <xf numFmtId="0" fontId="8" fillId="0" borderId="0" xfId="0" applyFont="1" applyAlignment="1">
      <alignment horizontal="left"/>
    </xf>
    <xf numFmtId="0" fontId="8" fillId="0" borderId="0" xfId="0" applyFont="1" applyAlignment="1">
      <alignment horizontal="center"/>
    </xf>
    <xf numFmtId="164" fontId="8" fillId="0" borderId="0" xfId="0" applyNumberFormat="1" applyFont="1" applyFill="1" applyBorder="1"/>
    <xf numFmtId="0" fontId="27" fillId="0" borderId="0" xfId="0" applyFont="1" applyFill="1"/>
    <xf numFmtId="0" fontId="8" fillId="0" borderId="11" xfId="0" applyFont="1" applyFill="1" applyBorder="1"/>
    <xf numFmtId="9" fontId="8" fillId="0" borderId="0" xfId="0" applyNumberFormat="1" applyFont="1"/>
    <xf numFmtId="0" fontId="52" fillId="0" borderId="0" xfId="0" applyFont="1"/>
    <xf numFmtId="0" fontId="53" fillId="0" borderId="0" xfId="29" applyFont="1" applyAlignment="1" applyProtection="1">
      <alignment horizontal="left"/>
    </xf>
    <xf numFmtId="0" fontId="53" fillId="0" borderId="0" xfId="0" applyFont="1"/>
    <xf numFmtId="0" fontId="53" fillId="0" borderId="2" xfId="0" applyFont="1" applyBorder="1"/>
    <xf numFmtId="0" fontId="52" fillId="0" borderId="0" xfId="0" applyFont="1" applyBorder="1"/>
    <xf numFmtId="190" fontId="52" fillId="0" borderId="0" xfId="0" applyNumberFormat="1" applyFont="1"/>
    <xf numFmtId="190" fontId="52" fillId="0" borderId="2" xfId="0" applyNumberFormat="1" applyFont="1" applyBorder="1"/>
    <xf numFmtId="0" fontId="55" fillId="0" borderId="0" xfId="0" applyFont="1" applyFill="1" applyAlignment="1" applyProtection="1">
      <alignment horizontal="left"/>
    </xf>
    <xf numFmtId="0" fontId="55" fillId="0" borderId="0" xfId="0" applyFont="1" applyAlignment="1" applyProtection="1">
      <alignment horizontal="left"/>
    </xf>
    <xf numFmtId="193" fontId="53" fillId="0" borderId="2" xfId="0" applyNumberFormat="1" applyFont="1" applyBorder="1" applyAlignment="1">
      <alignment horizontal="center"/>
    </xf>
    <xf numFmtId="211" fontId="53" fillId="0" borderId="2" xfId="0" applyNumberFormat="1" applyFont="1" applyBorder="1" applyAlignment="1">
      <alignment horizontal="center"/>
    </xf>
    <xf numFmtId="195" fontId="50" fillId="0" borderId="2" xfId="0" applyNumberFormat="1" applyFont="1" applyBorder="1" applyAlignment="1">
      <alignment horizontal="center"/>
    </xf>
    <xf numFmtId="0" fontId="54" fillId="0" borderId="0" xfId="0" applyFont="1"/>
    <xf numFmtId="180" fontId="52" fillId="0" borderId="0" xfId="0" applyNumberFormat="1" applyFont="1" applyFill="1"/>
    <xf numFmtId="0" fontId="52" fillId="0" borderId="0" xfId="0" applyFont="1" applyFill="1"/>
    <xf numFmtId="164" fontId="56" fillId="0" borderId="0" xfId="0" applyNumberFormat="1" applyFont="1"/>
    <xf numFmtId="164" fontId="52" fillId="0" borderId="0" xfId="0" applyNumberFormat="1" applyFont="1"/>
    <xf numFmtId="0" fontId="56" fillId="0" borderId="0" xfId="0" applyFont="1"/>
    <xf numFmtId="0" fontId="56" fillId="0" borderId="2" xfId="0" applyFont="1" applyBorder="1"/>
    <xf numFmtId="164" fontId="56" fillId="0" borderId="2" xfId="0" applyNumberFormat="1" applyFont="1" applyBorder="1"/>
    <xf numFmtId="164" fontId="52" fillId="0" borderId="2" xfId="0" applyNumberFormat="1" applyFont="1" applyBorder="1"/>
    <xf numFmtId="180" fontId="52" fillId="0" borderId="0" xfId="0" applyNumberFormat="1" applyFont="1"/>
    <xf numFmtId="165" fontId="56" fillId="0" borderId="0" xfId="0" applyNumberFormat="1" applyFont="1"/>
    <xf numFmtId="164" fontId="56" fillId="0" borderId="0" xfId="0" applyNumberFormat="1" applyFont="1" applyBorder="1"/>
    <xf numFmtId="167" fontId="56" fillId="0" borderId="0" xfId="0" applyNumberFormat="1" applyFont="1" applyBorder="1"/>
    <xf numFmtId="2" fontId="52" fillId="0" borderId="0" xfId="0" applyNumberFormat="1" applyFont="1"/>
    <xf numFmtId="180" fontId="52" fillId="0" borderId="4" xfId="0" applyNumberFormat="1" applyFont="1" applyBorder="1"/>
    <xf numFmtId="164" fontId="56" fillId="0" borderId="0" xfId="0" applyNumberFormat="1" applyFont="1" applyFill="1" applyBorder="1"/>
    <xf numFmtId="180" fontId="56" fillId="0" borderId="0" xfId="0" applyNumberFormat="1" applyFont="1"/>
    <xf numFmtId="180" fontId="56" fillId="0" borderId="0" xfId="0" applyNumberFormat="1" applyFont="1" applyFill="1"/>
    <xf numFmtId="164" fontId="56" fillId="0" borderId="0" xfId="0" applyNumberFormat="1" applyFont="1" applyFill="1"/>
    <xf numFmtId="164" fontId="52" fillId="0" borderId="0" xfId="0" applyNumberFormat="1" applyFont="1" applyFill="1"/>
    <xf numFmtId="0" fontId="56" fillId="0" borderId="0" xfId="0" applyFont="1" applyFill="1"/>
    <xf numFmtId="164" fontId="56" fillId="0" borderId="2" xfId="0" applyNumberFormat="1" applyFont="1" applyFill="1" applyBorder="1"/>
    <xf numFmtId="164" fontId="52" fillId="0" borderId="2" xfId="0" applyNumberFormat="1" applyFont="1" applyFill="1" applyBorder="1"/>
    <xf numFmtId="180" fontId="52" fillId="0" borderId="4" xfId="0" applyNumberFormat="1" applyFont="1" applyFill="1" applyBorder="1"/>
    <xf numFmtId="170" fontId="56" fillId="0" borderId="0" xfId="0" applyNumberFormat="1" applyFont="1" applyBorder="1"/>
    <xf numFmtId="0" fontId="55" fillId="0" borderId="0" xfId="0" applyFont="1"/>
    <xf numFmtId="178" fontId="52" fillId="0" borderId="0" xfId="30" applyFont="1" applyAlignment="1"/>
    <xf numFmtId="0" fontId="59" fillId="0" borderId="0" xfId="0" applyFont="1"/>
    <xf numFmtId="166" fontId="52" fillId="0" borderId="0" xfId="39" applyNumberFormat="1" applyFont="1"/>
    <xf numFmtId="166" fontId="56" fillId="0" borderId="0" xfId="39" applyNumberFormat="1" applyFont="1"/>
    <xf numFmtId="44" fontId="52" fillId="0" borderId="0" xfId="17" applyFont="1"/>
    <xf numFmtId="0" fontId="60" fillId="0" borderId="14" xfId="0" applyFont="1" applyBorder="1"/>
    <xf numFmtId="44" fontId="60" fillId="0" borderId="14" xfId="17" applyFont="1" applyBorder="1"/>
    <xf numFmtId="0" fontId="58" fillId="0" borderId="0" xfId="0" applyFont="1"/>
    <xf numFmtId="208" fontId="58" fillId="0" borderId="0" xfId="13" applyNumberFormat="1" applyFont="1"/>
    <xf numFmtId="208" fontId="52" fillId="0" borderId="0" xfId="13" applyNumberFormat="1" applyFont="1"/>
    <xf numFmtId="208" fontId="58" fillId="0" borderId="0" xfId="13" applyNumberFormat="1" applyFont="1" applyFill="1"/>
    <xf numFmtId="208" fontId="52" fillId="0" borderId="0" xfId="13" applyNumberFormat="1" applyFont="1" applyFill="1"/>
    <xf numFmtId="165" fontId="58" fillId="0" borderId="0" xfId="0" applyNumberFormat="1" applyFont="1"/>
    <xf numFmtId="165" fontId="61" fillId="0" borderId="0" xfId="0" applyNumberFormat="1" applyFont="1"/>
    <xf numFmtId="0" fontId="62" fillId="0" borderId="4" xfId="0" applyFont="1" applyBorder="1"/>
    <xf numFmtId="0" fontId="52" fillId="0" borderId="4" xfId="0" applyFont="1" applyBorder="1"/>
    <xf numFmtId="0" fontId="62" fillId="0" borderId="0" xfId="0" applyFont="1" applyBorder="1"/>
    <xf numFmtId="0" fontId="63" fillId="0" borderId="0" xfId="26" applyFont="1"/>
    <xf numFmtId="0" fontId="52" fillId="0" borderId="0" xfId="26" applyFont="1" applyAlignment="1">
      <alignment horizontal="left"/>
    </xf>
    <xf numFmtId="172" fontId="52" fillId="0" borderId="0" xfId="0" applyNumberFormat="1" applyFont="1"/>
    <xf numFmtId="199" fontId="52" fillId="0" borderId="2" xfId="0" applyNumberFormat="1" applyFont="1" applyBorder="1"/>
    <xf numFmtId="199" fontId="52" fillId="0" borderId="0" xfId="0" applyNumberFormat="1" applyFont="1"/>
    <xf numFmtId="0" fontId="53" fillId="0" borderId="0" xfId="26" applyFont="1" applyAlignment="1">
      <alignment horizontal="left" indent="1"/>
    </xf>
    <xf numFmtId="170" fontId="53" fillId="0" borderId="0" xfId="0" applyNumberFormat="1" applyFont="1"/>
    <xf numFmtId="170" fontId="52" fillId="0" borderId="0" xfId="0" applyNumberFormat="1" applyFont="1"/>
    <xf numFmtId="0" fontId="52" fillId="0" borderId="0" xfId="26" applyFont="1"/>
    <xf numFmtId="170" fontId="56" fillId="0" borderId="0" xfId="0" applyNumberFormat="1" applyFont="1"/>
    <xf numFmtId="167" fontId="52" fillId="0" borderId="2" xfId="0" applyNumberFormat="1" applyFont="1" applyBorder="1"/>
    <xf numFmtId="167" fontId="52" fillId="0" borderId="0" xfId="0" applyNumberFormat="1" applyFont="1"/>
    <xf numFmtId="167" fontId="53" fillId="0" borderId="11" xfId="0" applyNumberFormat="1" applyFont="1" applyBorder="1"/>
    <xf numFmtId="167" fontId="53" fillId="0" borderId="10" xfId="0" applyNumberFormat="1" applyFont="1" applyBorder="1"/>
    <xf numFmtId="0" fontId="53" fillId="0" borderId="0" xfId="26" applyFont="1" applyAlignment="1">
      <alignment horizontal="left"/>
    </xf>
    <xf numFmtId="167" fontId="53" fillId="0" borderId="0" xfId="0" applyNumberFormat="1" applyFont="1"/>
    <xf numFmtId="39" fontId="53" fillId="0" borderId="0" xfId="0" applyNumberFormat="1" applyFont="1"/>
    <xf numFmtId="167" fontId="56" fillId="0" borderId="0" xfId="0" applyNumberFormat="1" applyFont="1" applyFill="1"/>
    <xf numFmtId="0" fontId="64" fillId="0" borderId="0" xfId="23" applyFont="1" applyFill="1" applyBorder="1" applyAlignment="1">
      <alignment horizontal="right"/>
    </xf>
    <xf numFmtId="176" fontId="64" fillId="0" borderId="0" xfId="23" applyNumberFormat="1" applyFont="1" applyFill="1" applyBorder="1"/>
    <xf numFmtId="176" fontId="64" fillId="0" borderId="0" xfId="23" applyNumberFormat="1" applyFont="1" applyFill="1" applyBorder="1" applyAlignment="1">
      <alignment horizontal="right"/>
    </xf>
    <xf numFmtId="0" fontId="27" fillId="0" borderId="0" xfId="23" applyFont="1" applyFill="1" applyBorder="1"/>
    <xf numFmtId="193" fontId="11" fillId="0" borderId="0" xfId="0" applyNumberFormat="1" applyFont="1" applyBorder="1" applyAlignment="1">
      <alignment horizontal="centerContinuous"/>
    </xf>
    <xf numFmtId="168" fontId="8" fillId="0" borderId="0" xfId="0" applyNumberFormat="1" applyFont="1" applyFill="1" applyBorder="1"/>
    <xf numFmtId="168" fontId="8" fillId="0" borderId="0" xfId="0" applyNumberFormat="1" applyFont="1" applyBorder="1"/>
    <xf numFmtId="170" fontId="8" fillId="0" borderId="0" xfId="0" applyNumberFormat="1" applyFont="1" applyFill="1" applyBorder="1"/>
    <xf numFmtId="0" fontId="11" fillId="0" borderId="2" xfId="0" applyFont="1" applyBorder="1" applyAlignment="1">
      <alignment horizontal="centerContinuous"/>
    </xf>
    <xf numFmtId="0" fontId="57" fillId="0" borderId="0" xfId="0" applyFont="1"/>
    <xf numFmtId="170" fontId="65" fillId="0" borderId="0" xfId="0" applyNumberFormat="1" applyFont="1"/>
    <xf numFmtId="166" fontId="4" fillId="0" borderId="0" xfId="39" applyNumberFormat="1" applyFont="1" applyFill="1"/>
    <xf numFmtId="205" fontId="4" fillId="0" borderId="0" xfId="0" applyNumberFormat="1" applyFont="1" applyBorder="1"/>
    <xf numFmtId="180" fontId="4" fillId="0" borderId="0" xfId="0" applyNumberFormat="1" applyFont="1" applyFill="1"/>
    <xf numFmtId="9" fontId="52" fillId="0" borderId="0" xfId="39" applyFont="1"/>
    <xf numFmtId="43" fontId="52" fillId="0" borderId="0" xfId="13" applyFont="1"/>
    <xf numFmtId="7" fontId="4" fillId="0" borderId="0" xfId="0" applyNumberFormat="1" applyFont="1"/>
    <xf numFmtId="9" fontId="4" fillId="0" borderId="0" xfId="39" applyFont="1" applyBorder="1"/>
    <xf numFmtId="202" fontId="8" fillId="0" borderId="0" xfId="0" applyNumberFormat="1" applyFont="1"/>
    <xf numFmtId="0" fontId="4" fillId="3" borderId="0" xfId="0" applyFont="1" applyFill="1"/>
    <xf numFmtId="0" fontId="4" fillId="0" borderId="0" xfId="0" applyFont="1" applyFill="1" applyAlignment="1">
      <alignment horizontal="center"/>
    </xf>
    <xf numFmtId="190" fontId="8" fillId="0" borderId="0" xfId="0" applyNumberFormat="1" applyFont="1" applyFill="1"/>
    <xf numFmtId="0" fontId="11" fillId="0" borderId="0" xfId="0" applyFont="1" applyFill="1" applyBorder="1"/>
    <xf numFmtId="0" fontId="11" fillId="0" borderId="2" xfId="0" applyFont="1" applyFill="1" applyBorder="1"/>
    <xf numFmtId="190" fontId="8" fillId="0" borderId="0" xfId="0" applyNumberFormat="1" applyFont="1" applyFill="1" applyBorder="1"/>
    <xf numFmtId="178" fontId="8" fillId="0" borderId="0" xfId="36" applyFont="1"/>
    <xf numFmtId="178" fontId="11" fillId="0" borderId="2" xfId="36" applyFont="1" applyBorder="1" applyAlignment="1" applyProtection="1">
      <alignment horizontal="left"/>
    </xf>
    <xf numFmtId="178" fontId="8" fillId="0" borderId="2" xfId="36" applyFont="1" applyBorder="1"/>
    <xf numFmtId="178" fontId="8" fillId="0" borderId="0" xfId="36" applyFont="1" applyBorder="1"/>
    <xf numFmtId="178" fontId="11" fillId="0" borderId="0" xfId="36" applyFont="1" applyBorder="1" applyAlignment="1" applyProtection="1">
      <alignment horizontal="left"/>
    </xf>
    <xf numFmtId="178" fontId="8" fillId="0" borderId="4" xfId="36" applyFont="1" applyBorder="1"/>
    <xf numFmtId="178" fontId="8" fillId="0" borderId="0" xfId="36" applyFont="1" applyBorder="1" applyAlignment="1" applyProtection="1">
      <alignment horizontal="left"/>
    </xf>
    <xf numFmtId="178" fontId="11" fillId="0" borderId="5" xfId="36" applyFont="1" applyBorder="1"/>
    <xf numFmtId="178" fontId="11" fillId="0" borderId="4" xfId="36" applyFont="1" applyBorder="1"/>
    <xf numFmtId="178" fontId="11" fillId="0" borderId="4" xfId="36" applyFont="1" applyBorder="1" applyAlignment="1" applyProtection="1">
      <alignment horizontal="center"/>
    </xf>
    <xf numFmtId="178" fontId="11" fillId="0" borderId="12" xfId="36" applyFont="1" applyBorder="1"/>
    <xf numFmtId="178" fontId="8" fillId="0" borderId="0" xfId="36" applyNumberFormat="1" applyFont="1" applyProtection="1"/>
    <xf numFmtId="193" fontId="11" fillId="0" borderId="2" xfId="23" applyNumberFormat="1" applyFont="1" applyFill="1" applyBorder="1" applyAlignment="1">
      <alignment horizontal="center"/>
    </xf>
    <xf numFmtId="211" fontId="11" fillId="0" borderId="2" xfId="23" applyNumberFormat="1" applyFont="1" applyFill="1" applyBorder="1" applyAlignment="1">
      <alignment horizontal="center"/>
    </xf>
    <xf numFmtId="195" fontId="20" fillId="0" borderId="2" xfId="23" applyNumberFormat="1" applyFont="1" applyFill="1" applyBorder="1" applyAlignment="1">
      <alignment horizontal="center"/>
    </xf>
    <xf numFmtId="178" fontId="9" fillId="0" borderId="1" xfId="36" applyFont="1" applyBorder="1"/>
    <xf numFmtId="178" fontId="11" fillId="0" borderId="4" xfId="36" quotePrefix="1" applyFont="1" applyBorder="1" applyAlignment="1" applyProtection="1">
      <alignment horizontal="center"/>
    </xf>
    <xf numFmtId="178" fontId="66" fillId="0" borderId="0" xfId="36" applyFont="1" applyBorder="1"/>
    <xf numFmtId="178" fontId="20" fillId="0" borderId="4" xfId="36" quotePrefix="1" applyFont="1" applyBorder="1" applyAlignment="1" applyProtection="1">
      <alignment horizontal="center"/>
    </xf>
    <xf numFmtId="178" fontId="11" fillId="0" borderId="16" xfId="36" applyFont="1" applyBorder="1"/>
    <xf numFmtId="195" fontId="20" fillId="0" borderId="0" xfId="23" applyNumberFormat="1" applyFont="1" applyFill="1" applyBorder="1" applyAlignment="1">
      <alignment horizontal="center"/>
    </xf>
    <xf numFmtId="5" fontId="12" fillId="0" borderId="0" xfId="36" applyNumberFormat="1" applyFont="1" applyProtection="1"/>
    <xf numFmtId="195" fontId="11" fillId="0" borderId="0" xfId="23" applyNumberFormat="1" applyFont="1" applyFill="1" applyBorder="1" applyAlignment="1">
      <alignment horizontal="center"/>
    </xf>
    <xf numFmtId="166" fontId="11" fillId="0" borderId="0" xfId="39" applyNumberFormat="1" applyFont="1" applyFill="1" applyBorder="1" applyAlignment="1">
      <alignment horizontal="center"/>
    </xf>
    <xf numFmtId="166" fontId="12" fillId="0" borderId="0" xfId="39" applyNumberFormat="1" applyFont="1" applyProtection="1"/>
    <xf numFmtId="178" fontId="11" fillId="0" borderId="0" xfId="36" applyFont="1" applyBorder="1" applyAlignment="1" applyProtection="1">
      <alignment horizontal="center"/>
    </xf>
    <xf numFmtId="178" fontId="22" fillId="0" borderId="0" xfId="36" applyFont="1" applyBorder="1"/>
    <xf numFmtId="5" fontId="8" fillId="0" borderId="0" xfId="36" applyNumberFormat="1" applyFont="1" applyProtection="1"/>
    <xf numFmtId="167" fontId="8" fillId="0" borderId="0" xfId="36" applyNumberFormat="1" applyFont="1" applyBorder="1" applyProtection="1"/>
    <xf numFmtId="178" fontId="8" fillId="0" borderId="16" xfId="36" applyFont="1" applyBorder="1" applyAlignment="1" applyProtection="1">
      <alignment horizontal="left"/>
    </xf>
    <xf numFmtId="178" fontId="8" fillId="0" borderId="0" xfId="36" applyNumberFormat="1" applyFont="1" applyAlignment="1" applyProtection="1">
      <alignment horizontal="left"/>
    </xf>
    <xf numFmtId="166" fontId="8" fillId="0" borderId="0" xfId="36" applyNumberFormat="1" applyFont="1" applyProtection="1"/>
    <xf numFmtId="187" fontId="8" fillId="0" borderId="0" xfId="37" applyNumberFormat="1" applyFont="1" applyProtection="1"/>
    <xf numFmtId="6" fontId="12" fillId="0" borderId="0" xfId="36" applyNumberFormat="1" applyFont="1" applyProtection="1"/>
    <xf numFmtId="6" fontId="8" fillId="0" borderId="0" xfId="36" applyNumberFormat="1" applyFont="1" applyProtection="1"/>
    <xf numFmtId="178" fontId="8" fillId="0" borderId="1" xfId="36" applyFont="1" applyBorder="1"/>
    <xf numFmtId="178" fontId="23" fillId="0" borderId="0" xfId="36" applyFont="1"/>
    <xf numFmtId="178" fontId="8" fillId="0" borderId="16" xfId="36" applyFont="1" applyBorder="1"/>
    <xf numFmtId="5" fontId="23" fillId="0" borderId="0" xfId="36" applyNumberFormat="1" applyFont="1" applyProtection="1"/>
    <xf numFmtId="43" fontId="8" fillId="0" borderId="0" xfId="13" applyFont="1"/>
    <xf numFmtId="175" fontId="8" fillId="0" borderId="0" xfId="13" applyNumberFormat="1" applyFont="1" applyProtection="1"/>
    <xf numFmtId="178" fontId="8" fillId="0" borderId="0" xfId="36" quotePrefix="1" applyNumberFormat="1" applyFont="1" applyAlignment="1" applyProtection="1">
      <alignment horizontal="left"/>
    </xf>
    <xf numFmtId="178" fontId="8" fillId="0" borderId="0" xfId="36" applyNumberFormat="1" applyFont="1" applyAlignment="1" applyProtection="1">
      <alignment horizontal="left" indent="2"/>
    </xf>
    <xf numFmtId="178" fontId="12" fillId="0" borderId="0" xfId="36" applyNumberFormat="1" applyFont="1" applyProtection="1"/>
    <xf numFmtId="182" fontId="12" fillId="0" borderId="0" xfId="0" applyNumberFormat="1" applyFont="1"/>
    <xf numFmtId="182" fontId="12" fillId="0" borderId="0" xfId="0" applyNumberFormat="1" applyFont="1" applyFill="1"/>
    <xf numFmtId="178" fontId="12" fillId="0" borderId="0" xfId="36" quotePrefix="1" applyNumberFormat="1" applyFont="1" applyAlignment="1" applyProtection="1">
      <alignment horizontal="center"/>
    </xf>
    <xf numFmtId="178" fontId="12" fillId="0" borderId="0" xfId="36" applyNumberFormat="1" applyFont="1" applyFill="1" applyProtection="1"/>
    <xf numFmtId="182" fontId="8" fillId="0" borderId="0" xfId="0" applyNumberFormat="1" applyFont="1"/>
    <xf numFmtId="178" fontId="8" fillId="0" borderId="0" xfId="36" applyNumberFormat="1" applyFont="1" applyFill="1" applyProtection="1"/>
    <xf numFmtId="178" fontId="68" fillId="0" borderId="0" xfId="36" applyNumberFormat="1" applyFont="1" applyFill="1" applyProtection="1"/>
    <xf numFmtId="178" fontId="69" fillId="0" borderId="0" xfId="36" applyNumberFormat="1" applyFont="1" applyProtection="1"/>
    <xf numFmtId="9" fontId="8" fillId="0" borderId="0" xfId="39" applyFont="1" applyProtection="1"/>
    <xf numFmtId="37" fontId="8" fillId="0" borderId="0" xfId="36" applyNumberFormat="1" applyFont="1" applyProtection="1"/>
    <xf numFmtId="37" fontId="8" fillId="0" borderId="1" xfId="36" applyNumberFormat="1" applyFont="1" applyBorder="1" applyProtection="1"/>
    <xf numFmtId="178" fontId="8" fillId="0" borderId="0" xfId="36" applyNumberFormat="1" applyFont="1" applyFill="1" applyAlignment="1" applyProtection="1">
      <alignment horizontal="left"/>
    </xf>
    <xf numFmtId="184" fontId="8" fillId="0" borderId="0" xfId="36" applyNumberFormat="1" applyFont="1" applyProtection="1"/>
    <xf numFmtId="178" fontId="8" fillId="0" borderId="0" xfId="36" applyFont="1" applyFill="1"/>
    <xf numFmtId="191" fontId="8" fillId="0" borderId="0" xfId="36" applyNumberFormat="1" applyFont="1" applyProtection="1"/>
    <xf numFmtId="181" fontId="8" fillId="0" borderId="0" xfId="13" applyNumberFormat="1" applyFont="1" applyProtection="1"/>
    <xf numFmtId="191" fontId="12" fillId="0" borderId="0" xfId="36" applyNumberFormat="1" applyFont="1" applyFill="1" applyProtection="1"/>
    <xf numFmtId="191" fontId="8" fillId="0" borderId="0" xfId="36" applyNumberFormat="1" applyFont="1" applyFill="1" applyProtection="1"/>
    <xf numFmtId="37" fontId="8" fillId="0" borderId="0" xfId="36" applyNumberFormat="1" applyFont="1" applyFill="1" applyProtection="1"/>
    <xf numFmtId="37" fontId="8" fillId="0" borderId="0" xfId="36" applyNumberFormat="1" applyFont="1" applyBorder="1" applyProtection="1"/>
    <xf numFmtId="37" fontId="8" fillId="0" borderId="16" xfId="36" applyNumberFormat="1" applyFont="1" applyBorder="1" applyProtection="1"/>
    <xf numFmtId="173" fontId="8" fillId="0" borderId="0" xfId="36" applyNumberFormat="1" applyFont="1" applyFill="1" applyProtection="1"/>
    <xf numFmtId="187" fontId="8" fillId="0" borderId="0" xfId="37" applyNumberFormat="1" applyFont="1" applyAlignment="1" applyProtection="1"/>
    <xf numFmtId="187" fontId="12" fillId="0" borderId="0" xfId="37" applyNumberFormat="1" applyFont="1" applyProtection="1"/>
    <xf numFmtId="187" fontId="8" fillId="0" borderId="1" xfId="37" applyNumberFormat="1" applyFont="1" applyBorder="1" applyProtection="1"/>
    <xf numFmtId="37" fontId="12" fillId="0" borderId="0" xfId="36" applyNumberFormat="1" applyFont="1" applyProtection="1"/>
    <xf numFmtId="39" fontId="12" fillId="0" borderId="0" xfId="36" applyNumberFormat="1" applyFont="1" applyProtection="1"/>
    <xf numFmtId="178" fontId="8" fillId="0" borderId="0" xfId="36" applyNumberFormat="1" applyFont="1" applyFill="1" applyAlignment="1" applyProtection="1">
      <alignment horizontal="left" indent="2"/>
    </xf>
    <xf numFmtId="167" fontId="12" fillId="0" borderId="0" xfId="36" applyNumberFormat="1" applyFont="1" applyProtection="1"/>
    <xf numFmtId="202" fontId="12" fillId="0" borderId="0" xfId="36" applyNumberFormat="1" applyFont="1" applyProtection="1"/>
    <xf numFmtId="202" fontId="12" fillId="0" borderId="0" xfId="36" applyNumberFormat="1" applyFont="1" applyAlignment="1" applyProtection="1">
      <alignment horizontal="right"/>
    </xf>
    <xf numFmtId="166" fontId="8" fillId="0" borderId="0" xfId="39" applyNumberFormat="1" applyFont="1" applyProtection="1"/>
    <xf numFmtId="178" fontId="8" fillId="0" borderId="0" xfId="36" applyFont="1" applyFill="1" applyAlignment="1">
      <alignment horizontal="left" indent="2"/>
    </xf>
    <xf numFmtId="167" fontId="12" fillId="0" borderId="0" xfId="36" applyNumberFormat="1" applyFont="1"/>
    <xf numFmtId="202" fontId="12" fillId="0" borderId="0" xfId="36" applyNumberFormat="1" applyFont="1"/>
    <xf numFmtId="200" fontId="12" fillId="0" borderId="0" xfId="39" applyNumberFormat="1" applyFont="1" applyProtection="1"/>
    <xf numFmtId="202" fontId="12" fillId="0" borderId="0" xfId="39" applyNumberFormat="1" applyFont="1" applyProtection="1"/>
    <xf numFmtId="212" fontId="8" fillId="0" borderId="0" xfId="13" applyNumberFormat="1" applyFont="1" applyProtection="1"/>
    <xf numFmtId="202" fontId="8" fillId="0" borderId="0" xfId="39" applyNumberFormat="1" applyFont="1" applyProtection="1"/>
    <xf numFmtId="202" fontId="68" fillId="0" borderId="0" xfId="39" applyNumberFormat="1" applyFont="1" applyProtection="1"/>
    <xf numFmtId="207" fontId="8" fillId="0" borderId="0" xfId="13" applyNumberFormat="1" applyFont="1" applyProtection="1"/>
    <xf numFmtId="43" fontId="8" fillId="0" borderId="0" xfId="13" applyFont="1" applyProtection="1"/>
    <xf numFmtId="10" fontId="8" fillId="0" borderId="0" xfId="39" applyNumberFormat="1" applyFont="1" applyProtection="1"/>
    <xf numFmtId="37" fontId="12" fillId="0" borderId="0" xfId="36" applyNumberFormat="1" applyFont="1" applyFill="1" applyProtection="1"/>
    <xf numFmtId="37" fontId="8" fillId="0" borderId="0" xfId="36" applyNumberFormat="1" applyFont="1" applyAlignment="1" applyProtection="1">
      <alignment horizontal="right"/>
    </xf>
    <xf numFmtId="37" fontId="68" fillId="0" borderId="0" xfId="36" applyNumberFormat="1" applyFont="1" applyProtection="1"/>
    <xf numFmtId="37" fontId="68" fillId="0" borderId="0" xfId="36" applyNumberFormat="1" applyFont="1" applyFill="1" applyProtection="1"/>
    <xf numFmtId="6" fontId="8" fillId="0" borderId="0" xfId="17" applyNumberFormat="1" applyFont="1"/>
    <xf numFmtId="170" fontId="8" fillId="0" borderId="1" xfId="13" applyNumberFormat="1" applyFont="1" applyBorder="1"/>
    <xf numFmtId="178" fontId="8" fillId="0" borderId="0" xfId="36" quotePrefix="1" applyFont="1" applyFill="1"/>
    <xf numFmtId="178" fontId="8" fillId="0" borderId="17" xfId="36" applyFont="1" applyBorder="1"/>
    <xf numFmtId="167" fontId="8" fillId="0" borderId="2" xfId="36" applyNumberFormat="1" applyFont="1" applyBorder="1" applyProtection="1"/>
    <xf numFmtId="178" fontId="8" fillId="0" borderId="18" xfId="36" applyFont="1" applyBorder="1"/>
    <xf numFmtId="240" fontId="8" fillId="0" borderId="0" xfId="0" applyNumberFormat="1" applyFont="1" applyBorder="1"/>
    <xf numFmtId="250" fontId="11" fillId="0" borderId="4" xfId="31" applyNumberFormat="1" applyFont="1" applyBorder="1" applyAlignment="1">
      <alignment horizontal="right"/>
    </xf>
    <xf numFmtId="245" fontId="8" fillId="0" borderId="0" xfId="31" applyNumberFormat="1" applyFont="1" applyBorder="1" applyAlignment="1">
      <alignment horizontal="right"/>
    </xf>
    <xf numFmtId="180" fontId="55" fillId="0" borderId="0" xfId="0" applyNumberFormat="1" applyFont="1"/>
    <xf numFmtId="0" fontId="8" fillId="2" borderId="0" xfId="0" applyFont="1" applyFill="1" applyBorder="1"/>
    <xf numFmtId="167" fontId="52" fillId="0" borderId="0" xfId="0" applyNumberFormat="1" applyFont="1" applyAlignment="1">
      <alignment horizontal="right"/>
    </xf>
    <xf numFmtId="164" fontId="56" fillId="0" borderId="0" xfId="0" applyNumberFormat="1" applyFont="1" applyFill="1" applyAlignment="1">
      <alignment horizontal="right"/>
    </xf>
    <xf numFmtId="164" fontId="52" fillId="0" borderId="0" xfId="0" applyNumberFormat="1" applyFont="1" applyFill="1" applyBorder="1"/>
    <xf numFmtId="165" fontId="56" fillId="0" borderId="0" xfId="0" applyNumberFormat="1" applyFont="1" applyFill="1"/>
    <xf numFmtId="165" fontId="52" fillId="0" borderId="0" xfId="0" applyNumberFormat="1" applyFont="1" applyFill="1"/>
    <xf numFmtId="3" fontId="52" fillId="0" borderId="0" xfId="0" applyNumberFormat="1" applyFont="1" applyFill="1"/>
    <xf numFmtId="39" fontId="8" fillId="0" borderId="0" xfId="0" applyNumberFormat="1" applyFont="1" applyFill="1" applyBorder="1"/>
    <xf numFmtId="167" fontId="8" fillId="0" borderId="0" xfId="0" applyNumberFormat="1" applyFont="1" applyFill="1" applyBorder="1"/>
    <xf numFmtId="200" fontId="12" fillId="0" borderId="0" xfId="0" applyNumberFormat="1" applyFont="1" applyFill="1" applyAlignment="1">
      <alignment horizontal="right"/>
    </xf>
    <xf numFmtId="201" fontId="8" fillId="0" borderId="0" xfId="0" applyNumberFormat="1" applyFont="1" applyFill="1"/>
    <xf numFmtId="187" fontId="8" fillId="0" borderId="20" xfId="37" applyNumberFormat="1" applyFont="1" applyBorder="1" applyProtection="1"/>
    <xf numFmtId="187" fontId="8" fillId="0" borderId="7" xfId="37" applyNumberFormat="1" applyFont="1" applyBorder="1" applyProtection="1"/>
    <xf numFmtId="187" fontId="8" fillId="0" borderId="21" xfId="37" applyNumberFormat="1" applyFont="1" applyBorder="1" applyProtection="1"/>
    <xf numFmtId="0" fontId="4" fillId="0" borderId="0" xfId="0" applyFont="1" applyBorder="1" applyAlignment="1">
      <alignment horizontal="centerContinuous"/>
    </xf>
    <xf numFmtId="0" fontId="25" fillId="0" borderId="0" xfId="0" applyFont="1" applyBorder="1" applyAlignment="1">
      <alignment horizontal="centerContinuous"/>
    </xf>
    <xf numFmtId="0" fontId="8" fillId="0" borderId="0" xfId="23" applyFont="1" applyFill="1" applyBorder="1"/>
    <xf numFmtId="210" fontId="8" fillId="0" borderId="0" xfId="23" applyNumberFormat="1" applyFont="1" applyFill="1" applyBorder="1"/>
    <xf numFmtId="167" fontId="8" fillId="0" borderId="0" xfId="23" applyNumberFormat="1" applyFont="1" applyFill="1" applyBorder="1"/>
    <xf numFmtId="173" fontId="11" fillId="0" borderId="2" xfId="23" applyNumberFormat="1" applyFont="1" applyBorder="1" applyAlignment="1" applyProtection="1">
      <alignment horizontal="left"/>
    </xf>
    <xf numFmtId="0" fontId="8" fillId="0" borderId="2" xfId="23" applyFont="1" applyFill="1" applyBorder="1"/>
    <xf numFmtId="210" fontId="8" fillId="0" borderId="2" xfId="23" applyNumberFormat="1" applyFont="1" applyFill="1" applyBorder="1"/>
    <xf numFmtId="167" fontId="8" fillId="0" borderId="2" xfId="23" applyNumberFormat="1" applyFont="1" applyFill="1" applyBorder="1"/>
    <xf numFmtId="210" fontId="4" fillId="0" borderId="0" xfId="0" applyNumberFormat="1" applyFont="1"/>
    <xf numFmtId="185" fontId="9" fillId="0" borderId="0" xfId="23" applyNumberFormat="1" applyFont="1" applyFill="1" applyBorder="1" applyAlignment="1">
      <alignment horizontal="left"/>
    </xf>
    <xf numFmtId="185" fontId="92" fillId="0" borderId="0" xfId="23" applyNumberFormat="1" applyFont="1" applyFill="1" applyBorder="1" applyAlignment="1">
      <alignment horizontal="left"/>
    </xf>
    <xf numFmtId="185" fontId="9" fillId="0" borderId="0" xfId="23" applyNumberFormat="1" applyFont="1" applyFill="1" applyBorder="1" applyAlignment="1">
      <alignment horizontal="right"/>
    </xf>
    <xf numFmtId="210" fontId="92" fillId="0" borderId="0" xfId="23" applyNumberFormat="1" applyFont="1" applyFill="1" applyBorder="1" applyAlignment="1">
      <alignment horizontal="left"/>
    </xf>
    <xf numFmtId="185" fontId="27" fillId="0" borderId="0" xfId="23" applyNumberFormat="1" applyFont="1" applyFill="1" applyBorder="1" applyAlignment="1">
      <alignment horizontal="centerContinuous"/>
    </xf>
    <xf numFmtId="185" fontId="9" fillId="0" borderId="0" xfId="23" applyNumberFormat="1" applyFont="1" applyFill="1" applyBorder="1" applyAlignment="1">
      <alignment horizontal="centerContinuous"/>
    </xf>
    <xf numFmtId="210" fontId="9" fillId="0" borderId="0" xfId="23" applyNumberFormat="1" applyFont="1" applyFill="1" applyBorder="1" applyAlignment="1">
      <alignment horizontal="right"/>
    </xf>
    <xf numFmtId="185" fontId="9" fillId="0" borderId="5" xfId="23" applyNumberFormat="1" applyFont="1" applyFill="1" applyBorder="1" applyAlignment="1">
      <alignment horizontal="right"/>
    </xf>
    <xf numFmtId="0" fontId="8" fillId="0" borderId="15" xfId="23" applyFont="1" applyFill="1" applyBorder="1"/>
    <xf numFmtId="0" fontId="11" fillId="0" borderId="0" xfId="23" applyFont="1" applyFill="1" applyBorder="1"/>
    <xf numFmtId="185" fontId="11" fillId="0" borderId="1" xfId="23" applyNumberFormat="1" applyFont="1" applyFill="1" applyBorder="1" applyAlignment="1">
      <alignment horizontal="right"/>
    </xf>
    <xf numFmtId="178" fontId="11" fillId="0" borderId="4" xfId="36" applyFont="1" applyFill="1" applyBorder="1" applyAlignment="1" applyProtection="1">
      <alignment horizontal="center"/>
    </xf>
    <xf numFmtId="178" fontId="11" fillId="0" borderId="0" xfId="36" applyFont="1" applyFill="1" applyBorder="1"/>
    <xf numFmtId="178" fontId="20" fillId="0" borderId="2" xfId="36" quotePrefix="1" applyFont="1" applyFill="1" applyBorder="1" applyAlignment="1" applyProtection="1">
      <alignment horizontal="center"/>
    </xf>
    <xf numFmtId="0" fontId="11" fillId="0" borderId="16" xfId="23" applyFont="1" applyFill="1" applyBorder="1"/>
    <xf numFmtId="166" fontId="8" fillId="0" borderId="0" xfId="23" applyNumberFormat="1" applyFont="1" applyFill="1" applyBorder="1"/>
    <xf numFmtId="185" fontId="9" fillId="0" borderId="1" xfId="23" applyNumberFormat="1" applyFont="1" applyFill="1" applyBorder="1" applyAlignment="1">
      <alignment horizontal="right"/>
    </xf>
    <xf numFmtId="0" fontId="8" fillId="0" borderId="16" xfId="23" applyFont="1" applyFill="1" applyBorder="1"/>
    <xf numFmtId="173" fontId="8" fillId="0" borderId="0" xfId="23" applyNumberFormat="1" applyFont="1" applyFill="1" applyBorder="1"/>
    <xf numFmtId="173" fontId="8" fillId="0" borderId="1" xfId="23" applyNumberFormat="1" applyFont="1" applyFill="1" applyBorder="1"/>
    <xf numFmtId="166" fontId="8" fillId="0" borderId="0" xfId="39" applyNumberFormat="1" applyFont="1" applyFill="1" applyBorder="1"/>
    <xf numFmtId="174" fontId="8" fillId="0" borderId="0" xfId="39" applyNumberFormat="1" applyFont="1" applyFill="1" applyBorder="1"/>
    <xf numFmtId="167" fontId="8" fillId="0" borderId="1" xfId="23" applyNumberFormat="1" applyFont="1" applyFill="1" applyBorder="1"/>
    <xf numFmtId="166" fontId="33" fillId="0" borderId="0" xfId="39" applyNumberFormat="1" applyFont="1" applyFill="1" applyBorder="1"/>
    <xf numFmtId="166" fontId="12" fillId="0" borderId="0" xfId="39" applyNumberFormat="1" applyFont="1" applyFill="1" applyBorder="1"/>
    <xf numFmtId="167" fontId="93" fillId="0" borderId="0" xfId="23" applyNumberFormat="1" applyFont="1" applyFill="1" applyBorder="1"/>
    <xf numFmtId="10" fontId="8" fillId="0" borderId="0" xfId="39" applyNumberFormat="1" applyFont="1" applyFill="1" applyBorder="1"/>
    <xf numFmtId="181" fontId="8" fillId="0" borderId="0" xfId="13" applyNumberFormat="1" applyFont="1" applyFill="1" applyBorder="1"/>
    <xf numFmtId="167" fontId="12" fillId="0" borderId="0" xfId="23" applyNumberFormat="1" applyFont="1" applyFill="1" applyBorder="1"/>
    <xf numFmtId="0" fontId="8" fillId="0" borderId="0" xfId="23" applyFont="1" applyFill="1" applyBorder="1" applyAlignment="1">
      <alignment horizontal="left"/>
    </xf>
    <xf numFmtId="166" fontId="12" fillId="0" borderId="1" xfId="39" applyNumberFormat="1" applyFont="1" applyFill="1" applyBorder="1"/>
    <xf numFmtId="167" fontId="8" fillId="0" borderId="16" xfId="36" applyNumberFormat="1" applyFont="1" applyBorder="1" applyProtection="1"/>
    <xf numFmtId="0" fontId="27" fillId="0" borderId="0" xfId="23" applyFont="1" applyFill="1" applyBorder="1" applyAlignment="1">
      <alignment horizontal="left"/>
    </xf>
    <xf numFmtId="9" fontId="8" fillId="0" borderId="0" xfId="39" applyFont="1" applyFill="1" applyBorder="1"/>
    <xf numFmtId="166" fontId="68" fillId="0" borderId="0" xfId="39" applyNumberFormat="1" applyFont="1" applyFill="1" applyBorder="1"/>
    <xf numFmtId="208" fontId="68" fillId="0" borderId="0" xfId="13" applyNumberFormat="1" applyFont="1" applyFill="1" applyBorder="1"/>
    <xf numFmtId="210" fontId="68" fillId="0" borderId="0" xfId="13" applyNumberFormat="1" applyFont="1" applyFill="1" applyBorder="1"/>
    <xf numFmtId="208" fontId="12" fillId="0" borderId="0" xfId="13" applyNumberFormat="1" applyFont="1" applyFill="1" applyBorder="1"/>
    <xf numFmtId="166" fontId="65" fillId="0" borderId="0" xfId="39" applyNumberFormat="1" applyFont="1" applyFill="1" applyBorder="1"/>
    <xf numFmtId="210" fontId="8" fillId="0" borderId="0" xfId="39" applyNumberFormat="1" applyFont="1" applyFill="1" applyBorder="1"/>
    <xf numFmtId="210" fontId="12" fillId="0" borderId="0" xfId="39" applyNumberFormat="1" applyFont="1" applyFill="1" applyBorder="1"/>
    <xf numFmtId="210" fontId="12" fillId="0" borderId="0" xfId="23" applyNumberFormat="1" applyFont="1" applyFill="1" applyBorder="1"/>
    <xf numFmtId="167" fontId="8" fillId="0" borderId="0" xfId="23" applyNumberFormat="1" applyFont="1" applyFill="1" applyBorder="1" applyAlignment="1">
      <alignment horizontal="right"/>
    </xf>
    <xf numFmtId="39" fontId="8" fillId="0" borderId="0" xfId="23" applyNumberFormat="1" applyFont="1" applyFill="1" applyBorder="1"/>
    <xf numFmtId="202" fontId="8" fillId="0" borderId="0" xfId="23" applyNumberFormat="1" applyFont="1" applyFill="1" applyBorder="1"/>
    <xf numFmtId="197" fontId="8" fillId="0" borderId="0" xfId="39" applyNumberFormat="1" applyFont="1" applyFill="1" applyBorder="1"/>
    <xf numFmtId="187" fontId="12" fillId="0" borderId="0" xfId="39" applyNumberFormat="1" applyFont="1" applyFill="1" applyBorder="1"/>
    <xf numFmtId="39" fontId="12" fillId="0" borderId="0" xfId="23" applyNumberFormat="1" applyFont="1" applyFill="1" applyBorder="1"/>
    <xf numFmtId="166" fontId="8" fillId="0" borderId="0" xfId="39" applyNumberFormat="1" applyFont="1" applyFill="1" applyBorder="1" applyAlignment="1"/>
    <xf numFmtId="166" fontId="12" fillId="0" borderId="0" xfId="39" applyNumberFormat="1" applyFont="1" applyFill="1" applyBorder="1" applyAlignment="1"/>
    <xf numFmtId="10" fontId="8" fillId="0" borderId="0" xfId="23" applyNumberFormat="1" applyFont="1"/>
    <xf numFmtId="39" fontId="38" fillId="0" borderId="0" xfId="23" applyNumberFormat="1" applyFont="1" applyFill="1" applyBorder="1"/>
    <xf numFmtId="7" fontId="38" fillId="0" borderId="0" xfId="23" applyNumberFormat="1" applyFont="1" applyFill="1" applyBorder="1"/>
    <xf numFmtId="7" fontId="8" fillId="0" borderId="0" xfId="23" applyNumberFormat="1" applyFont="1" applyFill="1" applyBorder="1"/>
    <xf numFmtId="7" fontId="8" fillId="0" borderId="1" xfId="23" applyNumberFormat="1" applyFont="1" applyFill="1" applyBorder="1"/>
    <xf numFmtId="210" fontId="8" fillId="0" borderId="0" xfId="0" applyNumberFormat="1" applyFont="1"/>
    <xf numFmtId="0" fontId="8" fillId="0" borderId="17" xfId="23" applyFont="1" applyFill="1" applyBorder="1"/>
    <xf numFmtId="178" fontId="8" fillId="0" borderId="2" xfId="36" applyFont="1" applyBorder="1" applyAlignment="1" applyProtection="1">
      <alignment horizontal="left"/>
    </xf>
    <xf numFmtId="0" fontId="8" fillId="0" borderId="18" xfId="23" applyFont="1" applyFill="1" applyBorder="1"/>
    <xf numFmtId="183" fontId="8" fillId="0" borderId="0" xfId="23" applyNumberFormat="1" applyFont="1" applyFill="1" applyBorder="1"/>
    <xf numFmtId="10" fontId="8" fillId="2" borderId="0" xfId="23" applyNumberFormat="1" applyFont="1" applyFill="1"/>
    <xf numFmtId="167" fontId="8" fillId="2" borderId="0" xfId="23" applyNumberFormat="1" applyFont="1" applyFill="1" applyBorder="1"/>
    <xf numFmtId="210" fontId="8" fillId="2" borderId="0" xfId="23" applyNumberFormat="1" applyFont="1" applyFill="1" applyBorder="1"/>
    <xf numFmtId="166" fontId="8" fillId="2" borderId="0" xfId="39" applyNumberFormat="1" applyFont="1" applyFill="1" applyBorder="1"/>
    <xf numFmtId="210" fontId="8" fillId="2" borderId="0" xfId="39" applyNumberFormat="1" applyFont="1" applyFill="1" applyBorder="1"/>
    <xf numFmtId="208" fontId="8" fillId="2" borderId="0" xfId="13" applyNumberFormat="1" applyFont="1" applyFill="1" applyBorder="1"/>
    <xf numFmtId="167" fontId="67" fillId="2" borderId="0" xfId="23" applyNumberFormat="1" applyFont="1" applyFill="1" applyBorder="1"/>
    <xf numFmtId="167" fontId="67" fillId="0" borderId="0" xfId="23" applyNumberFormat="1" applyFont="1" applyFill="1" applyBorder="1"/>
    <xf numFmtId="44" fontId="12" fillId="2" borderId="0" xfId="17" applyFont="1" applyFill="1" applyBorder="1"/>
    <xf numFmtId="44" fontId="8" fillId="2" borderId="0" xfId="17" applyFont="1" applyFill="1" applyBorder="1"/>
    <xf numFmtId="167" fontId="8" fillId="0" borderId="0" xfId="36" applyNumberFormat="1" applyFont="1" applyProtection="1"/>
    <xf numFmtId="39" fontId="23" fillId="0" borderId="0" xfId="23" applyNumberFormat="1" applyFont="1" applyFill="1" applyBorder="1"/>
    <xf numFmtId="0" fontId="94" fillId="0" borderId="0" xfId="0" applyFont="1" applyFill="1"/>
    <xf numFmtId="167" fontId="13" fillId="0" borderId="0" xfId="23" applyNumberFormat="1" applyFont="1" applyFill="1" applyBorder="1"/>
    <xf numFmtId="210" fontId="13" fillId="0" borderId="0" xfId="23" applyNumberFormat="1" applyFont="1" applyFill="1" applyBorder="1"/>
    <xf numFmtId="0" fontId="13" fillId="0" borderId="0" xfId="0" applyFont="1" applyBorder="1"/>
    <xf numFmtId="0" fontId="4" fillId="0" borderId="0" xfId="35" applyFont="1"/>
    <xf numFmtId="37" fontId="13" fillId="0" borderId="0" xfId="23" applyNumberFormat="1" applyFont="1" applyFill="1" applyBorder="1"/>
    <xf numFmtId="10" fontId="4" fillId="0" borderId="0" xfId="23" applyNumberFormat="1" applyFont="1"/>
    <xf numFmtId="167" fontId="4" fillId="0" borderId="0" xfId="23" applyNumberFormat="1" applyFont="1" applyFill="1" applyBorder="1"/>
    <xf numFmtId="210" fontId="4" fillId="0" borderId="0" xfId="23" applyNumberFormat="1" applyFont="1" applyFill="1" applyBorder="1"/>
    <xf numFmtId="178" fontId="4" fillId="0" borderId="0" xfId="36" applyFont="1"/>
    <xf numFmtId="167" fontId="4" fillId="0" borderId="0" xfId="36" applyNumberFormat="1" applyFont="1" applyProtection="1"/>
    <xf numFmtId="0" fontId="4" fillId="0" borderId="0" xfId="23" applyFont="1" applyFill="1" applyBorder="1"/>
    <xf numFmtId="195" fontId="8" fillId="0" borderId="0" xfId="23" applyNumberFormat="1" applyFont="1" applyFill="1" applyBorder="1" applyAlignment="1">
      <alignment horizontal="center"/>
    </xf>
    <xf numFmtId="210" fontId="8" fillId="0" borderId="0" xfId="23" applyNumberFormat="1" applyFont="1" applyFill="1" applyBorder="1" applyAlignment="1">
      <alignment horizontal="center"/>
    </xf>
    <xf numFmtId="2" fontId="8" fillId="0" borderId="0" xfId="23" applyNumberFormat="1" applyFont="1" applyFill="1" applyBorder="1"/>
    <xf numFmtId="165" fontId="45" fillId="0" borderId="0" xfId="23" applyNumberFormat="1" applyFont="1" applyFill="1" applyBorder="1"/>
    <xf numFmtId="167" fontId="4" fillId="0" borderId="0" xfId="0" applyNumberFormat="1" applyFont="1" applyFill="1"/>
    <xf numFmtId="166" fontId="8" fillId="0" borderId="0" xfId="39" applyNumberFormat="1" applyFont="1" applyBorder="1"/>
    <xf numFmtId="0" fontId="0" fillId="0" borderId="0" xfId="0" applyFill="1"/>
    <xf numFmtId="176" fontId="4" fillId="0" borderId="0" xfId="0" applyNumberFormat="1" applyFont="1" applyFill="1"/>
    <xf numFmtId="4" fontId="4" fillId="0" borderId="0" xfId="0" applyNumberFormat="1" applyFont="1" applyFill="1"/>
    <xf numFmtId="164" fontId="4" fillId="0" borderId="0" xfId="0" applyNumberFormat="1" applyFont="1" applyFill="1"/>
    <xf numFmtId="3" fontId="4" fillId="0" borderId="0" xfId="0" applyNumberFormat="1" applyFont="1" applyFill="1"/>
    <xf numFmtId="3" fontId="11" fillId="0" borderId="0" xfId="0" applyNumberFormat="1" applyFont="1" applyBorder="1"/>
    <xf numFmtId="0" fontId="4" fillId="0" borderId="0" xfId="0" applyFont="1" applyFill="1" applyBorder="1" applyAlignment="1">
      <alignment horizontal="centerContinuous"/>
    </xf>
    <xf numFmtId="193" fontId="16" fillId="0" borderId="0" xfId="0" applyNumberFormat="1" applyFont="1" applyFill="1" applyAlignment="1">
      <alignment horizontal="left"/>
    </xf>
    <xf numFmtId="170" fontId="4" fillId="0" borderId="0" xfId="0" applyNumberFormat="1" applyFont="1" applyFill="1"/>
    <xf numFmtId="4" fontId="36" fillId="0" borderId="0" xfId="0" applyNumberFormat="1" applyFont="1" applyFill="1" applyBorder="1" applyAlignment="1">
      <alignment horizontal="right"/>
    </xf>
    <xf numFmtId="0" fontId="36" fillId="0" borderId="0" xfId="0" applyFont="1" applyFill="1" applyAlignment="1">
      <alignment horizontal="right"/>
    </xf>
    <xf numFmtId="170" fontId="4" fillId="0" borderId="2" xfId="0" applyNumberFormat="1" applyFont="1" applyFill="1" applyBorder="1"/>
    <xf numFmtId="1" fontId="4" fillId="0" borderId="0" xfId="0" applyNumberFormat="1" applyFont="1" applyFill="1" applyAlignment="1">
      <alignment horizontal="right"/>
    </xf>
    <xf numFmtId="0" fontId="36" fillId="0" borderId="0" xfId="0" applyFont="1" applyFill="1" applyBorder="1" applyAlignment="1">
      <alignment horizontal="right"/>
    </xf>
    <xf numFmtId="4" fontId="4" fillId="0" borderId="13" xfId="0" applyNumberFormat="1" applyFont="1" applyFill="1" applyBorder="1"/>
    <xf numFmtId="0" fontId="4" fillId="0" borderId="12" xfId="0" applyFont="1" applyFill="1" applyBorder="1"/>
    <xf numFmtId="260" fontId="4" fillId="0" borderId="0" xfId="17" applyNumberFormat="1" applyFont="1" applyFill="1"/>
    <xf numFmtId="4" fontId="36" fillId="0" borderId="13" xfId="0" applyNumberFormat="1" applyFont="1" applyFill="1" applyBorder="1" applyAlignment="1">
      <alignment horizontal="right"/>
    </xf>
    <xf numFmtId="0" fontId="36" fillId="0" borderId="12" xfId="0" applyFont="1" applyFill="1" applyBorder="1" applyAlignment="1">
      <alignment horizontal="right"/>
    </xf>
    <xf numFmtId="9" fontId="17" fillId="0" borderId="0" xfId="39" applyFont="1"/>
    <xf numFmtId="0" fontId="4" fillId="0" borderId="0" xfId="0" applyFont="1" applyFill="1" applyAlignment="1">
      <alignment horizontal="centerContinuous"/>
    </xf>
    <xf numFmtId="0" fontId="34" fillId="0" borderId="0" xfId="0" applyFont="1" applyFill="1"/>
    <xf numFmtId="43" fontId="11" fillId="0" borderId="0" xfId="13" applyFont="1" applyFill="1"/>
    <xf numFmtId="0" fontId="34" fillId="0" borderId="2" xfId="0" applyFont="1" applyFill="1" applyBorder="1"/>
    <xf numFmtId="206" fontId="11" fillId="0" borderId="2" xfId="0" applyNumberFormat="1" applyFont="1" applyFill="1" applyBorder="1"/>
    <xf numFmtId="172" fontId="11" fillId="0" borderId="2" xfId="0" applyNumberFormat="1" applyFont="1" applyFill="1" applyBorder="1"/>
    <xf numFmtId="0" fontId="16" fillId="0" borderId="0" xfId="0" applyFont="1" applyFill="1" applyAlignment="1">
      <alignment horizontal="centerContinuous"/>
    </xf>
    <xf numFmtId="172" fontId="4" fillId="0" borderId="0" xfId="0" applyNumberFormat="1" applyFont="1" applyFill="1"/>
    <xf numFmtId="0" fontId="4" fillId="0" borderId="0" xfId="0" applyFont="1" applyAlignment="1">
      <alignment horizontal="right"/>
    </xf>
    <xf numFmtId="1" fontId="8" fillId="0" borderId="0" xfId="0" applyNumberFormat="1" applyFont="1"/>
    <xf numFmtId="0" fontId="14" fillId="0" borderId="0" xfId="0" applyFont="1" applyFill="1" applyAlignment="1">
      <alignment horizontal="centerContinuous"/>
    </xf>
    <xf numFmtId="205" fontId="12" fillId="0" borderId="0" xfId="0" applyNumberFormat="1" applyFont="1"/>
    <xf numFmtId="202" fontId="8" fillId="0" borderId="0" xfId="36" applyNumberFormat="1" applyFont="1" applyProtection="1"/>
    <xf numFmtId="167" fontId="8" fillId="0" borderId="0" xfId="36" applyNumberFormat="1" applyFont="1"/>
    <xf numFmtId="200" fontId="8" fillId="0" borderId="0" xfId="39" applyNumberFormat="1" applyFont="1" applyProtection="1"/>
    <xf numFmtId="202" fontId="8" fillId="0" borderId="0" xfId="36" applyNumberFormat="1" applyFont="1"/>
    <xf numFmtId="166" fontId="65" fillId="0" borderId="0" xfId="39" applyNumberFormat="1" applyFont="1" applyProtection="1"/>
    <xf numFmtId="0" fontId="96" fillId="0" borderId="0" xfId="0" applyFont="1"/>
    <xf numFmtId="180" fontId="8" fillId="0" borderId="0" xfId="36" applyNumberFormat="1" applyFont="1" applyProtection="1"/>
    <xf numFmtId="164" fontId="8" fillId="0" borderId="0" xfId="36" applyNumberFormat="1" applyFont="1" applyProtection="1"/>
    <xf numFmtId="167" fontId="68" fillId="0" borderId="0" xfId="39" applyNumberFormat="1" applyFont="1" applyProtection="1"/>
    <xf numFmtId="3" fontId="12" fillId="0" borderId="0" xfId="36" applyNumberFormat="1" applyFont="1" applyProtection="1"/>
    <xf numFmtId="3" fontId="8" fillId="0" borderId="0" xfId="36" applyNumberFormat="1" applyFont="1" applyProtection="1"/>
    <xf numFmtId="187" fontId="8" fillId="0" borderId="0" xfId="37" applyNumberFormat="1" applyFont="1" applyBorder="1" applyProtection="1"/>
    <xf numFmtId="37" fontId="68" fillId="0" borderId="0" xfId="39" applyNumberFormat="1" applyFont="1" applyProtection="1"/>
    <xf numFmtId="0" fontId="39" fillId="0" borderId="0" xfId="0" applyFont="1"/>
    <xf numFmtId="261" fontId="8" fillId="0" borderId="0" xfId="23" applyNumberFormat="1" applyFont="1" applyFill="1" applyBorder="1"/>
    <xf numFmtId="166" fontId="8" fillId="0" borderId="0" xfId="39" applyNumberFormat="1" applyFont="1" applyAlignment="1" applyProtection="1">
      <alignment horizontal="right"/>
    </xf>
    <xf numFmtId="7" fontId="8" fillId="0" borderId="0" xfId="17" applyNumberFormat="1" applyFont="1"/>
    <xf numFmtId="192" fontId="8" fillId="0" borderId="0" xfId="0" applyNumberFormat="1" applyFont="1"/>
    <xf numFmtId="205" fontId="89" fillId="0" borderId="0" xfId="0" applyNumberFormat="1" applyFont="1"/>
    <xf numFmtId="178" fontId="8" fillId="0" borderId="1" xfId="36" applyFont="1" applyFill="1" applyBorder="1"/>
    <xf numFmtId="178" fontId="8" fillId="0" borderId="0" xfId="36" applyFont="1" applyFill="1" applyBorder="1" applyAlignment="1" applyProtection="1">
      <alignment horizontal="left"/>
    </xf>
    <xf numFmtId="178" fontId="8" fillId="0" borderId="16" xfId="36" applyFont="1" applyFill="1" applyBorder="1" applyAlignment="1" applyProtection="1">
      <alignment horizontal="left"/>
    </xf>
    <xf numFmtId="14" fontId="78" fillId="0" borderId="0" xfId="31" applyNumberFormat="1" applyFont="1" applyFill="1" applyAlignment="1">
      <alignment horizontal="right"/>
    </xf>
    <xf numFmtId="49" fontId="0" fillId="0" borderId="0" xfId="0" applyNumberFormat="1"/>
    <xf numFmtId="0" fontId="8" fillId="2" borderId="0" xfId="0" applyFont="1" applyFill="1"/>
    <xf numFmtId="0" fontId="0" fillId="2" borderId="0" xfId="0" applyFill="1"/>
    <xf numFmtId="9" fontId="9" fillId="0" borderId="0" xfId="39" applyFont="1" applyFill="1" applyBorder="1" applyAlignment="1">
      <alignment horizontal="right"/>
    </xf>
    <xf numFmtId="262" fontId="59" fillId="0" borderId="0" xfId="0" applyNumberFormat="1" applyFont="1"/>
    <xf numFmtId="4" fontId="4" fillId="0" borderId="0" xfId="0" applyNumberFormat="1" applyFont="1" applyFill="1" applyBorder="1"/>
    <xf numFmtId="0" fontId="0" fillId="0" borderId="2" xfId="0" applyBorder="1"/>
    <xf numFmtId="0" fontId="39" fillId="0" borderId="0" xfId="0" applyFont="1" applyAlignment="1">
      <alignment horizontal="left" indent="1"/>
    </xf>
    <xf numFmtId="166" fontId="17" fillId="0" borderId="0" xfId="39" applyNumberFormat="1" applyFont="1"/>
    <xf numFmtId="0" fontId="15" fillId="0" borderId="0" xfId="0" applyFont="1"/>
    <xf numFmtId="0" fontId="10" fillId="0" borderId="11" xfId="0" applyFont="1" applyBorder="1" applyAlignment="1">
      <alignment horizontal="center"/>
    </xf>
    <xf numFmtId="0" fontId="14" fillId="0" borderId="0" xfId="0" applyFont="1" applyBorder="1" applyAlignment="1">
      <alignment horizontal="center"/>
    </xf>
    <xf numFmtId="0" fontId="101" fillId="0" borderId="0" xfId="0" applyFont="1"/>
    <xf numFmtId="257" fontId="95" fillId="0" borderId="0" xfId="0" applyNumberFormat="1" applyFont="1"/>
    <xf numFmtId="167" fontId="95" fillId="0" borderId="0" xfId="0" applyNumberFormat="1" applyFont="1"/>
    <xf numFmtId="0" fontId="101" fillId="0" borderId="0" xfId="0" applyFont="1" applyAlignment="1">
      <alignment horizontal="left" indent="1"/>
    </xf>
    <xf numFmtId="0" fontId="39" fillId="0" borderId="4" xfId="0" applyFont="1" applyBorder="1"/>
    <xf numFmtId="44" fontId="4" fillId="0" borderId="4" xfId="0" applyNumberFormat="1" applyFont="1" applyBorder="1"/>
    <xf numFmtId="0" fontId="102" fillId="0" borderId="0" xfId="0" applyFont="1"/>
    <xf numFmtId="166" fontId="95" fillId="0" borderId="0" xfId="39" applyNumberFormat="1" applyFont="1"/>
    <xf numFmtId="166" fontId="95" fillId="0" borderId="0" xfId="39" applyNumberFormat="1" applyFont="1" applyAlignment="1">
      <alignment horizontal="right"/>
    </xf>
    <xf numFmtId="167" fontId="95" fillId="0" borderId="0" xfId="0" applyNumberFormat="1" applyFont="1" applyAlignment="1">
      <alignment horizontal="right"/>
    </xf>
    <xf numFmtId="257" fontId="4" fillId="0" borderId="0" xfId="0" applyNumberFormat="1" applyFont="1"/>
    <xf numFmtId="166" fontId="4" fillId="0" borderId="0" xfId="39" applyNumberFormat="1" applyFont="1" applyAlignment="1">
      <alignment horizontal="right"/>
    </xf>
    <xf numFmtId="166" fontId="39" fillId="0" borderId="0" xfId="39" applyNumberFormat="1" applyFont="1" applyBorder="1"/>
    <xf numFmtId="0" fontId="42" fillId="0" borderId="0" xfId="0" applyFont="1" applyBorder="1"/>
    <xf numFmtId="164" fontId="52" fillId="0" borderId="0" xfId="0" applyNumberFormat="1" applyFont="1" applyBorder="1"/>
    <xf numFmtId="180" fontId="52" fillId="0" borderId="0" xfId="0" applyNumberFormat="1" applyFont="1" applyFill="1" applyBorder="1"/>
    <xf numFmtId="44" fontId="60" fillId="0" borderId="0" xfId="17" applyFont="1" applyBorder="1"/>
    <xf numFmtId="199" fontId="52" fillId="0" borderId="0" xfId="0" applyNumberFormat="1" applyFont="1" applyBorder="1"/>
    <xf numFmtId="167" fontId="52" fillId="0" borderId="0" xfId="0" applyNumberFormat="1" applyFont="1" applyBorder="1"/>
    <xf numFmtId="167" fontId="53" fillId="0" borderId="0" xfId="0" applyNumberFormat="1" applyFont="1" applyBorder="1"/>
    <xf numFmtId="0" fontId="10" fillId="4" borderId="0" xfId="0" applyFont="1" applyFill="1" applyAlignment="1">
      <alignment horizontal="left"/>
    </xf>
    <xf numFmtId="0" fontId="4" fillId="4" borderId="0" xfId="0" applyFont="1" applyFill="1" applyAlignment="1">
      <alignment horizontal="center"/>
    </xf>
    <xf numFmtId="0" fontId="97" fillId="4" borderId="0" xfId="0" applyFont="1" applyFill="1" applyBorder="1" applyAlignment="1">
      <alignment horizontal="left" indent="1"/>
    </xf>
    <xf numFmtId="0" fontId="4" fillId="4" borderId="0" xfId="0" applyFont="1" applyFill="1"/>
    <xf numFmtId="5" fontId="4" fillId="4" borderId="0" xfId="0" applyNumberFormat="1" applyFont="1" applyFill="1" applyAlignment="1">
      <alignment horizontal="left"/>
    </xf>
    <xf numFmtId="5" fontId="10" fillId="4" borderId="0" xfId="0" applyNumberFormat="1" applyFont="1" applyFill="1" applyAlignment="1" applyProtection="1">
      <alignment horizontal="center"/>
    </xf>
    <xf numFmtId="6" fontId="10" fillId="4" borderId="0" xfId="0" applyNumberFormat="1" applyFont="1" applyFill="1" applyAlignment="1">
      <alignment horizontal="center"/>
    </xf>
    <xf numFmtId="187" fontId="4" fillId="4" borderId="0" xfId="0" applyNumberFormat="1" applyFont="1" applyFill="1" applyAlignment="1" applyProtection="1">
      <alignment horizontal="center"/>
    </xf>
    <xf numFmtId="233" fontId="4" fillId="4" borderId="0" xfId="0" applyNumberFormat="1" applyFont="1" applyFill="1" applyAlignment="1">
      <alignment horizontal="center"/>
    </xf>
    <xf numFmtId="37" fontId="4" fillId="4" borderId="0" xfId="0" applyNumberFormat="1" applyFont="1" applyFill="1" applyAlignment="1" applyProtection="1">
      <alignment horizontal="center"/>
    </xf>
    <xf numFmtId="6" fontId="4" fillId="4" borderId="0" xfId="0" applyNumberFormat="1" applyFont="1" applyFill="1" applyAlignment="1">
      <alignment horizontal="center"/>
    </xf>
    <xf numFmtId="39" fontId="4" fillId="4" borderId="0" xfId="0" applyNumberFormat="1" applyFont="1" applyFill="1" applyAlignment="1" applyProtection="1">
      <alignment horizontal="center"/>
    </xf>
    <xf numFmtId="7" fontId="10" fillId="4" borderId="0" xfId="0" applyNumberFormat="1" applyFont="1" applyFill="1" applyAlignment="1" applyProtection="1">
      <alignment horizontal="center"/>
    </xf>
    <xf numFmtId="8" fontId="10" fillId="4" borderId="0" xfId="0" applyNumberFormat="1" applyFont="1" applyFill="1" applyAlignment="1">
      <alignment horizontal="center"/>
    </xf>
    <xf numFmtId="38" fontId="4" fillId="4" borderId="0" xfId="0" applyNumberFormat="1" applyFont="1" applyFill="1" applyAlignment="1">
      <alignment horizontal="center"/>
    </xf>
    <xf numFmtId="5" fontId="10" fillId="4" borderId="0" xfId="0" applyNumberFormat="1" applyFont="1" applyFill="1" applyAlignment="1">
      <alignment horizontal="left"/>
    </xf>
    <xf numFmtId="167" fontId="4" fillId="4" borderId="0" xfId="0" applyNumberFormat="1" applyFont="1" applyFill="1" applyAlignment="1" applyProtection="1">
      <alignment horizontal="center"/>
    </xf>
    <xf numFmtId="9" fontId="4" fillId="4" borderId="0" xfId="39" applyFont="1" applyFill="1" applyAlignment="1">
      <alignment horizontal="center"/>
    </xf>
    <xf numFmtId="233" fontId="4" fillId="4" borderId="0" xfId="0" quotePrefix="1" applyNumberFormat="1" applyFont="1" applyFill="1" applyAlignment="1">
      <alignment horizontal="center"/>
    </xf>
    <xf numFmtId="0" fontId="14" fillId="4" borderId="0" xfId="0" applyFont="1" applyFill="1"/>
    <xf numFmtId="5" fontId="4" fillId="4" borderId="0" xfId="0" applyNumberFormat="1" applyFont="1" applyFill="1" applyAlignment="1">
      <alignment horizontal="left" indent="1"/>
    </xf>
    <xf numFmtId="8" fontId="4" fillId="4" borderId="0" xfId="0" applyNumberFormat="1" applyFont="1" applyFill="1" applyAlignment="1">
      <alignment horizontal="center"/>
    </xf>
    <xf numFmtId="5" fontId="10" fillId="4" borderId="0" xfId="0" applyNumberFormat="1" applyFont="1" applyFill="1" applyAlignment="1">
      <alignment horizontal="left" indent="1"/>
    </xf>
    <xf numFmtId="0" fontId="10" fillId="4" borderId="0" xfId="0" applyFont="1" applyFill="1"/>
    <xf numFmtId="187" fontId="10" fillId="4" borderId="0" xfId="0" applyNumberFormat="1" applyFont="1" applyFill="1" applyAlignment="1" applyProtection="1">
      <alignment horizontal="center"/>
    </xf>
    <xf numFmtId="177" fontId="4" fillId="4" borderId="0" xfId="0" applyNumberFormat="1" applyFont="1" applyFill="1" applyAlignment="1">
      <alignment horizontal="center"/>
    </xf>
    <xf numFmtId="193" fontId="103" fillId="0" borderId="2" xfId="23" applyNumberFormat="1" applyFont="1" applyFill="1" applyBorder="1" applyAlignment="1">
      <alignment horizontal="center"/>
    </xf>
    <xf numFmtId="37" fontId="12" fillId="0" borderId="0" xfId="36" applyNumberFormat="1" applyFont="1" applyFill="1" applyBorder="1" applyProtection="1"/>
    <xf numFmtId="0" fontId="25" fillId="0" borderId="0" xfId="0" applyFont="1" applyFill="1" applyBorder="1" applyAlignment="1">
      <alignment horizontal="centerContinuous"/>
    </xf>
    <xf numFmtId="5" fontId="10" fillId="0" borderId="0" xfId="0" applyNumberFormat="1" applyFont="1" applyFill="1" applyAlignment="1" applyProtection="1">
      <alignment horizontal="center"/>
    </xf>
    <xf numFmtId="10" fontId="0" fillId="0" borderId="0" xfId="39" applyNumberFormat="1" applyFont="1"/>
    <xf numFmtId="167" fontId="4" fillId="0" borderId="0" xfId="0" applyNumberFormat="1" applyFont="1" applyFill="1" applyBorder="1"/>
    <xf numFmtId="8" fontId="8" fillId="0" borderId="0" xfId="0" applyNumberFormat="1" applyFont="1"/>
    <xf numFmtId="0" fontId="8" fillId="8" borderId="0" xfId="0" applyFont="1" applyFill="1"/>
    <xf numFmtId="0" fontId="104" fillId="0" borderId="0" xfId="0" applyFont="1"/>
    <xf numFmtId="0" fontId="4" fillId="0" borderId="0" xfId="0" applyFont="1" applyAlignment="1">
      <alignment horizontal="left" indent="1"/>
    </xf>
    <xf numFmtId="0" fontId="10" fillId="0" borderId="0" xfId="25" applyFont="1" applyFill="1" applyAlignment="1">
      <alignment horizontal="right"/>
    </xf>
    <xf numFmtId="0" fontId="10" fillId="7" borderId="19" xfId="25" applyFont="1" applyFill="1" applyBorder="1" applyAlignment="1">
      <alignment horizontal="left" indent="1"/>
    </xf>
    <xf numFmtId="0" fontId="39" fillId="0" borderId="0" xfId="25" applyFont="1" applyBorder="1" applyAlignment="1">
      <alignment horizontal="center"/>
    </xf>
    <xf numFmtId="0" fontId="4" fillId="0" borderId="0" xfId="25" applyFont="1" applyBorder="1" applyAlignment="1">
      <alignment horizontal="center"/>
    </xf>
    <xf numFmtId="166" fontId="39" fillId="0" borderId="0" xfId="39" applyNumberFormat="1" applyFont="1" applyBorder="1" applyAlignment="1">
      <alignment horizontal="right"/>
    </xf>
    <xf numFmtId="257" fontId="4" fillId="0" borderId="0" xfId="0" applyNumberFormat="1" applyFont="1" applyFill="1"/>
    <xf numFmtId="166" fontId="39" fillId="0" borderId="0" xfId="39" applyNumberFormat="1" applyFont="1" applyFill="1" applyBorder="1"/>
    <xf numFmtId="0" fontId="10" fillId="9" borderId="0" xfId="0" applyFont="1" applyFill="1"/>
    <xf numFmtId="0" fontId="4" fillId="9" borderId="0" xfId="0" applyFont="1" applyFill="1"/>
    <xf numFmtId="0" fontId="72" fillId="9" borderId="0" xfId="0" applyFont="1" applyFill="1" applyAlignment="1">
      <alignment horizontal="center"/>
    </xf>
    <xf numFmtId="0" fontId="72" fillId="9" borderId="22" xfId="0" applyFont="1" applyFill="1" applyBorder="1" applyAlignment="1">
      <alignment horizontal="centerContinuous"/>
    </xf>
    <xf numFmtId="0" fontId="86" fillId="9" borderId="22" xfId="0" applyFont="1" applyFill="1" applyBorder="1" applyAlignment="1">
      <alignment horizontal="centerContinuous"/>
    </xf>
    <xf numFmtId="39" fontId="4" fillId="0" borderId="0" xfId="0" applyNumberFormat="1" applyFont="1" applyAlignment="1">
      <alignment horizontal="center"/>
    </xf>
    <xf numFmtId="263" fontId="4" fillId="0" borderId="0" xfId="39" applyNumberFormat="1" applyFont="1"/>
    <xf numFmtId="7" fontId="87" fillId="4" borderId="0" xfId="0" applyNumberFormat="1" applyFont="1" applyFill="1" applyAlignment="1" applyProtection="1">
      <alignment horizontal="center"/>
    </xf>
    <xf numFmtId="166" fontId="4" fillId="4" borderId="0" xfId="39" applyNumberFormat="1" applyFont="1" applyFill="1" applyAlignment="1">
      <alignment horizontal="center"/>
    </xf>
    <xf numFmtId="0" fontId="72" fillId="9" borderId="0" xfId="0" applyFont="1" applyFill="1" applyBorder="1" applyAlignment="1">
      <alignment horizontal="centerContinuous"/>
    </xf>
    <xf numFmtId="0" fontId="0" fillId="4" borderId="0" xfId="0" applyFill="1"/>
    <xf numFmtId="0" fontId="11" fillId="4" borderId="0" xfId="0" applyFont="1" applyFill="1"/>
    <xf numFmtId="0" fontId="72" fillId="9" borderId="0" xfId="0" applyFont="1" applyFill="1" applyBorder="1" applyAlignment="1">
      <alignment horizontal="center"/>
    </xf>
    <xf numFmtId="0" fontId="72" fillId="0" borderId="0" xfId="0" applyFont="1" applyFill="1" applyBorder="1" applyAlignment="1">
      <alignment horizontal="centerContinuous"/>
    </xf>
    <xf numFmtId="166" fontId="12" fillId="0" borderId="0" xfId="36" quotePrefix="1" applyNumberFormat="1" applyFont="1" applyProtection="1"/>
    <xf numFmtId="5" fontId="105" fillId="0" borderId="0" xfId="36" applyNumberFormat="1" applyFont="1" applyProtection="1"/>
    <xf numFmtId="5" fontId="105" fillId="0" borderId="0" xfId="36" applyNumberFormat="1" applyFont="1" applyFill="1" applyProtection="1"/>
    <xf numFmtId="0" fontId="105" fillId="0" borderId="0" xfId="0" applyFont="1"/>
    <xf numFmtId="166" fontId="105" fillId="0" borderId="0" xfId="36" applyNumberFormat="1" applyFont="1" applyProtection="1"/>
    <xf numFmtId="187" fontId="105" fillId="0" borderId="0" xfId="37" applyNumberFormat="1" applyFont="1" applyProtection="1"/>
    <xf numFmtId="187" fontId="8" fillId="0" borderId="0" xfId="37" applyNumberFormat="1" applyFont="1" applyAlignment="1" applyProtection="1">
      <alignment horizontal="center"/>
    </xf>
    <xf numFmtId="166" fontId="12" fillId="0" borderId="0" xfId="36" applyNumberFormat="1" applyFont="1" applyProtection="1"/>
    <xf numFmtId="167" fontId="8" fillId="0" borderId="0" xfId="36" applyNumberFormat="1" applyFont="1" applyBorder="1" applyAlignment="1" applyProtection="1">
      <alignment horizontal="center"/>
    </xf>
    <xf numFmtId="0" fontId="11" fillId="0" borderId="2" xfId="0" applyFont="1" applyFill="1" applyBorder="1" applyAlignment="1">
      <alignment horizontal="centerContinuous"/>
    </xf>
    <xf numFmtId="172" fontId="8" fillId="0" borderId="4" xfId="0" applyNumberFormat="1" applyFont="1" applyFill="1" applyBorder="1"/>
    <xf numFmtId="172" fontId="8" fillId="0" borderId="0" xfId="0" applyNumberFormat="1" applyFont="1" applyFill="1" applyBorder="1"/>
    <xf numFmtId="0" fontId="12" fillId="0" borderId="0" xfId="0" applyFont="1"/>
    <xf numFmtId="178" fontId="12" fillId="0" borderId="0" xfId="36" applyNumberFormat="1" applyFont="1" applyBorder="1" applyProtection="1"/>
    <xf numFmtId="44" fontId="4" fillId="0" borderId="0" xfId="0" applyNumberFormat="1" applyFont="1"/>
    <xf numFmtId="10" fontId="10" fillId="4" borderId="0" xfId="39" applyNumberFormat="1" applyFont="1" applyFill="1"/>
    <xf numFmtId="0" fontId="13" fillId="4" borderId="0" xfId="0" applyFont="1" applyFill="1"/>
    <xf numFmtId="1" fontId="4" fillId="4" borderId="0" xfId="0" applyNumberFormat="1" applyFont="1" applyFill="1" applyAlignment="1">
      <alignment horizontal="center"/>
    </xf>
    <xf numFmtId="176" fontId="52" fillId="0" borderId="0" xfId="0" applyNumberFormat="1" applyFont="1"/>
    <xf numFmtId="206" fontId="4" fillId="4" borderId="0" xfId="0" applyNumberFormat="1" applyFont="1" applyFill="1" applyAlignment="1">
      <alignment horizontal="center"/>
    </xf>
    <xf numFmtId="10" fontId="10" fillId="4" borderId="0" xfId="39" applyNumberFormat="1" applyFont="1" applyFill="1" applyAlignment="1">
      <alignment wrapText="1"/>
    </xf>
    <xf numFmtId="166" fontId="27" fillId="0" borderId="0" xfId="39" applyNumberFormat="1" applyFont="1" applyFill="1" applyBorder="1"/>
    <xf numFmtId="43" fontId="8" fillId="0" borderId="0" xfId="13" applyFont="1" applyFill="1" applyBorder="1"/>
    <xf numFmtId="0" fontId="8" fillId="0" borderId="0" xfId="23" applyFont="1" applyFill="1" applyBorder="1" applyAlignment="1">
      <alignment horizontal="left" indent="1"/>
    </xf>
    <xf numFmtId="200" fontId="8" fillId="0" borderId="2" xfId="0" applyNumberFormat="1" applyFont="1" applyBorder="1" applyAlignment="1">
      <alignment horizontal="left"/>
    </xf>
    <xf numFmtId="8" fontId="8" fillId="0" borderId="2" xfId="0" applyNumberFormat="1" applyFont="1" applyBorder="1" applyAlignment="1">
      <alignment horizontal="left"/>
    </xf>
    <xf numFmtId="180" fontId="8" fillId="0" borderId="0" xfId="0" applyNumberFormat="1" applyFont="1"/>
    <xf numFmtId="183" fontId="12" fillId="0" borderId="0" xfId="36" applyNumberFormat="1" applyFont="1" applyProtection="1"/>
    <xf numFmtId="271" fontId="12" fillId="0" borderId="0" xfId="36" applyNumberFormat="1" applyFont="1" applyProtection="1"/>
    <xf numFmtId="194" fontId="4" fillId="0" borderId="0" xfId="0" applyNumberFormat="1" applyFont="1"/>
    <xf numFmtId="0" fontId="100" fillId="0" borderId="0" xfId="0" applyFont="1" applyBorder="1"/>
    <xf numFmtId="0" fontId="100" fillId="0" borderId="2" xfId="0" applyFont="1" applyBorder="1"/>
    <xf numFmtId="167" fontId="8" fillId="0" borderId="0" xfId="36" applyNumberFormat="1" applyFont="1" applyFill="1" applyBorder="1" applyProtection="1"/>
    <xf numFmtId="178" fontId="8" fillId="0" borderId="0" xfId="36" applyFont="1" applyFill="1" applyBorder="1"/>
    <xf numFmtId="178" fontId="8" fillId="0" borderId="16" xfId="36" applyFont="1" applyFill="1" applyBorder="1"/>
    <xf numFmtId="43" fontId="107" fillId="0" borderId="0" xfId="13" applyFont="1"/>
    <xf numFmtId="212" fontId="8" fillId="0" borderId="0" xfId="13" applyNumberFormat="1" applyFont="1" applyFill="1" applyBorder="1"/>
    <xf numFmtId="212" fontId="106" fillId="0" borderId="0" xfId="13" applyNumberFormat="1" applyFont="1" applyFill="1" applyBorder="1"/>
    <xf numFmtId="0" fontId="27" fillId="0" borderId="0" xfId="23" applyFont="1" applyFill="1" applyBorder="1" applyAlignment="1">
      <alignment horizontal="left" indent="1"/>
    </xf>
    <xf numFmtId="208" fontId="8" fillId="0" borderId="0" xfId="13" applyNumberFormat="1" applyFont="1" applyFill="1" applyBorder="1"/>
    <xf numFmtId="178" fontId="8" fillId="0" borderId="0" xfId="36" applyNumberFormat="1" applyFont="1" applyBorder="1" applyProtection="1"/>
    <xf numFmtId="9" fontId="8" fillId="0" borderId="0" xfId="39" applyFont="1" applyBorder="1" applyProtection="1"/>
    <xf numFmtId="37" fontId="4" fillId="0" borderId="0" xfId="0" applyNumberFormat="1" applyFont="1" applyFill="1" applyAlignment="1" applyProtection="1">
      <alignment horizontal="center"/>
    </xf>
    <xf numFmtId="5" fontId="51" fillId="0" borderId="0" xfId="28" applyNumberFormat="1" applyFont="1" applyFill="1" applyAlignment="1">
      <alignment horizontal="right"/>
    </xf>
    <xf numFmtId="37" fontId="51" fillId="0" borderId="0" xfId="28" applyNumberFormat="1" applyFont="1" applyFill="1"/>
    <xf numFmtId="37" fontId="57" fillId="0" borderId="0" xfId="28" applyNumberFormat="1" applyFont="1" applyFill="1"/>
    <xf numFmtId="2" fontId="51" fillId="0" borderId="0" xfId="28" applyNumberFormat="1" applyFont="1" applyFill="1"/>
    <xf numFmtId="0" fontId="8" fillId="0" borderId="11" xfId="0" applyFont="1" applyBorder="1"/>
    <xf numFmtId="166" fontId="52" fillId="0" borderId="0" xfId="39" applyNumberFormat="1" applyFont="1" applyFill="1"/>
    <xf numFmtId="0" fontId="110" fillId="0" borderId="15" xfId="28" applyFont="1" applyFill="1" applyBorder="1" applyAlignment="1">
      <alignment horizontal="right"/>
    </xf>
    <xf numFmtId="0" fontId="8" fillId="0" borderId="0" xfId="34" applyFont="1"/>
    <xf numFmtId="0" fontId="89" fillId="0" borderId="3" xfId="34" applyFont="1" applyBorder="1"/>
    <xf numFmtId="0" fontId="8" fillId="0" borderId="0" xfId="34" applyFont="1" applyAlignment="1">
      <alignment horizontal="right"/>
    </xf>
    <xf numFmtId="0" fontId="8" fillId="0" borderId="0" xfId="34" applyFont="1" applyBorder="1"/>
    <xf numFmtId="0" fontId="45" fillId="0" borderId="0" xfId="34" applyFont="1"/>
    <xf numFmtId="0" fontId="8" fillId="0" borderId="0" xfId="34" applyFont="1" applyAlignment="1">
      <alignment wrapText="1"/>
    </xf>
    <xf numFmtId="0" fontId="8" fillId="4" borderId="0" xfId="34" applyFont="1" applyFill="1"/>
    <xf numFmtId="0" fontId="89" fillId="4" borderId="3" xfId="34" applyFont="1" applyFill="1" applyBorder="1"/>
    <xf numFmtId="0" fontId="4" fillId="4" borderId="0" xfId="33" applyFill="1"/>
    <xf numFmtId="166" fontId="8" fillId="4" borderId="0" xfId="33" applyNumberFormat="1" applyFont="1" applyFill="1" applyBorder="1" applyAlignment="1">
      <alignment horizontal="center"/>
    </xf>
    <xf numFmtId="0" fontId="8" fillId="4" borderId="0" xfId="34" applyFont="1" applyFill="1" applyBorder="1"/>
    <xf numFmtId="0" fontId="8" fillId="4" borderId="0" xfId="33" applyFont="1" applyFill="1" applyBorder="1" applyAlignment="1">
      <alignment horizontal="center"/>
    </xf>
    <xf numFmtId="0" fontId="8" fillId="4" borderId="0" xfId="33" applyFont="1" applyFill="1" applyBorder="1"/>
    <xf numFmtId="0" fontId="45" fillId="4" borderId="0" xfId="34" applyFont="1" applyFill="1"/>
    <xf numFmtId="0" fontId="8" fillId="4" borderId="0" xfId="34" applyFont="1" applyFill="1" applyAlignment="1">
      <alignment wrapText="1"/>
    </xf>
    <xf numFmtId="164" fontId="8" fillId="4" borderId="0" xfId="33" applyNumberFormat="1" applyFont="1" applyFill="1" applyBorder="1" applyAlignment="1">
      <alignment horizontal="center"/>
    </xf>
    <xf numFmtId="164" fontId="65" fillId="4" borderId="0" xfId="33" applyNumberFormat="1" applyFont="1" applyFill="1" applyBorder="1" applyAlignment="1">
      <alignment horizontal="center"/>
    </xf>
    <xf numFmtId="0" fontId="65" fillId="4" borderId="0" xfId="33" applyFont="1" applyFill="1" applyBorder="1" applyAlignment="1">
      <alignment horizontal="center"/>
    </xf>
    <xf numFmtId="0" fontId="88" fillId="4" borderId="0" xfId="33" applyFont="1" applyFill="1"/>
    <xf numFmtId="0" fontId="8" fillId="4" borderId="0" xfId="33" applyFont="1" applyFill="1" applyBorder="1" applyAlignment="1">
      <alignment horizontal="right"/>
    </xf>
    <xf numFmtId="166" fontId="8" fillId="4" borderId="0" xfId="33" applyNumberFormat="1" applyFont="1" applyFill="1" applyBorder="1" applyAlignment="1">
      <alignment horizontal="right"/>
    </xf>
    <xf numFmtId="175" fontId="8" fillId="4" borderId="0" xfId="15" applyNumberFormat="1" applyFont="1" applyFill="1" applyBorder="1" applyAlignment="1">
      <alignment horizontal="right"/>
    </xf>
    <xf numFmtId="0" fontId="8" fillId="0" borderId="0" xfId="34" applyFont="1" applyFill="1"/>
    <xf numFmtId="0" fontId="8" fillId="0" borderId="0" xfId="34" applyFont="1" applyFill="1" applyBorder="1"/>
    <xf numFmtId="0" fontId="45" fillId="0" borderId="0" xfId="34" applyFont="1" applyFill="1"/>
    <xf numFmtId="0" fontId="8" fillId="0" borderId="0" xfId="34" applyFont="1" applyFill="1" applyAlignment="1">
      <alignment wrapText="1"/>
    </xf>
    <xf numFmtId="0" fontId="4" fillId="4" borderId="0" xfId="33" applyFill="1" applyBorder="1" applyAlignment="1">
      <alignment horizontal="right"/>
    </xf>
    <xf numFmtId="0" fontId="4" fillId="4" borderId="0" xfId="33" applyFill="1" applyBorder="1" applyAlignment="1">
      <alignment horizontal="center"/>
    </xf>
    <xf numFmtId="0" fontId="4" fillId="4" borderId="0" xfId="33" applyFill="1" applyBorder="1"/>
    <xf numFmtId="0" fontId="89" fillId="4" borderId="0" xfId="33" applyFont="1" applyFill="1"/>
    <xf numFmtId="0" fontId="8" fillId="4" borderId="0" xfId="33" applyFont="1" applyFill="1"/>
    <xf numFmtId="0" fontId="8" fillId="0" borderId="0" xfId="34" applyFont="1" applyFill="1" applyAlignment="1">
      <alignment horizontal="right"/>
    </xf>
    <xf numFmtId="0" fontId="8" fillId="0" borderId="0" xfId="34" applyFont="1" applyFill="1" applyBorder="1" applyAlignment="1">
      <alignment horizontal="right"/>
    </xf>
    <xf numFmtId="0" fontId="89" fillId="0" borderId="3" xfId="34" applyFont="1" applyFill="1" applyBorder="1"/>
    <xf numFmtId="0" fontId="100" fillId="0" borderId="0" xfId="34" applyFont="1" applyFill="1" applyBorder="1"/>
    <xf numFmtId="273" fontId="8" fillId="0" borderId="4" xfId="34" applyNumberFormat="1" applyFont="1" applyFill="1" applyBorder="1"/>
    <xf numFmtId="273" fontId="8" fillId="0" borderId="4" xfId="34" applyNumberFormat="1" applyFont="1" applyFill="1" applyBorder="1" applyAlignment="1">
      <alignment horizontal="right"/>
    </xf>
    <xf numFmtId="273" fontId="11" fillId="4" borderId="4" xfId="34" applyNumberFormat="1" applyFont="1" applyFill="1" applyBorder="1" applyAlignment="1">
      <alignment horizontal="right"/>
    </xf>
    <xf numFmtId="0" fontId="20" fillId="0" borderId="0" xfId="34" applyFont="1" applyFill="1" applyBorder="1"/>
    <xf numFmtId="0" fontId="8" fillId="0" borderId="0" xfId="34" applyFont="1" applyFill="1" applyAlignment="1">
      <alignment horizontal="center"/>
    </xf>
    <xf numFmtId="0" fontId="89" fillId="0" borderId="3" xfId="34" applyFont="1" applyFill="1" applyBorder="1" applyAlignment="1">
      <alignment horizontal="center"/>
    </xf>
    <xf numFmtId="0" fontId="8" fillId="0" borderId="0" xfId="34" applyFont="1" applyFill="1" applyBorder="1" applyAlignment="1">
      <alignment horizontal="center"/>
    </xf>
    <xf numFmtId="0" fontId="45" fillId="0" borderId="0" xfId="34" applyFont="1" applyFill="1" applyAlignment="1">
      <alignment horizontal="center"/>
    </xf>
    <xf numFmtId="0" fontId="8" fillId="0" borderId="0" xfId="34" applyFont="1" applyFill="1" applyAlignment="1">
      <alignment horizontal="center" wrapText="1"/>
    </xf>
    <xf numFmtId="182" fontId="8" fillId="0" borderId="0" xfId="32" applyNumberFormat="1" applyFont="1" applyFill="1" applyBorder="1" applyAlignment="1" applyProtection="1">
      <alignment horizontal="left"/>
    </xf>
    <xf numFmtId="0" fontId="23" fillId="0" borderId="0" xfId="34" applyFont="1" applyFill="1" applyBorder="1"/>
    <xf numFmtId="182" fontId="11" fillId="0" borderId="0" xfId="32" applyNumberFormat="1" applyFont="1" applyFill="1" applyBorder="1" applyAlignment="1" applyProtection="1">
      <alignment horizontal="left"/>
    </xf>
    <xf numFmtId="175" fontId="23" fillId="0" borderId="0" xfId="16" applyNumberFormat="1" applyFont="1" applyFill="1" applyBorder="1"/>
    <xf numFmtId="182" fontId="65" fillId="0" borderId="0" xfId="32" applyNumberFormat="1" applyFont="1" applyFill="1" applyBorder="1" applyAlignment="1" applyProtection="1">
      <alignment horizontal="left"/>
    </xf>
    <xf numFmtId="165" fontId="8" fillId="0" borderId="0" xfId="34" applyNumberFormat="1" applyFont="1" applyFill="1" applyBorder="1" applyAlignment="1">
      <alignment horizontal="right"/>
    </xf>
    <xf numFmtId="242" fontId="45" fillId="0" borderId="0" xfId="34" applyNumberFormat="1" applyFont="1" applyFill="1" applyBorder="1"/>
    <xf numFmtId="0" fontId="8" fillId="0" borderId="0" xfId="34" applyFont="1" applyFill="1" applyBorder="1" applyAlignment="1">
      <alignment wrapText="1"/>
    </xf>
    <xf numFmtId="241" fontId="8" fillId="0" borderId="0" xfId="34" applyNumberFormat="1" applyFont="1" applyFill="1" applyBorder="1" applyAlignment="1">
      <alignment horizontal="right"/>
    </xf>
    <xf numFmtId="242" fontId="45" fillId="0" borderId="0" xfId="34" applyNumberFormat="1" applyFont="1" applyFill="1"/>
    <xf numFmtId="241" fontId="8" fillId="0" borderId="0" xfId="34" applyNumberFormat="1" applyFont="1" applyFill="1" applyAlignment="1">
      <alignment horizontal="right"/>
    </xf>
    <xf numFmtId="0" fontId="8" fillId="0" borderId="0" xfId="32" applyNumberFormat="1" applyFont="1" applyFill="1" applyBorder="1" applyAlignment="1" applyProtection="1">
      <alignment horizontal="left"/>
    </xf>
    <xf numFmtId="242" fontId="8" fillId="0" borderId="0" xfId="34" applyNumberFormat="1" applyFont="1" applyFill="1"/>
    <xf numFmtId="242" fontId="8" fillId="0" borderId="0" xfId="34" applyNumberFormat="1" applyFont="1" applyFill="1" applyBorder="1"/>
    <xf numFmtId="249" fontId="8" fillId="0" borderId="0" xfId="24" applyNumberFormat="1" applyFont="1" applyFill="1" applyBorder="1" applyAlignment="1">
      <alignment horizontal="right"/>
    </xf>
    <xf numFmtId="247" fontId="20" fillId="0" borderId="8" xfId="24" applyNumberFormat="1" applyFont="1" applyFill="1" applyBorder="1" applyAlignment="1">
      <alignment horizontal="right"/>
    </xf>
    <xf numFmtId="0" fontId="11" fillId="0" borderId="0" xfId="34" applyFont="1" applyFill="1" applyBorder="1"/>
    <xf numFmtId="0" fontId="8" fillId="0" borderId="0" xfId="33" applyNumberFormat="1" applyFont="1" applyFill="1"/>
    <xf numFmtId="9" fontId="20" fillId="4" borderId="8" xfId="43" applyFont="1" applyFill="1" applyBorder="1" applyAlignment="1">
      <alignment horizontal="right"/>
    </xf>
    <xf numFmtId="242" fontId="8" fillId="0" borderId="0" xfId="34" applyNumberFormat="1" applyFont="1" applyFill="1" applyBorder="1" applyAlignment="1">
      <alignment horizontal="right"/>
    </xf>
    <xf numFmtId="245" fontId="20" fillId="0" borderId="0" xfId="31" applyNumberFormat="1" applyFont="1" applyBorder="1" applyAlignment="1">
      <alignment horizontal="right"/>
    </xf>
    <xf numFmtId="246" fontId="11" fillId="0" borderId="0" xfId="24" applyNumberFormat="1" applyFont="1" applyBorder="1" applyAlignment="1">
      <alignment horizontal="right"/>
    </xf>
    <xf numFmtId="0" fontId="11" fillId="0" borderId="0" xfId="34" applyFont="1" applyBorder="1"/>
    <xf numFmtId="242" fontId="8" fillId="0" borderId="0" xfId="34" applyNumberFormat="1" applyFont="1" applyAlignment="1">
      <alignment horizontal="right"/>
    </xf>
    <xf numFmtId="241" fontId="8" fillId="0" borderId="0" xfId="34" applyNumberFormat="1" applyFont="1" applyAlignment="1">
      <alignment horizontal="right"/>
    </xf>
    <xf numFmtId="242" fontId="8" fillId="0" borderId="0" xfId="34" applyNumberFormat="1" applyFont="1" applyBorder="1" applyAlignment="1">
      <alignment horizontal="right"/>
    </xf>
    <xf numFmtId="177" fontId="8" fillId="0" borderId="0" xfId="34" applyNumberFormat="1" applyFont="1" applyBorder="1"/>
    <xf numFmtId="177" fontId="89" fillId="0" borderId="3" xfId="34" applyNumberFormat="1" applyFont="1" applyBorder="1"/>
    <xf numFmtId="242" fontId="8" fillId="0" borderId="0" xfId="16" applyNumberFormat="1" applyFont="1" applyBorder="1" applyAlignment="1">
      <alignment horizontal="right"/>
    </xf>
    <xf numFmtId="242" fontId="8" fillId="0" borderId="0" xfId="16" applyNumberFormat="1" applyFont="1" applyFill="1" applyBorder="1" applyAlignment="1">
      <alignment horizontal="right"/>
    </xf>
    <xf numFmtId="0" fontId="45" fillId="0" borderId="0" xfId="34" applyFont="1" applyBorder="1"/>
    <xf numFmtId="177" fontId="8" fillId="0" borderId="0" xfId="34" applyNumberFormat="1" applyFont="1" applyBorder="1" applyAlignment="1">
      <alignment wrapText="1"/>
    </xf>
    <xf numFmtId="177" fontId="8" fillId="0" borderId="0" xfId="34" applyNumberFormat="1" applyFont="1"/>
    <xf numFmtId="177" fontId="45" fillId="0" borderId="0" xfId="34" applyNumberFormat="1" applyFont="1"/>
    <xf numFmtId="177" fontId="8" fillId="0" borderId="0" xfId="34" applyNumberFormat="1" applyFont="1" applyAlignment="1">
      <alignment wrapText="1"/>
    </xf>
    <xf numFmtId="241" fontId="8" fillId="0" borderId="0" xfId="16" applyNumberFormat="1" applyFont="1" applyFill="1" applyBorder="1" applyAlignment="1">
      <alignment horizontal="right"/>
    </xf>
    <xf numFmtId="177" fontId="8" fillId="0" borderId="0" xfId="34" applyNumberFormat="1" applyFont="1" applyFill="1"/>
    <xf numFmtId="177" fontId="89" fillId="0" borderId="3" xfId="34" applyNumberFormat="1" applyFont="1" applyFill="1" applyBorder="1"/>
    <xf numFmtId="177" fontId="8" fillId="0" borderId="0" xfId="34" applyNumberFormat="1" applyFont="1" applyFill="1" applyAlignment="1">
      <alignment wrapText="1"/>
    </xf>
    <xf numFmtId="165" fontId="45" fillId="0" borderId="0" xfId="34" applyNumberFormat="1" applyFont="1" applyFill="1"/>
    <xf numFmtId="246" fontId="8" fillId="0" borderId="0" xfId="24" applyNumberFormat="1" applyFont="1" applyBorder="1" applyAlignment="1">
      <alignment horizontal="right"/>
    </xf>
    <xf numFmtId="0" fontId="45" fillId="0" borderId="0" xfId="34" applyFont="1" applyBorder="1" applyAlignment="1">
      <alignment vertical="center" textRotation="90" readingOrder="2"/>
    </xf>
    <xf numFmtId="242" fontId="22" fillId="0" borderId="0" xfId="16" applyNumberFormat="1" applyFont="1" applyFill="1" applyBorder="1" applyAlignment="1">
      <alignment horizontal="left" indent="1"/>
    </xf>
    <xf numFmtId="175" fontId="8" fillId="0" borderId="0" xfId="16" applyNumberFormat="1" applyFont="1" applyFill="1" applyBorder="1"/>
    <xf numFmtId="0" fontId="45" fillId="0" borderId="0" xfId="34" applyFont="1" applyFill="1" applyAlignment="1">
      <alignment vertical="justify" textRotation="90" readingOrder="2"/>
    </xf>
    <xf numFmtId="175" fontId="65" fillId="0" borderId="0" xfId="16" applyNumberFormat="1" applyFont="1" applyFill="1" applyBorder="1"/>
    <xf numFmtId="0" fontId="45" fillId="0" borderId="0" xfId="34" applyFont="1" applyFill="1" applyBorder="1" applyAlignment="1">
      <alignment vertical="justify" textRotation="90" readingOrder="2"/>
    </xf>
    <xf numFmtId="3" fontId="8" fillId="0" borderId="0" xfId="34" applyNumberFormat="1" applyFont="1"/>
    <xf numFmtId="242" fontId="8" fillId="0" borderId="0" xfId="16" applyNumberFormat="1" applyFont="1" applyFill="1" applyAlignment="1">
      <alignment horizontal="right"/>
    </xf>
    <xf numFmtId="182" fontId="8" fillId="0" borderId="0" xfId="32" applyNumberFormat="1" applyFont="1" applyBorder="1" applyAlignment="1" applyProtection="1">
      <alignment horizontal="left"/>
    </xf>
    <xf numFmtId="242" fontId="12" fillId="0" borderId="18" xfId="16" applyNumberFormat="1" applyFont="1" applyFill="1" applyBorder="1" applyAlignment="1">
      <alignment horizontal="right"/>
    </xf>
    <xf numFmtId="242" fontId="12" fillId="0" borderId="2" xfId="16" applyNumberFormat="1" applyFont="1" applyFill="1" applyBorder="1" applyAlignment="1">
      <alignment horizontal="right"/>
    </xf>
    <xf numFmtId="242" fontId="12" fillId="0" borderId="17" xfId="16" applyNumberFormat="1" applyFont="1" applyFill="1" applyBorder="1" applyAlignment="1">
      <alignment horizontal="right"/>
    </xf>
    <xf numFmtId="242" fontId="12" fillId="0" borderId="16" xfId="16" applyNumberFormat="1" applyFont="1" applyFill="1" applyBorder="1" applyAlignment="1">
      <alignment horizontal="right"/>
    </xf>
    <xf numFmtId="242" fontId="12" fillId="0" borderId="0" xfId="16" applyNumberFormat="1" applyFont="1" applyFill="1" applyBorder="1" applyAlignment="1">
      <alignment horizontal="right"/>
    </xf>
    <xf numFmtId="242" fontId="12" fillId="0" borderId="1" xfId="16" applyNumberFormat="1" applyFont="1" applyFill="1" applyBorder="1" applyAlignment="1">
      <alignment horizontal="right"/>
    </xf>
    <xf numFmtId="242" fontId="12" fillId="0" borderId="15" xfId="16" applyNumberFormat="1" applyFont="1" applyFill="1" applyBorder="1" applyAlignment="1">
      <alignment horizontal="right"/>
    </xf>
    <xf numFmtId="242" fontId="12" fillId="0" borderId="11" xfId="16" applyNumberFormat="1" applyFont="1" applyFill="1" applyBorder="1" applyAlignment="1">
      <alignment horizontal="right"/>
    </xf>
    <xf numFmtId="242" fontId="12" fillId="0" borderId="5" xfId="16" applyNumberFormat="1" applyFont="1" applyFill="1" applyBorder="1" applyAlignment="1">
      <alignment horizontal="right"/>
    </xf>
    <xf numFmtId="242" fontId="12" fillId="0" borderId="0" xfId="16" applyNumberFormat="1" applyFont="1" applyBorder="1" applyAlignment="1">
      <alignment horizontal="right"/>
    </xf>
    <xf numFmtId="0" fontId="8" fillId="0" borderId="0" xfId="34" applyFont="1" applyBorder="1" applyAlignment="1">
      <alignment horizontal="left"/>
    </xf>
    <xf numFmtId="242" fontId="12" fillId="0" borderId="0" xfId="31" applyNumberFormat="1" applyFont="1" applyBorder="1" applyAlignment="1">
      <alignment horizontal="right"/>
    </xf>
    <xf numFmtId="9" fontId="12" fillId="0" borderId="0" xfId="43" applyFont="1" applyFill="1" applyBorder="1" applyAlignment="1">
      <alignment horizontal="right"/>
    </xf>
    <xf numFmtId="3" fontId="12" fillId="0" borderId="0" xfId="43" applyNumberFormat="1" applyFont="1" applyFill="1" applyBorder="1" applyAlignment="1">
      <alignment horizontal="right"/>
    </xf>
    <xf numFmtId="9" fontId="8" fillId="0" borderId="0" xfId="43" applyFont="1" applyFill="1" applyBorder="1" applyAlignment="1">
      <alignment horizontal="right"/>
    </xf>
    <xf numFmtId="166" fontId="8" fillId="0" borderId="0" xfId="43" applyNumberFormat="1" applyFont="1" applyAlignment="1">
      <alignment horizontal="right"/>
    </xf>
    <xf numFmtId="9" fontId="8" fillId="0" borderId="0" xfId="43" applyFont="1" applyAlignment="1">
      <alignment horizontal="right"/>
    </xf>
    <xf numFmtId="175" fontId="12" fillId="0" borderId="0" xfId="15" applyNumberFormat="1" applyFont="1" applyFill="1" applyBorder="1"/>
    <xf numFmtId="187" fontId="8" fillId="0" borderId="0" xfId="43" applyNumberFormat="1" applyFont="1" applyBorder="1" applyAlignment="1">
      <alignment horizontal="right"/>
    </xf>
    <xf numFmtId="9" fontId="8" fillId="0" borderId="0" xfId="43" applyNumberFormat="1" applyFont="1" applyAlignment="1">
      <alignment horizontal="right"/>
    </xf>
    <xf numFmtId="0" fontId="27" fillId="0" borderId="0" xfId="34" applyFont="1" applyBorder="1" applyAlignment="1">
      <alignment horizontal="left" indent="2"/>
    </xf>
    <xf numFmtId="242" fontId="11" fillId="0" borderId="0" xfId="16" applyNumberFormat="1" applyFont="1" applyBorder="1" applyAlignment="1">
      <alignment horizontal="right"/>
    </xf>
    <xf numFmtId="242" fontId="81" fillId="0" borderId="0" xfId="31" applyNumberFormat="1" applyFont="1" applyFill="1" applyBorder="1" applyAlignment="1">
      <alignment horizontal="right"/>
    </xf>
    <xf numFmtId="166" fontId="12" fillId="0" borderId="0" xfId="43" applyNumberFormat="1" applyFont="1" applyFill="1" applyBorder="1" applyAlignment="1">
      <alignment horizontal="right"/>
    </xf>
    <xf numFmtId="166" fontId="8" fillId="0" borderId="0" xfId="43" applyNumberFormat="1" applyFont="1" applyFill="1" applyBorder="1" applyAlignment="1">
      <alignment horizontal="right"/>
    </xf>
    <xf numFmtId="0" fontId="8" fillId="0" borderId="0" xfId="34" applyFont="1" applyBorder="1" applyAlignment="1">
      <alignment horizontal="left" indent="1"/>
    </xf>
    <xf numFmtId="242" fontId="8" fillId="0" borderId="0" xfId="31" applyNumberFormat="1" applyFont="1" applyFill="1" applyBorder="1" applyAlignment="1">
      <alignment horizontal="right"/>
    </xf>
    <xf numFmtId="245" fontId="12" fillId="0" borderId="0" xfId="31" applyNumberFormat="1" applyFont="1" applyFill="1" applyBorder="1" applyAlignment="1">
      <alignment horizontal="right"/>
    </xf>
    <xf numFmtId="164" fontId="12" fillId="0" borderId="0" xfId="31" applyNumberFormat="1" applyFont="1" applyFill="1" applyBorder="1" applyAlignment="1">
      <alignment horizontal="right"/>
    </xf>
    <xf numFmtId="164" fontId="8" fillId="0" borderId="0" xfId="24" applyNumberFormat="1" applyFont="1" applyFill="1" applyBorder="1" applyAlignment="1">
      <alignment horizontal="right"/>
    </xf>
    <xf numFmtId="9" fontId="82" fillId="0" borderId="0" xfId="43" applyFont="1" applyFill="1" applyBorder="1" applyAlignment="1">
      <alignment horizontal="right"/>
    </xf>
    <xf numFmtId="0" fontId="11" fillId="0" borderId="0" xfId="34" applyFont="1"/>
    <xf numFmtId="0" fontId="96" fillId="0" borderId="3" xfId="34" applyFont="1" applyBorder="1"/>
    <xf numFmtId="166" fontId="11" fillId="0" borderId="0" xfId="43" applyNumberFormat="1" applyFont="1" applyFill="1" applyBorder="1" applyAlignment="1">
      <alignment horizontal="right"/>
    </xf>
    <xf numFmtId="0" fontId="34" fillId="0" borderId="0" xfId="34" applyFont="1" applyBorder="1"/>
    <xf numFmtId="0" fontId="11" fillId="0" borderId="0" xfId="34" applyFont="1" applyAlignment="1">
      <alignment wrapText="1"/>
    </xf>
    <xf numFmtId="9" fontId="12" fillId="4" borderId="0" xfId="43" applyNumberFormat="1" applyFont="1" applyFill="1" applyBorder="1" applyAlignment="1">
      <alignment horizontal="right"/>
    </xf>
    <xf numFmtId="166" fontId="8" fillId="4" borderId="0" xfId="43" applyNumberFormat="1" applyFont="1" applyFill="1" applyBorder="1" applyAlignment="1">
      <alignment horizontal="right"/>
    </xf>
    <xf numFmtId="0" fontId="8" fillId="0" borderId="0" xfId="33" applyNumberFormat="1" applyFont="1"/>
    <xf numFmtId="166" fontId="20" fillId="5" borderId="8" xfId="43" applyNumberFormat="1" applyFont="1" applyFill="1" applyBorder="1" applyAlignment="1">
      <alignment horizontal="right"/>
    </xf>
    <xf numFmtId="166" fontId="8" fillId="0" borderId="0" xfId="43" applyNumberFormat="1" applyFont="1" applyBorder="1" applyAlignment="1">
      <alignment horizontal="right"/>
    </xf>
    <xf numFmtId="242" fontId="8" fillId="0" borderId="0" xfId="31" applyNumberFormat="1" applyFont="1" applyBorder="1" applyAlignment="1">
      <alignment horizontal="right"/>
    </xf>
    <xf numFmtId="245" fontId="12" fillId="0" borderId="0" xfId="31" applyNumberFormat="1" applyFont="1" applyBorder="1" applyAlignment="1">
      <alignment horizontal="right"/>
    </xf>
    <xf numFmtId="244" fontId="8" fillId="0" borderId="0" xfId="24" applyNumberFormat="1" applyFont="1" applyBorder="1" applyAlignment="1">
      <alignment horizontal="right"/>
    </xf>
    <xf numFmtId="166" fontId="8" fillId="0" borderId="0" xfId="24" quotePrefix="1" applyNumberFormat="1" applyFont="1" applyBorder="1" applyAlignment="1">
      <alignment horizontal="right"/>
    </xf>
    <xf numFmtId="242" fontId="8" fillId="0" borderId="0" xfId="16" applyNumberFormat="1" applyFont="1" applyAlignment="1">
      <alignment horizontal="right"/>
    </xf>
    <xf numFmtId="242" fontId="12" fillId="0" borderId="0" xfId="16" applyNumberFormat="1" applyFont="1" applyFill="1" applyAlignment="1">
      <alignment horizontal="right"/>
    </xf>
    <xf numFmtId="165" fontId="8" fillId="0" borderId="0" xfId="34" applyNumberFormat="1" applyFont="1" applyFill="1" applyAlignment="1">
      <alignment horizontal="right"/>
    </xf>
    <xf numFmtId="166" fontId="12" fillId="0" borderId="0" xfId="43" applyNumberFormat="1" applyFont="1" applyFill="1" applyBorder="1"/>
    <xf numFmtId="166" fontId="8" fillId="4" borderId="0" xfId="34" applyNumberFormat="1" applyFont="1" applyFill="1" applyAlignment="1"/>
    <xf numFmtId="0" fontId="88" fillId="4" borderId="3" xfId="33" applyFont="1" applyFill="1" applyBorder="1"/>
    <xf numFmtId="166" fontId="12" fillId="4" borderId="0" xfId="43" applyNumberFormat="1" applyFont="1" applyFill="1" applyBorder="1"/>
    <xf numFmtId="166" fontId="12" fillId="4" borderId="0" xfId="34" applyNumberFormat="1" applyFont="1" applyFill="1" applyAlignment="1">
      <alignment wrapText="1"/>
    </xf>
    <xf numFmtId="166" fontId="45" fillId="4" borderId="0" xfId="34" applyNumberFormat="1" applyFont="1" applyFill="1" applyAlignment="1">
      <alignment wrapText="1"/>
    </xf>
    <xf numFmtId="166" fontId="8" fillId="4" borderId="0" xfId="34" applyNumberFormat="1" applyFont="1" applyFill="1" applyAlignment="1">
      <alignment wrapText="1"/>
    </xf>
    <xf numFmtId="166" fontId="8" fillId="2" borderId="0" xfId="34" applyNumberFormat="1" applyFont="1" applyFill="1" applyAlignment="1">
      <alignment wrapText="1"/>
    </xf>
    <xf numFmtId="166" fontId="8" fillId="2" borderId="0" xfId="34" applyNumberFormat="1" applyFont="1" applyFill="1" applyAlignment="1"/>
    <xf numFmtId="0" fontId="27" fillId="0" borderId="0" xfId="34" applyFont="1"/>
    <xf numFmtId="0" fontId="99" fillId="0" borderId="3" xfId="34" applyFont="1" applyBorder="1"/>
    <xf numFmtId="0" fontId="27" fillId="0" borderId="0" xfId="34" applyFont="1" applyBorder="1"/>
    <xf numFmtId="0" fontId="30" fillId="0" borderId="0" xfId="34" applyFont="1"/>
    <xf numFmtId="0" fontId="27" fillId="0" borderId="0" xfId="34" applyFont="1" applyAlignment="1">
      <alignment wrapText="1"/>
    </xf>
    <xf numFmtId="0" fontId="31" fillId="0" borderId="0" xfId="34" applyFont="1" applyBorder="1"/>
    <xf numFmtId="0" fontId="8" fillId="0" borderId="0" xfId="34" applyFont="1" applyBorder="1" applyAlignment="1">
      <alignment wrapText="1"/>
    </xf>
    <xf numFmtId="166" fontId="8" fillId="0" borderId="0" xfId="34" applyNumberFormat="1" applyFont="1" applyAlignment="1">
      <alignment horizontal="right"/>
    </xf>
    <xf numFmtId="242" fontId="8" fillId="0" borderId="0" xfId="34" applyNumberFormat="1" applyFont="1" applyFill="1" applyAlignment="1">
      <alignment horizontal="right"/>
    </xf>
    <xf numFmtId="0" fontId="11" fillId="0" borderId="0" xfId="34" applyFont="1" applyBorder="1" applyAlignment="1">
      <alignment horizontal="left" indent="1"/>
    </xf>
    <xf numFmtId="242" fontId="11" fillId="0" borderId="0" xfId="16" applyNumberFormat="1" applyFont="1" applyFill="1" applyAlignment="1">
      <alignment horizontal="right"/>
    </xf>
    <xf numFmtId="0" fontId="8" fillId="0" borderId="0" xfId="32" applyFont="1" applyFill="1" applyBorder="1"/>
    <xf numFmtId="242" fontId="11" fillId="0" borderId="0" xfId="34" applyNumberFormat="1" applyFont="1" applyFill="1" applyAlignment="1">
      <alignment horizontal="right"/>
    </xf>
    <xf numFmtId="0" fontId="11" fillId="0" borderId="0" xfId="32" applyFont="1" applyBorder="1"/>
    <xf numFmtId="9" fontId="8" fillId="4" borderId="0" xfId="43" applyFont="1" applyFill="1"/>
    <xf numFmtId="9" fontId="8" fillId="4" borderId="0" xfId="43" applyFont="1" applyFill="1" applyAlignment="1">
      <alignment horizontal="right"/>
    </xf>
    <xf numFmtId="0" fontId="11" fillId="4" borderId="0" xfId="34" applyFont="1" applyFill="1" applyBorder="1"/>
    <xf numFmtId="242" fontId="81" fillId="0" borderId="0" xfId="34" applyNumberFormat="1" applyFont="1" applyAlignment="1">
      <alignment horizontal="right"/>
    </xf>
    <xf numFmtId="0" fontId="8" fillId="0" borderId="0" xfId="32" applyFont="1" applyFill="1" applyBorder="1" applyAlignment="1">
      <alignment horizontal="left" indent="1"/>
    </xf>
    <xf numFmtId="0" fontId="11" fillId="0" borderId="0" xfId="32" applyFont="1" applyFill="1" applyBorder="1" applyAlignment="1">
      <alignment horizontal="left" indent="1"/>
    </xf>
    <xf numFmtId="0" fontId="34" fillId="0" borderId="0" xfId="34" applyFont="1"/>
    <xf numFmtId="242" fontId="8" fillId="0" borderId="2" xfId="34" applyNumberFormat="1" applyFont="1" applyFill="1" applyBorder="1" applyAlignment="1">
      <alignment horizontal="right"/>
    </xf>
    <xf numFmtId="0" fontId="8" fillId="0" borderId="0" xfId="32" applyFont="1" applyFill="1" applyBorder="1" applyAlignment="1">
      <alignment horizontal="left" indent="2"/>
    </xf>
    <xf numFmtId="0" fontId="8" fillId="0" borderId="0" xfId="34" applyFont="1" applyFill="1" applyBorder="1" applyAlignment="1">
      <alignment horizontal="left" indent="1"/>
    </xf>
    <xf numFmtId="0" fontId="8" fillId="0" borderId="0" xfId="32" applyFont="1" applyFill="1" applyBorder="1" applyAlignment="1">
      <alignment horizontal="left"/>
    </xf>
    <xf numFmtId="37" fontId="11" fillId="0" borderId="0" xfId="33" applyNumberFormat="1" applyFont="1" applyFill="1" applyBorder="1"/>
    <xf numFmtId="37" fontId="31" fillId="0" borderId="0" xfId="33" applyNumberFormat="1" applyFont="1" applyFill="1" applyBorder="1"/>
    <xf numFmtId="242" fontId="45" fillId="0" borderId="0" xfId="34" applyNumberFormat="1" applyFont="1"/>
    <xf numFmtId="245" fontId="20" fillId="0" borderId="0" xfId="31" applyNumberFormat="1" applyFont="1" applyFill="1" applyBorder="1" applyAlignment="1">
      <alignment horizontal="right"/>
    </xf>
    <xf numFmtId="246" fontId="11" fillId="0" borderId="0" xfId="24" applyNumberFormat="1" applyFont="1" applyFill="1" applyBorder="1" applyAlignment="1">
      <alignment horizontal="right"/>
    </xf>
    <xf numFmtId="177" fontId="8" fillId="0" borderId="0" xfId="34" applyNumberFormat="1" applyFont="1" applyFill="1" applyAlignment="1">
      <alignment horizontal="right"/>
    </xf>
    <xf numFmtId="177" fontId="8" fillId="0" borderId="0" xfId="34" applyNumberFormat="1" applyFont="1" applyFill="1" applyBorder="1" applyAlignment="1">
      <alignment horizontal="right"/>
    </xf>
    <xf numFmtId="0" fontId="11" fillId="0" borderId="0" xfId="32" applyFont="1" applyFill="1" applyBorder="1"/>
    <xf numFmtId="242" fontId="8" fillId="0" borderId="2" xfId="16" applyNumberFormat="1" applyFont="1" applyFill="1" applyBorder="1" applyAlignment="1">
      <alignment horizontal="right"/>
    </xf>
    <xf numFmtId="177" fontId="8" fillId="0" borderId="0" xfId="34" applyNumberFormat="1" applyFont="1" applyAlignment="1">
      <alignment horizontal="right"/>
    </xf>
    <xf numFmtId="182" fontId="8" fillId="0" borderId="0" xfId="32" applyNumberFormat="1" applyFont="1" applyFill="1" applyBorder="1"/>
    <xf numFmtId="182" fontId="11" fillId="0" borderId="0" xfId="32" applyNumberFormat="1" applyFont="1" applyFill="1" applyBorder="1"/>
    <xf numFmtId="273" fontId="11" fillId="0" borderId="4" xfId="31" applyNumberFormat="1" applyFont="1" applyBorder="1" applyAlignment="1">
      <alignment horizontal="right"/>
    </xf>
    <xf numFmtId="1" fontId="8" fillId="0" borderId="0" xfId="31" applyNumberFormat="1" applyFont="1" applyBorder="1" applyAlignment="1">
      <alignment horizontal="right"/>
    </xf>
    <xf numFmtId="0" fontId="34" fillId="0" borderId="0" xfId="31" applyFont="1" applyBorder="1"/>
    <xf numFmtId="0" fontId="45" fillId="0" borderId="0" xfId="34" applyFont="1" applyAlignment="1">
      <alignment wrapText="1"/>
    </xf>
    <xf numFmtId="0" fontId="45" fillId="4" borderId="0" xfId="34" applyFont="1" applyFill="1" applyAlignment="1">
      <alignment horizontal="right"/>
    </xf>
    <xf numFmtId="0" fontId="8" fillId="0" borderId="0" xfId="34" applyNumberFormat="1" applyFont="1" applyBorder="1"/>
    <xf numFmtId="0" fontId="20" fillId="0" borderId="0" xfId="31" applyFont="1" applyBorder="1"/>
    <xf numFmtId="0" fontId="45" fillId="0" borderId="0" xfId="34" applyFont="1" applyAlignment="1">
      <alignment horizontal="right"/>
    </xf>
    <xf numFmtId="1" fontId="80" fillId="0" borderId="0" xfId="48" applyNumberFormat="1" applyFont="1" applyFill="1" applyBorder="1" applyAlignment="1">
      <alignment horizontal="center" wrapText="1"/>
    </xf>
    <xf numFmtId="0" fontId="31" fillId="0" borderId="0" xfId="33" applyFont="1" applyBorder="1"/>
    <xf numFmtId="0" fontId="45" fillId="0" borderId="0" xfId="34" applyFont="1" applyFill="1" applyBorder="1"/>
    <xf numFmtId="0" fontId="11" fillId="0" borderId="0" xfId="48" applyNumberFormat="1" applyFont="1" applyFill="1" applyBorder="1" applyAlignment="1">
      <alignment horizontal="center" wrapText="1"/>
    </xf>
    <xf numFmtId="0" fontId="20" fillId="0" borderId="0" xfId="31" applyFont="1" applyFill="1" applyBorder="1"/>
    <xf numFmtId="0" fontId="31" fillId="0" borderId="0" xfId="33" applyFont="1" applyFill="1" applyBorder="1"/>
    <xf numFmtId="0" fontId="89" fillId="0" borderId="0" xfId="34" applyFont="1" applyFill="1" applyAlignment="1">
      <alignment horizontal="right"/>
    </xf>
    <xf numFmtId="0" fontId="68" fillId="0" borderId="0" xfId="34" applyFont="1" applyFill="1" applyAlignment="1">
      <alignment horizontal="right"/>
    </xf>
    <xf numFmtId="0" fontId="68" fillId="4" borderId="0" xfId="34" applyFont="1" applyFill="1" applyBorder="1" applyAlignment="1">
      <alignment horizontal="right"/>
    </xf>
    <xf numFmtId="0" fontId="8" fillId="4" borderId="0" xfId="34" applyFont="1" applyFill="1" applyBorder="1" applyAlignment="1">
      <alignment horizontal="right"/>
    </xf>
    <xf numFmtId="0" fontId="8" fillId="4" borderId="0" xfId="34" applyFont="1" applyFill="1" applyBorder="1" applyAlignment="1">
      <alignment horizontal="left"/>
    </xf>
    <xf numFmtId="0" fontId="12" fillId="2" borderId="19" xfId="31" applyFont="1" applyFill="1" applyBorder="1" applyAlignment="1">
      <alignment horizontal="center"/>
    </xf>
    <xf numFmtId="0" fontId="116" fillId="7" borderId="19" xfId="34" applyFont="1" applyFill="1" applyBorder="1" applyAlignment="1">
      <alignment horizontal="center"/>
    </xf>
    <xf numFmtId="0" fontId="8" fillId="5" borderId="0" xfId="34" applyFont="1" applyFill="1"/>
    <xf numFmtId="0" fontId="8" fillId="5" borderId="0" xfId="34" applyFont="1" applyFill="1" applyAlignment="1">
      <alignment horizontal="right"/>
    </xf>
    <xf numFmtId="0" fontId="98" fillId="5" borderId="0" xfId="34" applyFont="1" applyFill="1" applyAlignment="1">
      <alignment horizontal="right"/>
    </xf>
    <xf numFmtId="0" fontId="8" fillId="5" borderId="0" xfId="34" applyFont="1" applyFill="1" applyBorder="1"/>
    <xf numFmtId="0" fontId="45" fillId="5" borderId="0" xfId="34" applyFont="1" applyFill="1"/>
    <xf numFmtId="0" fontId="8" fillId="5" borderId="0" xfId="34" applyFont="1" applyFill="1" applyAlignment="1">
      <alignment wrapText="1"/>
    </xf>
    <xf numFmtId="0" fontId="4" fillId="0" borderId="0" xfId="34" applyFont="1"/>
    <xf numFmtId="0" fontId="88" fillId="0" borderId="3" xfId="34" applyFont="1" applyBorder="1"/>
    <xf numFmtId="0" fontId="4" fillId="0" borderId="21" xfId="34" applyFont="1" applyBorder="1"/>
    <xf numFmtId="0" fontId="4" fillId="0" borderId="7" xfId="34" applyFont="1" applyBorder="1"/>
    <xf numFmtId="0" fontId="4" fillId="0" borderId="7" xfId="34" applyFont="1" applyBorder="1" applyAlignment="1">
      <alignment horizontal="right"/>
    </xf>
    <xf numFmtId="0" fontId="78" fillId="0" borderId="7" xfId="34" applyFont="1" applyBorder="1" applyAlignment="1">
      <alignment horizontal="right"/>
    </xf>
    <xf numFmtId="0" fontId="79" fillId="4" borderId="7" xfId="33" applyFont="1" applyFill="1" applyBorder="1" applyAlignment="1">
      <alignment vertical="center"/>
    </xf>
    <xf numFmtId="0" fontId="78" fillId="0" borderId="7" xfId="34" applyFont="1" applyBorder="1"/>
    <xf numFmtId="0" fontId="4" fillId="0" borderId="20" xfId="34" applyFont="1" applyBorder="1" applyAlignment="1">
      <alignment wrapText="1"/>
    </xf>
    <xf numFmtId="0" fontId="100" fillId="0" borderId="13" xfId="0" applyFont="1" applyFill="1" applyBorder="1" applyAlignment="1">
      <alignment horizontal="centerContinuous"/>
    </xf>
    <xf numFmtId="0" fontId="100" fillId="0" borderId="4" xfId="0" applyFont="1" applyFill="1" applyBorder="1" applyAlignment="1">
      <alignment horizontal="centerContinuous"/>
    </xf>
    <xf numFmtId="0" fontId="100" fillId="0" borderId="12" xfId="0" applyFont="1" applyFill="1" applyBorder="1" applyAlignment="1">
      <alignment horizontal="centerContinuous"/>
    </xf>
    <xf numFmtId="0" fontId="8" fillId="0" borderId="0" xfId="0" applyFont="1" applyFill="1" applyAlignment="1">
      <alignment horizontal="right"/>
    </xf>
    <xf numFmtId="0" fontId="11" fillId="0" borderId="0" xfId="0" applyFont="1" applyFill="1" applyAlignment="1">
      <alignment horizontal="center"/>
    </xf>
    <xf numFmtId="0" fontId="11" fillId="0" borderId="0" xfId="0" applyFont="1" applyFill="1" applyBorder="1" applyAlignment="1">
      <alignment horizontal="centerContinuous"/>
    </xf>
    <xf numFmtId="0" fontId="8" fillId="0" borderId="0" xfId="0" applyFont="1" applyFill="1" applyAlignment="1">
      <alignment horizontal="center"/>
    </xf>
    <xf numFmtId="190" fontId="8" fillId="0" borderId="0" xfId="39" applyNumberFormat="1" applyFont="1" applyFill="1" applyAlignment="1">
      <alignment horizontal="center"/>
    </xf>
    <xf numFmtId="190" fontId="11" fillId="0" borderId="0" xfId="39" applyNumberFormat="1" applyFont="1" applyFill="1" applyAlignment="1">
      <alignment horizontal="center"/>
    </xf>
    <xf numFmtId="0" fontId="11" fillId="0" borderId="2" xfId="0" applyFont="1" applyFill="1" applyBorder="1" applyAlignment="1">
      <alignment horizontal="center"/>
    </xf>
    <xf numFmtId="194" fontId="8" fillId="0" borderId="0" xfId="0" applyNumberFormat="1" applyFont="1" applyFill="1" applyAlignment="1">
      <alignment horizontal="center"/>
    </xf>
    <xf numFmtId="194" fontId="11" fillId="0" borderId="0" xfId="0" applyNumberFormat="1" applyFont="1" applyFill="1" applyAlignment="1">
      <alignment horizontal="center"/>
    </xf>
    <xf numFmtId="0" fontId="22" fillId="0" borderId="0" xfId="0" applyFont="1" applyFill="1" applyAlignment="1">
      <alignment horizontal="left"/>
    </xf>
    <xf numFmtId="173" fontId="8" fillId="0" borderId="0" xfId="0" applyNumberFormat="1" applyFont="1"/>
    <xf numFmtId="190" fontId="8" fillId="0" borderId="0" xfId="39" applyNumberFormat="1" applyFont="1" applyFill="1"/>
    <xf numFmtId="194" fontId="8" fillId="0" borderId="0" xfId="0" applyNumberFormat="1" applyFont="1" applyFill="1" applyAlignment="1">
      <alignment horizontal="left"/>
    </xf>
    <xf numFmtId="173" fontId="12" fillId="0" borderId="0" xfId="0" applyNumberFormat="1" applyFont="1"/>
    <xf numFmtId="172" fontId="48" fillId="0" borderId="0" xfId="0" applyNumberFormat="1" applyFont="1"/>
    <xf numFmtId="167" fontId="48" fillId="0" borderId="0" xfId="0" applyNumberFormat="1" applyFont="1"/>
    <xf numFmtId="200" fontId="8" fillId="0" borderId="2" xfId="0" applyNumberFormat="1" applyFont="1" applyBorder="1"/>
    <xf numFmtId="167" fontId="48" fillId="0" borderId="2" xfId="0" applyNumberFormat="1" applyFont="1" applyBorder="1"/>
    <xf numFmtId="237" fontId="8" fillId="0" borderId="0" xfId="0" applyNumberFormat="1" applyFont="1" applyBorder="1" applyAlignment="1">
      <alignment horizontal="right"/>
    </xf>
    <xf numFmtId="190" fontId="8" fillId="0" borderId="0" xfId="39" applyNumberFormat="1" applyFont="1"/>
    <xf numFmtId="0" fontId="23" fillId="0" borderId="0" xfId="0" applyFont="1" applyAlignment="1">
      <alignment horizontal="center"/>
    </xf>
    <xf numFmtId="172" fontId="48" fillId="0" borderId="0" xfId="0" applyNumberFormat="1" applyFont="1" applyBorder="1"/>
    <xf numFmtId="167" fontId="48" fillId="0" borderId="0" xfId="0" applyNumberFormat="1" applyFont="1" applyBorder="1"/>
    <xf numFmtId="258" fontId="8" fillId="0" borderId="0" xfId="0" applyNumberFormat="1" applyFont="1" applyFill="1"/>
    <xf numFmtId="165" fontId="8" fillId="0" borderId="0" xfId="0" applyNumberFormat="1" applyFont="1"/>
    <xf numFmtId="165" fontId="8" fillId="0" borderId="0" xfId="0" applyNumberFormat="1" applyFont="1" applyFill="1"/>
    <xf numFmtId="175" fontId="8" fillId="0" borderId="0" xfId="13" applyNumberFormat="1" applyFont="1"/>
    <xf numFmtId="173" fontId="8" fillId="0" borderId="0" xfId="0" applyNumberFormat="1" applyFont="1" applyFill="1"/>
    <xf numFmtId="258" fontId="8" fillId="0" borderId="0" xfId="17" applyNumberFormat="1" applyFont="1"/>
    <xf numFmtId="44" fontId="8" fillId="0" borderId="0" xfId="17" applyFont="1" applyFill="1"/>
    <xf numFmtId="165" fontId="22" fillId="0" borderId="0" xfId="0" applyNumberFormat="1" applyFont="1" applyFill="1" applyAlignment="1">
      <alignment horizontal="left"/>
    </xf>
    <xf numFmtId="43" fontId="8" fillId="0" borderId="0" xfId="13" applyFont="1" applyFill="1"/>
    <xf numFmtId="173" fontId="12" fillId="6" borderId="0" xfId="0" applyNumberFormat="1" applyFont="1" applyFill="1"/>
    <xf numFmtId="172" fontId="48" fillId="0" borderId="0" xfId="0" applyNumberFormat="1" applyFont="1" applyFill="1"/>
    <xf numFmtId="200" fontId="12" fillId="6" borderId="0" xfId="0" applyNumberFormat="1" applyFont="1" applyFill="1"/>
    <xf numFmtId="167" fontId="48" fillId="0" borderId="0" xfId="0" applyNumberFormat="1" applyFont="1" applyFill="1"/>
    <xf numFmtId="173" fontId="12" fillId="0" borderId="0" xfId="0" applyNumberFormat="1" applyFont="1" applyFill="1"/>
    <xf numFmtId="167" fontId="48" fillId="0" borderId="2" xfId="0" applyNumberFormat="1" applyFont="1" applyFill="1" applyBorder="1"/>
    <xf numFmtId="200" fontId="48" fillId="0" borderId="0" xfId="0" applyNumberFormat="1" applyFont="1"/>
    <xf numFmtId="200" fontId="48" fillId="0" borderId="2" xfId="0" applyNumberFormat="1" applyFont="1" applyBorder="1"/>
    <xf numFmtId="184" fontId="8" fillId="0" borderId="0" xfId="0" applyNumberFormat="1" applyFont="1"/>
    <xf numFmtId="0" fontId="66" fillId="0" borderId="0" xfId="0" applyFont="1" applyFill="1" applyAlignment="1">
      <alignment horizontal="left"/>
    </xf>
    <xf numFmtId="165" fontId="66" fillId="0" borderId="0" xfId="0" applyNumberFormat="1" applyFont="1" applyFill="1" applyAlignment="1">
      <alignment horizontal="left"/>
    </xf>
    <xf numFmtId="200" fontId="8" fillId="0" borderId="0" xfId="0" applyNumberFormat="1" applyFont="1" applyBorder="1"/>
    <xf numFmtId="190" fontId="12" fillId="0" borderId="0" xfId="39" applyNumberFormat="1" applyFont="1"/>
    <xf numFmtId="43" fontId="12" fillId="0" borderId="0" xfId="13" applyFont="1"/>
    <xf numFmtId="44" fontId="12" fillId="0" borderId="0" xfId="17" applyFont="1"/>
    <xf numFmtId="170" fontId="48" fillId="0" borderId="0" xfId="0" applyNumberFormat="1" applyFont="1"/>
    <xf numFmtId="272" fontId="8" fillId="0" borderId="0" xfId="17" applyNumberFormat="1" applyFont="1"/>
    <xf numFmtId="208" fontId="8" fillId="0" borderId="2" xfId="13" applyNumberFormat="1" applyFont="1" applyFill="1" applyBorder="1"/>
    <xf numFmtId="39" fontId="48" fillId="0" borderId="0" xfId="0" applyNumberFormat="1" applyFont="1" applyBorder="1"/>
    <xf numFmtId="258" fontId="8" fillId="0" borderId="0" xfId="17" applyNumberFormat="1" applyFont="1" applyFill="1" applyBorder="1"/>
    <xf numFmtId="204" fontId="8" fillId="0" borderId="0" xfId="39" applyNumberFormat="1" applyFont="1"/>
    <xf numFmtId="173" fontId="8" fillId="0" borderId="0" xfId="17" applyNumberFormat="1" applyFont="1"/>
    <xf numFmtId="258" fontId="8" fillId="0" borderId="0" xfId="0" applyNumberFormat="1" applyFont="1"/>
    <xf numFmtId="44" fontId="8" fillId="0" borderId="0" xfId="0" applyNumberFormat="1" applyFont="1"/>
    <xf numFmtId="44" fontId="8" fillId="0" borderId="0" xfId="17" applyNumberFormat="1" applyFont="1"/>
    <xf numFmtId="5" fontId="8" fillId="0" borderId="0" xfId="0" applyNumberFormat="1" applyFont="1"/>
    <xf numFmtId="5" fontId="8" fillId="0" borderId="0" xfId="17" applyNumberFormat="1" applyFont="1"/>
    <xf numFmtId="260" fontId="8" fillId="0" borderId="0" xfId="0" applyNumberFormat="1" applyFont="1"/>
    <xf numFmtId="260" fontId="8" fillId="0" borderId="0" xfId="17" applyNumberFormat="1" applyFont="1"/>
    <xf numFmtId="9" fontId="8" fillId="0" borderId="0" xfId="17" applyNumberFormat="1" applyFont="1"/>
    <xf numFmtId="0" fontId="20" fillId="0" borderId="0" xfId="0" applyFont="1" applyBorder="1"/>
    <xf numFmtId="0" fontId="11" fillId="2" borderId="0" xfId="0" applyFont="1" applyFill="1" applyAlignment="1">
      <alignment horizontal="center"/>
    </xf>
    <xf numFmtId="0" fontId="11" fillId="0" borderId="0" xfId="0" applyFont="1" applyFill="1" applyBorder="1" applyAlignment="1">
      <alignment horizontal="center"/>
    </xf>
    <xf numFmtId="193" fontId="22" fillId="0" borderId="0" xfId="0" applyNumberFormat="1" applyFont="1" applyAlignment="1">
      <alignment horizontal="left"/>
    </xf>
    <xf numFmtId="200" fontId="12" fillId="0" borderId="0" xfId="0" applyNumberFormat="1" applyFont="1" applyBorder="1"/>
    <xf numFmtId="173" fontId="8" fillId="0" borderId="0" xfId="0" applyNumberFormat="1" applyFont="1" applyBorder="1"/>
    <xf numFmtId="200" fontId="12" fillId="0" borderId="2" xfId="0" applyNumberFormat="1" applyFont="1" applyBorder="1"/>
    <xf numFmtId="165" fontId="12" fillId="0" borderId="0" xfId="0" applyNumberFormat="1" applyFont="1"/>
    <xf numFmtId="165" fontId="8" fillId="0" borderId="0" xfId="0" applyNumberFormat="1" applyFont="1" applyFill="1" applyBorder="1"/>
    <xf numFmtId="173" fontId="12" fillId="0" borderId="0" xfId="0" applyNumberFormat="1" applyFont="1" applyBorder="1"/>
    <xf numFmtId="166" fontId="8" fillId="0" borderId="0" xfId="0" applyNumberFormat="1" applyFont="1"/>
    <xf numFmtId="165" fontId="8" fillId="0" borderId="0" xfId="0" applyNumberFormat="1" applyFont="1" applyBorder="1"/>
    <xf numFmtId="0" fontId="8" fillId="0" borderId="0" xfId="0" applyFont="1" applyAlignment="1">
      <alignment horizontal="right"/>
    </xf>
    <xf numFmtId="171" fontId="8" fillId="0" borderId="0" xfId="0" applyNumberFormat="1" applyFont="1"/>
    <xf numFmtId="165" fontId="8" fillId="2" borderId="0" xfId="0" applyNumberFormat="1" applyFont="1" applyFill="1"/>
    <xf numFmtId="165" fontId="8" fillId="0" borderId="2" xfId="0" applyNumberFormat="1" applyFont="1" applyBorder="1"/>
    <xf numFmtId="190" fontId="12" fillId="0" borderId="0" xfId="39" applyNumberFormat="1" applyFont="1" applyFill="1"/>
    <xf numFmtId="166" fontId="8" fillId="0" borderId="0" xfId="0" applyNumberFormat="1" applyFont="1" applyFill="1"/>
    <xf numFmtId="173" fontId="8" fillId="0" borderId="0" xfId="0" applyNumberFormat="1" applyFont="1" applyFill="1" applyBorder="1"/>
    <xf numFmtId="190" fontId="8" fillId="0" borderId="0" xfId="39" applyNumberFormat="1" applyFont="1" applyFill="1" applyBorder="1"/>
    <xf numFmtId="195" fontId="66" fillId="0" borderId="0" xfId="0" applyNumberFormat="1" applyFont="1" applyFill="1" applyAlignment="1">
      <alignment horizontal="left"/>
    </xf>
    <xf numFmtId="0" fontId="8" fillId="0" borderId="13" xfId="0" applyFont="1" applyFill="1" applyBorder="1"/>
    <xf numFmtId="0" fontId="100" fillId="0" borderId="13" xfId="0" applyFont="1" applyFill="1" applyBorder="1" applyAlignment="1"/>
    <xf numFmtId="0" fontId="100" fillId="0" borderId="4" xfId="0" applyFont="1" applyFill="1" applyBorder="1" applyAlignment="1"/>
    <xf numFmtId="3" fontId="8" fillId="0" borderId="0" xfId="0" applyNumberFormat="1" applyFont="1" applyFill="1" applyBorder="1"/>
    <xf numFmtId="0" fontId="89" fillId="0" borderId="0" xfId="0" applyFont="1" applyFill="1"/>
    <xf numFmtId="0" fontId="48" fillId="0" borderId="0" xfId="0" applyFont="1" applyFill="1" applyAlignment="1">
      <alignment horizontal="center"/>
    </xf>
    <xf numFmtId="0" fontId="12" fillId="0" borderId="0" xfId="0" applyFont="1" applyFill="1" applyAlignment="1">
      <alignment horizontal="center"/>
    </xf>
    <xf numFmtId="3" fontId="8" fillId="0" borderId="0" xfId="0" applyNumberFormat="1" applyFont="1" applyFill="1"/>
    <xf numFmtId="0" fontId="11" fillId="0" borderId="0" xfId="0" applyFont="1" applyFill="1" applyAlignment="1">
      <alignment wrapText="1"/>
    </xf>
    <xf numFmtId="0" fontId="11" fillId="0" borderId="2" xfId="0" applyFont="1" applyFill="1" applyBorder="1" applyAlignment="1">
      <alignment horizontal="center" wrapText="1"/>
    </xf>
    <xf numFmtId="173" fontId="8" fillId="2" borderId="0" xfId="0" applyNumberFormat="1" applyFont="1" applyFill="1"/>
    <xf numFmtId="200" fontId="8" fillId="2" borderId="0" xfId="0" applyNumberFormat="1" applyFont="1" applyFill="1"/>
    <xf numFmtId="200" fontId="8" fillId="2" borderId="2" xfId="0" applyNumberFormat="1" applyFont="1" applyFill="1" applyBorder="1"/>
    <xf numFmtId="9" fontId="12" fillId="0" borderId="0" xfId="39" applyFont="1" applyFill="1"/>
    <xf numFmtId="173" fontId="12" fillId="2" borderId="0" xfId="0" applyNumberFormat="1" applyFont="1" applyFill="1"/>
    <xf numFmtId="200" fontId="12" fillId="2" borderId="0" xfId="0" applyNumberFormat="1" applyFont="1" applyFill="1"/>
    <xf numFmtId="0" fontId="8" fillId="0" borderId="2" xfId="0" applyFont="1" applyFill="1" applyBorder="1"/>
    <xf numFmtId="5" fontId="89" fillId="0" borderId="0" xfId="39" applyNumberFormat="1" applyFont="1"/>
    <xf numFmtId="166" fontId="8" fillId="0" borderId="0" xfId="39" applyNumberFormat="1" applyFont="1" applyFill="1"/>
    <xf numFmtId="43" fontId="8" fillId="0" borderId="0" xfId="0" applyNumberFormat="1" applyFont="1" applyFill="1"/>
    <xf numFmtId="173" fontId="12" fillId="0" borderId="0" xfId="39" applyNumberFormat="1" applyFont="1"/>
    <xf numFmtId="9" fontId="8" fillId="0" borderId="0" xfId="39" applyNumberFormat="1" applyFont="1"/>
    <xf numFmtId="9" fontId="12" fillId="0" borderId="0" xfId="39" applyFont="1"/>
    <xf numFmtId="258" fontId="12" fillId="0" borderId="0" xfId="17" applyNumberFormat="1" applyFont="1"/>
    <xf numFmtId="9" fontId="27" fillId="0" borderId="0" xfId="39" applyFont="1"/>
    <xf numFmtId="182" fontId="8" fillId="0" borderId="0" xfId="0" applyNumberFormat="1" applyFont="1" applyFill="1"/>
    <xf numFmtId="180" fontId="8" fillId="0" borderId="0" xfId="0" applyNumberFormat="1" applyFont="1" applyFill="1"/>
    <xf numFmtId="171" fontId="8" fillId="0" borderId="0" xfId="0" applyNumberFormat="1" applyFont="1" applyFill="1"/>
    <xf numFmtId="0" fontId="8" fillId="0" borderId="16" xfId="0" applyFont="1" applyFill="1" applyBorder="1"/>
    <xf numFmtId="269" fontId="8" fillId="0" borderId="0" xfId="0" applyNumberFormat="1" applyFont="1" applyFill="1"/>
    <xf numFmtId="194" fontId="8" fillId="0" borderId="0" xfId="0" applyNumberFormat="1" applyFont="1" applyFill="1"/>
    <xf numFmtId="194" fontId="12" fillId="0" borderId="0" xfId="0" applyNumberFormat="1" applyFont="1" applyFill="1" applyAlignment="1">
      <alignment horizontal="left"/>
    </xf>
    <xf numFmtId="173" fontId="8" fillId="0" borderId="2" xfId="0" applyNumberFormat="1" applyFont="1" applyFill="1" applyBorder="1"/>
    <xf numFmtId="3" fontId="8" fillId="0" borderId="0" xfId="0" applyNumberFormat="1" applyFont="1"/>
    <xf numFmtId="176" fontId="8" fillId="0" borderId="0" xfId="0" applyNumberFormat="1" applyFont="1" applyAlignment="1">
      <alignment horizontal="left"/>
    </xf>
    <xf numFmtId="0" fontId="11" fillId="0" borderId="13" xfId="0" applyFont="1" applyBorder="1" applyAlignment="1">
      <alignment horizontal="centerContinuous"/>
    </xf>
    <xf numFmtId="0" fontId="11" fillId="0" borderId="4" xfId="0" applyFont="1" applyBorder="1" applyAlignment="1">
      <alignment horizontal="centerContinuous"/>
    </xf>
    <xf numFmtId="0" fontId="11" fillId="0" borderId="12" xfId="0" applyFont="1" applyBorder="1" applyAlignment="1">
      <alignment horizontal="centerContinuous"/>
    </xf>
    <xf numFmtId="0" fontId="11" fillId="0" borderId="0" xfId="0" applyFont="1" applyBorder="1" applyAlignment="1">
      <alignment horizontal="centerContinuous"/>
    </xf>
    <xf numFmtId="0" fontId="100" fillId="0" borderId="0" xfId="0" applyFont="1" applyBorder="1" applyAlignment="1">
      <alignment horizontal="centerContinuous"/>
    </xf>
    <xf numFmtId="0" fontId="8" fillId="0" borderId="2" xfId="0" applyFont="1" applyBorder="1" applyAlignment="1">
      <alignment horizontal="center"/>
    </xf>
    <xf numFmtId="0" fontId="27" fillId="0" borderId="0" xfId="0" applyFont="1" applyBorder="1"/>
    <xf numFmtId="0" fontId="100" fillId="0" borderId="0" xfId="0" applyFont="1" applyAlignment="1">
      <alignment horizontal="center"/>
    </xf>
    <xf numFmtId="0" fontId="118" fillId="0" borderId="0" xfId="0" applyFont="1" applyBorder="1" applyAlignment="1">
      <alignment horizontal="center"/>
    </xf>
    <xf numFmtId="0" fontId="100" fillId="0" borderId="0" xfId="0" applyFont="1" applyBorder="1" applyAlignment="1">
      <alignment horizontal="center"/>
    </xf>
    <xf numFmtId="0" fontId="11" fillId="0" borderId="0" xfId="0" quotePrefix="1" applyFont="1" applyAlignment="1">
      <alignment horizontal="center"/>
    </xf>
    <xf numFmtId="0" fontId="11" fillId="0" borderId="0" xfId="0" quotePrefix="1" applyFont="1" applyAlignment="1">
      <alignment horizontal="centerContinuous"/>
    </xf>
    <xf numFmtId="0" fontId="119" fillId="0" borderId="0" xfId="0" applyFont="1" applyBorder="1" applyAlignment="1">
      <alignment horizontal="center"/>
    </xf>
    <xf numFmtId="0" fontId="119" fillId="0" borderId="0" xfId="0" quotePrefix="1" applyFont="1" applyAlignment="1">
      <alignment horizontal="center"/>
    </xf>
    <xf numFmtId="0" fontId="100" fillId="0" borderId="0" xfId="0" quotePrefix="1" applyFont="1" applyAlignment="1">
      <alignment horizontal="center"/>
    </xf>
    <xf numFmtId="0" fontId="22" fillId="0" borderId="0" xfId="0" quotePrefix="1" applyFont="1" applyAlignment="1">
      <alignment horizontal="left"/>
    </xf>
    <xf numFmtId="196" fontId="8" fillId="0" borderId="0" xfId="0" applyNumberFormat="1" applyFont="1"/>
    <xf numFmtId="176" fontId="8" fillId="0" borderId="0" xfId="0" applyNumberFormat="1" applyFont="1"/>
    <xf numFmtId="196" fontId="8" fillId="0" borderId="0" xfId="0" applyNumberFormat="1" applyFont="1" applyBorder="1"/>
    <xf numFmtId="196" fontId="27" fillId="0" borderId="0" xfId="0" applyNumberFormat="1" applyFont="1" applyBorder="1"/>
    <xf numFmtId="2" fontId="8" fillId="0" borderId="0" xfId="0" applyNumberFormat="1" applyFont="1" applyBorder="1"/>
    <xf numFmtId="2" fontId="12" fillId="0" borderId="0" xfId="0" applyNumberFormat="1" applyFont="1"/>
    <xf numFmtId="4" fontId="8" fillId="0" borderId="0" xfId="0" applyNumberFormat="1" applyFont="1"/>
    <xf numFmtId="2" fontId="12" fillId="0" borderId="0" xfId="0" applyNumberFormat="1" applyFont="1" applyFill="1"/>
    <xf numFmtId="167" fontId="23" fillId="0" borderId="2" xfId="0" applyNumberFormat="1" applyFont="1" applyBorder="1"/>
    <xf numFmtId="1" fontId="8" fillId="0" borderId="2" xfId="0" applyNumberFormat="1" applyFont="1" applyBorder="1"/>
    <xf numFmtId="9" fontId="12" fillId="0" borderId="0" xfId="0" applyNumberFormat="1" applyFont="1"/>
    <xf numFmtId="164" fontId="8" fillId="0" borderId="2" xfId="0" applyNumberFormat="1" applyFont="1" applyBorder="1"/>
    <xf numFmtId="4" fontId="8" fillId="0" borderId="2" xfId="0" applyNumberFormat="1" applyFont="1" applyBorder="1"/>
    <xf numFmtId="196" fontId="8" fillId="0" borderId="2" xfId="0" applyNumberFormat="1" applyFont="1" applyBorder="1"/>
    <xf numFmtId="171" fontId="12" fillId="0" borderId="0" xfId="0" applyNumberFormat="1" applyFont="1"/>
    <xf numFmtId="171" fontId="8" fillId="0" borderId="2" xfId="0" applyNumberFormat="1" applyFont="1" applyBorder="1"/>
    <xf numFmtId="2" fontId="12" fillId="0" borderId="2" xfId="0" applyNumberFormat="1" applyFont="1" applyBorder="1"/>
    <xf numFmtId="166" fontId="8" fillId="0" borderId="0" xfId="0" applyNumberFormat="1" applyFont="1" applyBorder="1"/>
    <xf numFmtId="2" fontId="8" fillId="0" borderId="0" xfId="0" applyNumberFormat="1" applyFont="1"/>
    <xf numFmtId="171" fontId="8" fillId="0" borderId="0" xfId="0" applyNumberFormat="1" applyFont="1" applyAlignment="1">
      <alignment horizontal="center"/>
    </xf>
    <xf numFmtId="171" fontId="12" fillId="0" borderId="0" xfId="0" applyNumberFormat="1" applyFont="1" applyAlignment="1">
      <alignment horizontal="center"/>
    </xf>
    <xf numFmtId="0" fontId="9" fillId="0" borderId="0" xfId="0" quotePrefix="1" applyFont="1" applyBorder="1"/>
    <xf numFmtId="177" fontId="8" fillId="0" borderId="0" xfId="0" applyNumberFormat="1" applyFont="1"/>
    <xf numFmtId="3" fontId="8" fillId="0" borderId="2" xfId="0" applyNumberFormat="1" applyFont="1" applyBorder="1"/>
    <xf numFmtId="164" fontId="8" fillId="0" borderId="0" xfId="0" applyNumberFormat="1" applyFont="1" applyAlignment="1">
      <alignment horizontal="center"/>
    </xf>
    <xf numFmtId="196" fontId="8" fillId="0" borderId="0" xfId="0" applyNumberFormat="1" applyFont="1" applyBorder="1" applyAlignment="1">
      <alignment horizontal="right"/>
    </xf>
    <xf numFmtId="205" fontId="12" fillId="0" borderId="0" xfId="0" applyNumberFormat="1" applyFont="1" applyAlignment="1">
      <alignment horizontal="center"/>
    </xf>
    <xf numFmtId="165" fontId="12" fillId="0" borderId="0" xfId="0" applyNumberFormat="1" applyFont="1" applyBorder="1"/>
    <xf numFmtId="165" fontId="12" fillId="0" borderId="0" xfId="0" applyNumberFormat="1" applyFont="1" applyFill="1" applyBorder="1"/>
    <xf numFmtId="196" fontId="8" fillId="0" borderId="2" xfId="0" applyNumberFormat="1" applyFont="1" applyBorder="1" applyAlignment="1">
      <alignment horizontal="right"/>
    </xf>
    <xf numFmtId="167" fontId="8" fillId="0" borderId="2" xfId="0" applyNumberFormat="1" applyFont="1" applyBorder="1"/>
    <xf numFmtId="164" fontId="8" fillId="0" borderId="2" xfId="0" applyNumberFormat="1" applyFont="1" applyBorder="1" applyAlignment="1">
      <alignment horizontal="center"/>
    </xf>
    <xf numFmtId="205" fontId="8" fillId="0" borderId="0" xfId="0" applyNumberFormat="1" applyFont="1" applyAlignment="1">
      <alignment horizontal="center"/>
    </xf>
    <xf numFmtId="165" fontId="48" fillId="0" borderId="0" xfId="0" applyNumberFormat="1" applyFont="1" applyBorder="1"/>
    <xf numFmtId="199" fontId="8" fillId="0" borderId="2" xfId="0" applyNumberFormat="1" applyFont="1" applyBorder="1"/>
    <xf numFmtId="205" fontId="8" fillId="0" borderId="0" xfId="0" applyNumberFormat="1" applyFont="1" applyFill="1" applyAlignment="1">
      <alignment horizontal="center"/>
    </xf>
    <xf numFmtId="195" fontId="22" fillId="0" borderId="0" xfId="0" applyNumberFormat="1" applyFont="1" applyAlignment="1">
      <alignment horizontal="left"/>
    </xf>
    <xf numFmtId="205" fontId="12" fillId="0" borderId="0" xfId="0" applyNumberFormat="1" applyFont="1" applyFill="1" applyAlignment="1">
      <alignment horizontal="center"/>
    </xf>
    <xf numFmtId="1" fontId="8" fillId="0" borderId="0" xfId="0" applyNumberFormat="1" applyFont="1" applyFill="1"/>
    <xf numFmtId="1" fontId="8" fillId="0" borderId="2" xfId="0" applyNumberFormat="1" applyFont="1" applyFill="1" applyBorder="1"/>
    <xf numFmtId="164" fontId="8" fillId="0" borderId="0" xfId="0" applyNumberFormat="1" applyFont="1" applyBorder="1"/>
    <xf numFmtId="196" fontId="8" fillId="0" borderId="0" xfId="0" applyNumberFormat="1" applyFont="1" applyFill="1"/>
    <xf numFmtId="164" fontId="8" fillId="0" borderId="2" xfId="0" applyNumberFormat="1" applyFont="1" applyFill="1" applyBorder="1"/>
    <xf numFmtId="166" fontId="8" fillId="0" borderId="0" xfId="0" applyNumberFormat="1" applyFont="1" applyAlignment="1">
      <alignment horizontal="center"/>
    </xf>
    <xf numFmtId="166" fontId="8" fillId="0" borderId="0" xfId="39" applyNumberFormat="1" applyFont="1" applyAlignment="1">
      <alignment horizontal="center"/>
    </xf>
    <xf numFmtId="166" fontId="8" fillId="0" borderId="2" xfId="39" applyNumberFormat="1" applyFont="1" applyBorder="1" applyAlignment="1">
      <alignment horizontal="centerContinuous"/>
    </xf>
    <xf numFmtId="165" fontId="48" fillId="0" borderId="2" xfId="0" applyNumberFormat="1" applyFont="1" applyBorder="1" applyAlignment="1">
      <alignment horizontal="centerContinuous"/>
    </xf>
    <xf numFmtId="165" fontId="8" fillId="0" borderId="2" xfId="0" applyNumberFormat="1" applyFont="1" applyBorder="1" applyAlignment="1">
      <alignment horizontal="centerContinuous"/>
    </xf>
    <xf numFmtId="196" fontId="8" fillId="0" borderId="2" xfId="0" applyNumberFormat="1" applyFont="1" applyFill="1" applyBorder="1"/>
    <xf numFmtId="181" fontId="8" fillId="0" borderId="0" xfId="13" applyNumberFormat="1" applyFont="1" applyBorder="1"/>
    <xf numFmtId="9" fontId="8" fillId="0" borderId="0" xfId="39" applyFont="1" applyAlignment="1">
      <alignment horizontal="center"/>
    </xf>
    <xf numFmtId="196" fontId="8" fillId="0" borderId="0" xfId="0" applyNumberFormat="1" applyFont="1" applyFill="1" applyBorder="1"/>
    <xf numFmtId="9" fontId="8" fillId="6" borderId="0" xfId="39" applyFont="1" applyFill="1"/>
    <xf numFmtId="196" fontId="27" fillId="0" borderId="0" xfId="0" applyNumberFormat="1" applyFont="1" applyFill="1" applyBorder="1"/>
    <xf numFmtId="9" fontId="8" fillId="0" borderId="0" xfId="39" applyFont="1" applyBorder="1"/>
    <xf numFmtId="193" fontId="120" fillId="0" borderId="0" xfId="0" applyNumberFormat="1" applyFont="1" applyAlignment="1">
      <alignment horizontal="left"/>
    </xf>
    <xf numFmtId="165" fontId="8" fillId="0" borderId="2" xfId="0" applyNumberFormat="1" applyFont="1" applyFill="1" applyBorder="1"/>
    <xf numFmtId="0" fontId="22" fillId="0" borderId="0" xfId="0" quotePrefix="1" applyFont="1" applyFill="1" applyAlignment="1">
      <alignment horizontal="left"/>
    </xf>
    <xf numFmtId="0" fontId="8" fillId="0" borderId="0" xfId="0" applyFont="1" applyFill="1" applyAlignment="1">
      <alignment horizontal="left"/>
    </xf>
    <xf numFmtId="164" fontId="8" fillId="0" borderId="0" xfId="0" applyNumberFormat="1" applyFont="1" applyFill="1" applyAlignment="1">
      <alignment horizontal="center"/>
    </xf>
    <xf numFmtId="176" fontId="8" fillId="0" borderId="0" xfId="0" applyNumberFormat="1" applyFont="1" applyFill="1"/>
    <xf numFmtId="177" fontId="8" fillId="0" borderId="0" xfId="0" applyNumberFormat="1" applyFont="1" applyFill="1"/>
    <xf numFmtId="165" fontId="48" fillId="0" borderId="0" xfId="0" applyNumberFormat="1" applyFont="1" applyFill="1" applyBorder="1"/>
    <xf numFmtId="164" fontId="8" fillId="0" borderId="0" xfId="0" applyNumberFormat="1" applyFont="1" applyFill="1"/>
    <xf numFmtId="164" fontId="8" fillId="0" borderId="2" xfId="0" applyNumberFormat="1" applyFont="1" applyFill="1" applyBorder="1" applyAlignment="1">
      <alignment horizontal="center"/>
    </xf>
    <xf numFmtId="3" fontId="8" fillId="0" borderId="2" xfId="0" applyNumberFormat="1" applyFont="1" applyFill="1" applyBorder="1"/>
    <xf numFmtId="166" fontId="8" fillId="0" borderId="0" xfId="0" applyNumberFormat="1" applyFont="1" applyFill="1" applyBorder="1"/>
    <xf numFmtId="0" fontId="8" fillId="0" borderId="0" xfId="0" applyFont="1" applyFill="1" applyBorder="1" applyAlignment="1">
      <alignment horizontal="center"/>
    </xf>
    <xf numFmtId="190" fontId="8" fillId="0" borderId="0" xfId="39" applyNumberFormat="1" applyFont="1" applyFill="1" applyBorder="1" applyAlignment="1">
      <alignment horizontal="center"/>
    </xf>
    <xf numFmtId="194" fontId="8" fillId="0" borderId="0" xfId="0" applyNumberFormat="1" applyFont="1" applyFill="1" applyBorder="1" applyAlignment="1">
      <alignment horizontal="center"/>
    </xf>
    <xf numFmtId="0" fontId="67" fillId="0" borderId="0" xfId="0" applyFont="1" applyFill="1" applyAlignment="1">
      <alignment horizontal="center"/>
    </xf>
    <xf numFmtId="190" fontId="23" fillId="0" borderId="0" xfId="39" applyNumberFormat="1" applyFont="1" applyAlignment="1">
      <alignment horizontal="center"/>
    </xf>
    <xf numFmtId="194" fontId="8" fillId="0" borderId="0" xfId="0" applyNumberFormat="1" applyFont="1" applyFill="1" applyBorder="1" applyAlignment="1">
      <alignment horizontal="left"/>
    </xf>
    <xf numFmtId="202" fontId="8" fillId="0" borderId="0" xfId="0" applyNumberFormat="1" applyFont="1" applyFill="1" applyBorder="1"/>
    <xf numFmtId="190" fontId="8" fillId="0" borderId="0" xfId="39" applyNumberFormat="1" applyFont="1" applyBorder="1"/>
    <xf numFmtId="0" fontId="12" fillId="0" borderId="2" xfId="0" applyFont="1" applyFill="1" applyBorder="1"/>
    <xf numFmtId="190" fontId="12" fillId="0" borderId="0" xfId="39" applyNumberFormat="1" applyFont="1" applyFill="1" applyBorder="1"/>
    <xf numFmtId="194" fontId="23" fillId="0" borderId="0" xfId="0" applyNumberFormat="1" applyFont="1" applyFill="1" applyBorder="1" applyAlignment="1">
      <alignment horizontal="center"/>
    </xf>
    <xf numFmtId="0" fontId="23" fillId="0" borderId="0" xfId="0" applyFont="1" applyFill="1" applyBorder="1" applyAlignment="1">
      <alignment horizontal="center"/>
    </xf>
    <xf numFmtId="200" fontId="8" fillId="0" borderId="0" xfId="0" applyNumberFormat="1" applyFont="1" applyFill="1" applyAlignment="1">
      <alignment horizontal="right"/>
    </xf>
    <xf numFmtId="200" fontId="8" fillId="0" borderId="2" xfId="0" applyNumberFormat="1" applyFont="1" applyFill="1" applyBorder="1" applyAlignment="1">
      <alignment horizontal="right"/>
    </xf>
    <xf numFmtId="190" fontId="23" fillId="0" borderId="0" xfId="39" applyNumberFormat="1" applyFont="1" applyBorder="1"/>
    <xf numFmtId="3" fontId="8" fillId="0" borderId="0" xfId="17" applyNumberFormat="1" applyFont="1" applyBorder="1"/>
    <xf numFmtId="173" fontId="8" fillId="2" borderId="0" xfId="0" applyNumberFormat="1" applyFont="1" applyFill="1" applyBorder="1"/>
    <xf numFmtId="200" fontId="8" fillId="2" borderId="0" xfId="0" applyNumberFormat="1" applyFont="1" applyFill="1" applyBorder="1"/>
    <xf numFmtId="208" fontId="27" fillId="0" borderId="0" xfId="13" applyNumberFormat="1" applyFont="1" applyFill="1" applyBorder="1"/>
    <xf numFmtId="173" fontId="23" fillId="0" borderId="0" xfId="0" applyNumberFormat="1" applyFont="1" applyAlignment="1">
      <alignment horizontal="right"/>
    </xf>
    <xf numFmtId="173" fontId="23" fillId="0" borderId="2" xfId="0" applyNumberFormat="1" applyFont="1" applyBorder="1" applyAlignment="1">
      <alignment horizontal="right"/>
    </xf>
    <xf numFmtId="173" fontId="23" fillId="0" borderId="0" xfId="0" applyNumberFormat="1" applyFont="1" applyFill="1"/>
    <xf numFmtId="0" fontId="12" fillId="0" borderId="0" xfId="0" applyFont="1" applyFill="1" applyBorder="1"/>
    <xf numFmtId="173" fontId="67" fillId="0" borderId="0" xfId="0" applyNumberFormat="1" applyFont="1" applyAlignment="1">
      <alignment horizontal="right"/>
    </xf>
    <xf numFmtId="168" fontId="8" fillId="0" borderId="0" xfId="0" applyNumberFormat="1" applyFont="1" applyFill="1"/>
    <xf numFmtId="9" fontId="8" fillId="0" borderId="0" xfId="39" applyFont="1" applyFill="1" applyAlignment="1">
      <alignment horizontal="right"/>
    </xf>
    <xf numFmtId="0" fontId="45" fillId="0" borderId="0" xfId="0" applyFont="1" applyFill="1"/>
    <xf numFmtId="0" fontId="45" fillId="0" borderId="11" xfId="0" applyFont="1" applyFill="1" applyBorder="1"/>
    <xf numFmtId="0" fontId="92" fillId="0" borderId="0" xfId="0" applyFont="1"/>
    <xf numFmtId="198" fontId="11" fillId="0" borderId="2" xfId="0" applyNumberFormat="1" applyFont="1" applyBorder="1" applyAlignment="1">
      <alignment horizontal="centerContinuous"/>
    </xf>
    <xf numFmtId="0" fontId="8" fillId="0" borderId="2" xfId="0" applyFont="1" applyBorder="1" applyAlignment="1">
      <alignment horizontal="centerContinuous"/>
    </xf>
    <xf numFmtId="193" fontId="11" fillId="0" borderId="2" xfId="0" applyNumberFormat="1" applyFont="1" applyBorder="1" applyAlignment="1">
      <alignment horizontal="centerContinuous"/>
    </xf>
    <xf numFmtId="195" fontId="11" fillId="0" borderId="2" xfId="0" applyNumberFormat="1" applyFont="1" applyFill="1" applyBorder="1" applyAlignment="1">
      <alignment horizontal="centerContinuous"/>
    </xf>
    <xf numFmtId="0" fontId="8" fillId="0" borderId="2" xfId="0" applyFont="1" applyFill="1" applyBorder="1" applyAlignment="1">
      <alignment horizontal="centerContinuous"/>
    </xf>
    <xf numFmtId="193" fontId="34" fillId="0" borderId="2" xfId="0" applyNumberFormat="1" applyFont="1" applyFill="1" applyBorder="1" applyAlignment="1">
      <alignment horizontal="centerContinuous"/>
    </xf>
    <xf numFmtId="211" fontId="11" fillId="0" borderId="2" xfId="0" applyNumberFormat="1" applyFont="1" applyFill="1" applyBorder="1" applyAlignment="1">
      <alignment horizontal="centerContinuous"/>
    </xf>
    <xf numFmtId="244" fontId="33" fillId="0" borderId="2" xfId="0" applyNumberFormat="1" applyFont="1" applyFill="1" applyBorder="1" applyAlignment="1">
      <alignment horizontal="centerContinuous"/>
    </xf>
    <xf numFmtId="193" fontId="11" fillId="0" borderId="0" xfId="0" applyNumberFormat="1" applyFont="1" applyFill="1" applyBorder="1" applyAlignment="1">
      <alignment horizontal="centerContinuous"/>
    </xf>
    <xf numFmtId="194" fontId="8" fillId="0" borderId="0" xfId="0" applyNumberFormat="1" applyFont="1"/>
    <xf numFmtId="0" fontId="66" fillId="0" borderId="0" xfId="0" applyFont="1" applyAlignment="1">
      <alignment horizontal="centerContinuous"/>
    </xf>
    <xf numFmtId="0" fontId="8" fillId="0" borderId="0" xfId="0" applyFont="1" applyFill="1" applyAlignment="1">
      <alignment horizontal="centerContinuous"/>
    </xf>
    <xf numFmtId="0" fontId="45" fillId="0" borderId="0" xfId="0" applyFont="1" applyFill="1" applyAlignment="1">
      <alignment horizontal="centerContinuous"/>
    </xf>
    <xf numFmtId="0" fontId="66" fillId="0" borderId="0" xfId="0" applyFont="1" applyFill="1" applyAlignment="1">
      <alignment horizontal="centerContinuous"/>
    </xf>
    <xf numFmtId="8" fontId="8" fillId="0" borderId="0" xfId="0" applyNumberFormat="1" applyFont="1" applyFill="1"/>
    <xf numFmtId="190" fontId="12" fillId="0" borderId="0" xfId="0" applyNumberFormat="1" applyFont="1"/>
    <xf numFmtId="172" fontId="12" fillId="0" borderId="0" xfId="0" applyNumberFormat="1" applyFont="1"/>
    <xf numFmtId="194" fontId="12" fillId="0" borderId="0" xfId="0" applyNumberFormat="1" applyFont="1" applyAlignment="1">
      <alignment horizontal="left"/>
    </xf>
    <xf numFmtId="194" fontId="8" fillId="0" borderId="0" xfId="0" applyNumberFormat="1" applyFont="1" applyAlignment="1">
      <alignment horizontal="right"/>
    </xf>
    <xf numFmtId="170" fontId="12" fillId="0" borderId="0" xfId="0" applyNumberFormat="1" applyFont="1"/>
    <xf numFmtId="194" fontId="8" fillId="0" borderId="0" xfId="0" applyNumberFormat="1" applyFont="1" applyAlignment="1">
      <alignment horizontal="left"/>
    </xf>
    <xf numFmtId="170" fontId="12" fillId="0" borderId="2" xfId="0" applyNumberFormat="1" applyFont="1" applyBorder="1"/>
    <xf numFmtId="170" fontId="12" fillId="0" borderId="2" xfId="0" applyNumberFormat="1" applyFont="1" applyFill="1" applyBorder="1"/>
    <xf numFmtId="170" fontId="8" fillId="0" borderId="2" xfId="0" applyNumberFormat="1" applyFont="1" applyFill="1" applyBorder="1"/>
    <xf numFmtId="172" fontId="121" fillId="0" borderId="0" xfId="0" applyNumberFormat="1" applyFont="1"/>
    <xf numFmtId="172" fontId="121" fillId="0" borderId="0" xfId="0" applyNumberFormat="1" applyFont="1" applyFill="1"/>
    <xf numFmtId="170" fontId="121" fillId="0" borderId="0" xfId="0" applyNumberFormat="1" applyFont="1"/>
    <xf numFmtId="170" fontId="121" fillId="0" borderId="0" xfId="0" applyNumberFormat="1" applyFont="1" applyFill="1"/>
    <xf numFmtId="40" fontId="8" fillId="0" borderId="0" xfId="0" applyNumberFormat="1" applyFont="1"/>
    <xf numFmtId="189" fontId="12" fillId="0" borderId="0" xfId="0" applyNumberFormat="1" applyFont="1" applyFill="1"/>
    <xf numFmtId="216" fontId="12" fillId="0" borderId="0" xfId="0" applyNumberFormat="1" applyFont="1" applyFill="1"/>
    <xf numFmtId="189" fontId="8" fillId="0" borderId="0" xfId="0" applyNumberFormat="1" applyFont="1"/>
    <xf numFmtId="180" fontId="12" fillId="0" borderId="0" xfId="0" applyNumberFormat="1" applyFont="1"/>
    <xf numFmtId="206" fontId="8" fillId="0" borderId="0" xfId="0" applyNumberFormat="1" applyFont="1"/>
    <xf numFmtId="180" fontId="12" fillId="0" borderId="0" xfId="0" applyNumberFormat="1" applyFont="1" applyFill="1"/>
    <xf numFmtId="189" fontId="8" fillId="0" borderId="0" xfId="0" applyNumberFormat="1" applyFont="1" applyFill="1"/>
    <xf numFmtId="206" fontId="8" fillId="0" borderId="0" xfId="0" applyNumberFormat="1" applyFont="1" applyFill="1"/>
    <xf numFmtId="165" fontId="12" fillId="0" borderId="0" xfId="0" applyNumberFormat="1" applyFont="1" applyFill="1"/>
    <xf numFmtId="165" fontId="12" fillId="0" borderId="2" xfId="0" applyNumberFormat="1" applyFont="1" applyBorder="1"/>
    <xf numFmtId="165" fontId="12" fillId="0" borderId="2" xfId="0" applyNumberFormat="1" applyFont="1" applyFill="1" applyBorder="1"/>
    <xf numFmtId="188" fontId="8" fillId="0" borderId="0" xfId="0" applyNumberFormat="1" applyFont="1"/>
    <xf numFmtId="188" fontId="8" fillId="0" borderId="0" xfId="0" applyNumberFormat="1" applyFont="1" applyFill="1"/>
    <xf numFmtId="2" fontId="8" fillId="0" borderId="0" xfId="0" applyNumberFormat="1" applyFont="1" applyFill="1"/>
    <xf numFmtId="215" fontId="8" fillId="0" borderId="0" xfId="0" applyNumberFormat="1" applyFont="1" applyFill="1"/>
    <xf numFmtId="0" fontId="8" fillId="0" borderId="0" xfId="0" applyFont="1" applyBorder="1" applyAlignment="1">
      <alignment horizontal="centerContinuous"/>
    </xf>
    <xf numFmtId="188" fontId="12" fillId="0" borderId="0" xfId="0" applyNumberFormat="1" applyFont="1" applyFill="1"/>
    <xf numFmtId="189" fontId="33" fillId="0" borderId="0" xfId="0" applyNumberFormat="1" applyFont="1"/>
    <xf numFmtId="209" fontId="8" fillId="0" borderId="0" xfId="0" applyNumberFormat="1" applyFont="1" applyFill="1"/>
    <xf numFmtId="216" fontId="8" fillId="0" borderId="0" xfId="0" applyNumberFormat="1" applyFont="1" applyFill="1"/>
    <xf numFmtId="205" fontId="8" fillId="0" borderId="0" xfId="0" applyNumberFormat="1" applyFont="1" applyFill="1"/>
    <xf numFmtId="204" fontId="8" fillId="0" borderId="0" xfId="0" applyNumberFormat="1" applyFont="1"/>
    <xf numFmtId="172" fontId="12" fillId="0" borderId="0" xfId="0" applyNumberFormat="1" applyFont="1" applyBorder="1"/>
    <xf numFmtId="189" fontId="8" fillId="0" borderId="0" xfId="0" applyNumberFormat="1" applyFont="1" applyBorder="1"/>
    <xf numFmtId="180" fontId="12" fillId="0" borderId="0" xfId="0" applyNumberFormat="1" applyFont="1" applyBorder="1"/>
    <xf numFmtId="180" fontId="68" fillId="0" borderId="0" xfId="0" applyNumberFormat="1" applyFont="1" applyFill="1"/>
    <xf numFmtId="189" fontId="68" fillId="0" borderId="0" xfId="0" applyNumberFormat="1" applyFont="1"/>
    <xf numFmtId="190" fontId="68" fillId="0" borderId="0" xfId="0" applyNumberFormat="1" applyFont="1"/>
    <xf numFmtId="0" fontId="68" fillId="0" borderId="0" xfId="0" applyFont="1"/>
    <xf numFmtId="189" fontId="68" fillId="0" borderId="0" xfId="0" applyNumberFormat="1" applyFont="1" applyFill="1"/>
    <xf numFmtId="190" fontId="122" fillId="0" borderId="0" xfId="0" applyNumberFormat="1" applyFont="1"/>
    <xf numFmtId="190" fontId="122" fillId="0" borderId="0" xfId="0" applyNumberFormat="1" applyFont="1" applyBorder="1"/>
    <xf numFmtId="190" fontId="122" fillId="0" borderId="0" xfId="0" applyNumberFormat="1" applyFont="1" applyFill="1"/>
    <xf numFmtId="170" fontId="12" fillId="0" borderId="0" xfId="0" applyNumberFormat="1" applyFont="1" applyBorder="1"/>
    <xf numFmtId="165" fontId="68" fillId="0" borderId="0" xfId="0" applyNumberFormat="1" applyFont="1" applyFill="1"/>
    <xf numFmtId="209" fontId="8" fillId="0" borderId="0" xfId="0" applyNumberFormat="1" applyFont="1"/>
    <xf numFmtId="165" fontId="68" fillId="0" borderId="0" xfId="0" applyNumberFormat="1" applyFont="1" applyFill="1" applyBorder="1"/>
    <xf numFmtId="172" fontId="121" fillId="0" borderId="0" xfId="0" applyNumberFormat="1" applyFont="1" applyBorder="1"/>
    <xf numFmtId="170" fontId="121" fillId="0" borderId="0" xfId="0" applyNumberFormat="1" applyFont="1" applyBorder="1"/>
    <xf numFmtId="0" fontId="12" fillId="0" borderId="0" xfId="0" applyFont="1" applyBorder="1"/>
    <xf numFmtId="180" fontId="68" fillId="0" borderId="0" xfId="0" applyNumberFormat="1" applyFont="1" applyFill="1" applyBorder="1"/>
    <xf numFmtId="190" fontId="68" fillId="0" borderId="0" xfId="0" applyNumberFormat="1" applyFont="1" applyFill="1"/>
    <xf numFmtId="165" fontId="68" fillId="0" borderId="2" xfId="0" applyNumberFormat="1" applyFont="1" applyFill="1" applyBorder="1"/>
    <xf numFmtId="180" fontId="8" fillId="0" borderId="0" xfId="0" applyNumberFormat="1" applyFont="1" applyBorder="1"/>
    <xf numFmtId="180" fontId="8" fillId="0" borderId="0" xfId="0" applyNumberFormat="1" applyFont="1" applyFill="1" applyBorder="1"/>
    <xf numFmtId="0" fontId="22" fillId="0" borderId="0" xfId="0" applyFont="1" applyAlignment="1">
      <alignment horizontal="centerContinuous"/>
    </xf>
    <xf numFmtId="189" fontId="8" fillId="0" borderId="0" xfId="0" applyNumberFormat="1" applyFont="1" applyAlignment="1">
      <alignment horizontal="centerContinuous"/>
    </xf>
    <xf numFmtId="180" fontId="106" fillId="0" borderId="0" xfId="0" applyNumberFormat="1" applyFont="1" applyAlignment="1">
      <alignment horizontal="centerContinuous"/>
    </xf>
    <xf numFmtId="190" fontId="8" fillId="0" borderId="0" xfId="0" applyNumberFormat="1" applyFont="1" applyFill="1" applyAlignment="1">
      <alignment horizontal="right"/>
    </xf>
    <xf numFmtId="190" fontId="8" fillId="0" borderId="0" xfId="0" applyNumberFormat="1" applyFont="1" applyAlignment="1">
      <alignment horizontal="right"/>
    </xf>
    <xf numFmtId="238" fontId="8" fillId="0" borderId="0" xfId="17" applyNumberFormat="1" applyFont="1" applyFill="1" applyBorder="1"/>
    <xf numFmtId="170" fontId="121" fillId="0" borderId="2" xfId="0" applyNumberFormat="1" applyFont="1" applyBorder="1"/>
    <xf numFmtId="172" fontId="121" fillId="0" borderId="2" xfId="0" applyNumberFormat="1" applyFont="1" applyBorder="1"/>
    <xf numFmtId="258" fontId="8" fillId="0" borderId="0" xfId="0" applyNumberFormat="1" applyFont="1" applyFill="1" applyBorder="1"/>
    <xf numFmtId="233" fontId="8" fillId="0" borderId="0" xfId="0" applyNumberFormat="1" applyFont="1" applyFill="1"/>
    <xf numFmtId="0" fontId="8" fillId="0" borderId="0" xfId="0" quotePrefix="1" applyFont="1" applyFill="1"/>
    <xf numFmtId="167" fontId="12" fillId="0" borderId="2" xfId="0" applyNumberFormat="1" applyFont="1" applyBorder="1"/>
    <xf numFmtId="167" fontId="12" fillId="0" borderId="2" xfId="0" applyNumberFormat="1" applyFont="1" applyFill="1" applyBorder="1"/>
    <xf numFmtId="0" fontId="22" fillId="0" borderId="0" xfId="0" applyFont="1" applyFill="1" applyAlignment="1">
      <alignment horizontal="centerContinuous"/>
    </xf>
    <xf numFmtId="170" fontId="8" fillId="0" borderId="2" xfId="0" applyNumberFormat="1" applyFont="1" applyBorder="1"/>
    <xf numFmtId="170" fontId="8" fillId="0" borderId="11" xfId="0" applyNumberFormat="1" applyFont="1" applyBorder="1"/>
    <xf numFmtId="0" fontId="32" fillId="0" borderId="0" xfId="0" applyFont="1" applyFill="1" applyBorder="1" applyAlignment="1">
      <alignment horizontal="center"/>
    </xf>
    <xf numFmtId="8" fontId="38" fillId="0" borderId="0" xfId="0" applyNumberFormat="1" applyFont="1" applyFill="1" applyBorder="1" applyAlignment="1">
      <alignment horizontal="center"/>
    </xf>
    <xf numFmtId="8" fontId="38" fillId="0" borderId="0" xfId="0" applyNumberFormat="1" applyFont="1" applyFill="1" applyBorder="1" applyAlignment="1">
      <alignment horizontal="right"/>
    </xf>
    <xf numFmtId="8" fontId="121" fillId="0" borderId="0" xfId="0" applyNumberFormat="1" applyFont="1"/>
    <xf numFmtId="8" fontId="121" fillId="0" borderId="0" xfId="0" applyNumberFormat="1" applyFont="1" applyFill="1"/>
    <xf numFmtId="40" fontId="121" fillId="0" borderId="0" xfId="0" applyNumberFormat="1" applyFont="1"/>
    <xf numFmtId="40" fontId="121" fillId="0" borderId="0" xfId="0" applyNumberFormat="1" applyFont="1" applyFill="1"/>
    <xf numFmtId="40" fontId="8" fillId="0" borderId="2" xfId="0" applyNumberFormat="1" applyFont="1" applyBorder="1"/>
    <xf numFmtId="40" fontId="8" fillId="0" borderId="2" xfId="0" applyNumberFormat="1" applyFont="1" applyFill="1" applyBorder="1"/>
    <xf numFmtId="0" fontId="38" fillId="0" borderId="0" xfId="0" applyFont="1" applyFill="1" applyBorder="1" applyAlignment="1">
      <alignment horizontal="center"/>
    </xf>
    <xf numFmtId="0" fontId="123" fillId="0" borderId="0" xfId="0" applyFont="1" applyFill="1"/>
    <xf numFmtId="0" fontId="124" fillId="0" borderId="0" xfId="0" applyFont="1" applyAlignment="1">
      <alignment horizontal="right"/>
    </xf>
    <xf numFmtId="39" fontId="125" fillId="0" borderId="0" xfId="17" applyNumberFormat="1" applyFont="1" applyBorder="1" applyAlignment="1">
      <alignment horizontal="center"/>
    </xf>
    <xf numFmtId="16" fontId="124" fillId="0" borderId="0" xfId="0" applyNumberFormat="1" applyFont="1" applyAlignment="1">
      <alignment horizontal="right"/>
    </xf>
    <xf numFmtId="0" fontId="124" fillId="0" borderId="0" xfId="0" applyFont="1" applyFill="1" applyAlignment="1">
      <alignment horizontal="right"/>
    </xf>
    <xf numFmtId="203" fontId="8" fillId="0" borderId="0" xfId="0" applyNumberFormat="1" applyFont="1"/>
    <xf numFmtId="7" fontId="123" fillId="0" borderId="0" xfId="17" applyNumberFormat="1" applyFont="1"/>
    <xf numFmtId="7" fontId="117" fillId="0" borderId="0" xfId="17" applyNumberFormat="1" applyFont="1"/>
    <xf numFmtId="7" fontId="123" fillId="0" borderId="0" xfId="17" applyNumberFormat="1" applyFont="1" applyBorder="1"/>
    <xf numFmtId="8" fontId="123" fillId="0" borderId="0" xfId="13" applyNumberFormat="1" applyFont="1" applyBorder="1"/>
    <xf numFmtId="43" fontId="123" fillId="0" borderId="0" xfId="13" applyFont="1" applyBorder="1"/>
    <xf numFmtId="7" fontId="117" fillId="0" borderId="0" xfId="17" applyNumberFormat="1" applyFont="1" applyFill="1"/>
    <xf numFmtId="39" fontId="123" fillId="0" borderId="0" xfId="17" applyNumberFormat="1" applyFont="1"/>
    <xf numFmtId="39" fontId="117" fillId="0" borderId="0" xfId="17" applyNumberFormat="1" applyFont="1"/>
    <xf numFmtId="39" fontId="123" fillId="0" borderId="0" xfId="17" applyNumberFormat="1" applyFont="1" applyBorder="1"/>
    <xf numFmtId="40" fontId="121" fillId="0" borderId="0" xfId="0" applyNumberFormat="1" applyFont="1" applyFill="1" applyBorder="1"/>
    <xf numFmtId="39" fontId="117" fillId="0" borderId="0" xfId="17" applyNumberFormat="1" applyFont="1" applyFill="1"/>
    <xf numFmtId="0" fontId="123" fillId="0" borderId="0" xfId="0" applyFont="1" applyFill="1" applyAlignment="1">
      <alignment horizontal="left"/>
    </xf>
    <xf numFmtId="40" fontId="8" fillId="0" borderId="0" xfId="0" applyNumberFormat="1" applyFont="1" applyFill="1"/>
    <xf numFmtId="40" fontId="121" fillId="0" borderId="2" xfId="0" applyNumberFormat="1" applyFont="1" applyFill="1" applyBorder="1"/>
    <xf numFmtId="0" fontId="125" fillId="0" borderId="0" xfId="0" applyFont="1" applyFill="1" applyBorder="1" applyAlignment="1">
      <alignment horizontal="left"/>
    </xf>
    <xf numFmtId="39" fontId="117" fillId="0" borderId="0" xfId="17" applyNumberFormat="1" applyFont="1" applyBorder="1"/>
    <xf numFmtId="8" fontId="121" fillId="0" borderId="11" xfId="0" applyNumberFormat="1" applyFont="1" applyFill="1" applyBorder="1"/>
    <xf numFmtId="7" fontId="117" fillId="0" borderId="0" xfId="17" applyNumberFormat="1" applyFont="1" applyBorder="1"/>
    <xf numFmtId="7" fontId="117" fillId="0" borderId="0" xfId="17" applyNumberFormat="1" applyFont="1" applyFill="1" applyBorder="1"/>
    <xf numFmtId="43" fontId="8" fillId="0" borderId="0" xfId="13" applyNumberFormat="1" applyFont="1" applyFill="1"/>
    <xf numFmtId="212" fontId="8" fillId="0" borderId="0" xfId="13" applyNumberFormat="1" applyFont="1" applyFill="1"/>
    <xf numFmtId="8" fontId="8" fillId="0" borderId="0" xfId="13" applyNumberFormat="1" applyFont="1" applyFill="1"/>
    <xf numFmtId="166" fontId="23" fillId="0" borderId="0" xfId="39" applyNumberFormat="1" applyFont="1" applyFill="1"/>
    <xf numFmtId="8" fontId="121" fillId="0" borderId="0" xfId="0" applyNumberFormat="1" applyFont="1" applyBorder="1"/>
    <xf numFmtId="40" fontId="121" fillId="0" borderId="0" xfId="0" applyNumberFormat="1" applyFont="1" applyBorder="1"/>
    <xf numFmtId="0" fontId="23" fillId="0" borderId="0" xfId="0" applyFont="1" applyFill="1"/>
    <xf numFmtId="40" fontId="8" fillId="0" borderId="0" xfId="0" applyNumberFormat="1" applyFont="1" applyBorder="1"/>
    <xf numFmtId="0" fontId="43" fillId="0" borderId="0" xfId="0" applyFont="1" applyFill="1" applyBorder="1"/>
    <xf numFmtId="0" fontId="125" fillId="0" borderId="0" xfId="0" applyFont="1" applyFill="1" applyBorder="1"/>
    <xf numFmtId="2" fontId="23" fillId="0" borderId="0" xfId="0" applyNumberFormat="1" applyFont="1" applyFill="1"/>
    <xf numFmtId="2" fontId="123" fillId="0" borderId="0" xfId="0" applyNumberFormat="1" applyFont="1" applyFill="1"/>
    <xf numFmtId="8" fontId="123" fillId="0" borderId="0" xfId="0" applyNumberFormat="1" applyFont="1" applyFill="1" applyAlignment="1">
      <alignment horizontal="centerContinuous"/>
    </xf>
    <xf numFmtId="8" fontId="66" fillId="0" borderId="0" xfId="0" applyNumberFormat="1" applyFont="1" applyFill="1" applyAlignment="1">
      <alignment horizontal="centerContinuous"/>
    </xf>
    <xf numFmtId="8" fontId="121" fillId="0" borderId="0" xfId="0" applyNumberFormat="1" applyFont="1" applyFill="1" applyBorder="1"/>
    <xf numFmtId="170" fontId="8" fillId="0" borderId="0" xfId="0" applyNumberFormat="1" applyFont="1" applyFill="1" applyAlignment="1">
      <alignment horizontal="right"/>
    </xf>
    <xf numFmtId="43" fontId="8" fillId="0" borderId="0" xfId="13" applyFont="1" applyFill="1" applyAlignment="1">
      <alignment horizontal="right"/>
    </xf>
    <xf numFmtId="13" fontId="8" fillId="0" borderId="0" xfId="13" applyNumberFormat="1" applyFont="1" applyFill="1" applyAlignment="1">
      <alignment horizontal="right"/>
    </xf>
    <xf numFmtId="170" fontId="12" fillId="0" borderId="0" xfId="0" applyNumberFormat="1" applyFont="1" applyFill="1" applyBorder="1"/>
    <xf numFmtId="44" fontId="8" fillId="0" borderId="0" xfId="17" applyFont="1" applyFill="1" applyAlignment="1">
      <alignment horizontal="right"/>
    </xf>
    <xf numFmtId="170" fontId="48" fillId="0" borderId="0" xfId="0" applyNumberFormat="1" applyFont="1" applyFill="1"/>
    <xf numFmtId="168" fontId="8" fillId="0" borderId="0" xfId="0" applyNumberFormat="1" applyFont="1" applyFill="1" applyAlignment="1">
      <alignment horizontal="right"/>
    </xf>
    <xf numFmtId="170" fontId="45" fillId="0" borderId="0" xfId="0" applyNumberFormat="1" applyFont="1" applyFill="1"/>
    <xf numFmtId="17" fontId="8" fillId="0" borderId="0" xfId="39" applyNumberFormat="1" applyFont="1" applyFill="1" applyAlignment="1">
      <alignment horizontal="right"/>
    </xf>
    <xf numFmtId="40" fontId="8" fillId="0" borderId="0" xfId="0" applyNumberFormat="1" applyFont="1" applyFill="1" applyBorder="1"/>
    <xf numFmtId="169" fontId="8" fillId="0" borderId="0" xfId="0" applyNumberFormat="1" applyFont="1" applyFill="1"/>
    <xf numFmtId="169" fontId="45" fillId="0" borderId="0" xfId="0" applyNumberFormat="1" applyFont="1" applyFill="1"/>
    <xf numFmtId="170" fontId="12" fillId="0" borderId="0" xfId="0" applyNumberFormat="1" applyFont="1" applyAlignment="1">
      <alignment horizontal="right"/>
    </xf>
    <xf numFmtId="170" fontId="12" fillId="0" borderId="2" xfId="0" applyNumberFormat="1" applyFont="1" applyBorder="1" applyAlignment="1">
      <alignment horizontal="right"/>
    </xf>
    <xf numFmtId="170" fontId="8" fillId="0" borderId="0" xfId="0" applyNumberFormat="1" applyFont="1" applyAlignment="1">
      <alignment horizontal="right"/>
    </xf>
    <xf numFmtId="170" fontId="121" fillId="0" borderId="0" xfId="0" applyNumberFormat="1" applyFont="1" applyAlignment="1">
      <alignment horizontal="right"/>
    </xf>
    <xf numFmtId="9" fontId="121" fillId="0" borderId="0" xfId="39" applyFont="1" applyFill="1"/>
    <xf numFmtId="43" fontId="121" fillId="0" borderId="0" xfId="13" applyFont="1" applyFill="1"/>
    <xf numFmtId="170" fontId="8" fillId="0" borderId="11" xfId="0" applyNumberFormat="1" applyFont="1" applyFill="1" applyBorder="1"/>
    <xf numFmtId="170" fontId="12" fillId="0" borderId="11" xfId="0" applyNumberFormat="1" applyFont="1" applyFill="1" applyBorder="1"/>
    <xf numFmtId="204" fontId="12" fillId="0" borderId="0" xfId="0" applyNumberFormat="1" applyFont="1"/>
    <xf numFmtId="189" fontId="45" fillId="0" borderId="0" xfId="0" applyNumberFormat="1" applyFont="1" applyFill="1"/>
    <xf numFmtId="170" fontId="121" fillId="0" borderId="2" xfId="0" applyNumberFormat="1" applyFont="1" applyFill="1" applyBorder="1"/>
    <xf numFmtId="192" fontId="12" fillId="0" borderId="0" xfId="0" applyNumberFormat="1" applyFont="1" applyFill="1"/>
    <xf numFmtId="171" fontId="12" fillId="0" borderId="0" xfId="0" applyNumberFormat="1" applyFont="1" applyFill="1"/>
    <xf numFmtId="171" fontId="12" fillId="6" borderId="0" xfId="0" applyNumberFormat="1" applyFont="1" applyFill="1"/>
    <xf numFmtId="171" fontId="12" fillId="0" borderId="2" xfId="0" applyNumberFormat="1" applyFont="1" applyFill="1" applyBorder="1"/>
    <xf numFmtId="171" fontId="12" fillId="6" borderId="2" xfId="0" applyNumberFormat="1" applyFont="1" applyFill="1" applyBorder="1"/>
    <xf numFmtId="192" fontId="8" fillId="0" borderId="0" xfId="0" applyNumberFormat="1" applyFont="1" applyFill="1"/>
    <xf numFmtId="168" fontId="121" fillId="0" borderId="0" xfId="0" applyNumberFormat="1" applyFont="1" applyFill="1"/>
    <xf numFmtId="0" fontId="37" fillId="0" borderId="0" xfId="0" applyFont="1" applyFill="1"/>
    <xf numFmtId="192" fontId="12" fillId="0" borderId="0" xfId="0" applyNumberFormat="1" applyFont="1"/>
    <xf numFmtId="171" fontId="12" fillId="0" borderId="2" xfId="0" applyNumberFormat="1" applyFont="1" applyBorder="1"/>
    <xf numFmtId="205" fontId="8" fillId="0" borderId="0" xfId="0" applyNumberFormat="1" applyFont="1"/>
    <xf numFmtId="178" fontId="8" fillId="0" borderId="0" xfId="0" applyNumberFormat="1" applyFont="1"/>
    <xf numFmtId="44" fontId="4" fillId="0" borderId="0" xfId="0" applyNumberFormat="1" applyFont="1" applyBorder="1"/>
    <xf numFmtId="190" fontId="52" fillId="0" borderId="0" xfId="0" applyNumberFormat="1" applyFont="1" applyBorder="1"/>
    <xf numFmtId="195" fontId="50" fillId="0" borderId="0" xfId="0" applyNumberFormat="1" applyFont="1" applyBorder="1" applyAlignment="1">
      <alignment horizontal="center"/>
    </xf>
    <xf numFmtId="180" fontId="52" fillId="0" borderId="0" xfId="0" applyNumberFormat="1" applyFont="1" applyBorder="1"/>
    <xf numFmtId="215" fontId="8" fillId="0" borderId="0" xfId="0" applyNumberFormat="1" applyFont="1"/>
    <xf numFmtId="170" fontId="130" fillId="0" borderId="0" xfId="0" applyNumberFormat="1" applyFont="1" applyFill="1"/>
    <xf numFmtId="170" fontId="130" fillId="0" borderId="2" xfId="0" applyNumberFormat="1" applyFont="1" applyFill="1" applyBorder="1"/>
    <xf numFmtId="178" fontId="8" fillId="0" borderId="1" xfId="36" applyFont="1" applyBorder="1" applyAlignment="1" applyProtection="1">
      <alignment horizontal="left"/>
    </xf>
    <xf numFmtId="190" fontId="11" fillId="0" borderId="0" xfId="39" applyNumberFormat="1" applyFont="1" applyFill="1" applyBorder="1" applyAlignment="1">
      <alignment horizontal="center" wrapText="1"/>
    </xf>
    <xf numFmtId="0" fontId="110" fillId="0" borderId="11" xfId="28" applyFont="1" applyFill="1" applyBorder="1" applyAlignment="1">
      <alignment horizontal="right"/>
    </xf>
    <xf numFmtId="189" fontId="131" fillId="0" borderId="2" xfId="0" applyNumberFormat="1" applyFont="1" applyFill="1" applyBorder="1"/>
    <xf numFmtId="189" fontId="8" fillId="0" borderId="0" xfId="0" applyNumberFormat="1" applyFont="1" applyFill="1" applyBorder="1"/>
    <xf numFmtId="274" fontId="8" fillId="0" borderId="0" xfId="0" applyNumberFormat="1" applyFont="1" applyFill="1"/>
    <xf numFmtId="275" fontId="8" fillId="0" borderId="0" xfId="0" applyNumberFormat="1" applyFont="1" applyFill="1"/>
    <xf numFmtId="180" fontId="8" fillId="0" borderId="0" xfId="13" applyNumberFormat="1" applyFont="1"/>
    <xf numFmtId="43" fontId="107" fillId="0" borderId="0" xfId="13" applyNumberFormat="1" applyFont="1"/>
    <xf numFmtId="258" fontId="131" fillId="0" borderId="0" xfId="17" applyNumberFormat="1" applyFont="1" applyFill="1" applyBorder="1"/>
    <xf numFmtId="208" fontId="131" fillId="0" borderId="0" xfId="13" applyNumberFormat="1" applyFont="1" applyFill="1" applyBorder="1"/>
    <xf numFmtId="200" fontId="131" fillId="0" borderId="0" xfId="0" applyNumberFormat="1" applyFont="1" applyBorder="1"/>
    <xf numFmtId="180" fontId="8" fillId="0" borderId="2" xfId="0" applyNumberFormat="1" applyFont="1" applyBorder="1"/>
    <xf numFmtId="200" fontId="8" fillId="0" borderId="0" xfId="0" applyNumberFormat="1" applyFont="1" applyBorder="1" applyAlignment="1">
      <alignment horizontal="right"/>
    </xf>
    <xf numFmtId="200" fontId="8" fillId="0" borderId="2" xfId="0" applyNumberFormat="1" applyFont="1" applyBorder="1" applyAlignment="1">
      <alignment horizontal="right"/>
    </xf>
    <xf numFmtId="196" fontId="8" fillId="0" borderId="0" xfId="0" applyNumberFormat="1" applyFont="1" applyFill="1" applyAlignment="1">
      <alignment horizontal="right"/>
    </xf>
    <xf numFmtId="0" fontId="11" fillId="0" borderId="4" xfId="0" applyFont="1" applyBorder="1" applyAlignment="1">
      <alignment horizontal="center"/>
    </xf>
    <xf numFmtId="176" fontId="8" fillId="0" borderId="2" xfId="0" applyNumberFormat="1" applyFont="1" applyBorder="1"/>
    <xf numFmtId="177" fontId="8" fillId="0" borderId="0" xfId="0" applyNumberFormat="1" applyFont="1" applyFill="1" applyBorder="1"/>
    <xf numFmtId="196" fontId="8" fillId="0" borderId="11" xfId="0" applyNumberFormat="1" applyFont="1" applyFill="1" applyBorder="1"/>
    <xf numFmtId="0" fontId="133" fillId="0" borderId="0" xfId="0" applyFont="1"/>
    <xf numFmtId="0" fontId="88" fillId="0" borderId="0" xfId="0" applyFont="1" applyFill="1"/>
    <xf numFmtId="190" fontId="4" fillId="0" borderId="0" xfId="39" applyNumberFormat="1" applyFont="1" applyFill="1" applyAlignment="1">
      <alignment horizontal="center"/>
    </xf>
    <xf numFmtId="5" fontId="88" fillId="0" borderId="0" xfId="39" applyNumberFormat="1" applyFont="1"/>
    <xf numFmtId="9" fontId="4" fillId="0" borderId="0" xfId="39" applyNumberFormat="1" applyFont="1" applyAlignment="1">
      <alignment horizontal="center"/>
    </xf>
    <xf numFmtId="194" fontId="4" fillId="0" borderId="0" xfId="0" applyNumberFormat="1" applyFont="1" applyFill="1" applyAlignment="1">
      <alignment horizontal="left"/>
    </xf>
    <xf numFmtId="194" fontId="4" fillId="0" borderId="0" xfId="0" applyNumberFormat="1" applyFont="1" applyFill="1" applyAlignment="1">
      <alignment horizontal="center"/>
    </xf>
    <xf numFmtId="0" fontId="134" fillId="0" borderId="0" xfId="0" applyFont="1" applyFill="1" applyAlignment="1">
      <alignment horizontal="center"/>
    </xf>
    <xf numFmtId="190" fontId="17" fillId="0" borderId="0" xfId="39" applyNumberFormat="1" applyFont="1"/>
    <xf numFmtId="200" fontId="4" fillId="0" borderId="0" xfId="0" applyNumberFormat="1" applyFont="1" applyBorder="1"/>
    <xf numFmtId="173" fontId="26" fillId="0" borderId="0" xfId="0" applyNumberFormat="1" applyFont="1" applyBorder="1"/>
    <xf numFmtId="200" fontId="4" fillId="0" borderId="0" xfId="0" applyNumberFormat="1" applyFont="1"/>
    <xf numFmtId="190" fontId="4" fillId="0" borderId="0" xfId="39" applyNumberFormat="1" applyFont="1" applyFill="1"/>
    <xf numFmtId="173" fontId="4" fillId="0" borderId="0" xfId="0" applyNumberFormat="1" applyFont="1" applyBorder="1"/>
    <xf numFmtId="201" fontId="4" fillId="0" borderId="0" xfId="0" applyNumberFormat="1" applyFont="1" applyBorder="1"/>
    <xf numFmtId="173" fontId="4" fillId="0" borderId="0" xfId="0" applyNumberFormat="1" applyFont="1" applyFill="1" applyBorder="1"/>
    <xf numFmtId="208" fontId="4" fillId="0" borderId="0" xfId="13" applyNumberFormat="1" applyFont="1"/>
    <xf numFmtId="200" fontId="8" fillId="0" borderId="0" xfId="0" applyNumberFormat="1" applyFont="1" applyFill="1" applyAlignment="1">
      <alignment horizontal="center"/>
    </xf>
    <xf numFmtId="200" fontId="8" fillId="0" borderId="2" xfId="0" applyNumberFormat="1" applyFont="1" applyFill="1" applyBorder="1" applyAlignment="1">
      <alignment horizontal="center"/>
    </xf>
    <xf numFmtId="173" fontId="4" fillId="0" borderId="0" xfId="0" applyNumberFormat="1" applyFont="1" applyAlignment="1">
      <alignment horizontal="right"/>
    </xf>
    <xf numFmtId="200" fontId="4" fillId="0" borderId="0" xfId="0" applyNumberFormat="1" applyFont="1" applyAlignment="1">
      <alignment horizontal="right"/>
    </xf>
    <xf numFmtId="0" fontId="4" fillId="0" borderId="0" xfId="0" applyFont="1" applyFill="1" applyAlignment="1">
      <alignment horizontal="right"/>
    </xf>
    <xf numFmtId="208" fontId="136" fillId="0" borderId="2" xfId="13" applyNumberFormat="1" applyFont="1" applyBorder="1" applyAlignment="1">
      <alignment horizontal="right"/>
    </xf>
    <xf numFmtId="200" fontId="136" fillId="0" borderId="2" xfId="0" applyNumberFormat="1" applyFont="1" applyFill="1" applyBorder="1" applyAlignment="1">
      <alignment horizontal="center"/>
    </xf>
    <xf numFmtId="200" fontId="136" fillId="0" borderId="0" xfId="0" applyNumberFormat="1" applyFont="1" applyFill="1" applyAlignment="1">
      <alignment horizontal="center"/>
    </xf>
    <xf numFmtId="0" fontId="136" fillId="0" borderId="0" xfId="0" applyFont="1" applyFill="1"/>
    <xf numFmtId="0" fontId="136" fillId="0" borderId="0" xfId="0" applyFont="1" applyAlignment="1">
      <alignment horizontal="center"/>
    </xf>
    <xf numFmtId="0" fontId="12" fillId="2" borderId="0" xfId="0" applyFont="1" applyFill="1" applyAlignment="1">
      <alignment horizontal="center"/>
    </xf>
    <xf numFmtId="173" fontId="48" fillId="2" borderId="0" xfId="0" applyNumberFormat="1" applyFont="1" applyFill="1" applyBorder="1"/>
    <xf numFmtId="201" fontId="8" fillId="2" borderId="0" xfId="0" applyNumberFormat="1" applyFont="1" applyFill="1" applyBorder="1"/>
    <xf numFmtId="208" fontId="136" fillId="2" borderId="2" xfId="13" applyNumberFormat="1" applyFont="1" applyFill="1" applyBorder="1" applyAlignment="1">
      <alignment horizontal="right"/>
    </xf>
    <xf numFmtId="7" fontId="136" fillId="2" borderId="0" xfId="0" applyNumberFormat="1" applyFont="1" applyFill="1"/>
    <xf numFmtId="9" fontId="136" fillId="2" borderId="0" xfId="39" applyFont="1" applyFill="1" applyAlignment="1">
      <alignment horizontal="right"/>
    </xf>
    <xf numFmtId="173" fontId="136" fillId="2" borderId="0" xfId="0" applyNumberFormat="1" applyFont="1" applyFill="1" applyAlignment="1">
      <alignment horizontal="right"/>
    </xf>
    <xf numFmtId="200" fontId="136" fillId="2" borderId="0" xfId="0" applyNumberFormat="1" applyFont="1" applyFill="1" applyAlignment="1">
      <alignment horizontal="right"/>
    </xf>
    <xf numFmtId="5" fontId="89" fillId="2" borderId="0" xfId="39" applyNumberFormat="1" applyFont="1" applyFill="1"/>
    <xf numFmtId="173" fontId="12" fillId="2" borderId="0" xfId="39" applyNumberFormat="1" applyFont="1" applyFill="1"/>
    <xf numFmtId="200" fontId="12" fillId="2" borderId="2" xfId="0" applyNumberFormat="1" applyFont="1" applyFill="1" applyBorder="1"/>
    <xf numFmtId="9" fontId="12" fillId="2" borderId="0" xfId="39" applyFont="1" applyFill="1"/>
    <xf numFmtId="258" fontId="12" fillId="2" borderId="0" xfId="17" applyNumberFormat="1" applyFont="1" applyFill="1"/>
    <xf numFmtId="200" fontId="17" fillId="0" borderId="0" xfId="0" applyNumberFormat="1" applyFont="1"/>
    <xf numFmtId="200" fontId="17" fillId="0" borderId="0" xfId="0" applyNumberFormat="1" applyFont="1" applyFill="1"/>
    <xf numFmtId="173" fontId="17" fillId="0" borderId="0" xfId="39" applyNumberFormat="1" applyFont="1"/>
    <xf numFmtId="200" fontId="17" fillId="0" borderId="2" xfId="0" applyNumberFormat="1" applyFont="1" applyBorder="1"/>
    <xf numFmtId="200" fontId="4" fillId="0" borderId="2" xfId="0" applyNumberFormat="1" applyFont="1" applyBorder="1"/>
    <xf numFmtId="258" fontId="17" fillId="0" borderId="0" xfId="17" applyNumberFormat="1" applyFont="1"/>
    <xf numFmtId="165" fontId="4" fillId="0" borderId="0" xfId="0" applyNumberFormat="1" applyFont="1" applyFill="1"/>
    <xf numFmtId="0" fontId="17" fillId="0" borderId="0" xfId="0" applyFont="1" applyFill="1" applyAlignment="1">
      <alignment horizontal="center"/>
    </xf>
    <xf numFmtId="9" fontId="4" fillId="0" borderId="0" xfId="39" applyNumberFormat="1" applyFont="1"/>
    <xf numFmtId="190" fontId="17" fillId="0" borderId="0" xfId="39" applyNumberFormat="1" applyFont="1" applyFill="1"/>
    <xf numFmtId="190" fontId="4" fillId="0" borderId="0" xfId="0" applyNumberFormat="1" applyFont="1" applyFill="1"/>
    <xf numFmtId="190" fontId="4" fillId="0" borderId="0" xfId="39" applyNumberFormat="1" applyFont="1" applyAlignment="1">
      <alignment horizontal="center"/>
    </xf>
    <xf numFmtId="173" fontId="17" fillId="0" borderId="0" xfId="0" applyNumberFormat="1" applyFont="1" applyAlignment="1">
      <alignment horizontal="center"/>
    </xf>
    <xf numFmtId="190" fontId="17" fillId="0" borderId="0" xfId="39" applyNumberFormat="1" applyFont="1" applyAlignment="1">
      <alignment horizontal="center"/>
    </xf>
    <xf numFmtId="190" fontId="4" fillId="0" borderId="2" xfId="39" applyNumberFormat="1" applyFont="1" applyBorder="1" applyAlignment="1">
      <alignment horizontal="center"/>
    </xf>
    <xf numFmtId="200" fontId="4" fillId="0" borderId="0" xfId="0" applyNumberFormat="1" applyFont="1" applyAlignment="1">
      <alignment horizontal="center"/>
    </xf>
    <xf numFmtId="173" fontId="4" fillId="0" borderId="0" xfId="0" applyNumberFormat="1" applyFont="1" applyAlignment="1">
      <alignment horizontal="center"/>
    </xf>
    <xf numFmtId="208" fontId="4" fillId="0" borderId="0" xfId="13" applyNumberFormat="1" applyFont="1" applyAlignment="1">
      <alignment horizontal="center"/>
    </xf>
    <xf numFmtId="0" fontId="21" fillId="0" borderId="0" xfId="0" applyFont="1" applyFill="1" applyAlignment="1">
      <alignment horizontal="center"/>
    </xf>
    <xf numFmtId="190" fontId="4" fillId="0" borderId="0" xfId="39" quotePrefix="1" applyNumberFormat="1" applyFont="1" applyFill="1" applyAlignment="1">
      <alignment horizontal="center"/>
    </xf>
    <xf numFmtId="173" fontId="136" fillId="2" borderId="0" xfId="0" applyNumberFormat="1" applyFont="1" applyFill="1"/>
    <xf numFmtId="7" fontId="135" fillId="2" borderId="0" xfId="0" applyNumberFormat="1" applyFont="1" applyFill="1"/>
    <xf numFmtId="9" fontId="135" fillId="2" borderId="0" xfId="39" applyFont="1" applyFill="1" applyAlignment="1">
      <alignment horizontal="right"/>
    </xf>
    <xf numFmtId="173" fontId="135" fillId="2" borderId="0" xfId="0" applyNumberFormat="1" applyFont="1" applyFill="1"/>
    <xf numFmtId="173" fontId="138" fillId="0" borderId="0" xfId="0" applyNumberFormat="1" applyFont="1" applyFill="1" applyAlignment="1">
      <alignment horizontal="center"/>
    </xf>
    <xf numFmtId="173" fontId="136" fillId="0" borderId="0" xfId="0" applyNumberFormat="1" applyFont="1"/>
    <xf numFmtId="200" fontId="136" fillId="0" borderId="0" xfId="0" applyNumberFormat="1" applyFont="1" applyFill="1"/>
    <xf numFmtId="200" fontId="136" fillId="0" borderId="0" xfId="0" applyNumberFormat="1" applyFont="1" applyFill="1" applyBorder="1"/>
    <xf numFmtId="200" fontId="136" fillId="0" borderId="2" xfId="0" applyNumberFormat="1" applyFont="1" applyFill="1" applyBorder="1"/>
    <xf numFmtId="173" fontId="136" fillId="0" borderId="0" xfId="0" applyNumberFormat="1" applyFont="1" applyFill="1"/>
    <xf numFmtId="173" fontId="132" fillId="0" borderId="0" xfId="0" applyNumberFormat="1" applyFont="1" applyFill="1" applyAlignment="1">
      <alignment horizontal="center"/>
    </xf>
    <xf numFmtId="190" fontId="132" fillId="0" borderId="0" xfId="0" applyNumberFormat="1" applyFont="1" applyFill="1" applyAlignment="1">
      <alignment horizontal="center"/>
    </xf>
    <xf numFmtId="200" fontId="136" fillId="2" borderId="2" xfId="0" applyNumberFormat="1" applyFont="1" applyFill="1" applyBorder="1" applyAlignment="1">
      <alignment horizontal="right"/>
    </xf>
    <xf numFmtId="0" fontId="136" fillId="2" borderId="0" xfId="0" applyFont="1" applyFill="1" applyAlignment="1">
      <alignment horizontal="right"/>
    </xf>
    <xf numFmtId="201" fontId="136" fillId="2" borderId="0" xfId="0" applyNumberFormat="1" applyFont="1" applyFill="1" applyAlignment="1">
      <alignment horizontal="right"/>
    </xf>
    <xf numFmtId="0" fontId="136" fillId="0" borderId="0" xfId="0" applyFont="1" applyFill="1" applyAlignment="1">
      <alignment horizontal="center"/>
    </xf>
    <xf numFmtId="208" fontId="4" fillId="0" borderId="2" xfId="13" applyNumberFormat="1" applyFont="1" applyBorder="1"/>
    <xf numFmtId="260" fontId="78" fillId="0" borderId="0" xfId="17" applyNumberFormat="1" applyFont="1" applyFill="1"/>
    <xf numFmtId="7" fontId="4" fillId="0" borderId="0" xfId="0" applyNumberFormat="1" applyFont="1" applyFill="1"/>
    <xf numFmtId="0" fontId="10" fillId="0" borderId="0" xfId="0" applyFont="1" applyBorder="1"/>
    <xf numFmtId="0" fontId="4" fillId="0" borderId="0" xfId="0" applyFont="1" applyFill="1" applyBorder="1" applyAlignment="1">
      <alignment horizontal="center"/>
    </xf>
    <xf numFmtId="190" fontId="4" fillId="0" borderId="0" xfId="39" applyNumberFormat="1" applyFont="1" applyBorder="1"/>
    <xf numFmtId="173" fontId="17" fillId="0" borderId="0" xfId="0" applyNumberFormat="1" applyFont="1" applyBorder="1"/>
    <xf numFmtId="190" fontId="17" fillId="0" borderId="0" xfId="39" applyNumberFormat="1" applyFont="1" applyBorder="1"/>
    <xf numFmtId="9" fontId="4" fillId="0" borderId="0" xfId="39" applyNumberFormat="1" applyFont="1" applyBorder="1"/>
    <xf numFmtId="209" fontId="4" fillId="0" borderId="0" xfId="39" applyNumberFormat="1" applyFont="1" applyFill="1" applyAlignment="1">
      <alignment horizontal="center"/>
    </xf>
    <xf numFmtId="194" fontId="4" fillId="0" borderId="2" xfId="0" applyNumberFormat="1" applyFont="1" applyFill="1" applyBorder="1" applyAlignment="1">
      <alignment horizontal="center"/>
    </xf>
    <xf numFmtId="190" fontId="8" fillId="0" borderId="2" xfId="39" applyNumberFormat="1" applyFont="1" applyFill="1" applyBorder="1" applyAlignment="1">
      <alignment horizontal="center"/>
    </xf>
    <xf numFmtId="190" fontId="4" fillId="0" borderId="2" xfId="39" applyNumberFormat="1" applyFont="1" applyFill="1" applyBorder="1" applyAlignment="1">
      <alignment horizontal="center"/>
    </xf>
    <xf numFmtId="209" fontId="4" fillId="0" borderId="0" xfId="39" applyNumberFormat="1" applyFont="1" applyAlignment="1">
      <alignment horizontal="center"/>
    </xf>
    <xf numFmtId="209" fontId="17" fillId="0" borderId="0" xfId="39" applyNumberFormat="1" applyFont="1" applyAlignment="1">
      <alignment horizontal="center"/>
    </xf>
    <xf numFmtId="209" fontId="4" fillId="0" borderId="0" xfId="0" applyNumberFormat="1" applyFont="1" applyFill="1" applyAlignment="1">
      <alignment horizontal="center"/>
    </xf>
    <xf numFmtId="209" fontId="17" fillId="0" borderId="0" xfId="39" applyNumberFormat="1" applyFont="1" applyFill="1" applyAlignment="1">
      <alignment horizontal="center"/>
    </xf>
    <xf numFmtId="0" fontId="10" fillId="0" borderId="0" xfId="0" applyFont="1" applyFill="1" applyBorder="1"/>
    <xf numFmtId="0" fontId="10" fillId="0" borderId="0" xfId="0" applyFont="1" applyFill="1" applyBorder="1" applyAlignment="1">
      <alignment horizontal="centerContinuous"/>
    </xf>
    <xf numFmtId="190" fontId="4" fillId="0" borderId="0" xfId="39" applyNumberFormat="1" applyFont="1" applyFill="1" applyBorder="1"/>
    <xf numFmtId="9" fontId="4" fillId="0" borderId="0" xfId="39" applyFont="1" applyFill="1" applyBorder="1"/>
    <xf numFmtId="43" fontId="4" fillId="0" borderId="0" xfId="13" applyFont="1" applyFill="1" applyBorder="1"/>
    <xf numFmtId="9" fontId="138" fillId="0" borderId="0" xfId="39" applyFont="1" applyFill="1" applyBorder="1"/>
    <xf numFmtId="0" fontId="138" fillId="0" borderId="0" xfId="0" applyFont="1" applyFill="1" applyBorder="1"/>
    <xf numFmtId="43" fontId="138" fillId="0" borderId="0" xfId="13" applyFont="1" applyFill="1" applyBorder="1"/>
    <xf numFmtId="209" fontId="132" fillId="0" borderId="0" xfId="39" applyNumberFormat="1" applyFont="1" applyAlignment="1">
      <alignment horizontal="center"/>
    </xf>
    <xf numFmtId="209" fontId="132" fillId="0" borderId="0" xfId="0" applyNumberFormat="1" applyFont="1" applyFill="1" applyAlignment="1">
      <alignment horizontal="center"/>
    </xf>
    <xf numFmtId="209" fontId="132" fillId="0" borderId="0" xfId="39" applyNumberFormat="1" applyFont="1" applyFill="1" applyAlignment="1">
      <alignment horizontal="center"/>
    </xf>
    <xf numFmtId="190" fontId="139" fillId="0" borderId="0" xfId="39" applyNumberFormat="1" applyFont="1" applyFill="1"/>
    <xf numFmtId="200" fontId="136" fillId="2" borderId="0" xfId="0" applyNumberFormat="1" applyFont="1" applyFill="1"/>
    <xf numFmtId="200" fontId="136" fillId="2" borderId="2" xfId="0" applyNumberFormat="1" applyFont="1" applyFill="1" applyBorder="1"/>
    <xf numFmtId="0" fontId="136" fillId="2" borderId="0" xfId="0" applyFont="1" applyFill="1"/>
    <xf numFmtId="190" fontId="4" fillId="0" borderId="0" xfId="0" applyNumberFormat="1" applyFont="1" applyFill="1" applyBorder="1"/>
    <xf numFmtId="0" fontId="10" fillId="0" borderId="0" xfId="0" applyFont="1" applyFill="1" applyBorder="1" applyAlignment="1">
      <alignment horizontal="center"/>
    </xf>
    <xf numFmtId="6" fontId="4" fillId="0" borderId="0" xfId="0" applyNumberFormat="1" applyFont="1" applyFill="1" applyBorder="1"/>
    <xf numFmtId="194" fontId="4" fillId="0" borderId="0" xfId="0" applyNumberFormat="1" applyFont="1" applyFill="1" applyBorder="1" applyAlignment="1">
      <alignment horizontal="left"/>
    </xf>
    <xf numFmtId="200" fontId="4" fillId="0" borderId="0" xfId="0" applyNumberFormat="1" applyFont="1" applyFill="1" applyBorder="1"/>
    <xf numFmtId="172" fontId="4" fillId="0" borderId="0" xfId="0" applyNumberFormat="1" applyFont="1" applyFill="1" applyBorder="1"/>
    <xf numFmtId="173" fontId="4" fillId="2" borderId="0" xfId="0" applyNumberFormat="1" applyFont="1" applyFill="1" applyBorder="1"/>
    <xf numFmtId="190" fontId="4" fillId="2" borderId="0" xfId="39" applyNumberFormat="1" applyFont="1" applyFill="1" applyBorder="1"/>
    <xf numFmtId="194" fontId="4" fillId="2" borderId="0" xfId="0" applyNumberFormat="1" applyFont="1" applyFill="1" applyBorder="1" applyAlignment="1">
      <alignment horizontal="left"/>
    </xf>
    <xf numFmtId="200" fontId="4" fillId="2" borderId="0" xfId="0" applyNumberFormat="1" applyFont="1" applyFill="1" applyBorder="1"/>
    <xf numFmtId="0" fontId="4" fillId="0" borderId="4" xfId="0" applyFont="1" applyFill="1" applyBorder="1"/>
    <xf numFmtId="0" fontId="4" fillId="0" borderId="4" xfId="0" applyFont="1" applyFill="1" applyBorder="1" applyAlignment="1">
      <alignment horizontal="center"/>
    </xf>
    <xf numFmtId="0" fontId="8" fillId="0" borderId="4" xfId="0" applyFont="1" applyFill="1" applyBorder="1"/>
    <xf numFmtId="0" fontId="89" fillId="0" borderId="4" xfId="0" applyFont="1" applyFill="1" applyBorder="1"/>
    <xf numFmtId="0" fontId="88" fillId="0" borderId="4" xfId="0" applyFont="1" applyFill="1" applyBorder="1"/>
    <xf numFmtId="0" fontId="11" fillId="0" borderId="4" xfId="0" applyFont="1" applyFill="1" applyBorder="1"/>
    <xf numFmtId="0" fontId="10" fillId="0" borderId="4" xfId="0" applyFont="1" applyFill="1" applyBorder="1" applyAlignment="1">
      <alignment horizontal="centerContinuous"/>
    </xf>
    <xf numFmtId="0" fontId="11" fillId="0" borderId="4" xfId="0" applyFont="1" applyFill="1" applyBorder="1" applyAlignment="1">
      <alignment horizontal="centerContinuous"/>
    </xf>
    <xf numFmtId="0" fontId="10" fillId="0" borderId="12" xfId="0" applyFont="1" applyFill="1" applyBorder="1" applyAlignment="1">
      <alignment horizontal="centerContinuous"/>
    </xf>
    <xf numFmtId="171" fontId="8" fillId="0" borderId="0" xfId="0" applyNumberFormat="1" applyFont="1" applyFill="1" applyBorder="1"/>
    <xf numFmtId="190" fontId="23" fillId="0" borderId="0" xfId="39" applyNumberFormat="1" applyFont="1" applyFill="1" applyBorder="1"/>
    <xf numFmtId="3" fontId="8" fillId="0" borderId="0" xfId="17" applyNumberFormat="1" applyFont="1" applyFill="1" applyBorder="1"/>
    <xf numFmtId="6" fontId="4" fillId="2" borderId="0" xfId="0" applyNumberFormat="1" applyFont="1" applyFill="1" applyBorder="1"/>
    <xf numFmtId="208" fontId="4" fillId="2" borderId="0" xfId="13" applyNumberFormat="1" applyFont="1" applyFill="1" applyBorder="1"/>
    <xf numFmtId="208" fontId="4" fillId="2" borderId="2" xfId="13" applyNumberFormat="1" applyFont="1" applyFill="1" applyBorder="1"/>
    <xf numFmtId="0" fontId="4" fillId="2" borderId="0" xfId="0" applyFont="1" applyFill="1" applyBorder="1"/>
    <xf numFmtId="173" fontId="4" fillId="2" borderId="0" xfId="0" applyNumberFormat="1" applyFont="1" applyFill="1"/>
    <xf numFmtId="173" fontId="4" fillId="2" borderId="2" xfId="0" applyNumberFormat="1" applyFont="1" applyFill="1" applyBorder="1"/>
    <xf numFmtId="0" fontId="28" fillId="0" borderId="4" xfId="0" applyFont="1" applyFill="1" applyBorder="1" applyAlignment="1">
      <alignment horizontal="centerContinuous"/>
    </xf>
    <xf numFmtId="194" fontId="135" fillId="0" borderId="0" xfId="0" applyNumberFormat="1" applyFont="1" applyFill="1" applyAlignment="1">
      <alignment horizontal="left"/>
    </xf>
    <xf numFmtId="194" fontId="135" fillId="0" borderId="0" xfId="0" applyNumberFormat="1" applyFont="1" applyFill="1" applyBorder="1" applyAlignment="1">
      <alignment horizontal="left"/>
    </xf>
    <xf numFmtId="0" fontId="10" fillId="0" borderId="2" xfId="0" applyFont="1" applyFill="1" applyBorder="1" applyAlignment="1">
      <alignment horizontal="center" wrapText="1"/>
    </xf>
    <xf numFmtId="208" fontId="12" fillId="0" borderId="0" xfId="13" applyNumberFormat="1" applyFont="1" applyFill="1"/>
    <xf numFmtId="190" fontId="8" fillId="0" borderId="2" xfId="39" applyNumberFormat="1" applyFont="1" applyFill="1" applyBorder="1"/>
    <xf numFmtId="208" fontId="27" fillId="0" borderId="2" xfId="13" applyNumberFormat="1" applyFont="1" applyFill="1" applyBorder="1"/>
    <xf numFmtId="0" fontId="28" fillId="0" borderId="4" xfId="0" applyFont="1" applyFill="1" applyBorder="1" applyAlignment="1"/>
    <xf numFmtId="9" fontId="4" fillId="0" borderId="0" xfId="39" applyFont="1" applyFill="1"/>
    <xf numFmtId="200" fontId="136" fillId="0" borderId="0" xfId="0" applyNumberFormat="1" applyFont="1"/>
    <xf numFmtId="190" fontId="4" fillId="0" borderId="0" xfId="0" applyNumberFormat="1" applyFont="1" applyBorder="1"/>
    <xf numFmtId="0" fontId="28" fillId="0" borderId="12" xfId="0" applyFont="1" applyFill="1" applyBorder="1" applyAlignment="1"/>
    <xf numFmtId="173" fontId="137" fillId="0" borderId="0" xfId="0" applyNumberFormat="1" applyFont="1" applyFill="1"/>
    <xf numFmtId="0" fontId="137" fillId="0" borderId="0" xfId="0" applyFont="1" applyFill="1"/>
    <xf numFmtId="200" fontId="137" fillId="0" borderId="0" xfId="0" applyNumberFormat="1" applyFont="1" applyFill="1"/>
    <xf numFmtId="200" fontId="137" fillId="0" borderId="2" xfId="0" applyNumberFormat="1" applyFont="1" applyFill="1" applyBorder="1"/>
    <xf numFmtId="173" fontId="137" fillId="0" borderId="0" xfId="0" applyNumberFormat="1" applyFont="1"/>
    <xf numFmtId="200" fontId="137" fillId="0" borderId="0" xfId="0" applyNumberFormat="1" applyFont="1"/>
    <xf numFmtId="6" fontId="8" fillId="0" borderId="0" xfId="36" applyNumberFormat="1" applyFont="1" applyFill="1" applyProtection="1"/>
    <xf numFmtId="166" fontId="8" fillId="0" borderId="0" xfId="36" applyNumberFormat="1" applyFont="1" applyFill="1" applyProtection="1"/>
    <xf numFmtId="178" fontId="11" fillId="0" borderId="0" xfId="36" applyNumberFormat="1" applyFont="1" applyAlignment="1" applyProtection="1">
      <alignment horizontal="left"/>
    </xf>
    <xf numFmtId="209" fontId="132" fillId="0" borderId="0" xfId="39" quotePrefix="1" applyNumberFormat="1" applyFont="1" applyFill="1" applyAlignment="1">
      <alignment horizontal="center"/>
    </xf>
    <xf numFmtId="165" fontId="8" fillId="0" borderId="0" xfId="0" applyNumberFormat="1" applyFont="1" applyAlignment="1">
      <alignment horizontal="center"/>
    </xf>
    <xf numFmtId="171" fontId="136" fillId="0" borderId="0" xfId="0" applyNumberFormat="1" applyFont="1" applyFill="1" applyAlignment="1">
      <alignment horizontal="center"/>
    </xf>
    <xf numFmtId="164" fontId="136" fillId="0" borderId="0" xfId="0" applyNumberFormat="1" applyFont="1" applyFill="1" applyAlignment="1">
      <alignment horizontal="center"/>
    </xf>
    <xf numFmtId="205" fontId="136" fillId="0" borderId="0" xfId="0" applyNumberFormat="1" applyFont="1" applyFill="1" applyAlignment="1">
      <alignment horizontal="center"/>
    </xf>
    <xf numFmtId="164" fontId="136" fillId="0" borderId="0" xfId="0" applyNumberFormat="1" applyFont="1" applyAlignment="1">
      <alignment horizontal="center"/>
    </xf>
    <xf numFmtId="205" fontId="136" fillId="0" borderId="0" xfId="0" applyNumberFormat="1" applyFont="1" applyAlignment="1">
      <alignment horizontal="center"/>
    </xf>
    <xf numFmtId="205" fontId="135" fillId="0" borderId="0" xfId="0" applyNumberFormat="1" applyFont="1" applyFill="1" applyAlignment="1">
      <alignment horizontal="center"/>
    </xf>
    <xf numFmtId="200" fontId="4" fillId="0" borderId="2" xfId="0" applyNumberFormat="1" applyFont="1" applyFill="1" applyBorder="1"/>
    <xf numFmtId="200" fontId="4" fillId="0" borderId="0" xfId="0" applyNumberFormat="1" applyFont="1" applyFill="1"/>
    <xf numFmtId="190" fontId="10" fillId="0" borderId="0" xfId="39" applyNumberFormat="1" applyFont="1" applyFill="1" applyBorder="1" applyAlignment="1">
      <alignment horizontal="center"/>
    </xf>
    <xf numFmtId="260" fontId="8" fillId="0" borderId="0" xfId="17" applyNumberFormat="1" applyFont="1" applyProtection="1"/>
    <xf numFmtId="178" fontId="8" fillId="0" borderId="0" xfId="13" applyNumberFormat="1" applyFont="1"/>
    <xf numFmtId="7" fontId="11" fillId="0" borderId="0" xfId="36" applyNumberFormat="1" applyFont="1" applyFill="1" applyProtection="1"/>
    <xf numFmtId="5" fontId="11" fillId="0" borderId="0" xfId="36" applyNumberFormat="1" applyFont="1" applyFill="1" applyProtection="1"/>
    <xf numFmtId="5" fontId="11" fillId="0" borderId="0" xfId="36" applyNumberFormat="1" applyFont="1" applyBorder="1" applyProtection="1"/>
    <xf numFmtId="5" fontId="11" fillId="0" borderId="0" xfId="36" applyNumberFormat="1" applyFont="1" applyProtection="1"/>
    <xf numFmtId="5" fontId="8" fillId="0" borderId="0" xfId="36" applyNumberFormat="1" applyFont="1" applyFill="1" applyProtection="1"/>
    <xf numFmtId="5" fontId="12" fillId="0" borderId="0" xfId="36" applyNumberFormat="1" applyFont="1" applyFill="1" applyProtection="1"/>
    <xf numFmtId="6" fontId="12" fillId="0" borderId="0" xfId="36" applyNumberFormat="1" applyFont="1" applyFill="1" applyProtection="1"/>
    <xf numFmtId="166" fontId="8" fillId="0" borderId="0" xfId="36" quotePrefix="1" applyNumberFormat="1" applyFont="1" applyProtection="1"/>
    <xf numFmtId="9" fontId="11" fillId="0" borderId="0" xfId="39" applyFont="1"/>
    <xf numFmtId="0" fontId="22" fillId="0" borderId="0" xfId="0" applyFont="1" applyAlignment="1">
      <alignment horizontal="left"/>
    </xf>
    <xf numFmtId="0" fontId="66" fillId="0" borderId="0" xfId="0" applyFont="1" applyAlignment="1">
      <alignment horizontal="left"/>
    </xf>
    <xf numFmtId="0" fontId="66" fillId="0" borderId="0" xfId="0" applyFont="1" applyAlignment="1">
      <alignment horizontal="center"/>
    </xf>
    <xf numFmtId="170" fontId="140" fillId="0" borderId="2" xfId="0" applyNumberFormat="1" applyFont="1" applyFill="1" applyBorder="1"/>
    <xf numFmtId="165" fontId="140" fillId="0" borderId="2" xfId="0" applyNumberFormat="1" applyFont="1" applyFill="1" applyBorder="1"/>
    <xf numFmtId="167" fontId="140" fillId="0" borderId="2" xfId="0" applyNumberFormat="1" applyFont="1" applyFill="1" applyBorder="1"/>
    <xf numFmtId="170" fontId="140" fillId="0" borderId="0" xfId="0" applyNumberFormat="1" applyFont="1" applyFill="1"/>
    <xf numFmtId="170" fontId="25" fillId="0" borderId="0" xfId="0" applyNumberFormat="1" applyFont="1" applyBorder="1" applyAlignment="1">
      <alignment horizontal="centerContinuous"/>
    </xf>
    <xf numFmtId="190" fontId="141" fillId="0" borderId="0" xfId="39" applyNumberFormat="1" applyFont="1" applyFill="1"/>
    <xf numFmtId="209" fontId="141" fillId="0" borderId="0" xfId="39" applyNumberFormat="1" applyFont="1" applyFill="1" applyAlignment="1">
      <alignment horizontal="center"/>
    </xf>
    <xf numFmtId="208" fontId="140" fillId="2" borderId="2" xfId="13" applyNumberFormat="1" applyFont="1" applyFill="1" applyBorder="1" applyAlignment="1">
      <alignment horizontal="right"/>
    </xf>
    <xf numFmtId="0" fontId="0" fillId="2" borderId="2" xfId="0" applyFill="1" applyBorder="1"/>
    <xf numFmtId="164" fontId="142" fillId="0" borderId="0" xfId="0" applyNumberFormat="1" applyFont="1"/>
    <xf numFmtId="180" fontId="142" fillId="0" borderId="0" xfId="0" applyNumberFormat="1" applyFont="1"/>
    <xf numFmtId="165" fontId="142" fillId="0" borderId="0" xfId="0" applyNumberFormat="1" applyFont="1" applyFill="1"/>
    <xf numFmtId="200" fontId="140" fillId="0" borderId="0" xfId="0" applyNumberFormat="1" applyFont="1" applyFill="1"/>
    <xf numFmtId="200" fontId="140" fillId="0" borderId="2" xfId="0" applyNumberFormat="1" applyFont="1" applyFill="1" applyBorder="1"/>
    <xf numFmtId="167" fontId="140" fillId="0" borderId="0" xfId="0" applyNumberFormat="1" applyFont="1"/>
    <xf numFmtId="167" fontId="140" fillId="0" borderId="0" xfId="0" applyNumberFormat="1" applyFont="1" applyFill="1"/>
    <xf numFmtId="0" fontId="140" fillId="0" borderId="0" xfId="0" applyFont="1"/>
    <xf numFmtId="190" fontId="11" fillId="0" borderId="0" xfId="39" applyNumberFormat="1" applyFont="1" applyFill="1" applyAlignment="1">
      <alignment horizontal="center" wrapText="1"/>
    </xf>
    <xf numFmtId="0" fontId="10" fillId="0" borderId="0" xfId="0" applyFont="1" applyFill="1" applyBorder="1" applyAlignment="1">
      <alignment horizontal="center" wrapText="1"/>
    </xf>
    <xf numFmtId="173" fontId="140" fillId="0" borderId="0" xfId="0" applyNumberFormat="1" applyFont="1"/>
    <xf numFmtId="200" fontId="140" fillId="0" borderId="0" xfId="0" applyNumberFormat="1" applyFont="1" applyFill="1" applyBorder="1"/>
    <xf numFmtId="167" fontId="140" fillId="0" borderId="0" xfId="23" applyNumberFormat="1" applyFont="1" applyFill="1" applyBorder="1"/>
    <xf numFmtId="166" fontId="0" fillId="0" borderId="0" xfId="39" applyNumberFormat="1" applyFont="1"/>
    <xf numFmtId="191" fontId="140" fillId="0" borderId="0" xfId="36" applyNumberFormat="1" applyFont="1" applyFill="1" applyProtection="1"/>
    <xf numFmtId="205" fontId="140" fillId="0" borderId="0" xfId="0" applyNumberFormat="1" applyFont="1" applyFill="1" applyAlignment="1">
      <alignment horizontal="center"/>
    </xf>
    <xf numFmtId="166" fontId="140" fillId="0" borderId="0" xfId="36" applyNumberFormat="1" applyFont="1" applyProtection="1"/>
    <xf numFmtId="9" fontId="12" fillId="0" borderId="0" xfId="39" applyNumberFormat="1" applyFont="1" applyFill="1" applyBorder="1"/>
    <xf numFmtId="164" fontId="142" fillId="0" borderId="2" xfId="0" applyNumberFormat="1" applyFont="1" applyBorder="1"/>
    <xf numFmtId="164" fontId="142" fillId="0" borderId="0" xfId="0" applyNumberFormat="1" applyFont="1" applyFill="1"/>
    <xf numFmtId="164" fontId="142" fillId="0" borderId="2" xfId="0" applyNumberFormat="1" applyFont="1" applyFill="1" applyBorder="1"/>
    <xf numFmtId="164" fontId="142" fillId="0" borderId="0" xfId="0" applyNumberFormat="1" applyFont="1" applyFill="1" applyBorder="1"/>
    <xf numFmtId="200" fontId="140" fillId="0" borderId="0" xfId="0" applyNumberFormat="1" applyFont="1" applyBorder="1"/>
    <xf numFmtId="237" fontId="140" fillId="0" borderId="0" xfId="0" applyNumberFormat="1" applyFont="1" applyBorder="1" applyAlignment="1">
      <alignment horizontal="right"/>
    </xf>
    <xf numFmtId="172" fontId="8" fillId="0" borderId="12" xfId="0" applyNumberFormat="1" applyFont="1" applyBorder="1"/>
    <xf numFmtId="5" fontId="143" fillId="4" borderId="0" xfId="28" applyNumberFormat="1" applyFont="1" applyFill="1" applyBorder="1" applyAlignment="1">
      <alignment horizontal="center"/>
    </xf>
    <xf numFmtId="187" fontId="141" fillId="4" borderId="0" xfId="0" applyNumberFormat="1" applyFont="1" applyFill="1" applyBorder="1" applyAlignment="1" applyProtection="1">
      <alignment horizontal="center"/>
    </xf>
    <xf numFmtId="0" fontId="141" fillId="4" borderId="0" xfId="0" applyFont="1" applyFill="1" applyBorder="1" applyAlignment="1">
      <alignment horizontal="center"/>
    </xf>
    <xf numFmtId="37" fontId="143" fillId="4" borderId="0" xfId="28" applyNumberFormat="1" applyFont="1" applyFill="1" applyBorder="1" applyAlignment="1">
      <alignment horizontal="center"/>
    </xf>
    <xf numFmtId="37" fontId="141" fillId="4" borderId="0" xfId="0" applyNumberFormat="1" applyFont="1" applyFill="1" applyBorder="1" applyAlignment="1" applyProtection="1">
      <alignment horizontal="center"/>
    </xf>
    <xf numFmtId="39" fontId="141" fillId="4" borderId="0" xfId="0" applyNumberFormat="1" applyFont="1" applyFill="1" applyBorder="1" applyAlignment="1" applyProtection="1">
      <alignment horizontal="center"/>
    </xf>
    <xf numFmtId="7" fontId="143" fillId="4" borderId="0" xfId="28" applyNumberFormat="1" applyFont="1" applyFill="1" applyBorder="1" applyAlignment="1">
      <alignment horizontal="center"/>
    </xf>
    <xf numFmtId="167" fontId="143" fillId="4" borderId="0" xfId="28" applyNumberFormat="1" applyFont="1" applyFill="1" applyBorder="1" applyAlignment="1">
      <alignment horizontal="center"/>
    </xf>
    <xf numFmtId="167" fontId="141" fillId="4" borderId="0" xfId="0" applyNumberFormat="1" applyFont="1" applyFill="1" applyBorder="1" applyAlignment="1" applyProtection="1">
      <alignment horizontal="center"/>
    </xf>
    <xf numFmtId="187" fontId="143" fillId="4" borderId="0" xfId="41" applyNumberFormat="1" applyFont="1" applyFill="1" applyBorder="1" applyAlignment="1">
      <alignment horizontal="center"/>
    </xf>
    <xf numFmtId="187" fontId="143" fillId="4" borderId="0" xfId="43" applyNumberFormat="1" applyFont="1" applyFill="1" applyBorder="1" applyAlignment="1">
      <alignment horizontal="center"/>
    </xf>
    <xf numFmtId="187" fontId="141" fillId="4" borderId="0" xfId="0" applyNumberFormat="1" applyFont="1" applyFill="1" applyAlignment="1" applyProtection="1">
      <alignment horizontal="center"/>
    </xf>
    <xf numFmtId="187" fontId="141" fillId="0" borderId="0" xfId="0" applyNumberFormat="1" applyFont="1" applyFill="1" applyAlignment="1" applyProtection="1">
      <alignment horizontal="center"/>
    </xf>
    <xf numFmtId="5" fontId="144" fillId="0" borderId="0" xfId="0" applyNumberFormat="1" applyFont="1" applyFill="1" applyAlignment="1" applyProtection="1">
      <alignment horizontal="center"/>
    </xf>
    <xf numFmtId="37" fontId="141" fillId="0" borderId="0" xfId="0" applyNumberFormat="1" applyFont="1" applyFill="1" applyAlignment="1" applyProtection="1">
      <alignment horizontal="center"/>
    </xf>
    <xf numFmtId="7" fontId="144" fillId="0" borderId="0" xfId="0" applyNumberFormat="1" applyFont="1" applyFill="1" applyAlignment="1" applyProtection="1">
      <alignment horizontal="center"/>
    </xf>
    <xf numFmtId="172" fontId="140" fillId="0" borderId="0" xfId="0" applyNumberFormat="1" applyFont="1" applyFill="1"/>
    <xf numFmtId="180" fontId="140" fillId="0" borderId="0" xfId="0" applyNumberFormat="1" applyFont="1" applyFill="1"/>
    <xf numFmtId="194" fontId="140" fillId="0" borderId="0" xfId="0" applyNumberFormat="1" applyFont="1" applyFill="1" applyAlignment="1">
      <alignment horizontal="left"/>
    </xf>
    <xf numFmtId="170" fontId="140" fillId="0" borderId="0" xfId="0" applyNumberFormat="1" applyFont="1" applyFill="1" applyBorder="1"/>
    <xf numFmtId="173" fontId="140" fillId="2" borderId="0" xfId="0" applyNumberFormat="1" applyFont="1" applyFill="1" applyAlignment="1">
      <alignment horizontal="right"/>
    </xf>
    <xf numFmtId="200" fontId="140" fillId="0" borderId="0" xfId="0" applyNumberFormat="1" applyFont="1" applyFill="1" applyAlignment="1">
      <alignment horizontal="center"/>
    </xf>
    <xf numFmtId="173" fontId="140" fillId="2" borderId="0" xfId="0" applyNumberFormat="1" applyFont="1" applyFill="1"/>
    <xf numFmtId="190" fontId="141" fillId="0" borderId="0" xfId="39" applyNumberFormat="1" applyFont="1" applyFill="1" applyAlignment="1">
      <alignment horizontal="center"/>
    </xf>
    <xf numFmtId="173" fontId="140" fillId="0" borderId="0" xfId="0" applyNumberFormat="1" applyFont="1" applyFill="1"/>
    <xf numFmtId="9" fontId="0" fillId="0" borderId="0" xfId="39" applyFont="1"/>
    <xf numFmtId="8" fontId="124" fillId="0" borderId="0" xfId="0" applyNumberFormat="1" applyFont="1" applyAlignment="1">
      <alignment horizontal="right"/>
    </xf>
    <xf numFmtId="166" fontId="4" fillId="0" borderId="0" xfId="39" applyNumberFormat="1" applyFont="1" applyFill="1" applyBorder="1"/>
    <xf numFmtId="258" fontId="140" fillId="0" borderId="0" xfId="17" applyNumberFormat="1" applyFont="1" applyFill="1" applyBorder="1"/>
    <xf numFmtId="173" fontId="140" fillId="0" borderId="0" xfId="0" applyNumberFormat="1" applyFont="1" applyFill="1" applyBorder="1"/>
    <xf numFmtId="173" fontId="4" fillId="0" borderId="2" xfId="0" applyNumberFormat="1" applyFont="1" applyFill="1" applyBorder="1"/>
    <xf numFmtId="2" fontId="8" fillId="0" borderId="0" xfId="39" applyNumberFormat="1" applyFont="1" applyFill="1"/>
    <xf numFmtId="190" fontId="132" fillId="0" borderId="0" xfId="39" applyNumberFormat="1" applyFont="1" applyFill="1" applyAlignment="1">
      <alignment horizontal="center"/>
    </xf>
    <xf numFmtId="166" fontId="8" fillId="0" borderId="0" xfId="39" applyNumberFormat="1" applyFont="1" applyAlignment="1">
      <alignment horizontal="centerContinuous"/>
    </xf>
    <xf numFmtId="173" fontId="0" fillId="0" borderId="0" xfId="0" applyNumberFormat="1"/>
    <xf numFmtId="278" fontId="9" fillId="0" borderId="0" xfId="23" applyNumberFormat="1" applyFont="1" applyFill="1" applyBorder="1" applyAlignment="1">
      <alignment horizontal="right"/>
    </xf>
    <xf numFmtId="195" fontId="20" fillId="0" borderId="2" xfId="0" applyNumberFormat="1" applyFont="1" applyFill="1" applyBorder="1" applyAlignment="1">
      <alignment horizontal="center"/>
    </xf>
    <xf numFmtId="208" fontId="140" fillId="0" borderId="0" xfId="13" applyNumberFormat="1" applyFont="1" applyFill="1" applyBorder="1"/>
    <xf numFmtId="9" fontId="138" fillId="0" borderId="0" xfId="39" applyFont="1" applyFill="1" applyAlignment="1">
      <alignment horizontal="center"/>
    </xf>
    <xf numFmtId="9" fontId="12" fillId="0" borderId="0" xfId="39" applyFont="1" applyFill="1" applyAlignment="1">
      <alignment horizontal="left"/>
    </xf>
    <xf numFmtId="0" fontId="8" fillId="0" borderId="0" xfId="23" applyFont="1" applyFill="1" applyBorder="1" applyAlignment="1">
      <alignment horizontal="right"/>
    </xf>
    <xf numFmtId="167" fontId="0" fillId="0" borderId="0" xfId="0" applyNumberFormat="1"/>
    <xf numFmtId="9" fontId="8" fillId="0" borderId="0" xfId="0" applyNumberFormat="1" applyFont="1" applyFill="1"/>
    <xf numFmtId="9" fontId="32" fillId="0" borderId="0" xfId="0" applyNumberFormat="1" applyFont="1" applyFill="1" applyBorder="1" applyAlignment="1">
      <alignment horizontal="center"/>
    </xf>
    <xf numFmtId="166" fontId="140" fillId="0" borderId="0" xfId="39" applyNumberFormat="1" applyFont="1" applyProtection="1"/>
    <xf numFmtId="44" fontId="8" fillId="0" borderId="0" xfId="17" applyFont="1" applyFill="1" applyBorder="1"/>
    <xf numFmtId="9" fontId="12" fillId="0" borderId="0" xfId="39" applyFont="1" applyFill="1" applyBorder="1"/>
    <xf numFmtId="1" fontId="8" fillId="0" borderId="0" xfId="0" applyNumberFormat="1" applyFont="1" applyBorder="1"/>
    <xf numFmtId="1" fontId="8" fillId="0" borderId="0" xfId="0" applyNumberFormat="1" applyFont="1" applyFill="1" applyBorder="1"/>
    <xf numFmtId="237" fontId="8" fillId="0" borderId="0" xfId="0" applyNumberFormat="1" applyFont="1" applyFill="1" applyBorder="1" applyAlignment="1">
      <alignment horizontal="right"/>
    </xf>
    <xf numFmtId="165" fontId="8" fillId="0" borderId="0" xfId="0" applyNumberFormat="1" applyFont="1" applyAlignment="1">
      <alignment horizontal="right"/>
    </xf>
    <xf numFmtId="277" fontId="8" fillId="0" borderId="0" xfId="22" applyNumberFormat="1" applyFont="1" applyFill="1" applyAlignment="1">
      <alignment horizontal="right"/>
    </xf>
    <xf numFmtId="189" fontId="8" fillId="0" borderId="2" xfId="0" applyNumberFormat="1" applyFont="1" applyFill="1" applyBorder="1"/>
    <xf numFmtId="189" fontId="8" fillId="0" borderId="2" xfId="0" applyNumberFormat="1" applyFont="1" applyBorder="1"/>
    <xf numFmtId="170" fontId="140" fillId="0" borderId="11" xfId="0" applyNumberFormat="1" applyFont="1" applyFill="1" applyBorder="1"/>
    <xf numFmtId="200" fontId="140" fillId="0" borderId="2" xfId="0" applyNumberFormat="1" applyFont="1" applyFill="1" applyBorder="1" applyAlignment="1">
      <alignment horizontal="center"/>
    </xf>
    <xf numFmtId="200" fontId="140" fillId="0" borderId="0" xfId="0" applyNumberFormat="1" applyFont="1" applyFill="1" applyBorder="1" applyAlignment="1">
      <alignment horizontal="center"/>
    </xf>
    <xf numFmtId="196" fontId="140" fillId="0" borderId="0" xfId="0" applyNumberFormat="1" applyFont="1" applyFill="1"/>
    <xf numFmtId="196" fontId="140" fillId="0" borderId="2" xfId="0" applyNumberFormat="1" applyFont="1" applyFill="1" applyBorder="1"/>
    <xf numFmtId="178" fontId="8" fillId="0" borderId="0" xfId="0" applyNumberFormat="1" applyFont="1" applyFill="1"/>
    <xf numFmtId="175" fontId="8" fillId="0" borderId="0" xfId="13" applyNumberFormat="1" applyFont="1" applyFill="1" applyProtection="1"/>
    <xf numFmtId="166" fontId="141" fillId="0" borderId="0" xfId="39" applyNumberFormat="1" applyFont="1"/>
    <xf numFmtId="9" fontId="8" fillId="0" borderId="0" xfId="39" applyFont="1" applyFill="1" applyAlignment="1">
      <alignment horizontal="left"/>
    </xf>
    <xf numFmtId="191" fontId="8" fillId="2" borderId="0" xfId="36" applyNumberFormat="1" applyFont="1" applyFill="1" applyProtection="1"/>
    <xf numFmtId="202" fontId="140" fillId="0" borderId="0" xfId="36" applyNumberFormat="1" applyFont="1" applyProtection="1"/>
    <xf numFmtId="173" fontId="8" fillId="0" borderId="0" xfId="13" applyNumberFormat="1" applyFont="1" applyFill="1"/>
    <xf numFmtId="194" fontId="8" fillId="0" borderId="0" xfId="0" applyNumberFormat="1" applyFont="1" applyBorder="1"/>
    <xf numFmtId="194" fontId="131" fillId="0" borderId="0" xfId="0" applyNumberFormat="1" applyFont="1" applyFill="1" applyAlignment="1">
      <alignment horizontal="left"/>
    </xf>
    <xf numFmtId="172" fontId="140" fillId="0" borderId="0" xfId="0" applyNumberFormat="1" applyFont="1" applyFill="1" applyBorder="1"/>
    <xf numFmtId="196" fontId="140" fillId="0" borderId="0" xfId="0" applyNumberFormat="1" applyFont="1" applyFill="1" applyAlignment="1">
      <alignment horizontal="right"/>
    </xf>
    <xf numFmtId="165" fontId="8" fillId="0" borderId="0" xfId="0" applyNumberFormat="1" applyFont="1" applyFill="1" applyBorder="1" applyAlignment="1">
      <alignment horizontal="right"/>
    </xf>
    <xf numFmtId="166" fontId="49" fillId="2" borderId="0" xfId="34" applyNumberFormat="1" applyFont="1" applyFill="1" applyBorder="1" applyAlignment="1">
      <alignment horizontal="right"/>
    </xf>
    <xf numFmtId="165" fontId="140" fillId="0" borderId="0" xfId="0" applyNumberFormat="1" applyFont="1" applyFill="1" applyBorder="1"/>
    <xf numFmtId="44" fontId="141" fillId="4" borderId="0" xfId="17" applyFont="1" applyFill="1" applyBorder="1" applyAlignment="1" applyProtection="1">
      <alignment horizontal="center"/>
    </xf>
    <xf numFmtId="208" fontId="140" fillId="2" borderId="0" xfId="13" applyNumberFormat="1" applyFont="1" applyFill="1" applyBorder="1" applyAlignment="1">
      <alignment horizontal="right"/>
    </xf>
    <xf numFmtId="166" fontId="8" fillId="0" borderId="0" xfId="0" applyNumberFormat="1" applyFont="1" applyAlignment="1">
      <alignment horizontal="centerContinuous"/>
    </xf>
    <xf numFmtId="166" fontId="117" fillId="0" borderId="0" xfId="39" applyNumberFormat="1" applyFont="1" applyFill="1" applyBorder="1"/>
    <xf numFmtId="10" fontId="8" fillId="0" borderId="0" xfId="0" applyNumberFormat="1" applyFont="1" applyFill="1"/>
    <xf numFmtId="172" fontId="8" fillId="0" borderId="0" xfId="13" applyNumberFormat="1" applyFont="1"/>
    <xf numFmtId="193" fontId="10" fillId="0" borderId="0" xfId="0" applyNumberFormat="1" applyFont="1" applyBorder="1" applyAlignment="1">
      <alignment horizontal="centerContinuous"/>
    </xf>
    <xf numFmtId="0" fontId="50" fillId="0" borderId="0" xfId="29" applyFont="1" applyFill="1" applyAlignment="1" applyProtection="1">
      <alignment horizontal="left"/>
    </xf>
    <xf numFmtId="0" fontId="51" fillId="0" borderId="0" xfId="28" applyFont="1" applyFill="1" applyAlignment="1">
      <alignment horizontal="left"/>
    </xf>
    <xf numFmtId="0" fontId="51" fillId="0" borderId="0" xfId="28" applyFont="1" applyFill="1"/>
    <xf numFmtId="0" fontId="50" fillId="0" borderId="2" xfId="28" applyFont="1" applyFill="1" applyBorder="1"/>
    <xf numFmtId="0" fontId="51" fillId="0" borderId="2" xfId="28" applyFont="1" applyFill="1" applyBorder="1" applyAlignment="1">
      <alignment horizontal="left"/>
    </xf>
    <xf numFmtId="0" fontId="51" fillId="0" borderId="2" xfId="28" applyFont="1" applyFill="1" applyBorder="1"/>
    <xf numFmtId="0" fontId="51" fillId="0" borderId="0" xfId="28" applyFont="1" applyFill="1" applyBorder="1"/>
    <xf numFmtId="0" fontId="52" fillId="0" borderId="15" xfId="0" applyFont="1" applyFill="1" applyBorder="1"/>
    <xf numFmtId="0" fontId="52" fillId="0" borderId="0" xfId="0" applyFont="1" applyFill="1" applyBorder="1"/>
    <xf numFmtId="15" fontId="51" fillId="0" borderId="0" xfId="28" applyNumberFormat="1" applyFont="1" applyFill="1"/>
    <xf numFmtId="0" fontId="109" fillId="0" borderId="0" xfId="28" applyFont="1" applyFill="1" applyBorder="1" applyAlignment="1">
      <alignment horizontal="centerContinuous"/>
    </xf>
    <xf numFmtId="0" fontId="109" fillId="0" borderId="2" xfId="28" applyFont="1" applyFill="1" applyBorder="1" applyAlignment="1">
      <alignment horizontal="centerContinuous"/>
    </xf>
    <xf numFmtId="0" fontId="109" fillId="0" borderId="2" xfId="28" applyFont="1" applyFill="1" applyBorder="1" applyAlignment="1">
      <alignment horizontal="center"/>
    </xf>
    <xf numFmtId="0" fontId="109" fillId="0" borderId="0" xfId="28" applyFont="1" applyFill="1" applyBorder="1" applyAlignment="1">
      <alignment horizontal="center"/>
    </xf>
    <xf numFmtId="0" fontId="52" fillId="0" borderId="2" xfId="0" applyFont="1" applyFill="1" applyBorder="1"/>
    <xf numFmtId="0" fontId="109" fillId="0" borderId="2" xfId="28" applyFont="1" applyFill="1" applyBorder="1" applyAlignment="1"/>
    <xf numFmtId="0" fontId="109" fillId="0" borderId="0" xfId="28" applyFont="1" applyFill="1" applyBorder="1" applyAlignment="1"/>
    <xf numFmtId="184" fontId="51" fillId="0" borderId="0" xfId="28" applyNumberFormat="1" applyFont="1" applyFill="1" applyBorder="1"/>
    <xf numFmtId="0" fontId="51" fillId="0" borderId="0" xfId="28" applyNumberFormat="1" applyFont="1" applyFill="1"/>
    <xf numFmtId="0" fontId="51" fillId="0" borderId="0" xfId="39" quotePrefix="1" applyNumberFormat="1" applyFont="1" applyFill="1" applyBorder="1" applyAlignment="1">
      <alignment horizontal="centerContinuous"/>
    </xf>
    <xf numFmtId="0" fontId="53" fillId="0" borderId="2" xfId="39" applyNumberFormat="1" applyFont="1" applyFill="1" applyBorder="1" applyAlignment="1">
      <alignment horizontal="centerContinuous"/>
    </xf>
    <xf numFmtId="0" fontId="51" fillId="0" borderId="2" xfId="39" applyNumberFormat="1" applyFont="1" applyFill="1" applyBorder="1" applyAlignment="1">
      <alignment horizontal="centerContinuous"/>
    </xf>
    <xf numFmtId="0" fontId="51" fillId="0" borderId="0" xfId="28" applyNumberFormat="1" applyFont="1" applyFill="1" applyAlignment="1">
      <alignment horizontal="left"/>
    </xf>
    <xf numFmtId="0" fontId="51" fillId="0" borderId="0" xfId="28" applyNumberFormat="1" applyFont="1" applyFill="1" applyBorder="1" applyAlignment="1">
      <alignment horizontal="left"/>
    </xf>
    <xf numFmtId="0" fontId="51" fillId="0" borderId="4" xfId="39" applyNumberFormat="1" applyFont="1" applyFill="1" applyBorder="1" applyAlignment="1">
      <alignment horizontal="centerContinuous"/>
    </xf>
    <xf numFmtId="266" fontId="53" fillId="0" borderId="2" xfId="39" applyNumberFormat="1" applyFont="1" applyFill="1" applyBorder="1" applyAlignment="1">
      <alignment horizontal="centerContinuous"/>
    </xf>
    <xf numFmtId="0" fontId="56" fillId="0" borderId="0" xfId="39" applyNumberFormat="1" applyFont="1" applyFill="1" applyBorder="1" applyAlignment="1">
      <alignment horizontal="centerContinuous"/>
    </xf>
    <xf numFmtId="0" fontId="50" fillId="0" borderId="0" xfId="39" applyNumberFormat="1" applyFont="1" applyFill="1" applyBorder="1" applyAlignment="1">
      <alignment horizontal="center"/>
    </xf>
    <xf numFmtId="0" fontId="148" fillId="0" borderId="0" xfId="39" applyNumberFormat="1" applyFont="1" applyFill="1" applyBorder="1" applyAlignment="1">
      <alignment horizontal="center"/>
    </xf>
    <xf numFmtId="0" fontId="53" fillId="0" borderId="0" xfId="49" applyNumberFormat="1" applyFont="1" applyFill="1" applyBorder="1" applyAlignment="1">
      <alignment horizontal="center"/>
    </xf>
    <xf numFmtId="0" fontId="53" fillId="0" borderId="5" xfId="49" applyNumberFormat="1" applyFont="1" applyFill="1" applyBorder="1" applyAlignment="1">
      <alignment horizontal="center"/>
    </xf>
    <xf numFmtId="0" fontId="53" fillId="0" borderId="11" xfId="49" applyNumberFormat="1" applyFont="1" applyFill="1" applyBorder="1" applyAlignment="1">
      <alignment horizontal="center"/>
    </xf>
    <xf numFmtId="0" fontId="109" fillId="0" borderId="11" xfId="49" applyNumberFormat="1" applyFont="1" applyFill="1" applyBorder="1" applyAlignment="1">
      <alignment horizontal="center"/>
    </xf>
    <xf numFmtId="0" fontId="50" fillId="0" borderId="11" xfId="49" applyNumberFormat="1" applyFont="1" applyFill="1" applyBorder="1" applyAlignment="1">
      <alignment horizontal="center"/>
    </xf>
    <xf numFmtId="0" fontId="50" fillId="0" borderId="15" xfId="49" applyNumberFormat="1" applyFont="1" applyFill="1" applyBorder="1" applyAlignment="1">
      <alignment horizontal="center"/>
    </xf>
    <xf numFmtId="0" fontId="110" fillId="0" borderId="0" xfId="28" applyFont="1" applyFill="1"/>
    <xf numFmtId="170" fontId="110" fillId="0" borderId="0" xfId="49" applyFont="1" applyFill="1" applyAlignment="1">
      <alignment horizontal="center"/>
    </xf>
    <xf numFmtId="0" fontId="110" fillId="0" borderId="0" xfId="28" applyFont="1" applyFill="1" applyAlignment="1">
      <alignment horizontal="center"/>
    </xf>
    <xf numFmtId="170" fontId="63" fillId="0" borderId="0" xfId="49" applyFont="1" applyFill="1" applyAlignment="1">
      <alignment horizontal="center"/>
    </xf>
    <xf numFmtId="170" fontId="111" fillId="0" borderId="0" xfId="49" applyFont="1" applyFill="1" applyAlignment="1">
      <alignment horizontal="center"/>
    </xf>
    <xf numFmtId="170" fontId="146" fillId="0" borderId="0" xfId="49" applyFont="1" applyFill="1" applyAlignment="1">
      <alignment horizontal="center"/>
    </xf>
    <xf numFmtId="170" fontId="63" fillId="0" borderId="0" xfId="49" applyFont="1" applyFill="1" applyBorder="1" applyAlignment="1">
      <alignment horizontal="center"/>
    </xf>
    <xf numFmtId="170" fontId="63" fillId="0" borderId="1" xfId="49" applyFont="1" applyFill="1" applyBorder="1" applyAlignment="1">
      <alignment horizontal="center"/>
    </xf>
    <xf numFmtId="170" fontId="63" fillId="0" borderId="16" xfId="49" applyFont="1" applyFill="1" applyBorder="1" applyAlignment="1">
      <alignment horizontal="center"/>
    </xf>
    <xf numFmtId="170" fontId="112" fillId="0" borderId="0" xfId="49" applyFont="1" applyFill="1" applyAlignment="1">
      <alignment horizontal="center"/>
    </xf>
    <xf numFmtId="0" fontId="112" fillId="0" borderId="0" xfId="28" applyFont="1" applyFill="1" applyAlignment="1">
      <alignment horizontal="center"/>
    </xf>
    <xf numFmtId="0" fontId="54" fillId="0" borderId="0" xfId="28" applyFont="1" applyFill="1" applyAlignment="1">
      <alignment horizontal="center"/>
    </xf>
    <xf numFmtId="0" fontId="51" fillId="0" borderId="1" xfId="28" applyFont="1" applyFill="1" applyBorder="1"/>
    <xf numFmtId="0" fontId="52" fillId="0" borderId="16" xfId="0" applyFont="1" applyFill="1" applyBorder="1"/>
    <xf numFmtId="5" fontId="51" fillId="0" borderId="0" xfId="28" applyNumberFormat="1" applyFont="1" applyFill="1"/>
    <xf numFmtId="5" fontId="51" fillId="0" borderId="0" xfId="28" applyNumberFormat="1" applyFont="1" applyFill="1" applyBorder="1" applyAlignment="1">
      <alignment horizontal="right"/>
    </xf>
    <xf numFmtId="5" fontId="51" fillId="0" borderId="1" xfId="28" applyNumberFormat="1" applyFont="1" applyFill="1" applyBorder="1" applyAlignment="1">
      <alignment horizontal="right"/>
    </xf>
    <xf numFmtId="5" fontId="51" fillId="0" borderId="16" xfId="28" applyNumberFormat="1" applyFont="1" applyFill="1" applyBorder="1" applyAlignment="1">
      <alignment horizontal="right"/>
    </xf>
    <xf numFmtId="186" fontId="51" fillId="0" borderId="0" xfId="28" applyNumberFormat="1" applyFont="1" applyFill="1" applyAlignment="1">
      <alignment horizontal="right"/>
    </xf>
    <xf numFmtId="37" fontId="51" fillId="0" borderId="0" xfId="28" applyNumberFormat="1" applyFont="1" applyFill="1" applyBorder="1"/>
    <xf numFmtId="37" fontId="51" fillId="0" borderId="1" xfId="28" applyNumberFormat="1" applyFont="1" applyFill="1" applyBorder="1"/>
    <xf numFmtId="37" fontId="51" fillId="0" borderId="16" xfId="28" applyNumberFormat="1" applyFont="1" applyFill="1" applyBorder="1"/>
    <xf numFmtId="37" fontId="113" fillId="0" borderId="0" xfId="28" applyNumberFormat="1" applyFont="1" applyFill="1"/>
    <xf numFmtId="37" fontId="113" fillId="0" borderId="1" xfId="28" applyNumberFormat="1" applyFont="1" applyFill="1" applyBorder="1"/>
    <xf numFmtId="37" fontId="113" fillId="0" borderId="0" xfId="28" applyNumberFormat="1" applyFont="1" applyFill="1" applyBorder="1"/>
    <xf numFmtId="37" fontId="57" fillId="0" borderId="1" xfId="28" applyNumberFormat="1" applyFont="1" applyFill="1" applyBorder="1"/>
    <xf numFmtId="37" fontId="57" fillId="0" borderId="0" xfId="28" applyNumberFormat="1" applyFont="1" applyFill="1" applyBorder="1"/>
    <xf numFmtId="37" fontId="57" fillId="0" borderId="16" xfId="28" applyNumberFormat="1" applyFont="1" applyFill="1" applyBorder="1"/>
    <xf numFmtId="0" fontId="65" fillId="0" borderId="0" xfId="0" applyFont="1" applyFill="1"/>
    <xf numFmtId="37" fontId="51" fillId="0" borderId="0" xfId="28" applyNumberFormat="1" applyFont="1" applyFill="1" applyAlignment="1">
      <alignment horizontal="center"/>
    </xf>
    <xf numFmtId="167" fontId="51" fillId="0" borderId="0" xfId="28" applyNumberFormat="1" applyFont="1" applyFill="1"/>
    <xf numFmtId="2" fontId="51" fillId="0" borderId="0" xfId="28" applyNumberFormat="1" applyFont="1" applyFill="1" applyBorder="1"/>
    <xf numFmtId="2" fontId="51" fillId="0" borderId="1" xfId="28" applyNumberFormat="1" applyFont="1" applyFill="1" applyBorder="1"/>
    <xf numFmtId="2" fontId="51" fillId="0" borderId="16" xfId="28" applyNumberFormat="1" applyFont="1" applyFill="1" applyBorder="1"/>
    <xf numFmtId="173" fontId="51" fillId="0" borderId="0" xfId="28" applyNumberFormat="1" applyFont="1" applyFill="1" applyAlignment="1">
      <alignment horizontal="right"/>
    </xf>
    <xf numFmtId="186" fontId="51" fillId="0" borderId="0" xfId="28" applyNumberFormat="1" applyFont="1" applyFill="1"/>
    <xf numFmtId="186" fontId="51" fillId="0" borderId="0" xfId="28" applyNumberFormat="1" applyFont="1" applyFill="1" applyBorder="1"/>
    <xf numFmtId="267" fontId="51" fillId="0" borderId="0" xfId="28" applyNumberFormat="1" applyFont="1" applyFill="1" applyBorder="1"/>
    <xf numFmtId="186" fontId="51" fillId="0" borderId="1" xfId="28" applyNumberFormat="1" applyFont="1" applyFill="1" applyBorder="1"/>
    <xf numFmtId="186" fontId="51" fillId="0" borderId="16" xfId="28" applyNumberFormat="1" applyFont="1" applyFill="1" applyBorder="1"/>
    <xf numFmtId="5" fontId="51" fillId="0" borderId="13" xfId="28" applyNumberFormat="1" applyFont="1" applyFill="1" applyBorder="1"/>
    <xf numFmtId="5" fontId="51" fillId="0" borderId="4" xfId="28" applyNumberFormat="1" applyFont="1" applyFill="1" applyBorder="1" applyAlignment="1">
      <alignment horizontal="center"/>
    </xf>
    <xf numFmtId="7" fontId="51" fillId="0" borderId="4" xfId="28" applyNumberFormat="1" applyFont="1" applyFill="1" applyBorder="1" applyAlignment="1">
      <alignment horizontal="right"/>
    </xf>
    <xf numFmtId="7" fontId="51" fillId="0" borderId="13" xfId="28" applyNumberFormat="1" applyFont="1" applyFill="1" applyBorder="1" applyAlignment="1">
      <alignment horizontal="right"/>
    </xf>
    <xf numFmtId="7" fontId="51" fillId="0" borderId="12" xfId="28" applyNumberFormat="1" applyFont="1" applyFill="1" applyBorder="1" applyAlignment="1">
      <alignment horizontal="right"/>
    </xf>
    <xf numFmtId="167" fontId="51" fillId="0" borderId="0" xfId="28" applyNumberFormat="1" applyFont="1" applyFill="1" applyAlignment="1">
      <alignment horizontal="right"/>
    </xf>
    <xf numFmtId="167" fontId="51" fillId="0" borderId="0" xfId="28" applyNumberFormat="1" applyFont="1" applyFill="1" applyBorder="1" applyAlignment="1">
      <alignment horizontal="right"/>
    </xf>
    <xf numFmtId="167" fontId="51" fillId="0" borderId="1" xfId="28" applyNumberFormat="1" applyFont="1" applyFill="1" applyBorder="1" applyAlignment="1">
      <alignment horizontal="right"/>
    </xf>
    <xf numFmtId="167" fontId="51" fillId="0" borderId="16" xfId="28" applyNumberFormat="1" applyFont="1" applyFill="1" applyBorder="1" applyAlignment="1">
      <alignment horizontal="right"/>
    </xf>
    <xf numFmtId="7" fontId="51" fillId="0" borderId="0" xfId="28" applyNumberFormat="1" applyFont="1" applyFill="1"/>
    <xf numFmtId="0" fontId="51" fillId="0" borderId="16" xfId="28" applyFont="1" applyFill="1" applyBorder="1"/>
    <xf numFmtId="166" fontId="51" fillId="0" borderId="1" xfId="39" applyNumberFormat="1" applyFont="1" applyFill="1" applyBorder="1" applyAlignment="1">
      <alignment horizontal="right"/>
    </xf>
    <xf numFmtId="166" fontId="51" fillId="0" borderId="0" xfId="39" applyNumberFormat="1" applyFont="1" applyFill="1" applyBorder="1" applyAlignment="1">
      <alignment horizontal="right"/>
    </xf>
    <xf numFmtId="166" fontId="51" fillId="0" borderId="16" xfId="39" applyNumberFormat="1" applyFont="1" applyFill="1" applyBorder="1" applyAlignment="1">
      <alignment horizontal="right"/>
    </xf>
    <xf numFmtId="10" fontId="51" fillId="0" borderId="0" xfId="28" applyNumberFormat="1" applyFont="1" applyFill="1"/>
    <xf numFmtId="265" fontId="51" fillId="0" borderId="0" xfId="28" applyNumberFormat="1" applyFont="1" applyFill="1"/>
    <xf numFmtId="187" fontId="51" fillId="0" borderId="0" xfId="28" applyNumberFormat="1" applyFont="1" applyFill="1"/>
    <xf numFmtId="270" fontId="51" fillId="0" borderId="0" xfId="28" applyNumberFormat="1" applyFont="1" applyFill="1"/>
    <xf numFmtId="10" fontId="51" fillId="0" borderId="0" xfId="39" applyNumberFormat="1" applyFont="1" applyFill="1"/>
    <xf numFmtId="7" fontId="51" fillId="0" borderId="0" xfId="28" applyNumberFormat="1" applyFont="1" applyFill="1" applyBorder="1"/>
    <xf numFmtId="264" fontId="51" fillId="0" borderId="1" xfId="28" applyNumberFormat="1" applyFont="1" applyFill="1" applyBorder="1"/>
    <xf numFmtId="264" fontId="51" fillId="0" borderId="0" xfId="28" applyNumberFormat="1" applyFont="1" applyFill="1" applyBorder="1"/>
    <xf numFmtId="166" fontId="51" fillId="0" borderId="0" xfId="28" applyNumberFormat="1" applyFont="1" applyFill="1" applyBorder="1"/>
    <xf numFmtId="166" fontId="51" fillId="0" borderId="0" xfId="28" applyNumberFormat="1" applyFont="1" applyFill="1" applyAlignment="1">
      <alignment horizontal="right"/>
    </xf>
    <xf numFmtId="187" fontId="51" fillId="0" borderId="0" xfId="39" applyNumberFormat="1" applyFont="1" applyFill="1" applyAlignment="1">
      <alignment horizontal="right"/>
    </xf>
    <xf numFmtId="187" fontId="51" fillId="0" borderId="1" xfId="39" applyNumberFormat="1" applyFont="1" applyFill="1" applyBorder="1" applyAlignment="1">
      <alignment horizontal="right"/>
    </xf>
    <xf numFmtId="187" fontId="51" fillId="0" borderId="0" xfId="39" applyNumberFormat="1" applyFont="1" applyFill="1" applyBorder="1" applyAlignment="1">
      <alignment horizontal="right"/>
    </xf>
    <xf numFmtId="166" fontId="51" fillId="0" borderId="0" xfId="28" applyNumberFormat="1" applyFont="1" applyFill="1"/>
    <xf numFmtId="166" fontId="51" fillId="0" borderId="1" xfId="28" applyNumberFormat="1" applyFont="1" applyFill="1" applyBorder="1"/>
    <xf numFmtId="166" fontId="51" fillId="0" borderId="16" xfId="28" applyNumberFormat="1" applyFont="1" applyFill="1" applyBorder="1"/>
    <xf numFmtId="187" fontId="51" fillId="0" borderId="0" xfId="0" applyNumberFormat="1" applyFont="1" applyFill="1" applyAlignment="1">
      <alignment horizontal="right"/>
    </xf>
    <xf numFmtId="170" fontId="51" fillId="0" borderId="0" xfId="13" applyNumberFormat="1" applyFont="1" applyFill="1" applyAlignment="1">
      <alignment horizontal="right"/>
    </xf>
    <xf numFmtId="187" fontId="114" fillId="0" borderId="0" xfId="39" applyNumberFormat="1" applyFont="1" applyFill="1" applyAlignment="1">
      <alignment horizontal="right"/>
    </xf>
    <xf numFmtId="166" fontId="114" fillId="0" borderId="0" xfId="13" applyNumberFormat="1" applyFont="1" applyFill="1" applyAlignment="1">
      <alignment horizontal="right"/>
    </xf>
    <xf numFmtId="187" fontId="52" fillId="0" borderId="0" xfId="39" applyNumberFormat="1" applyFont="1" applyFill="1" applyAlignment="1">
      <alignment horizontal="right"/>
    </xf>
    <xf numFmtId="166" fontId="114" fillId="0" borderId="0" xfId="39" applyNumberFormat="1" applyFont="1" applyFill="1" applyBorder="1" applyAlignment="1">
      <alignment horizontal="right"/>
    </xf>
    <xf numFmtId="187" fontId="114" fillId="0" borderId="1" xfId="39" applyNumberFormat="1" applyFont="1" applyFill="1" applyBorder="1" applyAlignment="1">
      <alignment horizontal="right"/>
    </xf>
    <xf numFmtId="187" fontId="114" fillId="0" borderId="0" xfId="39" applyNumberFormat="1" applyFont="1" applyFill="1" applyBorder="1" applyAlignment="1">
      <alignment horizontal="right"/>
    </xf>
    <xf numFmtId="187" fontId="52" fillId="0" borderId="1" xfId="39" applyNumberFormat="1" applyFont="1" applyFill="1" applyBorder="1" applyAlignment="1">
      <alignment horizontal="right"/>
    </xf>
    <xf numFmtId="187" fontId="52" fillId="0" borderId="0" xfId="39" applyNumberFormat="1" applyFont="1" applyFill="1" applyBorder="1" applyAlignment="1">
      <alignment horizontal="right"/>
    </xf>
    <xf numFmtId="187" fontId="114" fillId="0" borderId="16" xfId="39" applyNumberFormat="1" applyFont="1" applyFill="1" applyBorder="1" applyAlignment="1">
      <alignment horizontal="right"/>
    </xf>
    <xf numFmtId="187" fontId="51" fillId="0" borderId="2" xfId="39" applyNumberFormat="1" applyFont="1" applyFill="1" applyBorder="1" applyAlignment="1">
      <alignment horizontal="right"/>
    </xf>
    <xf numFmtId="166" fontId="51" fillId="0" borderId="17" xfId="39" applyNumberFormat="1" applyFont="1" applyFill="1" applyBorder="1" applyAlignment="1">
      <alignment horizontal="right"/>
    </xf>
    <xf numFmtId="187" fontId="51" fillId="0" borderId="17" xfId="39" applyNumberFormat="1" applyFont="1" applyFill="1" applyBorder="1" applyAlignment="1">
      <alignment horizontal="right"/>
    </xf>
    <xf numFmtId="166" fontId="51" fillId="0" borderId="2" xfId="39" applyNumberFormat="1" applyFont="1" applyFill="1" applyBorder="1" applyAlignment="1">
      <alignment horizontal="right"/>
    </xf>
    <xf numFmtId="166" fontId="51" fillId="0" borderId="18" xfId="39" applyNumberFormat="1" applyFont="1" applyFill="1" applyBorder="1" applyAlignment="1">
      <alignment horizontal="right"/>
    </xf>
    <xf numFmtId="167" fontId="51" fillId="0" borderId="0" xfId="28" applyNumberFormat="1" applyFont="1" applyFill="1" applyAlignment="1">
      <alignment horizontal="centerContinuous"/>
    </xf>
    <xf numFmtId="167" fontId="51" fillId="0" borderId="0" xfId="28" applyNumberFormat="1" applyFont="1" applyFill="1" applyBorder="1" applyAlignment="1">
      <alignment horizontal="centerContinuous"/>
    </xf>
    <xf numFmtId="0" fontId="51" fillId="0" borderId="0" xfId="28" applyNumberFormat="1" applyFont="1" applyFill="1" applyBorder="1"/>
    <xf numFmtId="0" fontId="110" fillId="0" borderId="5" xfId="28" applyFont="1" applyFill="1" applyBorder="1"/>
    <xf numFmtId="0" fontId="110" fillId="0" borderId="11" xfId="28" applyFont="1" applyFill="1" applyBorder="1"/>
    <xf numFmtId="0" fontId="52" fillId="0" borderId="11" xfId="0" applyFont="1" applyFill="1" applyBorder="1"/>
    <xf numFmtId="0" fontId="51" fillId="0" borderId="11" xfId="28" applyNumberFormat="1" applyFont="1" applyFill="1" applyBorder="1"/>
    <xf numFmtId="0" fontId="110" fillId="0" borderId="0" xfId="28" applyFont="1" applyFill="1" applyBorder="1"/>
    <xf numFmtId="0" fontId="63" fillId="0" borderId="11" xfId="49" applyNumberFormat="1" applyFont="1" applyFill="1" applyBorder="1" applyAlignment="1">
      <alignment horizontal="right"/>
    </xf>
    <xf numFmtId="0" fontId="63" fillId="0" borderId="15" xfId="49" applyNumberFormat="1" applyFont="1" applyFill="1" applyBorder="1" applyAlignment="1">
      <alignment horizontal="right"/>
    </xf>
    <xf numFmtId="173" fontId="51" fillId="0" borderId="1" xfId="28" applyNumberFormat="1" applyFont="1" applyFill="1" applyBorder="1" applyAlignment="1">
      <alignment horizontal="left"/>
    </xf>
    <xf numFmtId="173" fontId="51" fillId="0" borderId="0" xfId="28" applyNumberFormat="1" applyFont="1" applyFill="1" applyBorder="1" applyAlignment="1">
      <alignment horizontal="left"/>
    </xf>
    <xf numFmtId="173" fontId="51" fillId="0" borderId="0" xfId="28" applyNumberFormat="1" applyFont="1" applyFill="1" applyBorder="1" applyAlignment="1">
      <alignment horizontal="right"/>
    </xf>
    <xf numFmtId="39" fontId="51" fillId="0" borderId="0" xfId="28" quotePrefix="1" applyNumberFormat="1" applyFont="1" applyFill="1" applyBorder="1" applyAlignment="1">
      <alignment horizontal="right"/>
    </xf>
    <xf numFmtId="39" fontId="51" fillId="0" borderId="0" xfId="28" applyNumberFormat="1" applyFont="1" applyFill="1" applyBorder="1" applyAlignment="1">
      <alignment horizontal="right"/>
    </xf>
    <xf numFmtId="4" fontId="8" fillId="0" borderId="16" xfId="0" applyNumberFormat="1" applyFont="1" applyFill="1" applyBorder="1"/>
    <xf numFmtId="173" fontId="51" fillId="0" borderId="0" xfId="28" applyNumberFormat="1" applyFont="1" applyFill="1" applyBorder="1"/>
    <xf numFmtId="173" fontId="51" fillId="0" borderId="1" xfId="28" applyNumberFormat="1" applyFont="1" applyFill="1" applyBorder="1"/>
    <xf numFmtId="37" fontId="51" fillId="0" borderId="0" xfId="28" applyNumberFormat="1" applyFont="1" applyFill="1" applyBorder="1" applyAlignment="1">
      <alignment horizontal="right"/>
    </xf>
    <xf numFmtId="37" fontId="51" fillId="0" borderId="16" xfId="28" applyNumberFormat="1" applyFont="1" applyFill="1" applyBorder="1" applyAlignment="1">
      <alignment horizontal="right"/>
    </xf>
    <xf numFmtId="37" fontId="51" fillId="0" borderId="1" xfId="28" applyNumberFormat="1" applyFont="1" applyFill="1" applyBorder="1" applyAlignment="1">
      <alignment horizontal="left"/>
    </xf>
    <xf numFmtId="37" fontId="51" fillId="0" borderId="0" xfId="28" applyNumberFormat="1" applyFont="1" applyFill="1" applyBorder="1" applyAlignment="1">
      <alignment horizontal="left"/>
    </xf>
    <xf numFmtId="9" fontId="51" fillId="0" borderId="0" xfId="28" applyNumberFormat="1" applyFont="1" applyFill="1" applyBorder="1" applyAlignment="1">
      <alignment horizontal="right"/>
    </xf>
    <xf numFmtId="9" fontId="51" fillId="0" borderId="16" xfId="28" applyNumberFormat="1" applyFont="1" applyFill="1" applyBorder="1" applyAlignment="1">
      <alignment horizontal="right"/>
    </xf>
    <xf numFmtId="0" fontId="51" fillId="0" borderId="1" xfId="28" applyFont="1" applyFill="1" applyBorder="1" applyAlignment="1">
      <alignment horizontal="left"/>
    </xf>
    <xf numFmtId="9" fontId="51" fillId="0" borderId="0" xfId="39" quotePrefix="1" applyFont="1" applyFill="1" applyBorder="1" applyAlignment="1">
      <alignment horizontal="right"/>
    </xf>
    <xf numFmtId="9" fontId="51" fillId="0" borderId="16" xfId="39" quotePrefix="1" applyFont="1" applyFill="1" applyBorder="1" applyAlignment="1">
      <alignment horizontal="right"/>
    </xf>
    <xf numFmtId="166" fontId="51" fillId="0" borderId="1" xfId="28" applyNumberFormat="1" applyFont="1" applyFill="1" applyBorder="1" applyAlignment="1">
      <alignment horizontal="left"/>
    </xf>
    <xf numFmtId="0" fontId="51" fillId="0" borderId="0" xfId="28" applyFont="1" applyFill="1" applyBorder="1" applyAlignment="1">
      <alignment horizontal="left"/>
    </xf>
    <xf numFmtId="166" fontId="51" fillId="0" borderId="0" xfId="28" applyNumberFormat="1" applyFont="1" applyFill="1" applyBorder="1" applyAlignment="1">
      <alignment horizontal="right"/>
    </xf>
    <xf numFmtId="166" fontId="51" fillId="0" borderId="0" xfId="28" quotePrefix="1" applyNumberFormat="1" applyFont="1" applyFill="1" applyBorder="1" applyAlignment="1">
      <alignment horizontal="right"/>
    </xf>
    <xf numFmtId="166" fontId="51" fillId="0" borderId="16" xfId="28" quotePrefix="1" applyNumberFormat="1" applyFont="1" applyFill="1" applyBorder="1" applyAlignment="1">
      <alignment horizontal="right"/>
    </xf>
    <xf numFmtId="0" fontId="52" fillId="0" borderId="17" xfId="0" applyFont="1" applyFill="1" applyBorder="1"/>
    <xf numFmtId="167" fontId="51" fillId="0" borderId="2" xfId="28" applyNumberFormat="1" applyFont="1" applyFill="1" applyBorder="1"/>
    <xf numFmtId="166" fontId="51" fillId="0" borderId="2" xfId="28" applyNumberFormat="1" applyFont="1" applyFill="1" applyBorder="1" applyAlignment="1">
      <alignment horizontal="right"/>
    </xf>
    <xf numFmtId="173" fontId="51" fillId="0" borderId="2" xfId="28" applyNumberFormat="1" applyFont="1" applyFill="1" applyBorder="1"/>
    <xf numFmtId="165" fontId="51" fillId="0" borderId="2" xfId="28" applyNumberFormat="1" applyFont="1" applyFill="1" applyBorder="1"/>
    <xf numFmtId="0" fontId="51" fillId="0" borderId="2" xfId="28" applyNumberFormat="1" applyFont="1" applyFill="1" applyBorder="1"/>
    <xf numFmtId="165" fontId="51" fillId="0" borderId="18" xfId="28" applyNumberFormat="1" applyFont="1" applyFill="1" applyBorder="1"/>
    <xf numFmtId="167" fontId="51" fillId="0" borderId="0" xfId="28" applyNumberFormat="1" applyFont="1" applyFill="1" applyBorder="1"/>
    <xf numFmtId="0" fontId="51" fillId="0" borderId="11" xfId="28" applyFont="1" applyFill="1" applyBorder="1"/>
    <xf numFmtId="167" fontId="51" fillId="0" borderId="11" xfId="28" applyNumberFormat="1" applyFont="1" applyFill="1" applyBorder="1"/>
    <xf numFmtId="167" fontId="51" fillId="0" borderId="1" xfId="28" applyNumberFormat="1" applyFont="1" applyFill="1" applyBorder="1"/>
    <xf numFmtId="39" fontId="51" fillId="0" borderId="16" xfId="28" applyNumberFormat="1" applyFont="1" applyFill="1" applyBorder="1" applyAlignment="1">
      <alignment horizontal="right"/>
    </xf>
    <xf numFmtId="233" fontId="51" fillId="0" borderId="0" xfId="28" applyNumberFormat="1" applyFont="1" applyFill="1" applyBorder="1"/>
    <xf numFmtId="233" fontId="51" fillId="0" borderId="16" xfId="28" applyNumberFormat="1" applyFont="1" applyFill="1" applyBorder="1"/>
    <xf numFmtId="166" fontId="52" fillId="0" borderId="16" xfId="39" applyNumberFormat="1" applyFont="1" applyFill="1" applyBorder="1"/>
    <xf numFmtId="1" fontId="51" fillId="0" borderId="0" xfId="28" applyNumberFormat="1" applyFont="1" applyFill="1" applyBorder="1"/>
    <xf numFmtId="1" fontId="51" fillId="0" borderId="16" xfId="28" applyNumberFormat="1" applyFont="1" applyFill="1" applyBorder="1"/>
    <xf numFmtId="175" fontId="51" fillId="0" borderId="16" xfId="13" applyNumberFormat="1" applyFont="1" applyFill="1" applyBorder="1" applyAlignment="1">
      <alignment horizontal="right"/>
    </xf>
    <xf numFmtId="167" fontId="51" fillId="0" borderId="17" xfId="28" applyNumberFormat="1" applyFont="1" applyFill="1" applyBorder="1"/>
    <xf numFmtId="1" fontId="51" fillId="0" borderId="2" xfId="28" applyNumberFormat="1" applyFont="1" applyFill="1" applyBorder="1"/>
    <xf numFmtId="1" fontId="51" fillId="0" borderId="18" xfId="28" applyNumberFormat="1" applyFont="1" applyFill="1" applyBorder="1"/>
    <xf numFmtId="0" fontId="51" fillId="0" borderId="16" xfId="17" applyNumberFormat="1" applyFont="1" applyFill="1" applyBorder="1" applyAlignment="1">
      <alignment horizontal="right"/>
    </xf>
    <xf numFmtId="1" fontId="51" fillId="0" borderId="0" xfId="28" applyNumberFormat="1" applyFont="1" applyFill="1"/>
    <xf numFmtId="6" fontId="52" fillId="0" borderId="16" xfId="0" applyNumberFormat="1" applyFont="1" applyFill="1" applyBorder="1"/>
    <xf numFmtId="6" fontId="51" fillId="0" borderId="16" xfId="28" applyNumberFormat="1" applyFont="1" applyFill="1" applyBorder="1" applyAlignment="1">
      <alignment horizontal="right"/>
    </xf>
    <xf numFmtId="0" fontId="0" fillId="0" borderId="2" xfId="0" applyFill="1" applyBorder="1"/>
    <xf numFmtId="6" fontId="51" fillId="0" borderId="18" xfId="28" applyNumberFormat="1" applyFont="1" applyFill="1" applyBorder="1" applyAlignment="1">
      <alignment horizontal="right"/>
    </xf>
    <xf numFmtId="43" fontId="52" fillId="0" borderId="0" xfId="13" applyFont="1" applyFill="1"/>
    <xf numFmtId="208" fontId="51" fillId="0" borderId="0" xfId="13" applyNumberFormat="1" applyFont="1" applyFill="1" applyBorder="1" applyAlignment="1">
      <alignment horizontal="left"/>
    </xf>
    <xf numFmtId="167" fontId="52" fillId="0" borderId="0" xfId="0" applyNumberFormat="1" applyFont="1" applyFill="1"/>
    <xf numFmtId="175" fontId="52" fillId="0" borderId="0" xfId="13" applyNumberFormat="1" applyFont="1" applyFill="1"/>
    <xf numFmtId="166" fontId="51" fillId="0" borderId="0" xfId="28" applyNumberFormat="1" applyFont="1" applyFill="1" applyBorder="1" applyAlignment="1">
      <alignment horizontal="left"/>
    </xf>
    <xf numFmtId="166" fontId="52" fillId="0" borderId="0" xfId="0" applyNumberFormat="1" applyFont="1" applyFill="1"/>
    <xf numFmtId="0" fontId="115" fillId="0" borderId="0" xfId="28" applyFont="1" applyFill="1" applyBorder="1"/>
    <xf numFmtId="178" fontId="52" fillId="0" borderId="0" xfId="30" applyFont="1" applyFill="1" applyAlignment="1"/>
    <xf numFmtId="166" fontId="52" fillId="0" borderId="0" xfId="39" applyNumberFormat="1" applyFont="1" applyFill="1" applyBorder="1"/>
    <xf numFmtId="175" fontId="51" fillId="0" borderId="0" xfId="13" applyNumberFormat="1" applyFont="1" applyFill="1" applyBorder="1" applyAlignment="1">
      <alignment horizontal="right"/>
    </xf>
    <xf numFmtId="0" fontId="51" fillId="0" borderId="0" xfId="17" applyNumberFormat="1" applyFont="1" applyFill="1" applyBorder="1" applyAlignment="1">
      <alignment horizontal="right"/>
    </xf>
    <xf numFmtId="6" fontId="52" fillId="0" borderId="0" xfId="0" applyNumberFormat="1" applyFont="1" applyFill="1" applyBorder="1"/>
    <xf numFmtId="6" fontId="51" fillId="0" borderId="0" xfId="28" applyNumberFormat="1" applyFont="1" applyFill="1" applyBorder="1" applyAlignment="1">
      <alignment horizontal="right"/>
    </xf>
    <xf numFmtId="6" fontId="51" fillId="0" borderId="2" xfId="28" applyNumberFormat="1" applyFont="1" applyFill="1" applyBorder="1" applyAlignment="1">
      <alignment horizontal="right"/>
    </xf>
    <xf numFmtId="4" fontId="8" fillId="0" borderId="0" xfId="0" applyNumberFormat="1" applyFont="1" applyFill="1" applyBorder="1"/>
    <xf numFmtId="193" fontId="11" fillId="0" borderId="2" xfId="0" applyNumberFormat="1" applyFont="1" applyFill="1" applyBorder="1" applyAlignment="1">
      <alignment horizontal="centerContinuous"/>
    </xf>
    <xf numFmtId="172" fontId="8" fillId="0" borderId="0" xfId="13" applyNumberFormat="1" applyFont="1" applyFill="1"/>
    <xf numFmtId="166" fontId="8" fillId="0" borderId="0" xfId="0" applyNumberFormat="1" applyFont="1" applyFill="1" applyAlignment="1">
      <alignment horizontal="centerContinuous"/>
    </xf>
    <xf numFmtId="166" fontId="8" fillId="0" borderId="0" xfId="39" applyNumberFormat="1" applyFont="1" applyFill="1" applyAlignment="1">
      <alignment horizontal="centerContinuous"/>
    </xf>
    <xf numFmtId="204" fontId="8" fillId="0" borderId="0" xfId="0" applyNumberFormat="1" applyFont="1" applyFill="1"/>
    <xf numFmtId="180" fontId="106" fillId="0" borderId="0" xfId="0" applyNumberFormat="1" applyFont="1" applyFill="1" applyAlignment="1">
      <alignment horizontal="centerContinuous"/>
    </xf>
    <xf numFmtId="189" fontId="131" fillId="0" borderId="0" xfId="0" applyNumberFormat="1" applyFont="1" applyFill="1" applyBorder="1"/>
    <xf numFmtId="170" fontId="130" fillId="0" borderId="0" xfId="0" applyNumberFormat="1" applyFont="1" applyFill="1" applyBorder="1"/>
    <xf numFmtId="178" fontId="8" fillId="0" borderId="2" xfId="36" applyFont="1" applyFill="1" applyBorder="1"/>
    <xf numFmtId="166" fontId="12" fillId="0" borderId="0" xfId="39" applyNumberFormat="1" applyFont="1" applyFill="1" applyProtection="1"/>
    <xf numFmtId="166" fontId="105" fillId="0" borderId="0" xfId="36" applyNumberFormat="1" applyFont="1" applyFill="1" applyProtection="1"/>
    <xf numFmtId="166" fontId="140" fillId="0" borderId="0" xfId="36" applyNumberFormat="1" applyFont="1" applyFill="1" applyProtection="1"/>
    <xf numFmtId="166" fontId="12" fillId="0" borderId="0" xfId="36" applyNumberFormat="1" applyFont="1" applyFill="1" applyProtection="1"/>
    <xf numFmtId="178" fontId="12" fillId="0" borderId="0" xfId="36" applyNumberFormat="1" applyFont="1" applyFill="1" applyBorder="1" applyProtection="1"/>
    <xf numFmtId="178" fontId="8" fillId="0" borderId="0" xfId="36" applyNumberFormat="1" applyFont="1" applyFill="1" applyBorder="1" applyProtection="1"/>
    <xf numFmtId="184" fontId="8" fillId="0" borderId="0" xfId="36" applyNumberFormat="1" applyFont="1" applyFill="1" applyProtection="1"/>
    <xf numFmtId="187" fontId="8" fillId="0" borderId="0" xfId="37" applyNumberFormat="1" applyFont="1" applyFill="1" applyProtection="1"/>
    <xf numFmtId="187" fontId="12" fillId="0" borderId="0" xfId="37" applyNumberFormat="1" applyFont="1" applyFill="1" applyProtection="1"/>
    <xf numFmtId="166" fontId="8" fillId="0" borderId="0" xfId="39" applyNumberFormat="1" applyFont="1" applyFill="1" applyProtection="1"/>
    <xf numFmtId="202" fontId="8" fillId="0" borderId="0" xfId="36" applyNumberFormat="1" applyFont="1" applyFill="1" applyProtection="1"/>
    <xf numFmtId="166" fontId="140" fillId="0" borderId="0" xfId="39" applyNumberFormat="1" applyFont="1" applyFill="1" applyProtection="1"/>
    <xf numFmtId="202" fontId="8" fillId="0" borderId="0" xfId="39" applyNumberFormat="1" applyFont="1" applyFill="1" applyProtection="1"/>
    <xf numFmtId="166" fontId="12" fillId="0" borderId="0" xfId="36" quotePrefix="1" applyNumberFormat="1" applyFont="1" applyFill="1" applyProtection="1"/>
    <xf numFmtId="187" fontId="8" fillId="0" borderId="21" xfId="37" applyNumberFormat="1" applyFont="1" applyFill="1" applyBorder="1" applyProtection="1"/>
    <xf numFmtId="9" fontId="0" fillId="0" borderId="0" xfId="39" applyFont="1" applyFill="1"/>
    <xf numFmtId="190" fontId="4" fillId="0" borderId="0" xfId="39" applyNumberFormat="1" applyFont="1" applyFill="1" applyAlignment="1">
      <alignment horizontal="right"/>
    </xf>
    <xf numFmtId="38" fontId="4" fillId="0" borderId="0" xfId="0" applyNumberFormat="1" applyFont="1" applyFill="1"/>
    <xf numFmtId="172" fontId="15" fillId="0" borderId="0" xfId="0" applyNumberFormat="1" applyFont="1" applyBorder="1" applyAlignment="1">
      <alignment horizontal="center"/>
    </xf>
    <xf numFmtId="172" fontId="8" fillId="0" borderId="12" xfId="0" applyNumberFormat="1" applyFont="1" applyFill="1" applyBorder="1"/>
    <xf numFmtId="170" fontId="65" fillId="0" borderId="0" xfId="0" applyNumberFormat="1" applyFont="1" applyFill="1"/>
    <xf numFmtId="0" fontId="42" fillId="0" borderId="14" xfId="0" applyFont="1" applyFill="1" applyBorder="1"/>
    <xf numFmtId="200" fontId="44" fillId="0" borderId="0" xfId="0" applyNumberFormat="1" applyFont="1" applyFill="1" applyAlignment="1">
      <alignment horizontal="right"/>
    </xf>
    <xf numFmtId="9" fontId="8" fillId="0" borderId="0" xfId="0" applyNumberFormat="1" applyFont="1" applyFill="1" applyAlignment="1">
      <alignment horizontal="right"/>
    </xf>
    <xf numFmtId="170" fontId="44" fillId="0" borderId="0" xfId="0" applyNumberFormat="1" applyFont="1" applyFill="1"/>
    <xf numFmtId="190" fontId="52" fillId="0" borderId="0" xfId="0" applyNumberFormat="1" applyFont="1" applyFill="1"/>
    <xf numFmtId="190" fontId="52" fillId="0" borderId="2" xfId="0" applyNumberFormat="1" applyFont="1" applyFill="1" applyBorder="1"/>
    <xf numFmtId="195" fontId="50" fillId="0" borderId="2" xfId="0" applyNumberFormat="1" applyFont="1" applyFill="1" applyBorder="1" applyAlignment="1">
      <alignment horizontal="center"/>
    </xf>
    <xf numFmtId="170" fontId="56" fillId="0" borderId="0" xfId="0" applyNumberFormat="1" applyFont="1" applyFill="1" applyBorder="1"/>
    <xf numFmtId="180" fontId="55" fillId="0" borderId="0" xfId="0" applyNumberFormat="1" applyFont="1" applyFill="1"/>
    <xf numFmtId="0" fontId="55" fillId="0" borderId="0" xfId="0" applyFont="1" applyFill="1"/>
    <xf numFmtId="43" fontId="107" fillId="0" borderId="0" xfId="13" applyFont="1" applyFill="1"/>
    <xf numFmtId="166" fontId="56" fillId="0" borderId="0" xfId="39" applyNumberFormat="1" applyFont="1" applyFill="1"/>
    <xf numFmtId="44" fontId="52" fillId="0" borderId="0" xfId="17" applyFont="1" applyFill="1"/>
    <xf numFmtId="44" fontId="60" fillId="0" borderId="14" xfId="17" applyFont="1" applyFill="1" applyBorder="1"/>
    <xf numFmtId="165" fontId="58" fillId="0" borderId="0" xfId="0" applyNumberFormat="1" applyFont="1" applyFill="1"/>
    <xf numFmtId="165" fontId="61" fillId="0" borderId="0" xfId="0" applyNumberFormat="1" applyFont="1" applyFill="1"/>
    <xf numFmtId="172" fontId="52" fillId="0" borderId="0" xfId="0" applyNumberFormat="1" applyFont="1" applyFill="1"/>
    <xf numFmtId="199" fontId="52" fillId="0" borderId="0" xfId="0" applyNumberFormat="1" applyFont="1" applyFill="1" applyBorder="1"/>
    <xf numFmtId="170" fontId="53" fillId="0" borderId="0" xfId="0" applyNumberFormat="1" applyFont="1" applyFill="1"/>
    <xf numFmtId="170" fontId="52" fillId="0" borderId="0" xfId="0" applyNumberFormat="1" applyFont="1" applyFill="1"/>
    <xf numFmtId="170" fontId="56" fillId="0" borderId="0" xfId="0" applyNumberFormat="1" applyFont="1" applyFill="1"/>
    <xf numFmtId="167" fontId="52" fillId="0" borderId="0" xfId="0" applyNumberFormat="1" applyFont="1" applyFill="1" applyBorder="1"/>
    <xf numFmtId="167" fontId="53" fillId="0" borderId="0" xfId="0" applyNumberFormat="1" applyFont="1" applyFill="1" applyBorder="1"/>
    <xf numFmtId="167" fontId="53" fillId="0" borderId="0" xfId="0" applyNumberFormat="1" applyFont="1" applyFill="1"/>
    <xf numFmtId="39" fontId="53" fillId="0" borderId="0" xfId="0" applyNumberFormat="1" applyFont="1" applyFill="1"/>
    <xf numFmtId="167" fontId="52" fillId="0" borderId="0" xfId="0" applyNumberFormat="1" applyFont="1" applyFill="1" applyAlignment="1">
      <alignment horizontal="right"/>
    </xf>
    <xf numFmtId="208" fontId="149" fillId="0" borderId="0" xfId="13" applyNumberFormat="1" applyFont="1" applyFill="1" applyBorder="1"/>
    <xf numFmtId="200" fontId="149" fillId="0" borderId="0" xfId="0" applyNumberFormat="1" applyFont="1" applyFill="1" applyBorder="1"/>
    <xf numFmtId="194" fontId="48" fillId="0" borderId="0" xfId="0" applyNumberFormat="1" applyFont="1" applyFill="1" applyBorder="1" applyAlignment="1">
      <alignment horizontal="left"/>
    </xf>
    <xf numFmtId="200" fontId="149" fillId="0" borderId="0" xfId="0" applyNumberFormat="1" applyFont="1" applyFill="1"/>
    <xf numFmtId="194" fontId="48" fillId="0" borderId="0" xfId="0" applyNumberFormat="1" applyFont="1" applyFill="1" applyAlignment="1">
      <alignment horizontal="left"/>
    </xf>
    <xf numFmtId="200" fontId="23" fillId="0" borderId="0" xfId="0" applyNumberFormat="1" applyFont="1" applyFill="1"/>
    <xf numFmtId="189" fontId="12" fillId="0" borderId="0" xfId="0" applyNumberFormat="1" applyFont="1" applyFill="1" applyBorder="1"/>
    <xf numFmtId="170" fontId="149" fillId="0" borderId="0" xfId="0" applyNumberFormat="1" applyFont="1" applyFill="1"/>
    <xf numFmtId="0" fontId="50" fillId="0" borderId="5" xfId="49" applyNumberFormat="1" applyFont="1" applyFill="1" applyBorder="1" applyAlignment="1">
      <alignment horizontal="center"/>
    </xf>
    <xf numFmtId="0" fontId="52" fillId="0" borderId="1" xfId="0" applyFont="1" applyFill="1" applyBorder="1"/>
    <xf numFmtId="44" fontId="8" fillId="10" borderId="0" xfId="17" applyFont="1" applyFill="1" applyBorder="1"/>
    <xf numFmtId="167" fontId="67" fillId="10" borderId="0" xfId="23" applyNumberFormat="1" applyFont="1" applyFill="1" applyBorder="1"/>
    <xf numFmtId="208" fontId="8" fillId="10" borderId="0" xfId="13" applyNumberFormat="1" applyFont="1" applyFill="1" applyBorder="1"/>
    <xf numFmtId="166" fontId="8" fillId="10" borderId="0" xfId="39" applyNumberFormat="1" applyFont="1" applyFill="1" applyBorder="1"/>
    <xf numFmtId="167" fontId="8" fillId="10" borderId="0" xfId="23" applyNumberFormat="1" applyFont="1" applyFill="1" applyBorder="1"/>
    <xf numFmtId="0" fontId="4" fillId="0" borderId="0" xfId="0" applyFont="1" applyFill="1" applyAlignment="1">
      <alignment horizontal="left"/>
    </xf>
    <xf numFmtId="0" fontId="8" fillId="12" borderId="0" xfId="20" applyFont="1" applyFill="1"/>
    <xf numFmtId="0" fontId="33" fillId="12" borderId="0" xfId="20" applyFont="1" applyFill="1"/>
    <xf numFmtId="0" fontId="8" fillId="0" borderId="0" xfId="20" applyFont="1"/>
    <xf numFmtId="0" fontId="11" fillId="12" borderId="0" xfId="20" applyFont="1" applyFill="1"/>
    <xf numFmtId="0" fontId="103" fillId="12" borderId="2" xfId="20" applyFont="1" applyFill="1" applyBorder="1"/>
    <xf numFmtId="195" fontId="20" fillId="12" borderId="2" xfId="23" applyNumberFormat="1" applyFont="1" applyFill="1" applyBorder="1" applyAlignment="1">
      <alignment horizontal="center"/>
    </xf>
    <xf numFmtId="195" fontId="20" fillId="13" borderId="2" xfId="23" applyNumberFormat="1" applyFont="1" applyFill="1" applyBorder="1" applyAlignment="1">
      <alignment horizontal="center"/>
    </xf>
    <xf numFmtId="17" fontId="11" fillId="12" borderId="0" xfId="20" applyNumberFormat="1" applyFont="1" applyFill="1"/>
    <xf numFmtId="0" fontId="11" fillId="0" borderId="0" xfId="20" applyFont="1"/>
    <xf numFmtId="0" fontId="103" fillId="12" borderId="0" xfId="20" applyFont="1" applyFill="1"/>
    <xf numFmtId="17" fontId="11" fillId="13" borderId="0" xfId="20" applyNumberFormat="1" applyFont="1" applyFill="1"/>
    <xf numFmtId="175" fontId="8" fillId="12" borderId="0" xfId="15" applyNumberFormat="1" applyFont="1" applyFill="1"/>
    <xf numFmtId="175" fontId="8" fillId="13" borderId="0" xfId="15" applyNumberFormat="1" applyFont="1" applyFill="1"/>
    <xf numFmtId="166" fontId="8" fillId="12" borderId="0" xfId="42" applyNumberFormat="1" applyFont="1" applyFill="1"/>
    <xf numFmtId="166" fontId="151" fillId="13" borderId="0" xfId="42" applyNumberFormat="1" applyFont="1" applyFill="1"/>
    <xf numFmtId="0" fontId="27" fillId="12" borderId="0" xfId="20" applyFont="1" applyFill="1"/>
    <xf numFmtId="0" fontId="152" fillId="12" borderId="0" xfId="20" applyFont="1" applyFill="1"/>
    <xf numFmtId="9" fontId="159" fillId="12" borderId="0" xfId="20" applyNumberFormat="1" applyFont="1" applyFill="1"/>
    <xf numFmtId="9" fontId="151" fillId="13" borderId="0" xfId="42" applyNumberFormat="1" applyFont="1" applyFill="1"/>
    <xf numFmtId="0" fontId="27" fillId="0" borderId="0" xfId="20" applyFont="1"/>
    <xf numFmtId="175" fontId="8" fillId="12" borderId="2" xfId="15" applyNumberFormat="1" applyFont="1" applyFill="1" applyBorder="1"/>
    <xf numFmtId="175" fontId="8" fillId="13" borderId="2" xfId="15" applyNumberFormat="1" applyFont="1" applyFill="1" applyBorder="1"/>
    <xf numFmtId="175" fontId="8" fillId="12" borderId="0" xfId="20" applyNumberFormat="1" applyFont="1" applyFill="1"/>
    <xf numFmtId="175" fontId="8" fillId="13" borderId="0" xfId="20" applyNumberFormat="1" applyFont="1" applyFill="1"/>
    <xf numFmtId="0" fontId="153" fillId="12" borderId="0" xfId="20" applyFont="1" applyFill="1"/>
    <xf numFmtId="9" fontId="153" fillId="12" borderId="0" xfId="42" applyFont="1" applyFill="1"/>
    <xf numFmtId="166" fontId="153" fillId="12" borderId="0" xfId="42" applyNumberFormat="1" applyFont="1" applyFill="1"/>
    <xf numFmtId="166" fontId="154" fillId="13" borderId="0" xfId="42" applyNumberFormat="1" applyFont="1" applyFill="1"/>
    <xf numFmtId="0" fontId="153" fillId="0" borderId="0" xfId="20" applyFont="1"/>
    <xf numFmtId="0" fontId="8" fillId="13" borderId="0" xfId="20" applyFont="1" applyFill="1"/>
    <xf numFmtId="175" fontId="33" fillId="12" borderId="0" xfId="15" quotePrefix="1" applyNumberFormat="1" applyFont="1" applyFill="1"/>
    <xf numFmtId="166" fontId="160" fillId="13" borderId="0" xfId="42" applyNumberFormat="1" applyFont="1" applyFill="1"/>
    <xf numFmtId="166" fontId="8" fillId="13" borderId="0" xfId="42" applyNumberFormat="1" applyFont="1" applyFill="1"/>
    <xf numFmtId="9" fontId="30" fillId="12" borderId="0" xfId="42" applyFont="1" applyFill="1"/>
    <xf numFmtId="9" fontId="154" fillId="13" borderId="0" xfId="42" applyFont="1" applyFill="1"/>
    <xf numFmtId="0" fontId="8" fillId="12" borderId="2" xfId="20" applyFont="1" applyFill="1" applyBorder="1"/>
    <xf numFmtId="0" fontId="8" fillId="13" borderId="2" xfId="20" applyFont="1" applyFill="1" applyBorder="1"/>
    <xf numFmtId="175" fontId="11" fillId="12" borderId="0" xfId="20" applyNumberFormat="1" applyFont="1" applyFill="1"/>
    <xf numFmtId="175" fontId="11" fillId="13" borderId="0" xfId="20" applyNumberFormat="1" applyFont="1" applyFill="1"/>
    <xf numFmtId="0" fontId="30" fillId="12" borderId="0" xfId="20" applyFont="1" applyFill="1"/>
    <xf numFmtId="0" fontId="30" fillId="0" borderId="0" xfId="20" applyFont="1"/>
    <xf numFmtId="0" fontId="155" fillId="12" borderId="0" xfId="20" applyFont="1" applyFill="1" applyAlignment="1">
      <alignment horizontal="center"/>
    </xf>
    <xf numFmtId="175" fontId="155" fillId="12" borderId="0" xfId="15" applyNumberFormat="1" applyFont="1" applyFill="1" applyAlignment="1">
      <alignment horizontal="center"/>
    </xf>
    <xf numFmtId="0" fontId="156" fillId="12" borderId="0" xfId="20" applyFont="1" applyFill="1" applyAlignment="1">
      <alignment horizontal="center"/>
    </xf>
    <xf numFmtId="0" fontId="155" fillId="0" borderId="0" xfId="20" applyFont="1" applyAlignment="1">
      <alignment horizontal="center"/>
    </xf>
    <xf numFmtId="175" fontId="33" fillId="12" borderId="0" xfId="15" applyNumberFormat="1" applyFont="1" applyFill="1"/>
    <xf numFmtId="43" fontId="24" fillId="12" borderId="0" xfId="15" applyNumberFormat="1" applyFont="1" applyFill="1"/>
    <xf numFmtId="175" fontId="103" fillId="11" borderId="13" xfId="15" applyNumberFormat="1" applyFont="1" applyFill="1" applyBorder="1"/>
    <xf numFmtId="175" fontId="8" fillId="11" borderId="4" xfId="15" applyNumberFormat="1" applyFont="1" applyFill="1" applyBorder="1"/>
    <xf numFmtId="175" fontId="8" fillId="11" borderId="12" xfId="15" applyNumberFormat="1" applyFont="1" applyFill="1" applyBorder="1"/>
    <xf numFmtId="175" fontId="33" fillId="11" borderId="13" xfId="15" applyNumberFormat="1" applyFont="1" applyFill="1" applyBorder="1"/>
    <xf numFmtId="0" fontId="8" fillId="11" borderId="4" xfId="20" applyFont="1" applyFill="1" applyBorder="1"/>
    <xf numFmtId="166" fontId="160" fillId="12" borderId="0" xfId="20" applyNumberFormat="1" applyFont="1" applyFill="1"/>
    <xf numFmtId="166" fontId="160" fillId="12" borderId="0" xfId="42" applyNumberFormat="1" applyFont="1" applyFill="1" applyAlignment="1">
      <alignment horizontal="right"/>
    </xf>
    <xf numFmtId="175" fontId="33" fillId="12" borderId="2" xfId="15" applyNumberFormat="1" applyFont="1" applyFill="1" applyBorder="1"/>
    <xf numFmtId="175" fontId="103" fillId="12" borderId="0" xfId="15" applyNumberFormat="1" applyFont="1" applyFill="1"/>
    <xf numFmtId="175" fontId="152" fillId="12" borderId="0" xfId="15" applyNumberFormat="1" applyFont="1" applyFill="1"/>
    <xf numFmtId="166" fontId="159" fillId="12" borderId="0" xfId="42" applyNumberFormat="1" applyFont="1" applyFill="1"/>
    <xf numFmtId="166" fontId="8" fillId="12" borderId="0" xfId="42" applyNumberFormat="1" applyFont="1" applyFill="1" applyAlignment="1">
      <alignment horizontal="right"/>
    </xf>
    <xf numFmtId="166" fontId="152" fillId="12" borderId="0" xfId="42" applyNumberFormat="1" applyFont="1" applyFill="1"/>
    <xf numFmtId="175" fontId="152" fillId="12" borderId="0" xfId="15" applyNumberFormat="1" applyFont="1" applyFill="1" applyAlignment="1">
      <alignment horizontal="center"/>
    </xf>
    <xf numFmtId="166" fontId="33" fillId="12" borderId="0" xfId="42" applyNumberFormat="1" applyFont="1" applyFill="1"/>
    <xf numFmtId="44" fontId="160" fillId="12" borderId="0" xfId="18" applyFont="1" applyFill="1"/>
    <xf numFmtId="9" fontId="33" fillId="12" borderId="0" xfId="42" applyFont="1" applyFill="1"/>
    <xf numFmtId="9" fontId="152" fillId="12" borderId="0" xfId="42" applyFont="1" applyFill="1" applyAlignment="1">
      <alignment horizontal="center"/>
    </xf>
    <xf numFmtId="175" fontId="103" fillId="11" borderId="4" xfId="15" applyNumberFormat="1" applyFont="1" applyFill="1" applyBorder="1" applyAlignment="1">
      <alignment horizontal="center"/>
    </xf>
    <xf numFmtId="166" fontId="103" fillId="11" borderId="12" xfId="42" applyNumberFormat="1" applyFont="1" applyFill="1" applyBorder="1"/>
    <xf numFmtId="175" fontId="33" fillId="12" borderId="0" xfId="15" applyNumberFormat="1" applyFont="1" applyFill="1" applyBorder="1"/>
    <xf numFmtId="175" fontId="33" fillId="12" borderId="2" xfId="15" applyNumberFormat="1" applyFont="1" applyFill="1" applyBorder="1" applyAlignment="1">
      <alignment horizontal="center"/>
    </xf>
    <xf numFmtId="175" fontId="103" fillId="14" borderId="13" xfId="15" applyNumberFormat="1" applyFont="1" applyFill="1" applyBorder="1"/>
    <xf numFmtId="44" fontId="103" fillId="14" borderId="12" xfId="18" applyFont="1" applyFill="1" applyBorder="1"/>
    <xf numFmtId="175" fontId="33" fillId="0" borderId="0" xfId="15" applyNumberFormat="1" applyFont="1"/>
    <xf numFmtId="9" fontId="8" fillId="12" borderId="0" xfId="42" applyFont="1" applyFill="1"/>
    <xf numFmtId="0" fontId="33" fillId="0" borderId="0" xfId="20" applyFont="1"/>
    <xf numFmtId="171" fontId="160" fillId="0" borderId="0" xfId="20" applyNumberFormat="1" applyFont="1" applyFill="1" applyAlignment="1">
      <alignment horizontal="right"/>
    </xf>
    <xf numFmtId="0" fontId="160" fillId="0" borderId="0" xfId="0" applyFont="1" applyFill="1"/>
    <xf numFmtId="180" fontId="160" fillId="0" borderId="0" xfId="0" applyNumberFormat="1" applyFont="1"/>
    <xf numFmtId="164" fontId="160" fillId="0" borderId="2" xfId="0" applyNumberFormat="1" applyFont="1" applyBorder="1"/>
    <xf numFmtId="166" fontId="0" fillId="0" borderId="0" xfId="0" applyNumberFormat="1"/>
    <xf numFmtId="196" fontId="8" fillId="0" borderId="0" xfId="0" applyNumberFormat="1" applyFont="1" applyFill="1" applyAlignment="1">
      <alignment horizontal="center"/>
    </xf>
    <xf numFmtId="279" fontId="140" fillId="0" borderId="0" xfId="0" applyNumberFormat="1" applyFont="1" applyFill="1" applyAlignment="1">
      <alignment horizontal="center"/>
    </xf>
    <xf numFmtId="279" fontId="140" fillId="0" borderId="0" xfId="0" applyNumberFormat="1" applyFont="1" applyFill="1" applyBorder="1" applyAlignment="1">
      <alignment horizontal="center"/>
    </xf>
    <xf numFmtId="196" fontId="140" fillId="0" borderId="0" xfId="0" applyNumberFormat="1" applyFont="1" applyFill="1" applyAlignment="1">
      <alignment horizontal="center"/>
    </xf>
    <xf numFmtId="164" fontId="160" fillId="0" borderId="0" xfId="0" applyNumberFormat="1" applyFont="1" applyFill="1"/>
    <xf numFmtId="279" fontId="140" fillId="0" borderId="2" xfId="0" applyNumberFormat="1" applyFont="1" applyFill="1" applyBorder="1" applyAlignment="1">
      <alignment horizontal="center"/>
    </xf>
    <xf numFmtId="280" fontId="8" fillId="0" borderId="0" xfId="22" applyNumberFormat="1" applyFont="1" applyFill="1" applyAlignment="1">
      <alignment horizontal="center"/>
    </xf>
    <xf numFmtId="280" fontId="8" fillId="0" borderId="11" xfId="22" applyNumberFormat="1" applyFont="1" applyFill="1" applyBorder="1" applyAlignment="1">
      <alignment horizontal="center"/>
    </xf>
    <xf numFmtId="196" fontId="8" fillId="0" borderId="11" xfId="22" applyNumberFormat="1" applyFont="1" applyFill="1" applyBorder="1" applyAlignment="1">
      <alignment horizontal="center"/>
    </xf>
    <xf numFmtId="196" fontId="160" fillId="0" borderId="0" xfId="0" applyNumberFormat="1" applyFont="1" applyFill="1" applyAlignment="1">
      <alignment horizontal="center"/>
    </xf>
    <xf numFmtId="279" fontId="160" fillId="0" borderId="0" xfId="0" applyNumberFormat="1" applyFont="1" applyAlignment="1">
      <alignment horizontal="center"/>
    </xf>
    <xf numFmtId="171" fontId="160" fillId="0" borderId="0" xfId="0" applyNumberFormat="1" applyFont="1" applyFill="1" applyAlignment="1">
      <alignment horizontal="center"/>
    </xf>
    <xf numFmtId="170" fontId="160" fillId="0" borderId="2" xfId="0" applyNumberFormat="1" applyFont="1" applyFill="1" applyBorder="1"/>
    <xf numFmtId="194" fontId="160" fillId="0" borderId="0" xfId="0" applyNumberFormat="1" applyFont="1" applyFill="1" applyAlignment="1">
      <alignment horizontal="left"/>
    </xf>
    <xf numFmtId="165" fontId="160" fillId="0" borderId="2" xfId="0" applyNumberFormat="1" applyFont="1" applyFill="1" applyBorder="1"/>
    <xf numFmtId="170" fontId="160" fillId="0" borderId="0" xfId="0" applyNumberFormat="1" applyFont="1" applyFill="1"/>
    <xf numFmtId="208" fontId="160" fillId="2" borderId="2" xfId="13" applyNumberFormat="1" applyFont="1" applyFill="1" applyBorder="1" applyAlignment="1">
      <alignment horizontal="right"/>
    </xf>
    <xf numFmtId="200" fontId="160" fillId="0" borderId="2" xfId="0" applyNumberFormat="1" applyFont="1" applyFill="1" applyBorder="1" applyAlignment="1">
      <alignment horizontal="center"/>
    </xf>
    <xf numFmtId="200" fontId="160" fillId="0" borderId="2" xfId="0" applyNumberFormat="1" applyFont="1" applyFill="1" applyBorder="1"/>
    <xf numFmtId="196" fontId="140" fillId="0" borderId="2" xfId="0" applyNumberFormat="1" applyFont="1" applyFill="1" applyBorder="1" applyAlignment="1">
      <alignment horizontal="right"/>
    </xf>
    <xf numFmtId="165" fontId="8" fillId="0" borderId="2" xfId="0" applyNumberFormat="1" applyFont="1" applyFill="1" applyBorder="1" applyAlignment="1">
      <alignment horizontal="right"/>
    </xf>
    <xf numFmtId="164" fontId="8" fillId="0" borderId="11" xfId="0" applyNumberFormat="1" applyFont="1" applyBorder="1"/>
    <xf numFmtId="200" fontId="160" fillId="0" borderId="0" xfId="0" applyNumberFormat="1" applyFont="1" applyFill="1" applyAlignment="1">
      <alignment horizontal="center"/>
    </xf>
    <xf numFmtId="164" fontId="161" fillId="0" borderId="0" xfId="0" applyNumberFormat="1" applyFont="1"/>
    <xf numFmtId="164" fontId="161" fillId="0" borderId="2" xfId="0" applyNumberFormat="1" applyFont="1" applyBorder="1"/>
    <xf numFmtId="180" fontId="161" fillId="0" borderId="0" xfId="0" applyNumberFormat="1" applyFont="1"/>
    <xf numFmtId="164" fontId="161" fillId="0" borderId="0" xfId="0" applyNumberFormat="1" applyFont="1" applyFill="1" applyBorder="1"/>
    <xf numFmtId="164" fontId="161" fillId="0" borderId="2" xfId="0" applyNumberFormat="1" applyFont="1" applyFill="1" applyBorder="1"/>
    <xf numFmtId="165" fontId="161" fillId="0" borderId="0" xfId="0" applyNumberFormat="1" applyFont="1" applyFill="1"/>
    <xf numFmtId="208" fontId="107" fillId="0" borderId="0" xfId="13" applyNumberFormat="1" applyFont="1"/>
    <xf numFmtId="170" fontId="160" fillId="0" borderId="11" xfId="0" applyNumberFormat="1" applyFont="1" applyFill="1" applyBorder="1"/>
    <xf numFmtId="194" fontId="8" fillId="13" borderId="0" xfId="0" applyNumberFormat="1" applyFont="1" applyFill="1" applyAlignment="1">
      <alignment horizontal="left"/>
    </xf>
    <xf numFmtId="205" fontId="160" fillId="0" borderId="0" xfId="0" applyNumberFormat="1" applyFont="1" applyFill="1" applyAlignment="1">
      <alignment horizontal="center"/>
    </xf>
    <xf numFmtId="178" fontId="8" fillId="16" borderId="0" xfId="36" applyFont="1" applyFill="1"/>
    <xf numFmtId="9" fontId="8" fillId="16" borderId="0" xfId="39" applyFont="1" applyFill="1"/>
    <xf numFmtId="43" fontId="8" fillId="16" borderId="0" xfId="13" applyFont="1" applyFill="1"/>
    <xf numFmtId="166" fontId="8" fillId="16" borderId="0" xfId="39" applyNumberFormat="1" applyFont="1" applyFill="1"/>
    <xf numFmtId="43" fontId="11" fillId="16" borderId="0" xfId="13" applyFont="1" applyFill="1"/>
    <xf numFmtId="178" fontId="11" fillId="0" borderId="0" xfId="36" applyNumberFormat="1" applyFont="1" applyFill="1" applyAlignment="1" applyProtection="1">
      <alignment horizontal="left"/>
    </xf>
    <xf numFmtId="193" fontId="11" fillId="0" borderId="0" xfId="0" applyNumberFormat="1" applyFont="1" applyAlignment="1">
      <alignment horizontal="center"/>
    </xf>
    <xf numFmtId="190" fontId="162" fillId="0" borderId="0" xfId="39" applyNumberFormat="1" applyFont="1" applyFill="1"/>
    <xf numFmtId="209" fontId="162" fillId="0" borderId="0" xfId="39" applyNumberFormat="1" applyFont="1" applyFill="1" applyAlignment="1">
      <alignment horizontal="center"/>
    </xf>
    <xf numFmtId="190" fontId="162" fillId="0" borderId="0" xfId="39" applyNumberFormat="1" applyFont="1" applyFill="1" applyAlignment="1">
      <alignment horizontal="center"/>
    </xf>
    <xf numFmtId="209" fontId="4" fillId="0" borderId="0" xfId="0" applyNumberFormat="1" applyFont="1"/>
    <xf numFmtId="166" fontId="105" fillId="0" borderId="0" xfId="39" applyNumberFormat="1" applyFont="1" applyProtection="1"/>
    <xf numFmtId="196" fontId="8" fillId="0" borderId="2" xfId="0" applyNumberFormat="1" applyFont="1" applyFill="1" applyBorder="1" applyAlignment="1">
      <alignment horizontal="right"/>
    </xf>
    <xf numFmtId="1" fontId="8" fillId="0" borderId="2" xfId="0" applyNumberFormat="1" applyFont="1" applyFill="1" applyBorder="1" applyAlignment="1">
      <alignment horizontal="right"/>
    </xf>
    <xf numFmtId="164" fontId="8" fillId="0" borderId="0" xfId="0" applyNumberFormat="1" applyFont="1" applyFill="1" applyBorder="1" applyAlignment="1">
      <alignment horizontal="right"/>
    </xf>
    <xf numFmtId="196" fontId="27" fillId="0" borderId="0" xfId="0" applyNumberFormat="1" applyFont="1" applyFill="1" applyBorder="1" applyAlignment="1">
      <alignment horizontal="right"/>
    </xf>
    <xf numFmtId="3" fontId="8" fillId="0" borderId="2" xfId="0" applyNumberFormat="1" applyFont="1" applyFill="1" applyBorder="1" applyAlignment="1">
      <alignment horizontal="right"/>
    </xf>
    <xf numFmtId="43" fontId="85" fillId="16" borderId="0" xfId="13" applyFont="1" applyFill="1" applyAlignment="1">
      <alignment horizontal="center"/>
    </xf>
    <xf numFmtId="173" fontId="160" fillId="0" borderId="0" xfId="0" applyNumberFormat="1" applyFont="1" applyFill="1" applyBorder="1"/>
    <xf numFmtId="173" fontId="160" fillId="0" borderId="0" xfId="0" applyNumberFormat="1" applyFont="1" applyFill="1"/>
    <xf numFmtId="200" fontId="160" fillId="0" borderId="0" xfId="0" applyNumberFormat="1" applyFont="1" applyBorder="1"/>
    <xf numFmtId="164" fontId="161" fillId="0" borderId="0" xfId="0" applyNumberFormat="1" applyFont="1" applyFill="1"/>
    <xf numFmtId="200" fontId="160" fillId="0" borderId="0" xfId="0" applyNumberFormat="1" applyFont="1" applyFill="1"/>
    <xf numFmtId="167" fontId="160" fillId="0" borderId="0" xfId="0" applyNumberFormat="1" applyFont="1"/>
    <xf numFmtId="167" fontId="160" fillId="0" borderId="0" xfId="0" applyNumberFormat="1" applyFont="1" applyFill="1"/>
    <xf numFmtId="0" fontId="160" fillId="0" borderId="2" xfId="0" applyFont="1" applyFill="1" applyBorder="1"/>
    <xf numFmtId="196" fontId="48" fillId="0" borderId="2" xfId="0" applyNumberFormat="1" applyFont="1" applyFill="1" applyBorder="1" applyAlignment="1">
      <alignment horizontal="center"/>
    </xf>
    <xf numFmtId="196" fontId="8" fillId="0" borderId="0" xfId="0" applyNumberFormat="1" applyFont="1" applyFill="1" applyBorder="1" applyAlignment="1">
      <alignment horizontal="center"/>
    </xf>
    <xf numFmtId="196" fontId="8" fillId="0" borderId="2" xfId="0" applyNumberFormat="1" applyFont="1" applyFill="1" applyBorder="1" applyAlignment="1">
      <alignment horizontal="center"/>
    </xf>
    <xf numFmtId="196" fontId="8" fillId="0" borderId="11" xfId="0" applyNumberFormat="1" applyFont="1" applyFill="1" applyBorder="1" applyAlignment="1">
      <alignment horizontal="center"/>
    </xf>
    <xf numFmtId="165" fontId="8" fillId="0" borderId="0" xfId="0" applyNumberFormat="1" applyFont="1" applyFill="1" applyAlignment="1">
      <alignment horizontal="center"/>
    </xf>
    <xf numFmtId="277" fontId="8" fillId="0" borderId="0" xfId="22" applyNumberFormat="1" applyFont="1" applyFill="1" applyAlignment="1">
      <alignment horizontal="center"/>
    </xf>
    <xf numFmtId="164" fontId="160" fillId="0" borderId="0" xfId="0" applyNumberFormat="1" applyFont="1" applyBorder="1"/>
    <xf numFmtId="164" fontId="160" fillId="0" borderId="0" xfId="0" applyNumberFormat="1" applyFont="1" applyBorder="1" applyAlignment="1">
      <alignment horizontal="right"/>
    </xf>
    <xf numFmtId="258" fontId="160" fillId="0" borderId="0" xfId="17" applyNumberFormat="1" applyFont="1"/>
    <xf numFmtId="0" fontId="0" fillId="0" borderId="0" xfId="0" applyFill="1" applyBorder="1"/>
    <xf numFmtId="0" fontId="0" fillId="0" borderId="1" xfId="0" applyFill="1" applyBorder="1"/>
    <xf numFmtId="0" fontId="8" fillId="0" borderId="1" xfId="0" applyFont="1" applyFill="1" applyBorder="1"/>
    <xf numFmtId="0" fontId="8" fillId="0" borderId="17" xfId="0" applyFont="1" applyFill="1" applyBorder="1"/>
    <xf numFmtId="37" fontId="51" fillId="0" borderId="2" xfId="28" applyNumberFormat="1" applyFont="1" applyFill="1" applyBorder="1" applyAlignment="1">
      <alignment horizontal="right"/>
    </xf>
    <xf numFmtId="0" fontId="160" fillId="0" borderId="0" xfId="0" applyFont="1"/>
    <xf numFmtId="173" fontId="105" fillId="13" borderId="0" xfId="36" applyNumberFormat="1" applyFont="1" applyFill="1" applyProtection="1"/>
    <xf numFmtId="166" fontId="163" fillId="13" borderId="0" xfId="36" applyNumberFormat="1" applyFont="1" applyFill="1" applyProtection="1"/>
    <xf numFmtId="166" fontId="105" fillId="13" borderId="0" xfId="36" applyNumberFormat="1" applyFont="1" applyFill="1" applyProtection="1"/>
    <xf numFmtId="0" fontId="8" fillId="13" borderId="0" xfId="0" applyFont="1" applyFill="1"/>
    <xf numFmtId="193" fontId="11" fillId="13" borderId="0" xfId="0" applyNumberFormat="1" applyFont="1" applyFill="1" applyAlignment="1">
      <alignment horizontal="center"/>
    </xf>
    <xf numFmtId="1" fontId="8" fillId="13" borderId="0" xfId="0" applyNumberFormat="1" applyFont="1" applyFill="1"/>
    <xf numFmtId="171" fontId="8" fillId="13" borderId="0" xfId="0" applyNumberFormat="1" applyFont="1" applyFill="1"/>
    <xf numFmtId="166" fontId="8" fillId="13" borderId="0" xfId="36" applyNumberFormat="1" applyFont="1" applyFill="1" applyProtection="1"/>
    <xf numFmtId="44" fontId="8" fillId="13" borderId="0" xfId="17" applyFont="1" applyFill="1"/>
    <xf numFmtId="191" fontId="8" fillId="13" borderId="0" xfId="36" applyNumberFormat="1" applyFont="1" applyFill="1" applyProtection="1"/>
    <xf numFmtId="37" fontId="8" fillId="13" borderId="0" xfId="36" applyNumberFormat="1" applyFont="1" applyFill="1" applyProtection="1"/>
    <xf numFmtId="171" fontId="160" fillId="13" borderId="0" xfId="0" applyNumberFormat="1" applyFont="1" applyFill="1"/>
    <xf numFmtId="0" fontId="160" fillId="13" borderId="0" xfId="0" applyFont="1" applyFill="1"/>
    <xf numFmtId="260" fontId="8" fillId="13" borderId="0" xfId="17" applyNumberFormat="1" applyFont="1" applyFill="1"/>
    <xf numFmtId="9" fontId="8" fillId="13" borderId="0" xfId="39" applyFont="1" applyFill="1"/>
    <xf numFmtId="9" fontId="160" fillId="0" borderId="0" xfId="39" applyFont="1" applyFill="1"/>
    <xf numFmtId="166" fontId="8" fillId="13" borderId="0" xfId="36" quotePrefix="1" applyNumberFormat="1" applyFont="1" applyFill="1" applyProtection="1"/>
    <xf numFmtId="260" fontId="8" fillId="0" borderId="0" xfId="17" applyNumberFormat="1" applyFont="1" applyFill="1"/>
    <xf numFmtId="166" fontId="8" fillId="0" borderId="0" xfId="36" quotePrefix="1" applyNumberFormat="1" applyFont="1" applyFill="1" applyProtection="1"/>
    <xf numFmtId="37" fontId="160" fillId="13" borderId="0" xfId="0" applyNumberFormat="1" applyFont="1" applyFill="1"/>
    <xf numFmtId="37" fontId="0" fillId="0" borderId="0" xfId="0" applyNumberFormat="1" applyFill="1"/>
    <xf numFmtId="171" fontId="160" fillId="0" borderId="0" xfId="0" applyNumberFormat="1" applyFont="1" applyFill="1"/>
    <xf numFmtId="37" fontId="160" fillId="0" borderId="0" xfId="0" applyNumberFormat="1" applyFont="1" applyFill="1"/>
    <xf numFmtId="37" fontId="51" fillId="0" borderId="18" xfId="28" applyNumberFormat="1" applyFont="1" applyFill="1" applyBorder="1" applyAlignment="1">
      <alignment horizontal="right"/>
    </xf>
    <xf numFmtId="173" fontId="164" fillId="13" borderId="0" xfId="36" applyNumberFormat="1" applyFont="1" applyFill="1" applyProtection="1"/>
    <xf numFmtId="5" fontId="164" fillId="13" borderId="0" xfId="36" applyNumberFormat="1" applyFont="1" applyFill="1" applyProtection="1"/>
    <xf numFmtId="178" fontId="11" fillId="0" borderId="0" xfId="36" applyFont="1" applyFill="1" applyAlignment="1"/>
    <xf numFmtId="166" fontId="160" fillId="0" borderId="0" xfId="36" quotePrefix="1" applyNumberFormat="1" applyFont="1" applyFill="1" applyProtection="1"/>
    <xf numFmtId="166" fontId="8" fillId="13" borderId="0" xfId="39" applyNumberFormat="1" applyFont="1" applyFill="1"/>
    <xf numFmtId="0" fontId="1" fillId="0" borderId="0" xfId="0" applyFont="1"/>
    <xf numFmtId="172" fontId="160" fillId="0" borderId="0" xfId="0" applyNumberFormat="1" applyFont="1" applyFill="1" applyBorder="1"/>
    <xf numFmtId="180" fontId="160" fillId="0" borderId="0" xfId="0" applyNumberFormat="1" applyFont="1" applyFill="1"/>
    <xf numFmtId="170" fontId="160" fillId="0" borderId="0" xfId="0" applyNumberFormat="1" applyFont="1" applyFill="1" applyBorder="1"/>
    <xf numFmtId="189" fontId="1" fillId="0" borderId="0" xfId="0" applyNumberFormat="1" applyFont="1" applyFill="1" applyBorder="1"/>
    <xf numFmtId="172" fontId="160" fillId="0" borderId="0" xfId="0" applyNumberFormat="1" applyFont="1" applyFill="1"/>
    <xf numFmtId="208" fontId="140" fillId="13" borderId="2" xfId="13" applyNumberFormat="1" applyFont="1" applyFill="1" applyBorder="1" applyAlignment="1">
      <alignment horizontal="right"/>
    </xf>
    <xf numFmtId="173" fontId="8" fillId="13" borderId="0" xfId="0" applyNumberFormat="1" applyFont="1" applyFill="1" applyBorder="1"/>
    <xf numFmtId="9" fontId="135" fillId="13" borderId="0" xfId="39" applyFont="1" applyFill="1" applyAlignment="1">
      <alignment horizontal="right"/>
    </xf>
    <xf numFmtId="208" fontId="140" fillId="13" borderId="0" xfId="13" applyNumberFormat="1" applyFont="1" applyFill="1" applyBorder="1" applyAlignment="1">
      <alignment horizontal="right"/>
    </xf>
    <xf numFmtId="208" fontId="160" fillId="13" borderId="2" xfId="13" applyNumberFormat="1" applyFont="1" applyFill="1" applyBorder="1" applyAlignment="1">
      <alignment horizontal="right"/>
    </xf>
    <xf numFmtId="208" fontId="135" fillId="13" borderId="0" xfId="13" applyNumberFormat="1" applyFont="1" applyFill="1" applyBorder="1" applyAlignment="1">
      <alignment horizontal="right"/>
    </xf>
    <xf numFmtId="208" fontId="135" fillId="13" borderId="2" xfId="13" applyNumberFormat="1" applyFont="1" applyFill="1" applyBorder="1" applyAlignment="1">
      <alignment horizontal="right"/>
    </xf>
    <xf numFmtId="173" fontId="8" fillId="13" borderId="0" xfId="0" applyNumberFormat="1" applyFont="1" applyFill="1"/>
    <xf numFmtId="200" fontId="8" fillId="13" borderId="0" xfId="0" applyNumberFormat="1" applyFont="1" applyFill="1"/>
    <xf numFmtId="200" fontId="8" fillId="13" borderId="0" xfId="0" applyNumberFormat="1" applyFont="1" applyFill="1" applyBorder="1"/>
    <xf numFmtId="200" fontId="8" fillId="13" borderId="2" xfId="0" applyNumberFormat="1" applyFont="1" applyFill="1" applyBorder="1"/>
    <xf numFmtId="0" fontId="11" fillId="0" borderId="0" xfId="0" applyFont="1" applyFill="1" applyBorder="1" applyAlignment="1">
      <alignment horizontal="center" wrapText="1"/>
    </xf>
    <xf numFmtId="200" fontId="160" fillId="0" borderId="0" xfId="0" applyNumberFormat="1" applyFont="1" applyFill="1" applyBorder="1" applyAlignment="1">
      <alignment horizontal="center"/>
    </xf>
    <xf numFmtId="173" fontId="1" fillId="0" borderId="0" xfId="0" applyNumberFormat="1" applyFont="1" applyFill="1" applyBorder="1"/>
    <xf numFmtId="190" fontId="4" fillId="13" borderId="0" xfId="39" applyNumberFormat="1" applyFont="1" applyFill="1"/>
    <xf numFmtId="0" fontId="8" fillId="13" borderId="0" xfId="0" applyFont="1" applyFill="1" applyBorder="1"/>
    <xf numFmtId="0" fontId="12" fillId="13" borderId="0" xfId="0" applyFont="1" applyFill="1"/>
    <xf numFmtId="200" fontId="136" fillId="13" borderId="0" xfId="0" applyNumberFormat="1" applyFont="1" applyFill="1" applyBorder="1"/>
    <xf numFmtId="173" fontId="140" fillId="13" borderId="0" xfId="0" applyNumberFormat="1" applyFont="1" applyFill="1" applyBorder="1"/>
    <xf numFmtId="0" fontId="4" fillId="13" borderId="0" xfId="0" applyFont="1" applyFill="1" applyBorder="1"/>
    <xf numFmtId="194" fontId="135" fillId="13" borderId="0" xfId="0" applyNumberFormat="1" applyFont="1" applyFill="1" applyAlignment="1">
      <alignment horizontal="left"/>
    </xf>
    <xf numFmtId="0" fontId="4" fillId="13" borderId="0" xfId="0" applyFont="1" applyFill="1"/>
    <xf numFmtId="9" fontId="4" fillId="13" borderId="0" xfId="39" applyFont="1" applyFill="1"/>
    <xf numFmtId="194" fontId="8" fillId="13" borderId="0" xfId="0" applyNumberFormat="1" applyFont="1" applyFill="1" applyBorder="1" applyAlignment="1">
      <alignment horizontal="left"/>
    </xf>
    <xf numFmtId="194" fontId="135" fillId="13" borderId="0" xfId="0" applyNumberFormat="1" applyFont="1" applyFill="1" applyBorder="1" applyAlignment="1">
      <alignment horizontal="left"/>
    </xf>
    <xf numFmtId="200" fontId="160" fillId="0" borderId="0" xfId="0" applyNumberFormat="1" applyFont="1" applyFill="1" applyBorder="1"/>
    <xf numFmtId="208" fontId="160" fillId="13" borderId="0" xfId="13" applyNumberFormat="1" applyFont="1" applyFill="1" applyBorder="1" applyAlignment="1">
      <alignment horizontal="right"/>
    </xf>
    <xf numFmtId="194" fontId="1" fillId="0" borderId="0" xfId="0" applyNumberFormat="1" applyFont="1" applyFill="1" applyBorder="1" applyAlignment="1">
      <alignment horizontal="left"/>
    </xf>
    <xf numFmtId="0" fontId="11" fillId="0" borderId="5" xfId="0" applyFont="1" applyFill="1" applyBorder="1" applyAlignment="1">
      <alignment horizontal="center"/>
    </xf>
    <xf numFmtId="0" fontId="4" fillId="0" borderId="11" xfId="0" applyFont="1" applyFill="1" applyBorder="1" applyAlignment="1">
      <alignment horizontal="center"/>
    </xf>
    <xf numFmtId="0" fontId="11" fillId="0" borderId="11" xfId="0" applyFont="1" applyFill="1" applyBorder="1" applyAlignment="1">
      <alignment horizontal="center"/>
    </xf>
    <xf numFmtId="0" fontId="4" fillId="0" borderId="15" xfId="0" applyFont="1" applyFill="1" applyBorder="1" applyAlignment="1">
      <alignment horizontal="center"/>
    </xf>
    <xf numFmtId="0" fontId="11" fillId="0" borderId="17" xfId="0" applyFont="1" applyFill="1" applyBorder="1" applyAlignment="1">
      <alignment horizontal="center" wrapText="1"/>
    </xf>
    <xf numFmtId="190" fontId="4" fillId="0" borderId="0" xfId="39" applyNumberFormat="1" applyFont="1" applyFill="1" applyBorder="1" applyAlignment="1">
      <alignment horizontal="center"/>
    </xf>
    <xf numFmtId="194" fontId="4" fillId="0" borderId="0" xfId="0" applyNumberFormat="1" applyFont="1" applyFill="1" applyBorder="1" applyAlignment="1">
      <alignment horizontal="center"/>
    </xf>
    <xf numFmtId="190" fontId="10" fillId="0" borderId="16" xfId="39" applyNumberFormat="1" applyFont="1" applyFill="1" applyBorder="1" applyAlignment="1">
      <alignment horizontal="center"/>
    </xf>
    <xf numFmtId="0" fontId="11" fillId="0" borderId="1" xfId="0" applyFont="1" applyFill="1" applyBorder="1" applyAlignment="1">
      <alignment horizontal="center" wrapText="1"/>
    </xf>
    <xf numFmtId="194" fontId="4" fillId="0" borderId="16" xfId="0" applyNumberFormat="1" applyFont="1" applyFill="1" applyBorder="1" applyAlignment="1">
      <alignment horizontal="center"/>
    </xf>
    <xf numFmtId="190" fontId="4" fillId="13" borderId="0" xfId="39" applyNumberFormat="1" applyFont="1" applyFill="1" applyBorder="1"/>
    <xf numFmtId="173" fontId="136" fillId="0" borderId="0" xfId="0" applyNumberFormat="1" applyFont="1" applyFill="1" applyBorder="1"/>
    <xf numFmtId="194" fontId="8" fillId="13" borderId="16" xfId="0" applyNumberFormat="1" applyFont="1" applyFill="1" applyBorder="1" applyAlignment="1">
      <alignment horizontal="left"/>
    </xf>
    <xf numFmtId="200" fontId="8" fillId="13" borderId="1" xfId="0" applyNumberFormat="1" applyFont="1" applyFill="1" applyBorder="1"/>
    <xf numFmtId="0" fontId="8" fillId="13" borderId="16" xfId="0" applyFont="1" applyFill="1" applyBorder="1"/>
    <xf numFmtId="194" fontId="8" fillId="0" borderId="16" xfId="0" applyNumberFormat="1" applyFont="1" applyFill="1" applyBorder="1" applyAlignment="1">
      <alignment horizontal="left"/>
    </xf>
    <xf numFmtId="173" fontId="140" fillId="0" borderId="1" xfId="0" applyNumberFormat="1" applyFont="1" applyFill="1" applyBorder="1"/>
    <xf numFmtId="200" fontId="8" fillId="0" borderId="1" xfId="0" applyNumberFormat="1" applyFont="1" applyFill="1" applyBorder="1"/>
    <xf numFmtId="200" fontId="140" fillId="0" borderId="1" xfId="0" applyNumberFormat="1" applyFont="1" applyFill="1" applyBorder="1"/>
    <xf numFmtId="200" fontId="149" fillId="0" borderId="1" xfId="0" applyNumberFormat="1" applyFont="1" applyFill="1" applyBorder="1"/>
    <xf numFmtId="200" fontId="140" fillId="0" borderId="17" xfId="0" applyNumberFormat="1" applyFont="1" applyFill="1" applyBorder="1"/>
    <xf numFmtId="173" fontId="1" fillId="0" borderId="1" xfId="0" applyNumberFormat="1" applyFont="1" applyFill="1" applyBorder="1"/>
    <xf numFmtId="0" fontId="8" fillId="0" borderId="1" xfId="0" applyFont="1" applyBorder="1"/>
    <xf numFmtId="0" fontId="8" fillId="0" borderId="16" xfId="0" applyFont="1" applyBorder="1"/>
    <xf numFmtId="173" fontId="160" fillId="0" borderId="1" xfId="0" applyNumberFormat="1" applyFont="1" applyFill="1" applyBorder="1"/>
    <xf numFmtId="164" fontId="160" fillId="0" borderId="0" xfId="0" applyNumberFormat="1" applyFont="1" applyFill="1" applyBorder="1" applyAlignment="1">
      <alignment horizontal="center"/>
    </xf>
    <xf numFmtId="200" fontId="8" fillId="0" borderId="17" xfId="0" applyNumberFormat="1" applyFont="1" applyFill="1" applyBorder="1"/>
    <xf numFmtId="190" fontId="4" fillId="0" borderId="2" xfId="39" applyNumberFormat="1" applyFont="1" applyFill="1" applyBorder="1"/>
    <xf numFmtId="194" fontId="8" fillId="0" borderId="2" xfId="0" applyNumberFormat="1" applyFont="1" applyFill="1" applyBorder="1" applyAlignment="1">
      <alignment horizontal="left"/>
    </xf>
    <xf numFmtId="0" fontId="48" fillId="0" borderId="5" xfId="0" applyFont="1" applyFill="1" applyBorder="1" applyAlignment="1">
      <alignment horizontal="center"/>
    </xf>
    <xf numFmtId="0" fontId="8" fillId="0" borderId="11" xfId="0" applyFont="1" applyFill="1" applyBorder="1" applyAlignment="1">
      <alignment horizontal="center"/>
    </xf>
    <xf numFmtId="0" fontId="8" fillId="0" borderId="15" xfId="0" applyFont="1" applyFill="1" applyBorder="1" applyAlignment="1">
      <alignment horizontal="center"/>
    </xf>
    <xf numFmtId="0" fontId="11" fillId="13" borderId="1" xfId="0" applyFont="1" applyFill="1" applyBorder="1" applyAlignment="1">
      <alignment horizontal="center"/>
    </xf>
    <xf numFmtId="0" fontId="11" fillId="0" borderId="0" xfId="0" applyFont="1" applyFill="1" applyBorder="1" applyAlignment="1"/>
    <xf numFmtId="0" fontId="11" fillId="13" borderId="0" xfId="0" applyFont="1" applyFill="1" applyBorder="1" applyAlignment="1">
      <alignment horizontal="center"/>
    </xf>
    <xf numFmtId="0" fontId="11" fillId="0" borderId="16" xfId="0" applyFont="1" applyFill="1" applyBorder="1"/>
    <xf numFmtId="9" fontId="136" fillId="13" borderId="1" xfId="39" applyFont="1" applyFill="1" applyBorder="1" applyAlignment="1">
      <alignment horizontal="right"/>
    </xf>
    <xf numFmtId="0" fontId="136" fillId="0" borderId="0" xfId="0" applyFont="1" applyBorder="1" applyAlignment="1">
      <alignment horizontal="center"/>
    </xf>
    <xf numFmtId="9" fontId="136" fillId="13" borderId="0" xfId="39" applyFont="1" applyFill="1" applyBorder="1" applyAlignment="1">
      <alignment horizontal="right"/>
    </xf>
    <xf numFmtId="209" fontId="17" fillId="0" borderId="0" xfId="39" applyNumberFormat="1" applyFont="1" applyFill="1" applyBorder="1" applyAlignment="1">
      <alignment horizontal="center"/>
    </xf>
    <xf numFmtId="173" fontId="67" fillId="0" borderId="16" xfId="0" applyNumberFormat="1" applyFont="1" applyBorder="1" applyAlignment="1">
      <alignment horizontal="right"/>
    </xf>
    <xf numFmtId="173" fontId="1" fillId="13" borderId="1" xfId="0" applyNumberFormat="1" applyFont="1" applyFill="1" applyBorder="1" applyAlignment="1">
      <alignment horizontal="right"/>
    </xf>
    <xf numFmtId="208" fontId="4" fillId="0" borderId="0" xfId="13" applyNumberFormat="1" applyFont="1" applyBorder="1" applyAlignment="1">
      <alignment horizontal="center"/>
    </xf>
    <xf numFmtId="200" fontId="136" fillId="0" borderId="0" xfId="0" applyNumberFormat="1" applyFont="1" applyFill="1" applyBorder="1" applyAlignment="1">
      <alignment horizontal="center"/>
    </xf>
    <xf numFmtId="173" fontId="136" fillId="13" borderId="0" xfId="0" applyNumberFormat="1" applyFont="1" applyFill="1" applyBorder="1"/>
    <xf numFmtId="5" fontId="1" fillId="0" borderId="16" xfId="0" applyNumberFormat="1" applyFont="1" applyBorder="1"/>
    <xf numFmtId="208" fontId="1" fillId="13" borderId="1" xfId="13" applyNumberFormat="1" applyFont="1" applyFill="1" applyBorder="1" applyAlignment="1">
      <alignment horizontal="right"/>
    </xf>
    <xf numFmtId="5" fontId="1" fillId="0" borderId="16" xfId="0" applyNumberFormat="1" applyFont="1" applyFill="1" applyBorder="1"/>
    <xf numFmtId="208" fontId="1" fillId="13" borderId="17" xfId="13" applyNumberFormat="1" applyFont="1" applyFill="1" applyBorder="1" applyAlignment="1">
      <alignment horizontal="right"/>
    </xf>
    <xf numFmtId="208" fontId="4" fillId="0" borderId="0" xfId="13" applyNumberFormat="1" applyFont="1" applyBorder="1"/>
    <xf numFmtId="5" fontId="1" fillId="0" borderId="18" xfId="0" applyNumberFormat="1" applyFont="1" applyFill="1" applyBorder="1"/>
    <xf numFmtId="173" fontId="8" fillId="13" borderId="1" xfId="0" applyNumberFormat="1" applyFont="1" applyFill="1" applyBorder="1"/>
    <xf numFmtId="7" fontId="135" fillId="13" borderId="1" xfId="0" applyNumberFormat="1" applyFont="1" applyFill="1" applyBorder="1"/>
    <xf numFmtId="0" fontId="136" fillId="0" borderId="0" xfId="0" applyFont="1" applyFill="1" applyBorder="1"/>
    <xf numFmtId="173" fontId="135" fillId="13" borderId="0" xfId="0" applyNumberFormat="1" applyFont="1" applyFill="1" applyBorder="1"/>
    <xf numFmtId="0" fontId="88" fillId="0" borderId="0" xfId="0" applyFont="1" applyFill="1" applyBorder="1"/>
    <xf numFmtId="0" fontId="89" fillId="0" borderId="0" xfId="0" applyFont="1" applyFill="1" applyBorder="1"/>
    <xf numFmtId="5" fontId="89" fillId="0" borderId="16" xfId="0" applyNumberFormat="1" applyFont="1" applyFill="1" applyBorder="1"/>
    <xf numFmtId="9" fontId="135" fillId="13" borderId="1" xfId="39" applyFont="1" applyFill="1" applyBorder="1" applyAlignment="1">
      <alignment horizontal="right"/>
    </xf>
    <xf numFmtId="9" fontId="135" fillId="13" borderId="0" xfId="39" applyFont="1" applyFill="1" applyBorder="1" applyAlignment="1">
      <alignment horizontal="right"/>
    </xf>
    <xf numFmtId="5" fontId="67" fillId="0" borderId="16" xfId="0" applyNumberFormat="1" applyFont="1" applyBorder="1" applyAlignment="1">
      <alignment horizontal="right"/>
    </xf>
    <xf numFmtId="173" fontId="140" fillId="0" borderId="0" xfId="0" applyNumberFormat="1" applyFont="1" applyBorder="1"/>
    <xf numFmtId="167" fontId="140" fillId="0" borderId="0" xfId="0" applyNumberFormat="1" applyFont="1" applyBorder="1"/>
    <xf numFmtId="173" fontId="160" fillId="13" borderId="1" xfId="0" applyNumberFormat="1" applyFont="1" applyFill="1" applyBorder="1"/>
    <xf numFmtId="7" fontId="48" fillId="13" borderId="1" xfId="0" applyNumberFormat="1" applyFont="1" applyFill="1" applyBorder="1"/>
    <xf numFmtId="173" fontId="140" fillId="13" borderId="1" xfId="0" applyNumberFormat="1" applyFont="1" applyFill="1" applyBorder="1" applyAlignment="1">
      <alignment horizontal="right"/>
    </xf>
    <xf numFmtId="173" fontId="140" fillId="13" borderId="0" xfId="0" applyNumberFormat="1" applyFont="1" applyFill="1" applyBorder="1" applyAlignment="1">
      <alignment horizontal="right"/>
    </xf>
    <xf numFmtId="208" fontId="140" fillId="13" borderId="1" xfId="13" applyNumberFormat="1" applyFont="1" applyFill="1" applyBorder="1" applyAlignment="1">
      <alignment horizontal="right"/>
    </xf>
    <xf numFmtId="208" fontId="160" fillId="13" borderId="17" xfId="13" applyNumberFormat="1" applyFont="1" applyFill="1" applyBorder="1" applyAlignment="1">
      <alignment horizontal="right"/>
    </xf>
    <xf numFmtId="5" fontId="8" fillId="0" borderId="16" xfId="0" applyNumberFormat="1" applyFont="1" applyBorder="1"/>
    <xf numFmtId="5" fontId="67" fillId="0" borderId="16" xfId="0" applyNumberFormat="1" applyFont="1" applyFill="1" applyBorder="1" applyAlignment="1">
      <alignment horizontal="right"/>
    </xf>
    <xf numFmtId="208" fontId="160" fillId="13" borderId="1" xfId="13" applyNumberFormat="1" applyFont="1" applyFill="1" applyBorder="1" applyAlignment="1">
      <alignment horizontal="right"/>
    </xf>
    <xf numFmtId="208" fontId="4" fillId="0" borderId="0" xfId="13" applyNumberFormat="1" applyFont="1" applyFill="1" applyBorder="1" applyAlignment="1">
      <alignment horizontal="center"/>
    </xf>
    <xf numFmtId="208" fontId="4" fillId="0" borderId="0" xfId="13" applyNumberFormat="1" applyFont="1" applyFill="1" applyBorder="1"/>
    <xf numFmtId="208" fontId="135" fillId="13" borderId="1" xfId="13" applyNumberFormat="1" applyFont="1" applyFill="1" applyBorder="1" applyAlignment="1">
      <alignment horizontal="right"/>
    </xf>
    <xf numFmtId="208" fontId="135" fillId="13" borderId="17" xfId="13" applyNumberFormat="1" applyFont="1" applyFill="1" applyBorder="1" applyAlignment="1">
      <alignment horizontal="right"/>
    </xf>
    <xf numFmtId="173" fontId="8" fillId="13" borderId="17" xfId="0" applyNumberFormat="1" applyFont="1" applyFill="1" applyBorder="1"/>
    <xf numFmtId="208" fontId="4" fillId="0" borderId="2" xfId="13" applyNumberFormat="1" applyFont="1" applyFill="1" applyBorder="1" applyAlignment="1">
      <alignment horizontal="center"/>
    </xf>
    <xf numFmtId="173" fontId="8" fillId="13" borderId="2" xfId="0" applyNumberFormat="1" applyFont="1" applyFill="1" applyBorder="1"/>
    <xf numFmtId="9" fontId="4" fillId="0" borderId="2" xfId="39" applyFont="1" applyFill="1" applyBorder="1"/>
    <xf numFmtId="208" fontId="4" fillId="0" borderId="2" xfId="13" applyNumberFormat="1" applyFont="1" applyFill="1" applyBorder="1"/>
    <xf numFmtId="9" fontId="8" fillId="0" borderId="2" xfId="39" applyFont="1" applyFill="1" applyBorder="1"/>
    <xf numFmtId="194" fontId="4" fillId="2" borderId="2" xfId="0" applyNumberFormat="1" applyFont="1" applyFill="1" applyBorder="1" applyAlignment="1">
      <alignment horizontal="left"/>
    </xf>
    <xf numFmtId="194" fontId="8" fillId="0" borderId="16" xfId="0" applyNumberFormat="1" applyFont="1" applyFill="1" applyBorder="1" applyAlignment="1">
      <alignment horizontal="center"/>
    </xf>
    <xf numFmtId="0" fontId="137" fillId="0" borderId="0" xfId="0" applyFont="1" applyFill="1" applyBorder="1"/>
    <xf numFmtId="173" fontId="137" fillId="0" borderId="0" xfId="0" applyNumberFormat="1" applyFont="1" applyFill="1" applyBorder="1"/>
    <xf numFmtId="200" fontId="137" fillId="0" borderId="0" xfId="0" applyNumberFormat="1" applyFont="1" applyFill="1" applyBorder="1"/>
    <xf numFmtId="200" fontId="8" fillId="13" borderId="17" xfId="0" applyNumberFormat="1" applyFont="1" applyFill="1" applyBorder="1"/>
    <xf numFmtId="165" fontId="8" fillId="0" borderId="16" xfId="0" applyNumberFormat="1" applyFont="1" applyBorder="1"/>
    <xf numFmtId="200" fontId="23" fillId="0" borderId="0" xfId="0" applyNumberFormat="1" applyFont="1" applyFill="1" applyBorder="1"/>
    <xf numFmtId="0" fontId="8" fillId="13" borderId="0" xfId="0" applyFont="1" applyFill="1" applyAlignment="1">
      <alignment horizontal="left"/>
    </xf>
    <xf numFmtId="196" fontId="8" fillId="13" borderId="0" xfId="0" applyNumberFormat="1" applyFont="1" applyFill="1" applyBorder="1"/>
    <xf numFmtId="0" fontId="8" fillId="13" borderId="0" xfId="0" applyFont="1" applyFill="1" applyAlignment="1">
      <alignment horizontal="center"/>
    </xf>
    <xf numFmtId="196" fontId="160" fillId="13" borderId="0" xfId="0" applyNumberFormat="1" applyFont="1" applyFill="1" applyBorder="1" applyAlignment="1">
      <alignment horizontal="right"/>
    </xf>
    <xf numFmtId="0" fontId="8" fillId="13" borderId="0" xfId="0" applyFont="1" applyFill="1" applyAlignment="1">
      <alignment horizontal="right"/>
    </xf>
    <xf numFmtId="196" fontId="145" fillId="13" borderId="0" xfId="0" applyNumberFormat="1" applyFont="1" applyFill="1" applyBorder="1" applyAlignment="1">
      <alignment horizontal="right"/>
    </xf>
    <xf numFmtId="165" fontId="8" fillId="13" borderId="0" xfId="0" applyNumberFormat="1" applyFont="1" applyFill="1" applyBorder="1"/>
    <xf numFmtId="1" fontId="8" fillId="13" borderId="0" xfId="0" applyNumberFormat="1" applyFont="1" applyFill="1" applyBorder="1"/>
    <xf numFmtId="164" fontId="135" fillId="13" borderId="0" xfId="0" applyNumberFormat="1" applyFont="1" applyFill="1" applyBorder="1"/>
    <xf numFmtId="180" fontId="8" fillId="13" borderId="0" xfId="0" applyNumberFormat="1" applyFont="1" applyFill="1"/>
    <xf numFmtId="176" fontId="8" fillId="13" borderId="0" xfId="0" applyNumberFormat="1" applyFont="1" applyFill="1"/>
    <xf numFmtId="196" fontId="27" fillId="13" borderId="0" xfId="0" applyNumberFormat="1" applyFont="1" applyFill="1" applyBorder="1"/>
    <xf numFmtId="205" fontId="135" fillId="13" borderId="0" xfId="0" applyNumberFormat="1" applyFont="1" applyFill="1" applyAlignment="1">
      <alignment horizontal="center"/>
    </xf>
    <xf numFmtId="205" fontId="8" fillId="13" borderId="0" xfId="0" applyNumberFormat="1" applyFont="1" applyFill="1" applyAlignment="1">
      <alignment horizontal="center"/>
    </xf>
    <xf numFmtId="164" fontId="8" fillId="13" borderId="0" xfId="0" applyNumberFormat="1" applyFont="1" applyFill="1" applyAlignment="1">
      <alignment horizontal="center"/>
    </xf>
    <xf numFmtId="165" fontId="8" fillId="13" borderId="0" xfId="0" applyNumberFormat="1" applyFont="1" applyFill="1"/>
    <xf numFmtId="177" fontId="8" fillId="13" borderId="0" xfId="0" applyNumberFormat="1" applyFont="1" applyFill="1"/>
    <xf numFmtId="164" fontId="8" fillId="13" borderId="0" xfId="0" applyNumberFormat="1" applyFont="1" applyFill="1" applyBorder="1"/>
    <xf numFmtId="164" fontId="8" fillId="13" borderId="0" xfId="0" applyNumberFormat="1" applyFont="1" applyFill="1"/>
    <xf numFmtId="3" fontId="8" fillId="13" borderId="0" xfId="0" applyNumberFormat="1" applyFont="1" applyFill="1"/>
    <xf numFmtId="196" fontId="8" fillId="13" borderId="2" xfId="0" applyNumberFormat="1" applyFont="1" applyFill="1" applyBorder="1"/>
    <xf numFmtId="196" fontId="145" fillId="13" borderId="2" xfId="0" applyNumberFormat="1" applyFont="1" applyFill="1" applyBorder="1" applyAlignment="1">
      <alignment horizontal="right"/>
    </xf>
    <xf numFmtId="1" fontId="8" fillId="13" borderId="2" xfId="0" applyNumberFormat="1" applyFont="1" applyFill="1" applyBorder="1"/>
    <xf numFmtId="165" fontId="8" fillId="13" borderId="2" xfId="0" applyNumberFormat="1" applyFont="1" applyFill="1" applyBorder="1"/>
    <xf numFmtId="164" fontId="135" fillId="13" borderId="2" xfId="0" applyNumberFormat="1" applyFont="1" applyFill="1" applyBorder="1"/>
    <xf numFmtId="176" fontId="8" fillId="13" borderId="2" xfId="0" applyNumberFormat="1" applyFont="1" applyFill="1" applyBorder="1"/>
    <xf numFmtId="164" fontId="8" fillId="13" borderId="2" xfId="0" applyNumberFormat="1" applyFont="1" applyFill="1" applyBorder="1" applyAlignment="1">
      <alignment horizontal="center"/>
    </xf>
    <xf numFmtId="164" fontId="8" fillId="13" borderId="2" xfId="0" applyNumberFormat="1" applyFont="1" applyFill="1" applyBorder="1"/>
    <xf numFmtId="3" fontId="8" fillId="13" borderId="2" xfId="0" applyNumberFormat="1" applyFont="1" applyFill="1" applyBorder="1"/>
    <xf numFmtId="196" fontId="8" fillId="13" borderId="11" xfId="0" applyNumberFormat="1" applyFont="1" applyFill="1" applyBorder="1"/>
    <xf numFmtId="277" fontId="8" fillId="13" borderId="0" xfId="22" applyNumberFormat="1" applyFont="1" applyFill="1" applyAlignment="1">
      <alignment horizontal="right"/>
    </xf>
    <xf numFmtId="165" fontId="8" fillId="13" borderId="0" xfId="0" applyNumberFormat="1" applyFont="1" applyFill="1" applyAlignment="1">
      <alignment horizontal="right"/>
    </xf>
    <xf numFmtId="166" fontId="8" fillId="13" borderId="0" xfId="39" applyNumberFormat="1" applyFont="1" applyFill="1" applyAlignment="1">
      <alignment horizontal="center"/>
    </xf>
    <xf numFmtId="0" fontId="22" fillId="13" borderId="0" xfId="0" quotePrefix="1" applyFont="1" applyFill="1" applyAlignment="1">
      <alignment horizontal="left"/>
    </xf>
    <xf numFmtId="195" fontId="66" fillId="13" borderId="0" xfId="0" applyNumberFormat="1" applyFont="1" applyFill="1" applyAlignment="1">
      <alignment horizontal="left"/>
    </xf>
    <xf numFmtId="196" fontId="8" fillId="13" borderId="0" xfId="0" applyNumberFormat="1" applyFont="1" applyFill="1"/>
    <xf numFmtId="165" fontId="11" fillId="13" borderId="0" xfId="0" applyNumberFormat="1" applyFont="1" applyFill="1"/>
    <xf numFmtId="0" fontId="66" fillId="13" borderId="0" xfId="0" applyFont="1" applyFill="1" applyAlignment="1">
      <alignment horizontal="left"/>
    </xf>
    <xf numFmtId="0" fontId="4" fillId="13" borderId="0" xfId="0" applyFont="1" applyFill="1" applyAlignment="1">
      <alignment horizontal="center"/>
    </xf>
    <xf numFmtId="0" fontId="136" fillId="13" borderId="0" xfId="0" applyFont="1" applyFill="1" applyAlignment="1">
      <alignment horizontal="center"/>
    </xf>
    <xf numFmtId="190" fontId="8" fillId="13" borderId="0" xfId="39" applyNumberFormat="1" applyFont="1" applyFill="1"/>
    <xf numFmtId="9" fontId="138" fillId="13" borderId="0" xfId="39" applyFont="1" applyFill="1" applyAlignment="1">
      <alignment horizontal="center"/>
    </xf>
    <xf numFmtId="173" fontId="4" fillId="13" borderId="0" xfId="0" applyNumberFormat="1" applyFont="1" applyFill="1"/>
    <xf numFmtId="173" fontId="4" fillId="13" borderId="0" xfId="0" applyNumberFormat="1" applyFont="1" applyFill="1" applyBorder="1"/>
    <xf numFmtId="7" fontId="4" fillId="13" borderId="0" xfId="0" applyNumberFormat="1" applyFont="1" applyFill="1"/>
    <xf numFmtId="209" fontId="4" fillId="13" borderId="0" xfId="0" applyNumberFormat="1" applyFont="1" applyFill="1" applyAlignment="1">
      <alignment horizontal="center"/>
    </xf>
    <xf numFmtId="43" fontId="138" fillId="13" borderId="0" xfId="13" applyFont="1" applyFill="1" applyBorder="1"/>
    <xf numFmtId="208" fontId="4" fillId="13" borderId="0" xfId="13" applyNumberFormat="1" applyFont="1" applyFill="1"/>
    <xf numFmtId="43" fontId="8" fillId="13" borderId="0" xfId="13" applyFont="1" applyFill="1" applyBorder="1"/>
    <xf numFmtId="9" fontId="138" fillId="13" borderId="0" xfId="39" applyFont="1" applyFill="1" applyBorder="1"/>
    <xf numFmtId="194" fontId="4" fillId="13" borderId="0" xfId="0" applyNumberFormat="1" applyFont="1" applyFill="1" applyBorder="1" applyAlignment="1">
      <alignment horizontal="left"/>
    </xf>
    <xf numFmtId="173" fontId="67" fillId="13" borderId="0" xfId="0" applyNumberFormat="1" applyFont="1" applyFill="1" applyAlignment="1">
      <alignment horizontal="right"/>
    </xf>
    <xf numFmtId="0" fontId="137" fillId="13" borderId="0" xfId="0" applyFont="1" applyFill="1"/>
    <xf numFmtId="208" fontId="4" fillId="13" borderId="0" xfId="13" applyNumberFormat="1" applyFont="1" applyFill="1" applyAlignment="1">
      <alignment horizontal="center"/>
    </xf>
    <xf numFmtId="200" fontId="135" fillId="13" borderId="0" xfId="0" applyNumberFormat="1" applyFont="1" applyFill="1" applyBorder="1" applyAlignment="1">
      <alignment horizontal="center"/>
    </xf>
    <xf numFmtId="173" fontId="23" fillId="13" borderId="0" xfId="0" applyNumberFormat="1" applyFont="1" applyFill="1" applyAlignment="1">
      <alignment horizontal="right"/>
    </xf>
    <xf numFmtId="209" fontId="17" fillId="13" borderId="0" xfId="39" applyNumberFormat="1" applyFont="1" applyFill="1" applyAlignment="1">
      <alignment horizontal="center"/>
    </xf>
    <xf numFmtId="190" fontId="138" fillId="13" borderId="0" xfId="39" applyNumberFormat="1" applyFont="1" applyFill="1" applyAlignment="1">
      <alignment horizontal="center"/>
    </xf>
    <xf numFmtId="190" fontId="4" fillId="13" borderId="0" xfId="39" applyNumberFormat="1" applyFont="1" applyFill="1" applyAlignment="1">
      <alignment horizontal="center"/>
    </xf>
    <xf numFmtId="209" fontId="147" fillId="13" borderId="0" xfId="39" applyNumberFormat="1" applyFont="1" applyFill="1" applyAlignment="1">
      <alignment horizontal="center"/>
    </xf>
    <xf numFmtId="9" fontId="8" fillId="13" borderId="0" xfId="39" applyFont="1" applyFill="1" applyBorder="1"/>
    <xf numFmtId="9" fontId="138" fillId="13" borderId="0" xfId="39" applyFont="1" applyFill="1"/>
    <xf numFmtId="4" fontId="8" fillId="13" borderId="0" xfId="0" applyNumberFormat="1" applyFont="1" applyFill="1"/>
    <xf numFmtId="194" fontId="145" fillId="13" borderId="0" xfId="0" applyNumberFormat="1" applyFont="1" applyFill="1" applyBorder="1" applyAlignment="1">
      <alignment horizontal="left"/>
    </xf>
    <xf numFmtId="194" fontId="150" fillId="13" borderId="0" xfId="0" applyNumberFormat="1" applyFont="1" applyFill="1" applyAlignment="1">
      <alignment horizontal="left"/>
    </xf>
    <xf numFmtId="194" fontId="145" fillId="13" borderId="0" xfId="0" applyNumberFormat="1" applyFont="1" applyFill="1" applyAlignment="1">
      <alignment horizontal="left"/>
    </xf>
    <xf numFmtId="200" fontId="137" fillId="13" borderId="0" xfId="0" applyNumberFormat="1" applyFont="1" applyFill="1"/>
    <xf numFmtId="208" fontId="4" fillId="13" borderId="0" xfId="13" applyNumberFormat="1" applyFont="1" applyFill="1" applyBorder="1"/>
    <xf numFmtId="4" fontId="8" fillId="13" borderId="0" xfId="0" applyNumberFormat="1" applyFont="1" applyFill="1" applyBorder="1"/>
    <xf numFmtId="190" fontId="4" fillId="13" borderId="0" xfId="39" quotePrefix="1" applyNumberFormat="1" applyFont="1" applyFill="1" applyAlignment="1">
      <alignment horizontal="center"/>
    </xf>
    <xf numFmtId="200" fontId="135" fillId="13" borderId="2" xfId="0" applyNumberFormat="1" applyFont="1" applyFill="1" applyBorder="1" applyAlignment="1">
      <alignment horizontal="center"/>
    </xf>
    <xf numFmtId="208" fontId="4" fillId="13" borderId="2" xfId="13" applyNumberFormat="1" applyFont="1" applyFill="1" applyBorder="1"/>
    <xf numFmtId="173" fontId="4" fillId="13" borderId="2" xfId="0" applyNumberFormat="1" applyFont="1" applyFill="1" applyBorder="1"/>
    <xf numFmtId="208" fontId="8" fillId="13" borderId="2" xfId="13" applyNumberFormat="1" applyFont="1" applyFill="1" applyBorder="1" applyAlignment="1">
      <alignment horizontal="right"/>
    </xf>
    <xf numFmtId="200" fontId="137" fillId="13" borderId="2" xfId="0" applyNumberFormat="1" applyFont="1" applyFill="1" applyBorder="1"/>
    <xf numFmtId="200" fontId="145" fillId="13" borderId="0" xfId="0" applyNumberFormat="1" applyFont="1" applyFill="1" applyAlignment="1">
      <alignment horizontal="center"/>
    </xf>
    <xf numFmtId="190" fontId="134" fillId="13" borderId="0" xfId="39" applyNumberFormat="1" applyFont="1" applyFill="1"/>
    <xf numFmtId="190" fontId="8" fillId="13" borderId="0" xfId="39" applyNumberFormat="1" applyFont="1" applyFill="1" applyBorder="1"/>
    <xf numFmtId="9" fontId="4" fillId="13" borderId="0" xfId="39" applyFont="1" applyFill="1" applyBorder="1"/>
    <xf numFmtId="173" fontId="137" fillId="13" borderId="0" xfId="0" applyNumberFormat="1" applyFont="1" applyFill="1"/>
    <xf numFmtId="190" fontId="4" fillId="13" borderId="2" xfId="39" applyNumberFormat="1" applyFont="1" applyFill="1" applyBorder="1"/>
    <xf numFmtId="194" fontId="8" fillId="13" borderId="2" xfId="0" applyNumberFormat="1" applyFont="1" applyFill="1" applyBorder="1" applyAlignment="1">
      <alignment horizontal="left"/>
    </xf>
    <xf numFmtId="0" fontId="8" fillId="13" borderId="2" xfId="0" applyFont="1" applyFill="1" applyBorder="1"/>
    <xf numFmtId="194" fontId="8" fillId="13" borderId="18" xfId="0" applyNumberFormat="1" applyFont="1" applyFill="1" applyBorder="1" applyAlignment="1">
      <alignment horizontal="left"/>
    </xf>
    <xf numFmtId="194" fontId="150" fillId="13" borderId="0" xfId="0" applyNumberFormat="1" applyFont="1" applyFill="1" applyBorder="1" applyAlignment="1">
      <alignment horizontal="left"/>
    </xf>
    <xf numFmtId="0" fontId="8" fillId="13" borderId="18" xfId="0" applyFont="1" applyFill="1" applyBorder="1"/>
    <xf numFmtId="173" fontId="1" fillId="0" borderId="1" xfId="0" applyNumberFormat="1" applyFont="1" applyFill="1" applyBorder="1" applyAlignment="1">
      <alignment horizontal="right"/>
    </xf>
    <xf numFmtId="208" fontId="1" fillId="0" borderId="1" xfId="13" applyNumberFormat="1" applyFont="1" applyFill="1" applyBorder="1" applyAlignment="1">
      <alignment horizontal="right"/>
    </xf>
    <xf numFmtId="208" fontId="1" fillId="0" borderId="17" xfId="13" applyNumberFormat="1" applyFont="1" applyFill="1" applyBorder="1" applyAlignment="1">
      <alignment horizontal="right"/>
    </xf>
    <xf numFmtId="173" fontId="8" fillId="0" borderId="1" xfId="0" applyNumberFormat="1" applyFont="1" applyFill="1" applyBorder="1"/>
    <xf numFmtId="9" fontId="8" fillId="0" borderId="0" xfId="39" applyFont="1" applyFill="1" applyBorder="1" applyAlignment="1">
      <alignment horizontal="left"/>
    </xf>
    <xf numFmtId="280" fontId="160" fillId="0" borderId="0" xfId="0" applyNumberFormat="1" applyFont="1" applyFill="1" applyBorder="1" applyAlignment="1">
      <alignment horizontal="center"/>
    </xf>
    <xf numFmtId="280" fontId="135" fillId="0" borderId="2" xfId="0" applyNumberFormat="1" applyFont="1" applyFill="1" applyBorder="1" applyAlignment="1">
      <alignment horizontal="center"/>
    </xf>
    <xf numFmtId="280" fontId="8" fillId="0" borderId="4" xfId="22" applyNumberFormat="1" applyFont="1" applyFill="1" applyBorder="1" applyAlignment="1">
      <alignment horizontal="center"/>
    </xf>
    <xf numFmtId="173" fontId="136" fillId="0" borderId="1" xfId="0" applyNumberFormat="1" applyFont="1" applyFill="1" applyBorder="1"/>
    <xf numFmtId="200" fontId="136" fillId="0" borderId="1" xfId="0" applyNumberFormat="1" applyFont="1" applyFill="1" applyBorder="1"/>
    <xf numFmtId="200" fontId="167" fillId="13" borderId="0" xfId="0" applyNumberFormat="1" applyFont="1" applyFill="1" applyBorder="1"/>
    <xf numFmtId="200" fontId="167" fillId="13" borderId="2" xfId="0" applyNumberFormat="1" applyFont="1" applyFill="1" applyBorder="1"/>
    <xf numFmtId="173" fontId="167" fillId="13" borderId="2" xfId="0" applyNumberFormat="1" applyFont="1" applyFill="1" applyBorder="1"/>
    <xf numFmtId="182" fontId="160" fillId="0" borderId="0" xfId="0" applyNumberFormat="1" applyFont="1" applyFill="1" applyBorder="1" applyAlignment="1">
      <alignment horizontal="center"/>
    </xf>
    <xf numFmtId="182" fontId="166" fillId="0" borderId="0" xfId="0" applyNumberFormat="1" applyFont="1" applyFill="1" applyBorder="1" applyAlignment="1">
      <alignment horizontal="center"/>
    </xf>
    <xf numFmtId="182" fontId="1" fillId="0" borderId="4" xfId="0" applyNumberFormat="1" applyFont="1" applyFill="1" applyBorder="1" applyAlignment="1">
      <alignment horizontal="center"/>
    </xf>
    <xf numFmtId="0" fontId="160" fillId="0" borderId="2" xfId="0" applyFont="1" applyFill="1" applyBorder="1" applyAlignment="1">
      <alignment horizontal="right"/>
    </xf>
    <xf numFmtId="164" fontId="160" fillId="13" borderId="0" xfId="0" applyNumberFormat="1" applyFont="1" applyFill="1" applyBorder="1"/>
    <xf numFmtId="172" fontId="11" fillId="0" borderId="0" xfId="0" applyNumberFormat="1" applyFont="1"/>
    <xf numFmtId="194" fontId="160" fillId="0" borderId="0" xfId="0" applyNumberFormat="1" applyFont="1" applyFill="1" applyBorder="1" applyAlignment="1">
      <alignment horizontal="left"/>
    </xf>
    <xf numFmtId="166" fontId="157" fillId="0" borderId="0" xfId="39" applyNumberFormat="1" applyFont="1" applyFill="1"/>
    <xf numFmtId="166" fontId="11" fillId="15" borderId="0" xfId="39" applyNumberFormat="1" applyFont="1" applyFill="1"/>
    <xf numFmtId="208" fontId="8" fillId="0" borderId="0" xfId="0" applyNumberFormat="1" applyFont="1"/>
    <xf numFmtId="178" fontId="1" fillId="0" borderId="0" xfId="36" applyNumberFormat="1" applyFont="1" applyAlignment="1" applyProtection="1">
      <alignment horizontal="left"/>
    </xf>
    <xf numFmtId="5" fontId="105" fillId="13" borderId="0" xfId="36" applyNumberFormat="1" applyFont="1" applyFill="1" applyProtection="1"/>
    <xf numFmtId="187" fontId="11" fillId="0" borderId="0" xfId="37" applyNumberFormat="1" applyFont="1" applyAlignment="1" applyProtection="1"/>
    <xf numFmtId="0" fontId="4" fillId="0" borderId="0" xfId="23" applyFont="1" applyFill="1" applyBorder="1" applyAlignment="1">
      <alignment horizontal="right"/>
    </xf>
    <xf numFmtId="196" fontId="160" fillId="13" borderId="0" xfId="0" applyNumberFormat="1" applyFont="1" applyFill="1" applyBorder="1" applyAlignment="1">
      <alignment horizontal="center"/>
    </xf>
    <xf numFmtId="196" fontId="145" fillId="13" borderId="0" xfId="0" applyNumberFormat="1" applyFont="1" applyFill="1" applyBorder="1" applyAlignment="1">
      <alignment horizontal="center"/>
    </xf>
    <xf numFmtId="165" fontId="8" fillId="13" borderId="0" xfId="0" applyNumberFormat="1" applyFont="1" applyFill="1" applyBorder="1" applyAlignment="1">
      <alignment horizontal="right"/>
    </xf>
    <xf numFmtId="196" fontId="8" fillId="13" borderId="0" xfId="0" applyNumberFormat="1" applyFont="1" applyFill="1" applyBorder="1" applyAlignment="1">
      <alignment horizontal="center"/>
    </xf>
    <xf numFmtId="196" fontId="8" fillId="13" borderId="2" xfId="0" applyNumberFormat="1" applyFont="1" applyFill="1" applyBorder="1" applyAlignment="1">
      <alignment horizontal="center"/>
    </xf>
    <xf numFmtId="196" fontId="145" fillId="13" borderId="2" xfId="0" applyNumberFormat="1" applyFont="1" applyFill="1" applyBorder="1" applyAlignment="1">
      <alignment horizontal="center"/>
    </xf>
    <xf numFmtId="196" fontId="8" fillId="13" borderId="11" xfId="0" applyNumberFormat="1" applyFont="1" applyFill="1" applyBorder="1" applyAlignment="1">
      <alignment horizontal="center"/>
    </xf>
    <xf numFmtId="277" fontId="8" fillId="13" borderId="0" xfId="22" applyNumberFormat="1" applyFont="1" applyFill="1" applyAlignment="1">
      <alignment horizontal="center"/>
    </xf>
    <xf numFmtId="1" fontId="8" fillId="13" borderId="11" xfId="0" applyNumberFormat="1" applyFont="1" applyFill="1" applyBorder="1"/>
    <xf numFmtId="281" fontId="114" fillId="0" borderId="0" xfId="39" applyNumberFormat="1" applyFont="1" applyFill="1" applyBorder="1" applyAlignment="1">
      <alignment horizontal="right"/>
    </xf>
    <xf numFmtId="281" fontId="165" fillId="0" borderId="0" xfId="39" applyNumberFormat="1" applyFont="1" applyFill="1" applyBorder="1" applyAlignment="1">
      <alignment horizontal="right"/>
    </xf>
    <xf numFmtId="37" fontId="4" fillId="12" borderId="0" xfId="0" applyNumberFormat="1" applyFont="1" applyFill="1" applyAlignment="1" applyProtection="1">
      <alignment horizontal="center"/>
    </xf>
    <xf numFmtId="165" fontId="160" fillId="0" borderId="0" xfId="0" applyNumberFormat="1" applyFont="1" applyFill="1" applyBorder="1"/>
    <xf numFmtId="165" fontId="8" fillId="0" borderId="0" xfId="39" applyNumberFormat="1" applyFont="1" applyFill="1" applyAlignment="1">
      <alignment horizontal="centerContinuous"/>
    </xf>
    <xf numFmtId="200" fontId="167" fillId="0" borderId="0" xfId="0" applyNumberFormat="1" applyFont="1" applyFill="1" applyBorder="1"/>
    <xf numFmtId="200" fontId="160" fillId="0" borderId="1" xfId="0" applyNumberFormat="1" applyFont="1" applyFill="1" applyBorder="1"/>
    <xf numFmtId="1" fontId="160" fillId="13" borderId="0" xfId="0" applyNumberFormat="1" applyFont="1" applyFill="1"/>
    <xf numFmtId="0" fontId="1" fillId="13" borderId="0" xfId="0" applyFont="1" applyFill="1"/>
    <xf numFmtId="277" fontId="135" fillId="0" borderId="0" xfId="0" applyNumberFormat="1" applyFont="1" applyFill="1" applyBorder="1" applyAlignment="1">
      <alignment horizontal="center"/>
    </xf>
    <xf numFmtId="167" fontId="17" fillId="0" borderId="0" xfId="0" applyNumberFormat="1" applyFont="1" applyFill="1" applyBorder="1"/>
    <xf numFmtId="0" fontId="53" fillId="0" borderId="4" xfId="39" applyNumberFormat="1" applyFont="1" applyFill="1" applyBorder="1" applyAlignment="1">
      <alignment horizontal="center"/>
    </xf>
    <xf numFmtId="0" fontId="50" fillId="0" borderId="4" xfId="39" applyNumberFormat="1" applyFont="1" applyFill="1" applyBorder="1" applyAlignment="1">
      <alignment horizontal="center"/>
    </xf>
    <xf numFmtId="0" fontId="148" fillId="0" borderId="4" xfId="39" applyNumberFormat="1" applyFont="1" applyFill="1" applyBorder="1" applyAlignment="1">
      <alignment horizontal="center"/>
    </xf>
    <xf numFmtId="0" fontId="11" fillId="0" borderId="2" xfId="0" applyFont="1" applyBorder="1" applyAlignment="1">
      <alignment horizontal="center"/>
    </xf>
    <xf numFmtId="9" fontId="11" fillId="13" borderId="0" xfId="39" applyFont="1" applyFill="1" applyAlignment="1">
      <alignment horizontal="center"/>
    </xf>
    <xf numFmtId="43" fontId="85" fillId="16" borderId="0" xfId="13" applyFont="1" applyFill="1" applyAlignment="1">
      <alignment horizontal="center"/>
    </xf>
    <xf numFmtId="43" fontId="11" fillId="16" borderId="0" xfId="13" applyFont="1" applyFill="1" applyAlignment="1">
      <alignment horizontal="center"/>
    </xf>
    <xf numFmtId="178" fontId="11" fillId="13" borderId="0" xfId="36" applyFont="1" applyFill="1" applyAlignment="1">
      <alignment horizontal="center"/>
    </xf>
    <xf numFmtId="0" fontId="100" fillId="0" borderId="13" xfId="0" applyFont="1" applyFill="1" applyBorder="1" applyAlignment="1">
      <alignment horizontal="center"/>
    </xf>
    <xf numFmtId="0" fontId="100" fillId="0" borderId="4" xfId="0" applyFont="1" applyFill="1" applyBorder="1" applyAlignment="1">
      <alignment horizontal="center"/>
    </xf>
    <xf numFmtId="0" fontId="100" fillId="0" borderId="12" xfId="0" applyFont="1" applyFill="1" applyBorder="1" applyAlignment="1">
      <alignment horizontal="center"/>
    </xf>
    <xf numFmtId="195" fontId="11" fillId="0" borderId="2" xfId="0" applyNumberFormat="1" applyFont="1" applyFill="1" applyBorder="1" applyAlignment="1">
      <alignment horizontal="center"/>
    </xf>
    <xf numFmtId="0" fontId="11" fillId="0" borderId="0" xfId="0" applyFont="1" applyFill="1" applyAlignment="1">
      <alignment horizontal="center"/>
    </xf>
    <xf numFmtId="0" fontId="11" fillId="0" borderId="11" xfId="0" applyFont="1" applyFill="1" applyBorder="1" applyAlignment="1">
      <alignment horizontal="center"/>
    </xf>
    <xf numFmtId="178" fontId="11" fillId="0" borderId="4" xfId="36" applyFont="1" applyFill="1" applyBorder="1" applyAlignment="1">
      <alignment horizontal="center"/>
    </xf>
    <xf numFmtId="193" fontId="10" fillId="0" borderId="2" xfId="0" applyNumberFormat="1" applyFont="1" applyBorder="1" applyAlignment="1">
      <alignment horizontal="center"/>
    </xf>
    <xf numFmtId="172" fontId="15" fillId="0" borderId="2" xfId="0" applyNumberFormat="1" applyFont="1" applyBorder="1" applyAlignment="1">
      <alignment horizontal="center"/>
    </xf>
    <xf numFmtId="0" fontId="11" fillId="12" borderId="0" xfId="20" applyFont="1" applyFill="1" applyAlignment="1">
      <alignment horizontal="center"/>
    </xf>
    <xf numFmtId="0" fontId="11" fillId="13" borderId="0" xfId="20" applyFont="1" applyFill="1" applyAlignment="1">
      <alignment horizontal="center"/>
    </xf>
    <xf numFmtId="0" fontId="1" fillId="17" borderId="0" xfId="50" applyFont="1" applyFill="1" applyAlignment="1">
      <alignment vertical="top"/>
    </xf>
    <xf numFmtId="0" fontId="1" fillId="17" borderId="0" xfId="1" applyFill="1" applyAlignment="1">
      <alignment vertical="top"/>
    </xf>
    <xf numFmtId="0" fontId="1" fillId="17" borderId="0" xfId="1" applyFill="1"/>
    <xf numFmtId="0" fontId="84" fillId="17" borderId="0" xfId="50" applyFont="1" applyFill="1" applyAlignment="1">
      <alignment horizontal="left" vertical="top"/>
    </xf>
    <xf numFmtId="0" fontId="1" fillId="17" borderId="0" xfId="1" applyFont="1" applyFill="1" applyAlignment="1">
      <alignment vertical="top"/>
    </xf>
    <xf numFmtId="0" fontId="27" fillId="17" borderId="0" xfId="50" applyFont="1" applyFill="1" applyAlignment="1">
      <alignment vertical="top"/>
    </xf>
    <xf numFmtId="0" fontId="0" fillId="17" borderId="0" xfId="0" applyFill="1" applyAlignment="1">
      <alignment vertical="top"/>
    </xf>
    <xf numFmtId="0" fontId="168" fillId="17" borderId="0" xfId="0" applyFont="1" applyFill="1" applyAlignment="1">
      <alignment vertical="top"/>
    </xf>
    <xf numFmtId="0" fontId="169" fillId="17" borderId="0" xfId="0" applyFont="1" applyFill="1" applyAlignment="1">
      <alignment vertical="top"/>
    </xf>
    <xf numFmtId="0" fontId="169" fillId="17" borderId="0" xfId="0" applyFont="1" applyFill="1" applyAlignment="1">
      <alignment vertical="top"/>
    </xf>
    <xf numFmtId="0" fontId="168" fillId="17" borderId="0" xfId="0" applyFont="1" applyFill="1" applyAlignment="1">
      <alignment vertical="top"/>
    </xf>
    <xf numFmtId="0" fontId="0" fillId="17" borderId="0" xfId="0" applyFill="1" applyAlignment="1">
      <alignment vertical="top"/>
    </xf>
    <xf numFmtId="0" fontId="0" fillId="17" borderId="27" xfId="0" applyFill="1" applyBorder="1" applyAlignment="1">
      <alignment vertical="top"/>
    </xf>
    <xf numFmtId="0" fontId="0" fillId="17" borderId="23" xfId="0" applyFill="1" applyBorder="1" applyAlignment="1">
      <alignment vertical="top"/>
    </xf>
    <xf numFmtId="0" fontId="168" fillId="17" borderId="24" xfId="0" applyFont="1" applyFill="1" applyBorder="1" applyAlignment="1">
      <alignment vertical="top"/>
    </xf>
    <xf numFmtId="0" fontId="168" fillId="17" borderId="25" xfId="0" applyFont="1" applyFill="1" applyBorder="1" applyAlignment="1">
      <alignment vertical="top"/>
    </xf>
    <xf numFmtId="0" fontId="168" fillId="17" borderId="26" xfId="0" applyFont="1" applyFill="1" applyBorder="1" applyAlignment="1">
      <alignment vertical="top"/>
    </xf>
    <xf numFmtId="0" fontId="168" fillId="17" borderId="23" xfId="0" applyFont="1" applyFill="1" applyBorder="1" applyAlignment="1">
      <alignment vertical="top"/>
    </xf>
    <xf numFmtId="9" fontId="168" fillId="17" borderId="23" xfId="0" applyNumberFormat="1" applyFont="1" applyFill="1" applyBorder="1" applyAlignment="1">
      <alignment vertical="top"/>
    </xf>
    <xf numFmtId="3" fontId="168" fillId="17" borderId="23" xfId="0" applyNumberFormat="1" applyFont="1" applyFill="1" applyBorder="1" applyAlignment="1">
      <alignment vertical="top"/>
    </xf>
    <xf numFmtId="0" fontId="0" fillId="17" borderId="28" xfId="0" applyFill="1" applyBorder="1" applyAlignment="1">
      <alignment vertical="top"/>
    </xf>
    <xf numFmtId="2" fontId="1" fillId="0" borderId="0" xfId="1" applyNumberFormat="1" applyAlignment="1">
      <alignment horizontal="left"/>
    </xf>
    <xf numFmtId="0" fontId="1" fillId="0" borderId="0" xfId="1" applyNumberFormat="1" applyAlignment="1">
      <alignment horizontal="left"/>
    </xf>
    <xf numFmtId="1" fontId="1" fillId="0" borderId="0" xfId="1" applyNumberFormat="1" applyAlignment="1">
      <alignment horizontal="left"/>
    </xf>
    <xf numFmtId="0" fontId="1" fillId="0" borderId="0" xfId="1" applyFont="1"/>
    <xf numFmtId="287" fontId="1" fillId="0" borderId="0" xfId="1" applyNumberFormat="1" applyAlignment="1">
      <alignment horizontal="left"/>
    </xf>
    <xf numFmtId="49" fontId="1" fillId="0" borderId="0" xfId="1" applyNumberFormat="1"/>
  </cellXfs>
  <cellStyles count="51">
    <cellStyle name=" 1" xfId="2"/>
    <cellStyle name=" 1 2" xfId="3"/>
    <cellStyle name=" 1 2 2" xfId="4"/>
    <cellStyle name=" 1 3" xfId="5"/>
    <cellStyle name="******************************************" xfId="6"/>
    <cellStyle name="_FY Guidancev2 " xfId="7"/>
    <cellStyle name="_SUMMARY " xfId="8"/>
    <cellStyle name="0_Capex &amp; Depreciation " xfId="10"/>
    <cellStyle name="0_Valuing BP " xfId="11"/>
    <cellStyle name="c_HardInc " xfId="12"/>
    <cellStyle name="Comma" xfId="13" builtinId="3"/>
    <cellStyle name="Comma 2" xfId="14"/>
    <cellStyle name="Comma 3" xfId="15"/>
    <cellStyle name="Comma_Lease Module TPG example 30062004 capex 2" xfId="16"/>
    <cellStyle name="Currency" xfId="17" builtinId="4"/>
    <cellStyle name="Currency 2" xfId="18"/>
    <cellStyle name="Hyperlink 2" xfId="19"/>
    <cellStyle name="Normal" xfId="0" builtinId="0"/>
    <cellStyle name="Normal 2" xfId="20"/>
    <cellStyle name="Normal 3" xfId="1"/>
    <cellStyle name="Normal 4" xfId="21"/>
    <cellStyle name="Normal 5" xfId="22"/>
    <cellStyle name="Normal_ABSANUAL" xfId="23"/>
    <cellStyle name="Normal_Analysis V5 2" xfId="24"/>
    <cellStyle name="Normal_AXP_interactive_final" xfId="25"/>
    <cellStyle name="Normal_BALSHEET" xfId="26"/>
    <cellStyle name="Normal_dabr" xfId="27"/>
    <cellStyle name="Normal_DHQTR" xfId="28"/>
    <cellStyle name="Normal_Disclaimer" xfId="29"/>
    <cellStyle name="Normal_DisclaimerSheet Samples" xfId="50"/>
    <cellStyle name="Normal_GAPQOR1" xfId="30"/>
    <cellStyle name="Normal_GM Demo" xfId="31"/>
    <cellStyle name="Normal_hd roic 2" xfId="32"/>
    <cellStyle name="Normal_LeaseT_Testing_Original (version 1) 2" xfId="33"/>
    <cellStyle name="Normal_RSH 2" xfId="34"/>
    <cellStyle name="Normal_Sheet1_1" xfId="35"/>
    <cellStyle name="Normal_STORESUM" xfId="36"/>
    <cellStyle name="Normal_Total" xfId="37"/>
    <cellStyle name="p " xfId="38"/>
    <cellStyle name="Percent" xfId="39" builtinId="5"/>
    <cellStyle name="Percent 2" xfId="40"/>
    <cellStyle name="Percent 3" xfId="41"/>
    <cellStyle name="Percent 3 2" xfId="42"/>
    <cellStyle name="Percent 4" xfId="43"/>
    <cellStyle name="RRSInstruction" xfId="44"/>
    <cellStyle name="RRSInstruction 2" xfId="9"/>
    <cellStyle name="s_HardInc " xfId="45"/>
    <cellStyle name="s_Valuation " xfId="46"/>
    <cellStyle name="ssp " xfId="47"/>
    <cellStyle name="Style 32 2" xfId="48"/>
    <cellStyle name="Underline" xfId="49"/>
  </cellStyles>
  <dxfs count="2">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133</v>
        <stp/>
        <stp>38de5fbc-f3a8-416a-8319-319f7da1973b</stp>
        <tr r="H76" s="89"/>
      </tp>
      <tp>
        <v>0</v>
        <stp/>
        <stp>fd08aeea-71a4-4997-b6fb-83dbf9b5efd2</stp>
        <tr r="K190" s="89"/>
      </tp>
      <tp t="s">
        <v xml:space="preserve">                                                   -                                         </v>
        <stp/>
        <stp>37864e7c-9d5b-4e2a-8148-92eac6c40623</stp>
        <tr r="H195" s="89"/>
      </tp>
      <tp>
        <v>0</v>
        <stp/>
        <stp>314e9c9d-ffc2-448b-b471-eafa24e9a9dd</stp>
        <tr r="J190" s="89"/>
      </tp>
      <tp>
        <v>102</v>
        <stp/>
        <stp>8646dc3b-b3ea-43c0-9bf6-071048114ada</stp>
        <tr r="H80" s="89"/>
      </tp>
      <tp>
        <v>0</v>
        <stp/>
        <stp>9d748f16-1aa5-48dd-aeda-1801d3b2e79e</stp>
        <tr r="M190" s="89"/>
      </tp>
      <tp>
        <v>3</v>
        <stp/>
        <stp>157b2d16-651f-4194-a541-bfec4e1e2d5b</stp>
        <tr r="H196" s="89"/>
      </tp>
      <tp t="s">
        <v>N/A</v>
        <stp/>
        <stp>44f696f7-9500-459a-b344-b6212a18b902</stp>
        <tr r="C4" s="89"/>
      </tp>
      <tp>
        <v>0</v>
        <stp/>
        <stp>6caf675b-49f2-4294-975b-7634759d0a12</stp>
        <tr r="N190" s="89"/>
      </tp>
      <tp>
        <v>0</v>
        <stp/>
        <stp>f3e3e513-c8fe-4aa2-b03e-91ecc0103aba</stp>
        <tr r="I190" s="89"/>
      </tp>
      <tp>
        <v>0</v>
        <stp/>
        <stp>c6345d77-18f3-45f5-8b51-efb270644254</stp>
        <tr r="L190" s="89"/>
      </tp>
      <tp>
        <v>372</v>
        <stp/>
        <stp>d20f96ef-3615-4cc6-a1c3-bbc1bbcb0ef5</stp>
        <tr r="H68" s="89"/>
      </tp>
      <tp>
        <v>113</v>
        <stp/>
        <stp>c9170353-bb97-43cf-8fe7-fc8900828af8</stp>
        <tr r="H77" s="89"/>
      </tp>
      <tp>
        <v>0</v>
        <stp/>
        <stp>243cbf55-54bf-4538-8a61-83908e12bcd2</stp>
        <tr r="O190" s="89"/>
      </tp>
      <tp>
        <v>96</v>
        <stp/>
        <stp>b8f2f7e4-eaf2-4c91-9753-c868e51df315</stp>
        <tr r="H81" s="89"/>
      </tp>
      <tp>
        <v>0</v>
        <stp/>
        <stp>854f5405-7b55-45ab-9e5b-b75683fb55ed</stp>
        <tr r="H190" s="89"/>
      </tp>
      <tp>
        <v>107</v>
        <stp/>
        <stp>c9b52b37-9fb9-4a3c-8d47-271516970e31</stp>
        <tr r="H79" s="89"/>
      </tp>
      <tp>
        <v>0</v>
        <stp/>
        <stp>295ccf4a-e4ec-4a03-9f21-bb584954f2a3</stp>
        <tr r="G56" s="89"/>
      </tp>
      <tp t="s">
        <v xml:space="preserve">                                                    -                                          </v>
        <stp/>
        <stp>18582953-ed1b-459c-b631-616a25495d82</stp>
        <tr r="H194" s="89"/>
      </tp>
      <tp>
        <v>111</v>
        <stp/>
        <stp>817c4822-9bf2-469d-9de0-88735d80880a</stp>
        <tr r="H78" s="89"/>
      </tp>
      <tp>
        <v>42553</v>
        <stp/>
        <stp>c7afbab0-90c0-4db8-ac79-b97c598a252c</stp>
        <tr r="I4" s="89"/>
      </tp>
      <tp>
        <v>0</v>
        <stp/>
        <stp>e4fdd0f7-dcad-4bc1-8c25-266d65a516db</stp>
        <tr r="I191" s="89"/>
      </tp>
      <tp>
        <v>0</v>
        <stp/>
        <stp>f346659d-e9b0-4f65-8938-77abe63e83d5</stp>
        <tr r="P190" s="89"/>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externalLinks/externalLink1.xml" Type="http://schemas.openxmlformats.org/officeDocument/2006/relationships/externalLink"/>
<Relationship Id="rId25" Target="theme/theme1.xml" Type="http://schemas.openxmlformats.org/officeDocument/2006/relationships/theme"/>
<Relationship Id="rId26" Target="styles.xml" Type="http://schemas.openxmlformats.org/officeDocument/2006/relationships/styles"/>
<Relationship Id="rId27" Target="sharedStrings.xml" Type="http://schemas.openxmlformats.org/officeDocument/2006/relationships/sharedStrings"/>
<Relationship Id="rId28" Target="calcChain.xml" Type="http://schemas.openxmlformats.org/officeDocument/2006/relationships/calcChain"/>
<Relationship Id="rId29" Target="../customXml/item1.xml" Type="http://schemas.openxmlformats.org/officeDocument/2006/relationships/customXml"/>
<Relationship Id="rId3" Target="worksheets/sheet3.xml" Type="http://schemas.openxmlformats.org/officeDocument/2006/relationships/worksheet"/>
<Relationship Id="rId30" Target="../customXml/item2.xml" Type="http://schemas.openxmlformats.org/officeDocument/2006/relationships/customXml"/>
<Relationship Id="rId31" Target="volatileDependencies.xml" Type="http://schemas.openxmlformats.org/officeDocument/2006/relationships/volatileDependencies"/>
<Relationship Id="rId32"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'SG&amp;A breakout'!$G$163</c:f>
              <c:strCache>
                <c:ptCount val="1"/>
                <c:pt idx="0">
                  <c:v>Marketing</c:v>
                </c:pt>
              </c:strCache>
            </c:strRef>
          </c:tx>
          <c:invertIfNegative val="0"/>
          <c:cat>
            <c:multiLvlStrRef>
              <c:f>'SG&amp;A breakout'!$R$161:$V$161</c:f>
            </c:multiLvlStrRef>
          </c:cat>
          <c:val>
            <c:numRef>
              <c:f>'SG&amp;A breakout'!$R$163:$V$163</c:f>
            </c:numRef>
          </c:val>
        </c:ser>
        <c:ser>
          <c:idx val="1"/>
          <c:order val="1"/>
          <c:tx>
            <c:strRef>
              <c:f>'SG&amp;A breakout'!$G$164</c:f>
              <c:strCache>
                <c:ptCount val="1"/>
                <c:pt idx="0">
                  <c:v>Distribution</c:v>
                </c:pt>
              </c:strCache>
            </c:strRef>
          </c:tx>
          <c:invertIfNegative val="0"/>
          <c:cat>
            <c:multiLvlStrRef>
              <c:f>'SG&amp;A breakout'!$R$161:$V$161</c:f>
            </c:multiLvlStrRef>
          </c:cat>
          <c:val>
            <c:numRef>
              <c:f>'SG&amp;A breakout'!$R$164:$V$164</c:f>
            </c:numRef>
          </c:val>
        </c:ser>
        <c:ser>
          <c:idx val="2"/>
          <c:order val="2"/>
          <c:tx>
            <c:strRef>
              <c:f>'SG&amp;A breakout'!$G$165</c:f>
              <c:strCache>
                <c:ptCount val="1"/>
                <c:pt idx="0">
                  <c:v>Administrative</c:v>
                </c:pt>
              </c:strCache>
            </c:strRef>
          </c:tx>
          <c:invertIfNegative val="0"/>
          <c:cat>
            <c:multiLvlStrRef>
              <c:f>'SG&amp;A breakout'!$R$161:$V$161</c:f>
            </c:multiLvlStrRef>
          </c:cat>
          <c:val>
            <c:numRef>
              <c:f>'SG&amp;A breakout'!$R$165:$V$165</c:f>
            </c:numRef>
          </c:val>
        </c:ser>
        <c:ser>
          <c:idx val="3"/>
          <c:order val="3"/>
          <c:tx>
            <c:strRef>
              <c:f>'SG&amp;A breakout'!$G$166</c:f>
              <c:strCache>
                <c:ptCount val="1"/>
                <c:pt idx="0">
                  <c:v>Selling ex-Rent</c:v>
                </c:pt>
              </c:strCache>
            </c:strRef>
          </c:tx>
          <c:invertIfNegative val="0"/>
          <c:cat>
            <c:multiLvlStrRef>
              <c:f>'SG&amp;A breakout'!$R$161:$V$161</c:f>
            </c:multiLvlStrRef>
          </c:cat>
          <c:val>
            <c:numRef>
              <c:f>'SG&amp;A breakout'!$R$166:$V$166</c:f>
            </c:numRef>
          </c:val>
        </c:ser>
        <c:ser>
          <c:idx val="4"/>
          <c:order val="4"/>
          <c:tx>
            <c:strRef>
              <c:f>'SG&amp;A breakout'!$G$167</c:f>
              <c:strCache>
                <c:ptCount val="1"/>
                <c:pt idx="0">
                  <c:v>Rent Expense</c:v>
                </c:pt>
              </c:strCache>
            </c:strRef>
          </c:tx>
          <c:invertIfNegative val="0"/>
          <c:cat>
            <c:multiLvlStrRef>
              <c:f>'SG&amp;A breakout'!$R$161:$V$161</c:f>
            </c:multiLvlStrRef>
          </c:cat>
          <c:val>
            <c:numRef>
              <c:f>'SG&amp;A breakout'!$R$167:$V$167</c:f>
            </c:numRef>
          </c:val>
        </c:ser>
        <c:dLbls>
          <c:showLegendKey val="0"/>
          <c:showVal val="0"/>
          <c:showCatName val="0"/>
          <c:showSerName val="0"/>
          <c:showPercent val="0"/>
          <c:showBubbleSize val="0"/>
        </c:dLbls>
        <c:gapWidth val="150"/>
        <c:overlap val="100"/>
        <c:axId val="426865792"/>
        <c:axId val="430040192"/>
      </c:barChart>
      <c:catAx>
        <c:axId val="4268657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0040192"/>
        <c:crosses val="autoZero"/>
        <c:auto val="1"/>
        <c:lblAlgn val="ctr"/>
        <c:lblOffset val="100"/>
        <c:noMultiLvlLbl val="0"/>
      </c:catAx>
      <c:valAx>
        <c:axId val="43004019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26865792"/>
        <c:crosses val="autoZero"/>
        <c:crossBetween val="between"/>
      </c:valAx>
    </c:plotArea>
    <c:legend>
      <c:legendPos val="r"/>
      <c:layout>
        <c:manualLayout>
          <c:xMode val="edge"/>
          <c:yMode val="edge"/>
          <c:x val="0.86894977332378909"/>
          <c:y val="0.32058854407904891"/>
          <c:w val="0.12160582199952275"/>
          <c:h val="0.35294179404045078"/>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23534638123957E-2"/>
          <c:y val="0.10586319218241043"/>
          <c:w val="0.86588301614814345"/>
          <c:h val="0.81107491856677527"/>
        </c:manualLayout>
      </c:layout>
      <c:barChart>
        <c:barDir val="col"/>
        <c:grouping val="stacked"/>
        <c:varyColors val="0"/>
        <c:ser>
          <c:idx val="0"/>
          <c:order val="0"/>
          <c:tx>
            <c:strRef>
              <c:f>'SG&amp;A breakout'!$G$163</c:f>
              <c:strCache>
                <c:ptCount val="1"/>
                <c:pt idx="0">
                  <c:v>Marketing</c:v>
                </c:pt>
              </c:strCache>
            </c:strRef>
          </c:tx>
          <c:invertIfNegative val="0"/>
          <c:cat>
            <c:numRef>
              <c:f>'SG&amp;A breakout'!$L$161:$V$161</c:f>
              <c:numCache>
                <c:formatCode>General</c:formatCode>
                <c:ptCount val="3"/>
                <c:pt idx="0">
                  <c:v>2006</c:v>
                </c:pt>
                <c:pt idx="1">
                  <c:v>2007</c:v>
                </c:pt>
                <c:pt idx="2">
                  <c:v>2008</c:v>
                </c:pt>
              </c:numCache>
            </c:numRef>
          </c:cat>
          <c:val>
            <c:numRef>
              <c:f>'SG&amp;A breakout'!$L$163:$V$163</c:f>
              <c:numCache>
                <c:formatCode>"$"#,##0.0_);\("$"#,##0.0\)</c:formatCode>
                <c:ptCount val="3"/>
                <c:pt idx="0">
                  <c:v>100.6</c:v>
                </c:pt>
                <c:pt idx="1">
                  <c:v>119.8</c:v>
                </c:pt>
                <c:pt idx="2">
                  <c:v>147.69999999999999</c:v>
                </c:pt>
              </c:numCache>
            </c:numRef>
          </c:val>
        </c:ser>
        <c:ser>
          <c:idx val="1"/>
          <c:order val="1"/>
          <c:tx>
            <c:strRef>
              <c:f>'SG&amp;A breakout'!$G$164</c:f>
              <c:strCache>
                <c:ptCount val="1"/>
                <c:pt idx="0">
                  <c:v>Distribution</c:v>
                </c:pt>
              </c:strCache>
            </c:strRef>
          </c:tx>
          <c:invertIfNegative val="0"/>
          <c:cat>
            <c:numRef>
              <c:f>'SG&amp;A breakout'!$L$161:$V$161</c:f>
              <c:numCache>
                <c:formatCode>General</c:formatCode>
                <c:ptCount val="3"/>
                <c:pt idx="0">
                  <c:v>2006</c:v>
                </c:pt>
                <c:pt idx="1">
                  <c:v>2007</c:v>
                </c:pt>
                <c:pt idx="2">
                  <c:v>2008</c:v>
                </c:pt>
              </c:numCache>
            </c:numRef>
          </c:cat>
          <c:val>
            <c:numRef>
              <c:f>'SG&amp;A breakout'!$L$164:$V$164</c:f>
              <c:numCache>
                <c:formatCode>"$"#,##0.0_);\("$"#,##0.0\)</c:formatCode>
                <c:ptCount val="3"/>
                <c:pt idx="0">
                  <c:v>42.2</c:v>
                </c:pt>
                <c:pt idx="1">
                  <c:v>53.2</c:v>
                </c:pt>
                <c:pt idx="2">
                  <c:v>47.6</c:v>
                </c:pt>
              </c:numCache>
            </c:numRef>
          </c:val>
        </c:ser>
        <c:ser>
          <c:idx val="2"/>
          <c:order val="2"/>
          <c:tx>
            <c:strRef>
              <c:f>'SG&amp;A breakout'!$G$165</c:f>
              <c:strCache>
                <c:ptCount val="1"/>
                <c:pt idx="0">
                  <c:v>Administrative</c:v>
                </c:pt>
              </c:strCache>
            </c:strRef>
          </c:tx>
          <c:invertIfNegative val="0"/>
          <c:cat>
            <c:numRef>
              <c:f>'SG&amp;A breakout'!$L$161:$V$161</c:f>
              <c:numCache>
                <c:formatCode>General</c:formatCode>
                <c:ptCount val="3"/>
                <c:pt idx="0">
                  <c:v>2006</c:v>
                </c:pt>
                <c:pt idx="1">
                  <c:v>2007</c:v>
                </c:pt>
                <c:pt idx="2">
                  <c:v>2008</c:v>
                </c:pt>
              </c:numCache>
            </c:numRef>
          </c:cat>
          <c:val>
            <c:numRef>
              <c:f>'SG&amp;A breakout'!$L$165:$V$165</c:f>
              <c:numCache>
                <c:formatCode>"$"#,##0.0_);\("$"#,##0.0\)</c:formatCode>
                <c:ptCount val="3"/>
                <c:pt idx="0">
                  <c:v>147.5</c:v>
                </c:pt>
                <c:pt idx="1">
                  <c:v>138.6</c:v>
                </c:pt>
                <c:pt idx="2">
                  <c:v>167.4</c:v>
                </c:pt>
              </c:numCache>
            </c:numRef>
          </c:val>
        </c:ser>
        <c:ser>
          <c:idx val="3"/>
          <c:order val="3"/>
          <c:tx>
            <c:strRef>
              <c:f>'SG&amp;A breakout'!$G$166</c:f>
              <c:strCache>
                <c:ptCount val="1"/>
                <c:pt idx="0">
                  <c:v>Selling ex-Rent</c:v>
                </c:pt>
              </c:strCache>
            </c:strRef>
          </c:tx>
          <c:invertIfNegative val="0"/>
          <c:cat>
            <c:numRef>
              <c:f>'SG&amp;A breakout'!$L$161:$V$161</c:f>
              <c:numCache>
                <c:formatCode>General</c:formatCode>
                <c:ptCount val="3"/>
                <c:pt idx="0">
                  <c:v>2006</c:v>
                </c:pt>
                <c:pt idx="1">
                  <c:v>2007</c:v>
                </c:pt>
                <c:pt idx="2">
                  <c:v>2008</c:v>
                </c:pt>
              </c:numCache>
            </c:numRef>
          </c:cat>
          <c:val>
            <c:numRef>
              <c:f>'SG&amp;A breakout'!$L$166:$V$166</c:f>
              <c:numCache>
                <c:formatCode>_("$"* #,##0.0_);_("$"* \(#,##0.0\);_("$"* "-"??_);_(@_)</c:formatCode>
                <c:ptCount val="3"/>
                <c:pt idx="0">
                  <c:v>482.84400000000005</c:v>
                </c:pt>
                <c:pt idx="1">
                  <c:v>610.54200000000003</c:v>
                </c:pt>
                <c:pt idx="2">
                  <c:v>732.23099999999999</c:v>
                </c:pt>
              </c:numCache>
            </c:numRef>
          </c:val>
        </c:ser>
        <c:ser>
          <c:idx val="4"/>
          <c:order val="4"/>
          <c:tx>
            <c:strRef>
              <c:f>'SG&amp;A breakout'!$G$167</c:f>
              <c:strCache>
                <c:ptCount val="1"/>
                <c:pt idx="0">
                  <c:v>Rent Expense</c:v>
                </c:pt>
              </c:strCache>
            </c:strRef>
          </c:tx>
          <c:invertIfNegative val="0"/>
          <c:cat>
            <c:numRef>
              <c:f>'SG&amp;A breakout'!$L$161:$V$161</c:f>
              <c:numCache>
                <c:formatCode>General</c:formatCode>
                <c:ptCount val="3"/>
                <c:pt idx="0">
                  <c:v>2006</c:v>
                </c:pt>
                <c:pt idx="1">
                  <c:v>2007</c:v>
                </c:pt>
                <c:pt idx="2">
                  <c:v>2008</c:v>
                </c:pt>
              </c:numCache>
            </c:numRef>
          </c:cat>
          <c:val>
            <c:numRef>
              <c:f>'SG&amp;A breakout'!$L$167:$V$167</c:f>
              <c:numCache>
                <c:formatCode>_("$"* #,##0.0_);_("$"* \(#,##0.0\);_("$"* "-"??_);_(@_)</c:formatCode>
                <c:ptCount val="3"/>
                <c:pt idx="0">
                  <c:v>93.756</c:v>
                </c:pt>
                <c:pt idx="1">
                  <c:v>107.458</c:v>
                </c:pt>
                <c:pt idx="2">
                  <c:v>132.96899999999999</c:v>
                </c:pt>
              </c:numCache>
            </c:numRef>
          </c:val>
        </c:ser>
        <c:dLbls>
          <c:showLegendKey val="0"/>
          <c:showVal val="0"/>
          <c:showCatName val="0"/>
          <c:showSerName val="0"/>
          <c:showPercent val="0"/>
          <c:showBubbleSize val="0"/>
        </c:dLbls>
        <c:gapWidth val="150"/>
        <c:overlap val="100"/>
        <c:axId val="432206976"/>
        <c:axId val="432237184"/>
      </c:barChart>
      <c:lineChart>
        <c:grouping val="standard"/>
        <c:varyColors val="0"/>
        <c:ser>
          <c:idx val="5"/>
          <c:order val="5"/>
          <c:tx>
            <c:strRef>
              <c:f>'SG&amp;A breakout'!$G$171</c:f>
              <c:strCache>
                <c:ptCount val="1"/>
                <c:pt idx="0">
                  <c:v>Selling Ex-Rent &amp; D&amp;A/Store (MM)</c:v>
                </c:pt>
              </c:strCache>
            </c:strRef>
          </c:tx>
          <c:marker>
            <c:symbol val="none"/>
          </c:marker>
          <c:cat>
            <c:numRef>
              <c:f>'SG&amp;A breakout'!$L$161:$V$161</c:f>
              <c:numCache>
                <c:formatCode>General</c:formatCode>
                <c:ptCount val="3"/>
                <c:pt idx="0">
                  <c:v>2006</c:v>
                </c:pt>
                <c:pt idx="1">
                  <c:v>2007</c:v>
                </c:pt>
                <c:pt idx="2">
                  <c:v>2008</c:v>
                </c:pt>
              </c:numCache>
            </c:numRef>
          </c:cat>
          <c:val>
            <c:numRef>
              <c:f>'SG&amp;A breakout'!$L$171:$V$171</c:f>
              <c:numCache>
                <c:formatCode>_("$"* #,##0.00_);_("$"* \(#,##0.00\);_("$"* "-"??_);_(@_)</c:formatCode>
                <c:ptCount val="3"/>
                <c:pt idx="0">
                  <c:v>1.0443225</c:v>
                </c:pt>
                <c:pt idx="1">
                  <c:v>1.1629198682766191</c:v>
                </c:pt>
                <c:pt idx="2">
                  <c:v>1.2179884281581486</c:v>
                </c:pt>
              </c:numCache>
            </c:numRef>
          </c:val>
          <c:smooth val="0"/>
        </c:ser>
        <c:dLbls>
          <c:showLegendKey val="0"/>
          <c:showVal val="0"/>
          <c:showCatName val="0"/>
          <c:showSerName val="0"/>
          <c:showPercent val="0"/>
          <c:showBubbleSize val="0"/>
        </c:dLbls>
        <c:marker val="1"/>
        <c:smooth val="0"/>
        <c:axId val="432269952"/>
        <c:axId val="432297856"/>
      </c:lineChart>
      <c:catAx>
        <c:axId val="432206976"/>
        <c:scaling>
          <c:orientation val="minMax"/>
        </c:scaling>
        <c:delete val="0"/>
        <c:axPos val="b"/>
        <c:numFmt formatCode="General" sourceLinked="1"/>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2237184"/>
        <c:crosses val="autoZero"/>
        <c:auto val="1"/>
        <c:lblAlgn val="ctr"/>
        <c:lblOffset val="100"/>
        <c:noMultiLvlLbl val="0"/>
      </c:catAx>
      <c:valAx>
        <c:axId val="432237184"/>
        <c:scaling>
          <c:orientation val="minMax"/>
        </c:scaling>
        <c:delete val="0"/>
        <c:axPos val="l"/>
        <c:numFmt formatCode="\$#,##0_);\(\$#,##0\)" sourceLinked="0"/>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2206976"/>
        <c:crosses val="autoZero"/>
        <c:crossBetween val="between"/>
      </c:valAx>
      <c:catAx>
        <c:axId val="432269952"/>
        <c:scaling>
          <c:orientation val="minMax"/>
        </c:scaling>
        <c:delete val="1"/>
        <c:axPos val="b"/>
        <c:numFmt formatCode="General" sourceLinked="1"/>
        <c:majorTickMark val="out"/>
        <c:minorTickMark val="none"/>
        <c:tickLblPos val="nextTo"/>
        <c:crossAx val="432297856"/>
        <c:crosses val="autoZero"/>
        <c:auto val="1"/>
        <c:lblAlgn val="ctr"/>
        <c:lblOffset val="100"/>
        <c:noMultiLvlLbl val="0"/>
      </c:catAx>
      <c:valAx>
        <c:axId val="432297856"/>
        <c:scaling>
          <c:orientation val="minMax"/>
        </c:scaling>
        <c:delete val="0"/>
        <c:axPos val="r"/>
        <c:numFmt formatCode="_(&quot;$&quot;* #,##0.00_);_(&quot;$&quot;* \(#,##0.00\);_(&quot;$&quot;* &quot;-&quot;??_);_(@_)" sourceLinked="1"/>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2269952"/>
        <c:crosses val="max"/>
        <c:crossBetween val="between"/>
      </c:valAx>
    </c:plotArea>
    <c:legend>
      <c:legendPos val="b"/>
      <c:layout>
        <c:manualLayout>
          <c:xMode val="edge"/>
          <c:yMode val="edge"/>
          <c:x val="8.1568726738739647E-2"/>
          <c:y val="1.4657980456026058E-2"/>
          <c:w val="0.82588297845405989"/>
          <c:h val="4.7231270358306189E-2"/>
        </c:manualLayout>
      </c:layout>
      <c:overlay val="0"/>
      <c:txPr>
        <a:bodyPr/>
        <a:lstStyle/>
        <a:p>
          <a:pPr>
            <a:defRPr sz="105" b="1" i="0" u="none" strike="noStrike" baseline="0">
              <a:solidFill>
                <a:srgbClr val="80808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'SG&amp;A breakout'!$G$171</c:f>
              <c:strCache>
                <c:ptCount val="1"/>
                <c:pt idx="0">
                  <c:v>Selling Ex-Rent &amp; D&amp;A/Store (MM)</c:v>
                </c:pt>
              </c:strCache>
            </c:strRef>
          </c:tx>
          <c:marker>
            <c:symbol val="none"/>
          </c:marker>
          <c:cat>
            <c:strRef>
              <c:f>'SG&amp;A breakout'!$AA$161:$AI$161</c:f>
              <c:strCache>
                <c:ptCount val="9"/>
                <c:pt idx="0">
                  <c:v>2007</c:v>
                </c:pt>
                <c:pt idx="1">
                  <c:v>2008</c:v>
                </c:pt>
                <c:pt idx="2">
                  <c:v>2009</c:v>
                </c:pt>
                <c:pt idx="3">
                  <c:v>2010</c:v>
                </c:pt>
                <c:pt idx="4">
                  <c:v>2011</c:v>
                </c:pt>
                <c:pt idx="5">
                  <c:v>2012</c:v>
                </c:pt>
                <c:pt idx="6">
                  <c:v>2013</c:v>
                </c:pt>
                <c:pt idx="7">
                  <c:v>2014E</c:v>
                </c:pt>
                <c:pt idx="8">
                  <c:v>2015E</c:v>
                </c:pt>
              </c:strCache>
            </c:strRef>
          </c:cat>
          <c:val>
            <c:numRef>
              <c:f>'SG&amp;A breakout'!$AA$171:$AI$171</c:f>
              <c:numCache>
                <c:formatCode>0%</c:formatCode>
                <c:ptCount val="9"/>
                <c:pt idx="0">
                  <c:v>0.11356393094721118</c:v>
                </c:pt>
                <c:pt idx="1">
                  <c:v>4.7353701130876669E-2</c:v>
                </c:pt>
                <c:pt idx="2">
                  <c:v>-1.6143412479976971E-2</c:v>
                </c:pt>
                <c:pt idx="3">
                  <c:v>-3.6661006155428111E-2</c:v>
                </c:pt>
                <c:pt idx="4">
                  <c:v>6.2834079459968217E-2</c:v>
                </c:pt>
                <c:pt idx="5">
                  <c:v>2.6204434562689949E-2</c:v>
                </c:pt>
                <c:pt idx="6">
                  <c:v>-5.2522655851964251E-2</c:v>
                </c:pt>
                <c:pt idx="7">
                  <c:v>-0.11065982610746916</c:v>
                </c:pt>
                <c:pt idx="8">
                  <c:v>-6.6011355768242463E-2</c:v>
                </c:pt>
              </c:numCache>
            </c:numRef>
          </c:val>
          <c:smooth val="0"/>
        </c:ser>
        <c:ser>
          <c:idx val="1"/>
          <c:order val="1"/>
          <c:tx>
            <c:v>Avg Gross Sq.Ft. Growth</c:v>
          </c:tx>
          <c:marker>
            <c:symbol val="none"/>
          </c:marker>
          <c:cat>
            <c:strRef>
              <c:f>'SG&amp;A breakout'!$AA$161:$AI$161</c:f>
              <c:strCache>
                <c:ptCount val="9"/>
                <c:pt idx="0">
                  <c:v>2007</c:v>
                </c:pt>
                <c:pt idx="1">
                  <c:v>2008</c:v>
                </c:pt>
                <c:pt idx="2">
                  <c:v>2009</c:v>
                </c:pt>
                <c:pt idx="3">
                  <c:v>2010</c:v>
                </c:pt>
                <c:pt idx="4">
                  <c:v>2011</c:v>
                </c:pt>
                <c:pt idx="5">
                  <c:v>2012</c:v>
                </c:pt>
                <c:pt idx="6">
                  <c:v>2013</c:v>
                </c:pt>
                <c:pt idx="7">
                  <c:v>2014E</c:v>
                </c:pt>
                <c:pt idx="8">
                  <c:v>2015E</c:v>
                </c:pt>
              </c:strCache>
            </c:strRef>
          </c:cat>
          <c:val>
            <c:numRef>
              <c:f>yrSales!$N$86:$V$86</c:f>
              <c:numCache>
                <c:formatCode>0.0%</c:formatCode>
                <c:ptCount val="3"/>
                <c:pt idx="0">
                  <c:v>0.15489478767964182</c:v>
                </c:pt>
                <c:pt idx="1">
                  <c:v>0.10699175457777765</c:v>
                </c:pt>
                <c:pt idx="2">
                  <c:v>5.939307345597955E-2</c:v>
                </c:pt>
              </c:numCache>
            </c:numRef>
          </c:val>
          <c:smooth val="0"/>
        </c:ser>
        <c:dLbls>
          <c:showLegendKey val="0"/>
          <c:showVal val="0"/>
          <c:showCatName val="0"/>
          <c:showSerName val="0"/>
          <c:showPercent val="0"/>
          <c:showBubbleSize val="0"/>
        </c:dLbls>
        <c:marker val="1"/>
        <c:smooth val="0"/>
        <c:axId val="432476544"/>
        <c:axId val="432495232"/>
      </c:lineChart>
      <c:catAx>
        <c:axId val="43247654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2495232"/>
        <c:crosses val="autoZero"/>
        <c:auto val="1"/>
        <c:lblAlgn val="ctr"/>
        <c:lblOffset val="100"/>
        <c:noMultiLvlLbl val="0"/>
      </c:catAx>
      <c:valAx>
        <c:axId val="43249523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2476544"/>
        <c:crosses val="autoZero"/>
        <c:crossBetween val="between"/>
      </c:valAx>
    </c:plotArea>
    <c:legend>
      <c:legendPos val="r"/>
      <c:layout>
        <c:manualLayout>
          <c:xMode val="edge"/>
          <c:yMode val="edge"/>
          <c:x val="0.27397252397274702"/>
          <c:y val="2.8469750889679714E-2"/>
          <c:w val="0.4491192850185512"/>
          <c:h val="8.5409252669039148E-2"/>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'SG&amp;A breakout'!$G$172</c:f>
              <c:strCache>
                <c:ptCount val="1"/>
                <c:pt idx="0">
                  <c:v>Selling Ex-Rent &amp; D&amp;A/Sq.Ft.</c:v>
                </c:pt>
              </c:strCache>
            </c:strRef>
          </c:tx>
          <c:marker>
            <c:symbol val="none"/>
          </c:marker>
          <c:cat>
            <c:strRef>
              <c:f>'SG&amp;A breakout'!$AA$161:$AI$161</c:f>
              <c:strCache>
                <c:ptCount val="9"/>
                <c:pt idx="0">
                  <c:v>2007</c:v>
                </c:pt>
                <c:pt idx="1">
                  <c:v>2008</c:v>
                </c:pt>
                <c:pt idx="2">
                  <c:v>2009</c:v>
                </c:pt>
                <c:pt idx="3">
                  <c:v>2010</c:v>
                </c:pt>
                <c:pt idx="4">
                  <c:v>2011</c:v>
                </c:pt>
                <c:pt idx="5">
                  <c:v>2012</c:v>
                </c:pt>
                <c:pt idx="6">
                  <c:v>2013</c:v>
                </c:pt>
                <c:pt idx="7">
                  <c:v>2014E</c:v>
                </c:pt>
                <c:pt idx="8">
                  <c:v>2015E</c:v>
                </c:pt>
              </c:strCache>
            </c:strRef>
          </c:cat>
          <c:val>
            <c:numRef>
              <c:f>'SG&amp;A breakout'!$AA$172:$AI$172</c:f>
              <c:numCache>
                <c:formatCode>0%</c:formatCode>
                <c:ptCount val="9"/>
                <c:pt idx="0">
                  <c:v>8.9218971174007899E-2</c:v>
                </c:pt>
                <c:pt idx="1">
                  <c:v>1.8658806093467817E-3</c:v>
                </c:pt>
                <c:pt idx="2">
                  <c:v>-5.6261098537868315E-2</c:v>
                </c:pt>
                <c:pt idx="3">
                  <c:v>-5.4383077855490347E-2</c:v>
                </c:pt>
                <c:pt idx="4">
                  <c:v>5.1846657603435542E-2</c:v>
                </c:pt>
                <c:pt idx="5">
                  <c:v>3.4718480647224492E-3</c:v>
                </c:pt>
                <c:pt idx="6">
                  <c:v>-5.8253012085497047E-2</c:v>
                </c:pt>
                <c:pt idx="7">
                  <c:v>-0.11470163034944103</c:v>
                </c:pt>
                <c:pt idx="8">
                  <c:v>-0.11299534064933803</c:v>
                </c:pt>
              </c:numCache>
            </c:numRef>
          </c:val>
          <c:smooth val="0"/>
        </c:ser>
        <c:ser>
          <c:idx val="1"/>
          <c:order val="1"/>
          <c:tx>
            <c:strRef>
              <c:f>'SG&amp;A breakout'!$G$173</c:f>
              <c:strCache>
                <c:ptCount val="1"/>
                <c:pt idx="0">
                  <c:v>Avg. Gross Sq.Ft. (MM)</c:v>
                </c:pt>
              </c:strCache>
            </c:strRef>
          </c:tx>
          <c:marker>
            <c:symbol val="none"/>
          </c:marker>
          <c:cat>
            <c:strRef>
              <c:f>'SG&amp;A breakout'!$AA$161:$AI$161</c:f>
              <c:strCache>
                <c:ptCount val="9"/>
                <c:pt idx="0">
                  <c:v>2007</c:v>
                </c:pt>
                <c:pt idx="1">
                  <c:v>2008</c:v>
                </c:pt>
                <c:pt idx="2">
                  <c:v>2009</c:v>
                </c:pt>
                <c:pt idx="3">
                  <c:v>2010</c:v>
                </c:pt>
                <c:pt idx="4">
                  <c:v>2011</c:v>
                </c:pt>
                <c:pt idx="5">
                  <c:v>2012</c:v>
                </c:pt>
                <c:pt idx="6">
                  <c:v>2013</c:v>
                </c:pt>
                <c:pt idx="7">
                  <c:v>2014E</c:v>
                </c:pt>
                <c:pt idx="8">
                  <c:v>2015E</c:v>
                </c:pt>
              </c:strCache>
            </c:strRef>
          </c:cat>
          <c:val>
            <c:numRef>
              <c:f>'SG&amp;A breakout'!$AA$173:$AI$173</c:f>
              <c:numCache>
                <c:formatCode>0%</c:formatCode>
                <c:ptCount val="9"/>
                <c:pt idx="0">
                  <c:v>0.16420201991097749</c:v>
                </c:pt>
                <c:pt idx="1">
                  <c:v>0.18999233654161451</c:v>
                </c:pt>
                <c:pt idx="2">
                  <c:v>0.17822652557269425</c:v>
                </c:pt>
                <c:pt idx="3">
                  <c:v>0.12044156158549124</c:v>
                </c:pt>
                <c:pt idx="4">
                  <c:v>8.8051843193189594E-2</c:v>
                </c:pt>
                <c:pt idx="5">
                  <c:v>0.14569659197771379</c:v>
                </c:pt>
                <c:pt idx="6">
                  <c:v>0.15489478767964182</c:v>
                </c:pt>
                <c:pt idx="7">
                  <c:v>0.10699175457777765</c:v>
                </c:pt>
                <c:pt idx="8">
                  <c:v>5.939307345597955E-2</c:v>
                </c:pt>
              </c:numCache>
            </c:numRef>
          </c:val>
          <c:smooth val="0"/>
        </c:ser>
        <c:dLbls>
          <c:showLegendKey val="0"/>
          <c:showVal val="0"/>
          <c:showCatName val="0"/>
          <c:showSerName val="0"/>
          <c:showPercent val="0"/>
          <c:showBubbleSize val="0"/>
        </c:dLbls>
        <c:marker val="1"/>
        <c:smooth val="0"/>
        <c:axId val="432590848"/>
        <c:axId val="432609152"/>
      </c:lineChart>
      <c:catAx>
        <c:axId val="4325908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2609152"/>
        <c:crosses val="autoZero"/>
        <c:auto val="1"/>
        <c:lblAlgn val="ctr"/>
        <c:lblOffset val="100"/>
        <c:noMultiLvlLbl val="0"/>
      </c:catAx>
      <c:valAx>
        <c:axId val="43260915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32590848"/>
        <c:crosses val="autoZero"/>
        <c:crossBetween val="between"/>
      </c:valAx>
    </c:plotArea>
    <c:legend>
      <c:legendPos val="r"/>
      <c:layout>
        <c:manualLayout>
          <c:xMode val="edge"/>
          <c:yMode val="edge"/>
          <c:x val="0.23116893763594412"/>
          <c:y val="3.0534351145038167E-2"/>
          <c:w val="0.53506482344618755"/>
          <c:h val="9.1603053435114504E-2"/>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331981979456498E-2"/>
          <c:y val="0.14359010314028231"/>
          <c:w val="0.86012569935621253"/>
          <c:h val="0.7435916055478905"/>
        </c:manualLayout>
      </c:layout>
      <c:barChart>
        <c:barDir val="col"/>
        <c:grouping val="clustered"/>
        <c:varyColors val="0"/>
        <c:ser>
          <c:idx val="0"/>
          <c:order val="0"/>
          <c:tx>
            <c:strRef>
              <c:f>'SG&amp;A breakout'!$G$172</c:f>
              <c:strCache>
                <c:ptCount val="1"/>
                <c:pt idx="0">
                  <c:v>Selling Ex-Rent &amp; D&amp;A/Sq.Ft.</c:v>
                </c:pt>
              </c:strCache>
            </c:strRef>
          </c:tx>
          <c:invertIfNegative val="0"/>
          <c:cat>
            <c:numRef>
              <c:f>'SG&amp;A breakout'!$M$161:$V$161</c:f>
              <c:numCache>
                <c:formatCode>General</c:formatCode>
                <c:ptCount val="2"/>
                <c:pt idx="0">
                  <c:v>2007</c:v>
                </c:pt>
                <c:pt idx="1">
                  <c:v>2008</c:v>
                </c:pt>
              </c:numCache>
            </c:numRef>
          </c:cat>
          <c:val>
            <c:numRef>
              <c:f>'SG&amp;A breakout'!$M$172:$V$172</c:f>
              <c:numCache>
                <c:formatCode>_("$"* #,##0_);_("$"* \(#,##0\);_("$"* "-"??_);_(@_)</c:formatCode>
                <c:ptCount val="2"/>
                <c:pt idx="0">
                  <c:v>468.21344190046693</c:v>
                </c:pt>
                <c:pt idx="1">
                  <c:v>469.08707228274454</c:v>
                </c:pt>
              </c:numCache>
            </c:numRef>
          </c:val>
        </c:ser>
        <c:dLbls>
          <c:showLegendKey val="0"/>
          <c:showVal val="0"/>
          <c:showCatName val="0"/>
          <c:showSerName val="0"/>
          <c:showPercent val="0"/>
          <c:showBubbleSize val="0"/>
        </c:dLbls>
        <c:gapWidth val="150"/>
        <c:axId val="433251072"/>
        <c:axId val="433341568"/>
      </c:barChart>
      <c:lineChart>
        <c:grouping val="standard"/>
        <c:varyColors val="0"/>
        <c:ser>
          <c:idx val="1"/>
          <c:order val="1"/>
          <c:tx>
            <c:strRef>
              <c:f>'SG&amp;A breakout'!$G$173</c:f>
              <c:strCache>
                <c:ptCount val="1"/>
                <c:pt idx="0">
                  <c:v>Avg. Gross Sq.Ft. (MM)</c:v>
                </c:pt>
              </c:strCache>
            </c:strRef>
          </c:tx>
          <c:marker>
            <c:symbol val="none"/>
          </c:marker>
          <c:cat>
            <c:numRef>
              <c:f>'SG&amp;A breakout'!$M$161:$V$161</c:f>
              <c:numCache>
                <c:formatCode>General</c:formatCode>
                <c:ptCount val="2"/>
                <c:pt idx="0">
                  <c:v>2007</c:v>
                </c:pt>
                <c:pt idx="1">
                  <c:v>2008</c:v>
                </c:pt>
              </c:numCache>
            </c:numRef>
          </c:cat>
          <c:val>
            <c:numRef>
              <c:f>'SG&amp;A breakout'!$M$173:$V$173</c:f>
              <c:numCache>
                <c:formatCode>_(* #,##0.00_);_(* \(#,##0.00\);_(* "-"??_);_(@_)</c:formatCode>
                <c:ptCount val="2"/>
                <c:pt idx="0">
                  <c:v>1.1313430000000002</c:v>
                </c:pt>
                <c:pt idx="1">
                  <c:v>1.3462895000000001</c:v>
                </c:pt>
              </c:numCache>
            </c:numRef>
          </c:val>
          <c:smooth val="0"/>
        </c:ser>
        <c:dLbls>
          <c:showLegendKey val="0"/>
          <c:showVal val="0"/>
          <c:showCatName val="0"/>
          <c:showSerName val="0"/>
          <c:showPercent val="0"/>
          <c:showBubbleSize val="0"/>
        </c:dLbls>
        <c:marker val="1"/>
        <c:smooth val="0"/>
        <c:axId val="433358720"/>
        <c:axId val="433370240"/>
      </c:lineChart>
      <c:catAx>
        <c:axId val="433251072"/>
        <c:scaling>
          <c:orientation val="minMax"/>
        </c:scaling>
        <c:delete val="0"/>
        <c:axPos val="b"/>
        <c:numFmt formatCode="General" sourceLinked="1"/>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3341568"/>
        <c:crosses val="autoZero"/>
        <c:auto val="1"/>
        <c:lblAlgn val="ctr"/>
        <c:lblOffset val="100"/>
        <c:noMultiLvlLbl val="0"/>
      </c:catAx>
      <c:valAx>
        <c:axId val="433341568"/>
        <c:scaling>
          <c:orientation val="minMax"/>
          <c:min val="300"/>
        </c:scaling>
        <c:delete val="0"/>
        <c:axPos val="l"/>
        <c:numFmt formatCode="_(\$* #,##0_);_(\$* \(#,##0\);_(\$* &quot;-&quot;_);_(@_)" sourceLinked="0"/>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3251072"/>
        <c:crosses val="autoZero"/>
        <c:crossBetween val="between"/>
      </c:valAx>
      <c:catAx>
        <c:axId val="433358720"/>
        <c:scaling>
          <c:orientation val="minMax"/>
        </c:scaling>
        <c:delete val="1"/>
        <c:axPos val="b"/>
        <c:numFmt formatCode="General" sourceLinked="1"/>
        <c:majorTickMark val="out"/>
        <c:minorTickMark val="none"/>
        <c:tickLblPos val="nextTo"/>
        <c:crossAx val="433370240"/>
        <c:crosses val="autoZero"/>
        <c:auto val="1"/>
        <c:lblAlgn val="ctr"/>
        <c:lblOffset val="100"/>
        <c:noMultiLvlLbl val="0"/>
      </c:catAx>
      <c:valAx>
        <c:axId val="433370240"/>
        <c:scaling>
          <c:orientation val="minMax"/>
        </c:scaling>
        <c:delete val="0"/>
        <c:axPos val="r"/>
        <c:numFmt formatCode="_(* #,##0.0_);_(* \(#,##0.0\);_(* &quot;-&quot;?_);_(@_)" sourceLinked="0"/>
        <c:majorTickMark val="out"/>
        <c:minorTickMark val="none"/>
        <c:tickLblPos val="nextTo"/>
        <c:txPr>
          <a:bodyPr rot="0" vert="horz"/>
          <a:lstStyle/>
          <a:p>
            <a:pPr>
              <a:defRPr sz="1400" b="1" i="0" u="none" strike="noStrike" baseline="0">
                <a:solidFill>
                  <a:srgbClr val="808080"/>
                </a:solidFill>
                <a:latin typeface="Calibri"/>
                <a:ea typeface="Calibri"/>
                <a:cs typeface="Calibri"/>
              </a:defRPr>
            </a:pPr>
            <a:endParaRPr lang="en-US"/>
          </a:p>
        </c:txPr>
        <c:crossAx val="433358720"/>
        <c:crosses val="max"/>
        <c:crossBetween val="between"/>
      </c:valAx>
    </c:plotArea>
    <c:legend>
      <c:legendPos val="r"/>
      <c:layout>
        <c:manualLayout>
          <c:xMode val="edge"/>
          <c:yMode val="edge"/>
          <c:x val="0.20668098305893581"/>
          <c:y val="2.564102564102564E-2"/>
          <c:w val="0.5709815938079511"/>
          <c:h val="7.6923346120196523E-2"/>
        </c:manualLayout>
      </c:layout>
      <c:overlay val="0"/>
      <c:txPr>
        <a:bodyPr/>
        <a:lstStyle/>
        <a:p>
          <a:pPr>
            <a:defRPr sz="105" b="1" i="0" u="none" strike="noStrike" baseline="0">
              <a:solidFill>
                <a:srgbClr val="80808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400" b="0" i="0" u="none" strike="noStrike" baseline="0">
                <a:solidFill>
                  <a:srgbClr val="333333"/>
                </a:solidFill>
                <a:latin typeface="Arial"/>
                <a:ea typeface="Arial"/>
                <a:cs typeface="Arial"/>
              </a:defRPr>
            </a:pPr>
            <a:r>
              <a:rPr lang="en-US"/>
              <a:t>Inventory vs. Forward Sales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1197513804151965"/>
          <c:y val="9.9644334305232743E-2"/>
          <c:w val="0.84891913345268932"/>
          <c:h val="0.67394514914360792"/>
        </c:manualLayout>
      </c:layout>
      <c:barChart>
        <c:barDir val="col"/>
        <c:grouping val="clustered"/>
        <c:varyColors val="0"/>
        <c:ser>
          <c:idx val="0"/>
          <c:order val="0"/>
          <c:tx>
            <c:strRef>
              <c:f>InvSalesChart!$A$4</c:f>
              <c:strCache>
                <c:ptCount val="1"/>
                <c:pt idx="0">
                  <c:v>Inventory Growth</c:v>
                </c:pt>
              </c:strCache>
            </c:strRef>
          </c:tx>
          <c:spPr>
            <a:solidFill>
              <a:srgbClr val="137CB1"/>
            </a:solidFill>
            <a:ln w="25400">
              <a:noFill/>
            </a:ln>
          </c:spPr>
          <c:invertIfNegative val="0"/>
          <c:cat>
            <c:strRef>
              <c:f>InvSalesChart!$B$3:$O$3</c:f>
              <c:strCache>
                <c:ptCount val="14"/>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pt idx="13">
                  <c:v>2Q18</c:v>
                </c:pt>
              </c:strCache>
            </c:strRef>
          </c:cat>
          <c:val>
            <c:numRef>
              <c:f>InvSalesChart!$B$4:$O$4</c:f>
              <c:numCache>
                <c:formatCode>0.0%</c:formatCode>
                <c:ptCount val="14"/>
                <c:pt idx="0">
                  <c:v>-6.2481364188483157E-2</c:v>
                </c:pt>
                <c:pt idx="1">
                  <c:v>-0.19171973831248434</c:v>
                </c:pt>
                <c:pt idx="2">
                  <c:v>-0.21729254140949028</c:v>
                </c:pt>
                <c:pt idx="3">
                  <c:v>-7.8063381954672773E-2</c:v>
                </c:pt>
                <c:pt idx="4">
                  <c:v>-3.7997991295614209E-2</c:v>
                </c:pt>
                <c:pt idx="5">
                  <c:v>-1.9015659955257225E-2</c:v>
                </c:pt>
                <c:pt idx="6">
                  <c:v>1.5758371634931212E-2</c:v>
                </c:pt>
                <c:pt idx="7">
                  <c:v>-5.3391053391053427E-2</c:v>
                </c:pt>
                <c:pt idx="8">
                  <c:v>-4.854706803549691E-2</c:v>
                </c:pt>
                <c:pt idx="9">
                  <c:v>6.0205245153933884E-2</c:v>
                </c:pt>
                <c:pt idx="10">
                  <c:v>3.1458737341090171E-2</c:v>
                </c:pt>
                <c:pt idx="11">
                  <c:v>2.2865853658536661E-2</c:v>
                </c:pt>
                <c:pt idx="12">
                  <c:v>0.55961960497439645</c:v>
                </c:pt>
                <c:pt idx="13">
                  <c:v>0.43299634329963443</c:v>
                </c:pt>
              </c:numCache>
            </c:numRef>
          </c:val>
        </c:ser>
        <c:ser>
          <c:idx val="1"/>
          <c:order val="1"/>
          <c:tx>
            <c:strRef>
              <c:f>InvSalesChart!$A$5</c:f>
              <c:strCache>
                <c:ptCount val="1"/>
                <c:pt idx="0">
                  <c:v>Forward Sales Growth</c:v>
                </c:pt>
              </c:strCache>
            </c:strRef>
          </c:tx>
          <c:spPr>
            <a:solidFill>
              <a:srgbClr val="EACC80"/>
            </a:solidFill>
            <a:ln w="25400">
              <a:noFill/>
            </a:ln>
          </c:spPr>
          <c:invertIfNegative val="0"/>
          <c:cat>
            <c:strRef>
              <c:f>InvSalesChart!$B$3:$O$3</c:f>
              <c:strCache>
                <c:ptCount val="14"/>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pt idx="13">
                  <c:v>2Q18</c:v>
                </c:pt>
              </c:strCache>
            </c:strRef>
          </c:cat>
          <c:val>
            <c:numRef>
              <c:f>InvSalesChart!$B$5:$O$5</c:f>
              <c:numCache>
                <c:formatCode>0.0%</c:formatCode>
                <c:ptCount val="14"/>
                <c:pt idx="0">
                  <c:v>-0.14104016274731898</c:v>
                </c:pt>
                <c:pt idx="1">
                  <c:v>-0.15489448230580199</c:v>
                </c:pt>
                <c:pt idx="2">
                  <c:v>-0.1162771867321</c:v>
                </c:pt>
                <c:pt idx="3">
                  <c:v>-8.182518290335011E-3</c:v>
                </c:pt>
                <c:pt idx="4">
                  <c:v>4.4612104313596704E-2</c:v>
                </c:pt>
                <c:pt idx="5">
                  <c:v>0.111696976218659</c:v>
                </c:pt>
                <c:pt idx="6">
                  <c:v>0.149885469574743</c:v>
                </c:pt>
                <c:pt idx="7">
                  <c:v>7.0853149568086407E-3</c:v>
                </c:pt>
                <c:pt idx="8">
                  <c:v>3.7604019469304605E-2</c:v>
                </c:pt>
                <c:pt idx="9">
                  <c:v>-3.6685703223308302E-2</c:v>
                </c:pt>
                <c:pt idx="10">
                  <c:v>-1.8014896934003044E-2</c:v>
                </c:pt>
                <c:pt idx="11">
                  <c:v>-2.7470792548152878E-2</c:v>
                </c:pt>
                <c:pt idx="12">
                  <c:v>0.35053340394945898</c:v>
                </c:pt>
                <c:pt idx="13">
                  <c:v>0.31189819400250762</c:v>
                </c:pt>
              </c:numCache>
            </c:numRef>
          </c:val>
        </c:ser>
        <c:dLbls>
          <c:showLegendKey val="0"/>
          <c:showVal val="0"/>
          <c:showCatName val="0"/>
          <c:showSerName val="0"/>
          <c:showPercent val="0"/>
          <c:showBubbleSize val="0"/>
        </c:dLbls>
        <c:gapWidth val="60"/>
        <c:axId val="659599360"/>
        <c:axId val="659606144"/>
      </c:barChart>
      <c:lineChart>
        <c:grouping val="standard"/>
        <c:varyColors val="0"/>
        <c:ser>
          <c:idx val="2"/>
          <c:order val="2"/>
          <c:tx>
            <c:strRef>
              <c:f>InvSalesChart!$A$6</c:f>
              <c:strCache>
                <c:ptCount val="1"/>
                <c:pt idx="0">
                  <c:v>Spread</c:v>
                </c:pt>
              </c:strCache>
            </c:strRef>
          </c:tx>
          <c:spPr>
            <a:effectLst/>
          </c:spPr>
          <c:marker>
            <c:symbol val="none"/>
          </c:marker>
          <c:cat>
            <c:strRef>
              <c:f>InvSalesChart!$B$3:$N$3</c:f>
              <c:strCache>
                <c:ptCount val="13"/>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strCache>
            </c:strRef>
          </c:cat>
          <c:val>
            <c:numRef>
              <c:f>InvSalesChart!$B$6:$O$6</c:f>
              <c:numCache>
                <c:formatCode>0.0%</c:formatCode>
                <c:ptCount val="14"/>
                <c:pt idx="0">
                  <c:v>-7.8558798558835824E-2</c:v>
                </c:pt>
                <c:pt idx="1">
                  <c:v>3.682525600668235E-2</c:v>
                </c:pt>
                <c:pt idx="2">
                  <c:v>0.10101535467739028</c:v>
                </c:pt>
                <c:pt idx="3">
                  <c:v>6.9880863664337767E-2</c:v>
                </c:pt>
                <c:pt idx="4">
                  <c:v>8.2610095609210912E-2</c:v>
                </c:pt>
                <c:pt idx="5">
                  <c:v>0.13071263617391621</c:v>
                </c:pt>
                <c:pt idx="6">
                  <c:v>0.13412709793981178</c:v>
                </c:pt>
                <c:pt idx="7">
                  <c:v>6.0476368347862068E-2</c:v>
                </c:pt>
                <c:pt idx="8">
                  <c:v>8.6151087504801521E-2</c:v>
                </c:pt>
                <c:pt idx="9">
                  <c:v>-9.6890948377242186E-2</c:v>
                </c:pt>
                <c:pt idx="10">
                  <c:v>-4.9473634275093215E-2</c:v>
                </c:pt>
                <c:pt idx="11">
                  <c:v>-5.0336646206689539E-2</c:v>
                </c:pt>
                <c:pt idx="12">
                  <c:v>-0.20908620102493747</c:v>
                </c:pt>
                <c:pt idx="13">
                  <c:v>-0.12109814929712681</c:v>
                </c:pt>
              </c:numCache>
            </c:numRef>
          </c:val>
          <c:smooth val="0"/>
        </c:ser>
        <c:dLbls>
          <c:showLegendKey val="0"/>
          <c:showVal val="0"/>
          <c:showCatName val="0"/>
          <c:showSerName val="0"/>
          <c:showPercent val="0"/>
          <c:showBubbleSize val="0"/>
        </c:dLbls>
        <c:marker val="1"/>
        <c:smooth val="0"/>
        <c:axId val="659599360"/>
        <c:axId val="659606144"/>
      </c:lineChart>
      <c:catAx>
        <c:axId val="659599360"/>
        <c:scaling>
          <c:orientation val="minMax"/>
        </c:scaling>
        <c:delete val="0"/>
        <c:axPos val="b"/>
        <c:numFmt formatCode="General" sourceLinked="1"/>
        <c:majorTickMark val="none"/>
        <c:minorTickMark val="none"/>
        <c:tickLblPos val="low"/>
        <c:spPr>
          <a:ln w="12700">
            <a:solidFill>
              <a:srgbClr val="808080"/>
            </a:solidFill>
            <a:prstDash val="solid"/>
          </a:ln>
        </c:spPr>
        <c:txPr>
          <a:bodyPr rot="1560000" vert="horz"/>
          <a:lstStyle/>
          <a:p>
            <a:pPr>
              <a:defRPr sz="1200" b="0" i="0" u="none" strike="noStrike" baseline="0">
                <a:solidFill>
                  <a:srgbClr val="808080"/>
                </a:solidFill>
                <a:latin typeface="Arial"/>
                <a:ea typeface="Arial"/>
                <a:cs typeface="Arial"/>
              </a:defRPr>
            </a:pPr>
            <a:endParaRPr lang="en-US"/>
          </a:p>
        </c:txPr>
        <c:crossAx val="659606144"/>
        <c:crosses val="autoZero"/>
        <c:auto val="1"/>
        <c:lblAlgn val="ctr"/>
        <c:lblOffset val="100"/>
        <c:tickLblSkip val="1"/>
        <c:tickMarkSkip val="1"/>
        <c:noMultiLvlLbl val="0"/>
      </c:catAx>
      <c:valAx>
        <c:axId val="659606144"/>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u="none" strike="noStrike" baseline="0">
                <a:solidFill>
                  <a:srgbClr val="808080"/>
                </a:solidFill>
                <a:latin typeface="Arial"/>
                <a:ea typeface="Arial"/>
                <a:cs typeface="Arial"/>
              </a:defRPr>
            </a:pPr>
            <a:endParaRPr lang="en-US"/>
          </a:p>
        </c:txPr>
        <c:crossAx val="659599360"/>
        <c:crosses val="autoZero"/>
        <c:crossBetween val="between"/>
      </c:valAx>
      <c:spPr>
        <a:noFill/>
        <a:ln w="25400">
          <a:noFill/>
        </a:ln>
      </c:spPr>
    </c:plotArea>
    <c:legend>
      <c:legendPos val="b"/>
      <c:layout>
        <c:manualLayout>
          <c:xMode val="edge"/>
          <c:yMode val="edge"/>
          <c:x val="8.9091320481491543E-2"/>
          <c:y val="0.90616707394334328"/>
          <c:w val="0.87700497782604758"/>
          <c:h val="3.2513349624400445E-2"/>
        </c:manualLayout>
      </c:layout>
      <c:overlay val="0"/>
      <c:txPr>
        <a:bodyPr/>
        <a:lstStyle/>
        <a:p>
          <a:pPr>
            <a:defRPr sz="1285"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4.xml.rels><?xml version="1.0" encoding="UTF-8" standalone="yes"?>
<Relationships xmlns="http://schemas.openxmlformats.org/package/2006/relationships">
<Relationship Id="rId1" Target="../charts/chart6.xml" Type="http://schemas.openxmlformats.org/officeDocument/2006/relationships/chart"/>
</Relationships>

</file>

<file path=xl/drawings/_rels/vmlDrawing16.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66256897" name="Picture 1" descr="C:\Users\robertcy\AppData\Local\Temp\MercuryPriceRatingHistoryChart\TPR.N_2018_02_07_18_35_3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4035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514350</xdr:colOff>
      <xdr:row>184</xdr:row>
      <xdr:rowOff>9525</xdr:rowOff>
    </xdr:from>
    <xdr:to>
      <xdr:col>41</xdr:col>
      <xdr:colOff>533400</xdr:colOff>
      <xdr:row>204</xdr:row>
      <xdr:rowOff>9525</xdr:rowOff>
    </xdr:to>
    <xdr:graphicFrame macro="">
      <xdr:nvGraphicFramePr>
        <xdr:cNvPr id="6619136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219075</xdr:colOff>
      <xdr:row>204</xdr:row>
      <xdr:rowOff>9525</xdr:rowOff>
    </xdr:from>
    <xdr:to>
      <xdr:col>23</xdr:col>
      <xdr:colOff>371475</xdr:colOff>
      <xdr:row>240</xdr:row>
      <xdr:rowOff>28575</xdr:rowOff>
    </xdr:to>
    <xdr:graphicFrame macro="">
      <xdr:nvGraphicFramePr>
        <xdr:cNvPr id="6619136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361950</xdr:colOff>
      <xdr:row>208</xdr:row>
      <xdr:rowOff>133350</xdr:rowOff>
    </xdr:from>
    <xdr:to>
      <xdr:col>45</xdr:col>
      <xdr:colOff>114300</xdr:colOff>
      <xdr:row>225</xdr:row>
      <xdr:rowOff>57150</xdr:rowOff>
    </xdr:to>
    <xdr:graphicFrame macro="">
      <xdr:nvGraphicFramePr>
        <xdr:cNvPr id="6619137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57150</xdr:colOff>
      <xdr:row>174</xdr:row>
      <xdr:rowOff>85725</xdr:rowOff>
    </xdr:from>
    <xdr:to>
      <xdr:col>43</xdr:col>
      <xdr:colOff>419100</xdr:colOff>
      <xdr:row>189</xdr:row>
      <xdr:rowOff>152400</xdr:rowOff>
    </xdr:to>
    <xdr:graphicFrame macro="">
      <xdr:nvGraphicFramePr>
        <xdr:cNvPr id="6619137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171450</xdr:colOff>
      <xdr:row>165</xdr:row>
      <xdr:rowOff>38100</xdr:rowOff>
    </xdr:from>
    <xdr:to>
      <xdr:col>20</xdr:col>
      <xdr:colOff>428625</xdr:colOff>
      <xdr:row>188</xdr:row>
      <xdr:rowOff>28575</xdr:rowOff>
    </xdr:to>
    <xdr:graphicFrame macro="">
      <xdr:nvGraphicFramePr>
        <xdr:cNvPr id="66191372"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 Enter Ticker in I3 and press refresh button.</a:t>
          </a:r>
        </a:p>
        <a:p>
          <a:pPr algn="l" rtl="0">
            <a:defRPr sz="1000"/>
          </a:pPr>
          <a:r>
            <a:rPr lang="en-GB" sz="1000" b="0" i="0" u="none" strike="noStrike" baseline="0">
              <a:solidFill>
                <a:srgbClr val="000000"/>
              </a:solidFill>
              <a:latin typeface="Arial"/>
              <a:cs typeface="Arial"/>
            </a:rPr>
            <a:t>2. Check all data in </a:t>
          </a:r>
          <a:r>
            <a:rPr lang="en-GB" sz="1000" b="1" i="0" u="none" strike="noStrike" baseline="0">
              <a:solidFill>
                <a:srgbClr val="0000FF"/>
              </a:solidFill>
              <a:latin typeface="Arial"/>
              <a:cs typeface="Arial"/>
            </a:rPr>
            <a:t>blue</a:t>
          </a:r>
          <a:r>
            <a:rPr lang="en-GB" sz="1000" b="0" i="0" u="none" strike="noStrike" baseline="0">
              <a:solidFill>
                <a:srgbClr val="000000"/>
              </a:solidFill>
              <a:latin typeface="Arial"/>
              <a:cs typeface="Arial"/>
            </a:rPr>
            <a:t> for accuracy.</a:t>
          </a:r>
          <a:endParaRPr lang="en-GB" sz="1000" b="1" i="0" u="none" strike="noStrike" baseline="0">
            <a:solidFill>
              <a:srgbClr val="000000"/>
            </a:solidFill>
            <a:latin typeface="Arial"/>
            <a:cs typeface="Arial"/>
          </a:endParaRPr>
        </a:p>
        <a:p>
          <a:pPr algn="l" rtl="0">
            <a:defRPr sz="1000"/>
          </a:pPr>
          <a:endParaRPr lang="en-GB"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65778480"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17</xdr:col>
          <xdr:colOff>95250</xdr:colOff>
          <xdr:row>2</xdr:row>
          <xdr:rowOff>76200</xdr:rowOff>
        </xdr:to>
        <xdr:sp macro="" textlink="">
          <xdr:nvSpPr>
            <xdr:cNvPr id="22075393" name="CommandButton2" hidden="1">
              <a:extLst>
                <a:ext uri="{63B3BB69-23CF-44E3-9099-C40C66FF867C}">
                  <a14:compatExt spid="_x0000_s2207539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381000</xdr:colOff>
      <xdr:row>7</xdr:row>
      <xdr:rowOff>152400</xdr:rowOff>
    </xdr:from>
    <xdr:to>
      <xdr:col>11</xdr:col>
      <xdr:colOff>419100</xdr:colOff>
      <xdr:row>28</xdr:row>
      <xdr:rowOff>66675</xdr:rowOff>
    </xdr:to>
    <xdr:graphicFrame macro="">
      <xdr:nvGraphicFramePr>
        <xdr:cNvPr id="1040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2.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3.xml" Type="http://schemas.openxmlformats.org/officeDocument/2006/relationships/drawing"/>
<Relationship Id="rId3" Target="../drawings/vmlDrawing16.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6.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4.xml" Type="http://schemas.openxmlformats.org/officeDocument/2006/relationships/drawing"/>
<Relationship Id="rId3" Target="../drawings/vmlDrawing17.vml" Type="http://schemas.openxmlformats.org/officeDocument/2006/relationships/vmlDrawing"/>
<Relationship Id="rId4" Target="../comments17.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4"/>
  <sheetViews>
    <sheetView showGridLines="0" tabSelected="1" workbookViewId="0">
      <selection activeCell="Z1" sqref="Z1"/>
    </sheetView>
  </sheetViews>
  <sheetFormatPr defaultRowHeight="12.75"/>
  <cols>
    <col min="1" max="1" width="25.7109375" style="2411" customWidth="1"/>
    <col min="2" max="5" width="9.140625" style="2411"/>
    <col min="6" max="6" width="18.7109375" style="2411" customWidth="1"/>
    <col min="7" max="256" width="9.140625" style="2411"/>
    <col min="257" max="257" width="100.7109375" style="2411" customWidth="1"/>
    <col min="258" max="512" width="9.140625" style="2411"/>
    <col min="513" max="513" width="100.7109375" style="2411" customWidth="1"/>
    <col min="514" max="768" width="9.140625" style="2411"/>
    <col min="769" max="769" width="100.7109375" style="2411" customWidth="1"/>
    <col min="770" max="1024" width="9.140625" style="2411"/>
    <col min="1025" max="1025" width="100.7109375" style="2411" customWidth="1"/>
    <col min="1026" max="1280" width="9.140625" style="2411"/>
    <col min="1281" max="1281" width="100.7109375" style="2411" customWidth="1"/>
    <col min="1282" max="1536" width="9.140625" style="2411"/>
    <col min="1537" max="1537" width="100.7109375" style="2411" customWidth="1"/>
    <col min="1538" max="1792" width="9.140625" style="2411"/>
    <col min="1793" max="1793" width="100.7109375" style="2411" customWidth="1"/>
    <col min="1794" max="2048" width="9.140625" style="2411"/>
    <col min="2049" max="2049" width="100.7109375" style="2411" customWidth="1"/>
    <col min="2050" max="2304" width="9.140625" style="2411"/>
    <col min="2305" max="2305" width="100.7109375" style="2411" customWidth="1"/>
    <col min="2306" max="2560" width="9.140625" style="2411"/>
    <col min="2561" max="2561" width="100.7109375" style="2411" customWidth="1"/>
    <col min="2562" max="2816" width="9.140625" style="2411"/>
    <col min="2817" max="2817" width="100.7109375" style="2411" customWidth="1"/>
    <col min="2818" max="3072" width="9.140625" style="2411"/>
    <col min="3073" max="3073" width="100.7109375" style="2411" customWidth="1"/>
    <col min="3074" max="3328" width="9.140625" style="2411"/>
    <col min="3329" max="3329" width="100.7109375" style="2411" customWidth="1"/>
    <col min="3330" max="3584" width="9.140625" style="2411"/>
    <col min="3585" max="3585" width="100.7109375" style="2411" customWidth="1"/>
    <col min="3586" max="3840" width="9.140625" style="2411"/>
    <col min="3841" max="3841" width="100.7109375" style="2411" customWidth="1"/>
    <col min="3842" max="4096" width="9.140625" style="2411"/>
    <col min="4097" max="4097" width="100.7109375" style="2411" customWidth="1"/>
    <col min="4098" max="4352" width="9.140625" style="2411"/>
    <col min="4353" max="4353" width="100.7109375" style="2411" customWidth="1"/>
    <col min="4354" max="4608" width="9.140625" style="2411"/>
    <col min="4609" max="4609" width="100.7109375" style="2411" customWidth="1"/>
    <col min="4610" max="4864" width="9.140625" style="2411"/>
    <col min="4865" max="4865" width="100.7109375" style="2411" customWidth="1"/>
    <col min="4866" max="5120" width="9.140625" style="2411"/>
    <col min="5121" max="5121" width="100.7109375" style="2411" customWidth="1"/>
    <col min="5122" max="5376" width="9.140625" style="2411"/>
    <col min="5377" max="5377" width="100.7109375" style="2411" customWidth="1"/>
    <col min="5378" max="5632" width="9.140625" style="2411"/>
    <col min="5633" max="5633" width="100.7109375" style="2411" customWidth="1"/>
    <col min="5634" max="5888" width="9.140625" style="2411"/>
    <col min="5889" max="5889" width="100.7109375" style="2411" customWidth="1"/>
    <col min="5890" max="6144" width="9.140625" style="2411"/>
    <col min="6145" max="6145" width="100.7109375" style="2411" customWidth="1"/>
    <col min="6146" max="6400" width="9.140625" style="2411"/>
    <col min="6401" max="6401" width="100.7109375" style="2411" customWidth="1"/>
    <col min="6402" max="6656" width="9.140625" style="2411"/>
    <col min="6657" max="6657" width="100.7109375" style="2411" customWidth="1"/>
    <col min="6658" max="6912" width="9.140625" style="2411"/>
    <col min="6913" max="6913" width="100.7109375" style="2411" customWidth="1"/>
    <col min="6914" max="7168" width="9.140625" style="2411"/>
    <col min="7169" max="7169" width="100.7109375" style="2411" customWidth="1"/>
    <col min="7170" max="7424" width="9.140625" style="2411"/>
    <col min="7425" max="7425" width="100.7109375" style="2411" customWidth="1"/>
    <col min="7426" max="7680" width="9.140625" style="2411"/>
    <col min="7681" max="7681" width="100.7109375" style="2411" customWidth="1"/>
    <col min="7682" max="7936" width="9.140625" style="2411"/>
    <col min="7937" max="7937" width="100.7109375" style="2411" customWidth="1"/>
    <col min="7938" max="8192" width="9.140625" style="2411"/>
    <col min="8193" max="8193" width="100.7109375" style="2411" customWidth="1"/>
    <col min="8194" max="8448" width="9.140625" style="2411"/>
    <col min="8449" max="8449" width="100.7109375" style="2411" customWidth="1"/>
    <col min="8450" max="8704" width="9.140625" style="2411"/>
    <col min="8705" max="8705" width="100.7109375" style="2411" customWidth="1"/>
    <col min="8706" max="8960" width="9.140625" style="2411"/>
    <col min="8961" max="8961" width="100.7109375" style="2411" customWidth="1"/>
    <col min="8962" max="9216" width="9.140625" style="2411"/>
    <col min="9217" max="9217" width="100.7109375" style="2411" customWidth="1"/>
    <col min="9218" max="9472" width="9.140625" style="2411"/>
    <col min="9473" max="9473" width="100.7109375" style="2411" customWidth="1"/>
    <col min="9474" max="9728" width="9.140625" style="2411"/>
    <col min="9729" max="9729" width="100.7109375" style="2411" customWidth="1"/>
    <col min="9730" max="9984" width="9.140625" style="2411"/>
    <col min="9985" max="9985" width="100.7109375" style="2411" customWidth="1"/>
    <col min="9986" max="10240" width="9.140625" style="2411"/>
    <col min="10241" max="10241" width="100.7109375" style="2411" customWidth="1"/>
    <col min="10242" max="10496" width="9.140625" style="2411"/>
    <col min="10497" max="10497" width="100.7109375" style="2411" customWidth="1"/>
    <col min="10498" max="10752" width="9.140625" style="2411"/>
    <col min="10753" max="10753" width="100.7109375" style="2411" customWidth="1"/>
    <col min="10754" max="11008" width="9.140625" style="2411"/>
    <col min="11009" max="11009" width="100.7109375" style="2411" customWidth="1"/>
    <col min="11010" max="11264" width="9.140625" style="2411"/>
    <col min="11265" max="11265" width="100.7109375" style="2411" customWidth="1"/>
    <col min="11266" max="11520" width="9.140625" style="2411"/>
    <col min="11521" max="11521" width="100.7109375" style="2411" customWidth="1"/>
    <col min="11522" max="11776" width="9.140625" style="2411"/>
    <col min="11777" max="11777" width="100.7109375" style="2411" customWidth="1"/>
    <col min="11778" max="12032" width="9.140625" style="2411"/>
    <col min="12033" max="12033" width="100.7109375" style="2411" customWidth="1"/>
    <col min="12034" max="12288" width="9.140625" style="2411"/>
    <col min="12289" max="12289" width="100.7109375" style="2411" customWidth="1"/>
    <col min="12290" max="12544" width="9.140625" style="2411"/>
    <col min="12545" max="12545" width="100.7109375" style="2411" customWidth="1"/>
    <col min="12546" max="12800" width="9.140625" style="2411"/>
    <col min="12801" max="12801" width="100.7109375" style="2411" customWidth="1"/>
    <col min="12802" max="13056" width="9.140625" style="2411"/>
    <col min="13057" max="13057" width="100.7109375" style="2411" customWidth="1"/>
    <col min="13058" max="13312" width="9.140625" style="2411"/>
    <col min="13313" max="13313" width="100.7109375" style="2411" customWidth="1"/>
    <col min="13314" max="13568" width="9.140625" style="2411"/>
    <col min="13569" max="13569" width="100.7109375" style="2411" customWidth="1"/>
    <col min="13570" max="13824" width="9.140625" style="2411"/>
    <col min="13825" max="13825" width="100.7109375" style="2411" customWidth="1"/>
    <col min="13826" max="14080" width="9.140625" style="2411"/>
    <col min="14081" max="14081" width="100.7109375" style="2411" customWidth="1"/>
    <col min="14082" max="14336" width="9.140625" style="2411"/>
    <col min="14337" max="14337" width="100.7109375" style="2411" customWidth="1"/>
    <col min="14338" max="14592" width="9.140625" style="2411"/>
    <col min="14593" max="14593" width="100.7109375" style="2411" customWidth="1"/>
    <col min="14594" max="14848" width="9.140625" style="2411"/>
    <col min="14849" max="14849" width="100.7109375" style="2411" customWidth="1"/>
    <col min="14850" max="15104" width="9.140625" style="2411"/>
    <col min="15105" max="15105" width="100.7109375" style="2411" customWidth="1"/>
    <col min="15106" max="15360" width="9.140625" style="2411"/>
    <col min="15361" max="15361" width="100.7109375" style="2411" customWidth="1"/>
    <col min="15362" max="15616" width="9.140625" style="2411"/>
    <col min="15617" max="15617" width="100.7109375" style="2411" customWidth="1"/>
    <col min="15618" max="15872" width="9.140625" style="2411"/>
    <col min="15873" max="15873" width="100.7109375" style="2411" customWidth="1"/>
    <col min="15874" max="16128" width="9.140625" style="2411"/>
    <col min="16129" max="16129" width="100.7109375" style="2411" customWidth="1"/>
    <col min="16130" max="16384" width="9.140625" style="2411"/>
  </cols>
  <sheetData>
    <row r="1" spans="1:8" ht="30" customHeight="1">
      <c r="A1" s="2409"/>
      <c r="B1" s="2410"/>
      <c r="C1" s="2410"/>
      <c r="D1" s="2410"/>
      <c r="E1" s="2410"/>
      <c r="F1" s="2410"/>
      <c r="G1" s="2410"/>
      <c r="H1" s="2410"/>
    </row>
    <row r="2" spans="1:8" ht="14.25">
      <c r="A2" s="2412" t="s">
        <v>920</v>
      </c>
      <c r="B2" s="2410"/>
      <c r="C2" s="2410"/>
      <c r="D2" s="2410"/>
      <c r="E2" s="2410"/>
      <c r="F2" s="2410"/>
      <c r="G2" s="2410"/>
      <c r="H2" s="2410"/>
    </row>
    <row r="3" spans="1:8" ht="14.25">
      <c r="A3" s="2412" t="s">
        <v>921</v>
      </c>
      <c r="B3" s="2410"/>
      <c r="C3" s="2410"/>
      <c r="D3" s="2410"/>
      <c r="E3" s="2410"/>
      <c r="F3" s="2410"/>
      <c r="G3" s="2410"/>
      <c r="H3" s="2410"/>
    </row>
    <row r="4" spans="1:8" ht="14.25">
      <c r="A4" s="2412" t="s">
        <v>922</v>
      </c>
      <c r="B4" s="2410"/>
      <c r="C4" s="2410"/>
      <c r="D4" s="2410"/>
      <c r="E4" s="2410"/>
      <c r="F4" s="2410"/>
      <c r="G4" s="2410"/>
      <c r="H4" s="2410"/>
    </row>
    <row r="5" spans="1:8" ht="14.25">
      <c r="A5" s="2412" t="s">
        <v>923</v>
      </c>
      <c r="B5" s="2410"/>
      <c r="C5" s="2410"/>
      <c r="D5" s="2410"/>
      <c r="E5" s="2410"/>
      <c r="F5" s="2410"/>
      <c r="G5" s="2410"/>
      <c r="H5" s="2410"/>
    </row>
    <row r="6" spans="1:8" ht="14.25">
      <c r="A6" s="2412"/>
      <c r="B6" s="2410"/>
      <c r="C6" s="2410"/>
      <c r="D6" s="2410"/>
      <c r="E6" s="2410"/>
      <c r="F6" s="2410"/>
      <c r="G6" s="2410"/>
      <c r="H6" s="2410"/>
    </row>
    <row r="7" spans="1:8">
      <c r="A7" s="2409" t="s">
        <v>924</v>
      </c>
      <c r="B7" s="2410"/>
      <c r="C7" s="2410"/>
      <c r="D7" s="2410"/>
      <c r="E7" s="2410"/>
      <c r="F7" s="2410"/>
      <c r="G7" s="2410"/>
      <c r="H7" s="2410"/>
    </row>
    <row r="8" spans="1:8">
      <c r="A8" s="2409" t="s">
        <v>925</v>
      </c>
      <c r="B8" s="2410"/>
      <c r="C8" s="2410"/>
      <c r="D8" s="2410"/>
      <c r="E8" s="2410"/>
      <c r="F8" s="2410"/>
      <c r="G8" s="2410"/>
      <c r="H8" s="2410"/>
    </row>
    <row r="9" spans="1:8">
      <c r="A9" s="2409"/>
      <c r="B9" s="2410"/>
      <c r="C9" s="2410"/>
      <c r="D9" s="2410"/>
      <c r="E9" s="2410"/>
      <c r="F9" s="2410"/>
      <c r="G9" s="2410"/>
      <c r="H9" s="2410"/>
    </row>
    <row r="10" spans="1:8">
      <c r="A10" s="2413" t="s">
        <v>926</v>
      </c>
      <c r="B10" s="2410"/>
      <c r="C10" s="2410"/>
      <c r="D10" s="2410"/>
      <c r="E10" s="2410"/>
      <c r="F10" s="2410"/>
      <c r="G10" s="2410"/>
      <c r="H10" s="2410"/>
    </row>
    <row r="11" spans="1:8">
      <c r="A11" s="2413" t="s">
        <v>927</v>
      </c>
      <c r="B11" s="2410"/>
      <c r="C11" s="2410"/>
      <c r="D11" s="2410"/>
      <c r="E11" s="2410"/>
      <c r="F11" s="2410"/>
      <c r="G11" s="2410"/>
      <c r="H11" s="2410"/>
    </row>
    <row r="12" spans="1:8">
      <c r="A12" s="2413" t="s">
        <v>928</v>
      </c>
      <c r="B12" s="2410"/>
      <c r="C12" s="2410"/>
      <c r="D12" s="2410"/>
      <c r="E12" s="2410"/>
      <c r="F12" s="2410"/>
      <c r="G12" s="2410"/>
      <c r="H12" s="2410"/>
    </row>
    <row r="13" spans="1:8">
      <c r="A13" s="2413" t="s">
        <v>929</v>
      </c>
      <c r="B13" s="2410"/>
      <c r="C13" s="2410"/>
      <c r="D13" s="2410"/>
      <c r="E13" s="2410"/>
      <c r="F13" s="2410"/>
      <c r="G13" s="2410"/>
      <c r="H13" s="2410"/>
    </row>
    <row r="14" spans="1:8">
      <c r="A14" s="2413" t="s">
        <v>930</v>
      </c>
      <c r="B14" s="2410"/>
      <c r="C14" s="2410"/>
      <c r="D14" s="2410"/>
      <c r="E14" s="2410"/>
      <c r="F14" s="2410"/>
      <c r="G14" s="2410"/>
      <c r="H14" s="2410"/>
    </row>
    <row r="15" spans="1:8">
      <c r="A15" s="2413" t="s">
        <v>931</v>
      </c>
      <c r="B15" s="2410"/>
      <c r="C15" s="2410"/>
      <c r="D15" s="2410"/>
      <c r="E15" s="2410"/>
      <c r="F15" s="2410"/>
      <c r="G15" s="2410"/>
      <c r="H15" s="2410"/>
    </row>
    <row r="16" spans="1:8">
      <c r="A16" s="2413"/>
      <c r="B16" s="2410"/>
      <c r="C16" s="2410"/>
      <c r="D16" s="2410"/>
      <c r="E16" s="2410"/>
      <c r="F16" s="2410"/>
      <c r="G16" s="2410"/>
      <c r="H16" s="2410"/>
    </row>
    <row r="17" spans="1:8">
      <c r="A17" s="2413" t="s">
        <v>917</v>
      </c>
      <c r="B17" s="2410"/>
      <c r="C17" s="2410"/>
      <c r="D17" s="2410"/>
      <c r="E17" s="2410"/>
      <c r="F17" s="2410"/>
      <c r="G17" s="2410"/>
      <c r="H17" s="2410"/>
    </row>
    <row r="18" spans="1:8">
      <c r="A18" s="2413"/>
      <c r="B18" s="2410"/>
      <c r="C18" s="2410"/>
      <c r="D18" s="2410"/>
      <c r="E18" s="2410"/>
      <c r="F18" s="2410"/>
      <c r="G18" s="2410"/>
      <c r="H18" s="2410"/>
    </row>
    <row r="19" spans="1:8">
      <c r="A19" s="2413" t="s">
        <v>918</v>
      </c>
      <c r="B19" s="2410"/>
      <c r="C19" s="2410"/>
      <c r="D19" s="2410"/>
      <c r="E19" s="2410"/>
      <c r="F19" s="2410"/>
      <c r="G19" s="2410"/>
      <c r="H19" s="2410"/>
    </row>
    <row r="20" spans="1:8">
      <c r="A20" s="2409"/>
      <c r="B20" s="2410"/>
      <c r="C20" s="2410"/>
      <c r="D20" s="2410"/>
      <c r="E20" s="2410"/>
      <c r="F20" s="2410"/>
      <c r="G20" s="2410"/>
      <c r="H20" s="2410"/>
    </row>
    <row r="21" spans="1:8">
      <c r="A21" s="2414" t="s">
        <v>919</v>
      </c>
      <c r="B21" s="2410"/>
      <c r="C21" s="2410"/>
      <c r="D21" s="2410"/>
      <c r="E21" s="2410"/>
      <c r="F21" s="2410"/>
      <c r="G21" s="2410"/>
      <c r="H21" s="2410"/>
    </row>
    <row r="22" spans="1:8">
      <c r="A22" s="2415"/>
      <c r="B22" s="2415"/>
      <c r="C22" s="2415"/>
      <c r="D22" s="2415"/>
      <c r="E22" s="2415"/>
      <c r="F22" s="2415"/>
      <c r="G22" s="2415"/>
      <c r="H22" s="2415"/>
    </row>
    <row r="23" spans="1:8" ht="15">
      <c r="A23" s="2416" t="s">
        <v>1205</v>
      </c>
      <c r="B23" s="2415"/>
      <c r="C23" s="2415"/>
      <c r="D23" s="2415"/>
      <c r="E23" s="2415"/>
      <c r="F23" s="2415"/>
      <c r="G23" s="2415"/>
      <c r="H23" s="2415"/>
    </row>
    <row r="24" spans="1:8" ht="15">
      <c r="A24" s="2416" t="s">
        <v>1206</v>
      </c>
      <c r="B24" s="2415"/>
      <c r="C24" s="2415"/>
      <c r="D24" s="2415"/>
      <c r="E24" s="2415"/>
      <c r="F24" s="2415"/>
      <c r="G24" s="2415"/>
      <c r="H24" s="2415"/>
    </row>
    <row r="25" spans="1:8" ht="15">
      <c r="A25" s="2416" t="s">
        <v>1207</v>
      </c>
      <c r="B25" s="2415"/>
      <c r="C25" s="2415"/>
      <c r="D25" s="2415"/>
      <c r="E25" s="2415"/>
      <c r="F25" s="2415"/>
      <c r="G25" s="2415"/>
      <c r="H25" s="2415"/>
    </row>
    <row r="26" spans="1:8" ht="15">
      <c r="A26" s="2416" t="s">
        <v>1208</v>
      </c>
      <c r="B26" s="2415"/>
      <c r="C26" s="2415"/>
      <c r="D26" s="2415"/>
      <c r="E26" s="2415"/>
      <c r="F26" s="2415"/>
      <c r="G26" s="2415"/>
      <c r="H26" s="2415"/>
    </row>
    <row r="27" spans="1:8">
      <c r="A27" s="2415"/>
      <c r="B27" s="2415"/>
      <c r="C27" s="2415"/>
      <c r="D27" s="2415"/>
      <c r="E27" s="2415"/>
      <c r="F27" s="2415"/>
      <c r="G27" s="2415"/>
      <c r="H27" s="2415"/>
    </row>
    <row r="28" spans="1:8">
      <c r="A28" s="2415"/>
      <c r="B28" s="2415"/>
      <c r="C28" s="2415"/>
      <c r="D28" s="2415"/>
      <c r="E28" s="2415"/>
      <c r="F28" s="2415"/>
      <c r="G28" s="2415"/>
      <c r="H28" s="2415"/>
    </row>
    <row r="29" spans="1:8" ht="15">
      <c r="A29" s="2416" t="s">
        <v>1200</v>
      </c>
      <c r="B29" s="2415"/>
      <c r="C29" s="2415"/>
      <c r="D29" s="2415"/>
      <c r="E29" s="2415"/>
      <c r="F29" s="2415"/>
      <c r="G29" s="2415"/>
      <c r="H29" s="2415"/>
    </row>
    <row r="30" spans="1:8" ht="15">
      <c r="A30" s="2416" t="s">
        <v>1201</v>
      </c>
      <c r="B30" s="2415"/>
      <c r="C30" s="2415"/>
      <c r="D30" s="2415"/>
      <c r="E30" s="2415"/>
      <c r="F30" s="2415"/>
      <c r="G30" s="2415"/>
      <c r="H30" s="2415"/>
    </row>
    <row r="31" spans="1:8" ht="15">
      <c r="A31" s="2416" t="s">
        <v>1202</v>
      </c>
      <c r="B31" s="2415"/>
      <c r="C31" s="2415"/>
      <c r="D31" s="2415"/>
      <c r="E31" s="2415"/>
      <c r="F31" s="2415"/>
      <c r="G31" s="2415"/>
      <c r="H31" s="2415"/>
    </row>
    <row r="32" spans="1:8" ht="15">
      <c r="A32" s="2416" t="s">
        <v>1203</v>
      </c>
      <c r="B32" s="2415"/>
      <c r="C32" s="2415"/>
      <c r="D32" s="2415"/>
      <c r="E32" s="2415"/>
      <c r="F32" s="2415"/>
      <c r="G32" s="2415"/>
      <c r="H32" s="2415"/>
    </row>
    <row r="33" spans="1:8" ht="15">
      <c r="A33" s="2416" t="s">
        <v>1204</v>
      </c>
      <c r="B33" s="2415"/>
      <c r="C33" s="2415"/>
      <c r="D33" s="2415"/>
      <c r="E33" s="2415"/>
      <c r="F33" s="2415"/>
      <c r="G33" s="2415"/>
      <c r="H33" s="2415"/>
    </row>
    <row r="34" spans="1:8">
      <c r="A34" s="2415"/>
      <c r="B34" s="2415"/>
      <c r="C34" s="2415"/>
      <c r="D34" s="2415"/>
      <c r="E34" s="2415"/>
      <c r="F34" s="2415"/>
      <c r="G34" s="2415"/>
      <c r="H34" s="2415"/>
    </row>
    <row r="35" spans="1:8" ht="15">
      <c r="A35" s="2416" t="s">
        <v>1196</v>
      </c>
      <c r="B35" s="2415"/>
      <c r="C35" s="2415"/>
      <c r="D35" s="2415"/>
      <c r="E35" s="2415"/>
      <c r="F35" s="2415"/>
      <c r="G35" s="2415"/>
      <c r="H35" s="2415"/>
    </row>
    <row r="36" spans="1:8" ht="15">
      <c r="A36" s="2416" t="s">
        <v>1197</v>
      </c>
      <c r="B36" s="2415"/>
      <c r="C36" s="2415"/>
      <c r="D36" s="2415"/>
      <c r="E36" s="2415"/>
      <c r="F36" s="2415"/>
      <c r="G36" s="2415"/>
      <c r="H36" s="2415"/>
    </row>
    <row r="37" spans="1:8" ht="15">
      <c r="A37" s="2416" t="s">
        <v>1198</v>
      </c>
      <c r="B37" s="2415"/>
      <c r="C37" s="2415"/>
      <c r="D37" s="2415"/>
      <c r="E37" s="2415"/>
      <c r="F37" s="2415"/>
      <c r="G37" s="2415"/>
      <c r="H37" s="2415"/>
    </row>
    <row r="38" spans="1:8" ht="15">
      <c r="A38" s="2416" t="s">
        <v>1199</v>
      </c>
      <c r="B38" s="2415"/>
      <c r="C38" s="2415"/>
      <c r="D38" s="2415"/>
      <c r="E38" s="2415"/>
      <c r="F38" s="2415"/>
      <c r="G38" s="2415"/>
      <c r="H38" s="2415"/>
    </row>
    <row r="39" spans="1:8">
      <c r="A39" s="2415"/>
      <c r="B39" s="2415"/>
      <c r="C39" s="2415"/>
      <c r="D39" s="2415"/>
      <c r="E39" s="2415"/>
      <c r="F39" s="2415"/>
      <c r="G39" s="2415"/>
      <c r="H39" s="2415"/>
    </row>
    <row r="40" spans="1:8" ht="15">
      <c r="A40" s="2416" t="s">
        <v>1190</v>
      </c>
      <c r="B40" s="2415"/>
      <c r="C40" s="2415"/>
      <c r="D40" s="2415"/>
      <c r="E40" s="2415"/>
      <c r="F40" s="2415"/>
      <c r="G40" s="2415"/>
      <c r="H40" s="2415"/>
    </row>
    <row r="41" spans="1:8" ht="15">
      <c r="A41" s="2416" t="s">
        <v>1191</v>
      </c>
      <c r="B41" s="2415"/>
      <c r="C41" s="2415"/>
      <c r="D41" s="2415"/>
      <c r="E41" s="2415"/>
      <c r="F41" s="2415"/>
      <c r="G41" s="2415"/>
      <c r="H41" s="2415"/>
    </row>
    <row r="42" spans="1:8" ht="15">
      <c r="A42" s="2416" t="s">
        <v>1192</v>
      </c>
      <c r="B42" s="2415"/>
      <c r="C42" s="2415"/>
      <c r="D42" s="2415"/>
      <c r="E42" s="2415"/>
      <c r="F42" s="2415"/>
      <c r="G42" s="2415"/>
      <c r="H42" s="2415"/>
    </row>
    <row r="43" spans="1:8" ht="15">
      <c r="A43" s="2416" t="s">
        <v>1193</v>
      </c>
      <c r="B43" s="2415"/>
      <c r="C43" s="2415"/>
      <c r="D43" s="2415"/>
      <c r="E43" s="2415"/>
      <c r="F43" s="2415"/>
      <c r="G43" s="2415"/>
      <c r="H43" s="2415"/>
    </row>
    <row r="44" spans="1:8" ht="15">
      <c r="A44" s="2416" t="s">
        <v>1194</v>
      </c>
      <c r="B44" s="2415"/>
      <c r="C44" s="2415"/>
      <c r="D44" s="2415"/>
      <c r="E44" s="2415"/>
      <c r="F44" s="2415"/>
      <c r="G44" s="2415"/>
      <c r="H44" s="2415"/>
    </row>
    <row r="45" spans="1:8" ht="15">
      <c r="A45" s="2416" t="s">
        <v>1195</v>
      </c>
      <c r="B45" s="2415"/>
      <c r="C45" s="2415"/>
      <c r="D45" s="2415"/>
      <c r="E45" s="2415"/>
      <c r="F45" s="2415"/>
      <c r="G45" s="2415"/>
      <c r="H45" s="2415"/>
    </row>
    <row r="46" spans="1:8">
      <c r="A46" s="2415"/>
      <c r="B46" s="2415"/>
      <c r="C46" s="2415"/>
      <c r="D46" s="2415"/>
      <c r="E46" s="2415"/>
      <c r="F46" s="2415"/>
      <c r="G46" s="2415"/>
      <c r="H46" s="2415"/>
    </row>
    <row r="47" spans="1:8" ht="15.75">
      <c r="A47" s="2417" t="s">
        <v>932</v>
      </c>
      <c r="B47" s="2415"/>
      <c r="C47" s="2415"/>
      <c r="D47" s="2415"/>
      <c r="E47" s="2415"/>
      <c r="F47" s="2415"/>
      <c r="G47" s="2415"/>
      <c r="H47" s="2415"/>
    </row>
    <row r="48" spans="1:8">
      <c r="A48" s="2415"/>
      <c r="B48" s="2415"/>
      <c r="C48" s="2415"/>
      <c r="D48" s="2415"/>
      <c r="E48" s="2415"/>
      <c r="F48" s="2415"/>
      <c r="G48" s="2415"/>
      <c r="H48" s="2415"/>
    </row>
    <row r="49" spans="1:8" ht="15">
      <c r="A49" s="2416" t="s">
        <v>1186</v>
      </c>
      <c r="B49" s="2415"/>
      <c r="C49" s="2415"/>
      <c r="D49" s="2415"/>
      <c r="E49" s="2415"/>
      <c r="F49" s="2415"/>
      <c r="G49" s="2415"/>
      <c r="H49" s="2415"/>
    </row>
    <row r="50" spans="1:8" ht="15">
      <c r="A50" s="2416" t="s">
        <v>1187</v>
      </c>
      <c r="B50" s="2415"/>
      <c r="C50" s="2415"/>
      <c r="D50" s="2415"/>
      <c r="E50" s="2415"/>
      <c r="F50" s="2415"/>
      <c r="G50" s="2415"/>
      <c r="H50" s="2415"/>
    </row>
    <row r="51" spans="1:8" ht="15">
      <c r="A51" s="2416" t="s">
        <v>1188</v>
      </c>
      <c r="B51" s="2415"/>
      <c r="C51" s="2415"/>
      <c r="D51" s="2415"/>
      <c r="E51" s="2415"/>
      <c r="F51" s="2415"/>
      <c r="G51" s="2415"/>
      <c r="H51" s="2415"/>
    </row>
    <row r="52" spans="1:8" ht="15">
      <c r="A52" s="2416" t="s">
        <v>1189</v>
      </c>
      <c r="B52" s="2415"/>
      <c r="C52" s="2415"/>
      <c r="D52" s="2415"/>
      <c r="E52" s="2415"/>
      <c r="F52" s="2415"/>
      <c r="G52" s="2415"/>
      <c r="H52" s="2415"/>
    </row>
    <row r="53" spans="1:8">
      <c r="A53" s="2415"/>
      <c r="B53" s="2415"/>
      <c r="C53" s="2415"/>
      <c r="D53" s="2415"/>
      <c r="E53" s="2415"/>
      <c r="F53" s="2415"/>
      <c r="G53" s="2415"/>
      <c r="H53" s="2415"/>
    </row>
    <row r="54" spans="1:8" ht="15">
      <c r="A54" s="2416" t="s">
        <v>933</v>
      </c>
      <c r="B54" s="2415"/>
      <c r="C54" s="2415"/>
      <c r="D54" s="2415"/>
      <c r="E54" s="2415"/>
      <c r="F54" s="2415"/>
      <c r="G54" s="2415"/>
      <c r="H54" s="2415"/>
    </row>
    <row r="55" spans="1:8">
      <c r="A55" s="2415"/>
      <c r="B55" s="2415"/>
      <c r="C55" s="2415"/>
      <c r="D55" s="2415"/>
      <c r="E55" s="2415"/>
      <c r="F55" s="2415"/>
      <c r="G55" s="2415"/>
      <c r="H55" s="2415"/>
    </row>
    <row r="56" spans="1:8" ht="15.75">
      <c r="A56" s="2417" t="s">
        <v>934</v>
      </c>
      <c r="B56" s="2415"/>
      <c r="C56" s="2415"/>
      <c r="D56" s="2415"/>
      <c r="E56" s="2415"/>
      <c r="F56" s="2415"/>
      <c r="G56" s="2415"/>
      <c r="H56" s="2415"/>
    </row>
    <row r="57" spans="1:8">
      <c r="A57" s="2415"/>
      <c r="B57" s="2415"/>
      <c r="C57" s="2415"/>
      <c r="D57" s="2415"/>
      <c r="E57" s="2415"/>
      <c r="F57" s="2415"/>
      <c r="G57" s="2415"/>
      <c r="H57" s="2415"/>
    </row>
    <row r="58" spans="1:8" ht="15">
      <c r="A58" s="2416" t="s">
        <v>1184</v>
      </c>
      <c r="B58" s="2415"/>
      <c r="C58" s="2415"/>
      <c r="D58" s="2415"/>
      <c r="E58" s="2415"/>
      <c r="F58" s="2415"/>
      <c r="G58" s="2415"/>
      <c r="H58" s="2415"/>
    </row>
    <row r="59" spans="1:8" ht="15">
      <c r="A59" s="2416" t="s">
        <v>1185</v>
      </c>
      <c r="B59" s="2415"/>
      <c r="C59" s="2415"/>
      <c r="D59" s="2415"/>
      <c r="E59" s="2415"/>
      <c r="F59" s="2415"/>
      <c r="G59" s="2415"/>
      <c r="H59" s="2415"/>
    </row>
    <row r="60" spans="1:8">
      <c r="A60" s="2415"/>
      <c r="B60" s="2415"/>
      <c r="C60" s="2415"/>
      <c r="D60" s="2415"/>
      <c r="E60" s="2415"/>
      <c r="F60" s="2415"/>
      <c r="G60" s="2415"/>
      <c r="H60" s="2415"/>
    </row>
    <row r="61" spans="1:8" ht="15.75">
      <c r="A61" s="2417" t="s">
        <v>935</v>
      </c>
      <c r="B61" s="2415"/>
      <c r="C61" s="2415"/>
      <c r="D61" s="2415"/>
      <c r="E61" s="2415"/>
      <c r="F61" s="2415"/>
      <c r="G61" s="2415"/>
      <c r="H61" s="2415"/>
    </row>
    <row r="62" spans="1:8">
      <c r="A62" s="2415"/>
      <c r="B62" s="2415"/>
      <c r="C62" s="2415"/>
      <c r="D62" s="2415"/>
      <c r="E62" s="2415"/>
      <c r="F62" s="2415"/>
      <c r="G62" s="2415"/>
      <c r="H62" s="2415"/>
    </row>
    <row r="63" spans="1:8" ht="15">
      <c r="A63" s="2416" t="s">
        <v>1182</v>
      </c>
      <c r="B63" s="2415"/>
      <c r="C63" s="2415"/>
      <c r="D63" s="2415"/>
      <c r="E63" s="2415"/>
      <c r="F63" s="2415"/>
      <c r="G63" s="2415"/>
      <c r="H63" s="2415"/>
    </row>
    <row r="64" spans="1:8" ht="15">
      <c r="A64" s="2416" t="s">
        <v>1183</v>
      </c>
      <c r="B64" s="2415"/>
      <c r="C64" s="2415"/>
      <c r="D64" s="2415"/>
      <c r="E64" s="2415"/>
      <c r="F64" s="2415"/>
      <c r="G64" s="2415"/>
      <c r="H64" s="2415"/>
    </row>
    <row r="65" spans="1:8">
      <c r="A65" s="2415"/>
      <c r="B65" s="2415"/>
      <c r="C65" s="2415"/>
      <c r="D65" s="2415"/>
      <c r="E65" s="2415"/>
      <c r="F65" s="2415"/>
      <c r="G65" s="2415"/>
      <c r="H65" s="2415"/>
    </row>
    <row r="66" spans="1:8" ht="15">
      <c r="A66" s="2416" t="s">
        <v>1180</v>
      </c>
      <c r="B66" s="2415"/>
      <c r="C66" s="2415"/>
      <c r="D66" s="2415"/>
      <c r="E66" s="2415"/>
      <c r="F66" s="2415"/>
      <c r="G66" s="2415"/>
      <c r="H66" s="2415"/>
    </row>
    <row r="67" spans="1:8" ht="15">
      <c r="A67" s="2416" t="s">
        <v>1181</v>
      </c>
      <c r="B67" s="2415"/>
      <c r="C67" s="2415"/>
      <c r="D67" s="2415"/>
      <c r="E67" s="2415"/>
      <c r="F67" s="2415"/>
      <c r="G67" s="2415"/>
      <c r="H67" s="2415"/>
    </row>
    <row r="68" spans="1:8">
      <c r="A68" s="2415"/>
      <c r="B68" s="2415"/>
      <c r="C68" s="2415"/>
      <c r="D68" s="2415"/>
      <c r="E68" s="2415"/>
      <c r="F68" s="2415"/>
      <c r="G68" s="2415"/>
      <c r="H68" s="2415"/>
    </row>
    <row r="69" spans="1:8" ht="15">
      <c r="A69" s="2416" t="s">
        <v>936</v>
      </c>
      <c r="B69" s="2415"/>
      <c r="C69" s="2415"/>
      <c r="D69" s="2415"/>
      <c r="E69" s="2415"/>
      <c r="F69" s="2415"/>
      <c r="G69" s="2415"/>
      <c r="H69" s="2415"/>
    </row>
    <row r="70" spans="1:8">
      <c r="A70" s="2415"/>
      <c r="B70" s="2415"/>
      <c r="C70" s="2415"/>
      <c r="D70" s="2415"/>
      <c r="E70" s="2415"/>
      <c r="F70" s="2415"/>
      <c r="G70" s="2415"/>
      <c r="H70" s="2415"/>
    </row>
    <row r="71" spans="1:8" ht="15">
      <c r="A71" s="2416" t="s">
        <v>1175</v>
      </c>
      <c r="B71" s="2415"/>
      <c r="C71" s="2415"/>
      <c r="D71" s="2415"/>
      <c r="E71" s="2415"/>
      <c r="F71" s="2415"/>
      <c r="G71" s="2415"/>
      <c r="H71" s="2415"/>
    </row>
    <row r="72" spans="1:8" ht="15">
      <c r="A72" s="2416" t="s">
        <v>1176</v>
      </c>
      <c r="B72" s="2415"/>
      <c r="C72" s="2415"/>
      <c r="D72" s="2415"/>
      <c r="E72" s="2415"/>
      <c r="F72" s="2415"/>
      <c r="G72" s="2415"/>
      <c r="H72" s="2415"/>
    </row>
    <row r="73" spans="1:8" ht="15">
      <c r="A73" s="2416" t="s">
        <v>1177</v>
      </c>
      <c r="B73" s="2415"/>
      <c r="C73" s="2415"/>
      <c r="D73" s="2415"/>
      <c r="E73" s="2415"/>
      <c r="F73" s="2415"/>
      <c r="G73" s="2415"/>
      <c r="H73" s="2415"/>
    </row>
    <row r="74" spans="1:8" ht="15">
      <c r="A74" s="2416" t="s">
        <v>1178</v>
      </c>
      <c r="B74" s="2415"/>
      <c r="C74" s="2415"/>
      <c r="D74" s="2415"/>
      <c r="E74" s="2415"/>
      <c r="F74" s="2415"/>
      <c r="G74" s="2415"/>
      <c r="H74" s="2415"/>
    </row>
    <row r="75" spans="1:8" ht="15">
      <c r="A75" s="2416" t="s">
        <v>1179</v>
      </c>
      <c r="B75" s="2415"/>
      <c r="C75" s="2415"/>
      <c r="D75" s="2415"/>
      <c r="E75" s="2415"/>
      <c r="F75" s="2415"/>
      <c r="G75" s="2415"/>
      <c r="H75" s="2415"/>
    </row>
    <row r="76" spans="1:8" ht="15">
      <c r="A76" s="2416" t="s">
        <v>1062</v>
      </c>
      <c r="B76" s="2415"/>
      <c r="C76" s="2415"/>
      <c r="D76" s="2415"/>
      <c r="E76" s="2415"/>
      <c r="F76" s="2415"/>
      <c r="G76" s="2415"/>
      <c r="H76" s="2415"/>
    </row>
    <row r="77" spans="1:8">
      <c r="A77" s="2415"/>
      <c r="B77" s="2415"/>
      <c r="C77" s="2415"/>
      <c r="D77" s="2415"/>
      <c r="E77" s="2415"/>
      <c r="F77" s="2415"/>
      <c r="G77" s="2415"/>
      <c r="H77" s="2415"/>
    </row>
    <row r="78" spans="1:8" ht="15">
      <c r="A78" s="2416" t="s">
        <v>1168</v>
      </c>
      <c r="B78" s="2415"/>
      <c r="C78" s="2415"/>
      <c r="D78" s="2415"/>
      <c r="E78" s="2415"/>
      <c r="F78" s="2415"/>
      <c r="G78" s="2415"/>
      <c r="H78" s="2415"/>
    </row>
    <row r="79" spans="1:8" ht="15">
      <c r="A79" s="2416" t="s">
        <v>1169</v>
      </c>
      <c r="B79" s="2415"/>
      <c r="C79" s="2415"/>
      <c r="D79" s="2415"/>
      <c r="E79" s="2415"/>
      <c r="F79" s="2415"/>
      <c r="G79" s="2415"/>
      <c r="H79" s="2415"/>
    </row>
    <row r="80" spans="1:8" ht="15">
      <c r="A80" s="2416" t="s">
        <v>1170</v>
      </c>
      <c r="B80" s="2415"/>
      <c r="C80" s="2415"/>
      <c r="D80" s="2415"/>
      <c r="E80" s="2415"/>
      <c r="F80" s="2415"/>
      <c r="G80" s="2415"/>
      <c r="H80" s="2415"/>
    </row>
    <row r="81" spans="1:8" ht="15">
      <c r="A81" s="2416" t="s">
        <v>1171</v>
      </c>
      <c r="B81" s="2415"/>
      <c r="C81" s="2415"/>
      <c r="D81" s="2415"/>
      <c r="E81" s="2415"/>
      <c r="F81" s="2415"/>
      <c r="G81" s="2415"/>
      <c r="H81" s="2415"/>
    </row>
    <row r="82" spans="1:8" ht="15">
      <c r="A82" s="2416" t="s">
        <v>1172</v>
      </c>
      <c r="B82" s="2415"/>
      <c r="C82" s="2415"/>
      <c r="D82" s="2415"/>
      <c r="E82" s="2415"/>
      <c r="F82" s="2415"/>
      <c r="G82" s="2415"/>
      <c r="H82" s="2415"/>
    </row>
    <row r="83" spans="1:8" ht="15">
      <c r="A83" s="2416" t="s">
        <v>1173</v>
      </c>
      <c r="B83" s="2415"/>
      <c r="C83" s="2415"/>
      <c r="D83" s="2415"/>
      <c r="E83" s="2415"/>
      <c r="F83" s="2415"/>
      <c r="G83" s="2415"/>
      <c r="H83" s="2415"/>
    </row>
    <row r="84" spans="1:8" ht="15">
      <c r="A84" s="2416" t="s">
        <v>1174</v>
      </c>
      <c r="B84" s="2415"/>
      <c r="C84" s="2415"/>
      <c r="D84" s="2415"/>
      <c r="E84" s="2415"/>
      <c r="F84" s="2415"/>
      <c r="G84" s="2415"/>
      <c r="H84" s="2415"/>
    </row>
    <row r="85" spans="1:8">
      <c r="A85" s="2415"/>
      <c r="B85" s="2415"/>
      <c r="C85" s="2415"/>
      <c r="D85" s="2415"/>
      <c r="E85" s="2415"/>
      <c r="F85" s="2415"/>
      <c r="G85" s="2415"/>
      <c r="H85" s="2415"/>
    </row>
    <row r="86" spans="1:8" ht="15">
      <c r="A86" s="2416" t="s">
        <v>1166</v>
      </c>
      <c r="B86" s="2415"/>
      <c r="C86" s="2415"/>
      <c r="D86" s="2415"/>
      <c r="E86" s="2415"/>
      <c r="F86" s="2415"/>
      <c r="G86" s="2415"/>
      <c r="H86" s="2415"/>
    </row>
    <row r="87" spans="1:8" ht="15">
      <c r="A87" s="2416" t="s">
        <v>1167</v>
      </c>
      <c r="B87" s="2415"/>
      <c r="C87" s="2415"/>
      <c r="D87" s="2415"/>
      <c r="E87" s="2415"/>
      <c r="F87" s="2415"/>
      <c r="G87" s="2415"/>
      <c r="H87" s="2415"/>
    </row>
    <row r="88" spans="1:8">
      <c r="A88" s="2415"/>
      <c r="B88" s="2415"/>
      <c r="C88" s="2415"/>
      <c r="D88" s="2415"/>
      <c r="E88" s="2415"/>
      <c r="F88" s="2415"/>
      <c r="G88" s="2415"/>
      <c r="H88" s="2415"/>
    </row>
    <row r="89" spans="1:8" ht="15.75">
      <c r="A89" s="2417" t="s">
        <v>937</v>
      </c>
      <c r="B89" s="2415"/>
      <c r="C89" s="2415"/>
      <c r="D89" s="2415"/>
      <c r="E89" s="2415"/>
      <c r="F89" s="2415"/>
      <c r="G89" s="2415"/>
      <c r="H89" s="2415"/>
    </row>
    <row r="90" spans="1:8">
      <c r="A90" s="2415"/>
      <c r="B90" s="2415"/>
      <c r="C90" s="2415"/>
      <c r="D90" s="2415"/>
      <c r="E90" s="2415"/>
      <c r="F90" s="2415"/>
      <c r="G90" s="2415"/>
      <c r="H90" s="2415"/>
    </row>
    <row r="91" spans="1:8" ht="15">
      <c r="A91" s="2416" t="s">
        <v>1157</v>
      </c>
      <c r="B91" s="2415"/>
      <c r="C91" s="2415"/>
      <c r="D91" s="2415"/>
      <c r="E91" s="2415"/>
      <c r="F91" s="2415"/>
      <c r="G91" s="2415"/>
      <c r="H91" s="2415"/>
    </row>
    <row r="92" spans="1:8" ht="15">
      <c r="A92" s="2416" t="s">
        <v>1158</v>
      </c>
      <c r="B92" s="2415"/>
      <c r="C92" s="2415"/>
      <c r="D92" s="2415"/>
      <c r="E92" s="2415"/>
      <c r="F92" s="2415"/>
      <c r="G92" s="2415"/>
      <c r="H92" s="2415"/>
    </row>
    <row r="93" spans="1:8" ht="15">
      <c r="A93" s="2416" t="s">
        <v>1159</v>
      </c>
      <c r="B93" s="2415"/>
      <c r="C93" s="2415"/>
      <c r="D93" s="2415"/>
      <c r="E93" s="2415"/>
      <c r="F93" s="2415"/>
      <c r="G93" s="2415"/>
      <c r="H93" s="2415"/>
    </row>
    <row r="94" spans="1:8" ht="15">
      <c r="A94" s="2416" t="s">
        <v>1160</v>
      </c>
      <c r="B94" s="2415"/>
      <c r="C94" s="2415"/>
      <c r="D94" s="2415"/>
      <c r="E94" s="2415"/>
      <c r="F94" s="2415"/>
      <c r="G94" s="2415"/>
      <c r="H94" s="2415"/>
    </row>
    <row r="95" spans="1:8" ht="15">
      <c r="A95" s="2416" t="s">
        <v>1161</v>
      </c>
      <c r="B95" s="2415"/>
      <c r="C95" s="2415"/>
      <c r="D95" s="2415"/>
      <c r="E95" s="2415"/>
      <c r="F95" s="2415"/>
      <c r="G95" s="2415"/>
      <c r="H95" s="2415"/>
    </row>
    <row r="96" spans="1:8" ht="15">
      <c r="A96" s="2416" t="s">
        <v>1162</v>
      </c>
      <c r="B96" s="2415"/>
      <c r="C96" s="2415"/>
      <c r="D96" s="2415"/>
      <c r="E96" s="2415"/>
      <c r="F96" s="2415"/>
      <c r="G96" s="2415"/>
      <c r="H96" s="2415"/>
    </row>
    <row r="97" spans="1:8" ht="15">
      <c r="A97" s="2416" t="s">
        <v>1163</v>
      </c>
      <c r="B97" s="2415"/>
      <c r="C97" s="2415"/>
      <c r="D97" s="2415"/>
      <c r="E97" s="2415"/>
      <c r="F97" s="2415"/>
      <c r="G97" s="2415"/>
      <c r="H97" s="2415"/>
    </row>
    <row r="98" spans="1:8" ht="15">
      <c r="A98" s="2416" t="s">
        <v>1164</v>
      </c>
      <c r="B98" s="2415"/>
      <c r="C98" s="2415"/>
      <c r="D98" s="2415"/>
      <c r="E98" s="2415"/>
      <c r="F98" s="2415"/>
      <c r="G98" s="2415"/>
      <c r="H98" s="2415"/>
    </row>
    <row r="99" spans="1:8" ht="15">
      <c r="A99" s="2416" t="s">
        <v>1165</v>
      </c>
      <c r="B99" s="2415"/>
      <c r="C99" s="2415"/>
      <c r="D99" s="2415"/>
      <c r="E99" s="2415"/>
      <c r="F99" s="2415"/>
      <c r="G99" s="2415"/>
      <c r="H99" s="2415"/>
    </row>
    <row r="100" spans="1:8">
      <c r="A100" s="2415"/>
      <c r="B100" s="2415"/>
      <c r="C100" s="2415"/>
      <c r="D100" s="2415"/>
      <c r="E100" s="2415"/>
      <c r="F100" s="2415"/>
      <c r="G100" s="2415"/>
      <c r="H100" s="2415"/>
    </row>
    <row r="101" spans="1:8" ht="15.75">
      <c r="A101" s="2418" t="s">
        <v>938</v>
      </c>
      <c r="B101" s="2418"/>
      <c r="C101" s="2418"/>
      <c r="D101" s="2418"/>
      <c r="E101" s="2418"/>
      <c r="F101" s="2418"/>
      <c r="G101" s="2418"/>
      <c r="H101" s="2418"/>
    </row>
    <row r="102" spans="1:8" ht="15">
      <c r="A102" s="2419" t="s">
        <v>939</v>
      </c>
      <c r="B102" s="2419"/>
      <c r="C102" s="2419"/>
      <c r="D102" s="2419"/>
      <c r="E102" s="2419"/>
      <c r="F102" s="2419"/>
      <c r="G102" s="2419"/>
      <c r="H102" s="2419"/>
    </row>
    <row r="103" spans="1:8">
      <c r="A103" s="2420"/>
      <c r="B103" s="2420"/>
      <c r="C103" s="2420"/>
      <c r="D103" s="2420"/>
      <c r="E103" s="2420"/>
      <c r="F103" s="2420"/>
      <c r="G103" s="2420"/>
      <c r="H103" s="2420"/>
    </row>
    <row r="104" spans="1:8" ht="15">
      <c r="A104" s="2419" t="s">
        <v>1155</v>
      </c>
      <c r="B104" s="2419"/>
      <c r="C104" s="2419"/>
      <c r="D104" s="2419"/>
      <c r="E104" s="2419"/>
      <c r="F104" s="2419"/>
      <c r="G104" s="2419"/>
      <c r="H104" s="2419"/>
    </row>
    <row r="105" spans="1:8" ht="15">
      <c r="A105" s="2416" t="s">
        <v>1156</v>
      </c>
      <c r="B105" s="2416"/>
      <c r="C105" s="2416"/>
      <c r="D105" s="2416"/>
      <c r="E105" s="2416"/>
      <c r="F105" s="2416"/>
      <c r="G105" s="2416"/>
      <c r="H105" s="2416"/>
    </row>
    <row r="106" spans="1:8">
      <c r="A106" s="2420"/>
      <c r="B106" s="2420"/>
      <c r="C106" s="2420"/>
      <c r="D106" s="2420"/>
      <c r="E106" s="2420"/>
      <c r="F106" s="2420"/>
      <c r="G106" s="2420"/>
      <c r="H106" s="2420"/>
    </row>
    <row r="107" spans="1:8" ht="15">
      <c r="A107" s="2419" t="s">
        <v>1148</v>
      </c>
      <c r="B107" s="2419"/>
      <c r="C107" s="2419"/>
      <c r="D107" s="2419"/>
      <c r="E107" s="2419"/>
      <c r="F107" s="2419"/>
      <c r="G107" s="2419"/>
      <c r="H107" s="2419"/>
    </row>
    <row r="108" spans="1:8" ht="15">
      <c r="A108" s="2416" t="s">
        <v>1149</v>
      </c>
      <c r="B108" s="2416"/>
      <c r="C108" s="2416"/>
      <c r="D108" s="2416"/>
      <c r="E108" s="2416"/>
      <c r="F108" s="2416"/>
      <c r="G108" s="2416"/>
      <c r="H108" s="2416"/>
    </row>
    <row r="109" spans="1:8" ht="15">
      <c r="A109" s="2416" t="s">
        <v>1150</v>
      </c>
      <c r="B109" s="2416"/>
      <c r="C109" s="2416"/>
      <c r="D109" s="2416"/>
      <c r="E109" s="2416"/>
      <c r="F109" s="2416"/>
      <c r="G109" s="2416"/>
      <c r="H109" s="2416"/>
    </row>
    <row r="110" spans="1:8" ht="15">
      <c r="A110" s="2416" t="s">
        <v>1151</v>
      </c>
      <c r="B110" s="2416"/>
      <c r="C110" s="2416"/>
      <c r="D110" s="2416"/>
      <c r="E110" s="2416"/>
      <c r="F110" s="2416"/>
      <c r="G110" s="2416"/>
      <c r="H110" s="2416"/>
    </row>
    <row r="111" spans="1:8" ht="15">
      <c r="A111" s="2416" t="s">
        <v>1152</v>
      </c>
      <c r="B111" s="2416"/>
      <c r="C111" s="2416"/>
      <c r="D111" s="2416"/>
      <c r="E111" s="2416"/>
      <c r="F111" s="2416"/>
      <c r="G111" s="2416"/>
      <c r="H111" s="2416"/>
    </row>
    <row r="112" spans="1:8" ht="15">
      <c r="A112" s="2416" t="s">
        <v>1153</v>
      </c>
      <c r="B112" s="2416"/>
      <c r="C112" s="2416"/>
      <c r="D112" s="2416"/>
      <c r="E112" s="2416"/>
      <c r="F112" s="2416"/>
      <c r="G112" s="2416"/>
      <c r="H112" s="2416"/>
    </row>
    <row r="113" spans="1:8" ht="15">
      <c r="A113" s="2416" t="s">
        <v>1154</v>
      </c>
      <c r="B113" s="2416"/>
      <c r="C113" s="2416"/>
      <c r="D113" s="2416"/>
      <c r="E113" s="2416"/>
      <c r="F113" s="2416"/>
      <c r="G113" s="2416"/>
      <c r="H113" s="2416"/>
    </row>
    <row r="114" spans="1:8">
      <c r="A114" s="2421"/>
      <c r="B114" s="2421"/>
      <c r="C114" s="2421"/>
      <c r="D114" s="2421"/>
      <c r="E114" s="2421"/>
      <c r="F114" s="2421"/>
      <c r="G114" s="2421"/>
      <c r="H114" s="2421"/>
    </row>
    <row r="115" spans="1:8" ht="15">
      <c r="A115" s="2422"/>
      <c r="B115" s="2423" t="s">
        <v>940</v>
      </c>
      <c r="C115" s="2424"/>
      <c r="D115" s="2423" t="s">
        <v>941</v>
      </c>
      <c r="E115" s="2425"/>
      <c r="F115" s="2424"/>
      <c r="G115" s="2423" t="s">
        <v>942</v>
      </c>
      <c r="H115" s="2424"/>
    </row>
    <row r="116" spans="1:8" ht="15">
      <c r="A116" s="2426" t="s">
        <v>943</v>
      </c>
      <c r="B116" s="2426" t="s">
        <v>367</v>
      </c>
      <c r="C116" s="2426" t="s">
        <v>944</v>
      </c>
      <c r="D116" s="2426" t="s">
        <v>367</v>
      </c>
      <c r="E116" s="2426" t="s">
        <v>945</v>
      </c>
      <c r="F116" s="2426" t="s">
        <v>946</v>
      </c>
      <c r="G116" s="2426" t="s">
        <v>367</v>
      </c>
      <c r="H116" s="2426" t="s">
        <v>947</v>
      </c>
    </row>
    <row r="117" spans="1:8" ht="15">
      <c r="A117" s="2426" t="s">
        <v>948</v>
      </c>
      <c r="B117" s="2426">
        <v>1173</v>
      </c>
      <c r="C117" s="2427">
        <v>0.37</v>
      </c>
      <c r="D117" s="2426">
        <v>318</v>
      </c>
      <c r="E117" s="2427">
        <v>0.41</v>
      </c>
      <c r="F117" s="2427">
        <v>0.27</v>
      </c>
      <c r="G117" s="2426">
        <v>571</v>
      </c>
      <c r="H117" s="2427">
        <v>0.39</v>
      </c>
    </row>
    <row r="118" spans="1:8" ht="15">
      <c r="A118" s="2426" t="s">
        <v>949</v>
      </c>
      <c r="B118" s="2426">
        <v>1390</v>
      </c>
      <c r="C118" s="2427">
        <v>0.44</v>
      </c>
      <c r="D118" s="2426">
        <v>359</v>
      </c>
      <c r="E118" s="2427">
        <v>0.47</v>
      </c>
      <c r="F118" s="2427">
        <v>0.26</v>
      </c>
      <c r="G118" s="2426">
        <v>653</v>
      </c>
      <c r="H118" s="2427">
        <v>0.45</v>
      </c>
    </row>
    <row r="119" spans="1:8" ht="15">
      <c r="A119" s="2426" t="s">
        <v>950</v>
      </c>
      <c r="B119" s="2426">
        <v>53</v>
      </c>
      <c r="C119" s="2427">
        <v>0.02</v>
      </c>
      <c r="D119" s="2426">
        <v>5</v>
      </c>
      <c r="E119" s="2427">
        <v>0.01</v>
      </c>
      <c r="F119" s="2427">
        <v>0.09</v>
      </c>
      <c r="G119" s="2426">
        <v>8</v>
      </c>
      <c r="H119" s="2427">
        <v>0.01</v>
      </c>
    </row>
    <row r="120" spans="1:8" ht="15">
      <c r="A120" s="2426" t="s">
        <v>951</v>
      </c>
      <c r="B120" s="2426">
        <v>564</v>
      </c>
      <c r="C120" s="2427">
        <v>0.18</v>
      </c>
      <c r="D120" s="2426">
        <v>90</v>
      </c>
      <c r="E120" s="2427">
        <v>0.12</v>
      </c>
      <c r="F120" s="2427">
        <v>0.16</v>
      </c>
      <c r="G120" s="2426">
        <v>219</v>
      </c>
      <c r="H120" s="2427">
        <v>0.15</v>
      </c>
    </row>
    <row r="121" spans="1:8" ht="15">
      <c r="A121" s="2426" t="s">
        <v>542</v>
      </c>
      <c r="B121" s="2428">
        <v>3180</v>
      </c>
      <c r="C121" s="2422"/>
      <c r="D121" s="2426">
        <v>772</v>
      </c>
      <c r="E121" s="2422"/>
      <c r="F121" s="2422"/>
      <c r="G121" s="2426">
        <v>1451</v>
      </c>
      <c r="H121" s="2422"/>
    </row>
    <row r="122" spans="1:8">
      <c r="A122" s="2429"/>
      <c r="B122" s="2429"/>
      <c r="C122" s="2429"/>
      <c r="D122" s="2429"/>
      <c r="E122" s="2429"/>
      <c r="F122" s="2429"/>
      <c r="G122" s="2429"/>
      <c r="H122" s="2429"/>
    </row>
    <row r="123" spans="1:8" ht="15">
      <c r="A123" s="2419" t="s">
        <v>1144</v>
      </c>
      <c r="B123" s="2419"/>
      <c r="C123" s="2419"/>
      <c r="D123" s="2419"/>
      <c r="E123" s="2419"/>
      <c r="F123" s="2419"/>
      <c r="G123" s="2419"/>
      <c r="H123" s="2419"/>
    </row>
    <row r="124" spans="1:8" ht="15">
      <c r="A124" s="2416" t="s">
        <v>1145</v>
      </c>
      <c r="B124" s="2416"/>
      <c r="C124" s="2416"/>
      <c r="D124" s="2416"/>
      <c r="E124" s="2416"/>
      <c r="F124" s="2416"/>
      <c r="G124" s="2416"/>
      <c r="H124" s="2416"/>
    </row>
    <row r="125" spans="1:8" ht="15">
      <c r="A125" s="2416" t="s">
        <v>1146</v>
      </c>
      <c r="B125" s="2416"/>
      <c r="C125" s="2416"/>
      <c r="D125" s="2416"/>
      <c r="E125" s="2416"/>
      <c r="F125" s="2416"/>
      <c r="G125" s="2416"/>
      <c r="H125" s="2416"/>
    </row>
    <row r="126" spans="1:8" ht="15">
      <c r="A126" s="2416" t="s">
        <v>1147</v>
      </c>
      <c r="B126" s="2416"/>
      <c r="C126" s="2416"/>
      <c r="D126" s="2416"/>
      <c r="E126" s="2416"/>
      <c r="F126" s="2416"/>
      <c r="G126" s="2416"/>
      <c r="H126" s="2416"/>
    </row>
    <row r="127" spans="1:8">
      <c r="A127" s="2415"/>
      <c r="B127" s="2415"/>
      <c r="C127" s="2415"/>
      <c r="D127" s="2415"/>
      <c r="E127" s="2415"/>
      <c r="F127" s="2415"/>
      <c r="G127" s="2415"/>
      <c r="H127" s="2415"/>
    </row>
    <row r="128" spans="1:8" ht="15.75">
      <c r="A128" s="2417" t="s">
        <v>952</v>
      </c>
      <c r="B128" s="2415"/>
      <c r="C128" s="2415"/>
      <c r="D128" s="2415"/>
      <c r="E128" s="2415"/>
      <c r="F128" s="2415"/>
      <c r="G128" s="2415"/>
      <c r="H128" s="2415"/>
    </row>
    <row r="129" spans="1:8">
      <c r="A129" s="2415"/>
      <c r="B129" s="2415"/>
      <c r="C129" s="2415"/>
      <c r="D129" s="2415"/>
      <c r="E129" s="2415"/>
      <c r="F129" s="2415"/>
      <c r="G129" s="2415"/>
      <c r="H129" s="2415"/>
    </row>
    <row r="130" spans="1:8" ht="15">
      <c r="A130" s="2416" t="s">
        <v>1142</v>
      </c>
      <c r="B130" s="2415"/>
      <c r="C130" s="2415"/>
      <c r="D130" s="2415"/>
      <c r="E130" s="2415"/>
      <c r="F130" s="2415"/>
      <c r="G130" s="2415"/>
      <c r="H130" s="2415"/>
    </row>
    <row r="131" spans="1:8" ht="15">
      <c r="A131" s="2416" t="s">
        <v>1143</v>
      </c>
      <c r="B131" s="2415"/>
      <c r="C131" s="2415"/>
      <c r="D131" s="2415"/>
      <c r="E131" s="2415"/>
      <c r="F131" s="2415"/>
      <c r="G131" s="2415"/>
      <c r="H131" s="2415"/>
    </row>
    <row r="132" spans="1:8">
      <c r="A132" s="2415"/>
      <c r="B132" s="2415"/>
      <c r="C132" s="2415"/>
      <c r="D132" s="2415"/>
      <c r="E132" s="2415"/>
      <c r="F132" s="2415"/>
      <c r="G132" s="2415"/>
      <c r="H132" s="2415"/>
    </row>
    <row r="133" spans="1:8" ht="15">
      <c r="A133" s="2416" t="s">
        <v>1139</v>
      </c>
      <c r="B133" s="2415"/>
      <c r="C133" s="2415"/>
      <c r="D133" s="2415"/>
      <c r="E133" s="2415"/>
      <c r="F133" s="2415"/>
      <c r="G133" s="2415"/>
      <c r="H133" s="2415"/>
    </row>
    <row r="134" spans="1:8" ht="15">
      <c r="A134" s="2416" t="s">
        <v>1140</v>
      </c>
      <c r="B134" s="2415"/>
      <c r="C134" s="2415"/>
      <c r="D134" s="2415"/>
      <c r="E134" s="2415"/>
      <c r="F134" s="2415"/>
      <c r="G134" s="2415"/>
      <c r="H134" s="2415"/>
    </row>
    <row r="135" spans="1:8" ht="15">
      <c r="A135" s="2416" t="s">
        <v>1141</v>
      </c>
      <c r="B135" s="2415"/>
      <c r="C135" s="2415"/>
      <c r="D135" s="2415"/>
      <c r="E135" s="2415"/>
      <c r="F135" s="2415"/>
      <c r="G135" s="2415"/>
      <c r="H135" s="2415"/>
    </row>
    <row r="136" spans="1:8">
      <c r="A136" s="2415"/>
      <c r="B136" s="2415"/>
      <c r="C136" s="2415"/>
      <c r="D136" s="2415"/>
      <c r="E136" s="2415"/>
      <c r="F136" s="2415"/>
      <c r="G136" s="2415"/>
      <c r="H136" s="2415"/>
    </row>
    <row r="137" spans="1:8" ht="15">
      <c r="A137" s="2416" t="s">
        <v>1136</v>
      </c>
      <c r="B137" s="2415"/>
      <c r="C137" s="2415"/>
      <c r="D137" s="2415"/>
      <c r="E137" s="2415"/>
      <c r="F137" s="2415"/>
      <c r="G137" s="2415"/>
      <c r="H137" s="2415"/>
    </row>
    <row r="138" spans="1:8" ht="15">
      <c r="A138" s="2416" t="s">
        <v>1137</v>
      </c>
      <c r="B138" s="2415"/>
      <c r="C138" s="2415"/>
      <c r="D138" s="2415"/>
      <c r="E138" s="2415"/>
      <c r="F138" s="2415"/>
      <c r="G138" s="2415"/>
      <c r="H138" s="2415"/>
    </row>
    <row r="139" spans="1:8" ht="15">
      <c r="A139" s="2416" t="s">
        <v>1138</v>
      </c>
      <c r="B139" s="2415"/>
      <c r="C139" s="2415"/>
      <c r="D139" s="2415"/>
      <c r="E139" s="2415"/>
      <c r="F139" s="2415"/>
      <c r="G139" s="2415"/>
      <c r="H139" s="2415"/>
    </row>
    <row r="140" spans="1:8">
      <c r="A140" s="2415"/>
      <c r="B140" s="2415"/>
      <c r="C140" s="2415"/>
      <c r="D140" s="2415"/>
      <c r="E140" s="2415"/>
      <c r="F140" s="2415"/>
      <c r="G140" s="2415"/>
      <c r="H140" s="2415"/>
    </row>
    <row r="141" spans="1:8" ht="15">
      <c r="A141" s="2416" t="s">
        <v>1133</v>
      </c>
      <c r="B141" s="2415"/>
      <c r="C141" s="2415"/>
      <c r="D141" s="2415"/>
      <c r="E141" s="2415"/>
      <c r="F141" s="2415"/>
      <c r="G141" s="2415"/>
      <c r="H141" s="2415"/>
    </row>
    <row r="142" spans="1:8" ht="15">
      <c r="A142" s="2416" t="s">
        <v>1134</v>
      </c>
      <c r="B142" s="2415"/>
      <c r="C142" s="2415"/>
      <c r="D142" s="2415"/>
      <c r="E142" s="2415"/>
      <c r="F142" s="2415"/>
      <c r="G142" s="2415"/>
      <c r="H142" s="2415"/>
    </row>
    <row r="143" spans="1:8" ht="15">
      <c r="A143" s="2416" t="s">
        <v>1135</v>
      </c>
      <c r="B143" s="2415"/>
      <c r="C143" s="2415"/>
      <c r="D143" s="2415"/>
      <c r="E143" s="2415"/>
      <c r="F143" s="2415"/>
      <c r="G143" s="2415"/>
      <c r="H143" s="2415"/>
    </row>
    <row r="144" spans="1:8">
      <c r="A144" s="2415"/>
      <c r="B144" s="2415"/>
      <c r="C144" s="2415"/>
      <c r="D144" s="2415"/>
      <c r="E144" s="2415"/>
      <c r="F144" s="2415"/>
      <c r="G144" s="2415"/>
      <c r="H144" s="2415"/>
    </row>
    <row r="145" spans="1:8" ht="15">
      <c r="A145" s="2416" t="s">
        <v>1131</v>
      </c>
      <c r="B145" s="2415"/>
      <c r="C145" s="2415"/>
      <c r="D145" s="2415"/>
      <c r="E145" s="2415"/>
      <c r="F145" s="2415"/>
      <c r="G145" s="2415"/>
      <c r="H145" s="2415"/>
    </row>
    <row r="146" spans="1:8" ht="15">
      <c r="A146" s="2416" t="s">
        <v>1132</v>
      </c>
      <c r="B146" s="2415"/>
      <c r="C146" s="2415"/>
      <c r="D146" s="2415"/>
      <c r="E146" s="2415"/>
      <c r="F146" s="2415"/>
      <c r="G146" s="2415"/>
      <c r="H146" s="2415"/>
    </row>
    <row r="147" spans="1:8">
      <c r="A147" s="2415"/>
      <c r="B147" s="2415"/>
      <c r="C147" s="2415"/>
      <c r="D147" s="2415"/>
      <c r="E147" s="2415"/>
      <c r="F147" s="2415"/>
      <c r="G147" s="2415"/>
      <c r="H147" s="2415"/>
    </row>
    <row r="148" spans="1:8" ht="15.75">
      <c r="A148" s="2417" t="s">
        <v>953</v>
      </c>
      <c r="B148" s="2415"/>
      <c r="C148" s="2415"/>
      <c r="D148" s="2415"/>
      <c r="E148" s="2415"/>
      <c r="F148" s="2415"/>
      <c r="G148" s="2415"/>
      <c r="H148" s="2415"/>
    </row>
    <row r="149" spans="1:8">
      <c r="A149" s="2415"/>
      <c r="B149" s="2415"/>
      <c r="C149" s="2415"/>
      <c r="D149" s="2415"/>
      <c r="E149" s="2415"/>
      <c r="F149" s="2415"/>
      <c r="G149" s="2415"/>
      <c r="H149" s="2415"/>
    </row>
    <row r="150" spans="1:8" ht="15">
      <c r="A150" s="2416" t="s">
        <v>1129</v>
      </c>
      <c r="B150" s="2415"/>
      <c r="C150" s="2415"/>
      <c r="D150" s="2415"/>
      <c r="E150" s="2415"/>
      <c r="F150" s="2415"/>
      <c r="G150" s="2415"/>
      <c r="H150" s="2415"/>
    </row>
    <row r="151" spans="1:8" ht="15">
      <c r="A151" s="2416" t="s">
        <v>1130</v>
      </c>
      <c r="B151" s="2415"/>
      <c r="C151" s="2415"/>
      <c r="D151" s="2415"/>
      <c r="E151" s="2415"/>
      <c r="F151" s="2415"/>
      <c r="G151" s="2415"/>
      <c r="H151" s="2415"/>
    </row>
    <row r="152" spans="1:8">
      <c r="A152" s="2415"/>
      <c r="B152" s="2415"/>
      <c r="C152" s="2415"/>
      <c r="D152" s="2415"/>
      <c r="E152" s="2415"/>
      <c r="F152" s="2415"/>
      <c r="G152" s="2415"/>
      <c r="H152" s="2415"/>
    </row>
    <row r="153" spans="1:8" ht="15">
      <c r="A153" s="2416" t="s">
        <v>1127</v>
      </c>
      <c r="B153" s="2415"/>
      <c r="C153" s="2415"/>
      <c r="D153" s="2415"/>
      <c r="E153" s="2415"/>
      <c r="F153" s="2415"/>
      <c r="G153" s="2415"/>
      <c r="H153" s="2415"/>
    </row>
    <row r="154" spans="1:8" ht="15">
      <c r="A154" s="2416" t="s">
        <v>1128</v>
      </c>
      <c r="B154" s="2415"/>
      <c r="C154" s="2415"/>
      <c r="D154" s="2415"/>
      <c r="E154" s="2415"/>
      <c r="F154" s="2415"/>
      <c r="G154" s="2415"/>
      <c r="H154" s="2415"/>
    </row>
    <row r="155" spans="1:8">
      <c r="A155" s="2415"/>
      <c r="B155" s="2415"/>
      <c r="C155" s="2415"/>
      <c r="D155" s="2415"/>
      <c r="E155" s="2415"/>
      <c r="F155" s="2415"/>
      <c r="G155" s="2415"/>
      <c r="H155" s="2415"/>
    </row>
    <row r="156" spans="1:8" ht="15">
      <c r="A156" s="2416" t="s">
        <v>1125</v>
      </c>
      <c r="B156" s="2415"/>
      <c r="C156" s="2415"/>
      <c r="D156" s="2415"/>
      <c r="E156" s="2415"/>
      <c r="F156" s="2415"/>
      <c r="G156" s="2415"/>
      <c r="H156" s="2415"/>
    </row>
    <row r="157" spans="1:8" ht="15">
      <c r="A157" s="2416" t="s">
        <v>1126</v>
      </c>
      <c r="B157" s="2415"/>
      <c r="C157" s="2415"/>
      <c r="D157" s="2415"/>
      <c r="E157" s="2415"/>
      <c r="F157" s="2415"/>
      <c r="G157" s="2415"/>
      <c r="H157" s="2415"/>
    </row>
    <row r="158" spans="1:8">
      <c r="A158" s="2415"/>
      <c r="B158" s="2415"/>
      <c r="C158" s="2415"/>
      <c r="D158" s="2415"/>
      <c r="E158" s="2415"/>
      <c r="F158" s="2415"/>
      <c r="G158" s="2415"/>
      <c r="H158" s="2415"/>
    </row>
    <row r="159" spans="1:8" ht="15">
      <c r="A159" s="2416" t="s">
        <v>1122</v>
      </c>
      <c r="B159" s="2415"/>
      <c r="C159" s="2415"/>
      <c r="D159" s="2415"/>
      <c r="E159" s="2415"/>
      <c r="F159" s="2415"/>
      <c r="G159" s="2415"/>
      <c r="H159" s="2415"/>
    </row>
    <row r="160" spans="1:8" ht="15">
      <c r="A160" s="2416" t="s">
        <v>1123</v>
      </c>
      <c r="B160" s="2415"/>
      <c r="C160" s="2415"/>
      <c r="D160" s="2415"/>
      <c r="E160" s="2415"/>
      <c r="F160" s="2415"/>
      <c r="G160" s="2415"/>
      <c r="H160" s="2415"/>
    </row>
    <row r="161" spans="1:8" ht="15">
      <c r="A161" s="2416" t="s">
        <v>1124</v>
      </c>
      <c r="B161" s="2415"/>
      <c r="C161" s="2415"/>
      <c r="D161" s="2415"/>
      <c r="E161" s="2415"/>
      <c r="F161" s="2415"/>
      <c r="G161" s="2415"/>
      <c r="H161" s="2415"/>
    </row>
    <row r="162" spans="1:8">
      <c r="A162" s="2415"/>
      <c r="B162" s="2415"/>
      <c r="C162" s="2415"/>
      <c r="D162" s="2415"/>
      <c r="E162" s="2415"/>
      <c r="F162" s="2415"/>
      <c r="G162" s="2415"/>
      <c r="H162" s="2415"/>
    </row>
    <row r="163" spans="1:8">
      <c r="A163" s="2415"/>
      <c r="B163" s="2415"/>
      <c r="C163" s="2415"/>
      <c r="D163" s="2415"/>
      <c r="E163" s="2415"/>
      <c r="F163" s="2415"/>
      <c r="G163" s="2415"/>
      <c r="H163" s="2415"/>
    </row>
    <row r="164" spans="1:8" ht="15">
      <c r="A164" s="2416" t="s">
        <v>954</v>
      </c>
      <c r="B164" s="2415"/>
      <c r="C164" s="2415"/>
      <c r="D164" s="2415"/>
      <c r="E164" s="2415"/>
      <c r="F164" s="2415"/>
      <c r="G164" s="2415"/>
      <c r="H164" s="2415"/>
    </row>
    <row r="165" spans="1:8">
      <c r="A165" s="2415"/>
      <c r="B165" s="2415"/>
      <c r="C165" s="2415"/>
      <c r="D165" s="2415"/>
      <c r="E165" s="2415"/>
      <c r="F165" s="2415"/>
      <c r="G165" s="2415"/>
      <c r="H165" s="2415"/>
    </row>
    <row r="166" spans="1:8" ht="15.75">
      <c r="A166" s="2417" t="s">
        <v>955</v>
      </c>
      <c r="B166" s="2415"/>
      <c r="C166" s="2415"/>
      <c r="D166" s="2415"/>
      <c r="E166" s="2415"/>
      <c r="F166" s="2415"/>
      <c r="G166" s="2415"/>
      <c r="H166" s="2415"/>
    </row>
    <row r="167" spans="1:8">
      <c r="A167" s="2415"/>
      <c r="B167" s="2415"/>
      <c r="C167" s="2415"/>
      <c r="D167" s="2415"/>
      <c r="E167" s="2415"/>
      <c r="F167" s="2415"/>
      <c r="G167" s="2415"/>
      <c r="H167" s="2415"/>
    </row>
    <row r="168" spans="1:8">
      <c r="A168" s="2415"/>
      <c r="B168" s="2415"/>
      <c r="C168" s="2415"/>
      <c r="D168" s="2415"/>
      <c r="E168" s="2415"/>
      <c r="F168" s="2415"/>
      <c r="G168" s="2415"/>
      <c r="H168" s="2415"/>
    </row>
    <row r="169" spans="1:8">
      <c r="A169" s="2415"/>
      <c r="B169" s="2415"/>
      <c r="C169" s="2415"/>
      <c r="D169" s="2415"/>
      <c r="E169" s="2415"/>
      <c r="F169" s="2415"/>
      <c r="G169" s="2415"/>
      <c r="H169" s="2415"/>
    </row>
    <row r="170" spans="1:8">
      <c r="A170" s="2415"/>
      <c r="B170" s="2415"/>
      <c r="C170" s="2415"/>
      <c r="D170" s="2415"/>
      <c r="E170" s="2415"/>
      <c r="F170" s="2415"/>
      <c r="G170" s="2415"/>
      <c r="H170" s="2415"/>
    </row>
    <row r="171" spans="1:8">
      <c r="A171" s="2415"/>
      <c r="B171" s="2415"/>
      <c r="C171" s="2415"/>
      <c r="D171" s="2415"/>
      <c r="E171" s="2415"/>
      <c r="F171" s="2415"/>
      <c r="G171" s="2415"/>
      <c r="H171" s="2415"/>
    </row>
    <row r="172" spans="1:8">
      <c r="A172" s="2415"/>
      <c r="B172" s="2415"/>
      <c r="C172" s="2415"/>
      <c r="D172" s="2415"/>
      <c r="E172" s="2415"/>
      <c r="F172" s="2415"/>
      <c r="G172" s="2415"/>
      <c r="H172" s="2415"/>
    </row>
    <row r="173" spans="1:8">
      <c r="A173" s="2415"/>
      <c r="B173" s="2415"/>
      <c r="C173" s="2415"/>
      <c r="D173" s="2415"/>
      <c r="E173" s="2415"/>
      <c r="F173" s="2415"/>
      <c r="G173" s="2415"/>
      <c r="H173" s="2415"/>
    </row>
    <row r="174" spans="1:8">
      <c r="A174" s="2415"/>
      <c r="B174" s="2415"/>
      <c r="C174" s="2415"/>
      <c r="D174" s="2415"/>
      <c r="E174" s="2415"/>
      <c r="F174" s="2415"/>
      <c r="G174" s="2415"/>
      <c r="H174" s="2415"/>
    </row>
    <row r="175" spans="1:8">
      <c r="A175" s="2415"/>
      <c r="B175" s="2415"/>
      <c r="C175" s="2415"/>
      <c r="D175" s="2415"/>
      <c r="E175" s="2415"/>
      <c r="F175" s="2415"/>
      <c r="G175" s="2415"/>
      <c r="H175" s="2415"/>
    </row>
    <row r="176" spans="1:8">
      <c r="A176" s="2415"/>
      <c r="B176" s="2415"/>
      <c r="C176" s="2415"/>
      <c r="D176" s="2415"/>
      <c r="E176" s="2415"/>
      <c r="F176" s="2415"/>
      <c r="G176" s="2415"/>
      <c r="H176" s="2415"/>
    </row>
    <row r="177" spans="1:8">
      <c r="A177" s="2415"/>
      <c r="B177" s="2415"/>
      <c r="C177" s="2415"/>
      <c r="D177" s="2415"/>
      <c r="E177" s="2415"/>
      <c r="F177" s="2415"/>
      <c r="G177" s="2415"/>
      <c r="H177" s="2415"/>
    </row>
    <row r="178" spans="1:8">
      <c r="A178" s="2415"/>
      <c r="B178" s="2415"/>
      <c r="C178" s="2415"/>
      <c r="D178" s="2415"/>
      <c r="E178" s="2415"/>
      <c r="F178" s="2415"/>
      <c r="G178" s="2415"/>
      <c r="H178" s="2415"/>
    </row>
    <row r="179" spans="1:8">
      <c r="A179" s="2415"/>
      <c r="B179" s="2415"/>
      <c r="C179" s="2415"/>
      <c r="D179" s="2415"/>
      <c r="E179" s="2415"/>
      <c r="F179" s="2415"/>
      <c r="G179" s="2415"/>
      <c r="H179" s="2415"/>
    </row>
    <row r="180" spans="1:8">
      <c r="A180" s="2415"/>
      <c r="B180" s="2415"/>
      <c r="C180" s="2415"/>
      <c r="D180" s="2415"/>
      <c r="E180" s="2415"/>
      <c r="F180" s="2415"/>
      <c r="G180" s="2415"/>
      <c r="H180" s="2415"/>
    </row>
    <row r="181" spans="1:8">
      <c r="A181" s="2415"/>
      <c r="B181" s="2415"/>
      <c r="C181" s="2415"/>
      <c r="D181" s="2415"/>
      <c r="E181" s="2415"/>
      <c r="F181" s="2415"/>
      <c r="G181" s="2415"/>
      <c r="H181" s="2415"/>
    </row>
    <row r="182" spans="1:8">
      <c r="A182" s="2415"/>
      <c r="B182" s="2415"/>
      <c r="C182" s="2415"/>
      <c r="D182" s="2415"/>
      <c r="E182" s="2415"/>
      <c r="F182" s="2415"/>
      <c r="G182" s="2415"/>
      <c r="H182" s="2415"/>
    </row>
    <row r="183" spans="1:8">
      <c r="A183" s="2415"/>
      <c r="B183" s="2415"/>
      <c r="C183" s="2415"/>
      <c r="D183" s="2415"/>
      <c r="E183" s="2415"/>
      <c r="F183" s="2415"/>
      <c r="G183" s="2415"/>
      <c r="H183" s="2415"/>
    </row>
    <row r="184" spans="1:8">
      <c r="A184" s="2415"/>
      <c r="B184" s="2415"/>
      <c r="C184" s="2415"/>
      <c r="D184" s="2415"/>
      <c r="E184" s="2415"/>
      <c r="F184" s="2415"/>
      <c r="G184" s="2415"/>
      <c r="H184" s="2415"/>
    </row>
    <row r="185" spans="1:8">
      <c r="A185" s="2415"/>
      <c r="B185" s="2415"/>
      <c r="C185" s="2415"/>
      <c r="D185" s="2415"/>
      <c r="E185" s="2415"/>
      <c r="F185" s="2415"/>
      <c r="G185" s="2415"/>
      <c r="H185" s="2415"/>
    </row>
    <row r="186" spans="1:8">
      <c r="A186" s="2415"/>
      <c r="B186" s="2415"/>
      <c r="C186" s="2415"/>
      <c r="D186" s="2415"/>
      <c r="E186" s="2415"/>
      <c r="F186" s="2415"/>
      <c r="G186" s="2415"/>
      <c r="H186" s="2415"/>
    </row>
    <row r="187" spans="1:8">
      <c r="A187" s="2415"/>
      <c r="B187" s="2415"/>
      <c r="C187" s="2415"/>
      <c r="D187" s="2415"/>
      <c r="E187" s="2415"/>
      <c r="F187" s="2415"/>
      <c r="G187" s="2415"/>
      <c r="H187" s="2415"/>
    </row>
    <row r="188" spans="1:8">
      <c r="A188" s="2415"/>
      <c r="B188" s="2415"/>
      <c r="C188" s="2415"/>
      <c r="D188" s="2415"/>
      <c r="E188" s="2415"/>
      <c r="F188" s="2415"/>
      <c r="G188" s="2415"/>
      <c r="H188" s="2415"/>
    </row>
    <row r="189" spans="1:8">
      <c r="A189" s="2415"/>
      <c r="B189" s="2415"/>
      <c r="C189" s="2415"/>
      <c r="D189" s="2415"/>
      <c r="E189" s="2415"/>
      <c r="F189" s="2415"/>
      <c r="G189" s="2415"/>
      <c r="H189" s="2415"/>
    </row>
    <row r="190" spans="1:8">
      <c r="A190" s="2415"/>
      <c r="B190" s="2415"/>
      <c r="C190" s="2415"/>
      <c r="D190" s="2415"/>
      <c r="E190" s="2415"/>
      <c r="F190" s="2415"/>
      <c r="G190" s="2415"/>
      <c r="H190" s="2415"/>
    </row>
    <row r="191" spans="1:8">
      <c r="A191" s="2415"/>
      <c r="B191" s="2415"/>
      <c r="C191" s="2415"/>
      <c r="D191" s="2415"/>
      <c r="E191" s="2415"/>
      <c r="F191" s="2415"/>
      <c r="G191" s="2415"/>
      <c r="H191" s="2415"/>
    </row>
    <row r="192" spans="1:8">
      <c r="A192" s="2415"/>
      <c r="B192" s="2415"/>
      <c r="C192" s="2415"/>
      <c r="D192" s="2415"/>
      <c r="E192" s="2415"/>
      <c r="F192" s="2415"/>
      <c r="G192" s="2415"/>
      <c r="H192" s="2415"/>
    </row>
    <row r="193" spans="1:8" ht="15.75">
      <c r="A193" s="2417" t="s">
        <v>956</v>
      </c>
      <c r="B193" s="2415"/>
      <c r="C193" s="2415"/>
      <c r="D193" s="2415"/>
      <c r="E193" s="2415"/>
      <c r="F193" s="2415"/>
      <c r="G193" s="2415"/>
      <c r="H193" s="2415"/>
    </row>
    <row r="194" spans="1:8">
      <c r="A194" s="2415"/>
      <c r="B194" s="2415"/>
      <c r="C194" s="2415"/>
      <c r="D194" s="2415"/>
      <c r="E194" s="2415"/>
      <c r="F194" s="2415"/>
      <c r="G194" s="2415"/>
      <c r="H194" s="2415"/>
    </row>
    <row r="195" spans="1:8" ht="15">
      <c r="A195" s="2416" t="s">
        <v>1117</v>
      </c>
      <c r="B195" s="2415"/>
      <c r="C195" s="2415"/>
      <c r="D195" s="2415"/>
      <c r="E195" s="2415"/>
      <c r="F195" s="2415"/>
      <c r="G195" s="2415"/>
      <c r="H195" s="2415"/>
    </row>
    <row r="196" spans="1:8" ht="15">
      <c r="A196" s="2416" t="s">
        <v>1118</v>
      </c>
      <c r="B196" s="2415"/>
      <c r="C196" s="2415"/>
      <c r="D196" s="2415"/>
      <c r="E196" s="2415"/>
      <c r="F196" s="2415"/>
      <c r="G196" s="2415"/>
      <c r="H196" s="2415"/>
    </row>
    <row r="197" spans="1:8" ht="15">
      <c r="A197" s="2416" t="s">
        <v>1119</v>
      </c>
      <c r="B197" s="2415"/>
      <c r="C197" s="2415"/>
      <c r="D197" s="2415"/>
      <c r="E197" s="2415"/>
      <c r="F197" s="2415"/>
      <c r="G197" s="2415"/>
      <c r="H197" s="2415"/>
    </row>
    <row r="198" spans="1:8" ht="15">
      <c r="A198" s="2416" t="s">
        <v>1120</v>
      </c>
      <c r="B198" s="2415"/>
      <c r="C198" s="2415"/>
      <c r="D198" s="2415"/>
      <c r="E198" s="2415"/>
      <c r="F198" s="2415"/>
      <c r="G198" s="2415"/>
      <c r="H198" s="2415"/>
    </row>
    <row r="199" spans="1:8" ht="15">
      <c r="A199" s="2416" t="s">
        <v>1121</v>
      </c>
      <c r="B199" s="2415"/>
      <c r="C199" s="2415"/>
      <c r="D199" s="2415"/>
      <c r="E199" s="2415"/>
      <c r="F199" s="2415"/>
      <c r="G199" s="2415"/>
      <c r="H199" s="2415"/>
    </row>
    <row r="200" spans="1:8">
      <c r="A200" s="2415"/>
      <c r="B200" s="2415"/>
      <c r="C200" s="2415"/>
      <c r="D200" s="2415"/>
      <c r="E200" s="2415"/>
      <c r="F200" s="2415"/>
      <c r="G200" s="2415"/>
      <c r="H200" s="2415"/>
    </row>
    <row r="201" spans="1:8" ht="15">
      <c r="A201" s="2416" t="s">
        <v>1114</v>
      </c>
      <c r="B201" s="2415"/>
      <c r="C201" s="2415"/>
      <c r="D201" s="2415"/>
      <c r="E201" s="2415"/>
      <c r="F201" s="2415"/>
      <c r="G201" s="2415"/>
      <c r="H201" s="2415"/>
    </row>
    <row r="202" spans="1:8" ht="15">
      <c r="A202" s="2416" t="s">
        <v>1115</v>
      </c>
      <c r="B202" s="2415"/>
      <c r="C202" s="2415"/>
      <c r="D202" s="2415"/>
      <c r="E202" s="2415"/>
      <c r="F202" s="2415"/>
      <c r="G202" s="2415"/>
      <c r="H202" s="2415"/>
    </row>
    <row r="203" spans="1:8" ht="15">
      <c r="A203" s="2416" t="s">
        <v>1116</v>
      </c>
      <c r="B203" s="2415"/>
      <c r="C203" s="2415"/>
      <c r="D203" s="2415"/>
      <c r="E203" s="2415"/>
      <c r="F203" s="2415"/>
      <c r="G203" s="2415"/>
      <c r="H203" s="2415"/>
    </row>
    <row r="204" spans="1:8" ht="15.75">
      <c r="A204" s="2417" t="s">
        <v>957</v>
      </c>
      <c r="B204" s="2415"/>
      <c r="C204" s="2415"/>
      <c r="D204" s="2415"/>
      <c r="E204" s="2415"/>
      <c r="F204" s="2415"/>
      <c r="G204" s="2415"/>
      <c r="H204" s="2415"/>
    </row>
    <row r="205" spans="1:8">
      <c r="A205" s="2415"/>
      <c r="B205" s="2415"/>
      <c r="C205" s="2415"/>
      <c r="D205" s="2415"/>
      <c r="E205" s="2415"/>
      <c r="F205" s="2415"/>
      <c r="G205" s="2415"/>
      <c r="H205" s="2415"/>
    </row>
    <row r="206" spans="1:8" ht="15">
      <c r="A206" s="2416" t="s">
        <v>1112</v>
      </c>
      <c r="B206" s="2415"/>
      <c r="C206" s="2415"/>
      <c r="D206" s="2415"/>
      <c r="E206" s="2415"/>
      <c r="F206" s="2415"/>
      <c r="G206" s="2415"/>
      <c r="H206" s="2415"/>
    </row>
    <row r="207" spans="1:8" ht="15">
      <c r="A207" s="2416" t="s">
        <v>1113</v>
      </c>
      <c r="B207" s="2415"/>
      <c r="C207" s="2415"/>
      <c r="D207" s="2415"/>
      <c r="E207" s="2415"/>
      <c r="F207" s="2415"/>
      <c r="G207" s="2415"/>
      <c r="H207" s="2415"/>
    </row>
    <row r="208" spans="1:8">
      <c r="A208" s="2415"/>
      <c r="B208" s="2415"/>
      <c r="C208" s="2415"/>
      <c r="D208" s="2415"/>
      <c r="E208" s="2415"/>
      <c r="F208" s="2415"/>
      <c r="G208" s="2415"/>
      <c r="H208" s="2415"/>
    </row>
    <row r="209" spans="1:8" ht="15">
      <c r="A209" s="2416" t="s">
        <v>1105</v>
      </c>
      <c r="B209" s="2415"/>
      <c r="C209" s="2415"/>
      <c r="D209" s="2415"/>
      <c r="E209" s="2415"/>
      <c r="F209" s="2415"/>
      <c r="G209" s="2415"/>
      <c r="H209" s="2415"/>
    </row>
    <row r="210" spans="1:8" ht="15">
      <c r="A210" s="2416" t="s">
        <v>1106</v>
      </c>
      <c r="B210" s="2415"/>
      <c r="C210" s="2415"/>
      <c r="D210" s="2415"/>
      <c r="E210" s="2415"/>
      <c r="F210" s="2415"/>
      <c r="G210" s="2415"/>
      <c r="H210" s="2415"/>
    </row>
    <row r="211" spans="1:8" ht="15">
      <c r="A211" s="2416" t="s">
        <v>1107</v>
      </c>
      <c r="B211" s="2415"/>
      <c r="C211" s="2415"/>
      <c r="D211" s="2415"/>
      <c r="E211" s="2415"/>
      <c r="F211" s="2415"/>
      <c r="G211" s="2415"/>
      <c r="H211" s="2415"/>
    </row>
    <row r="212" spans="1:8" ht="15">
      <c r="A212" s="2416" t="s">
        <v>1108</v>
      </c>
      <c r="B212" s="2415"/>
      <c r="C212" s="2415"/>
      <c r="D212" s="2415"/>
      <c r="E212" s="2415"/>
      <c r="F212" s="2415"/>
      <c r="G212" s="2415"/>
      <c r="H212" s="2415"/>
    </row>
    <row r="213" spans="1:8" ht="15">
      <c r="A213" s="2416" t="s">
        <v>1109</v>
      </c>
      <c r="B213" s="2415"/>
      <c r="C213" s="2415"/>
      <c r="D213" s="2415"/>
      <c r="E213" s="2415"/>
      <c r="F213" s="2415"/>
      <c r="G213" s="2415"/>
      <c r="H213" s="2415"/>
    </row>
    <row r="214" spans="1:8" ht="15">
      <c r="A214" s="2416" t="s">
        <v>1110</v>
      </c>
      <c r="B214" s="2415"/>
      <c r="C214" s="2415"/>
      <c r="D214" s="2415"/>
      <c r="E214" s="2415"/>
      <c r="F214" s="2415"/>
      <c r="G214" s="2415"/>
      <c r="H214" s="2415"/>
    </row>
    <row r="215" spans="1:8" ht="15">
      <c r="A215" s="2416" t="s">
        <v>1111</v>
      </c>
      <c r="B215" s="2415"/>
      <c r="C215" s="2415"/>
      <c r="D215" s="2415"/>
      <c r="E215" s="2415"/>
      <c r="F215" s="2415"/>
      <c r="G215" s="2415"/>
      <c r="H215" s="2415"/>
    </row>
    <row r="216" spans="1:8">
      <c r="A216" s="2415"/>
      <c r="B216" s="2415"/>
      <c r="C216" s="2415"/>
      <c r="D216" s="2415"/>
      <c r="E216" s="2415"/>
      <c r="F216" s="2415"/>
      <c r="G216" s="2415"/>
      <c r="H216" s="2415"/>
    </row>
    <row r="217" spans="1:8" ht="15">
      <c r="A217" s="2416" t="s">
        <v>1102</v>
      </c>
      <c r="B217" s="2415"/>
      <c r="C217" s="2415"/>
      <c r="D217" s="2415"/>
      <c r="E217" s="2415"/>
      <c r="F217" s="2415"/>
      <c r="G217" s="2415"/>
      <c r="H217" s="2415"/>
    </row>
    <row r="218" spans="1:8" ht="15">
      <c r="A218" s="2416" t="s">
        <v>1103</v>
      </c>
      <c r="B218" s="2415"/>
      <c r="C218" s="2415"/>
      <c r="D218" s="2415"/>
      <c r="E218" s="2415"/>
      <c r="F218" s="2415"/>
      <c r="G218" s="2415"/>
      <c r="H218" s="2415"/>
    </row>
    <row r="219" spans="1:8" ht="15">
      <c r="A219" s="2416" t="s">
        <v>1104</v>
      </c>
      <c r="B219" s="2415"/>
      <c r="C219" s="2415"/>
      <c r="D219" s="2415"/>
      <c r="E219" s="2415"/>
      <c r="F219" s="2415"/>
      <c r="G219" s="2415"/>
      <c r="H219" s="2415"/>
    </row>
    <row r="220" spans="1:8">
      <c r="A220" s="2415"/>
      <c r="B220" s="2415"/>
      <c r="C220" s="2415"/>
      <c r="D220" s="2415"/>
      <c r="E220" s="2415"/>
      <c r="F220" s="2415"/>
      <c r="G220" s="2415"/>
      <c r="H220" s="2415"/>
    </row>
    <row r="221" spans="1:8" ht="15">
      <c r="A221" s="2416" t="s">
        <v>1097</v>
      </c>
      <c r="B221" s="2415"/>
      <c r="C221" s="2415"/>
      <c r="D221" s="2415"/>
      <c r="E221" s="2415"/>
      <c r="F221" s="2415"/>
      <c r="G221" s="2415"/>
      <c r="H221" s="2415"/>
    </row>
    <row r="222" spans="1:8" ht="15">
      <c r="A222" s="2416" t="s">
        <v>1098</v>
      </c>
      <c r="B222" s="2415"/>
      <c r="C222" s="2415"/>
      <c r="D222" s="2415"/>
      <c r="E222" s="2415"/>
      <c r="F222" s="2415"/>
      <c r="G222" s="2415"/>
      <c r="H222" s="2415"/>
    </row>
    <row r="223" spans="1:8" ht="15">
      <c r="A223" s="2416" t="s">
        <v>1099</v>
      </c>
      <c r="B223" s="2415"/>
      <c r="C223" s="2415"/>
      <c r="D223" s="2415"/>
      <c r="E223" s="2415"/>
      <c r="F223" s="2415"/>
      <c r="G223" s="2415"/>
      <c r="H223" s="2415"/>
    </row>
    <row r="224" spans="1:8" ht="15">
      <c r="A224" s="2416" t="s">
        <v>1100</v>
      </c>
      <c r="B224" s="2415"/>
      <c r="C224" s="2415"/>
      <c r="D224" s="2415"/>
      <c r="E224" s="2415"/>
      <c r="F224" s="2415"/>
      <c r="G224" s="2415"/>
      <c r="H224" s="2415"/>
    </row>
    <row r="225" spans="1:8" ht="15">
      <c r="A225" s="2416" t="s">
        <v>1101</v>
      </c>
      <c r="B225" s="2415"/>
      <c r="C225" s="2415"/>
      <c r="D225" s="2415"/>
      <c r="E225" s="2415"/>
      <c r="F225" s="2415"/>
      <c r="G225" s="2415"/>
      <c r="H225" s="2415"/>
    </row>
    <row r="226" spans="1:8">
      <c r="A226" s="2415"/>
      <c r="B226" s="2415"/>
      <c r="C226" s="2415"/>
      <c r="D226" s="2415"/>
      <c r="E226" s="2415"/>
      <c r="F226" s="2415"/>
      <c r="G226" s="2415"/>
      <c r="H226" s="2415"/>
    </row>
    <row r="227" spans="1:8" ht="15">
      <c r="A227" s="2416" t="s">
        <v>1091</v>
      </c>
      <c r="B227" s="2415"/>
      <c r="C227" s="2415"/>
      <c r="D227" s="2415"/>
      <c r="E227" s="2415"/>
      <c r="F227" s="2415"/>
      <c r="G227" s="2415"/>
      <c r="H227" s="2415"/>
    </row>
    <row r="228" spans="1:8" ht="15">
      <c r="A228" s="2416" t="s">
        <v>1092</v>
      </c>
      <c r="B228" s="2415"/>
      <c r="C228" s="2415"/>
      <c r="D228" s="2415"/>
      <c r="E228" s="2415"/>
      <c r="F228" s="2415"/>
      <c r="G228" s="2415"/>
      <c r="H228" s="2415"/>
    </row>
    <row r="229" spans="1:8" ht="15">
      <c r="A229" s="2416" t="s">
        <v>1093</v>
      </c>
      <c r="B229" s="2415"/>
      <c r="C229" s="2415"/>
      <c r="D229" s="2415"/>
      <c r="E229" s="2415"/>
      <c r="F229" s="2415"/>
      <c r="G229" s="2415"/>
      <c r="H229" s="2415"/>
    </row>
    <row r="230" spans="1:8" ht="15">
      <c r="A230" s="2416" t="s">
        <v>1094</v>
      </c>
      <c r="B230" s="2415"/>
      <c r="C230" s="2415"/>
      <c r="D230" s="2415"/>
      <c r="E230" s="2415"/>
      <c r="F230" s="2415"/>
      <c r="G230" s="2415"/>
      <c r="H230" s="2415"/>
    </row>
    <row r="231" spans="1:8" ht="15">
      <c r="A231" s="2416" t="s">
        <v>1095</v>
      </c>
      <c r="B231" s="2415"/>
      <c r="C231" s="2415"/>
      <c r="D231" s="2415"/>
      <c r="E231" s="2415"/>
      <c r="F231" s="2415"/>
      <c r="G231" s="2415"/>
      <c r="H231" s="2415"/>
    </row>
    <row r="232" spans="1:8" ht="15">
      <c r="A232" s="2416" t="s">
        <v>1096</v>
      </c>
      <c r="B232" s="2415"/>
      <c r="C232" s="2415"/>
      <c r="D232" s="2415"/>
      <c r="E232" s="2415"/>
      <c r="F232" s="2415"/>
      <c r="G232" s="2415"/>
      <c r="H232" s="2415"/>
    </row>
    <row r="233" spans="1:8">
      <c r="A233" s="2415"/>
      <c r="B233" s="2415"/>
      <c r="C233" s="2415"/>
      <c r="D233" s="2415"/>
      <c r="E233" s="2415"/>
      <c r="F233" s="2415"/>
      <c r="G233" s="2415"/>
      <c r="H233" s="2415"/>
    </row>
    <row r="234" spans="1:8" ht="15">
      <c r="A234" s="2416" t="s">
        <v>1081</v>
      </c>
      <c r="B234" s="2415"/>
      <c r="C234" s="2415"/>
      <c r="D234" s="2415"/>
      <c r="E234" s="2415"/>
      <c r="F234" s="2415"/>
      <c r="G234" s="2415"/>
      <c r="H234" s="2415"/>
    </row>
    <row r="235" spans="1:8" ht="15">
      <c r="A235" s="2416" t="s">
        <v>1082</v>
      </c>
      <c r="B235" s="2415"/>
      <c r="C235" s="2415"/>
      <c r="D235" s="2415"/>
      <c r="E235" s="2415"/>
      <c r="F235" s="2415"/>
      <c r="G235" s="2415"/>
      <c r="H235" s="2415"/>
    </row>
    <row r="236" spans="1:8" ht="15">
      <c r="A236" s="2416" t="s">
        <v>1083</v>
      </c>
      <c r="B236" s="2415"/>
      <c r="C236" s="2415"/>
      <c r="D236" s="2415"/>
      <c r="E236" s="2415"/>
      <c r="F236" s="2415"/>
      <c r="G236" s="2415"/>
      <c r="H236" s="2415"/>
    </row>
    <row r="237" spans="1:8" ht="15">
      <c r="A237" s="2416" t="s">
        <v>1084</v>
      </c>
      <c r="B237" s="2415"/>
      <c r="C237" s="2415"/>
      <c r="D237" s="2415"/>
      <c r="E237" s="2415"/>
      <c r="F237" s="2415"/>
      <c r="G237" s="2415"/>
      <c r="H237" s="2415"/>
    </row>
    <row r="238" spans="1:8" ht="15">
      <c r="A238" s="2416" t="s">
        <v>1085</v>
      </c>
      <c r="B238" s="2415"/>
      <c r="C238" s="2415"/>
      <c r="D238" s="2415"/>
      <c r="E238" s="2415"/>
      <c r="F238" s="2415"/>
      <c r="G238" s="2415"/>
      <c r="H238" s="2415"/>
    </row>
    <row r="239" spans="1:8" ht="15">
      <c r="A239" s="2416" t="s">
        <v>1086</v>
      </c>
      <c r="B239" s="2415"/>
      <c r="C239" s="2415"/>
      <c r="D239" s="2415"/>
      <c r="E239" s="2415"/>
      <c r="F239" s="2415"/>
      <c r="G239" s="2415"/>
      <c r="H239" s="2415"/>
    </row>
    <row r="240" spans="1:8" ht="15">
      <c r="A240" s="2416" t="s">
        <v>1087</v>
      </c>
      <c r="B240" s="2415"/>
      <c r="C240" s="2415"/>
      <c r="D240" s="2415"/>
      <c r="E240" s="2415"/>
      <c r="F240" s="2415"/>
      <c r="G240" s="2415"/>
      <c r="H240" s="2415"/>
    </row>
    <row r="241" spans="1:8" ht="15">
      <c r="A241" s="2416" t="s">
        <v>1088</v>
      </c>
      <c r="B241" s="2415"/>
      <c r="C241" s="2415"/>
      <c r="D241" s="2415"/>
      <c r="E241" s="2415"/>
      <c r="F241" s="2415"/>
      <c r="G241" s="2415"/>
      <c r="H241" s="2415"/>
    </row>
    <row r="242" spans="1:8" ht="15">
      <c r="A242" s="2416" t="s">
        <v>1089</v>
      </c>
      <c r="B242" s="2415"/>
      <c r="C242" s="2415"/>
      <c r="D242" s="2415"/>
      <c r="E242" s="2415"/>
      <c r="F242" s="2415"/>
      <c r="G242" s="2415"/>
      <c r="H242" s="2415"/>
    </row>
    <row r="243" spans="1:8" ht="15">
      <c r="A243" s="2416" t="s">
        <v>1090</v>
      </c>
      <c r="B243" s="2415"/>
      <c r="C243" s="2415"/>
      <c r="D243" s="2415"/>
      <c r="E243" s="2415"/>
      <c r="F243" s="2415"/>
      <c r="G243" s="2415"/>
      <c r="H243" s="2415"/>
    </row>
    <row r="244" spans="1:8">
      <c r="A244" s="2415"/>
      <c r="B244" s="2415"/>
      <c r="C244" s="2415"/>
      <c r="D244" s="2415"/>
      <c r="E244" s="2415"/>
      <c r="F244" s="2415"/>
      <c r="G244" s="2415"/>
      <c r="H244" s="2415"/>
    </row>
    <row r="245" spans="1:8" ht="15">
      <c r="A245" s="2416" t="s">
        <v>1079</v>
      </c>
      <c r="B245" s="2415"/>
      <c r="C245" s="2415"/>
      <c r="D245" s="2415"/>
      <c r="E245" s="2415"/>
      <c r="F245" s="2415"/>
      <c r="G245" s="2415"/>
      <c r="H245" s="2415"/>
    </row>
    <row r="246" spans="1:8" ht="15">
      <c r="A246" s="2416" t="s">
        <v>1080</v>
      </c>
      <c r="B246" s="2415"/>
      <c r="C246" s="2415"/>
      <c r="D246" s="2415"/>
      <c r="E246" s="2415"/>
      <c r="F246" s="2415"/>
      <c r="G246" s="2415"/>
      <c r="H246" s="2415"/>
    </row>
    <row r="247" spans="1:8">
      <c r="A247" s="2415"/>
      <c r="B247" s="2415"/>
      <c r="C247" s="2415"/>
      <c r="D247" s="2415"/>
      <c r="E247" s="2415"/>
      <c r="F247" s="2415"/>
      <c r="G247" s="2415"/>
      <c r="H247" s="2415"/>
    </row>
    <row r="248" spans="1:8" ht="15">
      <c r="A248" s="2416" t="s">
        <v>1063</v>
      </c>
      <c r="B248" s="2415"/>
      <c r="C248" s="2415"/>
      <c r="D248" s="2415"/>
      <c r="E248" s="2415"/>
      <c r="F248" s="2415"/>
      <c r="G248" s="2415"/>
      <c r="H248" s="2415"/>
    </row>
    <row r="249" spans="1:8" ht="15">
      <c r="A249" s="2416" t="s">
        <v>1064</v>
      </c>
      <c r="B249" s="2415"/>
      <c r="C249" s="2415"/>
      <c r="D249" s="2415"/>
      <c r="E249" s="2415"/>
      <c r="F249" s="2415"/>
      <c r="G249" s="2415"/>
      <c r="H249" s="2415"/>
    </row>
    <row r="250" spans="1:8" ht="15">
      <c r="A250" s="2416" t="s">
        <v>1065</v>
      </c>
      <c r="B250" s="2415"/>
      <c r="C250" s="2415"/>
      <c r="D250" s="2415"/>
      <c r="E250" s="2415"/>
      <c r="F250" s="2415"/>
      <c r="G250" s="2415"/>
      <c r="H250" s="2415"/>
    </row>
    <row r="251" spans="1:8" ht="15">
      <c r="A251" s="2416" t="s">
        <v>1066</v>
      </c>
      <c r="B251" s="2415"/>
      <c r="C251" s="2415"/>
      <c r="D251" s="2415"/>
      <c r="E251" s="2415"/>
      <c r="F251" s="2415"/>
      <c r="G251" s="2415"/>
      <c r="H251" s="2415"/>
    </row>
    <row r="252" spans="1:8" ht="15">
      <c r="A252" s="2416" t="s">
        <v>1067</v>
      </c>
      <c r="B252" s="2415"/>
      <c r="C252" s="2415"/>
      <c r="D252" s="2415"/>
      <c r="E252" s="2415"/>
      <c r="F252" s="2415"/>
      <c r="G252" s="2415"/>
      <c r="H252" s="2415"/>
    </row>
    <row r="253" spans="1:8" ht="15">
      <c r="A253" s="2416" t="s">
        <v>1068</v>
      </c>
      <c r="B253" s="2415"/>
      <c r="C253" s="2415"/>
      <c r="D253" s="2415"/>
      <c r="E253" s="2415"/>
      <c r="F253" s="2415"/>
      <c r="G253" s="2415"/>
      <c r="H253" s="2415"/>
    </row>
    <row r="254" spans="1:8" ht="15">
      <c r="A254" s="2416" t="s">
        <v>1069</v>
      </c>
      <c r="B254" s="2415"/>
      <c r="C254" s="2415"/>
      <c r="D254" s="2415"/>
      <c r="E254" s="2415"/>
      <c r="F254" s="2415"/>
      <c r="G254" s="2415"/>
      <c r="H254" s="2415"/>
    </row>
    <row r="255" spans="1:8" ht="15">
      <c r="A255" s="2416" t="s">
        <v>1070</v>
      </c>
      <c r="B255" s="2415"/>
      <c r="C255" s="2415"/>
      <c r="D255" s="2415"/>
      <c r="E255" s="2415"/>
      <c r="F255" s="2415"/>
      <c r="G255" s="2415"/>
      <c r="H255" s="2415"/>
    </row>
    <row r="256" spans="1:8" ht="15">
      <c r="A256" s="2416" t="s">
        <v>1071</v>
      </c>
      <c r="B256" s="2415"/>
      <c r="C256" s="2415"/>
      <c r="D256" s="2415"/>
      <c r="E256" s="2415"/>
      <c r="F256" s="2415"/>
      <c r="G256" s="2415"/>
      <c r="H256" s="2415"/>
    </row>
    <row r="257" spans="1:8" ht="15">
      <c r="A257" s="2416" t="s">
        <v>1072</v>
      </c>
      <c r="B257" s="2415"/>
      <c r="C257" s="2415"/>
      <c r="D257" s="2415"/>
      <c r="E257" s="2415"/>
      <c r="F257" s="2415"/>
      <c r="G257" s="2415"/>
      <c r="H257" s="2415"/>
    </row>
    <row r="258" spans="1:8" ht="15">
      <c r="A258" s="2416" t="s">
        <v>1073</v>
      </c>
      <c r="B258" s="2415"/>
      <c r="C258" s="2415"/>
      <c r="D258" s="2415"/>
      <c r="E258" s="2415"/>
      <c r="F258" s="2415"/>
      <c r="G258" s="2415"/>
      <c r="H258" s="2415"/>
    </row>
    <row r="259" spans="1:8" ht="15">
      <c r="A259" s="2416" t="s">
        <v>1074</v>
      </c>
      <c r="B259" s="2415"/>
      <c r="C259" s="2415"/>
      <c r="D259" s="2415"/>
      <c r="E259" s="2415"/>
      <c r="F259" s="2415"/>
      <c r="G259" s="2415"/>
      <c r="H259" s="2415"/>
    </row>
    <row r="260" spans="1:8" ht="15">
      <c r="A260" s="2416" t="s">
        <v>1075</v>
      </c>
      <c r="B260" s="2415"/>
      <c r="C260" s="2415"/>
      <c r="D260" s="2415"/>
      <c r="E260" s="2415"/>
      <c r="F260" s="2415"/>
      <c r="G260" s="2415"/>
      <c r="H260" s="2415"/>
    </row>
    <row r="261" spans="1:8" ht="15">
      <c r="A261" s="2416" t="s">
        <v>1076</v>
      </c>
      <c r="B261" s="2415"/>
      <c r="C261" s="2415"/>
      <c r="D261" s="2415"/>
      <c r="E261" s="2415"/>
      <c r="F261" s="2415"/>
      <c r="G261" s="2415"/>
      <c r="H261" s="2415"/>
    </row>
    <row r="262" spans="1:8" ht="15">
      <c r="A262" s="2416" t="s">
        <v>1077</v>
      </c>
      <c r="B262" s="2415"/>
      <c r="C262" s="2415"/>
      <c r="D262" s="2415"/>
      <c r="E262" s="2415"/>
      <c r="F262" s="2415"/>
      <c r="G262" s="2415"/>
      <c r="H262" s="2415"/>
    </row>
    <row r="263" spans="1:8" ht="15">
      <c r="A263" s="2416" t="s">
        <v>1078</v>
      </c>
      <c r="B263" s="2415"/>
      <c r="C263" s="2415"/>
      <c r="D263" s="2415"/>
      <c r="E263" s="2415"/>
      <c r="F263" s="2415"/>
      <c r="G263" s="2415"/>
      <c r="H263" s="2415"/>
    </row>
    <row r="264" spans="1:8">
      <c r="A264" s="2415"/>
      <c r="B264" s="2415"/>
      <c r="C264" s="2415"/>
      <c r="D264" s="2415"/>
      <c r="E264" s="2415"/>
      <c r="F264" s="2415"/>
      <c r="G264" s="2415"/>
      <c r="H264" s="2415"/>
    </row>
    <row r="265" spans="1:8" ht="15">
      <c r="A265" s="2416" t="s">
        <v>1056</v>
      </c>
      <c r="B265" s="2415"/>
      <c r="C265" s="2415"/>
      <c r="D265" s="2415"/>
      <c r="E265" s="2415"/>
      <c r="F265" s="2415"/>
      <c r="G265" s="2415"/>
      <c r="H265" s="2415"/>
    </row>
    <row r="266" spans="1:8" ht="15">
      <c r="A266" s="2416" t="s">
        <v>1057</v>
      </c>
      <c r="B266" s="2415"/>
      <c r="C266" s="2415"/>
      <c r="D266" s="2415"/>
      <c r="E266" s="2415"/>
      <c r="F266" s="2415"/>
      <c r="G266" s="2415"/>
      <c r="H266" s="2415"/>
    </row>
    <row r="267" spans="1:8" ht="15">
      <c r="A267" s="2416" t="s">
        <v>1058</v>
      </c>
      <c r="B267" s="2415"/>
      <c r="C267" s="2415"/>
      <c r="D267" s="2415"/>
      <c r="E267" s="2415"/>
      <c r="F267" s="2415"/>
      <c r="G267" s="2415"/>
      <c r="H267" s="2415"/>
    </row>
    <row r="268" spans="1:8" ht="15">
      <c r="A268" s="2416" t="s">
        <v>1059</v>
      </c>
      <c r="B268" s="2415"/>
      <c r="C268" s="2415"/>
      <c r="D268" s="2415"/>
      <c r="E268" s="2415"/>
      <c r="F268" s="2415"/>
      <c r="G268" s="2415"/>
      <c r="H268" s="2415"/>
    </row>
    <row r="269" spans="1:8" ht="15">
      <c r="A269" s="2416" t="s">
        <v>1060</v>
      </c>
      <c r="B269" s="2415"/>
      <c r="C269" s="2415"/>
      <c r="D269" s="2415"/>
      <c r="E269" s="2415"/>
      <c r="F269" s="2415"/>
      <c r="G269" s="2415"/>
      <c r="H269" s="2415"/>
    </row>
    <row r="270" spans="1:8" ht="15">
      <c r="A270" s="2416" t="s">
        <v>1061</v>
      </c>
      <c r="B270" s="2415"/>
      <c r="C270" s="2415"/>
      <c r="D270" s="2415"/>
      <c r="E270" s="2415"/>
      <c r="F270" s="2415"/>
      <c r="G270" s="2415"/>
      <c r="H270" s="2415"/>
    </row>
    <row r="271" spans="1:8" ht="15">
      <c r="A271" s="2416" t="s">
        <v>1062</v>
      </c>
      <c r="B271" s="2415"/>
      <c r="C271" s="2415"/>
      <c r="D271" s="2415"/>
      <c r="E271" s="2415"/>
      <c r="F271" s="2415"/>
      <c r="G271" s="2415"/>
      <c r="H271" s="2415"/>
    </row>
    <row r="272" spans="1:8">
      <c r="A272" s="2415"/>
      <c r="B272" s="2415"/>
      <c r="C272" s="2415"/>
      <c r="D272" s="2415"/>
      <c r="E272" s="2415"/>
      <c r="F272" s="2415"/>
      <c r="G272" s="2415"/>
      <c r="H272" s="2415"/>
    </row>
    <row r="273" spans="1:8" ht="15">
      <c r="A273" s="2416" t="s">
        <v>1047</v>
      </c>
      <c r="B273" s="2415"/>
      <c r="C273" s="2415"/>
      <c r="D273" s="2415"/>
      <c r="E273" s="2415"/>
      <c r="F273" s="2415"/>
      <c r="G273" s="2415"/>
      <c r="H273" s="2415"/>
    </row>
    <row r="274" spans="1:8" ht="15">
      <c r="A274" s="2416" t="s">
        <v>1048</v>
      </c>
      <c r="B274" s="2415"/>
      <c r="C274" s="2415"/>
      <c r="D274" s="2415"/>
      <c r="E274" s="2415"/>
      <c r="F274" s="2415"/>
      <c r="G274" s="2415"/>
      <c r="H274" s="2415"/>
    </row>
    <row r="275" spans="1:8" ht="15">
      <c r="A275" s="2416" t="s">
        <v>1049</v>
      </c>
      <c r="B275" s="2415"/>
      <c r="C275" s="2415"/>
      <c r="D275" s="2415"/>
      <c r="E275" s="2415"/>
      <c r="F275" s="2415"/>
      <c r="G275" s="2415"/>
      <c r="H275" s="2415"/>
    </row>
    <row r="276" spans="1:8" ht="15">
      <c r="A276" s="2416" t="s">
        <v>1050</v>
      </c>
      <c r="B276" s="2415"/>
      <c r="C276" s="2415"/>
      <c r="D276" s="2415"/>
      <c r="E276" s="2415"/>
      <c r="F276" s="2415"/>
      <c r="G276" s="2415"/>
      <c r="H276" s="2415"/>
    </row>
    <row r="277" spans="1:8" ht="15">
      <c r="A277" s="2416" t="s">
        <v>1051</v>
      </c>
      <c r="B277" s="2415"/>
      <c r="C277" s="2415"/>
      <c r="D277" s="2415"/>
      <c r="E277" s="2415"/>
      <c r="F277" s="2415"/>
      <c r="G277" s="2415"/>
      <c r="H277" s="2415"/>
    </row>
    <row r="278" spans="1:8" ht="15">
      <c r="A278" s="2416" t="s">
        <v>1052</v>
      </c>
      <c r="B278" s="2415"/>
      <c r="C278" s="2415"/>
      <c r="D278" s="2415"/>
      <c r="E278" s="2415"/>
      <c r="F278" s="2415"/>
      <c r="G278" s="2415"/>
      <c r="H278" s="2415"/>
    </row>
    <row r="279" spans="1:8" ht="15">
      <c r="A279" s="2416" t="s">
        <v>1053</v>
      </c>
      <c r="B279" s="2415"/>
      <c r="C279" s="2415"/>
      <c r="D279" s="2415"/>
      <c r="E279" s="2415"/>
      <c r="F279" s="2415"/>
      <c r="G279" s="2415"/>
      <c r="H279" s="2415"/>
    </row>
    <row r="280" spans="1:8" ht="15">
      <c r="A280" s="2416" t="s">
        <v>1054</v>
      </c>
      <c r="B280" s="2415"/>
      <c r="C280" s="2415"/>
      <c r="D280" s="2415"/>
      <c r="E280" s="2415"/>
      <c r="F280" s="2415"/>
      <c r="G280" s="2415"/>
      <c r="H280" s="2415"/>
    </row>
    <row r="281" spans="1:8" ht="15">
      <c r="A281" s="2416" t="s">
        <v>1055</v>
      </c>
      <c r="B281" s="2415"/>
      <c r="C281" s="2415"/>
      <c r="D281" s="2415"/>
      <c r="E281" s="2415"/>
      <c r="F281" s="2415"/>
      <c r="G281" s="2415"/>
      <c r="H281" s="2415"/>
    </row>
    <row r="282" spans="1:8">
      <c r="A282" s="2415"/>
      <c r="B282" s="2415"/>
      <c r="C282" s="2415"/>
      <c r="D282" s="2415"/>
      <c r="E282" s="2415"/>
      <c r="F282" s="2415"/>
      <c r="G282" s="2415"/>
      <c r="H282" s="2415"/>
    </row>
    <row r="283" spans="1:8" ht="15">
      <c r="A283" s="2416" t="s">
        <v>1040</v>
      </c>
      <c r="B283" s="2415"/>
      <c r="C283" s="2415"/>
      <c r="D283" s="2415"/>
      <c r="E283" s="2415"/>
      <c r="F283" s="2415"/>
      <c r="G283" s="2415"/>
      <c r="H283" s="2415"/>
    </row>
    <row r="284" spans="1:8" ht="15">
      <c r="A284" s="2416" t="s">
        <v>1041</v>
      </c>
      <c r="B284" s="2415"/>
      <c r="C284" s="2415"/>
      <c r="D284" s="2415"/>
      <c r="E284" s="2415"/>
      <c r="F284" s="2415"/>
      <c r="G284" s="2415"/>
      <c r="H284" s="2415"/>
    </row>
    <row r="285" spans="1:8" ht="15">
      <c r="A285" s="2416" t="s">
        <v>1042</v>
      </c>
      <c r="B285" s="2415"/>
      <c r="C285" s="2415"/>
      <c r="D285" s="2415"/>
      <c r="E285" s="2415"/>
      <c r="F285" s="2415"/>
      <c r="G285" s="2415"/>
      <c r="H285" s="2415"/>
    </row>
    <row r="286" spans="1:8" ht="15">
      <c r="A286" s="2416" t="s">
        <v>1043</v>
      </c>
      <c r="B286" s="2415"/>
      <c r="C286" s="2415"/>
      <c r="D286" s="2415"/>
      <c r="E286" s="2415"/>
      <c r="F286" s="2415"/>
      <c r="G286" s="2415"/>
      <c r="H286" s="2415"/>
    </row>
    <row r="287" spans="1:8" ht="15">
      <c r="A287" s="2416" t="s">
        <v>1044</v>
      </c>
      <c r="B287" s="2415"/>
      <c r="C287" s="2415"/>
      <c r="D287" s="2415"/>
      <c r="E287" s="2415"/>
      <c r="F287" s="2415"/>
      <c r="G287" s="2415"/>
      <c r="H287" s="2415"/>
    </row>
    <row r="288" spans="1:8" ht="15">
      <c r="A288" s="2416" t="s">
        <v>1045</v>
      </c>
      <c r="B288" s="2415"/>
      <c r="C288" s="2415"/>
      <c r="D288" s="2415"/>
      <c r="E288" s="2415"/>
      <c r="F288" s="2415"/>
      <c r="G288" s="2415"/>
      <c r="H288" s="2415"/>
    </row>
    <row r="289" spans="1:8" ht="15">
      <c r="A289" s="2416" t="s">
        <v>1046</v>
      </c>
      <c r="B289" s="2415"/>
      <c r="C289" s="2415"/>
      <c r="D289" s="2415"/>
      <c r="E289" s="2415"/>
      <c r="F289" s="2415"/>
      <c r="G289" s="2415"/>
      <c r="H289" s="2415"/>
    </row>
    <row r="290" spans="1:8">
      <c r="A290" s="2415"/>
      <c r="B290" s="2415"/>
      <c r="C290" s="2415"/>
      <c r="D290" s="2415"/>
      <c r="E290" s="2415"/>
      <c r="F290" s="2415"/>
      <c r="G290" s="2415"/>
      <c r="H290" s="2415"/>
    </row>
    <row r="291" spans="1:8" ht="15">
      <c r="A291" s="2416" t="s">
        <v>1037</v>
      </c>
      <c r="B291" s="2415"/>
      <c r="C291" s="2415"/>
      <c r="D291" s="2415"/>
      <c r="E291" s="2415"/>
      <c r="F291" s="2415"/>
      <c r="G291" s="2415"/>
      <c r="H291" s="2415"/>
    </row>
    <row r="292" spans="1:8" ht="15">
      <c r="A292" s="2416" t="s">
        <v>1038</v>
      </c>
      <c r="B292" s="2415"/>
      <c r="C292" s="2415"/>
      <c r="D292" s="2415"/>
      <c r="E292" s="2415"/>
      <c r="F292" s="2415"/>
      <c r="G292" s="2415"/>
      <c r="H292" s="2415"/>
    </row>
    <row r="293" spans="1:8" ht="15">
      <c r="A293" s="2416" t="s">
        <v>1039</v>
      </c>
      <c r="B293" s="2415"/>
      <c r="C293" s="2415"/>
      <c r="D293" s="2415"/>
      <c r="E293" s="2415"/>
      <c r="F293" s="2415"/>
      <c r="G293" s="2415"/>
      <c r="H293" s="2415"/>
    </row>
    <row r="294" spans="1:8">
      <c r="A294" s="2415"/>
      <c r="B294" s="2415"/>
      <c r="C294" s="2415"/>
      <c r="D294" s="2415"/>
      <c r="E294" s="2415"/>
      <c r="F294" s="2415"/>
      <c r="G294" s="2415"/>
      <c r="H294" s="2415"/>
    </row>
    <row r="295" spans="1:8" ht="15">
      <c r="A295" s="2416" t="s">
        <v>1035</v>
      </c>
      <c r="B295" s="2415"/>
      <c r="C295" s="2415"/>
      <c r="D295" s="2415"/>
      <c r="E295" s="2415"/>
      <c r="F295" s="2415"/>
      <c r="G295" s="2415"/>
      <c r="H295" s="2415"/>
    </row>
    <row r="296" spans="1:8" ht="15">
      <c r="A296" s="2416" t="s">
        <v>1036</v>
      </c>
      <c r="B296" s="2415"/>
      <c r="C296" s="2415"/>
      <c r="D296" s="2415"/>
      <c r="E296" s="2415"/>
      <c r="F296" s="2415"/>
      <c r="G296" s="2415"/>
      <c r="H296" s="2415"/>
    </row>
    <row r="297" spans="1:8">
      <c r="A297" s="2415"/>
      <c r="B297" s="2415"/>
      <c r="C297" s="2415"/>
      <c r="D297" s="2415"/>
      <c r="E297" s="2415"/>
      <c r="F297" s="2415"/>
      <c r="G297" s="2415"/>
      <c r="H297" s="2415"/>
    </row>
    <row r="298" spans="1:8" ht="15">
      <c r="A298" s="2416" t="s">
        <v>1022</v>
      </c>
      <c r="B298" s="2415"/>
      <c r="C298" s="2415"/>
      <c r="D298" s="2415"/>
      <c r="E298" s="2415"/>
      <c r="F298" s="2415"/>
      <c r="G298" s="2415"/>
      <c r="H298" s="2415"/>
    </row>
    <row r="299" spans="1:8" ht="15">
      <c r="A299" s="2416" t="s">
        <v>1023</v>
      </c>
      <c r="B299" s="2415"/>
      <c r="C299" s="2415"/>
      <c r="D299" s="2415"/>
      <c r="E299" s="2415"/>
      <c r="F299" s="2415"/>
      <c r="G299" s="2415"/>
      <c r="H299" s="2415"/>
    </row>
    <row r="300" spans="1:8" ht="15">
      <c r="A300" s="2416" t="s">
        <v>1024</v>
      </c>
      <c r="B300" s="2415"/>
      <c r="C300" s="2415"/>
      <c r="D300" s="2415"/>
      <c r="E300" s="2415"/>
      <c r="F300" s="2415"/>
      <c r="G300" s="2415"/>
      <c r="H300" s="2415"/>
    </row>
    <row r="301" spans="1:8" ht="15">
      <c r="A301" s="2416" t="s">
        <v>1025</v>
      </c>
      <c r="B301" s="2415"/>
      <c r="C301" s="2415"/>
      <c r="D301" s="2415"/>
      <c r="E301" s="2415"/>
      <c r="F301" s="2415"/>
      <c r="G301" s="2415"/>
      <c r="H301" s="2415"/>
    </row>
    <row r="302" spans="1:8" ht="15">
      <c r="A302" s="2416" t="s">
        <v>1026</v>
      </c>
      <c r="B302" s="2415"/>
      <c r="C302" s="2415"/>
      <c r="D302" s="2415"/>
      <c r="E302" s="2415"/>
      <c r="F302" s="2415"/>
      <c r="G302" s="2415"/>
      <c r="H302" s="2415"/>
    </row>
    <row r="303" spans="1:8" ht="15">
      <c r="A303" s="2416" t="s">
        <v>1027</v>
      </c>
      <c r="B303" s="2415"/>
      <c r="C303" s="2415"/>
      <c r="D303" s="2415"/>
      <c r="E303" s="2415"/>
      <c r="F303" s="2415"/>
      <c r="G303" s="2415"/>
      <c r="H303" s="2415"/>
    </row>
    <row r="304" spans="1:8" ht="15">
      <c r="A304" s="2416" t="s">
        <v>1028</v>
      </c>
      <c r="B304" s="2415"/>
      <c r="C304" s="2415"/>
      <c r="D304" s="2415"/>
      <c r="E304" s="2415"/>
      <c r="F304" s="2415"/>
      <c r="G304" s="2415"/>
      <c r="H304" s="2415"/>
    </row>
    <row r="305" spans="1:8" ht="15">
      <c r="A305" s="2416" t="s">
        <v>1029</v>
      </c>
      <c r="B305" s="2415"/>
      <c r="C305" s="2415"/>
      <c r="D305" s="2415"/>
      <c r="E305" s="2415"/>
      <c r="F305" s="2415"/>
      <c r="G305" s="2415"/>
      <c r="H305" s="2415"/>
    </row>
    <row r="306" spans="1:8" ht="15">
      <c r="A306" s="2416" t="s">
        <v>1030</v>
      </c>
      <c r="B306" s="2415"/>
      <c r="C306" s="2415"/>
      <c r="D306" s="2415"/>
      <c r="E306" s="2415"/>
      <c r="F306" s="2415"/>
      <c r="G306" s="2415"/>
      <c r="H306" s="2415"/>
    </row>
    <row r="307" spans="1:8" ht="15">
      <c r="A307" s="2416" t="s">
        <v>1031</v>
      </c>
      <c r="B307" s="2415"/>
      <c r="C307" s="2415"/>
      <c r="D307" s="2415"/>
      <c r="E307" s="2415"/>
      <c r="F307" s="2415"/>
      <c r="G307" s="2415"/>
      <c r="H307" s="2415"/>
    </row>
    <row r="308" spans="1:8" ht="15">
      <c r="A308" s="2416" t="s">
        <v>1032</v>
      </c>
      <c r="B308" s="2415"/>
      <c r="C308" s="2415"/>
      <c r="D308" s="2415"/>
      <c r="E308" s="2415"/>
      <c r="F308" s="2415"/>
      <c r="G308" s="2415"/>
      <c r="H308" s="2415"/>
    </row>
    <row r="309" spans="1:8" ht="15">
      <c r="A309" s="2416" t="s">
        <v>1033</v>
      </c>
      <c r="B309" s="2415"/>
      <c r="C309" s="2415"/>
      <c r="D309" s="2415"/>
      <c r="E309" s="2415"/>
      <c r="F309" s="2415"/>
      <c r="G309" s="2415"/>
      <c r="H309" s="2415"/>
    </row>
    <row r="310" spans="1:8" ht="15">
      <c r="A310" s="2416" t="s">
        <v>1034</v>
      </c>
      <c r="B310" s="2415"/>
      <c r="C310" s="2415"/>
      <c r="D310" s="2415"/>
      <c r="E310" s="2415"/>
      <c r="F310" s="2415"/>
      <c r="G310" s="2415"/>
      <c r="H310" s="2415"/>
    </row>
    <row r="311" spans="1:8">
      <c r="A311" s="2415"/>
      <c r="B311" s="2415"/>
      <c r="C311" s="2415"/>
      <c r="D311" s="2415"/>
      <c r="E311" s="2415"/>
      <c r="F311" s="2415"/>
      <c r="G311" s="2415"/>
      <c r="H311" s="2415"/>
    </row>
    <row r="312" spans="1:8" ht="15">
      <c r="A312" s="2416" t="s">
        <v>1014</v>
      </c>
      <c r="B312" s="2415"/>
      <c r="C312" s="2415"/>
      <c r="D312" s="2415"/>
      <c r="E312" s="2415"/>
      <c r="F312" s="2415"/>
      <c r="G312" s="2415"/>
      <c r="H312" s="2415"/>
    </row>
    <row r="313" spans="1:8" ht="15">
      <c r="A313" s="2416" t="s">
        <v>1015</v>
      </c>
      <c r="B313" s="2415"/>
      <c r="C313" s="2415"/>
      <c r="D313" s="2415"/>
      <c r="E313" s="2415"/>
      <c r="F313" s="2415"/>
      <c r="G313" s="2415"/>
      <c r="H313" s="2415"/>
    </row>
    <row r="314" spans="1:8" ht="15">
      <c r="A314" s="2416" t="s">
        <v>1016</v>
      </c>
      <c r="B314" s="2415"/>
      <c r="C314" s="2415"/>
      <c r="D314" s="2415"/>
      <c r="E314" s="2415"/>
      <c r="F314" s="2415"/>
      <c r="G314" s="2415"/>
      <c r="H314" s="2415"/>
    </row>
    <row r="315" spans="1:8" ht="15">
      <c r="A315" s="2416" t="s">
        <v>1017</v>
      </c>
      <c r="B315" s="2415"/>
      <c r="C315" s="2415"/>
      <c r="D315" s="2415"/>
      <c r="E315" s="2415"/>
      <c r="F315" s="2415"/>
      <c r="G315" s="2415"/>
      <c r="H315" s="2415"/>
    </row>
    <row r="316" spans="1:8" ht="15">
      <c r="A316" s="2416" t="s">
        <v>1018</v>
      </c>
      <c r="B316" s="2415"/>
      <c r="C316" s="2415"/>
      <c r="D316" s="2415"/>
      <c r="E316" s="2415"/>
      <c r="F316" s="2415"/>
      <c r="G316" s="2415"/>
      <c r="H316" s="2415"/>
    </row>
    <row r="317" spans="1:8" ht="15">
      <c r="A317" s="2416" t="s">
        <v>1019</v>
      </c>
      <c r="B317" s="2415"/>
      <c r="C317" s="2415"/>
      <c r="D317" s="2415"/>
      <c r="E317" s="2415"/>
      <c r="F317" s="2415"/>
      <c r="G317" s="2415"/>
      <c r="H317" s="2415"/>
    </row>
    <row r="318" spans="1:8" ht="15">
      <c r="A318" s="2416" t="s">
        <v>1020</v>
      </c>
      <c r="B318" s="2415"/>
      <c r="C318" s="2415"/>
      <c r="D318" s="2415"/>
      <c r="E318" s="2415"/>
      <c r="F318" s="2415"/>
      <c r="G318" s="2415"/>
      <c r="H318" s="2415"/>
    </row>
    <row r="319" spans="1:8" ht="15">
      <c r="A319" s="2416" t="s">
        <v>1021</v>
      </c>
      <c r="B319" s="2415"/>
      <c r="C319" s="2415"/>
      <c r="D319" s="2415"/>
      <c r="E319" s="2415"/>
      <c r="F319" s="2415"/>
      <c r="G319" s="2415"/>
      <c r="H319" s="2415"/>
    </row>
    <row r="320" spans="1:8">
      <c r="A320" s="2415"/>
      <c r="B320" s="2415"/>
      <c r="C320" s="2415"/>
      <c r="D320" s="2415"/>
      <c r="E320" s="2415"/>
      <c r="F320" s="2415"/>
      <c r="G320" s="2415"/>
      <c r="H320" s="2415"/>
    </row>
    <row r="321" spans="1:8" ht="15">
      <c r="A321" s="2416" t="s">
        <v>979</v>
      </c>
      <c r="B321" s="2415"/>
      <c r="C321" s="2415"/>
      <c r="D321" s="2415"/>
      <c r="E321" s="2415"/>
      <c r="F321" s="2415"/>
      <c r="G321" s="2415"/>
      <c r="H321" s="2415"/>
    </row>
    <row r="322" spans="1:8" ht="15">
      <c r="A322" s="2416" t="s">
        <v>980</v>
      </c>
      <c r="B322" s="2415"/>
      <c r="C322" s="2415"/>
      <c r="D322" s="2415"/>
      <c r="E322" s="2415"/>
      <c r="F322" s="2415"/>
      <c r="G322" s="2415"/>
      <c r="H322" s="2415"/>
    </row>
    <row r="323" spans="1:8" ht="15">
      <c r="A323" s="2416" t="s">
        <v>981</v>
      </c>
      <c r="B323" s="2415"/>
      <c r="C323" s="2415"/>
      <c r="D323" s="2415"/>
      <c r="E323" s="2415"/>
      <c r="F323" s="2415"/>
      <c r="G323" s="2415"/>
      <c r="H323" s="2415"/>
    </row>
    <row r="324" spans="1:8" ht="15">
      <c r="A324" s="2416" t="s">
        <v>982</v>
      </c>
      <c r="B324" s="2415"/>
      <c r="C324" s="2415"/>
      <c r="D324" s="2415"/>
      <c r="E324" s="2415"/>
      <c r="F324" s="2415"/>
      <c r="G324" s="2415"/>
      <c r="H324" s="2415"/>
    </row>
    <row r="325" spans="1:8" ht="15">
      <c r="A325" s="2416" t="s">
        <v>983</v>
      </c>
      <c r="B325" s="2415"/>
      <c r="C325" s="2415"/>
      <c r="D325" s="2415"/>
      <c r="E325" s="2415"/>
      <c r="F325" s="2415"/>
      <c r="G325" s="2415"/>
      <c r="H325" s="2415"/>
    </row>
    <row r="326" spans="1:8" ht="15">
      <c r="A326" s="2416" t="s">
        <v>984</v>
      </c>
      <c r="B326" s="2415"/>
      <c r="C326" s="2415"/>
      <c r="D326" s="2415"/>
      <c r="E326" s="2415"/>
      <c r="F326" s="2415"/>
      <c r="G326" s="2415"/>
      <c r="H326" s="2415"/>
    </row>
    <row r="327" spans="1:8" ht="15">
      <c r="A327" s="2416" t="s">
        <v>985</v>
      </c>
      <c r="B327" s="2415"/>
      <c r="C327" s="2415"/>
      <c r="D327" s="2415"/>
      <c r="E327" s="2415"/>
      <c r="F327" s="2415"/>
      <c r="G327" s="2415"/>
      <c r="H327" s="2415"/>
    </row>
    <row r="328" spans="1:8" ht="15">
      <c r="A328" s="2416" t="s">
        <v>986</v>
      </c>
      <c r="B328" s="2415"/>
      <c r="C328" s="2415"/>
      <c r="D328" s="2415"/>
      <c r="E328" s="2415"/>
      <c r="F328" s="2415"/>
      <c r="G328" s="2415"/>
      <c r="H328" s="2415"/>
    </row>
    <row r="329" spans="1:8" ht="15">
      <c r="A329" s="2416" t="s">
        <v>987</v>
      </c>
      <c r="B329" s="2415"/>
      <c r="C329" s="2415"/>
      <c r="D329" s="2415"/>
      <c r="E329" s="2415"/>
      <c r="F329" s="2415"/>
      <c r="G329" s="2415"/>
      <c r="H329" s="2415"/>
    </row>
    <row r="330" spans="1:8" ht="15">
      <c r="A330" s="2416" t="s">
        <v>988</v>
      </c>
      <c r="B330" s="2415"/>
      <c r="C330" s="2415"/>
      <c r="D330" s="2415"/>
      <c r="E330" s="2415"/>
      <c r="F330" s="2415"/>
      <c r="G330" s="2415"/>
      <c r="H330" s="2415"/>
    </row>
    <row r="331" spans="1:8" ht="15">
      <c r="A331" s="2416" t="s">
        <v>989</v>
      </c>
      <c r="B331" s="2415"/>
      <c r="C331" s="2415"/>
      <c r="D331" s="2415"/>
      <c r="E331" s="2415"/>
      <c r="F331" s="2415"/>
      <c r="G331" s="2415"/>
      <c r="H331" s="2415"/>
    </row>
    <row r="332" spans="1:8" ht="15">
      <c r="A332" s="2416" t="s">
        <v>990</v>
      </c>
      <c r="B332" s="2415"/>
      <c r="C332" s="2415"/>
      <c r="D332" s="2415"/>
      <c r="E332" s="2415"/>
      <c r="F332" s="2415"/>
      <c r="G332" s="2415"/>
      <c r="H332" s="2415"/>
    </row>
    <row r="333" spans="1:8" ht="15">
      <c r="A333" s="2416" t="s">
        <v>991</v>
      </c>
      <c r="B333" s="2415"/>
      <c r="C333" s="2415"/>
      <c r="D333" s="2415"/>
      <c r="E333" s="2415"/>
      <c r="F333" s="2415"/>
      <c r="G333" s="2415"/>
      <c r="H333" s="2415"/>
    </row>
    <row r="334" spans="1:8" ht="15">
      <c r="A334" s="2416" t="s">
        <v>992</v>
      </c>
      <c r="B334" s="2415"/>
      <c r="C334" s="2415"/>
      <c r="D334" s="2415"/>
      <c r="E334" s="2415"/>
      <c r="F334" s="2415"/>
      <c r="G334" s="2415"/>
      <c r="H334" s="2415"/>
    </row>
    <row r="335" spans="1:8" ht="15">
      <c r="A335" s="2416" t="s">
        <v>993</v>
      </c>
      <c r="B335" s="2415"/>
      <c r="C335" s="2415"/>
      <c r="D335" s="2415"/>
      <c r="E335" s="2415"/>
      <c r="F335" s="2415"/>
      <c r="G335" s="2415"/>
      <c r="H335" s="2415"/>
    </row>
    <row r="336" spans="1:8" ht="15">
      <c r="A336" s="2416" t="s">
        <v>994</v>
      </c>
      <c r="B336" s="2415"/>
      <c r="C336" s="2415"/>
      <c r="D336" s="2415"/>
      <c r="E336" s="2415"/>
      <c r="F336" s="2415"/>
      <c r="G336" s="2415"/>
      <c r="H336" s="2415"/>
    </row>
    <row r="337" spans="1:8" ht="15">
      <c r="A337" s="2416" t="s">
        <v>995</v>
      </c>
      <c r="B337" s="2415"/>
      <c r="C337" s="2415"/>
      <c r="D337" s="2415"/>
      <c r="E337" s="2415"/>
      <c r="F337" s="2415"/>
      <c r="G337" s="2415"/>
      <c r="H337" s="2415"/>
    </row>
    <row r="338" spans="1:8" ht="15">
      <c r="A338" s="2416" t="s">
        <v>996</v>
      </c>
      <c r="B338" s="2415"/>
      <c r="C338" s="2415"/>
      <c r="D338" s="2415"/>
      <c r="E338" s="2415"/>
      <c r="F338" s="2415"/>
      <c r="G338" s="2415"/>
      <c r="H338" s="2415"/>
    </row>
    <row r="339" spans="1:8" ht="15">
      <c r="A339" s="2416" t="s">
        <v>997</v>
      </c>
      <c r="B339" s="2415"/>
      <c r="C339" s="2415"/>
      <c r="D339" s="2415"/>
      <c r="E339" s="2415"/>
      <c r="F339" s="2415"/>
      <c r="G339" s="2415"/>
      <c r="H339" s="2415"/>
    </row>
    <row r="340" spans="1:8" ht="15">
      <c r="A340" s="2416" t="s">
        <v>998</v>
      </c>
      <c r="B340" s="2415"/>
      <c r="C340" s="2415"/>
      <c r="D340" s="2415"/>
      <c r="E340" s="2415"/>
      <c r="F340" s="2415"/>
      <c r="G340" s="2415"/>
      <c r="H340" s="2415"/>
    </row>
    <row r="341" spans="1:8" ht="15">
      <c r="A341" s="2416" t="s">
        <v>999</v>
      </c>
      <c r="B341" s="2415"/>
      <c r="C341" s="2415"/>
      <c r="D341" s="2415"/>
      <c r="E341" s="2415"/>
      <c r="F341" s="2415"/>
      <c r="G341" s="2415"/>
      <c r="H341" s="2415"/>
    </row>
    <row r="342" spans="1:8" ht="15">
      <c r="A342" s="2416" t="s">
        <v>1000</v>
      </c>
      <c r="B342" s="2415"/>
      <c r="C342" s="2415"/>
      <c r="D342" s="2415"/>
      <c r="E342" s="2415"/>
      <c r="F342" s="2415"/>
      <c r="G342" s="2415"/>
      <c r="H342" s="2415"/>
    </row>
    <row r="343" spans="1:8" ht="15">
      <c r="A343" s="2416" t="s">
        <v>1001</v>
      </c>
      <c r="B343" s="2415"/>
      <c r="C343" s="2415"/>
      <c r="D343" s="2415"/>
      <c r="E343" s="2415"/>
      <c r="F343" s="2415"/>
      <c r="G343" s="2415"/>
      <c r="H343" s="2415"/>
    </row>
    <row r="344" spans="1:8" ht="15">
      <c r="A344" s="2416" t="s">
        <v>1002</v>
      </c>
      <c r="B344" s="2415"/>
      <c r="C344" s="2415"/>
      <c r="D344" s="2415"/>
      <c r="E344" s="2415"/>
      <c r="F344" s="2415"/>
      <c r="G344" s="2415"/>
      <c r="H344" s="2415"/>
    </row>
    <row r="345" spans="1:8" ht="15">
      <c r="A345" s="2416" t="s">
        <v>1003</v>
      </c>
      <c r="B345" s="2415"/>
      <c r="C345" s="2415"/>
      <c r="D345" s="2415"/>
      <c r="E345" s="2415"/>
      <c r="F345" s="2415"/>
      <c r="G345" s="2415"/>
      <c r="H345" s="2415"/>
    </row>
    <row r="346" spans="1:8" ht="15">
      <c r="A346" s="2416" t="s">
        <v>1004</v>
      </c>
      <c r="B346" s="2415"/>
      <c r="C346" s="2415"/>
      <c r="D346" s="2415"/>
      <c r="E346" s="2415"/>
      <c r="F346" s="2415"/>
      <c r="G346" s="2415"/>
      <c r="H346" s="2415"/>
    </row>
    <row r="347" spans="1:8" ht="15">
      <c r="A347" s="2416" t="s">
        <v>1005</v>
      </c>
      <c r="B347" s="2415"/>
      <c r="C347" s="2415"/>
      <c r="D347" s="2415"/>
      <c r="E347" s="2415"/>
      <c r="F347" s="2415"/>
      <c r="G347" s="2415"/>
      <c r="H347" s="2415"/>
    </row>
    <row r="348" spans="1:8" ht="15">
      <c r="A348" s="2416" t="s">
        <v>1006</v>
      </c>
      <c r="B348" s="2415"/>
      <c r="C348" s="2415"/>
      <c r="D348" s="2415"/>
      <c r="E348" s="2415"/>
      <c r="F348" s="2415"/>
      <c r="G348" s="2415"/>
      <c r="H348" s="2415"/>
    </row>
    <row r="349" spans="1:8" ht="15">
      <c r="A349" s="2416" t="s">
        <v>1007</v>
      </c>
      <c r="B349" s="2415"/>
      <c r="C349" s="2415"/>
      <c r="D349" s="2415"/>
      <c r="E349" s="2415"/>
      <c r="F349" s="2415"/>
      <c r="G349" s="2415"/>
      <c r="H349" s="2415"/>
    </row>
    <row r="350" spans="1:8" ht="15">
      <c r="A350" s="2416" t="s">
        <v>1008</v>
      </c>
      <c r="B350" s="2415"/>
      <c r="C350" s="2415"/>
      <c r="D350" s="2415"/>
      <c r="E350" s="2415"/>
      <c r="F350" s="2415"/>
      <c r="G350" s="2415"/>
      <c r="H350" s="2415"/>
    </row>
    <row r="351" spans="1:8" ht="15">
      <c r="A351" s="2416" t="s">
        <v>1009</v>
      </c>
      <c r="B351" s="2415"/>
      <c r="C351" s="2415"/>
      <c r="D351" s="2415"/>
      <c r="E351" s="2415"/>
      <c r="F351" s="2415"/>
      <c r="G351" s="2415"/>
      <c r="H351" s="2415"/>
    </row>
    <row r="352" spans="1:8" ht="15">
      <c r="A352" s="2416" t="s">
        <v>1010</v>
      </c>
      <c r="B352" s="2415"/>
      <c r="C352" s="2415"/>
      <c r="D352" s="2415"/>
      <c r="E352" s="2415"/>
      <c r="F352" s="2415"/>
      <c r="G352" s="2415"/>
      <c r="H352" s="2415"/>
    </row>
    <row r="353" spans="1:8" ht="15">
      <c r="A353" s="2416" t="s">
        <v>1011</v>
      </c>
      <c r="B353" s="2415"/>
      <c r="C353" s="2415"/>
      <c r="D353" s="2415"/>
      <c r="E353" s="2415"/>
      <c r="F353" s="2415"/>
      <c r="G353" s="2415"/>
      <c r="H353" s="2415"/>
    </row>
    <row r="354" spans="1:8" ht="15">
      <c r="A354" s="2416" t="s">
        <v>1012</v>
      </c>
      <c r="B354" s="2415"/>
      <c r="C354" s="2415"/>
      <c r="D354" s="2415"/>
      <c r="E354" s="2415"/>
      <c r="F354" s="2415"/>
      <c r="G354" s="2415"/>
      <c r="H354" s="2415"/>
    </row>
    <row r="355" spans="1:8" ht="15">
      <c r="A355" s="2416" t="s">
        <v>1013</v>
      </c>
      <c r="B355" s="2415"/>
      <c r="C355" s="2415"/>
      <c r="D355" s="2415"/>
      <c r="E355" s="2415"/>
      <c r="F355" s="2415"/>
      <c r="G355" s="2415"/>
      <c r="H355" s="2415"/>
    </row>
    <row r="356" spans="1:8">
      <c r="A356" s="2415"/>
      <c r="B356" s="2415"/>
      <c r="C356" s="2415"/>
      <c r="D356" s="2415"/>
      <c r="E356" s="2415"/>
      <c r="F356" s="2415"/>
      <c r="G356" s="2415"/>
      <c r="H356" s="2415"/>
    </row>
    <row r="357" spans="1:8" ht="15">
      <c r="A357" s="2416" t="s">
        <v>971</v>
      </c>
      <c r="B357" s="2415"/>
      <c r="C357" s="2415"/>
      <c r="D357" s="2415"/>
      <c r="E357" s="2415"/>
      <c r="F357" s="2415"/>
      <c r="G357" s="2415"/>
      <c r="H357" s="2415"/>
    </row>
    <row r="358" spans="1:8" ht="15">
      <c r="A358" s="2416" t="s">
        <v>975</v>
      </c>
      <c r="B358" s="2415"/>
      <c r="C358" s="2415"/>
      <c r="D358" s="2415"/>
      <c r="E358" s="2415"/>
      <c r="F358" s="2415"/>
      <c r="G358" s="2415"/>
      <c r="H358" s="2415"/>
    </row>
    <row r="359" spans="1:8" ht="15">
      <c r="A359" s="2416" t="s">
        <v>976</v>
      </c>
      <c r="B359" s="2415"/>
      <c r="C359" s="2415"/>
      <c r="D359" s="2415"/>
      <c r="E359" s="2415"/>
      <c r="F359" s="2415"/>
      <c r="G359" s="2415"/>
      <c r="H359" s="2415"/>
    </row>
    <row r="360" spans="1:8" ht="15">
      <c r="A360" s="2416" t="s">
        <v>977</v>
      </c>
      <c r="B360" s="2415"/>
      <c r="C360" s="2415"/>
      <c r="D360" s="2415"/>
      <c r="E360" s="2415"/>
      <c r="F360" s="2415"/>
      <c r="G360" s="2415"/>
      <c r="H360" s="2415"/>
    </row>
    <row r="361" spans="1:8" ht="15">
      <c r="A361" s="2416" t="s">
        <v>978</v>
      </c>
      <c r="B361" s="2415"/>
      <c r="C361" s="2415"/>
      <c r="D361" s="2415"/>
      <c r="E361" s="2415"/>
      <c r="F361" s="2415"/>
      <c r="G361" s="2415"/>
      <c r="H361" s="2415"/>
    </row>
    <row r="362" spans="1:8">
      <c r="A362" s="2415"/>
      <c r="B362" s="2415"/>
      <c r="C362" s="2415"/>
      <c r="D362" s="2415"/>
      <c r="E362" s="2415"/>
      <c r="F362" s="2415"/>
      <c r="G362" s="2415"/>
      <c r="H362" s="2415"/>
    </row>
    <row r="363" spans="1:8" ht="15">
      <c r="A363" s="2416" t="s">
        <v>971</v>
      </c>
      <c r="B363" s="2415"/>
      <c r="C363" s="2415"/>
      <c r="D363" s="2415"/>
      <c r="E363" s="2415"/>
      <c r="F363" s="2415"/>
      <c r="G363" s="2415"/>
      <c r="H363" s="2415"/>
    </row>
    <row r="364" spans="1:8" ht="15">
      <c r="A364" s="2416" t="s">
        <v>972</v>
      </c>
      <c r="B364" s="2415"/>
      <c r="C364" s="2415"/>
      <c r="D364" s="2415"/>
      <c r="E364" s="2415"/>
      <c r="F364" s="2415"/>
      <c r="G364" s="2415"/>
      <c r="H364" s="2415"/>
    </row>
    <row r="365" spans="1:8" ht="15">
      <c r="A365" s="2416" t="s">
        <v>973</v>
      </c>
      <c r="B365" s="2415"/>
      <c r="C365" s="2415"/>
      <c r="D365" s="2415"/>
      <c r="E365" s="2415"/>
      <c r="F365" s="2415"/>
      <c r="G365" s="2415"/>
      <c r="H365" s="2415"/>
    </row>
    <row r="366" spans="1:8" ht="15">
      <c r="A366" s="2416" t="s">
        <v>974</v>
      </c>
      <c r="B366" s="2415"/>
      <c r="C366" s="2415"/>
      <c r="D366" s="2415"/>
      <c r="E366" s="2415"/>
      <c r="F366" s="2415"/>
      <c r="G366" s="2415"/>
      <c r="H366" s="2415"/>
    </row>
    <row r="367" spans="1:8">
      <c r="A367" s="2415"/>
      <c r="B367" s="2415"/>
      <c r="C367" s="2415"/>
      <c r="D367" s="2415"/>
      <c r="E367" s="2415"/>
      <c r="F367" s="2415"/>
      <c r="G367" s="2415"/>
      <c r="H367" s="2415"/>
    </row>
    <row r="368" spans="1:8" ht="15">
      <c r="A368" s="2416" t="s">
        <v>965</v>
      </c>
      <c r="B368" s="2415"/>
      <c r="C368" s="2415"/>
      <c r="D368" s="2415"/>
      <c r="E368" s="2415"/>
      <c r="F368" s="2415"/>
      <c r="G368" s="2415"/>
      <c r="H368" s="2415"/>
    </row>
    <row r="369" spans="1:8" ht="15">
      <c r="A369" s="2416" t="s">
        <v>966</v>
      </c>
      <c r="B369" s="2415"/>
      <c r="C369" s="2415"/>
      <c r="D369" s="2415"/>
      <c r="E369" s="2415"/>
      <c r="F369" s="2415"/>
      <c r="G369" s="2415"/>
      <c r="H369" s="2415"/>
    </row>
    <row r="370" spans="1:8" ht="15">
      <c r="A370" s="2416" t="s">
        <v>967</v>
      </c>
      <c r="B370" s="2415"/>
      <c r="C370" s="2415"/>
      <c r="D370" s="2415"/>
      <c r="E370" s="2415"/>
      <c r="F370" s="2415"/>
      <c r="G370" s="2415"/>
      <c r="H370" s="2415"/>
    </row>
    <row r="371" spans="1:8" ht="15">
      <c r="A371" s="2416" t="s">
        <v>968</v>
      </c>
      <c r="B371" s="2415"/>
      <c r="C371" s="2415"/>
      <c r="D371" s="2415"/>
      <c r="E371" s="2415"/>
      <c r="F371" s="2415"/>
      <c r="G371" s="2415"/>
      <c r="H371" s="2415"/>
    </row>
    <row r="372" spans="1:8" ht="15">
      <c r="A372" s="2416" t="s">
        <v>969</v>
      </c>
      <c r="B372" s="2415"/>
      <c r="C372" s="2415"/>
      <c r="D372" s="2415"/>
      <c r="E372" s="2415"/>
      <c r="F372" s="2415"/>
      <c r="G372" s="2415"/>
      <c r="H372" s="2415"/>
    </row>
    <row r="373" spans="1:8" ht="15">
      <c r="A373" s="2416" t="s">
        <v>970</v>
      </c>
      <c r="B373" s="2415"/>
      <c r="C373" s="2415"/>
      <c r="D373" s="2415"/>
      <c r="E373" s="2415"/>
      <c r="F373" s="2415"/>
      <c r="G373" s="2415"/>
      <c r="H373" s="2415"/>
    </row>
    <row r="374" spans="1:8">
      <c r="A374" s="2415"/>
      <c r="B374" s="2415"/>
      <c r="C374" s="2415"/>
      <c r="D374" s="2415"/>
      <c r="E374" s="2415"/>
      <c r="F374" s="2415"/>
      <c r="G374" s="2415"/>
      <c r="H374" s="2415"/>
    </row>
    <row r="375" spans="1:8" ht="15">
      <c r="A375" s="2416" t="s">
        <v>960</v>
      </c>
      <c r="B375" s="2415"/>
      <c r="C375" s="2415"/>
      <c r="D375" s="2415"/>
      <c r="E375" s="2415"/>
      <c r="F375" s="2415"/>
      <c r="G375" s="2415"/>
      <c r="H375" s="2415"/>
    </row>
    <row r="376" spans="1:8" ht="15">
      <c r="A376" s="2416" t="s">
        <v>961</v>
      </c>
      <c r="B376" s="2415"/>
      <c r="C376" s="2415"/>
      <c r="D376" s="2415"/>
      <c r="E376" s="2415"/>
      <c r="F376" s="2415"/>
      <c r="G376" s="2415"/>
      <c r="H376" s="2415"/>
    </row>
    <row r="377" spans="1:8" ht="15">
      <c r="A377" s="2416" t="s">
        <v>962</v>
      </c>
      <c r="B377" s="2415"/>
      <c r="C377" s="2415"/>
      <c r="D377" s="2415"/>
      <c r="E377" s="2415"/>
      <c r="F377" s="2415"/>
      <c r="G377" s="2415"/>
      <c r="H377" s="2415"/>
    </row>
    <row r="378" spans="1:8" ht="15">
      <c r="A378" s="2416" t="s">
        <v>963</v>
      </c>
      <c r="B378" s="2415"/>
      <c r="C378" s="2415"/>
      <c r="D378" s="2415"/>
      <c r="E378" s="2415"/>
      <c r="F378" s="2415"/>
      <c r="G378" s="2415"/>
      <c r="H378" s="2415"/>
    </row>
    <row r="379" spans="1:8" ht="15">
      <c r="A379" s="2416" t="s">
        <v>964</v>
      </c>
      <c r="B379" s="2415"/>
      <c r="C379" s="2415"/>
      <c r="D379" s="2415"/>
      <c r="E379" s="2415"/>
      <c r="F379" s="2415"/>
      <c r="G379" s="2415"/>
      <c r="H379" s="2415"/>
    </row>
    <row r="380" spans="1:8">
      <c r="A380" s="2415"/>
      <c r="B380" s="2415"/>
      <c r="C380" s="2415"/>
      <c r="D380" s="2415"/>
      <c r="E380" s="2415"/>
      <c r="F380" s="2415"/>
      <c r="G380" s="2415"/>
      <c r="H380" s="2415"/>
    </row>
    <row r="381" spans="1:8" ht="15">
      <c r="A381" s="2416" t="s">
        <v>958</v>
      </c>
      <c r="B381" s="2415"/>
      <c r="C381" s="2415"/>
      <c r="D381" s="2415"/>
      <c r="E381" s="2415"/>
      <c r="F381" s="2415"/>
      <c r="G381" s="2415"/>
      <c r="H381" s="2415"/>
    </row>
    <row r="382" spans="1:8" ht="15">
      <c r="A382" s="2416" t="s">
        <v>959</v>
      </c>
      <c r="B382" s="2415"/>
      <c r="C382" s="2415"/>
      <c r="D382" s="2415"/>
      <c r="E382" s="2415"/>
      <c r="F382" s="2415"/>
      <c r="G382" s="2415"/>
      <c r="H382" s="2415"/>
    </row>
    <row r="384" spans="1:8">
      <c r="A384" s="2411" t="s">
        <v>1209</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C63"/>
  <sheetViews>
    <sheetView workbookViewId="0">
      <selection activeCell="O20" sqref="O20"/>
    </sheetView>
  </sheetViews>
  <sheetFormatPr defaultRowHeight="12.75" outlineLevelRow="1" outlineLevelCol="1"/>
  <cols>
    <col min="1" max="1" width="18.5703125" customWidth="1"/>
    <col min="2" max="3" width="9.140625" customWidth="1"/>
    <col min="4" max="4" width="9.42578125" customWidth="1"/>
    <col min="5" max="5" width="10.7109375" customWidth="1"/>
    <col min="6" max="6" width="2.140625" customWidth="1" outlineLevel="1"/>
    <col min="7" max="8" width="9.140625" customWidth="1" outlineLevel="1"/>
    <col min="9" max="9" width="10.5703125" customWidth="1" outlineLevel="1"/>
    <col min="10" max="10" width="10.85546875" customWidth="1"/>
    <col min="11" max="11" width="2.140625" customWidth="1"/>
    <col min="12" max="12" width="38.85546875" hidden="1" customWidth="1" outlineLevel="1"/>
    <col min="13" max="13" width="12.28515625" bestFit="1" customWidth="1" collapsed="1"/>
    <col min="17" max="17" width="18.5703125" customWidth="1"/>
    <col min="18" max="19" width="0" hidden="1" customWidth="1" outlineLevel="1"/>
    <col min="20" max="20" width="9.42578125" customWidth="1" collapsed="1"/>
    <col min="21" max="21" width="10.7109375" customWidth="1"/>
    <col min="22" max="22" width="2.140625" hidden="1" customWidth="1" outlineLevel="1"/>
    <col min="23" max="24" width="0" hidden="1" customWidth="1" outlineLevel="1"/>
    <col min="25" max="25" width="10.5703125" hidden="1" customWidth="1" outlineLevel="1"/>
    <col min="26" max="26" width="10.85546875" customWidth="1" collapsed="1"/>
    <col min="27" max="27" width="2.140625" customWidth="1"/>
    <col min="28" max="28" width="20.42578125" bestFit="1" customWidth="1"/>
    <col min="29" max="29" width="5.28515625" customWidth="1"/>
  </cols>
  <sheetData>
    <row r="1" spans="1:29">
      <c r="A1" s="622" t="s">
        <v>197</v>
      </c>
      <c r="B1" s="623"/>
      <c r="C1" s="623"/>
      <c r="D1" s="623"/>
      <c r="E1" s="624"/>
      <c r="F1" s="625"/>
      <c r="G1" s="625"/>
      <c r="H1" s="625"/>
      <c r="I1" s="625"/>
      <c r="J1" s="625"/>
      <c r="Q1" s="622" t="s">
        <v>197</v>
      </c>
      <c r="R1" s="623"/>
      <c r="S1" s="623"/>
      <c r="T1" s="623"/>
      <c r="U1" s="624"/>
      <c r="V1" s="625"/>
      <c r="W1" s="625"/>
      <c r="X1" s="625"/>
      <c r="Y1" s="625"/>
      <c r="Z1" s="625"/>
      <c r="AC1" s="535"/>
    </row>
    <row r="2" spans="1:29">
      <c r="A2" s="665"/>
      <c r="B2" s="666"/>
      <c r="C2" s="666"/>
      <c r="D2" s="667" t="s">
        <v>198</v>
      </c>
      <c r="E2" s="667" t="s">
        <v>199</v>
      </c>
      <c r="F2" s="625"/>
      <c r="G2" s="668" t="s">
        <v>200</v>
      </c>
      <c r="H2" s="669"/>
      <c r="I2" s="668" t="s">
        <v>200</v>
      </c>
      <c r="J2" s="674" t="s">
        <v>14</v>
      </c>
      <c r="K2" s="675"/>
      <c r="L2" s="677" t="s">
        <v>315</v>
      </c>
      <c r="Q2" s="665"/>
      <c r="R2" s="666"/>
      <c r="S2" s="666"/>
      <c r="T2" s="667" t="s">
        <v>198</v>
      </c>
      <c r="U2" s="667" t="s">
        <v>199</v>
      </c>
      <c r="V2" s="625"/>
      <c r="W2" s="668" t="s">
        <v>200</v>
      </c>
      <c r="X2" s="669"/>
      <c r="Y2" s="668" t="s">
        <v>200</v>
      </c>
      <c r="Z2" s="674" t="s">
        <v>14</v>
      </c>
      <c r="AA2" s="675"/>
      <c r="AB2" s="677" t="s">
        <v>315</v>
      </c>
      <c r="AC2" s="678"/>
    </row>
    <row r="3" spans="1:29">
      <c r="A3" s="667"/>
      <c r="B3" s="667" t="s">
        <v>908</v>
      </c>
      <c r="C3" s="667" t="s">
        <v>909</v>
      </c>
      <c r="D3" s="667" t="s">
        <v>911</v>
      </c>
      <c r="E3" s="667" t="s">
        <v>911</v>
      </c>
      <c r="F3" s="625"/>
      <c r="G3" s="667" t="str">
        <f>B3</f>
        <v>2Q17A</v>
      </c>
      <c r="H3" s="667" t="str">
        <f>D2&amp;" "&amp;D3</f>
        <v>MS 2Q18E</v>
      </c>
      <c r="I3" s="667" t="str">
        <f>"Cons. "&amp;E3</f>
        <v>Cons. 2Q18E</v>
      </c>
      <c r="J3" s="677" t="s">
        <v>13</v>
      </c>
      <c r="K3" s="675"/>
      <c r="L3" s="677" t="s">
        <v>16</v>
      </c>
      <c r="Q3" s="667"/>
      <c r="R3" s="667" t="s">
        <v>122</v>
      </c>
      <c r="S3" s="667" t="s">
        <v>123</v>
      </c>
      <c r="T3" s="667" t="s">
        <v>124</v>
      </c>
      <c r="U3" s="667" t="s">
        <v>124</v>
      </c>
      <c r="V3" s="625"/>
      <c r="W3" s="667" t="str">
        <f>R3</f>
        <v>1Q13A</v>
      </c>
      <c r="X3" s="667" t="str">
        <f>T2&amp;" "&amp;T3</f>
        <v>MS 1Q14E</v>
      </c>
      <c r="Y3" s="667" t="s">
        <v>598</v>
      </c>
      <c r="Z3" s="677" t="s">
        <v>13</v>
      </c>
      <c r="AA3" s="675"/>
      <c r="AB3" s="677" t="s">
        <v>16</v>
      </c>
      <c r="AC3" s="678"/>
    </row>
    <row r="4" spans="1:29">
      <c r="A4" s="626" t="s">
        <v>65</v>
      </c>
      <c r="B4" s="627">
        <f>sumry!CK10</f>
        <v>1321.7</v>
      </c>
      <c r="C4" s="627">
        <f>sumry!CP10</f>
        <v>1785</v>
      </c>
      <c r="D4" s="1604">
        <v>1753.6121486203729</v>
      </c>
      <c r="E4" s="1617">
        <v>1773</v>
      </c>
      <c r="F4" s="625"/>
      <c r="G4" s="628">
        <f>IF(ISERROR(C4-B4)=TRUE,"NA",C4-B4)</f>
        <v>463.29999999999995</v>
      </c>
      <c r="H4" s="628">
        <f>IF(ISERROR(C4-D4)=TRUE,"NA",C4-D4)</f>
        <v>31.387851379627136</v>
      </c>
      <c r="I4" s="628">
        <f>IF(ISERROR(C4-E4)=TRUE,"NA",C4-E4)</f>
        <v>12</v>
      </c>
      <c r="J4" s="628">
        <f>IF(ISERROR(D4-E4)=TRUE,"NA",D4-E4)</f>
        <v>-19.387851379627136</v>
      </c>
      <c r="K4" s="675"/>
      <c r="L4" s="645" t="s">
        <v>519</v>
      </c>
      <c r="Q4" s="626" t="s">
        <v>65</v>
      </c>
      <c r="R4" s="627">
        <f>sumry!BP10</f>
        <v>1161.3499999999999</v>
      </c>
      <c r="S4" s="627">
        <f>sumry!BU10</f>
        <v>1150.76</v>
      </c>
      <c r="T4" s="627">
        <v>1171.1652093074554</v>
      </c>
      <c r="U4" s="651">
        <v>1189.67</v>
      </c>
      <c r="V4" s="625"/>
      <c r="W4" s="628">
        <f>IF(ISERROR(S4-R4)=TRUE,"NA",S4-R4)</f>
        <v>-10.589999999999918</v>
      </c>
      <c r="X4" s="628">
        <f>IF(ISERROR(S4-T4)=TRUE,"NA",S4-T4)</f>
        <v>-20.40520930745538</v>
      </c>
      <c r="Y4" s="628">
        <f>IF(ISERROR(S4-U4)=TRUE,"NA",S4-U4)</f>
        <v>-38.910000000000082</v>
      </c>
      <c r="Z4" s="628">
        <f>IF(ISERROR(T4-U4)=TRUE,"NA",T4-U4)</f>
        <v>-18.504790692544702</v>
      </c>
      <c r="AA4" s="675"/>
      <c r="AB4" s="645" t="s">
        <v>528</v>
      </c>
      <c r="AC4" s="98"/>
    </row>
    <row r="5" spans="1:29">
      <c r="A5" s="626"/>
      <c r="B5" s="629"/>
      <c r="C5" s="629"/>
      <c r="D5" s="1605"/>
      <c r="E5" s="629"/>
      <c r="F5" s="625"/>
      <c r="G5" s="630"/>
      <c r="H5" s="630"/>
      <c r="I5" s="630"/>
      <c r="J5" s="630"/>
      <c r="K5" s="675"/>
      <c r="L5" s="625"/>
      <c r="Q5" s="626"/>
      <c r="R5" s="629"/>
      <c r="S5" s="629"/>
      <c r="T5" s="629"/>
      <c r="U5" s="629"/>
      <c r="V5" s="625"/>
      <c r="W5" s="630"/>
      <c r="X5" s="630"/>
      <c r="Y5" s="630"/>
      <c r="Z5" s="630"/>
      <c r="AA5" s="675"/>
      <c r="AB5" s="625"/>
      <c r="AC5" s="535"/>
    </row>
    <row r="6" spans="1:29">
      <c r="A6" s="626" t="s">
        <v>66</v>
      </c>
      <c r="B6" s="631">
        <f>sumry!CK12</f>
        <v>415.3</v>
      </c>
      <c r="C6" s="631">
        <f>sumry!CP12</f>
        <v>589.20000000000005</v>
      </c>
      <c r="D6" s="1604">
        <v>592.72090623368592</v>
      </c>
      <c r="E6" s="631">
        <f>E4-E8</f>
        <v>597.50099999999998</v>
      </c>
      <c r="F6" s="625"/>
      <c r="G6" s="632">
        <f>IF(ISERROR(C6-B6)=TRUE,"NA",C6-B6)</f>
        <v>173.90000000000003</v>
      </c>
      <c r="H6" s="632">
        <f>IF(ISERROR(C6-D6)=TRUE,"NA",C6-D6)</f>
        <v>-3.5209062336858779</v>
      </c>
      <c r="I6" s="632">
        <f>IF(ISERROR(C6-E6)=TRUE,"NA",C6-E6)</f>
        <v>-8.3009999999999309</v>
      </c>
      <c r="J6" s="628">
        <f>IF(ISERROR(D6-E6)=TRUE,"NA",D6-E6)</f>
        <v>-4.780093766314053</v>
      </c>
      <c r="K6" s="675"/>
      <c r="L6" s="625"/>
      <c r="Q6" s="626" t="s">
        <v>66</v>
      </c>
      <c r="R6" s="631">
        <f>sumry!BP12</f>
        <v>316.18200000000002</v>
      </c>
      <c r="S6" s="631">
        <f>sumry!BU12</f>
        <v>324.18700000000001</v>
      </c>
      <c r="T6" s="631">
        <v>340.80907590846942</v>
      </c>
      <c r="U6" s="631">
        <f>U4-U8</f>
        <v>335.01107200000001</v>
      </c>
      <c r="V6" s="625"/>
      <c r="W6" s="632">
        <f>IF(ISERROR(S6-R6)=TRUE,"NA",S6-R6)</f>
        <v>8.0049999999999955</v>
      </c>
      <c r="X6" s="632">
        <f>IF(ISERROR(S6-T6)=TRUE,"NA",S6-T6)</f>
        <v>-16.622075908469412</v>
      </c>
      <c r="Y6" s="632">
        <f>IF(ISERROR(S6-U6)=TRUE,"NA",S6-U6)</f>
        <v>-10.824072000000001</v>
      </c>
      <c r="Z6" s="628">
        <f>IF(ISERROR(T6-U6)=TRUE,"NA",T6-U6)</f>
        <v>5.7980039084694113</v>
      </c>
      <c r="AA6" s="675"/>
      <c r="AB6" s="625"/>
      <c r="AC6" s="535"/>
    </row>
    <row r="7" spans="1:29">
      <c r="A7" s="626"/>
      <c r="B7" s="623"/>
      <c r="C7" s="623"/>
      <c r="D7" s="1606"/>
      <c r="E7" s="623"/>
      <c r="F7" s="625"/>
      <c r="G7" s="630"/>
      <c r="H7" s="630"/>
      <c r="I7" s="630"/>
      <c r="J7" s="630"/>
      <c r="K7" s="675"/>
      <c r="L7" s="625"/>
      <c r="Q7" s="626"/>
      <c r="R7" s="623"/>
      <c r="S7" s="623"/>
      <c r="T7" s="623"/>
      <c r="U7" s="623"/>
      <c r="V7" s="625"/>
      <c r="W7" s="630"/>
      <c r="X7" s="630"/>
      <c r="Y7" s="630"/>
      <c r="Z7" s="630"/>
      <c r="AA7" s="675"/>
      <c r="AB7" s="625"/>
    </row>
    <row r="8" spans="1:29">
      <c r="A8" s="626" t="s">
        <v>88</v>
      </c>
      <c r="B8" s="631">
        <f>sumry!CK14</f>
        <v>906.40000000000009</v>
      </c>
      <c r="C8" s="631">
        <f>sumry!CP14</f>
        <v>1195.8</v>
      </c>
      <c r="D8" s="1604">
        <v>1160.8912423866868</v>
      </c>
      <c r="E8" s="631">
        <f>E4*E25</f>
        <v>1175.499</v>
      </c>
      <c r="F8" s="625"/>
      <c r="G8" s="632">
        <f>IF(ISERROR(C8-B8)=TRUE,"NA",C8-B8)</f>
        <v>289.39999999999986</v>
      </c>
      <c r="H8" s="632">
        <f>IF(ISERROR(C8-D8)=TRUE,"NA",C8-D8)</f>
        <v>34.908757613313128</v>
      </c>
      <c r="I8" s="632">
        <f>IF(ISERROR(C8-E8)=TRUE,"NA",C8-E8)</f>
        <v>20.300999999999931</v>
      </c>
      <c r="J8" s="628">
        <f>IF(ISERROR(D8-E8)=TRUE,"NA",D8-E8)</f>
        <v>-14.607757613313197</v>
      </c>
      <c r="K8" s="675"/>
      <c r="L8" s="625"/>
      <c r="M8" s="2133"/>
      <c r="Q8" s="626" t="s">
        <v>88</v>
      </c>
      <c r="R8" s="631">
        <f>sumry!BP14</f>
        <v>845.16799999999989</v>
      </c>
      <c r="S8" s="631">
        <f>sumry!BU14</f>
        <v>826.57299999999998</v>
      </c>
      <c r="T8" s="631">
        <v>830.356133398986</v>
      </c>
      <c r="U8" s="631">
        <f>U4*U25</f>
        <v>854.65892800000006</v>
      </c>
      <c r="V8" s="625"/>
      <c r="W8" s="632">
        <f>IF(ISERROR(S8-R8)=TRUE,"NA",S8-R8)</f>
        <v>-18.594999999999914</v>
      </c>
      <c r="X8" s="632">
        <f>IF(ISERROR(S8-T8)=TRUE,"NA",S8-T8)</f>
        <v>-3.7831333989860241</v>
      </c>
      <c r="Y8" s="632">
        <f>IF(ISERROR(S8-U8)=TRUE,"NA",S8-U8)</f>
        <v>-28.085928000000081</v>
      </c>
      <c r="Z8" s="628">
        <f>IF(ISERROR(T8-U8)=TRUE,"NA",T8-U8)</f>
        <v>-24.302794601014057</v>
      </c>
      <c r="AA8" s="675"/>
      <c r="AB8" s="625"/>
    </row>
    <row r="9" spans="1:29">
      <c r="A9" s="626" t="s">
        <v>93</v>
      </c>
      <c r="B9" s="631">
        <f>sumry!CK15</f>
        <v>612.09999999999991</v>
      </c>
      <c r="C9" s="631">
        <f>sumry!CP15</f>
        <v>784.5</v>
      </c>
      <c r="D9" s="1607">
        <v>796.13991547364935</v>
      </c>
      <c r="E9" s="631">
        <f>E8-E11</f>
        <v>799.62300000000005</v>
      </c>
      <c r="F9" s="625"/>
      <c r="G9" s="632">
        <f>IF(ISERROR(C9-B9)=TRUE,"NA",C9-B9)</f>
        <v>172.40000000000009</v>
      </c>
      <c r="H9" s="632">
        <f>IF(ISERROR(C9-D9)=TRUE,"NA",C9-D9)</f>
        <v>-11.639915473649353</v>
      </c>
      <c r="I9" s="632">
        <f>IF(ISERROR(C9-E9)=TRUE,"NA",C9-E9)</f>
        <v>-15.123000000000047</v>
      </c>
      <c r="J9" s="628">
        <f>IF(ISERROR(D9-E9)=TRUE,"NA",D9-E9)</f>
        <v>-3.4830845263506944</v>
      </c>
      <c r="K9" s="675"/>
      <c r="L9" s="625"/>
      <c r="M9" s="2133"/>
      <c r="Q9" s="626" t="s">
        <v>93</v>
      </c>
      <c r="R9" s="631">
        <f>sumry!BP15</f>
        <v>513.45100000000002</v>
      </c>
      <c r="S9" s="631">
        <f>sumry!BU15</f>
        <v>504.93900000000002</v>
      </c>
      <c r="T9" s="631">
        <v>520.13278797587361</v>
      </c>
      <c r="U9" s="631">
        <f>U8-U11</f>
        <v>530.54892800000005</v>
      </c>
      <c r="V9" s="625"/>
      <c r="W9" s="632">
        <f>IF(ISERROR(S9-R9)=TRUE,"NA",S9-R9)</f>
        <v>-8.5120000000000005</v>
      </c>
      <c r="X9" s="632">
        <f>IF(ISERROR(S9-T9)=TRUE,"NA",S9-T9)</f>
        <v>-15.19378797587359</v>
      </c>
      <c r="Y9" s="632"/>
      <c r="Z9" s="632"/>
      <c r="AA9" s="675"/>
      <c r="AB9" s="625"/>
    </row>
    <row r="10" spans="1:29">
      <c r="A10" s="626"/>
      <c r="B10" s="631"/>
      <c r="C10" s="631"/>
      <c r="D10" s="1608"/>
      <c r="E10" s="631"/>
      <c r="F10" s="625"/>
      <c r="G10" s="630"/>
      <c r="H10" s="630"/>
      <c r="I10" s="630"/>
      <c r="J10" s="630"/>
      <c r="K10" s="675"/>
      <c r="L10" s="625"/>
      <c r="Q10" s="626"/>
      <c r="R10" s="631"/>
      <c r="S10" s="631"/>
      <c r="T10" s="631"/>
      <c r="U10" s="631"/>
      <c r="V10" s="625"/>
      <c r="W10" s="630"/>
      <c r="X10" s="630"/>
      <c r="Y10" s="630"/>
      <c r="Z10" s="630"/>
      <c r="AA10" s="675"/>
      <c r="AB10" s="625"/>
    </row>
    <row r="11" spans="1:29">
      <c r="A11" s="626" t="s">
        <v>201</v>
      </c>
      <c r="B11" s="631">
        <f>sumry!CK18</f>
        <v>294.30000000000018</v>
      </c>
      <c r="C11" s="631">
        <f>sumry!CP18</f>
        <v>411.29999999999995</v>
      </c>
      <c r="D11" s="1604">
        <v>364.75132691303747</v>
      </c>
      <c r="E11" s="1618">
        <f>E4*0.212</f>
        <v>375.87599999999998</v>
      </c>
      <c r="F11" s="625"/>
      <c r="G11" s="632">
        <f>IF(ISERROR(C11-B11)=TRUE,"NA",C11-B11)</f>
        <v>116.99999999999977</v>
      </c>
      <c r="H11" s="632">
        <f>IF(ISERROR(C11-D11)=TRUE,"NA",C11-D11)</f>
        <v>46.548673086962481</v>
      </c>
      <c r="I11" s="632">
        <f>IF(ISERROR(C11-E11)=TRUE,"NA",C11-E11)</f>
        <v>35.423999999999978</v>
      </c>
      <c r="J11" s="628">
        <f>IF(ISERROR(D11-E11)=TRUE,"NA",D11-E11)</f>
        <v>-11.124673086962503</v>
      </c>
      <c r="K11" s="675"/>
      <c r="L11" s="625"/>
      <c r="Q11" s="626" t="s">
        <v>201</v>
      </c>
      <c r="R11" s="631">
        <f>sumry!BP18</f>
        <v>331.71699999999987</v>
      </c>
      <c r="S11" s="631">
        <f>sumry!BU18</f>
        <v>321.63399999999996</v>
      </c>
      <c r="T11" s="631">
        <v>310.22334542311239</v>
      </c>
      <c r="U11" s="631">
        <v>324.11</v>
      </c>
      <c r="V11" s="625"/>
      <c r="W11" s="632">
        <f>IF(ISERROR(S11-R11)=TRUE,"NA",S11-R11)</f>
        <v>-10.082999999999913</v>
      </c>
      <c r="X11" s="632">
        <f>IF(ISERROR(S11-T11)=TRUE,"NA",S11-T11)</f>
        <v>11.410654576887566</v>
      </c>
      <c r="Y11" s="632">
        <f>IF(ISERROR(S11-U11)=TRUE,"NA",S11-U11)</f>
        <v>-2.4760000000000559</v>
      </c>
      <c r="Z11" s="628">
        <f>IF(ISERROR(T11-U11)=TRUE,"NA",T11-U11)</f>
        <v>-13.886654576887622</v>
      </c>
      <c r="AA11" s="675"/>
      <c r="AB11" s="625"/>
    </row>
    <row r="12" spans="1:29">
      <c r="A12" s="626"/>
      <c r="B12" s="631"/>
      <c r="C12" s="631"/>
      <c r="D12" s="1608"/>
      <c r="E12" s="631"/>
      <c r="F12" s="625"/>
      <c r="G12" s="632"/>
      <c r="H12" s="632"/>
      <c r="I12" s="632"/>
      <c r="J12" s="632"/>
      <c r="K12" s="675"/>
      <c r="L12" s="625"/>
      <c r="N12" s="1592"/>
      <c r="Q12" s="626"/>
      <c r="R12" s="631"/>
      <c r="S12" s="631"/>
      <c r="T12" s="631"/>
      <c r="U12" s="631"/>
      <c r="V12" s="625"/>
      <c r="W12" s="632"/>
      <c r="X12" s="632"/>
      <c r="Y12" s="632"/>
      <c r="Z12" s="632"/>
      <c r="AA12" s="675"/>
      <c r="AB12" s="625"/>
    </row>
    <row r="13" spans="1:29">
      <c r="A13" s="626" t="s">
        <v>202</v>
      </c>
      <c r="B13" s="631">
        <f>sumry!CK20</f>
        <v>-5.0999999999999996</v>
      </c>
      <c r="C13" s="631">
        <f>sumry!CP20</f>
        <v>-22.2</v>
      </c>
      <c r="D13" s="1607">
        <v>-20.5</v>
      </c>
      <c r="E13" s="631">
        <f>E11-E15</f>
        <v>23.255999999999972</v>
      </c>
      <c r="F13" s="625"/>
      <c r="G13" s="632">
        <f>IF(ISERROR(C13-B13)=TRUE,"NA",C13-B13)</f>
        <v>-17.100000000000001</v>
      </c>
      <c r="H13" s="632">
        <f>IF(ISERROR(C13-D13)=TRUE,"NA",C13-D13)</f>
        <v>-1.6999999999999993</v>
      </c>
      <c r="I13" s="632"/>
      <c r="J13" s="632"/>
      <c r="K13" s="675"/>
      <c r="L13" s="625"/>
      <c r="Q13" s="626" t="s">
        <v>202</v>
      </c>
      <c r="R13" s="631">
        <f>sumry!BP20</f>
        <v>-2.036</v>
      </c>
      <c r="S13" s="631">
        <f>sumry!BU20</f>
        <v>1.6280000000000001</v>
      </c>
      <c r="T13" s="631">
        <v>-1</v>
      </c>
      <c r="U13" s="631">
        <f>U11-U15</f>
        <v>3.0000000000029559E-2</v>
      </c>
      <c r="V13" s="625"/>
      <c r="W13" s="632">
        <f>IF(ISERROR(S13-R13)=TRUE,"NA",S13-R13)</f>
        <v>3.6640000000000001</v>
      </c>
      <c r="X13" s="632">
        <f>IF(ISERROR(S13-T13)=TRUE,"NA",S13-T13)</f>
        <v>2.6280000000000001</v>
      </c>
      <c r="Y13" s="632"/>
      <c r="Z13" s="632"/>
      <c r="AA13" s="675"/>
      <c r="AB13" s="625"/>
    </row>
    <row r="14" spans="1:29">
      <c r="A14" s="626"/>
      <c r="B14" s="631"/>
      <c r="C14" s="631"/>
      <c r="D14" s="1608"/>
      <c r="E14" s="631"/>
      <c r="F14" s="625"/>
      <c r="G14" s="632"/>
      <c r="H14" s="632"/>
      <c r="I14" s="632"/>
      <c r="J14" s="632"/>
      <c r="K14" s="675"/>
      <c r="L14" s="625"/>
      <c r="Q14" s="626"/>
      <c r="R14" s="631"/>
      <c r="S14" s="631"/>
      <c r="T14" s="631"/>
      <c r="U14" s="631"/>
      <c r="V14" s="625"/>
      <c r="W14" s="632"/>
      <c r="X14" s="632"/>
      <c r="Y14" s="632"/>
      <c r="Z14" s="632"/>
      <c r="AA14" s="675"/>
      <c r="AB14" s="625"/>
    </row>
    <row r="15" spans="1:29">
      <c r="A15" s="626" t="s">
        <v>94</v>
      </c>
      <c r="B15" s="631">
        <f>sumry!CK21</f>
        <v>289.20000000000016</v>
      </c>
      <c r="C15" s="631">
        <f>sumry!CP21</f>
        <v>389.09999999999997</v>
      </c>
      <c r="D15" s="1604">
        <v>344.25132691303747</v>
      </c>
      <c r="E15" s="721">
        <v>352.62</v>
      </c>
      <c r="F15" s="625"/>
      <c r="G15" s="632">
        <f>IF(ISERROR(C15-B15)=TRUE,"NA",C15-B15)</f>
        <v>99.899999999999807</v>
      </c>
      <c r="H15" s="632">
        <f>IF(ISERROR(C15-D15)=TRUE,"NA",C15-D15)</f>
        <v>44.848673086962492</v>
      </c>
      <c r="I15" s="632"/>
      <c r="J15" s="632"/>
      <c r="K15" s="675"/>
      <c r="L15" s="625"/>
      <c r="Q15" s="626" t="s">
        <v>94</v>
      </c>
      <c r="R15" s="631">
        <f>sumry!BP21</f>
        <v>329.68099999999987</v>
      </c>
      <c r="S15" s="631">
        <f>sumry!BU21</f>
        <v>323.26199999999994</v>
      </c>
      <c r="T15" s="631">
        <v>309.22334542311239</v>
      </c>
      <c r="U15" s="631">
        <v>324.08</v>
      </c>
      <c r="V15" s="625"/>
      <c r="W15" s="632">
        <f>IF(ISERROR(S15-R15)=TRUE,"NA",S15-R15)</f>
        <v>-6.4189999999999259</v>
      </c>
      <c r="X15" s="632">
        <f>IF(ISERROR(S15-T15)=TRUE,"NA",S15-T15)</f>
        <v>14.038654576887552</v>
      </c>
      <c r="Y15" s="632"/>
      <c r="Z15" s="632"/>
      <c r="AA15" s="675"/>
      <c r="AB15" s="625"/>
    </row>
    <row r="16" spans="1:29">
      <c r="A16" s="626"/>
      <c r="B16" s="633"/>
      <c r="C16" s="633"/>
      <c r="D16" s="1609"/>
      <c r="E16" s="633"/>
      <c r="F16" s="625"/>
      <c r="G16" s="632"/>
      <c r="H16" s="632">
        <f>IF(ISERROR(C16-D16)=TRUE,"NA",C16-D16)</f>
        <v>0</v>
      </c>
      <c r="I16" s="632"/>
      <c r="J16" s="632"/>
      <c r="K16" s="675"/>
      <c r="L16" s="625"/>
      <c r="Q16" s="626"/>
      <c r="R16" s="633"/>
      <c r="S16" s="633"/>
      <c r="T16" s="633"/>
      <c r="U16" s="633"/>
      <c r="V16" s="625"/>
      <c r="W16" s="632"/>
      <c r="X16" s="632">
        <f>IF(ISERROR(S16-T16)=TRUE,"NA",S16-T16)</f>
        <v>0</v>
      </c>
      <c r="Y16" s="632"/>
      <c r="Z16" s="632"/>
      <c r="AA16" s="675"/>
      <c r="AB16" s="625"/>
    </row>
    <row r="17" spans="1:29">
      <c r="A17" s="626" t="s">
        <v>268</v>
      </c>
      <c r="B17" s="631">
        <f>sumry!CK23</f>
        <v>78</v>
      </c>
      <c r="C17" s="631">
        <f>sumry!CP23</f>
        <v>82.90000000000002</v>
      </c>
      <c r="D17" s="1607">
        <v>99.832884804780861</v>
      </c>
      <c r="E17" s="631">
        <f>E15-E19</f>
        <v>100.23000000000002</v>
      </c>
      <c r="F17" s="625"/>
      <c r="G17" s="632">
        <f>IF(ISERROR(C17-B17)=TRUE,"NA",C17-B17)</f>
        <v>4.9000000000000199</v>
      </c>
      <c r="H17" s="632">
        <f>IF(ISERROR(C17-D17)=TRUE,"NA",C17-D17)</f>
        <v>-16.932884804780841</v>
      </c>
      <c r="I17" s="632"/>
      <c r="J17" s="632"/>
      <c r="K17" s="675"/>
      <c r="L17" s="625"/>
      <c r="Q17" s="626" t="s">
        <v>268</v>
      </c>
      <c r="R17" s="631">
        <f>sumry!BP23</f>
        <v>108.3</v>
      </c>
      <c r="S17" s="631">
        <f>sumry!BU23</f>
        <v>105.379</v>
      </c>
      <c r="T17" s="631">
        <v>102.04370398962709</v>
      </c>
      <c r="U17" s="631">
        <f>U15-U19</f>
        <v>107.10999999999999</v>
      </c>
      <c r="V17" s="625"/>
      <c r="W17" s="632">
        <f>IF(ISERROR(S17-R17)=TRUE,"NA",S17-R17)</f>
        <v>-2.9209999999999923</v>
      </c>
      <c r="X17" s="632">
        <f>IF(ISERROR(S17-T17)=TRUE,"NA",S17-T17)</f>
        <v>3.3352960103729146</v>
      </c>
      <c r="Y17" s="632"/>
      <c r="Z17" s="632"/>
      <c r="AA17" s="675"/>
      <c r="AB17" s="625"/>
    </row>
    <row r="18" spans="1:29">
      <c r="A18" s="626"/>
      <c r="B18" s="631"/>
      <c r="C18" s="631"/>
      <c r="D18" s="1608"/>
      <c r="E18" s="631"/>
      <c r="F18" s="625"/>
      <c r="G18" s="632"/>
      <c r="H18" s="632"/>
      <c r="I18" s="632"/>
      <c r="J18" s="632"/>
      <c r="K18" s="675"/>
      <c r="L18" s="625"/>
      <c r="Q18" s="626"/>
      <c r="R18" s="631"/>
      <c r="S18" s="631"/>
      <c r="T18" s="631"/>
      <c r="U18" s="631"/>
      <c r="V18" s="625"/>
      <c r="W18" s="632"/>
      <c r="X18" s="632"/>
      <c r="Y18" s="632"/>
      <c r="Z18" s="632"/>
      <c r="AA18" s="675"/>
      <c r="AB18" s="625"/>
    </row>
    <row r="19" spans="1:29">
      <c r="A19" s="626" t="s">
        <v>203</v>
      </c>
      <c r="B19" s="631">
        <f>sumry!CK26</f>
        <v>211.20000000000016</v>
      </c>
      <c r="C19" s="631">
        <f>sumry!CP26</f>
        <v>306.19999999999993</v>
      </c>
      <c r="D19" s="1604">
        <v>244.41844210825661</v>
      </c>
      <c r="E19" s="721">
        <v>252.39</v>
      </c>
      <c r="F19" s="625"/>
      <c r="G19" s="632">
        <f>IF(ISERROR(C19-B19)=TRUE,"NA",C19-B19)</f>
        <v>94.999999999999773</v>
      </c>
      <c r="H19" s="632">
        <f>IF(ISERROR(C19-D19)=TRUE,"NA",C19-D19)</f>
        <v>61.781557891743319</v>
      </c>
      <c r="I19" s="632">
        <f>IF(ISERROR(C19-E19)=TRUE,"NA",C19-E19)</f>
        <v>53.809999999999945</v>
      </c>
      <c r="J19" s="628">
        <f>IF(ISERROR(D19-E19)=TRUE,"NA",D19-E19)</f>
        <v>-7.9715578917433731</v>
      </c>
      <c r="K19" s="675"/>
      <c r="L19" s="625"/>
      <c r="Q19" s="626" t="s">
        <v>203</v>
      </c>
      <c r="R19" s="631">
        <f>sumry!BP26</f>
        <v>221.38099999999986</v>
      </c>
      <c r="S19" s="631">
        <f>sumry!BU26</f>
        <v>217.88299999999992</v>
      </c>
      <c r="T19" s="631">
        <v>207.1796414334853</v>
      </c>
      <c r="U19" s="631">
        <v>216.97</v>
      </c>
      <c r="V19" s="625"/>
      <c r="W19" s="632">
        <f>IF(ISERROR(S19-R19)=TRUE,"NA",S19-R19)</f>
        <v>-3.4979999999999336</v>
      </c>
      <c r="X19" s="632">
        <f>IF(ISERROR(S19-T19)=TRUE,"NA",S19-T19)</f>
        <v>10.703358566514623</v>
      </c>
      <c r="Y19" s="632">
        <f>IF(ISERROR(S19-U19)=TRUE,"NA",S19-U19)</f>
        <v>0.91299999999992565</v>
      </c>
      <c r="Z19" s="628">
        <f>IF(ISERROR(T19-U19)=TRUE,"NA",T19-U19)</f>
        <v>-9.7903585665146977</v>
      </c>
      <c r="AA19" s="675"/>
      <c r="AB19" s="625"/>
    </row>
    <row r="20" spans="1:29">
      <c r="A20" s="626"/>
      <c r="B20" s="631"/>
      <c r="C20" s="631"/>
      <c r="D20" s="1608"/>
      <c r="E20" s="2381"/>
      <c r="F20" s="625"/>
      <c r="G20" s="628"/>
      <c r="H20" s="628"/>
      <c r="I20" s="628"/>
      <c r="J20" s="628"/>
      <c r="K20" s="675"/>
      <c r="L20" s="625"/>
      <c r="Q20" s="626"/>
      <c r="R20" s="631"/>
      <c r="S20" s="631"/>
      <c r="T20" s="631"/>
      <c r="U20" s="631"/>
      <c r="V20" s="625"/>
      <c r="W20" s="628"/>
      <c r="X20" s="628"/>
      <c r="Y20" s="628"/>
      <c r="Z20" s="628"/>
      <c r="AA20" s="675"/>
      <c r="AB20" s="625"/>
    </row>
    <row r="21" spans="1:29">
      <c r="A21" s="626" t="s">
        <v>273</v>
      </c>
      <c r="B21" s="634">
        <f>sumry!CK28</f>
        <v>0.74946770759403891</v>
      </c>
      <c r="C21" s="634">
        <f>sumry!CP28</f>
        <v>1.0691340782122905</v>
      </c>
      <c r="D21" s="1610">
        <v>0.85152811485077451</v>
      </c>
      <c r="E21" s="1619">
        <v>0.89</v>
      </c>
      <c r="F21" s="625"/>
      <c r="G21" s="635">
        <f>IF(ISERROR(C21-B21)=TRUE,"NA",C21-B21)</f>
        <v>0.31966637061825154</v>
      </c>
      <c r="H21" s="635">
        <f>IF(ISERROR(C21-D21)=TRUE,"NA",C21-D21)</f>
        <v>0.21760596336151594</v>
      </c>
      <c r="I21" s="635">
        <f>IF(ISERROR(C21-E21)=TRUE,"NA",C21-E21)</f>
        <v>0.17913407821229044</v>
      </c>
      <c r="J21" s="672">
        <f>IF(ISERROR(D21-E21)=TRUE,"NA",D21-E21)</f>
        <v>-3.8471885149225504E-2</v>
      </c>
      <c r="K21" s="675"/>
      <c r="L21" s="625"/>
      <c r="Q21" s="626" t="s">
        <v>273</v>
      </c>
      <c r="R21" s="634">
        <f>sumry!BP28</f>
        <v>0.76735979923534681</v>
      </c>
      <c r="S21" s="634">
        <f>sumry!BU28</f>
        <v>0.76581034961495587</v>
      </c>
      <c r="T21" s="634">
        <v>0.73072418224230729</v>
      </c>
      <c r="U21" s="634">
        <v>0.76</v>
      </c>
      <c r="V21" s="625"/>
      <c r="W21" s="635">
        <f>IF(ISERROR(S21-R21)=TRUE,"NA",S21-R21)</f>
        <v>-1.5494496203909414E-3</v>
      </c>
      <c r="X21" s="635">
        <f>IF(ISERROR(S21-T21)=TRUE,"NA",S21-T21)</f>
        <v>3.508616737264858E-2</v>
      </c>
      <c r="Y21" s="635">
        <f>IF(ISERROR(S21-U21)=TRUE,"NA",S21-U21)</f>
        <v>5.8103496149558564E-3</v>
      </c>
      <c r="Z21" s="672">
        <f>IF(ISERROR(T21-U21)=TRUE,"NA",T21-U21)</f>
        <v>-2.9275817757692724E-2</v>
      </c>
      <c r="AA21" s="675"/>
      <c r="AB21" s="625"/>
    </row>
    <row r="22" spans="1:29">
      <c r="A22" s="626" t="s">
        <v>204</v>
      </c>
      <c r="B22" s="631">
        <f>sumry!CK29</f>
        <v>281.8</v>
      </c>
      <c r="C22" s="631">
        <f>sumry!CP29</f>
        <v>286.39999999999998</v>
      </c>
      <c r="D22" s="1611">
        <v>287.03508180829658</v>
      </c>
      <c r="E22" s="631"/>
      <c r="F22" s="625"/>
      <c r="G22" s="636">
        <f>IF(ISERROR(C22-B22)=TRUE,"NA",C22-B22)</f>
        <v>4.5999999999999659</v>
      </c>
      <c r="H22" s="636">
        <f>IF(ISERROR(C22-D22)=TRUE,"NA",C22-D22)</f>
        <v>-0.63508180829660432</v>
      </c>
      <c r="I22" s="632"/>
      <c r="J22" s="632"/>
      <c r="K22" s="675"/>
      <c r="L22" s="625"/>
      <c r="Q22" s="626" t="s">
        <v>204</v>
      </c>
      <c r="R22" s="631">
        <f>sumry!BP29</f>
        <v>288.49700000000001</v>
      </c>
      <c r="S22" s="631">
        <f>sumry!BU29</f>
        <v>284.51299999999998</v>
      </c>
      <c r="T22" s="631">
        <v>283.52646110291829</v>
      </c>
      <c r="U22" s="631">
        <f>U19/U21</f>
        <v>285.48684210526318</v>
      </c>
      <c r="V22" s="625"/>
      <c r="W22" s="636">
        <f>IF(ISERROR(S22-R22)=TRUE,"NA",S22-R22)</f>
        <v>-3.9840000000000373</v>
      </c>
      <c r="X22" s="636">
        <f>IF(ISERROR(S22-T22)=TRUE,"NA",S22-T22)</f>
        <v>0.98653889708168663</v>
      </c>
      <c r="Y22" s="632"/>
      <c r="Z22" s="632"/>
      <c r="AA22" s="675"/>
      <c r="AB22" s="625"/>
    </row>
    <row r="23" spans="1:29">
      <c r="A23" s="626"/>
      <c r="B23" s="631"/>
      <c r="C23" s="631"/>
      <c r="D23" s="1677"/>
      <c r="E23" s="631"/>
      <c r="F23" s="625"/>
      <c r="G23" s="632"/>
      <c r="H23" s="632"/>
      <c r="I23" s="632"/>
      <c r="J23" s="632"/>
      <c r="K23" s="675"/>
      <c r="L23" s="625"/>
      <c r="Q23" s="626"/>
      <c r="R23" s="631"/>
      <c r="S23" s="631"/>
      <c r="T23" s="631"/>
      <c r="U23" s="631"/>
      <c r="V23" s="625"/>
      <c r="W23" s="632"/>
      <c r="X23" s="632"/>
      <c r="Y23" s="632"/>
      <c r="Z23" s="632"/>
      <c r="AA23" s="675"/>
      <c r="AB23" s="625"/>
    </row>
    <row r="24" spans="1:29">
      <c r="A24" s="637" t="s">
        <v>96</v>
      </c>
      <c r="B24" s="638"/>
      <c r="C24" s="638"/>
      <c r="D24" s="1612"/>
      <c r="E24" s="638"/>
      <c r="F24" s="625"/>
      <c r="G24" s="638"/>
      <c r="H24" s="638"/>
      <c r="I24" s="638"/>
      <c r="J24" s="638"/>
      <c r="K24" s="675"/>
      <c r="L24" s="625"/>
      <c r="Q24" s="637" t="s">
        <v>96</v>
      </c>
      <c r="R24" s="638"/>
      <c r="S24" s="638"/>
      <c r="T24" s="638"/>
      <c r="U24" s="638"/>
      <c r="V24" s="625"/>
      <c r="W24" s="638"/>
      <c r="X24" s="638"/>
      <c r="Y24" s="638"/>
      <c r="Z24" s="638"/>
      <c r="AA24" s="675"/>
      <c r="AB24" s="625"/>
    </row>
    <row r="25" spans="1:29">
      <c r="A25" s="626" t="s">
        <v>97</v>
      </c>
      <c r="B25" s="629">
        <f>sumry!CK39</f>
        <v>0.68578346069456009</v>
      </c>
      <c r="C25" s="629">
        <f>sumry!CP39</f>
        <v>0.6699159663865546</v>
      </c>
      <c r="D25" s="1613">
        <v>0.66200000000000003</v>
      </c>
      <c r="E25" s="1616">
        <v>0.66300000000000003</v>
      </c>
      <c r="F25" s="625"/>
      <c r="G25" s="630">
        <f t="shared" ref="G25:G30" si="0">IF(ISERROR((C25-B25)*10000)=TRUE,"NA",(C25-B25)*10000)</f>
        <v>-158.67494308005493</v>
      </c>
      <c r="H25" s="630">
        <f t="shared" ref="H25:H30" si="1">IF(ISERROR((C25-D25)*10000)=TRUE,"NA",(C25-D25)*10000)</f>
        <v>79.159663865545625</v>
      </c>
      <c r="I25" s="630">
        <f t="shared" ref="I25:I30" si="2">IF(ISERROR((C25-E25)*10000)=TRUE,"NA",(C25-E25)*10000)</f>
        <v>69.15966386554561</v>
      </c>
      <c r="J25" s="630">
        <f>IF(ISERROR((D25-E25)*10000)=TRUE,"NA",(D25-E25)*10000)</f>
        <v>-10.000000000000009</v>
      </c>
      <c r="K25" s="675"/>
      <c r="L25" s="645" t="s">
        <v>520</v>
      </c>
      <c r="Q25" s="626" t="s">
        <v>97</v>
      </c>
      <c r="R25" s="629">
        <f>sumry!BP39</f>
        <v>0.72774615748912896</v>
      </c>
      <c r="S25" s="629">
        <f>sumry!BU39</f>
        <v>0.71828443811046616</v>
      </c>
      <c r="T25" s="629">
        <v>0.70900000000000007</v>
      </c>
      <c r="U25" s="629">
        <v>0.71840000000000004</v>
      </c>
      <c r="V25" s="625"/>
      <c r="W25" s="630">
        <f t="shared" ref="W25:W30" si="3">IF(ISERROR((S25-R25)*10000)=TRUE,"NA",(S25-R25)*10000)</f>
        <v>-94.617193786628036</v>
      </c>
      <c r="X25" s="630">
        <f t="shared" ref="X25:X30" si="4">IF(ISERROR((S25-T25)*10000)=TRUE,"NA",(S25-T25)*10000)</f>
        <v>92.844381104660869</v>
      </c>
      <c r="Y25" s="630">
        <f t="shared" ref="Y25:Y30" si="5">IF(ISERROR((S25-U25)*10000)=TRUE,"NA",(S25-U25)*10000)</f>
        <v>-1.1556188953387725</v>
      </c>
      <c r="Z25" s="630">
        <f>IF(ISERROR((T25-U25)*10000)=TRUE,"NA",(T25-U25)*10000)</f>
        <v>-93.999999999999645</v>
      </c>
      <c r="AA25" s="675"/>
      <c r="AB25" s="645" t="s">
        <v>529</v>
      </c>
    </row>
    <row r="26" spans="1:29">
      <c r="A26" s="626" t="s">
        <v>98</v>
      </c>
      <c r="B26" s="629">
        <f>sumry!CK40</f>
        <v>0.46311568434591804</v>
      </c>
      <c r="C26" s="629">
        <f>sumry!CP40</f>
        <v>0.43949579831932772</v>
      </c>
      <c r="D26" s="1613">
        <v>0.45400000000000001</v>
      </c>
      <c r="E26" s="629">
        <f>E25-E27</f>
        <v>0.45100000000000007</v>
      </c>
      <c r="F26" s="625"/>
      <c r="G26" s="630">
        <f t="shared" si="0"/>
        <v>-236.19886026590319</v>
      </c>
      <c r="H26" s="630">
        <f t="shared" si="1"/>
        <v>-145.0420168067229</v>
      </c>
      <c r="I26" s="630">
        <f t="shared" si="2"/>
        <v>-115.04201680672344</v>
      </c>
      <c r="J26" s="630">
        <f>IF(ISERROR((D26-E26)*10000)=TRUE,"NA",(D26-E26)*10000)</f>
        <v>29.999999999999471</v>
      </c>
      <c r="K26" s="675"/>
      <c r="L26" s="645" t="s">
        <v>521</v>
      </c>
      <c r="Q26" s="626" t="s">
        <v>98</v>
      </c>
      <c r="R26" s="629">
        <f>sumry!BP40</f>
        <v>0.44211564127954539</v>
      </c>
      <c r="S26" s="629">
        <f>sumry!BU40</f>
        <v>0.438787410059439</v>
      </c>
      <c r="T26" s="629">
        <v>0.44411564127954545</v>
      </c>
      <c r="U26" s="629">
        <f>U9/U4</f>
        <v>0.44596310573520387</v>
      </c>
      <c r="V26" s="625"/>
      <c r="W26" s="630">
        <f t="shared" si="3"/>
        <v>-33.282312201063924</v>
      </c>
      <c r="X26" s="630">
        <f t="shared" si="4"/>
        <v>-53.282312201064499</v>
      </c>
      <c r="Y26" s="630">
        <f t="shared" si="5"/>
        <v>-71.756956757648709</v>
      </c>
      <c r="Z26" s="630">
        <f>IF(ISERROR((T26-U26)*10000)=TRUE,"NA",(T26-U26)*10000)</f>
        <v>-18.474644556584209</v>
      </c>
      <c r="AA26" s="675"/>
      <c r="AB26" s="645" t="s">
        <v>530</v>
      </c>
    </row>
    <row r="27" spans="1:29">
      <c r="A27" s="626" t="s">
        <v>49</v>
      </c>
      <c r="B27" s="629">
        <f>sumry!CK41</f>
        <v>0.22266777634864204</v>
      </c>
      <c r="C27" s="629">
        <f>sumry!CP41</f>
        <v>0.23042016806722687</v>
      </c>
      <c r="D27" s="1613">
        <v>0.20799999999999996</v>
      </c>
      <c r="E27" s="629">
        <f>E11/E4</f>
        <v>0.21199999999999999</v>
      </c>
      <c r="F27" s="625"/>
      <c r="G27" s="630">
        <f t="shared" si="0"/>
        <v>77.523917185848276</v>
      </c>
      <c r="H27" s="630">
        <f t="shared" si="1"/>
        <v>224.20168067226908</v>
      </c>
      <c r="I27" s="630">
        <f t="shared" si="2"/>
        <v>184.20168067226876</v>
      </c>
      <c r="J27" s="630">
        <f>IF(ISERROR((D27-E27)*10000)=TRUE,"NA",(D27-E27)*10000)</f>
        <v>-40.000000000000313</v>
      </c>
      <c r="K27" s="675"/>
      <c r="L27" s="645" t="s">
        <v>522</v>
      </c>
      <c r="Q27" s="626" t="s">
        <v>49</v>
      </c>
      <c r="R27" s="629">
        <f>sumry!BP41</f>
        <v>0.28563051620958357</v>
      </c>
      <c r="S27" s="629">
        <f>sumry!BU41</f>
        <v>0.27949702805102711</v>
      </c>
      <c r="T27" s="629">
        <v>0.26488435872045468</v>
      </c>
      <c r="U27" s="629">
        <f>U11/U4</f>
        <v>0.27243689426479611</v>
      </c>
      <c r="V27" s="625"/>
      <c r="W27" s="630">
        <f t="shared" si="3"/>
        <v>-61.334881585564659</v>
      </c>
      <c r="X27" s="630">
        <f t="shared" si="4"/>
        <v>146.12669330572425</v>
      </c>
      <c r="Y27" s="630">
        <f t="shared" si="5"/>
        <v>70.601337862309933</v>
      </c>
      <c r="Z27" s="630">
        <f>IF(ISERROR((T27-U27)*10000)=TRUE,"NA",(T27-U27)*10000)</f>
        <v>-75.525355443414327</v>
      </c>
      <c r="AA27" s="675"/>
      <c r="AB27" s="645" t="s">
        <v>531</v>
      </c>
    </row>
    <row r="28" spans="1:29">
      <c r="A28" s="626" t="s">
        <v>99</v>
      </c>
      <c r="B28" s="629">
        <f>sumry!CK43</f>
        <v>0.21880910948021498</v>
      </c>
      <c r="C28" s="629">
        <f>sumry!CP43</f>
        <v>0.21798319327731092</v>
      </c>
      <c r="D28" s="1613">
        <v>0.19630984376098892</v>
      </c>
      <c r="E28" s="629"/>
      <c r="F28" s="625"/>
      <c r="G28" s="630">
        <f t="shared" si="0"/>
        <v>-8.2591620290406453</v>
      </c>
      <c r="H28" s="630">
        <f t="shared" si="1"/>
        <v>216.73349516321994</v>
      </c>
      <c r="I28" s="630">
        <f t="shared" si="2"/>
        <v>2179.8319327731092</v>
      </c>
      <c r="J28" s="630"/>
      <c r="K28" s="675"/>
      <c r="L28" s="625"/>
      <c r="Q28" s="626" t="s">
        <v>99</v>
      </c>
      <c r="R28" s="629">
        <f>sumry!BP43</f>
        <v>0.28387738407887364</v>
      </c>
      <c r="S28" s="629">
        <f>sumry!BU43</f>
        <v>0.28091174528137919</v>
      </c>
      <c r="T28" s="629">
        <v>0.26403050822007024</v>
      </c>
      <c r="U28" s="629">
        <f>U15/U4</f>
        <v>0.27241167718779152</v>
      </c>
      <c r="V28" s="625"/>
      <c r="W28" s="630">
        <f t="shared" si="3"/>
        <v>-29.656387974944522</v>
      </c>
      <c r="X28" s="630">
        <f t="shared" si="4"/>
        <v>168.81237061308951</v>
      </c>
      <c r="Y28" s="630">
        <f t="shared" si="5"/>
        <v>85.000680935876645</v>
      </c>
      <c r="Z28" s="630"/>
      <c r="AA28" s="675"/>
      <c r="AB28" s="625"/>
    </row>
    <row r="29" spans="1:29">
      <c r="A29" s="626" t="s">
        <v>39</v>
      </c>
      <c r="B29" s="629">
        <f>sumry!CK44</f>
        <v>0.2697095435684646</v>
      </c>
      <c r="C29" s="629">
        <f>sumry!CP44</f>
        <v>0.21305576972500651</v>
      </c>
      <c r="D29" s="1613">
        <v>0.28999999999999998</v>
      </c>
      <c r="E29" s="673"/>
      <c r="F29" s="629"/>
      <c r="G29" s="630">
        <f t="shared" si="0"/>
        <v>-566.537738434581</v>
      </c>
      <c r="H29" s="630">
        <f t="shared" si="1"/>
        <v>-769.4423027499347</v>
      </c>
      <c r="I29" s="630">
        <f t="shared" si="2"/>
        <v>2130.5576972500648</v>
      </c>
      <c r="J29" s="630"/>
      <c r="K29" s="675"/>
      <c r="L29" s="694" t="s">
        <v>412</v>
      </c>
      <c r="Q29" s="626" t="s">
        <v>39</v>
      </c>
      <c r="R29" s="629">
        <f>sumry!BP44</f>
        <v>0.32849936757046977</v>
      </c>
      <c r="S29" s="629">
        <f>sumry!BU44</f>
        <v>0.3259863516280912</v>
      </c>
      <c r="T29" s="629">
        <v>0.33</v>
      </c>
      <c r="U29" s="673">
        <f>U17/U15</f>
        <v>0.3305048136262651</v>
      </c>
      <c r="V29" s="629"/>
      <c r="W29" s="630">
        <f t="shared" si="3"/>
        <v>-25.130159423785713</v>
      </c>
      <c r="X29" s="630">
        <f t="shared" si="4"/>
        <v>-40.136483719088176</v>
      </c>
      <c r="Y29" s="630">
        <f t="shared" si="5"/>
        <v>-45.184619981739061</v>
      </c>
      <c r="Z29" s="630"/>
      <c r="AA29" s="675"/>
      <c r="AB29" s="694" t="s">
        <v>532</v>
      </c>
      <c r="AC29" s="652"/>
    </row>
    <row r="30" spans="1:29">
      <c r="A30" s="626" t="s">
        <v>50</v>
      </c>
      <c r="B30" s="629">
        <f>sumry!CK45</f>
        <v>0.159794204433684</v>
      </c>
      <c r="C30" s="629">
        <f>sumry!CP45</f>
        <v>0.17154061624649855</v>
      </c>
      <c r="D30" s="1613">
        <v>0.13937998907030213</v>
      </c>
      <c r="E30" s="673"/>
      <c r="F30" s="629"/>
      <c r="G30" s="630">
        <f t="shared" si="0"/>
        <v>117.4641181281455</v>
      </c>
      <c r="H30" s="630">
        <f t="shared" si="1"/>
        <v>321.60627176196414</v>
      </c>
      <c r="I30" s="630">
        <f t="shared" si="2"/>
        <v>1715.4061624649855</v>
      </c>
      <c r="J30" s="630">
        <f>IF(ISERROR((D30-E30)*10000)=TRUE,"NA",(D30-E30)*10000)</f>
        <v>1393.7998907030214</v>
      </c>
      <c r="K30" s="675"/>
      <c r="L30" s="675"/>
      <c r="Q30" s="626" t="s">
        <v>50</v>
      </c>
      <c r="R30" s="629">
        <f>sumry!BP45</f>
        <v>0.1906238429414043</v>
      </c>
      <c r="S30" s="629">
        <f>sumry!BU45</f>
        <v>0.18933835030762272</v>
      </c>
      <c r="T30" s="629">
        <v>0.17690044050744708</v>
      </c>
      <c r="U30" s="639">
        <f>U19/U4</f>
        <v>0.18237830658922222</v>
      </c>
      <c r="V30" s="629"/>
      <c r="W30" s="630">
        <f t="shared" si="3"/>
        <v>-12.854926337815819</v>
      </c>
      <c r="X30" s="630">
        <f t="shared" si="4"/>
        <v>124.37909800175645</v>
      </c>
      <c r="Y30" s="630">
        <f t="shared" si="5"/>
        <v>69.600437184005045</v>
      </c>
      <c r="Z30" s="630">
        <f>IF(ISERROR((T30-U30)*10000)=TRUE,"NA",(T30-U30)*10000)</f>
        <v>-54.778660817751401</v>
      </c>
      <c r="AA30" s="675"/>
      <c r="AB30" s="675"/>
    </row>
    <row r="31" spans="1:29">
      <c r="A31" s="626"/>
      <c r="B31" s="629"/>
      <c r="C31" s="629"/>
      <c r="D31" s="1605"/>
      <c r="E31" s="625"/>
      <c r="F31" s="629"/>
      <c r="G31" s="630"/>
      <c r="H31" s="630"/>
      <c r="I31" s="630"/>
      <c r="J31" s="630"/>
      <c r="K31" s="675"/>
      <c r="L31" s="675"/>
      <c r="Q31" s="626"/>
      <c r="R31" s="629"/>
      <c r="S31" s="629"/>
      <c r="T31" s="629"/>
      <c r="U31" s="625"/>
      <c r="V31" s="629"/>
      <c r="W31" s="630"/>
      <c r="X31" s="630"/>
      <c r="Y31" s="630"/>
      <c r="Z31" s="630"/>
      <c r="AA31" s="675"/>
      <c r="AB31" s="675"/>
    </row>
    <row r="32" spans="1:29">
      <c r="A32" s="637" t="s">
        <v>100</v>
      </c>
      <c r="B32" s="629"/>
      <c r="C32" s="629"/>
      <c r="D32" s="1605"/>
      <c r="E32" s="625"/>
      <c r="F32" s="629"/>
      <c r="G32" s="630"/>
      <c r="H32" s="630"/>
      <c r="I32" s="630"/>
      <c r="J32" s="630"/>
      <c r="K32" s="675"/>
      <c r="L32" s="675"/>
      <c r="Q32" s="637" t="s">
        <v>100</v>
      </c>
      <c r="R32" s="629"/>
      <c r="S32" s="629"/>
      <c r="T32" s="629"/>
      <c r="U32" s="625"/>
      <c r="V32" s="629"/>
      <c r="W32" s="630"/>
      <c r="X32" s="630"/>
      <c r="Y32" s="630"/>
      <c r="Z32" s="630"/>
      <c r="AA32" s="675"/>
      <c r="AB32" s="675"/>
    </row>
    <row r="33" spans="1:29">
      <c r="A33" s="626" t="s">
        <v>482</v>
      </c>
      <c r="B33" s="629">
        <f>sumry!CK49</f>
        <v>3.7604019469304584E-2</v>
      </c>
      <c r="C33" s="629">
        <f>sumry!CP49</f>
        <v>0.35053340394945898</v>
      </c>
      <c r="D33" s="1613">
        <v>0.32678531332403171</v>
      </c>
      <c r="E33" s="629">
        <f>E4/B4-1</f>
        <v>0.34145418778845427</v>
      </c>
      <c r="F33" s="629"/>
      <c r="G33" s="630"/>
      <c r="H33" s="639"/>
      <c r="I33" s="630"/>
      <c r="J33" s="630">
        <f>IF(ISERROR((D33-E33)*10000)=TRUE,"NA",(D33-E33)*10000)</f>
        <v>-146.68874464422555</v>
      </c>
      <c r="K33" s="675"/>
      <c r="L33" s="676"/>
      <c r="Q33" s="626" t="s">
        <v>482</v>
      </c>
      <c r="R33" s="629">
        <f>sumry!BP49</f>
        <v>0.10566958535129412</v>
      </c>
      <c r="S33" s="629">
        <f>sumry!BU49</f>
        <v>-9.1186980669047957E-3</v>
      </c>
      <c r="T33" s="629">
        <v>8.4515514766914102E-3</v>
      </c>
      <c r="U33" s="673">
        <f>U4/R4-1</f>
        <v>2.4385413527360456E-2</v>
      </c>
      <c r="V33" s="629"/>
      <c r="W33" s="630"/>
      <c r="X33" s="639"/>
      <c r="Y33" s="630"/>
      <c r="Z33" s="630">
        <f>IF(ISERROR((T33-U33)*10000)=TRUE,"NA",(T33-U33)*10000)</f>
        <v>-159.33862050669046</v>
      </c>
      <c r="AA33" s="675"/>
      <c r="AB33" s="676"/>
    </row>
    <row r="34" spans="1:29">
      <c r="A34" s="626" t="s">
        <v>910</v>
      </c>
      <c r="B34" s="629">
        <f>sumry!CK50</f>
        <v>2.7999999999999997E-2</v>
      </c>
      <c r="C34" s="629">
        <f>sumry!CP50</f>
        <v>0.03</v>
      </c>
      <c r="D34" s="1613">
        <v>0.01</v>
      </c>
      <c r="E34" s="1616">
        <v>1.7000000000000001E-2</v>
      </c>
      <c r="F34" s="629"/>
      <c r="G34" s="630"/>
      <c r="H34" s="630">
        <f>IF(ISERROR((C34-D34)*10000)=TRUE,"NA",(C34-D34)*10000)</f>
        <v>199.99999999999997</v>
      </c>
      <c r="I34" s="630">
        <f>IF(ISERROR((C34-E34)*10000)=TRUE,"NA",(C34-E34)*10000)</f>
        <v>129.99999999999997</v>
      </c>
      <c r="J34" s="630">
        <f>IF(ISERROR((D34-E34)*10000)=TRUE,"NA",(D34-E34)*10000)</f>
        <v>-70.000000000000014</v>
      </c>
      <c r="K34" s="675"/>
      <c r="L34" s="694" t="s">
        <v>523</v>
      </c>
      <c r="Q34" s="626" t="s">
        <v>205</v>
      </c>
      <c r="R34" s="629">
        <f>sumry!BP50</f>
        <v>5.5E-2</v>
      </c>
      <c r="S34" s="629">
        <f>sumry!BU50</f>
        <v>-6.8000000000000005E-2</v>
      </c>
      <c r="T34" s="629">
        <v>-4.4974999999999994E-2</v>
      </c>
      <c r="U34" s="629">
        <v>-3.3500000000000002E-2</v>
      </c>
      <c r="V34" s="629"/>
      <c r="W34" s="630"/>
      <c r="X34" s="640" t="s">
        <v>206</v>
      </c>
      <c r="Y34" s="630">
        <f>IF(ISERROR((S34-U34)*10000)=TRUE,"NA",(S34-U34)*10000)</f>
        <v>-345.00000000000006</v>
      </c>
      <c r="Z34" s="630">
        <f>IF(ISERROR((T34-U34)*10000)=TRUE,"NA",(T34-U34)*10000)</f>
        <v>-114.74999999999991</v>
      </c>
      <c r="AA34" s="675"/>
      <c r="AB34" s="676"/>
      <c r="AC34" s="5"/>
    </row>
    <row r="35" spans="1:29">
      <c r="A35" s="626" t="s">
        <v>101</v>
      </c>
      <c r="B35" s="629">
        <f>sumry!CK52</f>
        <v>6.6190559136038774E-2</v>
      </c>
      <c r="C35" s="629">
        <f>sumry!CP52</f>
        <v>0.28165332462016024</v>
      </c>
      <c r="D35" s="1613">
        <v>0.30066968709957442</v>
      </c>
      <c r="E35" s="673">
        <f>E9/B9-1</f>
        <v>0.30636007188367942</v>
      </c>
      <c r="F35" s="629"/>
      <c r="G35" s="630"/>
      <c r="H35" s="630"/>
      <c r="I35" s="629"/>
      <c r="J35" s="630">
        <f>IF(ISERROR((D35-E35)*10000)=TRUE,"NA",(D35-E35)*10000)</f>
        <v>-56.903847841049959</v>
      </c>
      <c r="K35" s="675"/>
      <c r="L35" s="675"/>
      <c r="Q35" s="626" t="s">
        <v>101</v>
      </c>
      <c r="R35" s="629">
        <f>sumry!BP52</f>
        <v>0.15985109117728791</v>
      </c>
      <c r="S35" s="629">
        <f>sumry!BU52</f>
        <v>-1.6578018155578578E-2</v>
      </c>
      <c r="T35" s="629">
        <v>1.3013487121212419E-2</v>
      </c>
      <c r="U35" s="673">
        <f>U9/R9-1</f>
        <v>3.3300018891773586E-2</v>
      </c>
      <c r="V35" s="629"/>
      <c r="W35" s="630"/>
      <c r="X35" s="630"/>
      <c r="Y35" s="629"/>
      <c r="Z35" s="630">
        <f>IF(ISERROR((T35-U35)*10000)=TRUE,"NA",(T35-U35)*10000)</f>
        <v>-202.86531770561166</v>
      </c>
      <c r="AA35" s="675"/>
      <c r="AB35" s="675"/>
    </row>
    <row r="36" spans="1:29">
      <c r="A36" s="626" t="s">
        <v>106</v>
      </c>
      <c r="B36" s="629">
        <f>sumry!CK53</f>
        <v>3.2631578947369455E-2</v>
      </c>
      <c r="C36" s="629">
        <f>sumry!CP53</f>
        <v>0.39755351681957074</v>
      </c>
      <c r="D36" s="1614">
        <v>0.23938609212720774</v>
      </c>
      <c r="E36" s="673">
        <f>E11/B11-1</f>
        <v>0.27718654434250678</v>
      </c>
      <c r="F36" s="629"/>
      <c r="G36" s="630"/>
      <c r="H36" s="630"/>
      <c r="I36" s="629"/>
      <c r="J36" s="630">
        <f>IF(ISERROR((D36-E36)*10000)=TRUE,"NA",(D36-E36)*10000)</f>
        <v>-378.00452215299043</v>
      </c>
      <c r="K36" s="675"/>
      <c r="L36" s="675"/>
      <c r="Q36" s="626" t="s">
        <v>106</v>
      </c>
      <c r="R36" s="629">
        <f>sumry!BP53</f>
        <v>3.0285806575849561E-2</v>
      </c>
      <c r="S36" s="629">
        <f>sumry!BU53</f>
        <v>-3.0396392105318415E-2</v>
      </c>
      <c r="T36" s="629">
        <v>-6.4795155439388075E-2</v>
      </c>
      <c r="U36" s="673">
        <f>U11/R11-1</f>
        <v>-2.2932198229212997E-2</v>
      </c>
      <c r="V36" s="629"/>
      <c r="W36" s="630"/>
      <c r="X36" s="630"/>
      <c r="Y36" s="629"/>
      <c r="Z36" s="630">
        <f>IF(ISERROR((T36-U36)*10000)=TRUE,"NA",(T36-U36)*10000)</f>
        <v>-418.6295721017508</v>
      </c>
      <c r="AA36" s="675"/>
      <c r="AB36" s="675"/>
    </row>
    <row r="37" spans="1:29" ht="24" customHeight="1">
      <c r="A37" s="626" t="s">
        <v>107</v>
      </c>
      <c r="B37" s="629">
        <f>sumry!CK54</f>
        <v>0.10749368255934488</v>
      </c>
      <c r="C37" s="629">
        <f>sumry!CP54</f>
        <v>0.42652454185711752</v>
      </c>
      <c r="D37" s="1615">
        <v>0.13617719112191318</v>
      </c>
      <c r="E37" s="629">
        <f>E21/B21-1</f>
        <v>0.1875094696969688</v>
      </c>
      <c r="F37" s="629"/>
      <c r="G37" s="630"/>
      <c r="H37" s="630"/>
      <c r="I37" s="629"/>
      <c r="J37" s="630">
        <f>IF(ISERROR((D37-E37)*10000)=TRUE,"NA",(D37-E37)*10000)</f>
        <v>-513.32278575055625</v>
      </c>
      <c r="K37" s="675"/>
      <c r="L37" s="699" t="s">
        <v>413</v>
      </c>
      <c r="Q37" s="626" t="s">
        <v>107</v>
      </c>
      <c r="R37" s="629">
        <f>sumry!BP54</f>
        <v>5.6784401743443791E-2</v>
      </c>
      <c r="S37" s="629">
        <f>sumry!BU54</f>
        <v>-2.0191957174912067E-3</v>
      </c>
      <c r="T37" s="629">
        <v>-4.7742424126916649E-2</v>
      </c>
      <c r="U37" s="673">
        <f>U21/R21-1</f>
        <v>-9.5910669840675311E-3</v>
      </c>
      <c r="V37" s="629"/>
      <c r="W37" s="630"/>
      <c r="X37" s="630"/>
      <c r="Y37" s="629"/>
      <c r="Z37" s="630">
        <f>IF(ISERROR((T37-U37)*10000)=TRUE,"NA",(T37-U37)*10000)</f>
        <v>-381.51357142849116</v>
      </c>
      <c r="AA37" s="675"/>
      <c r="AB37" s="675"/>
    </row>
    <row r="38" spans="1:29">
      <c r="A38" s="625"/>
      <c r="B38" s="623"/>
      <c r="C38" s="623"/>
      <c r="D38" s="623"/>
      <c r="E38" s="625"/>
      <c r="F38" s="625"/>
      <c r="G38" s="625"/>
      <c r="H38" s="625"/>
      <c r="I38" s="625"/>
      <c r="J38" s="625"/>
      <c r="K38" s="675"/>
      <c r="L38" s="675"/>
      <c r="Q38" s="625"/>
      <c r="R38" s="623"/>
      <c r="S38" s="623"/>
      <c r="T38" s="623"/>
      <c r="U38" s="625"/>
      <c r="V38" s="625"/>
      <c r="W38" s="625"/>
      <c r="X38" s="625"/>
      <c r="Y38" s="625"/>
      <c r="Z38" s="625"/>
      <c r="AA38" s="675"/>
      <c r="AB38" s="675"/>
    </row>
    <row r="39" spans="1:29" hidden="1" outlineLevel="1">
      <c r="A39" s="641" t="s">
        <v>207</v>
      </c>
      <c r="B39" s="625"/>
      <c r="C39" s="625"/>
      <c r="D39" s="625"/>
      <c r="E39" s="625"/>
      <c r="F39" s="625"/>
      <c r="G39" s="625"/>
      <c r="H39" s="625"/>
      <c r="I39" s="625"/>
      <c r="J39" s="625"/>
      <c r="K39" s="675"/>
      <c r="L39" s="675"/>
      <c r="Q39" s="641" t="s">
        <v>207</v>
      </c>
      <c r="R39" s="625"/>
      <c r="S39" s="625"/>
      <c r="T39" s="625"/>
      <c r="U39" s="625"/>
      <c r="V39" s="625"/>
      <c r="W39" s="625"/>
      <c r="X39" s="625"/>
      <c r="Y39" s="625"/>
      <c r="Z39" s="625"/>
      <c r="AA39" s="675"/>
      <c r="AB39" s="675"/>
    </row>
    <row r="40" spans="1:29" hidden="1" outlineLevel="1">
      <c r="A40" s="642" t="s">
        <v>482</v>
      </c>
      <c r="B40" s="625"/>
      <c r="C40" s="625"/>
      <c r="D40" s="625"/>
      <c r="E40" s="625"/>
      <c r="F40" s="625"/>
      <c r="G40" s="625"/>
      <c r="H40" s="643">
        <f>(H4*(C19/C4))/C22</f>
        <v>1.8799900029031945E-2</v>
      </c>
      <c r="I40" s="625"/>
      <c r="J40" s="625"/>
      <c r="K40" s="675"/>
      <c r="L40" s="675"/>
      <c r="Q40" s="642" t="s">
        <v>482</v>
      </c>
      <c r="R40" s="625"/>
      <c r="S40" s="625"/>
      <c r="T40" s="625"/>
      <c r="U40" s="625"/>
      <c r="V40" s="625"/>
      <c r="W40" s="625"/>
      <c r="X40" s="698">
        <f>(X4*(S19/S4))/S22</f>
        <v>-1.3579304523713682E-2</v>
      </c>
      <c r="Y40" s="625"/>
      <c r="Z40" s="625"/>
      <c r="AA40" s="675"/>
      <c r="AB40" s="675"/>
    </row>
    <row r="41" spans="1:29" hidden="1" outlineLevel="1">
      <c r="A41" s="642" t="s">
        <v>47</v>
      </c>
      <c r="B41" s="625"/>
      <c r="C41" s="625"/>
      <c r="D41" s="625"/>
      <c r="E41" s="625"/>
      <c r="F41" s="625"/>
      <c r="G41" s="625"/>
      <c r="H41" s="643">
        <f>(((C25*D4)-D8)*(1-C29))/C22</f>
        <v>3.8142436231635886E-2</v>
      </c>
      <c r="I41" s="625"/>
      <c r="J41" s="625"/>
      <c r="K41" s="675"/>
      <c r="L41" s="675"/>
      <c r="Q41" s="642" t="s">
        <v>47</v>
      </c>
      <c r="R41" s="625"/>
      <c r="S41" s="625"/>
      <c r="T41" s="625"/>
      <c r="U41" s="625"/>
      <c r="V41" s="625"/>
      <c r="W41" s="625"/>
      <c r="X41" s="698">
        <f>(((S25*T4)-T8)*(1-S29))/S22</f>
        <v>2.575967409458009E-2</v>
      </c>
      <c r="Y41" s="625"/>
      <c r="Z41" s="625"/>
      <c r="AA41" s="675"/>
      <c r="AB41" s="675"/>
    </row>
    <row r="42" spans="1:29" hidden="1" outlineLevel="1">
      <c r="A42" s="642" t="s">
        <v>484</v>
      </c>
      <c r="B42" s="625"/>
      <c r="C42" s="625"/>
      <c r="D42" s="625"/>
      <c r="E42" s="625"/>
      <c r="F42" s="625"/>
      <c r="G42" s="625"/>
      <c r="H42" s="643">
        <f>-(((C26*D4)-D9)*(1-C29))/C22</f>
        <v>6.9887308849048257E-2</v>
      </c>
      <c r="I42" s="625"/>
      <c r="J42" s="625"/>
      <c r="K42" s="675"/>
      <c r="L42" s="675"/>
      <c r="Q42" s="642" t="s">
        <v>484</v>
      </c>
      <c r="R42" s="625"/>
      <c r="S42" s="625"/>
      <c r="T42" s="625"/>
      <c r="U42" s="625"/>
      <c r="V42" s="625"/>
      <c r="W42" s="625"/>
      <c r="X42" s="698">
        <f>-(((S26*T4)-T9)*(1-S29))/S22</f>
        <v>1.4783177839893932E-2</v>
      </c>
      <c r="Y42" s="625"/>
      <c r="Z42" s="625"/>
      <c r="AA42" s="675"/>
      <c r="AB42" s="675"/>
    </row>
    <row r="43" spans="1:29" hidden="1" outlineLevel="1">
      <c r="A43" s="642" t="s">
        <v>106</v>
      </c>
      <c r="B43" s="625"/>
      <c r="C43" s="625"/>
      <c r="D43" s="625"/>
      <c r="E43" s="625"/>
      <c r="F43" s="625"/>
      <c r="G43" s="625"/>
      <c r="H43" s="643">
        <f>(((C27*D4)-D11)*(1-C29))/C22</f>
        <v>0.10802974508068384</v>
      </c>
      <c r="I43" s="625"/>
      <c r="J43" s="625"/>
      <c r="K43" s="675"/>
      <c r="L43" s="675"/>
      <c r="Q43" s="642" t="s">
        <v>106</v>
      </c>
      <c r="R43" s="625"/>
      <c r="S43" s="625"/>
      <c r="T43" s="625"/>
      <c r="U43" s="625"/>
      <c r="V43" s="625"/>
      <c r="W43" s="625"/>
      <c r="X43" s="643">
        <f>(((S27*T4)-T11)*(1-S29))/S22</f>
        <v>4.0542851934473892E-2</v>
      </c>
      <c r="Y43" s="625"/>
      <c r="Z43" s="625"/>
      <c r="AA43" s="675"/>
      <c r="AB43" s="675"/>
    </row>
    <row r="44" spans="1:29" hidden="1" outlineLevel="1">
      <c r="A44" s="642" t="s">
        <v>202</v>
      </c>
      <c r="B44" s="625"/>
      <c r="C44" s="625"/>
      <c r="D44" s="625"/>
      <c r="E44" s="625"/>
      <c r="F44" s="625"/>
      <c r="G44" s="625"/>
      <c r="H44" s="643">
        <f>-(H13*(1-C29))/C22</f>
        <v>4.6711075121071526E-3</v>
      </c>
      <c r="I44" s="625"/>
      <c r="J44" s="625"/>
      <c r="K44" s="675"/>
      <c r="L44" s="675"/>
      <c r="Q44" s="642" t="s">
        <v>202</v>
      </c>
      <c r="R44" s="625"/>
      <c r="S44" s="625"/>
      <c r="T44" s="625"/>
      <c r="U44" s="625"/>
      <c r="V44" s="625"/>
      <c r="W44" s="625"/>
      <c r="X44" s="643">
        <f>-(X13*(1-S29))/S22</f>
        <v>-6.2257537192373516E-3</v>
      </c>
      <c r="Y44" s="625"/>
      <c r="Z44" s="625"/>
      <c r="AA44" s="675"/>
      <c r="AB44" s="675"/>
    </row>
    <row r="45" spans="1:29" hidden="1" outlineLevel="1">
      <c r="A45" s="642" t="s">
        <v>39</v>
      </c>
      <c r="B45" s="625"/>
      <c r="C45" s="625"/>
      <c r="D45" s="625"/>
      <c r="E45" s="625"/>
      <c r="F45" s="625"/>
      <c r="G45" s="625"/>
      <c r="H45" s="643">
        <f>H21-H46-H44-H43-H40</f>
        <v>8.3739689426322372E-2</v>
      </c>
      <c r="I45" s="625"/>
      <c r="J45" s="625"/>
      <c r="K45" s="675"/>
      <c r="L45" s="675"/>
      <c r="Q45" s="642" t="s">
        <v>39</v>
      </c>
      <c r="R45" s="625"/>
      <c r="S45" s="625"/>
      <c r="T45" s="625"/>
      <c r="U45" s="625"/>
      <c r="V45" s="625"/>
      <c r="W45" s="625"/>
      <c r="X45" s="643">
        <f>X21-X46-X44-X43-X40</f>
        <v>1.7013033955669318E-2</v>
      </c>
      <c r="Y45" s="625"/>
      <c r="Z45" s="625"/>
      <c r="AA45" s="675"/>
      <c r="AB45" s="675"/>
    </row>
    <row r="46" spans="1:29" hidden="1" outlineLevel="1">
      <c r="A46" s="642" t="s">
        <v>140</v>
      </c>
      <c r="B46" s="625"/>
      <c r="C46" s="625"/>
      <c r="D46" s="625"/>
      <c r="E46" s="625"/>
      <c r="F46" s="625"/>
      <c r="G46" s="625"/>
      <c r="H46" s="643">
        <f>C21-(C19/D22)</f>
        <v>2.3655213133706443E-3</v>
      </c>
      <c r="I46" s="625"/>
      <c r="J46" s="625"/>
      <c r="K46" s="675"/>
      <c r="L46" s="675"/>
      <c r="Q46" s="642" t="s">
        <v>140</v>
      </c>
      <c r="R46" s="625"/>
      <c r="S46" s="625"/>
      <c r="T46" s="625"/>
      <c r="U46" s="625"/>
      <c r="V46" s="625"/>
      <c r="W46" s="625"/>
      <c r="X46" s="643">
        <f>S21-(S19/T22)</f>
        <v>-2.6646602745435954E-3</v>
      </c>
      <c r="Y46" s="625"/>
      <c r="Z46" s="625"/>
      <c r="AA46" s="675"/>
      <c r="AB46" s="675"/>
    </row>
    <row r="47" spans="1:29" hidden="1" outlineLevel="1">
      <c r="A47" s="644" t="s">
        <v>45</v>
      </c>
      <c r="B47" s="625"/>
      <c r="C47" s="625"/>
      <c r="D47" s="625"/>
      <c r="E47" s="625"/>
      <c r="F47" s="625"/>
      <c r="G47" s="625"/>
      <c r="H47" s="635">
        <f>SUM(H40,H43:H46)</f>
        <v>0.21760596336151594</v>
      </c>
      <c r="I47" s="625"/>
      <c r="J47" s="625"/>
      <c r="K47" s="675"/>
      <c r="L47" s="675"/>
      <c r="Q47" s="644" t="s">
        <v>45</v>
      </c>
      <c r="R47" s="625"/>
      <c r="S47" s="625"/>
      <c r="T47" s="625"/>
      <c r="U47" s="625"/>
      <c r="V47" s="625"/>
      <c r="W47" s="625"/>
      <c r="X47" s="635">
        <f>SUM(X40,X43:X46)</f>
        <v>3.508616737264858E-2</v>
      </c>
      <c r="Y47" s="625"/>
      <c r="Z47" s="625"/>
      <c r="AA47" s="675"/>
      <c r="AB47" s="675"/>
    </row>
    <row r="48" spans="1:29" hidden="1" outlineLevel="1">
      <c r="A48" s="644"/>
      <c r="B48" s="625"/>
      <c r="C48" s="625"/>
      <c r="D48" s="625"/>
      <c r="E48" s="625"/>
      <c r="F48" s="625"/>
      <c r="G48" s="625"/>
      <c r="H48" s="635"/>
      <c r="I48" s="625"/>
      <c r="J48" s="625"/>
      <c r="K48" s="675"/>
      <c r="L48" s="675"/>
      <c r="Q48" s="644"/>
      <c r="R48" s="625"/>
      <c r="S48" s="625"/>
      <c r="T48" s="625"/>
      <c r="U48" s="625"/>
      <c r="V48" s="625"/>
      <c r="W48" s="625"/>
      <c r="X48" s="635"/>
      <c r="Y48" s="625"/>
      <c r="Z48" s="625"/>
      <c r="AA48" s="675"/>
      <c r="AB48" s="675"/>
    </row>
    <row r="49" spans="1:28" collapsed="1">
      <c r="A49" s="637" t="s">
        <v>500</v>
      </c>
      <c r="B49" s="623"/>
      <c r="C49" s="623"/>
      <c r="D49" s="623"/>
      <c r="E49" s="625"/>
      <c r="F49" s="625"/>
      <c r="G49" s="625"/>
      <c r="H49" s="625"/>
      <c r="I49" s="625"/>
      <c r="J49" s="625"/>
      <c r="K49" s="675"/>
      <c r="L49" s="675"/>
      <c r="Q49" s="637" t="s">
        <v>500</v>
      </c>
      <c r="R49" s="623"/>
      <c r="S49" s="623"/>
      <c r="T49" s="623"/>
      <c r="U49" s="625"/>
      <c r="V49" s="625"/>
      <c r="W49" s="625"/>
      <c r="X49" s="625"/>
      <c r="Y49" s="625"/>
      <c r="Z49" s="625"/>
      <c r="AA49" s="675"/>
      <c r="AB49" s="675"/>
    </row>
    <row r="50" spans="1:28">
      <c r="A50" s="626" t="s">
        <v>208</v>
      </c>
      <c r="B50" s="629">
        <f>turn!$AF$145/100</f>
        <v>5.2213672197128691E-2</v>
      </c>
      <c r="C50" s="629">
        <f>turn!AF152/100</f>
        <v>-0.2353213892405116</v>
      </c>
      <c r="D50" s="629">
        <v>-0.2353213892405116</v>
      </c>
      <c r="E50" s="625"/>
      <c r="F50" s="645"/>
      <c r="G50" s="646"/>
      <c r="H50" s="646"/>
      <c r="I50" s="625"/>
      <c r="J50" s="625"/>
      <c r="K50" s="675"/>
      <c r="L50" s="675"/>
      <c r="Q50" s="626" t="s">
        <v>208</v>
      </c>
      <c r="R50" s="629">
        <f>turn!$AF$137/100</f>
        <v>-7.8403198889470782E-2</v>
      </c>
      <c r="S50" s="629">
        <f>turn!AF144/100</f>
        <v>-7.5205032821566986E-3</v>
      </c>
      <c r="T50" s="629">
        <v>-0.01</v>
      </c>
      <c r="U50" s="625"/>
      <c r="V50" s="645"/>
      <c r="W50" s="646"/>
      <c r="X50" s="646"/>
      <c r="Y50" s="625"/>
      <c r="Z50" s="625"/>
      <c r="AA50" s="675"/>
      <c r="AB50" s="675"/>
    </row>
    <row r="51" spans="1:28">
      <c r="A51" s="626" t="s">
        <v>209</v>
      </c>
      <c r="B51" s="629">
        <f>turn!$N$145/100</f>
        <v>0.1202591262389625</v>
      </c>
      <c r="C51" s="629">
        <f>turn!N152/100</f>
        <v>-0.19171973831248434</v>
      </c>
      <c r="D51" s="629">
        <v>-0.19171973831248434</v>
      </c>
      <c r="E51" s="625"/>
      <c r="F51" s="625"/>
      <c r="G51" s="625"/>
      <c r="H51" s="625"/>
      <c r="I51" s="625"/>
      <c r="J51" s="625"/>
      <c r="K51" s="675"/>
      <c r="L51" s="675"/>
      <c r="Q51" s="626" t="s">
        <v>209</v>
      </c>
      <c r="R51" s="629">
        <f>turn!$N$137/100</f>
        <v>0.1511626564226134</v>
      </c>
      <c r="S51" s="629">
        <f>turn!$N$144/100</f>
        <v>6.5347216649279005E-2</v>
      </c>
      <c r="T51" s="629">
        <v>6.2090679360421674E-2</v>
      </c>
      <c r="U51" s="625"/>
      <c r="V51" s="625"/>
      <c r="W51" s="625"/>
      <c r="X51" s="625"/>
      <c r="Y51" s="625"/>
      <c r="Z51" s="625"/>
      <c r="AA51" s="675"/>
      <c r="AB51" s="675"/>
    </row>
    <row r="52" spans="1:28">
      <c r="A52" s="626" t="s">
        <v>15</v>
      </c>
      <c r="B52" s="647">
        <f>turn!H145</f>
        <v>553.02599999999995</v>
      </c>
      <c r="C52" s="647">
        <f>turn!H152</f>
        <v>447</v>
      </c>
      <c r="D52" s="647">
        <v>447</v>
      </c>
      <c r="E52" s="625"/>
      <c r="F52" s="625"/>
      <c r="G52" s="625"/>
      <c r="H52" s="643"/>
      <c r="I52" s="625"/>
      <c r="J52" s="625"/>
      <c r="K52" s="675"/>
      <c r="L52" s="675"/>
      <c r="Q52" s="626" t="s">
        <v>15</v>
      </c>
      <c r="R52" s="647">
        <f>turn!$H$137</f>
        <v>598.12800000000004</v>
      </c>
      <c r="S52" s="647">
        <f>turn!$H$144</f>
        <v>637.21400000000006</v>
      </c>
      <c r="T52" s="647">
        <v>635.26617386449038</v>
      </c>
      <c r="U52" s="625"/>
      <c r="V52" s="625"/>
      <c r="W52" s="625"/>
      <c r="X52" s="643"/>
      <c r="Y52" s="625"/>
      <c r="Z52" s="625"/>
      <c r="AA52" s="675"/>
      <c r="AB52" s="675"/>
    </row>
    <row r="53" spans="1:28">
      <c r="A53" s="626" t="s">
        <v>490</v>
      </c>
      <c r="B53" s="696">
        <f>(B33-B51)*10000</f>
        <v>-826.55106769657914</v>
      </c>
      <c r="C53" s="696">
        <f>(C33-C51)*10000</f>
        <v>5422.5314226194332</v>
      </c>
      <c r="D53" s="696">
        <v>5185.0505163651605</v>
      </c>
      <c r="E53" s="625"/>
      <c r="F53" s="625"/>
      <c r="G53" s="625"/>
      <c r="H53" s="643"/>
      <c r="I53" s="625"/>
      <c r="J53" s="625"/>
      <c r="K53" s="675"/>
      <c r="L53" s="675"/>
      <c r="Q53" s="626" t="s">
        <v>490</v>
      </c>
      <c r="R53" s="696">
        <f>(R33-R51)*10000</f>
        <v>-454.93071071319281</v>
      </c>
      <c r="S53" s="696">
        <f>(S33-S51)*10000</f>
        <v>-744.65914716183806</v>
      </c>
      <c r="T53" s="696">
        <f>(T33-T51)*10000</f>
        <v>-536.39127883730259</v>
      </c>
      <c r="U53" s="625"/>
      <c r="V53" s="625"/>
      <c r="W53" s="625"/>
      <c r="X53" s="643"/>
      <c r="Y53" s="625"/>
      <c r="Z53" s="625"/>
      <c r="AA53" s="675"/>
      <c r="AB53" s="675"/>
    </row>
    <row r="54" spans="1:28">
      <c r="A54" s="626"/>
      <c r="B54" s="696"/>
      <c r="C54" s="696"/>
      <c r="D54" s="696"/>
      <c r="E54" s="625"/>
      <c r="F54" s="625"/>
      <c r="G54" s="625"/>
      <c r="H54" s="643"/>
      <c r="I54" s="625"/>
      <c r="J54" s="625"/>
      <c r="K54" s="675"/>
      <c r="L54" s="675"/>
      <c r="Q54" s="626"/>
      <c r="R54" s="696"/>
      <c r="S54" s="696"/>
      <c r="T54" s="696"/>
      <c r="U54" s="625"/>
      <c r="V54" s="625"/>
      <c r="W54" s="625"/>
      <c r="X54" s="643"/>
      <c r="Y54" s="625"/>
      <c r="Z54" s="625"/>
      <c r="AA54" s="675"/>
      <c r="AB54" s="675"/>
    </row>
    <row r="55" spans="1:28">
      <c r="A55" s="625"/>
      <c r="B55" s="623"/>
      <c r="C55" s="623"/>
      <c r="D55" s="623"/>
      <c r="E55" s="625"/>
      <c r="F55" s="625"/>
      <c r="G55" s="625"/>
      <c r="H55" s="643"/>
      <c r="I55" s="625"/>
      <c r="J55" s="625"/>
      <c r="K55" s="675"/>
      <c r="L55" s="675"/>
      <c r="Q55" s="625"/>
      <c r="R55" s="623"/>
      <c r="S55" s="623"/>
      <c r="T55" s="623"/>
      <c r="U55" s="625"/>
      <c r="V55" s="625"/>
      <c r="W55" s="625"/>
      <c r="X55" s="643"/>
      <c r="Y55" s="625"/>
      <c r="Z55" s="625"/>
      <c r="AA55" s="675"/>
      <c r="AB55" s="675"/>
    </row>
    <row r="56" spans="1:28">
      <c r="A56" s="676" t="s">
        <v>488</v>
      </c>
      <c r="B56" s="675"/>
      <c r="C56" s="675"/>
      <c r="D56" s="675"/>
      <c r="E56" s="675"/>
      <c r="F56" s="675"/>
      <c r="G56" s="675"/>
      <c r="H56" s="675"/>
      <c r="I56" s="675"/>
      <c r="J56" s="675"/>
      <c r="K56" s="675"/>
      <c r="L56" s="675"/>
      <c r="Q56" s="676" t="s">
        <v>488</v>
      </c>
      <c r="R56" s="675"/>
      <c r="S56" s="675"/>
      <c r="T56" s="675"/>
      <c r="U56" s="675"/>
      <c r="V56" s="675"/>
      <c r="W56" s="675"/>
      <c r="X56" s="675"/>
      <c r="Y56" s="675"/>
      <c r="Z56" s="675"/>
      <c r="AA56" s="675"/>
      <c r="AB56" s="675"/>
    </row>
    <row r="57" spans="1:28">
      <c r="A57" s="675"/>
      <c r="B57" s="629">
        <f>sumry!BZ50+sumry!BU50</f>
        <v>-0.308</v>
      </c>
      <c r="C57" s="629">
        <f>sumry!CA50+sumry!BV50</f>
        <v>-0.35599999999999998</v>
      </c>
      <c r="D57" s="629">
        <v>-0.35599999999999998</v>
      </c>
      <c r="E57" s="675"/>
      <c r="F57" s="675"/>
      <c r="G57" s="675"/>
      <c r="H57" s="675"/>
      <c r="I57" s="675"/>
      <c r="J57" s="675"/>
      <c r="K57" s="675"/>
      <c r="L57" s="675"/>
      <c r="Q57" s="675"/>
      <c r="R57" s="629">
        <f>('qtrP&amp;L'!BZ10+'qtrP&amp;L'!BV10)/100</f>
        <v>0.14699999999999999</v>
      </c>
      <c r="S57" s="629">
        <f>('qtrP&amp;L'!CD10+'qtrP&amp;L'!BZ10)/100</f>
        <v>-1.2999999999999998E-2</v>
      </c>
      <c r="T57" s="629">
        <v>1.0025000000000004E-2</v>
      </c>
      <c r="U57" s="675"/>
      <c r="V57" s="675"/>
      <c r="W57" s="675"/>
      <c r="X57" s="675"/>
      <c r="Y57" s="675"/>
      <c r="Z57" s="675"/>
      <c r="AA57" s="675"/>
      <c r="AB57" s="675"/>
    </row>
    <row r="58" spans="1:28">
      <c r="A58" s="695" t="s">
        <v>489</v>
      </c>
      <c r="B58" s="629"/>
      <c r="C58" s="629"/>
      <c r="D58" s="629"/>
      <c r="E58" s="675"/>
      <c r="F58" s="675"/>
      <c r="G58" s="675"/>
      <c r="H58" s="675"/>
      <c r="I58" s="675"/>
      <c r="J58" s="675"/>
      <c r="K58" s="675"/>
      <c r="L58" s="675"/>
      <c r="Q58" s="695" t="s">
        <v>489</v>
      </c>
      <c r="R58" s="629"/>
      <c r="S58" s="629"/>
      <c r="T58" s="629">
        <f>('qtrP&amp;L'!BZ13+'qtrP&amp;L'!BV13)/100</f>
        <v>0</v>
      </c>
      <c r="U58" s="675"/>
      <c r="V58" s="675"/>
      <c r="W58" s="675"/>
      <c r="X58" s="675"/>
      <c r="Y58" s="675"/>
      <c r="Z58" s="675"/>
      <c r="AA58" s="675"/>
      <c r="AB58" s="675"/>
    </row>
    <row r="59" spans="1:28">
      <c r="A59" s="675"/>
      <c r="B59" s="629"/>
      <c r="C59" s="629"/>
      <c r="D59" s="629"/>
      <c r="E59" s="675"/>
      <c r="F59" s="675"/>
      <c r="G59" s="675"/>
      <c r="H59" s="675"/>
      <c r="I59" s="675"/>
      <c r="J59" s="675"/>
      <c r="K59" s="675"/>
      <c r="L59" s="675"/>
      <c r="Q59" s="675"/>
      <c r="R59" s="629"/>
      <c r="S59" s="629"/>
      <c r="T59" s="629"/>
      <c r="U59" s="675"/>
      <c r="V59" s="675"/>
      <c r="W59" s="675"/>
      <c r="X59" s="675"/>
      <c r="Y59" s="675"/>
      <c r="Z59" s="675"/>
      <c r="AA59" s="675"/>
      <c r="AB59" s="675"/>
    </row>
    <row r="60" spans="1:28">
      <c r="A60" s="675"/>
      <c r="B60" s="675"/>
      <c r="C60" s="675"/>
      <c r="D60" s="675"/>
      <c r="E60" s="675"/>
      <c r="F60" s="675"/>
      <c r="G60" s="675"/>
      <c r="H60" s="675"/>
      <c r="I60" s="675"/>
      <c r="J60" s="675"/>
      <c r="K60" s="675"/>
      <c r="L60" s="675"/>
      <c r="Q60" s="675"/>
      <c r="R60" s="675"/>
      <c r="S60" s="675"/>
      <c r="T60" s="675"/>
      <c r="U60" s="675"/>
      <c r="V60" s="675"/>
      <c r="W60" s="675"/>
      <c r="X60" s="675"/>
      <c r="Y60" s="675"/>
      <c r="Z60" s="675"/>
      <c r="AA60" s="675"/>
      <c r="AB60" s="675"/>
    </row>
    <row r="61" spans="1:28">
      <c r="A61" s="675"/>
      <c r="B61" s="675"/>
      <c r="C61" s="675"/>
      <c r="D61" s="675"/>
      <c r="E61" s="675"/>
      <c r="F61" s="675"/>
      <c r="G61" s="675"/>
      <c r="H61" s="675"/>
      <c r="I61" s="675"/>
      <c r="J61" s="675"/>
      <c r="K61" s="675"/>
      <c r="L61" s="675"/>
      <c r="Q61" s="675"/>
      <c r="R61" s="675"/>
      <c r="S61" s="675"/>
      <c r="T61" s="675"/>
      <c r="U61" s="675"/>
      <c r="V61" s="675"/>
      <c r="W61" s="675"/>
      <c r="X61" s="675"/>
      <c r="Y61" s="675"/>
      <c r="Z61" s="675"/>
      <c r="AA61" s="675"/>
      <c r="AB61" s="675"/>
    </row>
    <row r="62" spans="1:28">
      <c r="A62" s="675"/>
      <c r="B62" s="675"/>
      <c r="C62" s="675"/>
      <c r="D62" s="675"/>
      <c r="E62" s="675"/>
      <c r="F62" s="675"/>
      <c r="G62" s="675"/>
      <c r="H62" s="675"/>
      <c r="I62" s="675"/>
      <c r="J62" s="675"/>
      <c r="K62" s="675"/>
      <c r="L62" s="675"/>
      <c r="Q62" s="675"/>
      <c r="R62" s="675"/>
      <c r="S62" s="675"/>
      <c r="T62" s="675"/>
      <c r="U62" s="675"/>
      <c r="V62" s="675"/>
      <c r="W62" s="675"/>
      <c r="X62" s="675"/>
      <c r="Y62" s="675"/>
      <c r="Z62" s="675"/>
      <c r="AA62" s="675"/>
      <c r="AB62" s="675"/>
    </row>
    <row r="63" spans="1:28">
      <c r="A63" s="675"/>
      <c r="B63" s="675"/>
      <c r="C63" s="675"/>
      <c r="D63" s="675"/>
      <c r="E63" s="675"/>
      <c r="F63" s="675"/>
      <c r="G63" s="675"/>
      <c r="H63" s="675"/>
      <c r="I63" s="675"/>
      <c r="J63" s="675"/>
      <c r="K63" s="675"/>
      <c r="L63" s="675"/>
      <c r="Q63" s="675"/>
      <c r="R63" s="675"/>
      <c r="S63" s="675"/>
      <c r="T63" s="675"/>
      <c r="U63" s="675"/>
      <c r="V63" s="675"/>
      <c r="W63" s="675"/>
      <c r="X63" s="675"/>
      <c r="Y63" s="675"/>
      <c r="Z63" s="675"/>
      <c r="AA63" s="675"/>
      <c r="AB63" s="675"/>
    </row>
  </sheetData>
  <phoneticPr fontId="39" type="noConversion"/>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C195"/>
  <sheetViews>
    <sheetView zoomScale="85" workbookViewId="0">
      <selection activeCell="Q70" sqref="Q70"/>
    </sheetView>
  </sheetViews>
  <sheetFormatPr defaultRowHeight="12.75" outlineLevelRow="1" outlineLevelCol="1"/>
  <cols>
    <col min="1" max="1" width="20" customWidth="1"/>
    <col min="2" max="2" width="1" customWidth="1"/>
    <col min="3" max="11" width="0" hidden="1" customWidth="1" outlineLevel="1"/>
    <col min="12" max="12" width="8.28515625" hidden="1" customWidth="1" outlineLevel="1"/>
    <col min="13" max="13" width="9.140625" collapsed="1"/>
    <col min="17" max="17" width="8.140625" bestFit="1" customWidth="1"/>
  </cols>
  <sheetData>
    <row r="1" spans="1:27">
      <c r="V1" s="3"/>
      <c r="W1" s="3"/>
      <c r="X1" s="3"/>
      <c r="Y1" s="3"/>
    </row>
    <row r="2" spans="1:27">
      <c r="V2" s="4" t="s">
        <v>17</v>
      </c>
      <c r="W2" s="58" t="s">
        <v>18</v>
      </c>
      <c r="X2" s="3"/>
      <c r="Y2" s="3"/>
    </row>
    <row r="3" spans="1:27">
      <c r="A3" s="599" t="s">
        <v>10</v>
      </c>
      <c r="B3" s="580"/>
      <c r="C3" s="600" t="s">
        <v>621</v>
      </c>
      <c r="D3" s="600" t="s">
        <v>343</v>
      </c>
      <c r="E3" s="600" t="s">
        <v>623</v>
      </c>
      <c r="F3" s="600" t="s">
        <v>145</v>
      </c>
      <c r="G3" s="600" t="s">
        <v>636</v>
      </c>
      <c r="H3" s="600" t="s">
        <v>422</v>
      </c>
      <c r="I3" s="600" t="s">
        <v>118</v>
      </c>
      <c r="J3" s="600" t="s">
        <v>314</v>
      </c>
      <c r="K3" s="600" t="s">
        <v>210</v>
      </c>
      <c r="L3" s="600" t="s">
        <v>374</v>
      </c>
      <c r="M3" s="600" t="s">
        <v>730</v>
      </c>
      <c r="N3" s="600" t="s">
        <v>792</v>
      </c>
      <c r="O3" s="600" t="s">
        <v>11</v>
      </c>
      <c r="P3" s="600" t="s">
        <v>24</v>
      </c>
      <c r="Q3" s="600" t="s">
        <v>12</v>
      </c>
      <c r="R3" s="600" t="s">
        <v>759</v>
      </c>
      <c r="S3" s="600" t="s">
        <v>760</v>
      </c>
      <c r="T3" s="600" t="s">
        <v>802</v>
      </c>
      <c r="U3" s="37"/>
      <c r="V3" s="311">
        <v>35.799999999999997</v>
      </c>
      <c r="W3" s="670">
        <f>Y62/-Y102</f>
        <v>-2.4175404338418836E-2</v>
      </c>
      <c r="X3" s="3"/>
      <c r="Y3" s="3"/>
    </row>
    <row r="4" spans="1:27">
      <c r="A4" s="8" t="s">
        <v>64</v>
      </c>
      <c r="B4" s="580"/>
      <c r="C4" s="601" t="s">
        <v>443</v>
      </c>
      <c r="D4" s="601" t="s">
        <v>443</v>
      </c>
      <c r="E4" s="601" t="s">
        <v>443</v>
      </c>
      <c r="F4" s="601" t="s">
        <v>443</v>
      </c>
      <c r="G4" s="601" t="s">
        <v>443</v>
      </c>
      <c r="H4" s="601" t="s">
        <v>443</v>
      </c>
      <c r="I4" s="601" t="s">
        <v>443</v>
      </c>
      <c r="J4" s="601" t="s">
        <v>443</v>
      </c>
      <c r="K4" s="601" t="s">
        <v>443</v>
      </c>
      <c r="L4" s="601" t="s">
        <v>443</v>
      </c>
      <c r="M4" s="601" t="s">
        <v>443</v>
      </c>
      <c r="N4" s="601" t="s">
        <v>443</v>
      </c>
      <c r="O4" s="601" t="s">
        <v>443</v>
      </c>
      <c r="P4" s="601" t="s">
        <v>443</v>
      </c>
      <c r="Q4" s="601" t="s">
        <v>443</v>
      </c>
      <c r="R4" s="601" t="s">
        <v>443</v>
      </c>
      <c r="S4" s="601" t="s">
        <v>443</v>
      </c>
      <c r="T4" s="601" t="s">
        <v>443</v>
      </c>
      <c r="U4" s="601"/>
      <c r="V4" s="3"/>
      <c r="W4" s="3"/>
      <c r="X4" s="3"/>
      <c r="Y4" s="3"/>
    </row>
    <row r="5" spans="1:27">
      <c r="C5" s="4"/>
      <c r="D5" s="4"/>
      <c r="E5" s="4"/>
      <c r="F5" s="4"/>
      <c r="G5" s="4"/>
      <c r="H5" s="4"/>
      <c r="I5" s="4"/>
      <c r="J5" s="4"/>
      <c r="K5" s="4"/>
      <c r="L5" s="4"/>
      <c r="M5" s="4"/>
      <c r="V5" s="3"/>
      <c r="W5" s="3"/>
      <c r="X5" s="3"/>
      <c r="Y5" s="3"/>
      <c r="AA5" s="2133">
        <f>+Q62*18</f>
        <v>53.056726519253417</v>
      </c>
    </row>
    <row r="6" spans="1:27">
      <c r="A6" s="602" t="s">
        <v>65</v>
      </c>
      <c r="C6" s="603">
        <f>'yrP&amp;L'!K7</f>
        <v>1321.1059999999998</v>
      </c>
      <c r="D6" s="603">
        <f>'yrP&amp;L'!L7</f>
        <v>1710.4230000000002</v>
      </c>
      <c r="E6" s="603">
        <f>'yrP&amp;L'!M7</f>
        <v>2035.0909999999999</v>
      </c>
      <c r="F6" s="603">
        <f>'yrP&amp;L'!N7</f>
        <v>2612.4559999999997</v>
      </c>
      <c r="G6" s="603">
        <f>'yrP&amp;L'!O7</f>
        <v>3180.7570000000001</v>
      </c>
      <c r="H6" s="603">
        <f>'yrP&amp;L'!P7</f>
        <v>3230.4679999999998</v>
      </c>
      <c r="I6" s="603">
        <f>'yrP&amp;L'!Q7</f>
        <v>3607.636</v>
      </c>
      <c r="J6" s="603">
        <f>'yrP&amp;L'!R7</f>
        <v>4158.5070000000005</v>
      </c>
      <c r="K6" s="603">
        <f>'yrP&amp;L'!S7</f>
        <v>4763.1799999999994</v>
      </c>
      <c r="L6" s="603">
        <f>'yrP&amp;L'!T7</f>
        <v>5075.3899999999994</v>
      </c>
      <c r="M6" s="603">
        <f>'yrP&amp;L'!U7</f>
        <v>4806.2260000000006</v>
      </c>
      <c r="N6" s="603">
        <f>'yrP&amp;L'!V7</f>
        <v>4191.6000000000004</v>
      </c>
      <c r="O6" s="603">
        <f>'yrP&amp;L'!W7</f>
        <v>4491.7999999999993</v>
      </c>
      <c r="P6" s="603">
        <f>'yrP&amp;L'!X7</f>
        <v>4488.3</v>
      </c>
      <c r="Q6" s="603">
        <f>'yrP&amp;L'!Y7</f>
        <v>5830.896633543296</v>
      </c>
      <c r="R6" s="603">
        <f>'yrP&amp;L'!Z7</f>
        <v>6016.7445650539694</v>
      </c>
      <c r="S6" s="603">
        <f>'yrP&amp;L'!AA7</f>
        <v>6189.4033278856969</v>
      </c>
      <c r="T6" s="603">
        <f>'yrP&amp;L'!AB7</f>
        <v>6366.6876309344079</v>
      </c>
      <c r="U6" s="603"/>
      <c r="V6" s="3"/>
      <c r="W6" s="3"/>
      <c r="X6" s="3"/>
      <c r="Y6" s="3"/>
    </row>
    <row r="7" spans="1:27" hidden="1" outlineLevel="1">
      <c r="A7" s="602"/>
      <c r="C7" s="604"/>
      <c r="D7" s="604"/>
      <c r="E7" s="604"/>
      <c r="F7" s="604"/>
      <c r="G7" s="604"/>
      <c r="H7" s="604"/>
      <c r="I7" s="604"/>
      <c r="J7" s="604"/>
      <c r="K7" s="604"/>
      <c r="L7" s="604"/>
      <c r="M7" s="604"/>
      <c r="V7" s="3"/>
      <c r="W7" s="3"/>
      <c r="X7" s="3"/>
      <c r="Y7" s="3"/>
    </row>
    <row r="8" spans="1:27" hidden="1" outlineLevel="1">
      <c r="A8" s="602" t="s">
        <v>66</v>
      </c>
      <c r="C8" s="603">
        <f>'yrP&amp;L'!K12</f>
        <v>331.024</v>
      </c>
      <c r="D8" s="603">
        <f>'yrP&amp;L'!L12</f>
        <v>399.65200000000004</v>
      </c>
      <c r="E8" s="603">
        <f>'yrP&amp;L'!M12</f>
        <v>453.47299999999996</v>
      </c>
      <c r="F8" s="603">
        <f>'yrP&amp;L'!N12</f>
        <v>589.47</v>
      </c>
      <c r="G8" s="603">
        <f>'yrP&amp;L'!O12</f>
        <v>773.654</v>
      </c>
      <c r="H8" s="603">
        <f>'yrP&amp;L'!P12</f>
        <v>907.85799999999995</v>
      </c>
      <c r="I8" s="603">
        <f>'yrP&amp;L'!Q12</f>
        <v>973.94499999999994</v>
      </c>
      <c r="J8" s="603">
        <f>'yrP&amp;L'!R12</f>
        <v>1134.9659999999999</v>
      </c>
      <c r="K8" s="603">
        <f>'yrP&amp;L'!S12</f>
        <v>1297.1019999999999</v>
      </c>
      <c r="L8" s="603">
        <f>'yrP&amp;L'!T12</f>
        <v>1372.442</v>
      </c>
      <c r="M8" s="603">
        <f>'yrP&amp;L'!U12</f>
        <v>1427.0710000000001</v>
      </c>
      <c r="N8" s="603">
        <f>'yrP&amp;L'!V12</f>
        <v>1273.3</v>
      </c>
      <c r="O8" s="603">
        <f>'yrP&amp;L'!W12</f>
        <v>1439.4</v>
      </c>
      <c r="P8" s="603">
        <f>'yrP&amp;L'!X12</f>
        <v>1404.28</v>
      </c>
      <c r="Q8" s="603">
        <f>'yrP&amp;L'!Y12</f>
        <v>1903.4894232799102</v>
      </c>
      <c r="R8" s="603">
        <f>'yrP&amp;L'!Z12</f>
        <v>1971.0855195116803</v>
      </c>
      <c r="S8" s="603">
        <f>'yrP&amp;L'!AA12</f>
        <v>2018.3644252235254</v>
      </c>
      <c r="T8" s="603">
        <f>'yrP&amp;L'!AB12</f>
        <v>2071.0834863429632</v>
      </c>
      <c r="U8" s="603"/>
      <c r="V8" s="3"/>
      <c r="W8" s="3"/>
      <c r="X8" s="3"/>
      <c r="Y8" s="3"/>
    </row>
    <row r="9" spans="1:27" hidden="1" outlineLevel="1">
      <c r="A9" s="602"/>
      <c r="C9" s="604"/>
      <c r="D9" s="604"/>
      <c r="E9" s="604"/>
      <c r="F9" s="604"/>
      <c r="G9" s="604"/>
      <c r="H9" s="604"/>
      <c r="I9" s="604"/>
      <c r="J9" s="604"/>
      <c r="K9" s="604"/>
      <c r="L9" s="604"/>
      <c r="M9" s="604"/>
      <c r="V9" s="3"/>
      <c r="W9" s="3"/>
      <c r="X9" s="3"/>
      <c r="Y9" s="3"/>
    </row>
    <row r="10" spans="1:27" collapsed="1">
      <c r="A10" s="602" t="s">
        <v>88</v>
      </c>
      <c r="C10" s="603">
        <f t="shared" ref="C10:P10" si="0">C6-C8</f>
        <v>990.08199999999977</v>
      </c>
      <c r="D10" s="603">
        <f t="shared" si="0"/>
        <v>1310.7710000000002</v>
      </c>
      <c r="E10" s="603">
        <f t="shared" si="0"/>
        <v>1581.6179999999999</v>
      </c>
      <c r="F10" s="603">
        <f t="shared" si="0"/>
        <v>2022.9859999999996</v>
      </c>
      <c r="G10" s="603">
        <f t="shared" si="0"/>
        <v>2407.1030000000001</v>
      </c>
      <c r="H10" s="603">
        <f t="shared" si="0"/>
        <v>2322.6099999999997</v>
      </c>
      <c r="I10" s="603">
        <f t="shared" si="0"/>
        <v>2633.6909999999998</v>
      </c>
      <c r="J10" s="603">
        <f t="shared" si="0"/>
        <v>3023.5410000000006</v>
      </c>
      <c r="K10" s="603">
        <f t="shared" si="0"/>
        <v>3466.0779999999995</v>
      </c>
      <c r="L10" s="603">
        <f t="shared" si="0"/>
        <v>3702.9479999999994</v>
      </c>
      <c r="M10" s="603">
        <f t="shared" si="0"/>
        <v>3379.1550000000007</v>
      </c>
      <c r="N10" s="603">
        <f t="shared" si="0"/>
        <v>2918.3</v>
      </c>
      <c r="O10" s="603">
        <f t="shared" si="0"/>
        <v>3052.3999999999992</v>
      </c>
      <c r="P10" s="603">
        <f t="shared" si="0"/>
        <v>3084.0200000000004</v>
      </c>
      <c r="Q10" s="603">
        <f>Q6-Q8</f>
        <v>3927.4072102633859</v>
      </c>
      <c r="R10" s="603">
        <f>R6-R8</f>
        <v>4045.6590455422893</v>
      </c>
      <c r="S10" s="603">
        <f>S6-S8</f>
        <v>4171.0389026621715</v>
      </c>
      <c r="T10" s="603">
        <f>T6-T8</f>
        <v>4295.6041445914452</v>
      </c>
      <c r="U10" s="603"/>
      <c r="V10" s="3"/>
      <c r="W10" s="3"/>
      <c r="X10" s="3"/>
      <c r="Y10" s="3"/>
    </row>
    <row r="11" spans="1:27">
      <c r="A11" s="602" t="s">
        <v>93</v>
      </c>
      <c r="C11" s="604">
        <f>'yrP&amp;L'!K15</f>
        <v>584.77800000000002</v>
      </c>
      <c r="D11" s="604">
        <f>'yrP&amp;L'!L15</f>
        <v>738.20800000000008</v>
      </c>
      <c r="E11" s="604">
        <f>'yrP&amp;L'!M15</f>
        <v>866.87100000000009</v>
      </c>
      <c r="F11" s="604">
        <f>'yrP&amp;L'!N15</f>
        <v>1029.5889999999999</v>
      </c>
      <c r="G11" s="604">
        <f>'yrP&amp;L'!O15</f>
        <v>1227.874</v>
      </c>
      <c r="H11" s="604">
        <f>'yrP&amp;L'!P15</f>
        <v>1322.297</v>
      </c>
      <c r="I11" s="604">
        <f>'yrP&amp;L'!Q15</f>
        <v>1483.52</v>
      </c>
      <c r="J11" s="604">
        <f>'yrP&amp;L'!R15</f>
        <v>1692.9390000000003</v>
      </c>
      <c r="K11" s="604">
        <f>'yrP&amp;L'!S15</f>
        <v>1914.8799999999999</v>
      </c>
      <c r="L11" s="604">
        <f>'yrP&amp;L'!T15</f>
        <v>2125.2049999999999</v>
      </c>
      <c r="M11" s="604">
        <f>'yrP&amp;L'!U15</f>
        <v>2127.5739999999996</v>
      </c>
      <c r="N11" s="604">
        <f>'yrP&amp;L'!V15</f>
        <v>2129.8000000000002</v>
      </c>
      <c r="O11" s="604">
        <f>'yrP&amp;L'!W15</f>
        <v>2275.8000000000002</v>
      </c>
      <c r="P11" s="604">
        <f>'yrP&amp;L'!X15</f>
        <v>2271.3999999999996</v>
      </c>
      <c r="Q11" s="604">
        <f>'yrP&amp;L'!Y15</f>
        <v>2939.4871256357114</v>
      </c>
      <c r="R11" s="604">
        <f>'yrP&amp;L'!Z15</f>
        <v>2984.3053042667689</v>
      </c>
      <c r="S11" s="604">
        <f>'yrP&amp;L'!AA15</f>
        <v>3069.9440506313058</v>
      </c>
      <c r="T11" s="604">
        <f>'yrP&amp;L'!AB15</f>
        <v>3154.0570523649058</v>
      </c>
      <c r="U11" s="604"/>
      <c r="V11" s="3"/>
      <c r="W11" s="3"/>
      <c r="X11" s="3"/>
      <c r="Y11" s="3"/>
    </row>
    <row r="12" spans="1:27" hidden="1" outlineLevel="1">
      <c r="A12" s="602" t="s">
        <v>25</v>
      </c>
      <c r="C12" s="604">
        <f>'yrP&amp;L'!K48</f>
        <v>40.1</v>
      </c>
      <c r="D12" s="604">
        <f>'yrP&amp;L'!L48</f>
        <v>50.4</v>
      </c>
      <c r="E12" s="604">
        <f>'yrP&amp;L'!M48</f>
        <v>65.114999999999995</v>
      </c>
      <c r="F12" s="604">
        <f>'yrP&amp;L'!N48</f>
        <v>80.831999999999994</v>
      </c>
      <c r="G12" s="604">
        <f>'yrP&amp;L'!O48</f>
        <v>100.70399999999999</v>
      </c>
      <c r="H12" s="604">
        <f>'yrP&amp;L'!P48</f>
        <v>123.014</v>
      </c>
      <c r="I12" s="604">
        <f>'yrP&amp;L'!Q48</f>
        <v>126.744</v>
      </c>
      <c r="J12" s="604">
        <f>'yrP&amp;L'!R48</f>
        <v>125.10599999999999</v>
      </c>
      <c r="K12" s="604">
        <f>'yrP&amp;L'!S48</f>
        <v>132.90899999999999</v>
      </c>
      <c r="L12" s="604">
        <f>'yrP&amp;L'!T48</f>
        <v>162.98699999999999</v>
      </c>
      <c r="M12" s="604">
        <f>'yrP&amp;L'!U48</f>
        <v>189.36</v>
      </c>
      <c r="N12" s="604">
        <f>'yrP&amp;L'!V48</f>
        <v>191.8</v>
      </c>
      <c r="O12" s="604">
        <f>'yrP&amp;L'!W48</f>
        <v>210.6</v>
      </c>
      <c r="P12" s="604">
        <f>'yrP&amp;L'!X48</f>
        <v>213.6</v>
      </c>
      <c r="Q12" s="604">
        <f>'yrP&amp;L'!Y48</f>
        <v>277.49471312631681</v>
      </c>
      <c r="R12" s="604">
        <f>'yrP&amp;L'!Z48</f>
        <v>286.33929084408965</v>
      </c>
      <c r="S12" s="604">
        <f>'yrP&amp;L'!AA48</f>
        <v>294.55619072619578</v>
      </c>
      <c r="T12" s="604">
        <f>'yrP&amp;L'!AB48</f>
        <v>302.99322192535908</v>
      </c>
      <c r="U12" s="604"/>
      <c r="V12" s="3"/>
      <c r="W12" s="3"/>
      <c r="X12" s="3"/>
      <c r="Y12" s="3"/>
    </row>
    <row r="13" spans="1:27" collapsed="1">
      <c r="A13" s="605" t="s">
        <v>106</v>
      </c>
      <c r="C13" s="603">
        <f>C10-C11</f>
        <v>405.30399999999975</v>
      </c>
      <c r="D13" s="603">
        <f t="shared" ref="D13:P13" si="1">D10-D11</f>
        <v>572.5630000000001</v>
      </c>
      <c r="E13" s="603">
        <f t="shared" si="1"/>
        <v>714.74699999999984</v>
      </c>
      <c r="F13" s="603">
        <f t="shared" si="1"/>
        <v>993.39699999999971</v>
      </c>
      <c r="G13" s="603">
        <f t="shared" si="1"/>
        <v>1179.229</v>
      </c>
      <c r="H13" s="603">
        <f t="shared" si="1"/>
        <v>1000.3129999999996</v>
      </c>
      <c r="I13" s="603">
        <f t="shared" si="1"/>
        <v>1150.1709999999998</v>
      </c>
      <c r="J13" s="603">
        <f t="shared" si="1"/>
        <v>1330.6020000000003</v>
      </c>
      <c r="K13" s="603">
        <f t="shared" si="1"/>
        <v>1551.1979999999996</v>
      </c>
      <c r="L13" s="603">
        <f t="shared" si="1"/>
        <v>1577.7429999999995</v>
      </c>
      <c r="M13" s="603">
        <f>M10-M11</f>
        <v>1251.581000000001</v>
      </c>
      <c r="N13" s="603">
        <f t="shared" si="1"/>
        <v>788.5</v>
      </c>
      <c r="O13" s="603">
        <f t="shared" si="1"/>
        <v>776.599999999999</v>
      </c>
      <c r="P13" s="603">
        <f t="shared" si="1"/>
        <v>812.6200000000008</v>
      </c>
      <c r="Q13" s="603">
        <f>Q10-Q11</f>
        <v>987.92008462767444</v>
      </c>
      <c r="R13" s="603">
        <f>R10-R11</f>
        <v>1061.3537412755204</v>
      </c>
      <c r="S13" s="603">
        <f>S10-S11</f>
        <v>1101.0948520308657</v>
      </c>
      <c r="T13" s="603">
        <f>T10-T11</f>
        <v>1141.5470922265395</v>
      </c>
      <c r="U13" s="603"/>
      <c r="V13" s="3"/>
      <c r="W13" s="3"/>
      <c r="X13" s="3"/>
      <c r="Y13" s="3"/>
    </row>
    <row r="14" spans="1:27" hidden="1" outlineLevel="1">
      <c r="A14" s="602"/>
      <c r="C14" s="604"/>
      <c r="D14" s="604"/>
      <c r="E14" s="604"/>
      <c r="F14" s="604"/>
      <c r="G14" s="604"/>
      <c r="H14" s="604"/>
      <c r="I14" s="604"/>
      <c r="J14" s="604"/>
      <c r="K14" s="604"/>
      <c r="L14" s="604"/>
      <c r="M14" s="604"/>
      <c r="V14" s="3"/>
      <c r="W14" s="3"/>
      <c r="X14" s="3"/>
      <c r="Y14" s="3"/>
    </row>
    <row r="15" spans="1:27" hidden="1" outlineLevel="1">
      <c r="A15" s="602" t="s">
        <v>26</v>
      </c>
      <c r="C15" s="604">
        <f>'yrP&amp;L'!K64</f>
        <v>3.1920000000000002</v>
      </c>
      <c r="D15" s="604">
        <f>'yrP&amp;L'!L64</f>
        <v>15.76</v>
      </c>
      <c r="E15" s="604">
        <f>'yrP&amp;L'!M64</f>
        <v>32.622999999999998</v>
      </c>
      <c r="F15" s="604">
        <f>'yrP&amp;L'!N64</f>
        <v>41.272999999999996</v>
      </c>
      <c r="G15" s="604">
        <f>'yrP&amp;L'!O64</f>
        <v>37.17</v>
      </c>
      <c r="H15" s="604">
        <f>'yrP&amp;L'!P64</f>
        <v>3.1560000000000001</v>
      </c>
      <c r="I15" s="604">
        <f>'yrP&amp;L'!Q64</f>
        <v>1.7570000000000001</v>
      </c>
      <c r="J15" s="604">
        <f>'yrP&amp;L'!R64</f>
        <v>-3.7050000000000001</v>
      </c>
      <c r="K15" s="604">
        <f>'yrP&amp;L'!S64</f>
        <v>-6.3259999999999996</v>
      </c>
      <c r="L15" s="604">
        <f>'yrP&amp;L'!T64</f>
        <v>-4.0149999999999997</v>
      </c>
      <c r="M15" s="604">
        <f>'yrP&amp;L'!U64</f>
        <v>2.1810000000000005</v>
      </c>
      <c r="N15" s="604">
        <f>'yrP&amp;L'!V64</f>
        <v>-6.3999999999999995</v>
      </c>
      <c r="O15" s="604">
        <f>'yrP&amp;L'!W64</f>
        <v>-26.9</v>
      </c>
      <c r="P15" s="604">
        <f>'yrP&amp;L'!X64</f>
        <v>-18.899999999999999</v>
      </c>
      <c r="Q15" s="604">
        <f>'yrP&amp;L'!Y64</f>
        <v>-77.7</v>
      </c>
      <c r="R15" s="604">
        <f>'yrP&amp;L'!Z64</f>
        <v>-44.7</v>
      </c>
      <c r="S15" s="604">
        <f>'yrP&amp;L'!AA64</f>
        <v>-44.7</v>
      </c>
      <c r="T15" s="604">
        <f>'yrP&amp;L'!AB64</f>
        <v>-44.7</v>
      </c>
      <c r="U15" s="604"/>
      <c r="V15" s="3"/>
      <c r="W15" s="3"/>
      <c r="X15" s="3"/>
      <c r="Y15" s="3"/>
    </row>
    <row r="16" spans="1:27" hidden="1" outlineLevel="1">
      <c r="A16" s="605" t="s">
        <v>27</v>
      </c>
      <c r="C16" s="603">
        <f>C13+C15</f>
        <v>408.49599999999975</v>
      </c>
      <c r="D16" s="603">
        <f t="shared" ref="D16:Q16" si="2">D13+D15</f>
        <v>588.32300000000009</v>
      </c>
      <c r="E16" s="603">
        <f t="shared" si="2"/>
        <v>747.36999999999989</v>
      </c>
      <c r="F16" s="603">
        <f t="shared" si="2"/>
        <v>1034.6699999999996</v>
      </c>
      <c r="G16" s="603">
        <f t="shared" si="2"/>
        <v>1216.3990000000001</v>
      </c>
      <c r="H16" s="603">
        <f t="shared" si="2"/>
        <v>1003.4689999999996</v>
      </c>
      <c r="I16" s="603">
        <f t="shared" si="2"/>
        <v>1151.9279999999999</v>
      </c>
      <c r="J16" s="603">
        <f t="shared" si="2"/>
        <v>1326.8970000000004</v>
      </c>
      <c r="K16" s="603">
        <f t="shared" si="2"/>
        <v>1544.8719999999996</v>
      </c>
      <c r="L16" s="603">
        <f t="shared" si="2"/>
        <v>1573.7279999999994</v>
      </c>
      <c r="M16" s="603">
        <f t="shared" si="2"/>
        <v>1253.7620000000011</v>
      </c>
      <c r="N16" s="603">
        <f t="shared" si="2"/>
        <v>782.1</v>
      </c>
      <c r="O16" s="603">
        <f t="shared" si="2"/>
        <v>749.69999999999902</v>
      </c>
      <c r="P16" s="603">
        <f t="shared" si="2"/>
        <v>793.72000000000082</v>
      </c>
      <c r="Q16" s="603">
        <f t="shared" si="2"/>
        <v>910.2200846276744</v>
      </c>
      <c r="R16" s="603">
        <f>R13+R15</f>
        <v>1016.6537412755204</v>
      </c>
      <c r="S16" s="603">
        <f>S13+S15</f>
        <v>1056.3948520308656</v>
      </c>
      <c r="T16" s="603">
        <f>T13+T15</f>
        <v>1096.8470922265394</v>
      </c>
      <c r="U16" s="603"/>
      <c r="V16" s="3"/>
      <c r="W16" s="3"/>
      <c r="X16" s="3"/>
      <c r="Y16" s="3"/>
    </row>
    <row r="17" spans="1:25" hidden="1" outlineLevel="1">
      <c r="A17" s="602"/>
      <c r="C17" s="604"/>
      <c r="D17" s="604"/>
      <c r="E17" s="604"/>
      <c r="F17" s="604"/>
      <c r="G17" s="604"/>
      <c r="H17" s="604"/>
      <c r="I17" s="604"/>
      <c r="J17" s="604"/>
      <c r="K17" s="604"/>
      <c r="L17" s="604"/>
      <c r="M17" s="604"/>
      <c r="V17" s="3"/>
      <c r="W17" s="3"/>
      <c r="X17" s="3"/>
      <c r="Y17" s="3"/>
    </row>
    <row r="18" spans="1:25" collapsed="1">
      <c r="A18" s="602" t="s">
        <v>268</v>
      </c>
      <c r="C18" s="604">
        <f>'yrP&amp;L'!K70</f>
        <v>152.50399999999999</v>
      </c>
      <c r="D18" s="604">
        <f>'yrP&amp;L'!L70</f>
        <v>216.07</v>
      </c>
      <c r="E18" s="604">
        <f>'yrP&amp;L'!M70</f>
        <v>283.32600000000002</v>
      </c>
      <c r="F18" s="604">
        <f>'yrP&amp;L'!N70</f>
        <v>398.14100000000002</v>
      </c>
      <c r="G18" s="604">
        <f>'yrP&amp;L'!O70</f>
        <v>474.39699999999999</v>
      </c>
      <c r="H18" s="604">
        <f>'yrP&amp;L'!P70</f>
        <v>381.22699999999998</v>
      </c>
      <c r="I18" s="604">
        <f>'yrP&amp;L'!Q70</f>
        <v>416.988</v>
      </c>
      <c r="J18" s="604">
        <f>'yrP&amp;L'!R70</f>
        <v>446.09700000000004</v>
      </c>
      <c r="K18" s="604">
        <f>'yrP&amp;L'!S70</f>
        <v>505.96199999999999</v>
      </c>
      <c r="L18" s="604">
        <f>'yrP&amp;L'!T70</f>
        <v>506.74</v>
      </c>
      <c r="M18" s="604">
        <f>'yrP&amp;L'!U70</f>
        <v>384.14499999999998</v>
      </c>
      <c r="N18" s="604">
        <f>'yrP&amp;L'!V70</f>
        <v>250.89999999999998</v>
      </c>
      <c r="O18" s="604">
        <f>'yrP&amp;L'!W70</f>
        <v>198</v>
      </c>
      <c r="P18" s="604">
        <f>'yrP&amp;L'!X70</f>
        <v>184.5</v>
      </c>
      <c r="Q18" s="604">
        <f>'yrP&amp;L'!Y70</f>
        <v>182.33581607925814</v>
      </c>
      <c r="R18" s="604">
        <f>'yrP&amp;L'!Z70</f>
        <v>218.58055437423687</v>
      </c>
      <c r="S18" s="604">
        <f>'yrP&amp;L'!AA70</f>
        <v>227.12489318663611</v>
      </c>
      <c r="T18" s="604">
        <f>'yrP&amp;L'!AB70</f>
        <v>235.82212482870597</v>
      </c>
      <c r="U18" s="604"/>
      <c r="V18" s="4" t="s">
        <v>729</v>
      </c>
      <c r="W18" s="4" t="s">
        <v>19</v>
      </c>
      <c r="X18" s="4" t="s">
        <v>20</v>
      </c>
      <c r="Y18" s="4" t="s">
        <v>21</v>
      </c>
    </row>
    <row r="19" spans="1:25">
      <c r="A19" s="602" t="s">
        <v>7</v>
      </c>
      <c r="C19" s="604">
        <f>'yrP&amp;L'!K73</f>
        <v>18.042999999999999</v>
      </c>
      <c r="D19" s="604">
        <f>'yrP&amp;L'!L73</f>
        <v>13.640999999999998</v>
      </c>
      <c r="E19" s="604">
        <f>'yrP&amp;L'!M73</f>
        <v>0</v>
      </c>
      <c r="F19" s="604">
        <f>'yrP&amp;L'!N73</f>
        <v>0</v>
      </c>
      <c r="G19" s="604">
        <f>'yrP&amp;L'!O73</f>
        <v>0</v>
      </c>
      <c r="H19" s="604">
        <f>'yrP&amp;L'!P73</f>
        <v>0</v>
      </c>
      <c r="I19" s="604">
        <f>'yrP&amp;L'!Q73</f>
        <v>0</v>
      </c>
      <c r="J19" s="604">
        <f>'yrP&amp;L'!R73</f>
        <v>0</v>
      </c>
      <c r="K19" s="604">
        <f>'yrP&amp;L'!S73</f>
        <v>0</v>
      </c>
      <c r="L19" s="604">
        <f>'yrP&amp;L'!T73</f>
        <v>0</v>
      </c>
      <c r="M19" s="604">
        <f>'yrP&amp;L'!U73</f>
        <v>0</v>
      </c>
      <c r="N19" s="604">
        <f>'yrP&amp;L'!V73</f>
        <v>0</v>
      </c>
      <c r="O19" s="604">
        <f>'yrP&amp;L'!W73</f>
        <v>0</v>
      </c>
      <c r="P19" s="604">
        <f>'yrP&amp;L'!X73</f>
        <v>0</v>
      </c>
      <c r="Q19" s="604">
        <f>'yrP&amp;L'!Y73</f>
        <v>0</v>
      </c>
      <c r="R19" s="604">
        <f>'yrP&amp;L'!Z73</f>
        <v>0</v>
      </c>
      <c r="S19" s="604">
        <f>'yrP&amp;L'!AA73</f>
        <v>0</v>
      </c>
      <c r="T19" s="604">
        <f>'yrP&amp;L'!AB73</f>
        <v>0</v>
      </c>
      <c r="U19" s="604"/>
      <c r="V19" s="4"/>
      <c r="W19" s="4"/>
      <c r="X19" s="4"/>
      <c r="Y19" s="3"/>
    </row>
    <row r="20" spans="1:25" hidden="1" outlineLevel="1">
      <c r="A20" s="602"/>
      <c r="C20" s="604"/>
      <c r="D20" s="604"/>
      <c r="E20" s="604"/>
      <c r="F20" s="604"/>
      <c r="G20" s="604"/>
      <c r="H20" s="604"/>
      <c r="I20" s="604"/>
      <c r="J20" s="604"/>
      <c r="K20" s="604"/>
      <c r="L20" s="604"/>
      <c r="M20" s="604"/>
      <c r="V20" s="4"/>
      <c r="W20" s="4"/>
      <c r="X20" s="4"/>
      <c r="Y20" s="3"/>
    </row>
    <row r="21" spans="1:25" hidden="1" outlineLevel="1">
      <c r="A21" s="602" t="s">
        <v>28</v>
      </c>
      <c r="C21" s="603">
        <f>C16-C18-C19</f>
        <v>237.94899999999976</v>
      </c>
      <c r="D21" s="603">
        <f t="shared" ref="D21:P21" si="3">D16-D18-D19</f>
        <v>358.61200000000008</v>
      </c>
      <c r="E21" s="603">
        <f t="shared" si="3"/>
        <v>464.04399999999987</v>
      </c>
      <c r="F21" s="603">
        <f t="shared" si="3"/>
        <v>636.52899999999954</v>
      </c>
      <c r="G21" s="603">
        <f t="shared" si="3"/>
        <v>742.00200000000018</v>
      </c>
      <c r="H21" s="603">
        <f t="shared" si="3"/>
        <v>622.24199999999962</v>
      </c>
      <c r="I21" s="603">
        <f t="shared" si="3"/>
        <v>734.93999999999983</v>
      </c>
      <c r="J21" s="603">
        <f t="shared" si="3"/>
        <v>880.80000000000041</v>
      </c>
      <c r="K21" s="603">
        <f t="shared" si="3"/>
        <v>1038.9099999999996</v>
      </c>
      <c r="L21" s="603">
        <f t="shared" si="3"/>
        <v>1066.9879999999994</v>
      </c>
      <c r="M21" s="603">
        <f t="shared" si="3"/>
        <v>869.6170000000011</v>
      </c>
      <c r="N21" s="603">
        <f t="shared" si="3"/>
        <v>531.20000000000005</v>
      </c>
      <c r="O21" s="603">
        <f t="shared" si="3"/>
        <v>551.69999999999902</v>
      </c>
      <c r="P21" s="603">
        <f t="shared" si="3"/>
        <v>609.22000000000082</v>
      </c>
      <c r="Q21" s="603">
        <f>Q16-Q18-Q19</f>
        <v>727.88426854841623</v>
      </c>
      <c r="R21" s="603">
        <f>R16-R18-R19</f>
        <v>798.07318690128352</v>
      </c>
      <c r="S21" s="603">
        <f>S16-S18-S19</f>
        <v>829.26995884422956</v>
      </c>
      <c r="T21" s="603">
        <f>T16-T18-T19</f>
        <v>861.02496739783351</v>
      </c>
      <c r="U21" s="603"/>
      <c r="V21" s="4"/>
      <c r="W21" s="4"/>
      <c r="X21" s="4"/>
      <c r="Y21" s="3"/>
    </row>
    <row r="22" spans="1:25" hidden="1" outlineLevel="1">
      <c r="A22" s="602"/>
      <c r="C22" s="604"/>
      <c r="D22" s="604"/>
      <c r="E22" s="604"/>
      <c r="F22" s="604"/>
      <c r="G22" s="604"/>
      <c r="H22" s="604"/>
      <c r="I22" s="604"/>
      <c r="J22" s="604"/>
      <c r="K22" s="604"/>
      <c r="L22" s="604"/>
      <c r="M22" s="604"/>
      <c r="V22" s="4"/>
      <c r="W22" s="4"/>
      <c r="X22" s="4"/>
      <c r="Y22" s="3"/>
    </row>
    <row r="23" spans="1:25" collapsed="1">
      <c r="A23" s="606" t="s">
        <v>29</v>
      </c>
      <c r="B23" s="606"/>
      <c r="C23" s="607">
        <f t="shared" ref="C23:P23" si="4">C21/C24</f>
        <v>0.61715487682786963</v>
      </c>
      <c r="D23" s="607">
        <f t="shared" si="4"/>
        <v>0.91906784113421403</v>
      </c>
      <c r="E23" s="607">
        <f t="shared" si="4"/>
        <v>1.1944658232409679</v>
      </c>
      <c r="F23" s="607">
        <f t="shared" si="4"/>
        <v>1.6868129829656864</v>
      </c>
      <c r="G23" s="607">
        <f t="shared" si="4"/>
        <v>2.0592176104259412</v>
      </c>
      <c r="H23" s="607">
        <f t="shared" si="4"/>
        <v>1.9130338539865237</v>
      </c>
      <c r="I23" s="607">
        <f t="shared" si="4"/>
        <v>2.3256950954680842</v>
      </c>
      <c r="J23" s="607">
        <f t="shared" si="4"/>
        <v>2.9207972503121264</v>
      </c>
      <c r="K23" s="607">
        <f>K21/K24</f>
        <v>3.5311522019355026</v>
      </c>
      <c r="L23" s="607">
        <f t="shared" si="4"/>
        <v>3.7285729137272932</v>
      </c>
      <c r="M23" s="607">
        <f t="shared" si="4"/>
        <v>3.1024371100735411</v>
      </c>
      <c r="N23" s="607">
        <f>N21/N24</f>
        <v>1.9163059163059166</v>
      </c>
      <c r="O23" s="607">
        <f t="shared" si="4"/>
        <v>1.9752953813104153</v>
      </c>
      <c r="P23" s="607">
        <f t="shared" si="4"/>
        <v>2.1542432814710071</v>
      </c>
      <c r="Q23" s="607">
        <f>Q21/Q24</f>
        <v>2.5171683804568308</v>
      </c>
      <c r="R23" s="607">
        <f>R21/R24</f>
        <v>2.7503842267960263</v>
      </c>
      <c r="S23" s="607">
        <f>S21/S24</f>
        <v>2.8480817708051429</v>
      </c>
      <c r="T23" s="607">
        <f>T21/T24</f>
        <v>2.9470212087233945</v>
      </c>
      <c r="U23" s="1361"/>
      <c r="V23" s="693">
        <f>O23</f>
        <v>1.9752953813104153</v>
      </c>
      <c r="W23" s="4">
        <v>15.4</v>
      </c>
      <c r="X23" s="311">
        <f>V23*W23</f>
        <v>30.419548872180396</v>
      </c>
      <c r="Y23" s="671">
        <f>X23/$V$3-1</f>
        <v>-0.15029193094468163</v>
      </c>
    </row>
    <row r="24" spans="1:25">
      <c r="A24" s="602" t="s">
        <v>30</v>
      </c>
      <c r="C24" s="604">
        <f>'yrP&amp;L'!K88</f>
        <v>385.55799999999999</v>
      </c>
      <c r="D24" s="604">
        <f>'yrP&amp;L'!L88</f>
        <v>390.19099999999997</v>
      </c>
      <c r="E24" s="604">
        <f>'yrP&amp;L'!M88</f>
        <v>388.495</v>
      </c>
      <c r="F24" s="604">
        <f>'yrP&amp;L'!N88</f>
        <v>377.35599999999999</v>
      </c>
      <c r="G24" s="604">
        <f>'yrP&amp;L'!O88</f>
        <v>360.33199999999999</v>
      </c>
      <c r="H24" s="604">
        <f>'yrP&amp;L'!P88</f>
        <v>325.2645</v>
      </c>
      <c r="I24" s="604">
        <f>'yrP&amp;L'!Q88</f>
        <v>316.00874999999996</v>
      </c>
      <c r="J24" s="604">
        <f>'yrP&amp;L'!R88</f>
        <v>301.56150000000002</v>
      </c>
      <c r="K24" s="604">
        <f>'yrP&amp;L'!S88</f>
        <v>294.21275000000003</v>
      </c>
      <c r="L24" s="604">
        <f>'yrP&amp;L'!T88</f>
        <v>286.16525000000001</v>
      </c>
      <c r="M24" s="604">
        <f>'yrP&amp;L'!U88</f>
        <v>280.30124999999998</v>
      </c>
      <c r="N24" s="604">
        <f>'yrP&amp;L'!V88</f>
        <v>277.2</v>
      </c>
      <c r="O24" s="604">
        <f>'yrP&amp;L'!W88</f>
        <v>279.3</v>
      </c>
      <c r="P24" s="604">
        <f>'yrP&amp;L'!X88</f>
        <v>282.8</v>
      </c>
      <c r="Q24" s="604">
        <f>'yrP&amp;L'!Y88</f>
        <v>289.16788968098967</v>
      </c>
      <c r="R24" s="604">
        <f>'yrP&amp;L'!Z88</f>
        <v>290.16788968098967</v>
      </c>
      <c r="S24" s="604">
        <f>'yrP&amp;L'!AA88</f>
        <v>291.16788968098967</v>
      </c>
      <c r="T24" s="604">
        <f>'yrP&amp;L'!AB88</f>
        <v>292.16788968098967</v>
      </c>
      <c r="U24" s="604"/>
      <c r="V24" s="3"/>
      <c r="W24" s="3"/>
      <c r="X24" s="3"/>
      <c r="Y24" s="3"/>
    </row>
    <row r="25" spans="1:25" hidden="1" outlineLevel="1">
      <c r="A25" s="602"/>
      <c r="C25" s="604"/>
      <c r="D25" s="604"/>
      <c r="E25" s="604"/>
      <c r="F25" s="604"/>
      <c r="G25" s="604"/>
      <c r="H25" s="604"/>
      <c r="I25" s="604"/>
      <c r="J25" s="604"/>
      <c r="K25" s="604"/>
      <c r="L25" s="604"/>
      <c r="M25" s="604"/>
      <c r="V25" s="3"/>
      <c r="W25" s="3"/>
      <c r="X25" s="3"/>
      <c r="Y25" s="3"/>
    </row>
    <row r="26" spans="1:25" hidden="1" outlineLevel="1">
      <c r="A26" s="602" t="s">
        <v>44</v>
      </c>
      <c r="C26" s="603">
        <f>C13+C12</f>
        <v>445.40399999999977</v>
      </c>
      <c r="D26" s="603">
        <f t="shared" ref="D26:P26" si="5">D13+D12</f>
        <v>622.96300000000008</v>
      </c>
      <c r="E26" s="603">
        <f t="shared" si="5"/>
        <v>779.86199999999985</v>
      </c>
      <c r="F26" s="603">
        <f t="shared" si="5"/>
        <v>1074.2289999999998</v>
      </c>
      <c r="G26" s="603">
        <f t="shared" si="5"/>
        <v>1279.933</v>
      </c>
      <c r="H26" s="603">
        <f t="shared" si="5"/>
        <v>1123.3269999999995</v>
      </c>
      <c r="I26" s="603">
        <f t="shared" si="5"/>
        <v>1276.9149999999997</v>
      </c>
      <c r="J26" s="603">
        <f t="shared" si="5"/>
        <v>1455.7080000000003</v>
      </c>
      <c r="K26" s="603">
        <f t="shared" si="5"/>
        <v>1684.1069999999995</v>
      </c>
      <c r="L26" s="603">
        <f t="shared" si="5"/>
        <v>1740.7299999999996</v>
      </c>
      <c r="M26" s="603">
        <f t="shared" si="5"/>
        <v>1440.9410000000012</v>
      </c>
      <c r="N26" s="603">
        <f t="shared" si="5"/>
        <v>980.3</v>
      </c>
      <c r="O26" s="603">
        <f t="shared" si="5"/>
        <v>987.19999999999902</v>
      </c>
      <c r="P26" s="603">
        <f t="shared" si="5"/>
        <v>1026.2200000000007</v>
      </c>
      <c r="Q26" s="603">
        <f>Q13+Q12</f>
        <v>1265.4147977539913</v>
      </c>
      <c r="R26" s="603">
        <f>R13+R12</f>
        <v>1347.6930321196101</v>
      </c>
      <c r="S26" s="603">
        <f>S13+S12</f>
        <v>1395.6510427570615</v>
      </c>
      <c r="T26" s="603">
        <f>T13+T12</f>
        <v>1444.5403141518987</v>
      </c>
      <c r="U26" s="603"/>
      <c r="V26" s="3"/>
      <c r="W26" s="3"/>
      <c r="X26" s="3"/>
      <c r="Y26" s="3"/>
    </row>
    <row r="27" spans="1:25" collapsed="1">
      <c r="A27" s="602"/>
      <c r="C27" s="604"/>
      <c r="D27" s="604"/>
      <c r="E27" s="604"/>
      <c r="F27" s="604"/>
      <c r="G27" s="604"/>
      <c r="H27" s="604"/>
      <c r="I27" s="604"/>
      <c r="J27" s="604"/>
      <c r="K27" s="604"/>
      <c r="L27" s="604"/>
      <c r="M27" s="604"/>
      <c r="V27" s="3"/>
      <c r="W27" s="3"/>
      <c r="X27" s="3"/>
      <c r="Y27" s="3"/>
    </row>
    <row r="28" spans="1:25">
      <c r="A28" s="608" t="s">
        <v>96</v>
      </c>
      <c r="C28" s="604"/>
      <c r="D28" s="604"/>
      <c r="E28" s="604"/>
      <c r="F28" s="604"/>
      <c r="G28" s="604"/>
      <c r="H28" s="604"/>
      <c r="I28" s="604"/>
      <c r="J28" s="604"/>
      <c r="K28" s="604"/>
      <c r="L28" s="604"/>
      <c r="M28" s="604"/>
      <c r="V28" s="3"/>
      <c r="W28" s="3"/>
      <c r="X28" s="3"/>
      <c r="Y28" s="3"/>
    </row>
    <row r="29" spans="1:25">
      <c r="A29" s="602" t="s">
        <v>47</v>
      </c>
      <c r="C29" s="609">
        <f>C10/C6</f>
        <v>0.74943418620458913</v>
      </c>
      <c r="D29" s="609">
        <f t="shared" ref="D29:M29" si="6">D10/D6</f>
        <v>0.76634317943573027</v>
      </c>
      <c r="E29" s="609">
        <f t="shared" si="6"/>
        <v>0.77717310921231531</v>
      </c>
      <c r="F29" s="609">
        <f t="shared" si="6"/>
        <v>0.77436175001607677</v>
      </c>
      <c r="G29" s="609">
        <f t="shared" si="6"/>
        <v>0.75677047948019927</v>
      </c>
      <c r="H29" s="609">
        <f t="shared" si="6"/>
        <v>0.71897013064360948</v>
      </c>
      <c r="I29" s="609">
        <f t="shared" si="6"/>
        <v>0.73003235359664886</v>
      </c>
      <c r="J29" s="609">
        <f t="shared" si="6"/>
        <v>0.72707368293476482</v>
      </c>
      <c r="K29" s="609">
        <f t="shared" si="6"/>
        <v>0.72768150689245414</v>
      </c>
      <c r="L29" s="609">
        <f t="shared" si="6"/>
        <v>0.72958885918126481</v>
      </c>
      <c r="M29" s="609">
        <f t="shared" si="6"/>
        <v>0.7030786733707487</v>
      </c>
      <c r="N29" s="609">
        <f t="shared" ref="N29:S29" si="7">N10/N6</f>
        <v>0.69622578490313958</v>
      </c>
      <c r="O29" s="609">
        <f t="shared" si="7"/>
        <v>0.67954940113094964</v>
      </c>
      <c r="P29" s="609">
        <f t="shared" si="7"/>
        <v>0.68712430096027455</v>
      </c>
      <c r="Q29" s="609">
        <f t="shared" si="7"/>
        <v>0.67355116324138897</v>
      </c>
      <c r="R29" s="609">
        <f t="shared" si="7"/>
        <v>0.6724</v>
      </c>
      <c r="S29" s="609">
        <f t="shared" si="7"/>
        <v>0.67390000000000005</v>
      </c>
      <c r="T29" s="609">
        <f>T10/T6</f>
        <v>0.67470000000000008</v>
      </c>
      <c r="U29" s="609"/>
      <c r="V29" s="3"/>
      <c r="W29" s="3"/>
      <c r="X29" s="3"/>
      <c r="Y29" s="3"/>
    </row>
    <row r="30" spans="1:25">
      <c r="A30" s="602" t="s">
        <v>98</v>
      </c>
      <c r="C30" s="609">
        <f>C11/C6</f>
        <v>0.4426427553882884</v>
      </c>
      <c r="D30" s="609">
        <f t="shared" ref="D30:M30" si="8">D11/D6</f>
        <v>0.43159382211300945</v>
      </c>
      <c r="E30" s="609">
        <f t="shared" si="8"/>
        <v>0.42596178745815305</v>
      </c>
      <c r="F30" s="609">
        <f t="shared" si="8"/>
        <v>0.39410769023478293</v>
      </c>
      <c r="G30" s="609">
        <f t="shared" si="8"/>
        <v>0.38603200433104445</v>
      </c>
      <c r="H30" s="609">
        <f t="shared" si="8"/>
        <v>0.40932056903210312</v>
      </c>
      <c r="I30" s="609">
        <f t="shared" si="8"/>
        <v>0.41121665267782004</v>
      </c>
      <c r="J30" s="609">
        <f t="shared" si="8"/>
        <v>0.40710259715806663</v>
      </c>
      <c r="K30" s="609">
        <f t="shared" si="8"/>
        <v>0.4020171398099589</v>
      </c>
      <c r="L30" s="609">
        <f t="shared" si="8"/>
        <v>0.4187274278429835</v>
      </c>
      <c r="M30" s="609">
        <f t="shared" si="8"/>
        <v>0.44267040293153076</v>
      </c>
      <c r="N30" s="609">
        <f t="shared" ref="N30:S30" si="9">N11/N6</f>
        <v>0.50811146101727267</v>
      </c>
      <c r="O30" s="609">
        <f t="shared" si="9"/>
        <v>0.50665657420187915</v>
      </c>
      <c r="P30" s="609">
        <f t="shared" si="9"/>
        <v>0.50607134104226537</v>
      </c>
      <c r="Q30" s="609">
        <f t="shared" si="9"/>
        <v>0.50412266078012358</v>
      </c>
      <c r="R30" s="609">
        <f t="shared" si="9"/>
        <v>0.496</v>
      </c>
      <c r="S30" s="609">
        <f t="shared" si="9"/>
        <v>0.49600000000000005</v>
      </c>
      <c r="T30" s="609">
        <f>T11/T6</f>
        <v>0.49540000000000001</v>
      </c>
      <c r="U30" s="609"/>
      <c r="V30" s="3"/>
      <c r="W30" s="3"/>
      <c r="X30" s="3"/>
      <c r="Y30" s="3"/>
    </row>
    <row r="31" spans="1:25">
      <c r="A31" s="602" t="s">
        <v>49</v>
      </c>
      <c r="C31" s="609">
        <f>C13/C6</f>
        <v>0.30679143081630073</v>
      </c>
      <c r="D31" s="609">
        <f t="shared" ref="D31:M31" si="10">D13/D6</f>
        <v>0.33474935732272076</v>
      </c>
      <c r="E31" s="609">
        <f t="shared" si="10"/>
        <v>0.35121132175416231</v>
      </c>
      <c r="F31" s="609">
        <f t="shared" si="10"/>
        <v>0.38025405978129384</v>
      </c>
      <c r="G31" s="609">
        <f t="shared" si="10"/>
        <v>0.37073847514915476</v>
      </c>
      <c r="H31" s="609">
        <f t="shared" si="10"/>
        <v>0.30964956161150636</v>
      </c>
      <c r="I31" s="609">
        <f t="shared" si="10"/>
        <v>0.31881570091882877</v>
      </c>
      <c r="J31" s="609">
        <f t="shared" si="10"/>
        <v>0.31997108577669825</v>
      </c>
      <c r="K31" s="609">
        <f t="shared" si="10"/>
        <v>0.3256643670824953</v>
      </c>
      <c r="L31" s="609">
        <f t="shared" si="10"/>
        <v>0.31086143133828131</v>
      </c>
      <c r="M31" s="609">
        <f t="shared" si="10"/>
        <v>0.26040827043921799</v>
      </c>
      <c r="N31" s="609">
        <f t="shared" ref="N31:S31" si="11">N13/N6</f>
        <v>0.18811432388586696</v>
      </c>
      <c r="O31" s="609">
        <f t="shared" si="11"/>
        <v>0.17289282692907057</v>
      </c>
      <c r="P31" s="609">
        <f t="shared" si="11"/>
        <v>0.18105295991800921</v>
      </c>
      <c r="Q31" s="609">
        <f t="shared" si="11"/>
        <v>0.1694285024612654</v>
      </c>
      <c r="R31" s="609">
        <f t="shared" si="11"/>
        <v>0.17640000000000003</v>
      </c>
      <c r="S31" s="609">
        <f t="shared" si="11"/>
        <v>0.17790000000000003</v>
      </c>
      <c r="T31" s="609">
        <f>T13/T6</f>
        <v>0.17930000000000001</v>
      </c>
      <c r="U31" s="609"/>
      <c r="V31" s="3"/>
      <c r="W31" s="3"/>
      <c r="X31" s="1011">
        <f>18*Q62</f>
        <v>53.056726519253417</v>
      </c>
      <c r="Y31" s="3"/>
    </row>
    <row r="32" spans="1:25">
      <c r="A32" s="602" t="s">
        <v>39</v>
      </c>
      <c r="C32" s="609">
        <f>C18/C16</f>
        <v>0.37333046100818634</v>
      </c>
      <c r="D32" s="609">
        <f t="shared" ref="D32:M32" si="12">D18/D16</f>
        <v>0.36726424090168147</v>
      </c>
      <c r="E32" s="609">
        <f t="shared" si="12"/>
        <v>0.37909736810415195</v>
      </c>
      <c r="F32" s="609">
        <f t="shared" si="12"/>
        <v>0.38479998453613246</v>
      </c>
      <c r="G32" s="609">
        <f t="shared" si="12"/>
        <v>0.39000114271715114</v>
      </c>
      <c r="H32" s="609">
        <f t="shared" si="12"/>
        <v>0.37990909534823708</v>
      </c>
      <c r="I32" s="609">
        <f t="shared" si="12"/>
        <v>0.36199137446090385</v>
      </c>
      <c r="J32" s="609">
        <f t="shared" si="12"/>
        <v>0.33619565045365229</v>
      </c>
      <c r="K32" s="609">
        <f t="shared" si="12"/>
        <v>0.32751062871228176</v>
      </c>
      <c r="L32" s="609">
        <f t="shared" si="12"/>
        <v>0.32199973565952961</v>
      </c>
      <c r="M32" s="609">
        <f t="shared" si="12"/>
        <v>0.30639387698781717</v>
      </c>
      <c r="N32" s="609">
        <f t="shared" ref="N32:S32" si="13">N18/N16</f>
        <v>0.3208029663725866</v>
      </c>
      <c r="O32" s="609">
        <f t="shared" si="13"/>
        <v>0.26410564225690308</v>
      </c>
      <c r="P32" s="609">
        <f t="shared" si="13"/>
        <v>0.23244973038351033</v>
      </c>
      <c r="Q32" s="609">
        <f t="shared" si="13"/>
        <v>0.20032058087780233</v>
      </c>
      <c r="R32" s="609">
        <f t="shared" si="13"/>
        <v>0.215</v>
      </c>
      <c r="S32" s="609">
        <f t="shared" si="13"/>
        <v>0.215</v>
      </c>
      <c r="T32" s="609">
        <f>T18/T16</f>
        <v>0.215</v>
      </c>
      <c r="U32" s="609"/>
      <c r="V32" s="3"/>
      <c r="W32" s="3"/>
      <c r="X32" s="3"/>
      <c r="Y32" s="3"/>
    </row>
    <row r="33" spans="1:25">
      <c r="A33" s="602"/>
      <c r="C33" s="604"/>
      <c r="D33" s="604"/>
      <c r="E33" s="604"/>
      <c r="F33" s="604"/>
      <c r="G33" s="604"/>
      <c r="H33" s="604"/>
      <c r="I33" s="604"/>
      <c r="J33" s="604"/>
      <c r="K33" s="604"/>
      <c r="L33" s="604"/>
      <c r="M33" s="604"/>
      <c r="V33" s="3"/>
      <c r="W33" s="3"/>
      <c r="X33" s="3"/>
      <c r="Y33" s="3"/>
    </row>
    <row r="34" spans="1:25">
      <c r="A34" s="608" t="s">
        <v>100</v>
      </c>
      <c r="C34" s="604"/>
      <c r="D34" s="604"/>
      <c r="E34" s="604"/>
      <c r="F34" s="604"/>
      <c r="G34" s="604"/>
      <c r="H34" s="604"/>
      <c r="I34" s="604"/>
      <c r="J34" s="604"/>
      <c r="K34" s="604"/>
      <c r="L34" s="604"/>
      <c r="M34" s="604"/>
      <c r="V34" s="3"/>
      <c r="W34" s="3"/>
      <c r="X34" s="3"/>
      <c r="Y34" s="3"/>
    </row>
    <row r="35" spans="1:25">
      <c r="A35" s="602" t="s">
        <v>482</v>
      </c>
      <c r="C35" s="610" t="s">
        <v>606</v>
      </c>
      <c r="D35" s="609">
        <f>((D6/C6)-1)</f>
        <v>0.29469020653906686</v>
      </c>
      <c r="E35" s="609">
        <f t="shared" ref="E35:M35" si="14">((E6/D6)-1)</f>
        <v>0.18981737266161613</v>
      </c>
      <c r="F35" s="609">
        <f t="shared" si="14"/>
        <v>0.28370475816560536</v>
      </c>
      <c r="G35" s="609">
        <f t="shared" si="14"/>
        <v>0.21753514700343302</v>
      </c>
      <c r="H35" s="609">
        <f t="shared" si="14"/>
        <v>1.5628669527411265E-2</v>
      </c>
      <c r="I35" s="609">
        <f t="shared" si="14"/>
        <v>0.11675336205156661</v>
      </c>
      <c r="J35" s="609">
        <f t="shared" si="14"/>
        <v>0.15269583738492476</v>
      </c>
      <c r="K35" s="609">
        <f t="shared" si="14"/>
        <v>0.14540627201060352</v>
      </c>
      <c r="L35" s="609">
        <f t="shared" si="14"/>
        <v>6.5546546634811298E-2</v>
      </c>
      <c r="M35" s="609">
        <f t="shared" si="14"/>
        <v>-5.3033165924194714E-2</v>
      </c>
      <c r="N35" s="609">
        <f t="shared" ref="N35:T35" si="15">((N6/M6)-1)</f>
        <v>-0.12788121074622794</v>
      </c>
      <c r="O35" s="609">
        <f t="shared" si="15"/>
        <v>7.1619429334859985E-2</v>
      </c>
      <c r="P35" s="609">
        <f t="shared" si="15"/>
        <v>-7.7919764904921252E-4</v>
      </c>
      <c r="Q35" s="609">
        <f t="shared" si="15"/>
        <v>0.29913255208949852</v>
      </c>
      <c r="R35" s="609">
        <f t="shared" si="15"/>
        <v>3.1872959373271836E-2</v>
      </c>
      <c r="S35" s="609">
        <f t="shared" si="15"/>
        <v>2.8696375750194125E-2</v>
      </c>
      <c r="T35" s="609">
        <f t="shared" si="15"/>
        <v>2.8643197681103683E-2</v>
      </c>
      <c r="U35" s="609"/>
      <c r="V35" s="3"/>
      <c r="W35" s="3"/>
      <c r="X35" s="3"/>
      <c r="Y35" s="3"/>
    </row>
    <row r="36" spans="1:25">
      <c r="A36" s="602" t="s">
        <v>128</v>
      </c>
      <c r="C36" s="609">
        <f>yrSales!K97</f>
        <v>0.16899999999999998</v>
      </c>
      <c r="D36" s="609">
        <f>yrSales!L97</f>
        <v>0.182</v>
      </c>
      <c r="E36" s="609">
        <f>yrSales!M97</f>
        <v>0.20699999999999999</v>
      </c>
      <c r="F36" s="609">
        <f>yrSales!N97</f>
        <v>0.223</v>
      </c>
      <c r="G36" s="609">
        <f>yrSales!O97</f>
        <v>9.8000000000000004E-2</v>
      </c>
      <c r="H36" s="609">
        <f>yrSales!P97</f>
        <v>-6.8000000000000005E-2</v>
      </c>
      <c r="I36" s="609">
        <f>yrSales!Q97</f>
        <v>3.5557111151952245E-2</v>
      </c>
      <c r="J36" s="609">
        <f>yrSales!R97</f>
        <v>0.106</v>
      </c>
      <c r="K36" s="609">
        <f>yrSales!S97</f>
        <v>6.6000000000000003E-2</v>
      </c>
      <c r="L36" s="609">
        <f>yrSales!T97</f>
        <v>3.0000000000000001E-3</v>
      </c>
      <c r="M36" s="609">
        <f>yrSales!U97</f>
        <v>-0.15</v>
      </c>
      <c r="N36" s="609">
        <f>yrSales!V97</f>
        <v>-0.22</v>
      </c>
      <c r="O36" s="609">
        <f>yrSales!W97</f>
        <v>-3.3000000000000002E-2</v>
      </c>
      <c r="P36" s="609">
        <f>yrSales!X97</f>
        <v>3.1E-2</v>
      </c>
      <c r="Q36" s="609">
        <f>yrSales!Y97</f>
        <v>0</v>
      </c>
      <c r="R36" s="609">
        <f>yrSales!Z97</f>
        <v>0.01</v>
      </c>
      <c r="S36" s="609">
        <f>yrSales!AA97</f>
        <v>0.01</v>
      </c>
      <c r="T36" s="609">
        <f>yrSales!AB97</f>
        <v>0.01</v>
      </c>
      <c r="U36" s="609"/>
      <c r="V36" s="3"/>
      <c r="W36" s="3"/>
      <c r="X36" s="3"/>
      <c r="Y36" s="3"/>
    </row>
    <row r="37" spans="1:25">
      <c r="A37" s="602" t="s">
        <v>93</v>
      </c>
      <c r="C37" s="611" t="s">
        <v>606</v>
      </c>
      <c r="D37" s="609">
        <f>((D11/C11)-1)</f>
        <v>0.26237307149037759</v>
      </c>
      <c r="E37" s="609">
        <f t="shared" ref="E37:M37" si="16">((E11/D11)-1)</f>
        <v>0.17429098573843693</v>
      </c>
      <c r="F37" s="609">
        <f t="shared" si="16"/>
        <v>0.18770728285984872</v>
      </c>
      <c r="G37" s="609">
        <f t="shared" si="16"/>
        <v>0.19258655638317834</v>
      </c>
      <c r="H37" s="609">
        <f t="shared" si="16"/>
        <v>7.6899584159286771E-2</v>
      </c>
      <c r="I37" s="609">
        <f t="shared" si="16"/>
        <v>0.12192646583936884</v>
      </c>
      <c r="J37" s="609">
        <f t="shared" si="16"/>
        <v>0.14116358390854211</v>
      </c>
      <c r="K37" s="609">
        <f t="shared" si="16"/>
        <v>0.13109804901416977</v>
      </c>
      <c r="L37" s="609">
        <f t="shared" si="16"/>
        <v>0.10983716995320858</v>
      </c>
      <c r="M37" s="609">
        <f t="shared" si="16"/>
        <v>1.1147159921041094E-3</v>
      </c>
      <c r="N37" s="609">
        <f t="shared" ref="N37:T37" si="17">((N11/M11)-1)</f>
        <v>1.0462620806610534E-3</v>
      </c>
      <c r="O37" s="609">
        <f t="shared" si="17"/>
        <v>6.855103765611803E-2</v>
      </c>
      <c r="P37" s="609">
        <f t="shared" si="17"/>
        <v>-1.9333860620444066E-3</v>
      </c>
      <c r="Q37" s="609">
        <f t="shared" si="17"/>
        <v>0.29413010726235456</v>
      </c>
      <c r="R37" s="609">
        <f t="shared" si="17"/>
        <v>1.5246938229527052E-2</v>
      </c>
      <c r="S37" s="609">
        <f t="shared" si="17"/>
        <v>2.8696375750194125E-2</v>
      </c>
      <c r="T37" s="609">
        <f t="shared" si="17"/>
        <v>2.7398871232295896E-2</v>
      </c>
      <c r="U37" s="609"/>
      <c r="V37" s="3"/>
      <c r="W37" s="3"/>
      <c r="X37" s="3"/>
      <c r="Y37" s="3"/>
    </row>
    <row r="38" spans="1:25">
      <c r="A38" s="602" t="s">
        <v>106</v>
      </c>
      <c r="C38" s="611" t="s">
        <v>606</v>
      </c>
      <c r="D38" s="609">
        <f>((D13/C13)-1)</f>
        <v>0.41267542387936085</v>
      </c>
      <c r="E38" s="609">
        <f t="shared" ref="E38:M38" si="18">((E13/D13)-1)</f>
        <v>0.24832900484313458</v>
      </c>
      <c r="F38" s="609">
        <f t="shared" si="18"/>
        <v>0.38985822955535299</v>
      </c>
      <c r="G38" s="609">
        <f t="shared" si="18"/>
        <v>0.18706720475298444</v>
      </c>
      <c r="H38" s="609">
        <f t="shared" si="18"/>
        <v>-0.1517228629892925</v>
      </c>
      <c r="I38" s="609">
        <f t="shared" si="18"/>
        <v>0.14981110912284468</v>
      </c>
      <c r="J38" s="609">
        <f t="shared" si="18"/>
        <v>0.1568731953770357</v>
      </c>
      <c r="K38" s="609">
        <f t="shared" si="18"/>
        <v>0.16578661387852955</v>
      </c>
      <c r="L38" s="609">
        <f t="shared" si="18"/>
        <v>1.711258008326455E-2</v>
      </c>
      <c r="M38" s="609">
        <f t="shared" si="18"/>
        <v>-0.20672695109406192</v>
      </c>
      <c r="N38" s="609">
        <f t="shared" ref="N38:T38" si="19">((N13/M13)-1)</f>
        <v>-0.36999682801193101</v>
      </c>
      <c r="O38" s="609">
        <f t="shared" si="19"/>
        <v>-1.5091946734306916E-2</v>
      </c>
      <c r="P38" s="609">
        <f t="shared" si="19"/>
        <v>4.6381663662119266E-2</v>
      </c>
      <c r="Q38" s="609">
        <f t="shared" si="19"/>
        <v>0.21572208981771746</v>
      </c>
      <c r="R38" s="609">
        <f t="shared" si="19"/>
        <v>7.4331575792915938E-2</v>
      </c>
      <c r="S38" s="609">
        <f t="shared" si="19"/>
        <v>3.7443793911335232E-2</v>
      </c>
      <c r="T38" s="609">
        <f t="shared" si="19"/>
        <v>3.6738197550432172E-2</v>
      </c>
      <c r="U38" s="609"/>
      <c r="V38" s="3"/>
      <c r="W38" s="3"/>
      <c r="X38" s="3"/>
      <c r="Y38" s="3"/>
    </row>
    <row r="39" spans="1:25">
      <c r="A39" s="602" t="s">
        <v>107</v>
      </c>
      <c r="C39" s="611" t="s">
        <v>606</v>
      </c>
      <c r="D39" s="609">
        <f>((D23/C23)-1)</f>
        <v>0.48920129394124645</v>
      </c>
      <c r="E39" s="609">
        <f t="shared" ref="E39:M39" si="20">((E23/D23)-1)</f>
        <v>0.29964924217877931</v>
      </c>
      <c r="F39" s="609">
        <f t="shared" si="20"/>
        <v>0.41219024449676001</v>
      </c>
      <c r="G39" s="609">
        <f t="shared" si="20"/>
        <v>0.22077410550012955</v>
      </c>
      <c r="H39" s="609">
        <f t="shared" si="20"/>
        <v>-7.0989950600305884E-2</v>
      </c>
      <c r="I39" s="609">
        <f t="shared" si="20"/>
        <v>0.21571037053088515</v>
      </c>
      <c r="J39" s="609">
        <f t="shared" si="20"/>
        <v>0.25588141627149463</v>
      </c>
      <c r="K39" s="609">
        <f t="shared" si="20"/>
        <v>0.2089686134695421</v>
      </c>
      <c r="L39" s="609">
        <f t="shared" si="20"/>
        <v>5.5908298623769337E-2</v>
      </c>
      <c r="M39" s="609">
        <f t="shared" si="20"/>
        <v>-0.16792907585326822</v>
      </c>
      <c r="N39" s="609">
        <f t="shared" ref="N39:T39" si="21">((N23/M23)-1)</f>
        <v>-0.38232239741984908</v>
      </c>
      <c r="O39" s="609">
        <f t="shared" si="21"/>
        <v>3.0782906060329518E-2</v>
      </c>
      <c r="P39" s="609">
        <f t="shared" si="21"/>
        <v>9.0592982626161556E-2</v>
      </c>
      <c r="Q39" s="609">
        <f t="shared" si="21"/>
        <v>0.16846987622400911</v>
      </c>
      <c r="R39" s="609">
        <f t="shared" si="21"/>
        <v>9.2650077821520238E-2</v>
      </c>
      <c r="S39" s="609">
        <f t="shared" si="21"/>
        <v>3.552141662873276E-2</v>
      </c>
      <c r="T39" s="609">
        <f t="shared" si="21"/>
        <v>3.4738973765588765E-2</v>
      </c>
      <c r="U39" s="609"/>
      <c r="V39" s="3"/>
      <c r="W39" s="3"/>
      <c r="X39" s="3"/>
      <c r="Y39" s="3"/>
    </row>
    <row r="40" spans="1:25">
      <c r="A40" s="602" t="s">
        <v>44</v>
      </c>
      <c r="C40" s="611" t="s">
        <v>606</v>
      </c>
      <c r="D40" s="609">
        <f>((D26/C26)-1)</f>
        <v>0.39864707097376861</v>
      </c>
      <c r="E40" s="609">
        <f t="shared" ref="E40:M40" si="22">((E26/D26)-1)</f>
        <v>0.2518592596992113</v>
      </c>
      <c r="F40" s="609">
        <f t="shared" si="22"/>
        <v>0.37746037119387799</v>
      </c>
      <c r="G40" s="609">
        <f t="shared" si="22"/>
        <v>0.19148989647458792</v>
      </c>
      <c r="H40" s="609">
        <f t="shared" si="22"/>
        <v>-0.1223548420112619</v>
      </c>
      <c r="I40" s="609">
        <f t="shared" si="22"/>
        <v>0.13672599341064551</v>
      </c>
      <c r="J40" s="609">
        <f t="shared" si="22"/>
        <v>0.14001950012334463</v>
      </c>
      <c r="K40" s="609">
        <f t="shared" si="22"/>
        <v>0.15689891104534648</v>
      </c>
      <c r="L40" s="609">
        <f t="shared" si="22"/>
        <v>3.3621972950649948E-2</v>
      </c>
      <c r="M40" s="609">
        <f t="shared" si="22"/>
        <v>-0.17222027540169838</v>
      </c>
      <c r="N40" s="609">
        <f t="shared" ref="N40:T40" si="23">((N26/M26)-1)</f>
        <v>-0.3196806808883923</v>
      </c>
      <c r="O40" s="609">
        <f t="shared" si="23"/>
        <v>7.0386616341926445E-3</v>
      </c>
      <c r="P40" s="609">
        <f t="shared" si="23"/>
        <v>3.9525931928688918E-2</v>
      </c>
      <c r="Q40" s="609">
        <f t="shared" si="23"/>
        <v>0.23308335225779109</v>
      </c>
      <c r="R40" s="609">
        <f t="shared" si="23"/>
        <v>6.5020761975959296E-2</v>
      </c>
      <c r="S40" s="609">
        <f t="shared" si="23"/>
        <v>3.5585262737483081E-2</v>
      </c>
      <c r="T40" s="609">
        <f t="shared" si="23"/>
        <v>3.5029724406079321E-2</v>
      </c>
      <c r="U40" s="609"/>
      <c r="V40" s="3"/>
      <c r="W40" s="3"/>
      <c r="X40" s="3"/>
      <c r="Y40" s="3"/>
    </row>
    <row r="41" spans="1:25">
      <c r="A41" s="592"/>
      <c r="B41" s="592"/>
      <c r="C41" s="592"/>
      <c r="D41" s="592"/>
      <c r="E41" s="592"/>
      <c r="F41" s="592"/>
      <c r="G41" s="592"/>
      <c r="H41" s="592"/>
      <c r="I41" s="592"/>
      <c r="J41" s="592"/>
      <c r="K41" s="592"/>
      <c r="L41" s="592"/>
      <c r="M41" s="1578"/>
      <c r="N41" s="1578"/>
      <c r="O41" s="1578"/>
      <c r="P41" s="1578"/>
      <c r="Q41" s="1578"/>
      <c r="R41" s="1578"/>
      <c r="S41" s="1578"/>
      <c r="T41" s="1578"/>
      <c r="U41" s="592"/>
      <c r="V41" s="3"/>
      <c r="W41" s="3">
        <f>18*2.95</f>
        <v>53.1</v>
      </c>
      <c r="X41" s="3"/>
      <c r="Y41" s="3"/>
    </row>
    <row r="42" spans="1:25">
      <c r="A42" s="599" t="s">
        <v>32</v>
      </c>
      <c r="C42" s="37" t="s">
        <v>621</v>
      </c>
      <c r="D42" s="37" t="s">
        <v>343</v>
      </c>
      <c r="E42" s="37" t="s">
        <v>623</v>
      </c>
      <c r="F42" s="37" t="s">
        <v>145</v>
      </c>
      <c r="G42" s="37" t="s">
        <v>636</v>
      </c>
      <c r="H42" s="37" t="s">
        <v>422</v>
      </c>
      <c r="I42" s="37" t="s">
        <v>118</v>
      </c>
      <c r="J42" s="37" t="s">
        <v>314</v>
      </c>
      <c r="K42" s="37" t="s">
        <v>305</v>
      </c>
      <c r="L42" s="37" t="s">
        <v>374</v>
      </c>
      <c r="M42" s="37" t="s">
        <v>730</v>
      </c>
      <c r="N42" s="37" t="s">
        <v>792</v>
      </c>
      <c r="O42" s="37" t="s">
        <v>11</v>
      </c>
      <c r="P42" s="37" t="s">
        <v>24</v>
      </c>
      <c r="Q42" s="37" t="s">
        <v>12</v>
      </c>
      <c r="R42" s="37" t="s">
        <v>759</v>
      </c>
      <c r="S42" s="37" t="s">
        <v>760</v>
      </c>
      <c r="T42" s="37" t="s">
        <v>802</v>
      </c>
      <c r="U42" s="37"/>
      <c r="V42" s="3"/>
      <c r="W42" s="3">
        <f>13*2.5</f>
        <v>32.5</v>
      </c>
      <c r="X42" s="3"/>
      <c r="Y42" s="3"/>
    </row>
    <row r="43" spans="1:25">
      <c r="A43" s="8" t="s">
        <v>64</v>
      </c>
      <c r="C43" s="601" t="s">
        <v>443</v>
      </c>
      <c r="D43" s="601" t="s">
        <v>443</v>
      </c>
      <c r="E43" s="601" t="s">
        <v>443</v>
      </c>
      <c r="F43" s="601" t="s">
        <v>443</v>
      </c>
      <c r="G43" s="601" t="s">
        <v>443</v>
      </c>
      <c r="H43" s="601" t="s">
        <v>443</v>
      </c>
      <c r="I43" s="601" t="s">
        <v>443</v>
      </c>
      <c r="J43" s="601" t="s">
        <v>443</v>
      </c>
      <c r="K43" s="601" t="s">
        <v>443</v>
      </c>
      <c r="L43" s="601" t="s">
        <v>443</v>
      </c>
      <c r="M43" s="601" t="s">
        <v>443</v>
      </c>
      <c r="N43" s="601" t="s">
        <v>771</v>
      </c>
      <c r="O43" s="601" t="s">
        <v>443</v>
      </c>
      <c r="P43" s="601" t="s">
        <v>443</v>
      </c>
      <c r="Q43" s="601" t="s">
        <v>443</v>
      </c>
      <c r="R43" s="601" t="s">
        <v>443</v>
      </c>
      <c r="S43" s="601" t="s">
        <v>443</v>
      </c>
      <c r="T43" s="601" t="s">
        <v>443</v>
      </c>
      <c r="U43" s="601"/>
      <c r="V43" s="3"/>
      <c r="W43" s="3"/>
      <c r="X43" s="3"/>
      <c r="Y43" s="3"/>
    </row>
    <row r="44" spans="1:25">
      <c r="A44" s="580"/>
      <c r="V44" s="3"/>
      <c r="W44" s="3"/>
      <c r="X44" s="3"/>
      <c r="Y44" s="3"/>
    </row>
    <row r="45" spans="1:25">
      <c r="A45" s="580" t="s">
        <v>65</v>
      </c>
      <c r="C45" s="612">
        <f>C6</f>
        <v>1321.1059999999998</v>
      </c>
      <c r="D45" s="612">
        <f t="shared" ref="D45:J45" si="24">D6</f>
        <v>1710.4230000000002</v>
      </c>
      <c r="E45" s="612">
        <f t="shared" si="24"/>
        <v>2035.0909999999999</v>
      </c>
      <c r="F45" s="612">
        <f t="shared" si="24"/>
        <v>2612.4559999999997</v>
      </c>
      <c r="G45" s="612">
        <f t="shared" si="24"/>
        <v>3180.7570000000001</v>
      </c>
      <c r="H45" s="612">
        <f t="shared" si="24"/>
        <v>3230.4679999999998</v>
      </c>
      <c r="I45" s="612">
        <f t="shared" si="24"/>
        <v>3607.636</v>
      </c>
      <c r="J45" s="612">
        <f t="shared" si="24"/>
        <v>4158.5070000000005</v>
      </c>
      <c r="K45" s="612">
        <f t="shared" ref="K45:P45" si="25">K6</f>
        <v>4763.1799999999994</v>
      </c>
      <c r="L45" s="612">
        <f t="shared" si="25"/>
        <v>5075.3899999999994</v>
      </c>
      <c r="M45" s="612">
        <f t="shared" si="25"/>
        <v>4806.2260000000006</v>
      </c>
      <c r="N45" s="612">
        <f t="shared" si="25"/>
        <v>4191.6000000000004</v>
      </c>
      <c r="O45" s="612">
        <f t="shared" si="25"/>
        <v>4491.7999999999993</v>
      </c>
      <c r="P45" s="612">
        <f t="shared" si="25"/>
        <v>4488.3</v>
      </c>
      <c r="Q45" s="612">
        <f>(P45*(1+Q74))</f>
        <v>6010.4286335432962</v>
      </c>
      <c r="R45" s="612">
        <f>(Q45*(1+R74))</f>
        <v>6322.2073538670375</v>
      </c>
      <c r="S45" s="612">
        <f>(R45*(1+S74))</f>
        <v>6630.0759387415874</v>
      </c>
      <c r="T45" s="612">
        <f>(S45*(1+T74))</f>
        <v>6952.5840332705238</v>
      </c>
      <c r="U45" s="612"/>
      <c r="V45" s="3"/>
      <c r="W45" s="3"/>
      <c r="X45" s="3"/>
      <c r="Y45" s="3"/>
    </row>
    <row r="46" spans="1:25" hidden="1" outlineLevel="1">
      <c r="A46" s="580"/>
      <c r="C46" s="73"/>
      <c r="D46" s="73"/>
      <c r="E46" s="73"/>
      <c r="F46" s="73"/>
      <c r="G46" s="73"/>
      <c r="H46" s="73"/>
      <c r="I46" s="73"/>
      <c r="J46" s="73"/>
      <c r="K46" s="73"/>
      <c r="L46" s="73"/>
      <c r="M46" s="73"/>
      <c r="N46" s="73"/>
      <c r="O46" s="73"/>
      <c r="P46" s="73"/>
      <c r="V46" s="3"/>
      <c r="W46" s="3"/>
      <c r="X46" s="3"/>
      <c r="Y46" s="3"/>
    </row>
    <row r="47" spans="1:25" hidden="1" outlineLevel="1">
      <c r="A47" s="580" t="s">
        <v>66</v>
      </c>
      <c r="C47" s="612">
        <f>C8</f>
        <v>331.024</v>
      </c>
      <c r="D47" s="612">
        <f t="shared" ref="D47:J47" si="26">D8</f>
        <v>399.65200000000004</v>
      </c>
      <c r="E47" s="612">
        <f t="shared" si="26"/>
        <v>453.47299999999996</v>
      </c>
      <c r="F47" s="612">
        <f t="shared" si="26"/>
        <v>589.47</v>
      </c>
      <c r="G47" s="612">
        <f t="shared" si="26"/>
        <v>773.654</v>
      </c>
      <c r="H47" s="612">
        <f t="shared" si="26"/>
        <v>907.85799999999995</v>
      </c>
      <c r="I47" s="612">
        <f t="shared" si="26"/>
        <v>973.94499999999994</v>
      </c>
      <c r="J47" s="612">
        <f t="shared" si="26"/>
        <v>1134.9659999999999</v>
      </c>
      <c r="K47" s="612">
        <f t="shared" ref="K47:P47" si="27">K8</f>
        <v>1297.1019999999999</v>
      </c>
      <c r="L47" s="612">
        <f t="shared" si="27"/>
        <v>1372.442</v>
      </c>
      <c r="M47" s="612">
        <f t="shared" si="27"/>
        <v>1427.0710000000001</v>
      </c>
      <c r="N47" s="612">
        <f t="shared" si="27"/>
        <v>1273.3</v>
      </c>
      <c r="O47" s="612">
        <f t="shared" si="27"/>
        <v>1439.4</v>
      </c>
      <c r="P47" s="612">
        <f t="shared" si="27"/>
        <v>1404.28</v>
      </c>
      <c r="Q47" s="612">
        <f>Q45-Q49</f>
        <v>1932.0452926731405</v>
      </c>
      <c r="R47" s="612">
        <f>R45-R49</f>
        <v>2007.9330555881706</v>
      </c>
      <c r="S47" s="612">
        <f>S45-S49</f>
        <v>2095.7670042362151</v>
      </c>
      <c r="T47" s="612">
        <f>T45-T49</f>
        <v>2192.1497456901952</v>
      </c>
      <c r="U47" s="612"/>
      <c r="V47" s="3"/>
      <c r="W47" s="3"/>
      <c r="X47" s="3"/>
      <c r="Y47" s="3"/>
    </row>
    <row r="48" spans="1:25" hidden="1" outlineLevel="1">
      <c r="A48" s="580"/>
      <c r="C48" s="73"/>
      <c r="D48" s="73"/>
      <c r="E48" s="73"/>
      <c r="F48" s="73"/>
      <c r="G48" s="73"/>
      <c r="H48" s="73"/>
      <c r="I48" s="73"/>
      <c r="J48" s="73"/>
      <c r="K48" s="73"/>
      <c r="L48" s="73"/>
      <c r="M48" s="73"/>
      <c r="N48" s="73"/>
      <c r="O48" s="73"/>
      <c r="P48" s="73"/>
      <c r="V48" s="3"/>
      <c r="W48" s="3"/>
      <c r="X48" s="3"/>
      <c r="Y48" s="3"/>
    </row>
    <row r="49" spans="1:25" collapsed="1">
      <c r="A49" s="580" t="s">
        <v>88</v>
      </c>
      <c r="C49" s="612">
        <f>C45-C47</f>
        <v>990.08199999999977</v>
      </c>
      <c r="D49" s="612">
        <f t="shared" ref="D49:J49" si="28">D45-D47</f>
        <v>1310.7710000000002</v>
      </c>
      <c r="E49" s="612">
        <f t="shared" si="28"/>
        <v>1581.6179999999999</v>
      </c>
      <c r="F49" s="612">
        <f t="shared" si="28"/>
        <v>2022.9859999999996</v>
      </c>
      <c r="G49" s="612">
        <f t="shared" si="28"/>
        <v>2407.1030000000001</v>
      </c>
      <c r="H49" s="612">
        <f t="shared" si="28"/>
        <v>2322.6099999999997</v>
      </c>
      <c r="I49" s="612">
        <f t="shared" si="28"/>
        <v>2633.6909999999998</v>
      </c>
      <c r="J49" s="612">
        <f t="shared" si="28"/>
        <v>3023.5410000000006</v>
      </c>
      <c r="K49" s="612">
        <f t="shared" ref="K49:P49" si="29">K45-K47</f>
        <v>3466.0779999999995</v>
      </c>
      <c r="L49" s="612">
        <f t="shared" si="29"/>
        <v>3702.9479999999994</v>
      </c>
      <c r="M49" s="612">
        <f t="shared" si="29"/>
        <v>3379.1550000000007</v>
      </c>
      <c r="N49" s="612">
        <f t="shared" si="29"/>
        <v>2918.3</v>
      </c>
      <c r="O49" s="612">
        <f t="shared" si="29"/>
        <v>3052.3999999999992</v>
      </c>
      <c r="P49" s="612">
        <f t="shared" si="29"/>
        <v>3084.0200000000004</v>
      </c>
      <c r="Q49" s="612">
        <f>Q45*Q68</f>
        <v>4078.3833408701557</v>
      </c>
      <c r="R49" s="612">
        <f>R45*R68</f>
        <v>4314.2742982788668</v>
      </c>
      <c r="S49" s="612">
        <f>S45*S68</f>
        <v>4534.3089345053722</v>
      </c>
      <c r="T49" s="612">
        <f>T45*T68</f>
        <v>4760.4342875803286</v>
      </c>
      <c r="U49" s="612"/>
      <c r="V49" s="3"/>
      <c r="W49" s="3"/>
      <c r="X49" s="3"/>
      <c r="Y49" s="3"/>
    </row>
    <row r="50" spans="1:25">
      <c r="A50" s="580" t="s">
        <v>93</v>
      </c>
      <c r="C50" s="73">
        <f>C11</f>
        <v>584.77800000000002</v>
      </c>
      <c r="D50" s="73">
        <f t="shared" ref="D50:J51" si="30">D11</f>
        <v>738.20800000000008</v>
      </c>
      <c r="E50" s="73">
        <f t="shared" si="30"/>
        <v>866.87100000000009</v>
      </c>
      <c r="F50" s="73">
        <f t="shared" si="30"/>
        <v>1029.5889999999999</v>
      </c>
      <c r="G50" s="73">
        <f t="shared" si="30"/>
        <v>1227.874</v>
      </c>
      <c r="H50" s="73">
        <f t="shared" si="30"/>
        <v>1322.297</v>
      </c>
      <c r="I50" s="73">
        <f t="shared" si="30"/>
        <v>1483.52</v>
      </c>
      <c r="J50" s="73">
        <f t="shared" si="30"/>
        <v>1692.9390000000003</v>
      </c>
      <c r="K50" s="73">
        <f t="shared" ref="K50:M51" si="31">K11</f>
        <v>1914.8799999999999</v>
      </c>
      <c r="L50" s="73">
        <f t="shared" si="31"/>
        <v>2125.2049999999999</v>
      </c>
      <c r="M50" s="73">
        <f t="shared" si="31"/>
        <v>2127.5739999999996</v>
      </c>
      <c r="N50" s="73">
        <f t="shared" ref="N50:P51" si="32">N11</f>
        <v>2129.8000000000002</v>
      </c>
      <c r="O50" s="73">
        <f t="shared" si="32"/>
        <v>2275.8000000000002</v>
      </c>
      <c r="P50" s="73">
        <f t="shared" si="32"/>
        <v>2271.3999999999996</v>
      </c>
      <c r="Q50" s="73">
        <f>Q45*Q69</f>
        <v>2954.5544636297086</v>
      </c>
      <c r="R50" s="73">
        <f>R45*R69</f>
        <v>3041.4327700720874</v>
      </c>
      <c r="S50" s="73">
        <f>S45*S69</f>
        <v>3123.2387636750559</v>
      </c>
      <c r="T50" s="73">
        <f>T45*T69</f>
        <v>3212.589827962353</v>
      </c>
      <c r="U50" s="73"/>
      <c r="V50" s="3"/>
      <c r="W50" s="3"/>
      <c r="X50" s="3"/>
      <c r="Y50" s="3"/>
    </row>
    <row r="51" spans="1:25" hidden="1" outlineLevel="1">
      <c r="A51" s="580" t="s">
        <v>25</v>
      </c>
      <c r="C51" s="73">
        <f>C12</f>
        <v>40.1</v>
      </c>
      <c r="D51" s="73">
        <f t="shared" si="30"/>
        <v>50.4</v>
      </c>
      <c r="E51" s="73">
        <f t="shared" si="30"/>
        <v>65.114999999999995</v>
      </c>
      <c r="F51" s="73">
        <f t="shared" si="30"/>
        <v>80.831999999999994</v>
      </c>
      <c r="G51" s="73">
        <f t="shared" si="30"/>
        <v>100.70399999999999</v>
      </c>
      <c r="H51" s="73">
        <f t="shared" si="30"/>
        <v>123.014</v>
      </c>
      <c r="I51" s="73">
        <f t="shared" si="30"/>
        <v>126.744</v>
      </c>
      <c r="J51" s="73">
        <f t="shared" si="30"/>
        <v>125.10599999999999</v>
      </c>
      <c r="K51" s="73">
        <f t="shared" si="31"/>
        <v>132.90899999999999</v>
      </c>
      <c r="L51" s="73">
        <f t="shared" si="31"/>
        <v>162.98699999999999</v>
      </c>
      <c r="M51" s="73">
        <f t="shared" si="31"/>
        <v>189.36</v>
      </c>
      <c r="N51" s="73">
        <f t="shared" si="32"/>
        <v>191.8</v>
      </c>
      <c r="O51" s="73">
        <f t="shared" si="32"/>
        <v>210.6</v>
      </c>
      <c r="P51" s="73">
        <f t="shared" si="32"/>
        <v>213.6</v>
      </c>
      <c r="Q51" s="73">
        <f>Q12</f>
        <v>277.49471312631681</v>
      </c>
      <c r="R51" s="73">
        <f>R12</f>
        <v>286.33929084408965</v>
      </c>
      <c r="S51" s="73">
        <f>S12</f>
        <v>294.55619072619578</v>
      </c>
      <c r="T51" s="73">
        <f>T12</f>
        <v>302.99322192535908</v>
      </c>
      <c r="U51" s="73"/>
      <c r="V51" s="3"/>
      <c r="W51" s="3"/>
      <c r="X51" s="3"/>
      <c r="Y51" s="3"/>
    </row>
    <row r="52" spans="1:25" collapsed="1">
      <c r="A52" s="597" t="s">
        <v>106</v>
      </c>
      <c r="C52" s="612">
        <f>C49-C50</f>
        <v>405.30399999999975</v>
      </c>
      <c r="D52" s="612">
        <f t="shared" ref="D52:J52" si="33">D49-D50</f>
        <v>572.5630000000001</v>
      </c>
      <c r="E52" s="612">
        <f t="shared" si="33"/>
        <v>714.74699999999984</v>
      </c>
      <c r="F52" s="612">
        <f t="shared" si="33"/>
        <v>993.39699999999971</v>
      </c>
      <c r="G52" s="612">
        <f t="shared" si="33"/>
        <v>1179.229</v>
      </c>
      <c r="H52" s="612">
        <f t="shared" si="33"/>
        <v>1000.3129999999996</v>
      </c>
      <c r="I52" s="612">
        <f t="shared" si="33"/>
        <v>1150.1709999999998</v>
      </c>
      <c r="J52" s="612">
        <f t="shared" si="33"/>
        <v>1330.6020000000003</v>
      </c>
      <c r="K52" s="612">
        <f t="shared" ref="K52:S52" si="34">K49-K50</f>
        <v>1551.1979999999996</v>
      </c>
      <c r="L52" s="612">
        <f t="shared" si="34"/>
        <v>1577.7429999999995</v>
      </c>
      <c r="M52" s="612">
        <f t="shared" si="34"/>
        <v>1251.581000000001</v>
      </c>
      <c r="N52" s="612">
        <f t="shared" si="34"/>
        <v>788.5</v>
      </c>
      <c r="O52" s="612">
        <f t="shared" si="34"/>
        <v>776.599999999999</v>
      </c>
      <c r="P52" s="612">
        <f t="shared" si="34"/>
        <v>812.6200000000008</v>
      </c>
      <c r="Q52" s="612">
        <f t="shared" si="34"/>
        <v>1123.8288772404471</v>
      </c>
      <c r="R52" s="612">
        <f t="shared" si="34"/>
        <v>1272.8415282067795</v>
      </c>
      <c r="S52" s="612">
        <f t="shared" si="34"/>
        <v>1411.0701708303163</v>
      </c>
      <c r="T52" s="612">
        <f>T49-T50</f>
        <v>1547.8444596179756</v>
      </c>
      <c r="U52" s="612"/>
      <c r="V52" s="3"/>
      <c r="W52" s="3"/>
      <c r="X52" s="3"/>
      <c r="Y52" s="3"/>
    </row>
    <row r="53" spans="1:25" hidden="1" outlineLevel="1">
      <c r="A53" s="580"/>
      <c r="C53" s="73"/>
      <c r="D53" s="73"/>
      <c r="E53" s="73"/>
      <c r="F53" s="73"/>
      <c r="G53" s="73"/>
      <c r="H53" s="73"/>
      <c r="I53" s="73"/>
      <c r="J53" s="73"/>
      <c r="K53" s="73"/>
      <c r="L53" s="73"/>
      <c r="M53" s="73"/>
      <c r="N53" s="73"/>
      <c r="O53" s="73"/>
      <c r="P53" s="73"/>
      <c r="V53" s="3"/>
      <c r="W53" s="3"/>
      <c r="X53" s="3"/>
      <c r="Y53" s="3"/>
    </row>
    <row r="54" spans="1:25" hidden="1" outlineLevel="1">
      <c r="A54" s="580" t="s">
        <v>26</v>
      </c>
      <c r="C54" s="73">
        <f>C15</f>
        <v>3.1920000000000002</v>
      </c>
      <c r="D54" s="73">
        <f t="shared" ref="D54:J54" si="35">D15</f>
        <v>15.76</v>
      </c>
      <c r="E54" s="73">
        <f t="shared" si="35"/>
        <v>32.622999999999998</v>
      </c>
      <c r="F54" s="73">
        <f t="shared" si="35"/>
        <v>41.272999999999996</v>
      </c>
      <c r="G54" s="73">
        <f t="shared" si="35"/>
        <v>37.17</v>
      </c>
      <c r="H54" s="73">
        <f t="shared" si="35"/>
        <v>3.1560000000000001</v>
      </c>
      <c r="I54" s="73">
        <f t="shared" si="35"/>
        <v>1.7570000000000001</v>
      </c>
      <c r="J54" s="73">
        <f t="shared" si="35"/>
        <v>-3.7050000000000001</v>
      </c>
      <c r="K54" s="73">
        <f t="shared" ref="K54:S54" si="36">K15</f>
        <v>-6.3259999999999996</v>
      </c>
      <c r="L54" s="73">
        <f t="shared" si="36"/>
        <v>-4.0149999999999997</v>
      </c>
      <c r="M54" s="73">
        <f t="shared" si="36"/>
        <v>2.1810000000000005</v>
      </c>
      <c r="N54" s="73">
        <f t="shared" si="36"/>
        <v>-6.3999999999999995</v>
      </c>
      <c r="O54" s="73">
        <f t="shared" si="36"/>
        <v>-26.9</v>
      </c>
      <c r="P54" s="73">
        <f t="shared" si="36"/>
        <v>-18.899999999999999</v>
      </c>
      <c r="Q54" s="73">
        <f t="shared" si="36"/>
        <v>-77.7</v>
      </c>
      <c r="R54" s="73">
        <f t="shared" si="36"/>
        <v>-44.7</v>
      </c>
      <c r="S54" s="73">
        <f t="shared" si="36"/>
        <v>-44.7</v>
      </c>
      <c r="T54" s="73">
        <f>T15</f>
        <v>-44.7</v>
      </c>
      <c r="U54" s="73"/>
      <c r="V54" s="3"/>
      <c r="W54" s="3"/>
      <c r="X54" s="3"/>
      <c r="Y54" s="3"/>
    </row>
    <row r="55" spans="1:25" hidden="1" outlineLevel="1">
      <c r="A55" s="597" t="s">
        <v>27</v>
      </c>
      <c r="C55" s="612">
        <f>C52+C54</f>
        <v>408.49599999999975</v>
      </c>
      <c r="D55" s="612">
        <f t="shared" ref="D55:Q55" si="37">D52+D54</f>
        <v>588.32300000000009</v>
      </c>
      <c r="E55" s="612">
        <f t="shared" si="37"/>
        <v>747.36999999999989</v>
      </c>
      <c r="F55" s="612">
        <f t="shared" si="37"/>
        <v>1034.6699999999996</v>
      </c>
      <c r="G55" s="612">
        <f t="shared" si="37"/>
        <v>1216.3990000000001</v>
      </c>
      <c r="H55" s="612">
        <f t="shared" si="37"/>
        <v>1003.4689999999996</v>
      </c>
      <c r="I55" s="612">
        <f t="shared" si="37"/>
        <v>1151.9279999999999</v>
      </c>
      <c r="J55" s="612">
        <f t="shared" si="37"/>
        <v>1326.8970000000004</v>
      </c>
      <c r="K55" s="612">
        <f t="shared" si="37"/>
        <v>1544.8719999999996</v>
      </c>
      <c r="L55" s="612">
        <f t="shared" si="37"/>
        <v>1573.7279999999994</v>
      </c>
      <c r="M55" s="612">
        <f>M52+M54</f>
        <v>1253.7620000000011</v>
      </c>
      <c r="N55" s="612">
        <f>N52+N54</f>
        <v>782.1</v>
      </c>
      <c r="O55" s="612">
        <f>O52+O54</f>
        <v>749.69999999999902</v>
      </c>
      <c r="P55" s="612">
        <f>P52+P54</f>
        <v>793.72000000000082</v>
      </c>
      <c r="Q55" s="612">
        <f t="shared" si="37"/>
        <v>1046.1288772404471</v>
      </c>
      <c r="R55" s="612">
        <f>R52+R54</f>
        <v>1228.1415282067794</v>
      </c>
      <c r="S55" s="612">
        <f>S52+S54</f>
        <v>1366.3701708303163</v>
      </c>
      <c r="T55" s="612">
        <f>T52+T54</f>
        <v>1503.1444596179756</v>
      </c>
      <c r="U55" s="612"/>
      <c r="V55" s="3"/>
      <c r="W55" s="3"/>
      <c r="X55" s="3"/>
      <c r="Y55" s="3"/>
    </row>
    <row r="56" spans="1:25" hidden="1" outlineLevel="1">
      <c r="A56" s="580"/>
      <c r="C56" s="73"/>
      <c r="D56" s="73"/>
      <c r="E56" s="73"/>
      <c r="F56" s="73"/>
      <c r="G56" s="73"/>
      <c r="H56" s="73"/>
      <c r="I56" s="73"/>
      <c r="J56" s="73"/>
      <c r="K56" s="73"/>
      <c r="L56" s="73"/>
      <c r="M56" s="73"/>
      <c r="N56" s="73"/>
      <c r="O56" s="73"/>
      <c r="P56" s="73"/>
      <c r="V56" s="3"/>
      <c r="W56" s="3"/>
      <c r="X56" s="3"/>
      <c r="Y56" s="3"/>
    </row>
    <row r="57" spans="1:25" collapsed="1">
      <c r="A57" s="580" t="s">
        <v>268</v>
      </c>
      <c r="C57" s="73">
        <f>C18</f>
        <v>152.50399999999999</v>
      </c>
      <c r="D57" s="73">
        <f t="shared" ref="D57:J57" si="38">D18</f>
        <v>216.07</v>
      </c>
      <c r="E57" s="73">
        <f t="shared" si="38"/>
        <v>283.32600000000002</v>
      </c>
      <c r="F57" s="73">
        <f t="shared" si="38"/>
        <v>398.14100000000002</v>
      </c>
      <c r="G57" s="73">
        <f t="shared" si="38"/>
        <v>474.39699999999999</v>
      </c>
      <c r="H57" s="73">
        <f t="shared" si="38"/>
        <v>381.22699999999998</v>
      </c>
      <c r="I57" s="73">
        <f t="shared" si="38"/>
        <v>416.988</v>
      </c>
      <c r="J57" s="73">
        <f t="shared" si="38"/>
        <v>446.09700000000004</v>
      </c>
      <c r="K57" s="73">
        <f t="shared" ref="K57:M58" si="39">K18</f>
        <v>505.96199999999999</v>
      </c>
      <c r="L57" s="73">
        <f t="shared" si="39"/>
        <v>506.74</v>
      </c>
      <c r="M57" s="73">
        <f t="shared" si="39"/>
        <v>384.14499999999998</v>
      </c>
      <c r="N57" s="73">
        <f t="shared" ref="N57:P58" si="40">N18</f>
        <v>250.89999999999998</v>
      </c>
      <c r="O57" s="73">
        <f t="shared" si="40"/>
        <v>198</v>
      </c>
      <c r="P57" s="73">
        <f t="shared" si="40"/>
        <v>184.5</v>
      </c>
      <c r="Q57" s="73">
        <f>Q55*Q71</f>
        <v>199.09985558944504</v>
      </c>
      <c r="R57" s="73">
        <f>R55*R71</f>
        <v>264.05042856445755</v>
      </c>
      <c r="S57" s="73">
        <f>S55*S71</f>
        <v>293.76958672851799</v>
      </c>
      <c r="T57" s="73">
        <f>T55*T71</f>
        <v>323.17605881786477</v>
      </c>
      <c r="U57" s="73"/>
      <c r="V57" s="4" t="s">
        <v>729</v>
      </c>
      <c r="W57" s="4" t="s">
        <v>19</v>
      </c>
      <c r="X57" s="4" t="s">
        <v>20</v>
      </c>
      <c r="Y57" s="4" t="s">
        <v>22</v>
      </c>
    </row>
    <row r="58" spans="1:25">
      <c r="A58" s="580" t="s">
        <v>7</v>
      </c>
      <c r="C58" s="73">
        <f>C19</f>
        <v>18.042999999999999</v>
      </c>
      <c r="D58" s="73">
        <f t="shared" ref="D58:J58" si="41">D19</f>
        <v>13.640999999999998</v>
      </c>
      <c r="E58" s="73">
        <f t="shared" si="41"/>
        <v>0</v>
      </c>
      <c r="F58" s="73">
        <f t="shared" si="41"/>
        <v>0</v>
      </c>
      <c r="G58" s="73">
        <f t="shared" si="41"/>
        <v>0</v>
      </c>
      <c r="H58" s="73">
        <f t="shared" si="41"/>
        <v>0</v>
      </c>
      <c r="I58" s="73">
        <f t="shared" si="41"/>
        <v>0</v>
      </c>
      <c r="J58" s="73">
        <f t="shared" si="41"/>
        <v>0</v>
      </c>
      <c r="K58" s="73">
        <f t="shared" si="39"/>
        <v>0</v>
      </c>
      <c r="L58" s="73">
        <f t="shared" si="39"/>
        <v>0</v>
      </c>
      <c r="M58" s="73">
        <f t="shared" si="39"/>
        <v>0</v>
      </c>
      <c r="N58" s="73">
        <f t="shared" si="40"/>
        <v>0</v>
      </c>
      <c r="O58" s="73">
        <f t="shared" si="40"/>
        <v>0</v>
      </c>
      <c r="P58" s="73">
        <f t="shared" si="40"/>
        <v>0</v>
      </c>
      <c r="Q58" s="73">
        <f>Q19</f>
        <v>0</v>
      </c>
      <c r="R58" s="73">
        <f>R19</f>
        <v>0</v>
      </c>
      <c r="S58" s="73">
        <f>S19</f>
        <v>0</v>
      </c>
      <c r="T58" s="73">
        <f>T19</f>
        <v>0</v>
      </c>
      <c r="U58" s="73"/>
      <c r="V58" s="4"/>
      <c r="W58" s="4"/>
      <c r="X58" s="4"/>
      <c r="Y58" s="3"/>
    </row>
    <row r="59" spans="1:25" hidden="1" outlineLevel="1">
      <c r="A59" s="580"/>
      <c r="C59" s="73"/>
      <c r="D59" s="73"/>
      <c r="E59" s="73"/>
      <c r="F59" s="73"/>
      <c r="G59" s="73"/>
      <c r="H59" s="73"/>
      <c r="I59" s="73"/>
      <c r="J59" s="73"/>
      <c r="K59" s="73"/>
      <c r="L59" s="73"/>
      <c r="M59" s="73"/>
      <c r="N59" s="73"/>
      <c r="O59" s="73"/>
      <c r="P59" s="73"/>
      <c r="V59" s="4"/>
      <c r="W59" s="4"/>
      <c r="X59" s="4"/>
      <c r="Y59" s="3"/>
    </row>
    <row r="60" spans="1:25" hidden="1" outlineLevel="1">
      <c r="A60" s="580" t="s">
        <v>28</v>
      </c>
      <c r="C60" s="612">
        <f t="shared" ref="C60:J60" si="42">C55-C57-C58</f>
        <v>237.94899999999976</v>
      </c>
      <c r="D60" s="612">
        <f t="shared" si="42"/>
        <v>358.61200000000008</v>
      </c>
      <c r="E60" s="612">
        <f t="shared" si="42"/>
        <v>464.04399999999987</v>
      </c>
      <c r="F60" s="612">
        <f t="shared" si="42"/>
        <v>636.52899999999954</v>
      </c>
      <c r="G60" s="612">
        <f t="shared" si="42"/>
        <v>742.00200000000018</v>
      </c>
      <c r="H60" s="612">
        <f t="shared" si="42"/>
        <v>622.24199999999962</v>
      </c>
      <c r="I60" s="612">
        <f t="shared" si="42"/>
        <v>734.93999999999983</v>
      </c>
      <c r="J60" s="612">
        <f t="shared" si="42"/>
        <v>880.80000000000041</v>
      </c>
      <c r="K60" s="612">
        <f t="shared" ref="K60:S60" si="43">K55-K57-K58</f>
        <v>1038.9099999999996</v>
      </c>
      <c r="L60" s="612">
        <f t="shared" si="43"/>
        <v>1066.9879999999994</v>
      </c>
      <c r="M60" s="612">
        <f t="shared" si="43"/>
        <v>869.6170000000011</v>
      </c>
      <c r="N60" s="612">
        <f t="shared" si="43"/>
        <v>531.20000000000005</v>
      </c>
      <c r="O60" s="612">
        <f t="shared" si="43"/>
        <v>551.69999999999902</v>
      </c>
      <c r="P60" s="612">
        <f t="shared" si="43"/>
        <v>609.22000000000082</v>
      </c>
      <c r="Q60" s="612">
        <f t="shared" si="43"/>
        <v>847.02902165100204</v>
      </c>
      <c r="R60" s="612">
        <f t="shared" si="43"/>
        <v>964.09109964232186</v>
      </c>
      <c r="S60" s="612">
        <f t="shared" si="43"/>
        <v>1072.6005841017982</v>
      </c>
      <c r="T60" s="612">
        <f>T55-T57-T58</f>
        <v>1179.9684008001109</v>
      </c>
      <c r="U60" s="612"/>
      <c r="V60" s="4"/>
      <c r="W60" s="4"/>
      <c r="X60" s="4"/>
      <c r="Y60" s="3"/>
    </row>
    <row r="61" spans="1:25" hidden="1" outlineLevel="1">
      <c r="A61" s="580"/>
      <c r="C61" s="73"/>
      <c r="D61" s="73"/>
      <c r="E61" s="73"/>
      <c r="F61" s="73"/>
      <c r="G61" s="73"/>
      <c r="H61" s="73"/>
      <c r="I61" s="73"/>
      <c r="J61" s="73"/>
      <c r="K61" s="73"/>
      <c r="L61" s="73"/>
      <c r="M61" s="73"/>
      <c r="N61" s="73"/>
      <c r="O61" s="73"/>
      <c r="P61" s="73"/>
      <c r="Q61" s="73">
        <f>Q60-Q21</f>
        <v>119.14475310258581</v>
      </c>
      <c r="R61" s="73">
        <f>R60-R21</f>
        <v>166.01791274103834</v>
      </c>
      <c r="S61" s="73">
        <f>S60-S21</f>
        <v>243.33062525756861</v>
      </c>
      <c r="T61" s="73">
        <f>T60-T21</f>
        <v>318.94343340227738</v>
      </c>
      <c r="U61" s="73"/>
      <c r="V61" s="4"/>
      <c r="W61" s="4"/>
      <c r="X61" s="4"/>
      <c r="Y61" s="3"/>
    </row>
    <row r="62" spans="1:25" collapsed="1">
      <c r="A62" s="606" t="s">
        <v>29</v>
      </c>
      <c r="B62" s="606"/>
      <c r="C62" s="607">
        <f>C60/C63</f>
        <v>0.61715487682786963</v>
      </c>
      <c r="D62" s="607">
        <f t="shared" ref="D62:J62" si="44">D60/D63</f>
        <v>0.91906784113421403</v>
      </c>
      <c r="E62" s="607">
        <f t="shared" si="44"/>
        <v>1.1944658232409679</v>
      </c>
      <c r="F62" s="607">
        <f t="shared" si="44"/>
        <v>1.6868129829656864</v>
      </c>
      <c r="G62" s="607">
        <f t="shared" si="44"/>
        <v>2.0592176104259412</v>
      </c>
      <c r="H62" s="607">
        <f t="shared" si="44"/>
        <v>1.9130338539865237</v>
      </c>
      <c r="I62" s="607">
        <f t="shared" si="44"/>
        <v>2.3256950954680842</v>
      </c>
      <c r="J62" s="607">
        <f t="shared" si="44"/>
        <v>2.9207972503121264</v>
      </c>
      <c r="K62" s="607">
        <f t="shared" ref="K62:S62" si="45">K60/K63</f>
        <v>3.5311522019355026</v>
      </c>
      <c r="L62" s="607">
        <f t="shared" si="45"/>
        <v>3.7285729137272932</v>
      </c>
      <c r="M62" s="607">
        <f t="shared" si="45"/>
        <v>3.1024371100735411</v>
      </c>
      <c r="N62" s="607">
        <f t="shared" si="45"/>
        <v>1.9163059163059166</v>
      </c>
      <c r="O62" s="607">
        <f t="shared" si="45"/>
        <v>1.9752953813104153</v>
      </c>
      <c r="P62" s="607">
        <f t="shared" si="45"/>
        <v>2.1542432814710071</v>
      </c>
      <c r="Q62" s="607">
        <f t="shared" si="45"/>
        <v>2.9475959177363009</v>
      </c>
      <c r="R62" s="607">
        <f t="shared" si="45"/>
        <v>3.3515829379083795</v>
      </c>
      <c r="S62" s="607">
        <f t="shared" si="45"/>
        <v>3.7310304078617476</v>
      </c>
      <c r="T62" s="607">
        <f>T60/T63</f>
        <v>4.1065888355583731</v>
      </c>
      <c r="U62" s="1361"/>
      <c r="V62" s="693">
        <f>O62</f>
        <v>1.9752953813104153</v>
      </c>
      <c r="W62" s="4">
        <v>18</v>
      </c>
      <c r="X62" s="311">
        <f>V62*W62</f>
        <v>35.555316863587478</v>
      </c>
      <c r="Y62" s="50">
        <f>X62/$V$3-1</f>
        <v>-6.8347244807965835E-3</v>
      </c>
    </row>
    <row r="63" spans="1:25">
      <c r="A63" s="580" t="s">
        <v>30</v>
      </c>
      <c r="C63" s="73">
        <f>C24</f>
        <v>385.55799999999999</v>
      </c>
      <c r="D63" s="73">
        <f t="shared" ref="D63:J63" si="46">D24</f>
        <v>390.19099999999997</v>
      </c>
      <c r="E63" s="73">
        <f t="shared" si="46"/>
        <v>388.495</v>
      </c>
      <c r="F63" s="73">
        <f t="shared" si="46"/>
        <v>377.35599999999999</v>
      </c>
      <c r="G63" s="73">
        <f t="shared" si="46"/>
        <v>360.33199999999999</v>
      </c>
      <c r="H63" s="73">
        <f t="shared" si="46"/>
        <v>325.2645</v>
      </c>
      <c r="I63" s="73">
        <f t="shared" si="46"/>
        <v>316.00874999999996</v>
      </c>
      <c r="J63" s="73">
        <f t="shared" si="46"/>
        <v>301.56150000000002</v>
      </c>
      <c r="K63" s="73">
        <f t="shared" ref="K63:P63" si="47">K24</f>
        <v>294.21275000000003</v>
      </c>
      <c r="L63" s="73">
        <f t="shared" si="47"/>
        <v>286.16525000000001</v>
      </c>
      <c r="M63" s="73">
        <f t="shared" si="47"/>
        <v>280.30124999999998</v>
      </c>
      <c r="N63" s="73">
        <f t="shared" si="47"/>
        <v>277.2</v>
      </c>
      <c r="O63" s="73">
        <f t="shared" si="47"/>
        <v>279.3</v>
      </c>
      <c r="P63" s="73">
        <f t="shared" si="47"/>
        <v>282.8</v>
      </c>
      <c r="Q63" s="73">
        <f>Q24-(Q61/66)</f>
        <v>287.36266614913234</v>
      </c>
      <c r="R63" s="73">
        <f>R24-(R61/66)</f>
        <v>287.6524667606709</v>
      </c>
      <c r="S63" s="73">
        <f>S24-(S61/66)</f>
        <v>287.48106202557199</v>
      </c>
      <c r="T63" s="73">
        <f>T24-(T61/66)</f>
        <v>287.33541341731882</v>
      </c>
      <c r="U63" s="73"/>
      <c r="V63" s="3"/>
      <c r="W63" s="3"/>
      <c r="X63" s="3"/>
      <c r="Y63" s="3"/>
    </row>
    <row r="64" spans="1:25" hidden="1" outlineLevel="1">
      <c r="A64" s="580"/>
      <c r="V64" s="3"/>
      <c r="W64" s="3"/>
      <c r="X64" s="3"/>
      <c r="Y64" s="3"/>
    </row>
    <row r="65" spans="1:27" hidden="1" outlineLevel="1">
      <c r="A65" s="580" t="s">
        <v>44</v>
      </c>
      <c r="C65" s="612">
        <f>C51+C52</f>
        <v>445.40399999999977</v>
      </c>
      <c r="D65" s="612">
        <f t="shared" ref="D65:J65" si="48">D51+D52</f>
        <v>622.96300000000008</v>
      </c>
      <c r="E65" s="612">
        <f t="shared" si="48"/>
        <v>779.86199999999985</v>
      </c>
      <c r="F65" s="612">
        <f t="shared" si="48"/>
        <v>1074.2289999999998</v>
      </c>
      <c r="G65" s="612">
        <f t="shared" si="48"/>
        <v>1279.933</v>
      </c>
      <c r="H65" s="612">
        <f t="shared" si="48"/>
        <v>1123.3269999999995</v>
      </c>
      <c r="I65" s="612">
        <f t="shared" si="48"/>
        <v>1276.9149999999997</v>
      </c>
      <c r="J65" s="612">
        <f t="shared" si="48"/>
        <v>1455.7080000000003</v>
      </c>
      <c r="K65" s="612">
        <f t="shared" ref="K65:S65" si="49">K51+K52</f>
        <v>1684.1069999999995</v>
      </c>
      <c r="L65" s="612">
        <f t="shared" si="49"/>
        <v>1740.7299999999996</v>
      </c>
      <c r="M65" s="612">
        <f t="shared" si="49"/>
        <v>1440.9410000000012</v>
      </c>
      <c r="N65" s="612">
        <f t="shared" si="49"/>
        <v>980.3</v>
      </c>
      <c r="O65" s="612">
        <f t="shared" si="49"/>
        <v>987.19999999999902</v>
      </c>
      <c r="P65" s="612">
        <f t="shared" si="49"/>
        <v>1026.2200000000007</v>
      </c>
      <c r="Q65" s="612">
        <f t="shared" si="49"/>
        <v>1401.3235903667639</v>
      </c>
      <c r="R65" s="612">
        <f t="shared" si="49"/>
        <v>1559.1808190508691</v>
      </c>
      <c r="S65" s="612">
        <f t="shared" si="49"/>
        <v>1705.6263615565122</v>
      </c>
      <c r="T65" s="612">
        <f>T51+T52</f>
        <v>1850.8376815433348</v>
      </c>
      <c r="U65" s="612"/>
      <c r="V65" s="3"/>
      <c r="W65" s="3"/>
      <c r="X65" s="3"/>
      <c r="Y65" s="3"/>
    </row>
    <row r="66" spans="1:27" collapsed="1">
      <c r="A66" s="580"/>
      <c r="V66" s="3"/>
      <c r="W66" s="3"/>
      <c r="X66" s="3"/>
      <c r="Y66" s="3"/>
    </row>
    <row r="67" spans="1:27">
      <c r="A67" s="8" t="s">
        <v>96</v>
      </c>
      <c r="Q67">
        <v>0</v>
      </c>
      <c r="R67">
        <v>0</v>
      </c>
      <c r="S67">
        <v>0</v>
      </c>
      <c r="T67">
        <v>0</v>
      </c>
      <c r="V67" s="3"/>
      <c r="W67" s="3"/>
      <c r="X67" s="3"/>
      <c r="Y67" s="3"/>
    </row>
    <row r="68" spans="1:27">
      <c r="A68" s="580" t="s">
        <v>47</v>
      </c>
      <c r="C68" s="50">
        <f>C49/C45</f>
        <v>0.74943418620458913</v>
      </c>
      <c r="D68" s="50">
        <f t="shared" ref="D68:J68" si="50">D49/D45</f>
        <v>0.76634317943573027</v>
      </c>
      <c r="E68" s="50">
        <f t="shared" si="50"/>
        <v>0.77717310921231531</v>
      </c>
      <c r="F68" s="50">
        <f t="shared" si="50"/>
        <v>0.77436175001607677</v>
      </c>
      <c r="G68" s="50">
        <f t="shared" si="50"/>
        <v>0.75677047948019927</v>
      </c>
      <c r="H68" s="50">
        <f t="shared" si="50"/>
        <v>0.71897013064360948</v>
      </c>
      <c r="I68" s="50">
        <f t="shared" si="50"/>
        <v>0.73003235359664886</v>
      </c>
      <c r="J68" s="50">
        <f t="shared" si="50"/>
        <v>0.72707368293476482</v>
      </c>
      <c r="K68" s="50">
        <f t="shared" ref="K68:P68" si="51">K49/K45</f>
        <v>0.72768150689245414</v>
      </c>
      <c r="L68" s="50">
        <f t="shared" si="51"/>
        <v>0.72958885918126481</v>
      </c>
      <c r="M68" s="50">
        <f t="shared" si="51"/>
        <v>0.7030786733707487</v>
      </c>
      <c r="N68" s="50">
        <f t="shared" si="51"/>
        <v>0.69622578490313958</v>
      </c>
      <c r="O68" s="50">
        <f t="shared" si="51"/>
        <v>0.67954940113094964</v>
      </c>
      <c r="P68" s="50">
        <f t="shared" si="51"/>
        <v>0.68712430096027455</v>
      </c>
      <c r="Q68" s="598">
        <f>Q29+0.005</f>
        <v>0.67855116324138898</v>
      </c>
      <c r="R68" s="598">
        <f>R29+0.01</f>
        <v>0.68240000000000001</v>
      </c>
      <c r="S68" s="598">
        <f>S29+0.01</f>
        <v>0.68390000000000006</v>
      </c>
      <c r="T68" s="598">
        <f>T29+0.01</f>
        <v>0.68470000000000009</v>
      </c>
      <c r="U68" s="598"/>
      <c r="V68" s="3"/>
      <c r="W68" s="3"/>
      <c r="X68" s="3"/>
      <c r="Y68" s="3"/>
    </row>
    <row r="69" spans="1:27">
      <c r="A69" s="580" t="s">
        <v>98</v>
      </c>
      <c r="C69" s="50">
        <f>C50/C45</f>
        <v>0.4426427553882884</v>
      </c>
      <c r="D69" s="50">
        <f t="shared" ref="D69:J69" si="52">D50/D45</f>
        <v>0.43159382211300945</v>
      </c>
      <c r="E69" s="50">
        <f t="shared" si="52"/>
        <v>0.42596178745815305</v>
      </c>
      <c r="F69" s="50">
        <f t="shared" si="52"/>
        <v>0.39410769023478293</v>
      </c>
      <c r="G69" s="50">
        <f t="shared" si="52"/>
        <v>0.38603200433104445</v>
      </c>
      <c r="H69" s="50">
        <f t="shared" si="52"/>
        <v>0.40932056903210312</v>
      </c>
      <c r="I69" s="50">
        <f t="shared" si="52"/>
        <v>0.41121665267782004</v>
      </c>
      <c r="J69" s="50">
        <f t="shared" si="52"/>
        <v>0.40710259715806663</v>
      </c>
      <c r="K69" s="50">
        <f t="shared" ref="K69:P69" si="53">K50/K45</f>
        <v>0.4020171398099589</v>
      </c>
      <c r="L69" s="50">
        <f t="shared" si="53"/>
        <v>0.4187274278429835</v>
      </c>
      <c r="M69" s="50">
        <f t="shared" si="53"/>
        <v>0.44267040293153076</v>
      </c>
      <c r="N69" s="50">
        <f t="shared" si="53"/>
        <v>0.50811146101727267</v>
      </c>
      <c r="O69" s="50">
        <f t="shared" si="53"/>
        <v>0.50665657420187915</v>
      </c>
      <c r="P69" s="50">
        <f t="shared" si="53"/>
        <v>0.50607134104226537</v>
      </c>
      <c r="Q69" s="598">
        <f>P69-0.0145</f>
        <v>0.49157134104226535</v>
      </c>
      <c r="R69" s="598">
        <f>Q69-0.0105</f>
        <v>0.48107134104226534</v>
      </c>
      <c r="S69" s="598">
        <f>R69-0.01</f>
        <v>0.47107134104226533</v>
      </c>
      <c r="T69" s="598">
        <f>S69-0.009</f>
        <v>0.46207134104226533</v>
      </c>
      <c r="U69" s="598"/>
      <c r="V69" s="3"/>
      <c r="W69" s="3"/>
      <c r="X69" s="3"/>
      <c r="Y69" s="3"/>
    </row>
    <row r="70" spans="1:27">
      <c r="A70" s="580" t="s">
        <v>49</v>
      </c>
      <c r="C70" s="50">
        <f>C52/C45</f>
        <v>0.30679143081630073</v>
      </c>
      <c r="D70" s="50">
        <f t="shared" ref="D70:J70" si="54">D52/D45</f>
        <v>0.33474935732272076</v>
      </c>
      <c r="E70" s="50">
        <f t="shared" si="54"/>
        <v>0.35121132175416231</v>
      </c>
      <c r="F70" s="50">
        <f t="shared" si="54"/>
        <v>0.38025405978129384</v>
      </c>
      <c r="G70" s="50">
        <f t="shared" si="54"/>
        <v>0.37073847514915476</v>
      </c>
      <c r="H70" s="50">
        <f t="shared" si="54"/>
        <v>0.30964956161150636</v>
      </c>
      <c r="I70" s="50">
        <f t="shared" si="54"/>
        <v>0.31881570091882877</v>
      </c>
      <c r="J70" s="50">
        <f t="shared" si="54"/>
        <v>0.31997108577669825</v>
      </c>
      <c r="K70" s="50">
        <f t="shared" ref="K70:S70" si="55">K52/K45</f>
        <v>0.3256643670824953</v>
      </c>
      <c r="L70" s="50">
        <f t="shared" si="55"/>
        <v>0.31086143133828131</v>
      </c>
      <c r="M70" s="50">
        <f t="shared" si="55"/>
        <v>0.26040827043921799</v>
      </c>
      <c r="N70" s="50">
        <f t="shared" si="55"/>
        <v>0.18811432388586696</v>
      </c>
      <c r="O70" s="50">
        <f t="shared" si="55"/>
        <v>0.17289282692907057</v>
      </c>
      <c r="P70" s="50">
        <f t="shared" si="55"/>
        <v>0.18105295991800921</v>
      </c>
      <c r="Q70" s="50">
        <f t="shared" si="55"/>
        <v>0.18697982219912362</v>
      </c>
      <c r="R70" s="50">
        <f t="shared" si="55"/>
        <v>0.20132865895773475</v>
      </c>
      <c r="S70" s="50">
        <f t="shared" si="55"/>
        <v>0.21282865895773476</v>
      </c>
      <c r="T70" s="50">
        <f>T52/T45</f>
        <v>0.22262865895773479</v>
      </c>
      <c r="U70" s="50"/>
      <c r="V70" s="3"/>
      <c r="W70" s="3"/>
      <c r="X70" s="3"/>
      <c r="Y70" s="3"/>
    </row>
    <row r="71" spans="1:27">
      <c r="A71" s="580" t="s">
        <v>39</v>
      </c>
      <c r="C71" s="50">
        <f t="shared" ref="C71:J71" si="56">C57/C55</f>
        <v>0.37333046100818634</v>
      </c>
      <c r="D71" s="50">
        <f t="shared" si="56"/>
        <v>0.36726424090168147</v>
      </c>
      <c r="E71" s="50">
        <f t="shared" si="56"/>
        <v>0.37909736810415195</v>
      </c>
      <c r="F71" s="50">
        <f t="shared" si="56"/>
        <v>0.38479998453613246</v>
      </c>
      <c r="G71" s="50">
        <f t="shared" si="56"/>
        <v>0.39000114271715114</v>
      </c>
      <c r="H71" s="50">
        <f t="shared" si="56"/>
        <v>0.37990909534823708</v>
      </c>
      <c r="I71" s="50">
        <f t="shared" si="56"/>
        <v>0.36199137446090385</v>
      </c>
      <c r="J71" s="50">
        <f t="shared" si="56"/>
        <v>0.33619565045365229</v>
      </c>
      <c r="K71" s="50">
        <f t="shared" ref="K71:P71" si="57">K57/K55</f>
        <v>0.32751062871228176</v>
      </c>
      <c r="L71" s="50">
        <f t="shared" si="57"/>
        <v>0.32199973565952961</v>
      </c>
      <c r="M71" s="50">
        <f t="shared" si="57"/>
        <v>0.30639387698781717</v>
      </c>
      <c r="N71" s="50">
        <f t="shared" si="57"/>
        <v>0.3208029663725866</v>
      </c>
      <c r="O71" s="50">
        <f t="shared" si="57"/>
        <v>0.26410564225690308</v>
      </c>
      <c r="P71" s="50">
        <f t="shared" si="57"/>
        <v>0.23244973038351033</v>
      </c>
      <c r="Q71" s="598">
        <f>Q32-1%</f>
        <v>0.19032058087780232</v>
      </c>
      <c r="R71" s="598">
        <f>R32</f>
        <v>0.215</v>
      </c>
      <c r="S71" s="598">
        <f>S32</f>
        <v>0.215</v>
      </c>
      <c r="T71" s="598">
        <f>T32</f>
        <v>0.215</v>
      </c>
      <c r="U71" s="598"/>
      <c r="V71" s="3"/>
      <c r="W71" s="3"/>
      <c r="X71" s="3"/>
      <c r="Y71" s="3"/>
    </row>
    <row r="72" spans="1:27">
      <c r="A72" s="580"/>
      <c r="V72" s="3"/>
      <c r="W72" s="3"/>
      <c r="X72" s="3"/>
      <c r="Y72" s="3"/>
    </row>
    <row r="73" spans="1:27">
      <c r="A73" s="8" t="s">
        <v>100</v>
      </c>
      <c r="V73" s="3"/>
      <c r="W73" s="3"/>
      <c r="X73" s="3"/>
      <c r="Y73" s="3"/>
    </row>
    <row r="74" spans="1:27">
      <c r="A74" s="580" t="s">
        <v>482</v>
      </c>
      <c r="C74" s="613" t="s">
        <v>606</v>
      </c>
      <c r="D74" s="50">
        <f>((D45/C45)-1)</f>
        <v>0.29469020653906686</v>
      </c>
      <c r="E74" s="50">
        <f t="shared" ref="E74:P74" si="58">((E45/D45)-1)</f>
        <v>0.18981737266161613</v>
      </c>
      <c r="F74" s="50">
        <f t="shared" si="58"/>
        <v>0.28370475816560536</v>
      </c>
      <c r="G74" s="50">
        <f t="shared" si="58"/>
        <v>0.21753514700343302</v>
      </c>
      <c r="H74" s="50">
        <f t="shared" si="58"/>
        <v>1.5628669527411265E-2</v>
      </c>
      <c r="I74" s="50">
        <f t="shared" si="58"/>
        <v>0.11675336205156661</v>
      </c>
      <c r="J74" s="50">
        <f t="shared" si="58"/>
        <v>0.15269583738492476</v>
      </c>
      <c r="K74" s="50">
        <f t="shared" si="58"/>
        <v>0.14540627201060352</v>
      </c>
      <c r="L74" s="50">
        <f t="shared" si="58"/>
        <v>6.5546546634811298E-2</v>
      </c>
      <c r="M74" s="50">
        <f t="shared" si="58"/>
        <v>-5.3033165924194714E-2</v>
      </c>
      <c r="N74" s="50">
        <f t="shared" si="58"/>
        <v>-0.12788121074622794</v>
      </c>
      <c r="O74" s="50">
        <f t="shared" si="58"/>
        <v>7.1619429334859985E-2</v>
      </c>
      <c r="P74" s="50">
        <f t="shared" si="58"/>
        <v>-7.7919764904921252E-4</v>
      </c>
      <c r="Q74" s="1665">
        <f>Q75+(Q$35-Q$36)+0.02</f>
        <v>0.33913255208949855</v>
      </c>
      <c r="R74" s="1665">
        <f>R75+(R$35-R$36)+0.005</f>
        <v>5.1872959373271833E-2</v>
      </c>
      <c r="S74" s="1665">
        <f>S75+(S$35-S$36)+0.005</f>
        <v>4.8696375750194122E-2</v>
      </c>
      <c r="T74" s="1665">
        <f>T75+(T$35-T$36)+0.005</f>
        <v>4.864319768110368E-2</v>
      </c>
      <c r="U74" s="50"/>
      <c r="V74" s="3"/>
      <c r="W74" s="3"/>
      <c r="X74" s="3"/>
      <c r="Y74" s="3"/>
    </row>
    <row r="75" spans="1:27">
      <c r="A75" s="580" t="s">
        <v>128</v>
      </c>
      <c r="C75" s="50">
        <f>C36</f>
        <v>0.16899999999999998</v>
      </c>
      <c r="D75" s="50">
        <f t="shared" ref="D75:J75" si="59">D36</f>
        <v>0.182</v>
      </c>
      <c r="E75" s="50">
        <f t="shared" si="59"/>
        <v>0.20699999999999999</v>
      </c>
      <c r="F75" s="50">
        <f t="shared" si="59"/>
        <v>0.223</v>
      </c>
      <c r="G75" s="50">
        <f t="shared" si="59"/>
        <v>9.8000000000000004E-2</v>
      </c>
      <c r="H75" s="50">
        <f t="shared" si="59"/>
        <v>-6.8000000000000005E-2</v>
      </c>
      <c r="I75" s="50">
        <f t="shared" si="59"/>
        <v>3.5557111151952245E-2</v>
      </c>
      <c r="J75" s="50">
        <f t="shared" si="59"/>
        <v>0.106</v>
      </c>
      <c r="K75" s="50">
        <f t="shared" ref="K75:P75" si="60">K36</f>
        <v>6.6000000000000003E-2</v>
      </c>
      <c r="L75" s="50">
        <f t="shared" si="60"/>
        <v>3.0000000000000001E-3</v>
      </c>
      <c r="M75" s="50">
        <f t="shared" si="60"/>
        <v>-0.15</v>
      </c>
      <c r="N75" s="50">
        <f t="shared" si="60"/>
        <v>-0.22</v>
      </c>
      <c r="O75" s="50">
        <f t="shared" si="60"/>
        <v>-3.3000000000000002E-2</v>
      </c>
      <c r="P75" s="50">
        <f t="shared" si="60"/>
        <v>3.1E-2</v>
      </c>
      <c r="Q75" s="598">
        <f>Q36+0.02</f>
        <v>0.02</v>
      </c>
      <c r="R75" s="598">
        <f>R36+0.015</f>
        <v>2.5000000000000001E-2</v>
      </c>
      <c r="S75" s="598">
        <f>S36+0.015</f>
        <v>2.5000000000000001E-2</v>
      </c>
      <c r="T75" s="598">
        <f>T36+0.015</f>
        <v>2.5000000000000001E-2</v>
      </c>
      <c r="U75" s="598"/>
      <c r="V75" s="3"/>
      <c r="W75" s="3"/>
      <c r="X75" s="3"/>
      <c r="Y75" s="3"/>
    </row>
    <row r="76" spans="1:27">
      <c r="A76" s="580" t="s">
        <v>93</v>
      </c>
      <c r="C76" s="613" t="s">
        <v>606</v>
      </c>
      <c r="D76" s="50">
        <f>((D50/C50)-1)</f>
        <v>0.26237307149037759</v>
      </c>
      <c r="E76" s="50">
        <f t="shared" ref="E76:P76" si="61">((E50/D50)-1)</f>
        <v>0.17429098573843693</v>
      </c>
      <c r="F76" s="50">
        <f t="shared" si="61"/>
        <v>0.18770728285984872</v>
      </c>
      <c r="G76" s="50">
        <f t="shared" si="61"/>
        <v>0.19258655638317834</v>
      </c>
      <c r="H76" s="50">
        <f t="shared" si="61"/>
        <v>7.6899584159286771E-2</v>
      </c>
      <c r="I76" s="50">
        <f t="shared" si="61"/>
        <v>0.12192646583936884</v>
      </c>
      <c r="J76" s="50">
        <f t="shared" si="61"/>
        <v>0.14116358390854211</v>
      </c>
      <c r="K76" s="50">
        <f t="shared" si="61"/>
        <v>0.13109804901416977</v>
      </c>
      <c r="L76" s="50">
        <f t="shared" si="61"/>
        <v>0.10983716995320858</v>
      </c>
      <c r="M76" s="50">
        <f t="shared" si="61"/>
        <v>1.1147159921041094E-3</v>
      </c>
      <c r="N76" s="50">
        <f t="shared" si="61"/>
        <v>1.0462620806610534E-3</v>
      </c>
      <c r="O76" s="50">
        <f t="shared" si="61"/>
        <v>6.855103765611803E-2</v>
      </c>
      <c r="P76" s="50">
        <f t="shared" si="61"/>
        <v>-1.9333860620444066E-3</v>
      </c>
      <c r="Q76" s="50">
        <f>((Q50/P50)-1)</f>
        <v>0.30076360994527995</v>
      </c>
      <c r="R76" s="50">
        <f>((R50/Q50)-1)</f>
        <v>2.9404875595235191E-2</v>
      </c>
      <c r="S76" s="50">
        <f>((S50/R50)-1)</f>
        <v>2.6897189511451813E-2</v>
      </c>
      <c r="T76" s="50">
        <f>((T50/S50)-1)</f>
        <v>2.8608464177154236E-2</v>
      </c>
      <c r="U76" s="50"/>
      <c r="V76" s="3"/>
      <c r="W76" s="3"/>
      <c r="X76" s="3"/>
      <c r="Y76" s="3"/>
    </row>
    <row r="77" spans="1:27">
      <c r="A77" s="580"/>
      <c r="C77" s="613"/>
      <c r="D77" s="50"/>
      <c r="E77" s="50"/>
      <c r="F77" s="50"/>
      <c r="G77" s="50"/>
      <c r="H77" s="50"/>
      <c r="I77" s="50"/>
      <c r="J77" s="50"/>
      <c r="K77" s="50"/>
      <c r="L77" s="50"/>
      <c r="M77" s="50"/>
      <c r="N77" s="50"/>
      <c r="O77" s="50"/>
      <c r="P77" s="50"/>
      <c r="Q77" s="50"/>
      <c r="R77" s="50"/>
      <c r="S77" s="50"/>
      <c r="T77" s="50"/>
      <c r="U77" s="50"/>
      <c r="V77" s="3"/>
      <c r="W77" s="3"/>
      <c r="X77" s="3"/>
      <c r="Y77" s="3"/>
    </row>
    <row r="78" spans="1:27">
      <c r="A78" s="580" t="s">
        <v>106</v>
      </c>
      <c r="C78" s="613" t="s">
        <v>606</v>
      </c>
      <c r="D78" s="50">
        <f>((D52/C52)-1)</f>
        <v>0.41267542387936085</v>
      </c>
      <c r="E78" s="50">
        <f t="shared" ref="E78:P78" si="62">((E52/D52)-1)</f>
        <v>0.24832900484313458</v>
      </c>
      <c r="F78" s="50">
        <f t="shared" si="62"/>
        <v>0.38985822955535299</v>
      </c>
      <c r="G78" s="50">
        <f t="shared" si="62"/>
        <v>0.18706720475298444</v>
      </c>
      <c r="H78" s="50">
        <f t="shared" si="62"/>
        <v>-0.1517228629892925</v>
      </c>
      <c r="I78" s="50">
        <f t="shared" si="62"/>
        <v>0.14981110912284468</v>
      </c>
      <c r="J78" s="50">
        <f t="shared" si="62"/>
        <v>0.1568731953770357</v>
      </c>
      <c r="K78" s="50">
        <f t="shared" si="62"/>
        <v>0.16578661387852955</v>
      </c>
      <c r="L78" s="50">
        <f t="shared" si="62"/>
        <v>1.711258008326455E-2</v>
      </c>
      <c r="M78" s="50">
        <f t="shared" si="62"/>
        <v>-0.20672695109406192</v>
      </c>
      <c r="N78" s="50">
        <f t="shared" si="62"/>
        <v>-0.36999682801193101</v>
      </c>
      <c r="O78" s="50">
        <f t="shared" si="62"/>
        <v>-1.5091946734306916E-2</v>
      </c>
      <c r="P78" s="50">
        <f t="shared" si="62"/>
        <v>4.6381663662119266E-2</v>
      </c>
      <c r="Q78" s="50">
        <f>((Q52/P52)-1)</f>
        <v>0.3829697487638084</v>
      </c>
      <c r="R78" s="50">
        <f>((R52/Q52)-1)</f>
        <v>0.13259371954583665</v>
      </c>
      <c r="S78" s="50">
        <f>((S52/R52)-1)</f>
        <v>0.10859847008470713</v>
      </c>
      <c r="T78" s="50">
        <f>((T52/S52)-1)</f>
        <v>9.6929473540764644E-2</v>
      </c>
      <c r="U78" s="50"/>
      <c r="V78" s="3"/>
      <c r="W78" s="3"/>
      <c r="X78" s="3"/>
      <c r="Y78" s="3"/>
    </row>
    <row r="79" spans="1:27">
      <c r="A79" s="580" t="s">
        <v>107</v>
      </c>
      <c r="C79" s="613" t="s">
        <v>606</v>
      </c>
      <c r="D79" s="50">
        <f t="shared" ref="D79:P79" si="63">((D62/C62)-1)</f>
        <v>0.48920129394124645</v>
      </c>
      <c r="E79" s="50">
        <f t="shared" si="63"/>
        <v>0.29964924217877931</v>
      </c>
      <c r="F79" s="50">
        <f t="shared" si="63"/>
        <v>0.41219024449676001</v>
      </c>
      <c r="G79" s="50">
        <f t="shared" si="63"/>
        <v>0.22077410550012955</v>
      </c>
      <c r="H79" s="50">
        <f t="shared" si="63"/>
        <v>-7.0989950600305884E-2</v>
      </c>
      <c r="I79" s="50">
        <f t="shared" si="63"/>
        <v>0.21571037053088515</v>
      </c>
      <c r="J79" s="50">
        <f t="shared" si="63"/>
        <v>0.25588141627149463</v>
      </c>
      <c r="K79" s="50">
        <f t="shared" si="63"/>
        <v>0.2089686134695421</v>
      </c>
      <c r="L79" s="50">
        <f t="shared" si="63"/>
        <v>5.5908298623769337E-2</v>
      </c>
      <c r="M79" s="50">
        <f t="shared" si="63"/>
        <v>-0.16792907585326822</v>
      </c>
      <c r="N79" s="50">
        <f t="shared" si="63"/>
        <v>-0.38232239741984908</v>
      </c>
      <c r="O79" s="50">
        <f t="shared" si="63"/>
        <v>3.0782906060329518E-2</v>
      </c>
      <c r="P79" s="50">
        <f t="shared" si="63"/>
        <v>9.0592982626161556E-2</v>
      </c>
      <c r="Q79" s="50">
        <f>((Q62/P62)-1)</f>
        <v>0.36827439272483642</v>
      </c>
      <c r="R79" s="50">
        <f>((R62/Q62)-1)</f>
        <v>0.13705644581104348</v>
      </c>
      <c r="S79" s="50">
        <f>((S62/R62)-1)</f>
        <v>0.1132144055459865</v>
      </c>
      <c r="T79" s="50">
        <f>((T62/S62)-1)</f>
        <v>0.10065809887404753</v>
      </c>
      <c r="U79" s="50"/>
      <c r="V79" s="3"/>
      <c r="W79" s="3"/>
      <c r="X79" s="3"/>
      <c r="Y79" s="3"/>
    </row>
    <row r="80" spans="1:27" outlineLevel="1">
      <c r="A80" s="580" t="s">
        <v>44</v>
      </c>
      <c r="C80" s="613" t="s">
        <v>606</v>
      </c>
      <c r="D80" s="50">
        <f t="shared" ref="D80:M80" si="64">((D65/C65)-1)</f>
        <v>0.39864707097376861</v>
      </c>
      <c r="E80" s="50">
        <f t="shared" si="64"/>
        <v>0.2518592596992113</v>
      </c>
      <c r="F80" s="50">
        <f t="shared" si="64"/>
        <v>0.37746037119387799</v>
      </c>
      <c r="G80" s="50">
        <f t="shared" si="64"/>
        <v>0.19148989647458792</v>
      </c>
      <c r="H80" s="50">
        <f t="shared" si="64"/>
        <v>-0.1223548420112619</v>
      </c>
      <c r="I80" s="50">
        <f t="shared" si="64"/>
        <v>0.13672599341064551</v>
      </c>
      <c r="J80" s="50">
        <f t="shared" si="64"/>
        <v>0.14001950012334463</v>
      </c>
      <c r="K80" s="50">
        <f t="shared" si="64"/>
        <v>0.15689891104534648</v>
      </c>
      <c r="L80" s="50">
        <f t="shared" si="64"/>
        <v>3.3621972950649948E-2</v>
      </c>
      <c r="M80" s="50">
        <f t="shared" si="64"/>
        <v>-0.17222027540169838</v>
      </c>
      <c r="N80" s="50">
        <f t="shared" ref="N80:T80" si="65">((N65/M65)-1)</f>
        <v>-0.3196806808883923</v>
      </c>
      <c r="O80" s="50">
        <f t="shared" si="65"/>
        <v>7.0386616341926445E-3</v>
      </c>
      <c r="P80" s="50">
        <f t="shared" si="65"/>
        <v>3.9525931928688918E-2</v>
      </c>
      <c r="Q80" s="50">
        <f t="shared" si="65"/>
        <v>0.36551966475683861</v>
      </c>
      <c r="R80" s="50">
        <f t="shared" si="65"/>
        <v>0.11264866285651398</v>
      </c>
      <c r="S80" s="50">
        <f t="shared" si="65"/>
        <v>9.3924669105915459E-2</v>
      </c>
      <c r="T80" s="50">
        <f t="shared" si="65"/>
        <v>8.5136653173152332E-2</v>
      </c>
      <c r="U80" s="50"/>
      <c r="V80" s="3"/>
      <c r="W80" s="3"/>
      <c r="X80" s="3"/>
      <c r="Y80" s="3"/>
      <c r="AA80">
        <f>+Q102*13</f>
        <v>28.560006749353562</v>
      </c>
    </row>
    <row r="81" spans="1:25">
      <c r="A81" s="592"/>
      <c r="B81" s="592"/>
      <c r="C81" s="592"/>
      <c r="D81" s="592"/>
      <c r="E81" s="592"/>
      <c r="F81" s="592"/>
      <c r="G81" s="592"/>
      <c r="H81" s="592"/>
      <c r="I81" s="592"/>
      <c r="J81" s="592"/>
      <c r="K81" s="592"/>
      <c r="L81" s="592"/>
      <c r="M81" s="1578"/>
      <c r="N81" s="1578"/>
      <c r="O81" s="1578"/>
      <c r="P81" s="1578"/>
      <c r="Q81" s="1578"/>
      <c r="R81" s="1578"/>
      <c r="S81" s="1578"/>
      <c r="T81" s="1578"/>
      <c r="U81" s="592"/>
      <c r="V81" s="3"/>
      <c r="W81" s="3"/>
      <c r="X81" s="3"/>
      <c r="Y81" s="3"/>
    </row>
    <row r="82" spans="1:25">
      <c r="A82" s="599" t="s">
        <v>33</v>
      </c>
      <c r="C82" s="37" t="s">
        <v>621</v>
      </c>
      <c r="D82" s="37" t="s">
        <v>343</v>
      </c>
      <c r="E82" s="37" t="s">
        <v>623</v>
      </c>
      <c r="F82" s="37" t="s">
        <v>145</v>
      </c>
      <c r="G82" s="37" t="s">
        <v>636</v>
      </c>
      <c r="H82" s="37" t="s">
        <v>422</v>
      </c>
      <c r="I82" s="37" t="s">
        <v>118</v>
      </c>
      <c r="J82" s="37" t="s">
        <v>314</v>
      </c>
      <c r="K82" s="37" t="s">
        <v>305</v>
      </c>
      <c r="L82" s="37" t="s">
        <v>374</v>
      </c>
      <c r="M82" s="37" t="s">
        <v>730</v>
      </c>
      <c r="N82" s="37" t="s">
        <v>792</v>
      </c>
      <c r="O82" s="37" t="s">
        <v>11</v>
      </c>
      <c r="P82" s="37" t="s">
        <v>24</v>
      </c>
      <c r="Q82" s="37" t="s">
        <v>12</v>
      </c>
      <c r="R82" s="37" t="s">
        <v>759</v>
      </c>
      <c r="S82" s="37" t="s">
        <v>760</v>
      </c>
      <c r="T82" s="37" t="s">
        <v>802</v>
      </c>
      <c r="U82" s="37"/>
      <c r="V82" s="3"/>
      <c r="W82" s="3"/>
      <c r="X82" s="3"/>
      <c r="Y82" s="3"/>
    </row>
    <row r="83" spans="1:25">
      <c r="A83" s="8" t="s">
        <v>64</v>
      </c>
      <c r="C83" s="601" t="s">
        <v>443</v>
      </c>
      <c r="D83" s="601" t="s">
        <v>443</v>
      </c>
      <c r="E83" s="601" t="s">
        <v>443</v>
      </c>
      <c r="F83" s="601" t="s">
        <v>443</v>
      </c>
      <c r="G83" s="601" t="s">
        <v>443</v>
      </c>
      <c r="H83" s="601" t="s">
        <v>443</v>
      </c>
      <c r="I83" s="601" t="s">
        <v>443</v>
      </c>
      <c r="J83" s="601" t="s">
        <v>443</v>
      </c>
      <c r="K83" s="601" t="s">
        <v>443</v>
      </c>
      <c r="L83" s="601" t="s">
        <v>443</v>
      </c>
      <c r="M83" s="601" t="s">
        <v>443</v>
      </c>
      <c r="N83" s="601" t="s">
        <v>771</v>
      </c>
      <c r="O83" s="601" t="s">
        <v>443</v>
      </c>
      <c r="P83" s="601" t="s">
        <v>443</v>
      </c>
      <c r="Q83" s="601" t="s">
        <v>443</v>
      </c>
      <c r="R83" s="601" t="s">
        <v>443</v>
      </c>
      <c r="S83" s="601" t="s">
        <v>443</v>
      </c>
      <c r="T83" s="601" t="s">
        <v>443</v>
      </c>
      <c r="U83" s="601"/>
      <c r="V83" s="3"/>
      <c r="W83" s="3"/>
      <c r="X83" s="3"/>
      <c r="Y83" s="3"/>
    </row>
    <row r="84" spans="1:25">
      <c r="A84" s="580"/>
      <c r="V84" s="3"/>
      <c r="W84" s="3"/>
      <c r="X84" s="3"/>
      <c r="Y84" s="3"/>
    </row>
    <row r="85" spans="1:25">
      <c r="A85" s="580" t="s">
        <v>65</v>
      </c>
      <c r="C85" s="612">
        <f>C6</f>
        <v>1321.1059999999998</v>
      </c>
      <c r="D85" s="612">
        <f t="shared" ref="D85:J85" si="66">D6</f>
        <v>1710.4230000000002</v>
      </c>
      <c r="E85" s="612">
        <f t="shared" si="66"/>
        <v>2035.0909999999999</v>
      </c>
      <c r="F85" s="612">
        <f t="shared" si="66"/>
        <v>2612.4559999999997</v>
      </c>
      <c r="G85" s="612">
        <f t="shared" si="66"/>
        <v>3180.7570000000001</v>
      </c>
      <c r="H85" s="612">
        <f t="shared" si="66"/>
        <v>3230.4679999999998</v>
      </c>
      <c r="I85" s="612">
        <f t="shared" si="66"/>
        <v>3607.636</v>
      </c>
      <c r="J85" s="612">
        <f t="shared" si="66"/>
        <v>4158.5070000000005</v>
      </c>
      <c r="K85" s="612">
        <f t="shared" ref="K85:P85" si="67">K6</f>
        <v>4763.1799999999994</v>
      </c>
      <c r="L85" s="612">
        <f t="shared" si="67"/>
        <v>5075.3899999999994</v>
      </c>
      <c r="M85" s="612">
        <f t="shared" si="67"/>
        <v>4806.2260000000006</v>
      </c>
      <c r="N85" s="612">
        <f t="shared" si="67"/>
        <v>4191.6000000000004</v>
      </c>
      <c r="O85" s="612">
        <f t="shared" si="67"/>
        <v>4491.7999999999993</v>
      </c>
      <c r="P85" s="612">
        <f t="shared" si="67"/>
        <v>4488.3</v>
      </c>
      <c r="Q85" s="612">
        <f>(P85*(1+Q114))</f>
        <v>5741.1306335432964</v>
      </c>
      <c r="R85" s="612">
        <f>(Q85*(1+R114))</f>
        <v>5751.8835379765696</v>
      </c>
      <c r="S85" s="612">
        <f>(R85*(1+S114))</f>
        <v>5744.3852431144041</v>
      </c>
      <c r="T85" s="612">
        <f>(S85*(1+T114))</f>
        <v>5736.5912478959126</v>
      </c>
      <c r="U85" s="612"/>
      <c r="V85" s="3"/>
      <c r="W85" s="3"/>
      <c r="X85" s="3"/>
      <c r="Y85" s="3"/>
    </row>
    <row r="86" spans="1:25" hidden="1" outlineLevel="1">
      <c r="A86" s="580"/>
      <c r="C86" s="73"/>
      <c r="D86" s="73"/>
      <c r="E86" s="73"/>
      <c r="F86" s="73"/>
      <c r="G86" s="73"/>
      <c r="H86" s="73"/>
      <c r="I86" s="73"/>
      <c r="J86" s="73"/>
      <c r="K86" s="73"/>
      <c r="L86" s="73"/>
      <c r="M86" s="73"/>
      <c r="N86" s="73"/>
      <c r="O86" s="73"/>
      <c r="P86" s="73"/>
      <c r="V86" s="3"/>
      <c r="W86" s="3"/>
      <c r="X86" s="3"/>
      <c r="Y86" s="3"/>
    </row>
    <row r="87" spans="1:25" hidden="1" outlineLevel="1">
      <c r="A87" s="580" t="s">
        <v>66</v>
      </c>
      <c r="C87" s="612">
        <f>C8</f>
        <v>331.024</v>
      </c>
      <c r="D87" s="612">
        <f t="shared" ref="D87:J87" si="68">D8</f>
        <v>399.65200000000004</v>
      </c>
      <c r="E87" s="612">
        <f t="shared" si="68"/>
        <v>453.47299999999996</v>
      </c>
      <c r="F87" s="612">
        <f t="shared" si="68"/>
        <v>589.47</v>
      </c>
      <c r="G87" s="612">
        <f t="shared" si="68"/>
        <v>773.654</v>
      </c>
      <c r="H87" s="612">
        <f t="shared" si="68"/>
        <v>907.85799999999995</v>
      </c>
      <c r="I87" s="612">
        <f t="shared" si="68"/>
        <v>973.94499999999994</v>
      </c>
      <c r="J87" s="612">
        <f t="shared" si="68"/>
        <v>1134.9659999999999</v>
      </c>
      <c r="K87" s="612">
        <f t="shared" ref="K87:P87" si="69">K8</f>
        <v>1297.1019999999999</v>
      </c>
      <c r="L87" s="612">
        <f t="shared" si="69"/>
        <v>1372.442</v>
      </c>
      <c r="M87" s="612">
        <f t="shared" si="69"/>
        <v>1427.0710000000001</v>
      </c>
      <c r="N87" s="612">
        <f t="shared" si="69"/>
        <v>1273.3</v>
      </c>
      <c r="O87" s="612">
        <f t="shared" si="69"/>
        <v>1439.4</v>
      </c>
      <c r="P87" s="612">
        <f t="shared" si="69"/>
        <v>1404.28</v>
      </c>
      <c r="Q87" s="612">
        <f>Q85-Q89</f>
        <v>1945.9495499187278</v>
      </c>
      <c r="R87" s="612">
        <f>R85-R89</f>
        <v>1999.3547178006556</v>
      </c>
      <c r="S87" s="612">
        <f>S85-S89</f>
        <v>1996.7483105065671</v>
      </c>
      <c r="T87" s="612">
        <f>T85-T89</f>
        <v>1994.0391177686192</v>
      </c>
      <c r="U87" s="612"/>
      <c r="V87" s="3"/>
      <c r="W87" s="3"/>
      <c r="X87" s="3"/>
      <c r="Y87" s="3"/>
    </row>
    <row r="88" spans="1:25" hidden="1" outlineLevel="1">
      <c r="A88" s="580"/>
      <c r="C88" s="73"/>
      <c r="D88" s="73"/>
      <c r="E88" s="73"/>
      <c r="F88" s="73"/>
      <c r="G88" s="73"/>
      <c r="H88" s="73"/>
      <c r="I88" s="73"/>
      <c r="J88" s="73"/>
      <c r="K88" s="73"/>
      <c r="L88" s="73"/>
      <c r="M88" s="73"/>
      <c r="N88" s="73"/>
      <c r="O88" s="73"/>
      <c r="P88" s="73"/>
      <c r="V88" s="3"/>
      <c r="W88" s="3"/>
      <c r="X88" s="3"/>
      <c r="Y88" s="3"/>
    </row>
    <row r="89" spans="1:25" collapsed="1">
      <c r="A89" s="580" t="s">
        <v>88</v>
      </c>
      <c r="C89" s="612">
        <f>C85-C87</f>
        <v>990.08199999999977</v>
      </c>
      <c r="D89" s="612">
        <f t="shared" ref="D89:J89" si="70">D85-D87</f>
        <v>1310.7710000000002</v>
      </c>
      <c r="E89" s="612">
        <f t="shared" si="70"/>
        <v>1581.6179999999999</v>
      </c>
      <c r="F89" s="612">
        <f t="shared" si="70"/>
        <v>2022.9859999999996</v>
      </c>
      <c r="G89" s="612">
        <f t="shared" si="70"/>
        <v>2407.1030000000001</v>
      </c>
      <c r="H89" s="612">
        <f t="shared" si="70"/>
        <v>2322.6099999999997</v>
      </c>
      <c r="I89" s="612">
        <f t="shared" si="70"/>
        <v>2633.6909999999998</v>
      </c>
      <c r="J89" s="612">
        <f t="shared" si="70"/>
        <v>3023.5410000000006</v>
      </c>
      <c r="K89" s="612">
        <f t="shared" ref="K89:P89" si="71">K85-K87</f>
        <v>3466.0779999999995</v>
      </c>
      <c r="L89" s="612">
        <f t="shared" si="71"/>
        <v>3702.9479999999994</v>
      </c>
      <c r="M89" s="612">
        <f t="shared" si="71"/>
        <v>3379.1550000000007</v>
      </c>
      <c r="N89" s="612">
        <f t="shared" si="71"/>
        <v>2918.3</v>
      </c>
      <c r="O89" s="612">
        <f t="shared" si="71"/>
        <v>3052.3999999999992</v>
      </c>
      <c r="P89" s="612">
        <f t="shared" si="71"/>
        <v>3084.0200000000004</v>
      </c>
      <c r="Q89" s="612">
        <f>Q85*Q108</f>
        <v>3795.1810836245686</v>
      </c>
      <c r="R89" s="612">
        <f>R85*R108</f>
        <v>3752.528820175914</v>
      </c>
      <c r="S89" s="612">
        <f>S85*S108</f>
        <v>3747.636932607837</v>
      </c>
      <c r="T89" s="612">
        <f>T85*T108</f>
        <v>3742.5521301272934</v>
      </c>
      <c r="U89" s="612"/>
      <c r="V89" s="3"/>
      <c r="W89" s="3"/>
      <c r="X89" s="3"/>
      <c r="Y89" s="3"/>
    </row>
    <row r="90" spans="1:25">
      <c r="A90" s="580" t="s">
        <v>93</v>
      </c>
      <c r="C90" s="73">
        <f>C11</f>
        <v>584.77800000000002</v>
      </c>
      <c r="D90" s="73">
        <f t="shared" ref="D90:J91" si="72">D11</f>
        <v>738.20800000000008</v>
      </c>
      <c r="E90" s="73">
        <f t="shared" si="72"/>
        <v>866.87100000000009</v>
      </c>
      <c r="F90" s="73">
        <f t="shared" si="72"/>
        <v>1029.5889999999999</v>
      </c>
      <c r="G90" s="73">
        <f t="shared" si="72"/>
        <v>1227.874</v>
      </c>
      <c r="H90" s="73">
        <f t="shared" si="72"/>
        <v>1322.297</v>
      </c>
      <c r="I90" s="73">
        <f t="shared" si="72"/>
        <v>1483.52</v>
      </c>
      <c r="J90" s="73">
        <f t="shared" si="72"/>
        <v>1692.9390000000003</v>
      </c>
      <c r="K90" s="73">
        <f t="shared" ref="K90:M91" si="73">K11</f>
        <v>1914.8799999999999</v>
      </c>
      <c r="L90" s="73">
        <f t="shared" si="73"/>
        <v>2125.2049999999999</v>
      </c>
      <c r="M90" s="73">
        <f t="shared" si="73"/>
        <v>2127.5739999999996</v>
      </c>
      <c r="N90" s="73">
        <f t="shared" ref="N90:P91" si="74">N11</f>
        <v>2129.8000000000002</v>
      </c>
      <c r="O90" s="73">
        <f t="shared" si="74"/>
        <v>2275.8000000000002</v>
      </c>
      <c r="P90" s="73">
        <f t="shared" si="74"/>
        <v>2271.3999999999996</v>
      </c>
      <c r="Q90" s="73">
        <f>Q85*Q109</f>
        <v>2922.9397040358399</v>
      </c>
      <c r="R90" s="73">
        <f>R85*R109</f>
        <v>2939.212487906027</v>
      </c>
      <c r="S90" s="73">
        <f>S85*S109</f>
        <v>2964.1027854470326</v>
      </c>
      <c r="T90" s="73">
        <f>T85*T109</f>
        <v>2985.3220854050328</v>
      </c>
      <c r="U90" s="73"/>
      <c r="V90" s="3"/>
      <c r="W90" s="3"/>
      <c r="X90" s="3"/>
      <c r="Y90" s="3"/>
    </row>
    <row r="91" spans="1:25" hidden="1" outlineLevel="1">
      <c r="A91" s="580" t="s">
        <v>25</v>
      </c>
      <c r="C91" s="73">
        <f>C12</f>
        <v>40.1</v>
      </c>
      <c r="D91" s="73">
        <f t="shared" si="72"/>
        <v>50.4</v>
      </c>
      <c r="E91" s="73">
        <f t="shared" si="72"/>
        <v>65.114999999999995</v>
      </c>
      <c r="F91" s="73">
        <f t="shared" si="72"/>
        <v>80.831999999999994</v>
      </c>
      <c r="G91" s="73">
        <f t="shared" si="72"/>
        <v>100.70399999999999</v>
      </c>
      <c r="H91" s="73">
        <f t="shared" si="72"/>
        <v>123.014</v>
      </c>
      <c r="I91" s="73">
        <f t="shared" si="72"/>
        <v>126.744</v>
      </c>
      <c r="J91" s="73">
        <f t="shared" si="72"/>
        <v>125.10599999999999</v>
      </c>
      <c r="K91" s="73">
        <f t="shared" si="73"/>
        <v>132.90899999999999</v>
      </c>
      <c r="L91" s="73">
        <f t="shared" si="73"/>
        <v>162.98699999999999</v>
      </c>
      <c r="M91" s="73">
        <f t="shared" si="73"/>
        <v>189.36</v>
      </c>
      <c r="N91" s="73">
        <f t="shared" si="74"/>
        <v>191.8</v>
      </c>
      <c r="O91" s="73">
        <f t="shared" si="74"/>
        <v>210.6</v>
      </c>
      <c r="P91" s="73">
        <f t="shared" si="74"/>
        <v>213.6</v>
      </c>
      <c r="Q91" s="73">
        <f>Q12</f>
        <v>277.49471312631681</v>
      </c>
      <c r="R91" s="73">
        <f>R12</f>
        <v>286.33929084408965</v>
      </c>
      <c r="S91" s="73">
        <f>S12</f>
        <v>294.55619072619578</v>
      </c>
      <c r="T91" s="73">
        <f>T12</f>
        <v>302.99322192535908</v>
      </c>
      <c r="U91" s="73"/>
      <c r="V91" s="3"/>
      <c r="W91" s="3"/>
      <c r="X91" s="3"/>
      <c r="Y91" s="3"/>
    </row>
    <row r="92" spans="1:25" collapsed="1">
      <c r="A92" s="597" t="s">
        <v>106</v>
      </c>
      <c r="C92" s="612">
        <f>C89-C90</f>
        <v>405.30399999999975</v>
      </c>
      <c r="D92" s="612">
        <f t="shared" ref="D92:J92" si="75">D89-D90</f>
        <v>572.5630000000001</v>
      </c>
      <c r="E92" s="612">
        <f t="shared" si="75"/>
        <v>714.74699999999984</v>
      </c>
      <c r="F92" s="612">
        <f t="shared" si="75"/>
        <v>993.39699999999971</v>
      </c>
      <c r="G92" s="612">
        <f t="shared" si="75"/>
        <v>1179.229</v>
      </c>
      <c r="H92" s="612">
        <f t="shared" si="75"/>
        <v>1000.3129999999996</v>
      </c>
      <c r="I92" s="612">
        <f t="shared" si="75"/>
        <v>1150.1709999999998</v>
      </c>
      <c r="J92" s="612">
        <f t="shared" si="75"/>
        <v>1330.6020000000003</v>
      </c>
      <c r="K92" s="612">
        <f t="shared" ref="K92:S92" si="76">K89-K90</f>
        <v>1551.1979999999996</v>
      </c>
      <c r="L92" s="612">
        <f t="shared" si="76"/>
        <v>1577.7429999999995</v>
      </c>
      <c r="M92" s="612">
        <f t="shared" si="76"/>
        <v>1251.581000000001</v>
      </c>
      <c r="N92" s="612">
        <f t="shared" si="76"/>
        <v>788.5</v>
      </c>
      <c r="O92" s="612">
        <f t="shared" si="76"/>
        <v>776.599999999999</v>
      </c>
      <c r="P92" s="612">
        <f t="shared" si="76"/>
        <v>812.6200000000008</v>
      </c>
      <c r="Q92" s="612">
        <f t="shared" si="76"/>
        <v>872.24137958872871</v>
      </c>
      <c r="R92" s="612">
        <f t="shared" si="76"/>
        <v>813.31633226988697</v>
      </c>
      <c r="S92" s="612">
        <f t="shared" si="76"/>
        <v>783.53414716080442</v>
      </c>
      <c r="T92" s="612">
        <f>T89-T90</f>
        <v>757.23004472226057</v>
      </c>
      <c r="U92" s="612"/>
      <c r="V92" s="3"/>
      <c r="W92" s="3"/>
      <c r="X92" s="3"/>
      <c r="Y92" s="3"/>
    </row>
    <row r="93" spans="1:25" hidden="1" outlineLevel="1">
      <c r="A93" s="580"/>
      <c r="C93" s="73"/>
      <c r="D93" s="73"/>
      <c r="E93" s="73"/>
      <c r="F93" s="73"/>
      <c r="G93" s="73"/>
      <c r="H93" s="73"/>
      <c r="I93" s="73"/>
      <c r="J93" s="73"/>
      <c r="K93" s="73"/>
      <c r="L93" s="73"/>
      <c r="M93" s="73"/>
      <c r="N93" s="73"/>
      <c r="O93" s="73"/>
      <c r="P93" s="73"/>
      <c r="V93" s="3"/>
      <c r="W93" s="3"/>
      <c r="X93" s="3"/>
      <c r="Y93" s="3"/>
    </row>
    <row r="94" spans="1:25" hidden="1" outlineLevel="1">
      <c r="A94" s="580" t="s">
        <v>26</v>
      </c>
      <c r="C94" s="73">
        <f>C15</f>
        <v>3.1920000000000002</v>
      </c>
      <c r="D94" s="73">
        <f t="shared" ref="D94:J94" si="77">D15</f>
        <v>15.76</v>
      </c>
      <c r="E94" s="73">
        <f t="shared" si="77"/>
        <v>32.622999999999998</v>
      </c>
      <c r="F94" s="73">
        <f t="shared" si="77"/>
        <v>41.272999999999996</v>
      </c>
      <c r="G94" s="73">
        <f t="shared" si="77"/>
        <v>37.17</v>
      </c>
      <c r="H94" s="73">
        <f t="shared" si="77"/>
        <v>3.1560000000000001</v>
      </c>
      <c r="I94" s="73">
        <f t="shared" si="77"/>
        <v>1.7570000000000001</v>
      </c>
      <c r="J94" s="73">
        <f t="shared" si="77"/>
        <v>-3.7050000000000001</v>
      </c>
      <c r="K94" s="73">
        <f t="shared" ref="K94:S94" si="78">K15</f>
        <v>-6.3259999999999996</v>
      </c>
      <c r="L94" s="73">
        <f t="shared" si="78"/>
        <v>-4.0149999999999997</v>
      </c>
      <c r="M94" s="73">
        <f t="shared" si="78"/>
        <v>2.1810000000000005</v>
      </c>
      <c r="N94" s="73">
        <f t="shared" si="78"/>
        <v>-6.3999999999999995</v>
      </c>
      <c r="O94" s="73">
        <f t="shared" si="78"/>
        <v>-26.9</v>
      </c>
      <c r="P94" s="73">
        <f t="shared" si="78"/>
        <v>-18.899999999999999</v>
      </c>
      <c r="Q94" s="73">
        <f t="shared" si="78"/>
        <v>-77.7</v>
      </c>
      <c r="R94" s="73">
        <f t="shared" si="78"/>
        <v>-44.7</v>
      </c>
      <c r="S94" s="73">
        <f t="shared" si="78"/>
        <v>-44.7</v>
      </c>
      <c r="T94" s="73">
        <f>T15</f>
        <v>-44.7</v>
      </c>
      <c r="U94" s="73"/>
      <c r="V94" s="3"/>
      <c r="W94" s="3"/>
      <c r="X94" s="3"/>
      <c r="Y94" s="3"/>
    </row>
    <row r="95" spans="1:25" hidden="1" outlineLevel="1">
      <c r="A95" s="597" t="s">
        <v>27</v>
      </c>
      <c r="C95" s="612">
        <f>C92+C94</f>
        <v>408.49599999999975</v>
      </c>
      <c r="D95" s="612">
        <f t="shared" ref="D95:Q95" si="79">D92+D94</f>
        <v>588.32300000000009</v>
      </c>
      <c r="E95" s="612">
        <f t="shared" si="79"/>
        <v>747.36999999999989</v>
      </c>
      <c r="F95" s="612">
        <f t="shared" si="79"/>
        <v>1034.6699999999996</v>
      </c>
      <c r="G95" s="612">
        <f t="shared" si="79"/>
        <v>1216.3990000000001</v>
      </c>
      <c r="H95" s="612">
        <f t="shared" si="79"/>
        <v>1003.4689999999996</v>
      </c>
      <c r="I95" s="612">
        <f t="shared" si="79"/>
        <v>1151.9279999999999</v>
      </c>
      <c r="J95" s="612">
        <f t="shared" si="79"/>
        <v>1326.8970000000004</v>
      </c>
      <c r="K95" s="612">
        <f t="shared" si="79"/>
        <v>1544.8719999999996</v>
      </c>
      <c r="L95" s="612">
        <f t="shared" si="79"/>
        <v>1573.7279999999994</v>
      </c>
      <c r="M95" s="612">
        <f>M92+M94</f>
        <v>1253.7620000000011</v>
      </c>
      <c r="N95" s="612">
        <f>N92+N94</f>
        <v>782.1</v>
      </c>
      <c r="O95" s="612">
        <f>O92+O94</f>
        <v>749.69999999999902</v>
      </c>
      <c r="P95" s="612">
        <f>P92+P94</f>
        <v>793.72000000000082</v>
      </c>
      <c r="Q95" s="612">
        <f t="shared" si="79"/>
        <v>794.54137958872866</v>
      </c>
      <c r="R95" s="612">
        <f>R92+R94</f>
        <v>768.61633226988693</v>
      </c>
      <c r="S95" s="612">
        <f>S92+S94</f>
        <v>738.83414716080438</v>
      </c>
      <c r="T95" s="612">
        <f>T92+T94</f>
        <v>712.53004472226053</v>
      </c>
      <c r="U95" s="612"/>
      <c r="V95" s="3"/>
      <c r="W95" s="3"/>
      <c r="X95" s="3"/>
      <c r="Y95" s="3"/>
    </row>
    <row r="96" spans="1:25" hidden="1" outlineLevel="1">
      <c r="A96" s="580"/>
      <c r="C96" s="73"/>
      <c r="D96" s="73"/>
      <c r="E96" s="73"/>
      <c r="F96" s="73"/>
      <c r="G96" s="73"/>
      <c r="H96" s="73"/>
      <c r="I96" s="73"/>
      <c r="J96" s="73"/>
      <c r="K96" s="73"/>
      <c r="L96" s="73"/>
      <c r="M96" s="73"/>
      <c r="N96" s="73"/>
      <c r="O96" s="73"/>
      <c r="P96" s="73"/>
      <c r="V96" s="3"/>
      <c r="W96" s="3"/>
      <c r="X96" s="3"/>
      <c r="Y96" s="3"/>
    </row>
    <row r="97" spans="1:25" collapsed="1">
      <c r="A97" s="580" t="s">
        <v>268</v>
      </c>
      <c r="C97" s="73">
        <f>C18</f>
        <v>152.50399999999999</v>
      </c>
      <c r="D97" s="73">
        <f t="shared" ref="D97:J97" si="80">D18</f>
        <v>216.07</v>
      </c>
      <c r="E97" s="73">
        <f t="shared" si="80"/>
        <v>283.32600000000002</v>
      </c>
      <c r="F97" s="73">
        <f t="shared" si="80"/>
        <v>398.14100000000002</v>
      </c>
      <c r="G97" s="73">
        <f t="shared" si="80"/>
        <v>474.39699999999999</v>
      </c>
      <c r="H97" s="73">
        <f t="shared" si="80"/>
        <v>381.22699999999998</v>
      </c>
      <c r="I97" s="73">
        <f t="shared" si="80"/>
        <v>416.988</v>
      </c>
      <c r="J97" s="73">
        <f t="shared" si="80"/>
        <v>446.09700000000004</v>
      </c>
      <c r="K97" s="73">
        <f t="shared" ref="K97:M98" si="81">K18</f>
        <v>505.96199999999999</v>
      </c>
      <c r="L97" s="73">
        <f t="shared" si="81"/>
        <v>506.74</v>
      </c>
      <c r="M97" s="73">
        <f t="shared" si="81"/>
        <v>384.14499999999998</v>
      </c>
      <c r="N97" s="73">
        <f t="shared" ref="N97:P98" si="82">N18</f>
        <v>250.89999999999998</v>
      </c>
      <c r="O97" s="73">
        <f t="shared" si="82"/>
        <v>198</v>
      </c>
      <c r="P97" s="73">
        <f t="shared" si="82"/>
        <v>184.5</v>
      </c>
      <c r="Q97" s="73">
        <f>Q95*Q111</f>
        <v>159.16299069066457</v>
      </c>
      <c r="R97" s="73">
        <f>R95*R111</f>
        <v>165.25251143802569</v>
      </c>
      <c r="S97" s="73">
        <f>S95*S111</f>
        <v>158.84934163957294</v>
      </c>
      <c r="T97" s="73">
        <f>T95*T111</f>
        <v>153.19395961528602</v>
      </c>
      <c r="U97" s="73"/>
      <c r="V97" s="4" t="s">
        <v>729</v>
      </c>
      <c r="W97" s="4" t="s">
        <v>19</v>
      </c>
      <c r="X97" s="4" t="s">
        <v>20</v>
      </c>
      <c r="Y97" s="4" t="s">
        <v>23</v>
      </c>
    </row>
    <row r="98" spans="1:25">
      <c r="A98" s="580" t="s">
        <v>7</v>
      </c>
      <c r="C98" s="73">
        <f>C19</f>
        <v>18.042999999999999</v>
      </c>
      <c r="D98" s="73">
        <f t="shared" ref="D98:J98" si="83">D19</f>
        <v>13.640999999999998</v>
      </c>
      <c r="E98" s="73">
        <f t="shared" si="83"/>
        <v>0</v>
      </c>
      <c r="F98" s="73">
        <f t="shared" si="83"/>
        <v>0</v>
      </c>
      <c r="G98" s="73">
        <f t="shared" si="83"/>
        <v>0</v>
      </c>
      <c r="H98" s="73">
        <f t="shared" si="83"/>
        <v>0</v>
      </c>
      <c r="I98" s="73">
        <f t="shared" si="83"/>
        <v>0</v>
      </c>
      <c r="J98" s="73">
        <f t="shared" si="83"/>
        <v>0</v>
      </c>
      <c r="K98" s="73">
        <f t="shared" si="81"/>
        <v>0</v>
      </c>
      <c r="L98" s="73">
        <f t="shared" si="81"/>
        <v>0</v>
      </c>
      <c r="M98" s="73">
        <f t="shared" si="81"/>
        <v>0</v>
      </c>
      <c r="N98" s="73">
        <f t="shared" si="82"/>
        <v>0</v>
      </c>
      <c r="O98" s="73">
        <f t="shared" si="82"/>
        <v>0</v>
      </c>
      <c r="P98" s="73">
        <f t="shared" si="82"/>
        <v>0</v>
      </c>
      <c r="Q98" s="73">
        <f>Q19</f>
        <v>0</v>
      </c>
      <c r="R98" s="73">
        <f>R19</f>
        <v>0</v>
      </c>
      <c r="S98" s="73">
        <f>S19</f>
        <v>0</v>
      </c>
      <c r="T98" s="73">
        <f>T19</f>
        <v>0</v>
      </c>
      <c r="U98" s="73"/>
      <c r="V98" s="4"/>
      <c r="W98" s="4"/>
      <c r="X98" s="4"/>
      <c r="Y98" s="3"/>
    </row>
    <row r="99" spans="1:25" hidden="1" outlineLevel="1">
      <c r="A99" s="580"/>
      <c r="C99" s="73"/>
      <c r="D99" s="73"/>
      <c r="E99" s="73"/>
      <c r="F99" s="73"/>
      <c r="G99" s="73"/>
      <c r="H99" s="73"/>
      <c r="I99" s="73"/>
      <c r="J99" s="73"/>
      <c r="K99" s="73"/>
      <c r="L99" s="73"/>
      <c r="M99" s="73"/>
      <c r="N99" s="73"/>
      <c r="O99" s="73"/>
      <c r="P99" s="73"/>
      <c r="V99" s="4"/>
      <c r="W99" s="4"/>
      <c r="X99" s="4"/>
      <c r="Y99" s="3"/>
    </row>
    <row r="100" spans="1:25" hidden="1" outlineLevel="1">
      <c r="A100" s="580" t="s">
        <v>28</v>
      </c>
      <c r="C100" s="612">
        <f>C95-C97-C98</f>
        <v>237.94899999999976</v>
      </c>
      <c r="D100" s="612">
        <f t="shared" ref="D100:J100" si="84">D95-D97-D98</f>
        <v>358.61200000000008</v>
      </c>
      <c r="E100" s="612">
        <f t="shared" si="84"/>
        <v>464.04399999999987</v>
      </c>
      <c r="F100" s="612">
        <f t="shared" si="84"/>
        <v>636.52899999999954</v>
      </c>
      <c r="G100" s="612">
        <f t="shared" si="84"/>
        <v>742.00200000000018</v>
      </c>
      <c r="H100" s="612">
        <f t="shared" si="84"/>
        <v>622.24199999999962</v>
      </c>
      <c r="I100" s="612">
        <f t="shared" si="84"/>
        <v>734.93999999999983</v>
      </c>
      <c r="J100" s="612">
        <f t="shared" si="84"/>
        <v>880.80000000000041</v>
      </c>
      <c r="K100" s="612">
        <f t="shared" ref="K100:S100" si="85">K95-K97-K98</f>
        <v>1038.9099999999996</v>
      </c>
      <c r="L100" s="612">
        <f t="shared" si="85"/>
        <v>1066.9879999999994</v>
      </c>
      <c r="M100" s="612">
        <f t="shared" si="85"/>
        <v>869.6170000000011</v>
      </c>
      <c r="N100" s="612">
        <f t="shared" si="85"/>
        <v>531.20000000000005</v>
      </c>
      <c r="O100" s="612">
        <f t="shared" si="85"/>
        <v>551.69999999999902</v>
      </c>
      <c r="P100" s="612">
        <f t="shared" si="85"/>
        <v>609.22000000000082</v>
      </c>
      <c r="Q100" s="612">
        <f t="shared" si="85"/>
        <v>635.37838889806403</v>
      </c>
      <c r="R100" s="612">
        <f t="shared" si="85"/>
        <v>603.36382083186118</v>
      </c>
      <c r="S100" s="612">
        <f t="shared" si="85"/>
        <v>579.98480552123146</v>
      </c>
      <c r="T100" s="612">
        <f>T95-T97-T98</f>
        <v>559.33608510697445</v>
      </c>
      <c r="U100" s="612"/>
      <c r="V100" s="4"/>
      <c r="W100" s="4"/>
      <c r="X100" s="4"/>
      <c r="Y100" s="3"/>
    </row>
    <row r="101" spans="1:25" hidden="1" outlineLevel="1">
      <c r="A101" s="580"/>
      <c r="Q101" s="73">
        <f>Q100-Q21</f>
        <v>-92.505879650352199</v>
      </c>
      <c r="R101" s="73">
        <f>R100-R21</f>
        <v>-194.70936606942234</v>
      </c>
      <c r="S101" s="73">
        <f>S100-S21</f>
        <v>-249.2851533229981</v>
      </c>
      <c r="T101" s="73">
        <f>T100-T21</f>
        <v>-301.68888229085906</v>
      </c>
      <c r="U101" s="73"/>
      <c r="V101" s="4"/>
      <c r="W101" s="4"/>
      <c r="X101" s="4"/>
      <c r="Y101" s="3"/>
    </row>
    <row r="102" spans="1:25" collapsed="1">
      <c r="A102" s="606" t="s">
        <v>29</v>
      </c>
      <c r="B102" s="606"/>
      <c r="C102" s="607">
        <f t="shared" ref="C102:J102" si="86">C100/C103</f>
        <v>0.61715487682786963</v>
      </c>
      <c r="D102" s="607">
        <f t="shared" si="86"/>
        <v>0.91906784113421403</v>
      </c>
      <c r="E102" s="607">
        <f t="shared" si="86"/>
        <v>1.1944658232409679</v>
      </c>
      <c r="F102" s="607">
        <f t="shared" si="86"/>
        <v>1.6868129829656864</v>
      </c>
      <c r="G102" s="607">
        <f t="shared" si="86"/>
        <v>2.0592176104259412</v>
      </c>
      <c r="H102" s="607">
        <f t="shared" si="86"/>
        <v>1.9130338539865237</v>
      </c>
      <c r="I102" s="607">
        <f t="shared" si="86"/>
        <v>2.3256950954680842</v>
      </c>
      <c r="J102" s="607">
        <f t="shared" si="86"/>
        <v>2.9207972503121264</v>
      </c>
      <c r="K102" s="607">
        <f t="shared" ref="K102:S102" si="87">K100/K103</f>
        <v>3.5311522019355026</v>
      </c>
      <c r="L102" s="607">
        <f t="shared" si="87"/>
        <v>3.7285729137272932</v>
      </c>
      <c r="M102" s="607">
        <f t="shared" si="87"/>
        <v>3.1024371100735411</v>
      </c>
      <c r="N102" s="607">
        <f t="shared" si="87"/>
        <v>1.9163059163059166</v>
      </c>
      <c r="O102" s="607">
        <f t="shared" si="87"/>
        <v>1.9752953813104153</v>
      </c>
      <c r="P102" s="607">
        <f t="shared" si="87"/>
        <v>2.1542432814710071</v>
      </c>
      <c r="Q102" s="607">
        <f t="shared" si="87"/>
        <v>2.1969235961041202</v>
      </c>
      <c r="R102" s="607">
        <f t="shared" si="87"/>
        <v>2.0695275091788123</v>
      </c>
      <c r="S102" s="607">
        <f t="shared" si="87"/>
        <v>1.9830793606197437</v>
      </c>
      <c r="T102" s="607">
        <f>T100/T103</f>
        <v>1.9065944964432198</v>
      </c>
      <c r="U102" s="1361"/>
      <c r="V102" s="693">
        <f>O102</f>
        <v>1.9752953813104153</v>
      </c>
      <c r="W102" s="4">
        <v>13</v>
      </c>
      <c r="X102" s="311">
        <f>V102*W102</f>
        <v>25.6788399570354</v>
      </c>
      <c r="Y102" s="50">
        <f>X102/$V$3-1</f>
        <v>-0.28271396768057533</v>
      </c>
    </row>
    <row r="103" spans="1:25">
      <c r="A103" s="580" t="s">
        <v>30</v>
      </c>
      <c r="C103" s="73">
        <f>C63</f>
        <v>385.55799999999999</v>
      </c>
      <c r="D103" s="73">
        <f t="shared" ref="D103:J103" si="88">D63</f>
        <v>390.19099999999997</v>
      </c>
      <c r="E103" s="73">
        <f t="shared" si="88"/>
        <v>388.495</v>
      </c>
      <c r="F103" s="73">
        <f t="shared" si="88"/>
        <v>377.35599999999999</v>
      </c>
      <c r="G103" s="73">
        <f t="shared" si="88"/>
        <v>360.33199999999999</v>
      </c>
      <c r="H103" s="73">
        <f t="shared" si="88"/>
        <v>325.2645</v>
      </c>
      <c r="I103" s="73">
        <f t="shared" si="88"/>
        <v>316.00874999999996</v>
      </c>
      <c r="J103" s="73">
        <f t="shared" si="88"/>
        <v>301.56150000000002</v>
      </c>
      <c r="K103" s="73">
        <f t="shared" ref="K103:P103" si="89">K63</f>
        <v>294.21275000000003</v>
      </c>
      <c r="L103" s="73">
        <f t="shared" si="89"/>
        <v>286.16525000000001</v>
      </c>
      <c r="M103" s="73">
        <f t="shared" si="89"/>
        <v>280.30124999999998</v>
      </c>
      <c r="N103" s="73">
        <f t="shared" si="89"/>
        <v>277.2</v>
      </c>
      <c r="O103" s="73">
        <f t="shared" si="89"/>
        <v>279.3</v>
      </c>
      <c r="P103" s="73">
        <f t="shared" si="89"/>
        <v>282.8</v>
      </c>
      <c r="Q103" s="73">
        <f>Q63-(Q101/50)</f>
        <v>289.21278374213938</v>
      </c>
      <c r="R103" s="73">
        <f>R63-(R101/50)</f>
        <v>291.54665408205938</v>
      </c>
      <c r="S103" s="73">
        <f>S63-(S101/50)</f>
        <v>292.46676509203195</v>
      </c>
      <c r="T103" s="73">
        <f>T63-(T101/50)</f>
        <v>293.36919106313599</v>
      </c>
      <c r="U103" s="73"/>
      <c r="V103" s="3"/>
      <c r="W103" s="3"/>
      <c r="X103" s="3"/>
      <c r="Y103" s="3"/>
    </row>
    <row r="104" spans="1:25" hidden="1" outlineLevel="1">
      <c r="A104" s="580"/>
    </row>
    <row r="105" spans="1:25" hidden="1" outlineLevel="1">
      <c r="A105" s="580" t="s">
        <v>44</v>
      </c>
      <c r="C105" s="612">
        <f>C91+C92</f>
        <v>445.40399999999977</v>
      </c>
      <c r="D105" s="612">
        <f t="shared" ref="D105:J105" si="90">D91+D92</f>
        <v>622.96300000000008</v>
      </c>
      <c r="E105" s="612">
        <f t="shared" si="90"/>
        <v>779.86199999999985</v>
      </c>
      <c r="F105" s="612">
        <f t="shared" si="90"/>
        <v>1074.2289999999998</v>
      </c>
      <c r="G105" s="612">
        <f t="shared" si="90"/>
        <v>1279.933</v>
      </c>
      <c r="H105" s="612">
        <f t="shared" si="90"/>
        <v>1123.3269999999995</v>
      </c>
      <c r="I105" s="612">
        <f t="shared" si="90"/>
        <v>1276.9149999999997</v>
      </c>
      <c r="J105" s="612">
        <f t="shared" si="90"/>
        <v>1455.7080000000003</v>
      </c>
      <c r="K105" s="612">
        <f t="shared" ref="K105:S105" si="91">K91+K92</f>
        <v>1684.1069999999995</v>
      </c>
      <c r="L105" s="612">
        <f t="shared" si="91"/>
        <v>1740.7299999999996</v>
      </c>
      <c r="M105" s="612">
        <f t="shared" si="91"/>
        <v>1440.9410000000012</v>
      </c>
      <c r="N105" s="612">
        <f t="shared" si="91"/>
        <v>980.3</v>
      </c>
      <c r="O105" s="612">
        <f t="shared" si="91"/>
        <v>987.19999999999902</v>
      </c>
      <c r="P105" s="612">
        <f t="shared" si="91"/>
        <v>1026.2200000000007</v>
      </c>
      <c r="Q105" s="612">
        <f t="shared" si="91"/>
        <v>1149.7360927150455</v>
      </c>
      <c r="R105" s="612">
        <f t="shared" si="91"/>
        <v>1099.6556231139766</v>
      </c>
      <c r="S105" s="612">
        <f t="shared" si="91"/>
        <v>1078.0903378870003</v>
      </c>
      <c r="T105" s="612">
        <f>T91+T92</f>
        <v>1060.2232666476198</v>
      </c>
      <c r="U105" s="612"/>
    </row>
    <row r="106" spans="1:25" collapsed="1">
      <c r="A106" s="580"/>
    </row>
    <row r="107" spans="1:25">
      <c r="A107" s="8" t="s">
        <v>96</v>
      </c>
      <c r="Q107" s="2029">
        <f>Q108-P108</f>
        <v>-2.6073137718885531E-2</v>
      </c>
    </row>
    <row r="108" spans="1:25">
      <c r="A108" s="580" t="s">
        <v>47</v>
      </c>
      <c r="C108" s="50">
        <f>C89/C85</f>
        <v>0.74943418620458913</v>
      </c>
      <c r="D108" s="50">
        <f t="shared" ref="D108:J108" si="92">D89/D85</f>
        <v>0.76634317943573027</v>
      </c>
      <c r="E108" s="50">
        <f t="shared" si="92"/>
        <v>0.77717310921231531</v>
      </c>
      <c r="F108" s="50">
        <f t="shared" si="92"/>
        <v>0.77436175001607677</v>
      </c>
      <c r="G108" s="50">
        <f t="shared" si="92"/>
        <v>0.75677047948019927</v>
      </c>
      <c r="H108" s="50">
        <f t="shared" si="92"/>
        <v>0.71897013064360948</v>
      </c>
      <c r="I108" s="50">
        <f t="shared" si="92"/>
        <v>0.73003235359664886</v>
      </c>
      <c r="J108" s="50">
        <f t="shared" si="92"/>
        <v>0.72707368293476482</v>
      </c>
      <c r="K108" s="50">
        <f t="shared" ref="K108:P108" si="93">K89/K85</f>
        <v>0.72768150689245414</v>
      </c>
      <c r="L108" s="50">
        <f t="shared" si="93"/>
        <v>0.72958885918126481</v>
      </c>
      <c r="M108" s="50">
        <f t="shared" si="93"/>
        <v>0.7030786733707487</v>
      </c>
      <c r="N108" s="50">
        <f t="shared" si="93"/>
        <v>0.69622578490313958</v>
      </c>
      <c r="O108" s="50">
        <f t="shared" si="93"/>
        <v>0.67954940113094964</v>
      </c>
      <c r="P108" s="50">
        <f t="shared" si="93"/>
        <v>0.68712430096027455</v>
      </c>
      <c r="Q108" s="598">
        <f>Q29-0.0125</f>
        <v>0.66105116324138902</v>
      </c>
      <c r="R108" s="598">
        <f>R29-0.02</f>
        <v>0.65239999999999998</v>
      </c>
      <c r="S108" s="598">
        <f>+R108</f>
        <v>0.65239999999999998</v>
      </c>
      <c r="T108" s="598">
        <f>+S108</f>
        <v>0.65239999999999998</v>
      </c>
      <c r="U108" s="598"/>
    </row>
    <row r="109" spans="1:25">
      <c r="A109" s="580" t="s">
        <v>98</v>
      </c>
      <c r="C109" s="50">
        <f>C90/C85</f>
        <v>0.4426427553882884</v>
      </c>
      <c r="D109" s="50">
        <f t="shared" ref="D109:J109" si="94">D90/D85</f>
        <v>0.43159382211300945</v>
      </c>
      <c r="E109" s="50">
        <f t="shared" si="94"/>
        <v>0.42596178745815305</v>
      </c>
      <c r="F109" s="50">
        <f t="shared" si="94"/>
        <v>0.39410769023478293</v>
      </c>
      <c r="G109" s="50">
        <f t="shared" si="94"/>
        <v>0.38603200433104445</v>
      </c>
      <c r="H109" s="50">
        <f t="shared" si="94"/>
        <v>0.40932056903210312</v>
      </c>
      <c r="I109" s="50">
        <f t="shared" si="94"/>
        <v>0.41121665267782004</v>
      </c>
      <c r="J109" s="50">
        <f t="shared" si="94"/>
        <v>0.40710259715806663</v>
      </c>
      <c r="K109" s="50">
        <f t="shared" ref="K109:P109" si="95">K90/K85</f>
        <v>0.4020171398099589</v>
      </c>
      <c r="L109" s="50">
        <f t="shared" si="95"/>
        <v>0.4187274278429835</v>
      </c>
      <c r="M109" s="50">
        <f t="shared" si="95"/>
        <v>0.44267040293153076</v>
      </c>
      <c r="N109" s="50">
        <f t="shared" si="95"/>
        <v>0.50811146101727267</v>
      </c>
      <c r="O109" s="50">
        <f t="shared" si="95"/>
        <v>0.50665657420187915</v>
      </c>
      <c r="P109" s="50">
        <f t="shared" si="95"/>
        <v>0.50607134104226537</v>
      </c>
      <c r="Q109" s="598">
        <f>Q30+0.005</f>
        <v>0.50912266078012358</v>
      </c>
      <c r="R109" s="598">
        <f>R30+0.015</f>
        <v>0.51100000000000001</v>
      </c>
      <c r="S109" s="598">
        <f>S30+0.02</f>
        <v>0.51600000000000001</v>
      </c>
      <c r="T109" s="598">
        <f>T30+0.025</f>
        <v>0.52039999999999997</v>
      </c>
      <c r="U109" s="598"/>
    </row>
    <row r="110" spans="1:25">
      <c r="A110" s="580" t="s">
        <v>49</v>
      </c>
      <c r="C110" s="50">
        <f>C92/C85</f>
        <v>0.30679143081630073</v>
      </c>
      <c r="D110" s="50">
        <f t="shared" ref="D110:J110" si="96">D92/D85</f>
        <v>0.33474935732272076</v>
      </c>
      <c r="E110" s="50">
        <f t="shared" si="96"/>
        <v>0.35121132175416231</v>
      </c>
      <c r="F110" s="50">
        <f t="shared" si="96"/>
        <v>0.38025405978129384</v>
      </c>
      <c r="G110" s="50">
        <f t="shared" si="96"/>
        <v>0.37073847514915476</v>
      </c>
      <c r="H110" s="50">
        <f t="shared" si="96"/>
        <v>0.30964956161150636</v>
      </c>
      <c r="I110" s="50">
        <f t="shared" si="96"/>
        <v>0.31881570091882877</v>
      </c>
      <c r="J110" s="50">
        <f t="shared" si="96"/>
        <v>0.31997108577669825</v>
      </c>
      <c r="K110" s="50">
        <f t="shared" ref="K110:S110" si="97">K92/K85</f>
        <v>0.3256643670824953</v>
      </c>
      <c r="L110" s="50">
        <f t="shared" si="97"/>
        <v>0.31086143133828131</v>
      </c>
      <c r="M110" s="50">
        <f t="shared" si="97"/>
        <v>0.26040827043921799</v>
      </c>
      <c r="N110" s="50">
        <f t="shared" si="97"/>
        <v>0.18811432388586696</v>
      </c>
      <c r="O110" s="50">
        <f t="shared" si="97"/>
        <v>0.17289282692907057</v>
      </c>
      <c r="P110" s="50">
        <f>P92/P85</f>
        <v>0.18105295991800921</v>
      </c>
      <c r="Q110" s="50">
        <f t="shared" si="97"/>
        <v>0.15192850246126538</v>
      </c>
      <c r="R110" s="50">
        <f t="shared" si="97"/>
        <v>0.1414</v>
      </c>
      <c r="S110" s="50">
        <f t="shared" si="97"/>
        <v>0.13639999999999994</v>
      </c>
      <c r="T110" s="50">
        <f>T92/T85</f>
        <v>0.13200000000000001</v>
      </c>
      <c r="U110" s="50"/>
    </row>
    <row r="111" spans="1:25">
      <c r="A111" s="580" t="s">
        <v>39</v>
      </c>
      <c r="C111" s="50">
        <f>C97/C95</f>
        <v>0.37333046100818634</v>
      </c>
      <c r="D111" s="50">
        <f t="shared" ref="D111:J111" si="98">D97/D95</f>
        <v>0.36726424090168147</v>
      </c>
      <c r="E111" s="50">
        <f t="shared" si="98"/>
        <v>0.37909736810415195</v>
      </c>
      <c r="F111" s="50">
        <f t="shared" si="98"/>
        <v>0.38479998453613246</v>
      </c>
      <c r="G111" s="50">
        <f t="shared" si="98"/>
        <v>0.39000114271715114</v>
      </c>
      <c r="H111" s="50">
        <f t="shared" si="98"/>
        <v>0.37990909534823708</v>
      </c>
      <c r="I111" s="50">
        <f t="shared" si="98"/>
        <v>0.36199137446090385</v>
      </c>
      <c r="J111" s="50">
        <f t="shared" si="98"/>
        <v>0.33619565045365229</v>
      </c>
      <c r="K111" s="50">
        <f t="shared" ref="K111:P111" si="99">K97/K95</f>
        <v>0.32751062871228176</v>
      </c>
      <c r="L111" s="50">
        <f t="shared" si="99"/>
        <v>0.32199973565952961</v>
      </c>
      <c r="M111" s="50">
        <f t="shared" si="99"/>
        <v>0.30639387698781717</v>
      </c>
      <c r="N111" s="50">
        <f t="shared" si="99"/>
        <v>0.3208029663725866</v>
      </c>
      <c r="O111" s="50">
        <f t="shared" si="99"/>
        <v>0.26410564225690308</v>
      </c>
      <c r="P111" s="50">
        <f t="shared" si="99"/>
        <v>0.23244973038351033</v>
      </c>
      <c r="Q111" s="598">
        <f>Q32</f>
        <v>0.20032058087780233</v>
      </c>
      <c r="R111" s="598">
        <f>R32</f>
        <v>0.215</v>
      </c>
      <c r="S111" s="598">
        <f>S32</f>
        <v>0.215</v>
      </c>
      <c r="T111" s="598">
        <f>T32</f>
        <v>0.215</v>
      </c>
      <c r="U111" s="598"/>
    </row>
    <row r="112" spans="1:25">
      <c r="A112" s="580"/>
    </row>
    <row r="113" spans="1:29">
      <c r="A113" s="8" t="s">
        <v>100</v>
      </c>
    </row>
    <row r="114" spans="1:29">
      <c r="A114" s="580" t="s">
        <v>482</v>
      </c>
      <c r="C114" s="563" t="s">
        <v>606</v>
      </c>
      <c r="D114" s="614">
        <f>((D85/C85)-1)</f>
        <v>0.29469020653906686</v>
      </c>
      <c r="E114" s="614">
        <f t="shared" ref="E114:P114" si="100">((E85/D85)-1)</f>
        <v>0.18981737266161613</v>
      </c>
      <c r="F114" s="614">
        <f t="shared" si="100"/>
        <v>0.28370475816560536</v>
      </c>
      <c r="G114" s="614">
        <f t="shared" si="100"/>
        <v>0.21753514700343302</v>
      </c>
      <c r="H114" s="614">
        <f t="shared" si="100"/>
        <v>1.5628669527411265E-2</v>
      </c>
      <c r="I114" s="614">
        <f t="shared" si="100"/>
        <v>0.11675336205156661</v>
      </c>
      <c r="J114" s="614">
        <f t="shared" si="100"/>
        <v>0.15269583738492476</v>
      </c>
      <c r="K114" s="614">
        <f t="shared" si="100"/>
        <v>0.14540627201060352</v>
      </c>
      <c r="L114" s="614">
        <f t="shared" si="100"/>
        <v>6.5546546634811298E-2</v>
      </c>
      <c r="M114" s="614">
        <f t="shared" si="100"/>
        <v>-5.3033165924194714E-2</v>
      </c>
      <c r="N114" s="614">
        <f t="shared" si="100"/>
        <v>-0.12788121074622794</v>
      </c>
      <c r="O114" s="614">
        <f t="shared" si="100"/>
        <v>7.1619429334859985E-2</v>
      </c>
      <c r="P114" s="614">
        <f t="shared" si="100"/>
        <v>-7.7919764904921252E-4</v>
      </c>
      <c r="Q114" s="50">
        <f>Q115+(Q$35-Q$36)</f>
        <v>0.2791325520894985</v>
      </c>
      <c r="R114" s="50">
        <f>R115+(R$35-R$36)</f>
        <v>1.8729593732718375E-3</v>
      </c>
      <c r="S114" s="50">
        <f>S115+(S$35-S$36)</f>
        <v>-1.3036242498058737E-3</v>
      </c>
      <c r="T114" s="50">
        <f>T115+(T$35-T$36)</f>
        <v>-1.3568023188963163E-3</v>
      </c>
      <c r="U114" s="50"/>
    </row>
    <row r="115" spans="1:29">
      <c r="A115" s="580" t="s">
        <v>128</v>
      </c>
      <c r="C115" s="50">
        <f>C36</f>
        <v>0.16899999999999998</v>
      </c>
      <c r="D115" s="50">
        <f t="shared" ref="D115:J115" si="101">D36</f>
        <v>0.182</v>
      </c>
      <c r="E115" s="50">
        <f t="shared" si="101"/>
        <v>0.20699999999999999</v>
      </c>
      <c r="F115" s="50">
        <f t="shared" si="101"/>
        <v>0.223</v>
      </c>
      <c r="G115" s="50">
        <f t="shared" si="101"/>
        <v>9.8000000000000004E-2</v>
      </c>
      <c r="H115" s="50">
        <f t="shared" si="101"/>
        <v>-6.8000000000000005E-2</v>
      </c>
      <c r="I115" s="50">
        <f t="shared" si="101"/>
        <v>3.5557111151952245E-2</v>
      </c>
      <c r="J115" s="50">
        <f t="shared" si="101"/>
        <v>0.106</v>
      </c>
      <c r="K115" s="50">
        <f t="shared" ref="K115:P115" si="102">K36</f>
        <v>6.6000000000000003E-2</v>
      </c>
      <c r="L115" s="50">
        <f t="shared" si="102"/>
        <v>3.0000000000000001E-3</v>
      </c>
      <c r="M115" s="50">
        <f t="shared" si="102"/>
        <v>-0.15</v>
      </c>
      <c r="N115" s="50">
        <f t="shared" si="102"/>
        <v>-0.22</v>
      </c>
      <c r="O115" s="50">
        <f t="shared" si="102"/>
        <v>-3.3000000000000002E-2</v>
      </c>
      <c r="P115" s="50">
        <f t="shared" si="102"/>
        <v>3.1E-2</v>
      </c>
      <c r="Q115" s="598">
        <f>Q36-0.02</f>
        <v>-0.02</v>
      </c>
      <c r="R115" s="598">
        <f>R36-0.03</f>
        <v>-1.9999999999999997E-2</v>
      </c>
      <c r="S115" s="598">
        <f>S36-0.03</f>
        <v>-1.9999999999999997E-2</v>
      </c>
      <c r="T115" s="598">
        <f>T36-0.03</f>
        <v>-1.9999999999999997E-2</v>
      </c>
      <c r="U115" s="598"/>
    </row>
    <row r="116" spans="1:29">
      <c r="A116" s="580" t="s">
        <v>93</v>
      </c>
      <c r="C116" s="563" t="s">
        <v>606</v>
      </c>
      <c r="D116" s="614">
        <f>((D90/C90)-1)</f>
        <v>0.26237307149037759</v>
      </c>
      <c r="E116" s="614">
        <f>((E90/D90)-1)</f>
        <v>0.17429098573843693</v>
      </c>
      <c r="F116" s="614">
        <f t="shared" ref="F116:P116" si="103">((F90/E90)-1)</f>
        <v>0.18770728285984872</v>
      </c>
      <c r="G116" s="614">
        <f t="shared" si="103"/>
        <v>0.19258655638317834</v>
      </c>
      <c r="H116" s="614">
        <f t="shared" si="103"/>
        <v>7.6899584159286771E-2</v>
      </c>
      <c r="I116" s="614">
        <f t="shared" si="103"/>
        <v>0.12192646583936884</v>
      </c>
      <c r="J116" s="614">
        <f t="shared" si="103"/>
        <v>0.14116358390854211</v>
      </c>
      <c r="K116" s="614">
        <f t="shared" si="103"/>
        <v>0.13109804901416977</v>
      </c>
      <c r="L116" s="614">
        <f t="shared" si="103"/>
        <v>0.10983716995320858</v>
      </c>
      <c r="M116" s="614">
        <f t="shared" si="103"/>
        <v>1.1147159921041094E-3</v>
      </c>
      <c r="N116" s="614">
        <f t="shared" si="103"/>
        <v>1.0462620806610534E-3</v>
      </c>
      <c r="O116" s="614">
        <f t="shared" si="103"/>
        <v>6.855103765611803E-2</v>
      </c>
      <c r="P116" s="614">
        <f t="shared" si="103"/>
        <v>-1.9333860620444066E-3</v>
      </c>
      <c r="Q116" s="614">
        <f>((Q90/P90)-1)</f>
        <v>0.28684498724832275</v>
      </c>
      <c r="R116" s="614">
        <f>((R90/Q90)-1)</f>
        <v>5.5672663543893108E-3</v>
      </c>
      <c r="S116" s="614">
        <f>((S90/R90)-1)</f>
        <v>8.4683559434446387E-3</v>
      </c>
      <c r="T116" s="614">
        <f>((T90/S90)-1)</f>
        <v>7.1587598318727519E-3</v>
      </c>
      <c r="U116" s="614"/>
    </row>
    <row r="117" spans="1:29">
      <c r="A117" s="580" t="s">
        <v>106</v>
      </c>
      <c r="C117" s="563" t="s">
        <v>606</v>
      </c>
      <c r="D117" s="614">
        <f>((D92/C92)-1)</f>
        <v>0.41267542387936085</v>
      </c>
      <c r="E117" s="614">
        <f t="shared" ref="E117:P117" si="104">((E92/D92)-1)</f>
        <v>0.24832900484313458</v>
      </c>
      <c r="F117" s="614">
        <f t="shared" si="104"/>
        <v>0.38985822955535299</v>
      </c>
      <c r="G117" s="614">
        <f t="shared" si="104"/>
        <v>0.18706720475298444</v>
      </c>
      <c r="H117" s="614">
        <f t="shared" si="104"/>
        <v>-0.1517228629892925</v>
      </c>
      <c r="I117" s="614">
        <f t="shared" si="104"/>
        <v>0.14981110912284468</v>
      </c>
      <c r="J117" s="614">
        <f t="shared" si="104"/>
        <v>0.1568731953770357</v>
      </c>
      <c r="K117" s="614">
        <f t="shared" si="104"/>
        <v>0.16578661387852955</v>
      </c>
      <c r="L117" s="614">
        <f t="shared" si="104"/>
        <v>1.711258008326455E-2</v>
      </c>
      <c r="M117" s="614">
        <f t="shared" si="104"/>
        <v>-0.20672695109406192</v>
      </c>
      <c r="N117" s="614">
        <f t="shared" si="104"/>
        <v>-0.36999682801193101</v>
      </c>
      <c r="O117" s="614">
        <f t="shared" si="104"/>
        <v>-1.5091946734306916E-2</v>
      </c>
      <c r="P117" s="614">
        <f t="shared" si="104"/>
        <v>4.6381663662119266E-2</v>
      </c>
      <c r="Q117" s="614">
        <f>((Q92/P92)-1)</f>
        <v>7.3369323409130827E-2</v>
      </c>
      <c r="R117" s="614">
        <f>((R92/Q92)-1)</f>
        <v>-6.7555895303460067E-2</v>
      </c>
      <c r="S117" s="614">
        <f>((S92/R92)-1)</f>
        <v>-3.6618206136305398E-2</v>
      </c>
      <c r="T117" s="614">
        <f>((T92/S92)-1)</f>
        <v>-3.3571099018286255E-2</v>
      </c>
      <c r="U117" s="614"/>
    </row>
    <row r="118" spans="1:29">
      <c r="A118" s="580" t="s">
        <v>107</v>
      </c>
      <c r="C118" s="563" t="s">
        <v>606</v>
      </c>
      <c r="D118" s="614">
        <f>((D102/C102)-1)</f>
        <v>0.48920129394124645</v>
      </c>
      <c r="E118" s="614">
        <f t="shared" ref="E118:P118" si="105">((E102/D102)-1)</f>
        <v>0.29964924217877931</v>
      </c>
      <c r="F118" s="614">
        <f t="shared" si="105"/>
        <v>0.41219024449676001</v>
      </c>
      <c r="G118" s="614">
        <f t="shared" si="105"/>
        <v>0.22077410550012955</v>
      </c>
      <c r="H118" s="614">
        <f t="shared" si="105"/>
        <v>-7.0989950600305884E-2</v>
      </c>
      <c r="I118" s="614">
        <f t="shared" si="105"/>
        <v>0.21571037053088515</v>
      </c>
      <c r="J118" s="614">
        <f t="shared" si="105"/>
        <v>0.25588141627149463</v>
      </c>
      <c r="K118" s="614">
        <f t="shared" si="105"/>
        <v>0.2089686134695421</v>
      </c>
      <c r="L118" s="614">
        <f t="shared" si="105"/>
        <v>5.5908298623769337E-2</v>
      </c>
      <c r="M118" s="614">
        <f t="shared" si="105"/>
        <v>-0.16792907585326822</v>
      </c>
      <c r="N118" s="614">
        <f t="shared" si="105"/>
        <v>-0.38232239741984908</v>
      </c>
      <c r="O118" s="614">
        <f t="shared" si="105"/>
        <v>3.0782906060329518E-2</v>
      </c>
      <c r="P118" s="614">
        <f t="shared" si="105"/>
        <v>9.0592982626161556E-2</v>
      </c>
      <c r="Q118" s="614">
        <f>((Q102/P102)-1)</f>
        <v>1.9812207377046587E-2</v>
      </c>
      <c r="R118" s="614">
        <f>((R102/Q102)-1)</f>
        <v>-5.7988401213052487E-2</v>
      </c>
      <c r="S118" s="614">
        <f>((S102/R102)-1)</f>
        <v>-4.1771925319017078E-2</v>
      </c>
      <c r="T118" s="614">
        <f>((T102/S102)-1)</f>
        <v>-3.856873592422505E-2</v>
      </c>
      <c r="U118" s="614"/>
    </row>
    <row r="119" spans="1:29">
      <c r="A119" s="580" t="s">
        <v>44</v>
      </c>
      <c r="C119" s="563" t="s">
        <v>606</v>
      </c>
      <c r="D119" s="614">
        <f>((D105/C105)-1)</f>
        <v>0.39864707097376861</v>
      </c>
      <c r="E119" s="614">
        <f t="shared" ref="E119:P119" si="106">((E105/D105)-1)</f>
        <v>0.2518592596992113</v>
      </c>
      <c r="F119" s="614">
        <f t="shared" si="106"/>
        <v>0.37746037119387799</v>
      </c>
      <c r="G119" s="614">
        <f t="shared" si="106"/>
        <v>0.19148989647458792</v>
      </c>
      <c r="H119" s="614">
        <f t="shared" si="106"/>
        <v>-0.1223548420112619</v>
      </c>
      <c r="I119" s="614">
        <f t="shared" si="106"/>
        <v>0.13672599341064551</v>
      </c>
      <c r="J119" s="614">
        <f t="shared" si="106"/>
        <v>0.14001950012334463</v>
      </c>
      <c r="K119" s="614">
        <f t="shared" si="106"/>
        <v>0.15689891104534648</v>
      </c>
      <c r="L119" s="614">
        <f t="shared" si="106"/>
        <v>3.3621972950649948E-2</v>
      </c>
      <c r="M119" s="614">
        <f t="shared" si="106"/>
        <v>-0.17222027540169838</v>
      </c>
      <c r="N119" s="614">
        <f t="shared" si="106"/>
        <v>-0.3196806808883923</v>
      </c>
      <c r="O119" s="614">
        <f t="shared" si="106"/>
        <v>7.0386616341926445E-3</v>
      </c>
      <c r="P119" s="614">
        <f t="shared" si="106"/>
        <v>3.9525931928688918E-2</v>
      </c>
      <c r="Q119" s="614">
        <f>((Q105/P105)-1)</f>
        <v>0.12036024703771586</v>
      </c>
      <c r="R119" s="614">
        <f>((R105/Q105)-1)</f>
        <v>-4.3558230378596074E-2</v>
      </c>
      <c r="S119" s="614">
        <f>((S105/R105)-1)</f>
        <v>-1.9610944348111725E-2</v>
      </c>
      <c r="T119" s="614">
        <f>((T105/S105)-1)</f>
        <v>-1.6572888756612891E-2</v>
      </c>
      <c r="U119" s="614"/>
    </row>
    <row r="120" spans="1:29">
      <c r="A120" s="655"/>
      <c r="B120" s="655"/>
      <c r="C120" s="655"/>
      <c r="D120" s="655"/>
      <c r="E120" s="655"/>
      <c r="F120" s="655"/>
      <c r="G120" s="655"/>
      <c r="H120" s="655"/>
      <c r="I120" s="655"/>
      <c r="J120" s="655"/>
      <c r="K120" s="655"/>
      <c r="L120" s="655"/>
      <c r="M120" s="655"/>
      <c r="N120" s="655"/>
      <c r="O120" s="655"/>
      <c r="P120" s="655"/>
      <c r="Q120" s="655"/>
      <c r="R120" s="655"/>
      <c r="S120" s="655"/>
      <c r="T120" s="655"/>
      <c r="U120" s="655"/>
    </row>
    <row r="121" spans="1:29">
      <c r="A121" s="656" t="s">
        <v>56</v>
      </c>
      <c r="B121" s="3"/>
      <c r="C121" s="37" t="str">
        <f t="shared" ref="C121:P122" si="107">C82</f>
        <v>2004A</v>
      </c>
      <c r="D121" s="37" t="str">
        <f t="shared" si="107"/>
        <v>2005A</v>
      </c>
      <c r="E121" s="37" t="str">
        <f t="shared" si="107"/>
        <v>2006A</v>
      </c>
      <c r="F121" s="37" t="str">
        <f t="shared" si="107"/>
        <v>2007A</v>
      </c>
      <c r="G121" s="37" t="str">
        <f t="shared" si="107"/>
        <v>2008A</v>
      </c>
      <c r="H121" s="37" t="str">
        <f t="shared" si="107"/>
        <v>2009A</v>
      </c>
      <c r="I121" s="37" t="str">
        <f t="shared" si="107"/>
        <v>2010A</v>
      </c>
      <c r="J121" s="37" t="str">
        <f t="shared" si="107"/>
        <v>2011A</v>
      </c>
      <c r="K121" s="37" t="str">
        <f t="shared" si="107"/>
        <v>2012E</v>
      </c>
      <c r="L121" s="37" t="str">
        <f t="shared" si="107"/>
        <v>2013E</v>
      </c>
      <c r="M121" s="37" t="str">
        <f t="shared" si="107"/>
        <v>2014A</v>
      </c>
      <c r="N121" s="37" t="str">
        <f t="shared" si="107"/>
        <v>2015A</v>
      </c>
      <c r="O121" s="37" t="str">
        <f t="shared" si="107"/>
        <v>2016E</v>
      </c>
      <c r="P121" s="37" t="str">
        <f t="shared" si="107"/>
        <v>2017E</v>
      </c>
      <c r="Q121" s="37" t="str">
        <f t="shared" ref="Q121:S122" si="108">Q82</f>
        <v>2018E</v>
      </c>
      <c r="R121" s="37" t="str">
        <f t="shared" si="108"/>
        <v>2019E</v>
      </c>
      <c r="S121" s="37" t="str">
        <f t="shared" si="108"/>
        <v>2020E</v>
      </c>
      <c r="T121" s="37" t="str">
        <f>T82</f>
        <v>2021E</v>
      </c>
      <c r="U121" s="37"/>
      <c r="V121" s="3"/>
      <c r="W121" s="3"/>
      <c r="X121" s="3"/>
      <c r="Y121" s="3"/>
      <c r="Z121" s="3"/>
      <c r="AA121" s="3"/>
      <c r="AB121" s="3"/>
      <c r="AC121" s="3"/>
    </row>
    <row r="122" spans="1:29">
      <c r="A122" s="8" t="s">
        <v>64</v>
      </c>
      <c r="B122" s="3"/>
      <c r="C122" s="601" t="str">
        <f t="shared" si="107"/>
        <v>Jan</v>
      </c>
      <c r="D122" s="601" t="str">
        <f t="shared" si="107"/>
        <v>Jan</v>
      </c>
      <c r="E122" s="601" t="str">
        <f t="shared" si="107"/>
        <v>Jan</v>
      </c>
      <c r="F122" s="601" t="str">
        <f t="shared" si="107"/>
        <v>Jan</v>
      </c>
      <c r="G122" s="601" t="str">
        <f t="shared" si="107"/>
        <v>Jan</v>
      </c>
      <c r="H122" s="601" t="str">
        <f t="shared" si="107"/>
        <v>Jan</v>
      </c>
      <c r="I122" s="601" t="str">
        <f t="shared" si="107"/>
        <v>Jan</v>
      </c>
      <c r="J122" s="601" t="str">
        <f t="shared" si="107"/>
        <v>Jan</v>
      </c>
      <c r="K122" s="601" t="str">
        <f t="shared" si="107"/>
        <v>Jan</v>
      </c>
      <c r="L122" s="601" t="str">
        <f t="shared" si="107"/>
        <v>Jan</v>
      </c>
      <c r="M122" s="601" t="str">
        <f t="shared" si="107"/>
        <v>Jan</v>
      </c>
      <c r="N122" s="601" t="str">
        <f t="shared" si="107"/>
        <v>Feb</v>
      </c>
      <c r="O122" s="601" t="str">
        <f t="shared" si="107"/>
        <v>Jan</v>
      </c>
      <c r="P122" s="601" t="str">
        <f t="shared" si="107"/>
        <v>Jan</v>
      </c>
      <c r="Q122" s="601" t="str">
        <f t="shared" si="108"/>
        <v>Jan</v>
      </c>
      <c r="R122" s="601" t="str">
        <f t="shared" si="108"/>
        <v>Jan</v>
      </c>
      <c r="S122" s="601" t="str">
        <f t="shared" si="108"/>
        <v>Jan</v>
      </c>
      <c r="T122" s="601" t="str">
        <f>T83</f>
        <v>Jan</v>
      </c>
      <c r="U122" s="601"/>
      <c r="V122" s="3"/>
      <c r="W122" s="3"/>
      <c r="X122" s="3"/>
      <c r="Y122" s="3"/>
      <c r="Z122" s="3"/>
      <c r="AA122" s="3"/>
      <c r="AB122" s="3"/>
      <c r="AC122" s="3"/>
    </row>
    <row r="123" spans="1:29">
      <c r="A123" s="4"/>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row>
    <row r="124" spans="1:29">
      <c r="A124" s="4" t="s">
        <v>65</v>
      </c>
      <c r="B124" s="3"/>
      <c r="C124" s="612">
        <f t="shared" ref="C124:J124" si="109">C6</f>
        <v>1321.1059999999998</v>
      </c>
      <c r="D124" s="612">
        <f t="shared" si="109"/>
        <v>1710.4230000000002</v>
      </c>
      <c r="E124" s="612">
        <f t="shared" si="109"/>
        <v>2035.0909999999999</v>
      </c>
      <c r="F124" s="612">
        <f t="shared" si="109"/>
        <v>2612.4559999999997</v>
      </c>
      <c r="G124" s="612">
        <f t="shared" si="109"/>
        <v>3180.7570000000001</v>
      </c>
      <c r="H124" s="612">
        <f t="shared" si="109"/>
        <v>3230.4679999999998</v>
      </c>
      <c r="I124" s="612">
        <f t="shared" si="109"/>
        <v>3607.636</v>
      </c>
      <c r="J124" s="612">
        <f t="shared" si="109"/>
        <v>4158.5070000000005</v>
      </c>
      <c r="K124" s="612">
        <f>K6</f>
        <v>4763.1799999999994</v>
      </c>
      <c r="L124" s="612">
        <f>L6</f>
        <v>5075.3899999999994</v>
      </c>
      <c r="M124" s="612">
        <f t="shared" ref="M124:T124" si="110">(L124*(1+M165))</f>
        <v>4806.2260000000006</v>
      </c>
      <c r="N124" s="612">
        <f t="shared" si="110"/>
        <v>4191.6000000000004</v>
      </c>
      <c r="O124" s="612">
        <f t="shared" si="110"/>
        <v>4491.7999999999993</v>
      </c>
      <c r="P124" s="612">
        <f t="shared" si="110"/>
        <v>4488.3</v>
      </c>
      <c r="Q124" s="612">
        <f t="shared" si="110"/>
        <v>5830.896633543296</v>
      </c>
      <c r="R124" s="612">
        <f t="shared" si="110"/>
        <v>6016.7445650539694</v>
      </c>
      <c r="S124" s="612">
        <f t="shared" si="110"/>
        <v>6189.4033278856969</v>
      </c>
      <c r="T124" s="612">
        <f t="shared" si="110"/>
        <v>6366.6876309344079</v>
      </c>
      <c r="U124" s="612"/>
      <c r="V124" s="3"/>
      <c r="W124" s="3"/>
      <c r="X124" s="3"/>
      <c r="Y124" s="3"/>
      <c r="Z124" s="3"/>
      <c r="AA124" s="3"/>
      <c r="AB124" s="3"/>
      <c r="AC124" s="3"/>
    </row>
    <row r="125" spans="1:29">
      <c r="A125" s="4"/>
      <c r="B125" s="3"/>
      <c r="C125" s="73"/>
      <c r="D125" s="73"/>
      <c r="E125" s="73"/>
      <c r="F125" s="73"/>
      <c r="G125" s="73"/>
      <c r="H125" s="73"/>
      <c r="I125" s="73"/>
      <c r="J125" s="73"/>
      <c r="K125" s="73"/>
      <c r="L125" s="73"/>
      <c r="M125" s="73"/>
      <c r="V125" s="3"/>
      <c r="W125" s="3"/>
      <c r="X125" s="3"/>
      <c r="Y125" s="3"/>
      <c r="Z125" s="3"/>
      <c r="AA125" s="3"/>
      <c r="AB125" s="3"/>
      <c r="AC125" s="3"/>
    </row>
    <row r="126" spans="1:29">
      <c r="A126" s="4" t="s">
        <v>66</v>
      </c>
      <c r="B126" s="3"/>
      <c r="C126" s="612">
        <f t="shared" ref="C126:J126" si="111">C8</f>
        <v>331.024</v>
      </c>
      <c r="D126" s="612">
        <f t="shared" si="111"/>
        <v>399.65200000000004</v>
      </c>
      <c r="E126" s="612">
        <f t="shared" si="111"/>
        <v>453.47299999999996</v>
      </c>
      <c r="F126" s="612">
        <f t="shared" si="111"/>
        <v>589.47</v>
      </c>
      <c r="G126" s="612">
        <f t="shared" si="111"/>
        <v>773.654</v>
      </c>
      <c r="H126" s="612">
        <f t="shared" si="111"/>
        <v>907.85799999999995</v>
      </c>
      <c r="I126" s="612">
        <f t="shared" si="111"/>
        <v>973.94499999999994</v>
      </c>
      <c r="J126" s="612">
        <f t="shared" si="111"/>
        <v>1134.9659999999999</v>
      </c>
      <c r="K126" s="612">
        <f>K8</f>
        <v>1297.1019999999999</v>
      </c>
      <c r="L126" s="612">
        <f>L8</f>
        <v>1372.442</v>
      </c>
      <c r="M126" s="612">
        <f t="shared" ref="M126:S126" si="112">M124-M128</f>
        <v>1427.0710000000004</v>
      </c>
      <c r="N126" s="612">
        <f t="shared" si="112"/>
        <v>1273.3000000000002</v>
      </c>
      <c r="O126" s="612">
        <f t="shared" si="112"/>
        <v>1439.4</v>
      </c>
      <c r="P126" s="612">
        <f t="shared" si="112"/>
        <v>1404.2799999999997</v>
      </c>
      <c r="Q126" s="612">
        <f t="shared" si="112"/>
        <v>1903.4894232799102</v>
      </c>
      <c r="R126" s="612">
        <f t="shared" si="112"/>
        <v>1971.0855195116806</v>
      </c>
      <c r="S126" s="612">
        <f t="shared" si="112"/>
        <v>2018.3644252235254</v>
      </c>
      <c r="T126" s="612">
        <f>T124-T128</f>
        <v>2071.0834863429627</v>
      </c>
      <c r="U126" s="612"/>
      <c r="V126" s="3"/>
      <c r="W126" s="3"/>
      <c r="X126" s="3"/>
      <c r="Y126" s="3"/>
      <c r="Z126" s="3"/>
      <c r="AA126" s="3"/>
      <c r="AB126" s="3"/>
      <c r="AC126" s="3"/>
    </row>
    <row r="127" spans="1:29">
      <c r="A127" s="4"/>
      <c r="B127" s="3"/>
      <c r="C127" s="73"/>
      <c r="D127" s="73"/>
      <c r="E127" s="73"/>
      <c r="F127" s="73"/>
      <c r="G127" s="73"/>
      <c r="H127" s="73"/>
      <c r="I127" s="73"/>
      <c r="J127" s="73"/>
      <c r="K127" s="73"/>
      <c r="L127" s="73"/>
      <c r="M127" s="73"/>
      <c r="V127" s="3"/>
      <c r="W127" s="3"/>
      <c r="X127" s="3"/>
      <c r="Y127" s="3"/>
      <c r="Z127" s="3"/>
      <c r="AA127" s="3"/>
      <c r="AB127" s="3"/>
      <c r="AC127" s="3"/>
    </row>
    <row r="128" spans="1:29">
      <c r="A128" s="4" t="s">
        <v>88</v>
      </c>
      <c r="B128" s="3"/>
      <c r="C128" s="612">
        <f t="shared" ref="C128:J128" si="113">C124-C126</f>
        <v>990.08199999999977</v>
      </c>
      <c r="D128" s="612">
        <f t="shared" si="113"/>
        <v>1310.7710000000002</v>
      </c>
      <c r="E128" s="612">
        <f t="shared" si="113"/>
        <v>1581.6179999999999</v>
      </c>
      <c r="F128" s="612">
        <f t="shared" si="113"/>
        <v>2022.9859999999996</v>
      </c>
      <c r="G128" s="612">
        <f t="shared" si="113"/>
        <v>2407.1030000000001</v>
      </c>
      <c r="H128" s="612">
        <f t="shared" si="113"/>
        <v>2322.6099999999997</v>
      </c>
      <c r="I128" s="612">
        <f t="shared" si="113"/>
        <v>2633.6909999999998</v>
      </c>
      <c r="J128" s="612">
        <f t="shared" si="113"/>
        <v>3023.5410000000006</v>
      </c>
      <c r="K128" s="612">
        <f>K124-K126</f>
        <v>3466.0779999999995</v>
      </c>
      <c r="L128" s="612">
        <f>L124-L126</f>
        <v>3702.9479999999994</v>
      </c>
      <c r="M128" s="612">
        <f t="shared" ref="M128:S128" si="114">M124*M150</f>
        <v>3379.1550000000002</v>
      </c>
      <c r="N128" s="612">
        <f t="shared" si="114"/>
        <v>2918.3</v>
      </c>
      <c r="O128" s="612">
        <f t="shared" si="114"/>
        <v>3052.3999999999992</v>
      </c>
      <c r="P128" s="612">
        <f t="shared" si="114"/>
        <v>3084.0200000000004</v>
      </c>
      <c r="Q128" s="612">
        <f t="shared" si="114"/>
        <v>3927.4072102633859</v>
      </c>
      <c r="R128" s="612">
        <f t="shared" si="114"/>
        <v>4045.6590455422888</v>
      </c>
      <c r="S128" s="612">
        <f t="shared" si="114"/>
        <v>4171.0389026621715</v>
      </c>
      <c r="T128" s="612">
        <f>T124*T150</f>
        <v>4295.6041445914452</v>
      </c>
      <c r="U128" s="612"/>
      <c r="V128" s="3"/>
      <c r="W128" s="3"/>
      <c r="X128" s="3"/>
      <c r="Y128" s="3"/>
      <c r="Z128" s="3"/>
      <c r="AA128" s="3"/>
      <c r="AB128" s="3"/>
      <c r="AC128" s="3"/>
    </row>
    <row r="129" spans="1:29">
      <c r="A129" s="4" t="s">
        <v>93</v>
      </c>
      <c r="B129" s="3"/>
      <c r="C129" s="73">
        <f t="shared" ref="C129:P130" si="115">C11</f>
        <v>584.77800000000002</v>
      </c>
      <c r="D129" s="73">
        <f t="shared" si="115"/>
        <v>738.20800000000008</v>
      </c>
      <c r="E129" s="73">
        <f t="shared" si="115"/>
        <v>866.87100000000009</v>
      </c>
      <c r="F129" s="73">
        <f t="shared" si="115"/>
        <v>1029.5889999999999</v>
      </c>
      <c r="G129" s="73">
        <f t="shared" si="115"/>
        <v>1227.874</v>
      </c>
      <c r="H129" s="73">
        <f t="shared" si="115"/>
        <v>1322.297</v>
      </c>
      <c r="I129" s="73">
        <f t="shared" si="115"/>
        <v>1483.52</v>
      </c>
      <c r="J129" s="73">
        <f t="shared" si="115"/>
        <v>1692.9390000000003</v>
      </c>
      <c r="K129" s="73">
        <f>K11</f>
        <v>1914.8799999999999</v>
      </c>
      <c r="L129" s="73">
        <f>L11</f>
        <v>2125.2049999999999</v>
      </c>
      <c r="M129" s="73">
        <f t="shared" ref="M129:S129" si="116">M124*M154</f>
        <v>2127.5739999999996</v>
      </c>
      <c r="N129" s="73">
        <f t="shared" si="116"/>
        <v>2129.8000000000002</v>
      </c>
      <c r="O129" s="73">
        <f t="shared" si="116"/>
        <v>2275.8000000000002</v>
      </c>
      <c r="P129" s="73">
        <f t="shared" si="116"/>
        <v>2271.3999999999996</v>
      </c>
      <c r="Q129" s="73">
        <f t="shared" si="116"/>
        <v>2939.4871256357114</v>
      </c>
      <c r="R129" s="73">
        <f t="shared" si="116"/>
        <v>2984.3053042667689</v>
      </c>
      <c r="S129" s="73">
        <f t="shared" si="116"/>
        <v>3069.9440506313058</v>
      </c>
      <c r="T129" s="73">
        <f>T124*T154</f>
        <v>3154.0570523649058</v>
      </c>
      <c r="U129" s="73"/>
      <c r="V129" s="3"/>
      <c r="W129" s="3"/>
      <c r="X129" s="3"/>
      <c r="Y129" s="3"/>
      <c r="Z129" s="3"/>
      <c r="AA129" s="3"/>
      <c r="AB129" s="3"/>
      <c r="AC129" s="3"/>
    </row>
    <row r="130" spans="1:29">
      <c r="A130" s="4" t="s">
        <v>25</v>
      </c>
      <c r="B130" s="3"/>
      <c r="C130" s="73">
        <f>C12</f>
        <v>40.1</v>
      </c>
      <c r="D130" s="73">
        <f>D12</f>
        <v>50.4</v>
      </c>
      <c r="E130" s="73">
        <f>E12</f>
        <v>65.114999999999995</v>
      </c>
      <c r="F130" s="73">
        <f>F12</f>
        <v>80.831999999999994</v>
      </c>
      <c r="G130" s="73">
        <f>G12</f>
        <v>100.70399999999999</v>
      </c>
      <c r="H130" s="73">
        <f t="shared" si="115"/>
        <v>123.014</v>
      </c>
      <c r="I130" s="73">
        <f t="shared" si="115"/>
        <v>126.744</v>
      </c>
      <c r="J130" s="73">
        <f t="shared" si="115"/>
        <v>125.10599999999999</v>
      </c>
      <c r="K130" s="73">
        <f>K12</f>
        <v>132.90899999999999</v>
      </c>
      <c r="L130" s="73">
        <f>L12</f>
        <v>162.98699999999999</v>
      </c>
      <c r="M130" s="73">
        <f t="shared" si="115"/>
        <v>189.36</v>
      </c>
      <c r="N130" s="73">
        <f t="shared" si="115"/>
        <v>191.8</v>
      </c>
      <c r="O130" s="73">
        <f t="shared" si="115"/>
        <v>210.6</v>
      </c>
      <c r="P130" s="73">
        <f t="shared" si="115"/>
        <v>213.6</v>
      </c>
      <c r="Q130" s="73">
        <f>Q12</f>
        <v>277.49471312631681</v>
      </c>
      <c r="R130" s="73">
        <f>R12</f>
        <v>286.33929084408965</v>
      </c>
      <c r="S130" s="73">
        <f>S12</f>
        <v>294.55619072619578</v>
      </c>
      <c r="T130" s="73">
        <f>T12</f>
        <v>302.99322192535908</v>
      </c>
      <c r="U130" s="73"/>
      <c r="V130" s="3"/>
      <c r="W130" s="3"/>
      <c r="X130" s="3"/>
      <c r="Y130" s="3"/>
      <c r="Z130" s="3"/>
      <c r="AA130" s="3"/>
      <c r="AB130" s="3"/>
      <c r="AC130" s="3"/>
    </row>
    <row r="131" spans="1:29">
      <c r="A131" s="657" t="s">
        <v>106</v>
      </c>
      <c r="B131" s="3"/>
      <c r="C131" s="612">
        <f t="shared" ref="C131:O131" si="117">C128-C129</f>
        <v>405.30399999999975</v>
      </c>
      <c r="D131" s="612">
        <f t="shared" si="117"/>
        <v>572.5630000000001</v>
      </c>
      <c r="E131" s="612">
        <f t="shared" si="117"/>
        <v>714.74699999999984</v>
      </c>
      <c r="F131" s="612">
        <f t="shared" si="117"/>
        <v>993.39699999999971</v>
      </c>
      <c r="G131" s="612">
        <f t="shared" si="117"/>
        <v>1179.229</v>
      </c>
      <c r="H131" s="612">
        <f t="shared" si="117"/>
        <v>1000.3129999999996</v>
      </c>
      <c r="I131" s="612">
        <f t="shared" si="117"/>
        <v>1150.1709999999998</v>
      </c>
      <c r="J131" s="612">
        <f t="shared" si="117"/>
        <v>1330.6020000000003</v>
      </c>
      <c r="K131" s="612">
        <f>K128-K129</f>
        <v>1551.1979999999996</v>
      </c>
      <c r="L131" s="612">
        <f>L128-L129</f>
        <v>1577.7429999999995</v>
      </c>
      <c r="M131" s="612">
        <f t="shared" si="117"/>
        <v>1251.5810000000006</v>
      </c>
      <c r="N131" s="612">
        <f t="shared" si="117"/>
        <v>788.5</v>
      </c>
      <c r="O131" s="612">
        <f t="shared" si="117"/>
        <v>776.599999999999</v>
      </c>
      <c r="P131" s="612">
        <f>P128-P129</f>
        <v>812.6200000000008</v>
      </c>
      <c r="Q131" s="612">
        <f>Q128-Q129</f>
        <v>987.92008462767444</v>
      </c>
      <c r="R131" s="612">
        <f>R128-R129</f>
        <v>1061.35374127552</v>
      </c>
      <c r="S131" s="612">
        <f>S128-S129</f>
        <v>1101.0948520308657</v>
      </c>
      <c r="T131" s="612">
        <f>T128-T129</f>
        <v>1141.5470922265395</v>
      </c>
      <c r="U131" s="612"/>
      <c r="V131" s="3"/>
      <c r="W131" s="3"/>
      <c r="X131" s="3"/>
      <c r="Y131" s="3"/>
      <c r="Z131" s="3"/>
      <c r="AA131" s="3"/>
      <c r="AB131" s="3"/>
      <c r="AC131" s="3"/>
    </row>
    <row r="132" spans="1:29">
      <c r="A132" s="4"/>
      <c r="B132" s="3"/>
      <c r="C132" s="73"/>
      <c r="D132" s="73"/>
      <c r="E132" s="73"/>
      <c r="F132" s="73"/>
      <c r="G132" s="73"/>
      <c r="H132" s="73"/>
      <c r="I132" s="73"/>
      <c r="J132" s="73"/>
      <c r="K132" s="73"/>
      <c r="L132" s="73"/>
      <c r="M132" s="73"/>
      <c r="V132" s="3"/>
      <c r="W132" s="3"/>
      <c r="X132" s="3"/>
      <c r="Y132" s="3"/>
      <c r="Z132" s="3"/>
      <c r="AA132" s="3"/>
      <c r="AB132" s="3"/>
      <c r="AC132" s="3"/>
    </row>
    <row r="133" spans="1:29">
      <c r="A133" s="4" t="s">
        <v>26</v>
      </c>
      <c r="B133" s="3"/>
      <c r="C133" s="73">
        <f>C15</f>
        <v>3.1920000000000002</v>
      </c>
      <c r="D133" s="73">
        <f>D15</f>
        <v>15.76</v>
      </c>
      <c r="E133" s="73">
        <f>E15</f>
        <v>32.622999999999998</v>
      </c>
      <c r="F133" s="73">
        <f>F15</f>
        <v>41.272999999999996</v>
      </c>
      <c r="G133" s="73">
        <f>G15</f>
        <v>37.17</v>
      </c>
      <c r="H133" s="73">
        <f t="shared" ref="H133:P133" si="118">H15</f>
        <v>3.1560000000000001</v>
      </c>
      <c r="I133" s="73">
        <f t="shared" si="118"/>
        <v>1.7570000000000001</v>
      </c>
      <c r="J133" s="73">
        <f t="shared" si="118"/>
        <v>-3.7050000000000001</v>
      </c>
      <c r="K133" s="73">
        <f>K15</f>
        <v>-6.3259999999999996</v>
      </c>
      <c r="L133" s="73">
        <f>L15</f>
        <v>-4.0149999999999997</v>
      </c>
      <c r="M133" s="73">
        <f t="shared" si="118"/>
        <v>2.1810000000000005</v>
      </c>
      <c r="N133" s="73">
        <f t="shared" si="118"/>
        <v>-6.3999999999999995</v>
      </c>
      <c r="O133" s="73">
        <f t="shared" si="118"/>
        <v>-26.9</v>
      </c>
      <c r="P133" s="73">
        <f t="shared" si="118"/>
        <v>-18.899999999999999</v>
      </c>
      <c r="Q133" s="73">
        <f>Q15</f>
        <v>-77.7</v>
      </c>
      <c r="R133" s="73">
        <f>R15</f>
        <v>-44.7</v>
      </c>
      <c r="S133" s="73">
        <f>S15</f>
        <v>-44.7</v>
      </c>
      <c r="T133" s="73">
        <f>T15</f>
        <v>-44.7</v>
      </c>
      <c r="U133" s="73"/>
      <c r="V133" s="3"/>
      <c r="W133" s="3"/>
      <c r="X133" s="3"/>
      <c r="Y133" s="3"/>
      <c r="Z133" s="3"/>
      <c r="AA133" s="3"/>
      <c r="AB133" s="3"/>
      <c r="AC133" s="3"/>
    </row>
    <row r="134" spans="1:29">
      <c r="A134" s="657" t="s">
        <v>27</v>
      </c>
      <c r="B134" s="3"/>
      <c r="C134" s="612">
        <f t="shared" ref="C134:O134" si="119">C131+C133</f>
        <v>408.49599999999975</v>
      </c>
      <c r="D134" s="612">
        <f t="shared" si="119"/>
        <v>588.32300000000009</v>
      </c>
      <c r="E134" s="612">
        <f t="shared" si="119"/>
        <v>747.36999999999989</v>
      </c>
      <c r="F134" s="612">
        <f t="shared" si="119"/>
        <v>1034.6699999999996</v>
      </c>
      <c r="G134" s="612">
        <f t="shared" si="119"/>
        <v>1216.3990000000001</v>
      </c>
      <c r="H134" s="612">
        <f t="shared" si="119"/>
        <v>1003.4689999999996</v>
      </c>
      <c r="I134" s="612">
        <f t="shared" si="119"/>
        <v>1151.9279999999999</v>
      </c>
      <c r="J134" s="612">
        <f t="shared" si="119"/>
        <v>1326.8970000000004</v>
      </c>
      <c r="K134" s="612">
        <f t="shared" si="119"/>
        <v>1544.8719999999996</v>
      </c>
      <c r="L134" s="612">
        <f t="shared" si="119"/>
        <v>1573.7279999999994</v>
      </c>
      <c r="M134" s="612">
        <f t="shared" si="119"/>
        <v>1253.7620000000006</v>
      </c>
      <c r="N134" s="612">
        <f t="shared" si="119"/>
        <v>782.1</v>
      </c>
      <c r="O134" s="612">
        <f t="shared" si="119"/>
        <v>749.69999999999902</v>
      </c>
      <c r="P134" s="612">
        <f>P131+P133</f>
        <v>793.72000000000082</v>
      </c>
      <c r="Q134" s="612">
        <f>Q131+Q133</f>
        <v>910.2200846276744</v>
      </c>
      <c r="R134" s="612">
        <f>R131+R133</f>
        <v>1016.6537412755199</v>
      </c>
      <c r="S134" s="612">
        <f>S131+S133</f>
        <v>1056.3948520308656</v>
      </c>
      <c r="T134" s="612">
        <f>T131+T133</f>
        <v>1096.8470922265394</v>
      </c>
      <c r="U134" s="612"/>
      <c r="V134" s="3"/>
      <c r="W134" s="3"/>
      <c r="X134" s="3"/>
      <c r="Y134" s="3"/>
      <c r="Z134" s="3"/>
      <c r="AA134" s="3"/>
      <c r="AB134" s="3"/>
      <c r="AC134" s="3"/>
    </row>
    <row r="135" spans="1:29">
      <c r="A135" s="4"/>
      <c r="B135" s="3"/>
      <c r="C135" s="73"/>
      <c r="D135" s="73"/>
      <c r="E135" s="73"/>
      <c r="F135" s="73"/>
      <c r="G135" s="73"/>
      <c r="H135" s="73"/>
      <c r="I135" s="73"/>
      <c r="J135" s="73"/>
      <c r="K135" s="73"/>
      <c r="L135" s="73"/>
      <c r="M135" s="73"/>
      <c r="V135" s="3"/>
      <c r="W135" s="3"/>
      <c r="X135" s="3"/>
      <c r="Y135" s="3"/>
      <c r="Z135" s="3"/>
      <c r="AA135" s="3"/>
      <c r="AB135" s="3"/>
      <c r="AC135" s="3"/>
    </row>
    <row r="136" spans="1:29">
      <c r="A136" s="4" t="s">
        <v>268</v>
      </c>
      <c r="B136" s="3"/>
      <c r="C136" s="73">
        <f t="shared" ref="C136:J136" si="120">C18</f>
        <v>152.50399999999999</v>
      </c>
      <c r="D136" s="73">
        <f t="shared" si="120"/>
        <v>216.07</v>
      </c>
      <c r="E136" s="73">
        <f t="shared" si="120"/>
        <v>283.32600000000002</v>
      </c>
      <c r="F136" s="73">
        <f t="shared" si="120"/>
        <v>398.14100000000002</v>
      </c>
      <c r="G136" s="73">
        <f>G18</f>
        <v>474.39699999999999</v>
      </c>
      <c r="H136" s="73">
        <f t="shared" si="120"/>
        <v>381.22699999999998</v>
      </c>
      <c r="I136" s="73">
        <f t="shared" si="120"/>
        <v>416.988</v>
      </c>
      <c r="J136" s="73">
        <f t="shared" si="120"/>
        <v>446.09700000000004</v>
      </c>
      <c r="K136" s="73">
        <f>K18</f>
        <v>505.96199999999999</v>
      </c>
      <c r="L136" s="73">
        <f>L18</f>
        <v>506.74</v>
      </c>
      <c r="M136" s="73">
        <f t="shared" ref="M136:S136" si="121">M134*M159</f>
        <v>384.14499999999981</v>
      </c>
      <c r="N136" s="73">
        <f t="shared" si="121"/>
        <v>250.89999999999998</v>
      </c>
      <c r="O136" s="73">
        <f t="shared" si="121"/>
        <v>197.99999999999997</v>
      </c>
      <c r="P136" s="73">
        <f t="shared" si="121"/>
        <v>184.5</v>
      </c>
      <c r="Q136" s="73">
        <f t="shared" si="121"/>
        <v>182.33581607925814</v>
      </c>
      <c r="R136" s="73">
        <f t="shared" si="121"/>
        <v>218.58055437423678</v>
      </c>
      <c r="S136" s="73">
        <f t="shared" si="121"/>
        <v>227.12489318663611</v>
      </c>
      <c r="T136" s="73">
        <f>T134*T159</f>
        <v>235.82212482870597</v>
      </c>
      <c r="U136" s="73"/>
      <c r="V136" s="3"/>
      <c r="W136" s="3"/>
      <c r="X136" s="3"/>
      <c r="Y136" s="3"/>
      <c r="Z136" s="3"/>
      <c r="AA136" s="3"/>
      <c r="AB136" s="3"/>
      <c r="AC136" s="3"/>
    </row>
    <row r="137" spans="1:29">
      <c r="A137" s="4" t="s">
        <v>7</v>
      </c>
      <c r="B137" s="4"/>
      <c r="C137" s="16">
        <f t="shared" ref="C137:P137" si="122">C19</f>
        <v>18.042999999999999</v>
      </c>
      <c r="D137" s="16">
        <f t="shared" si="122"/>
        <v>13.640999999999998</v>
      </c>
      <c r="E137" s="16">
        <f t="shared" si="122"/>
        <v>0</v>
      </c>
      <c r="F137" s="16">
        <f t="shared" si="122"/>
        <v>0</v>
      </c>
      <c r="G137" s="16">
        <f t="shared" si="122"/>
        <v>0</v>
      </c>
      <c r="H137" s="16">
        <f t="shared" si="122"/>
        <v>0</v>
      </c>
      <c r="I137" s="16">
        <f t="shared" si="122"/>
        <v>0</v>
      </c>
      <c r="J137" s="16">
        <f t="shared" si="122"/>
        <v>0</v>
      </c>
      <c r="K137" s="16">
        <f>K19</f>
        <v>0</v>
      </c>
      <c r="L137" s="16">
        <f>L19</f>
        <v>0</v>
      </c>
      <c r="M137" s="16">
        <f t="shared" si="122"/>
        <v>0</v>
      </c>
      <c r="N137" s="16">
        <f t="shared" si="122"/>
        <v>0</v>
      </c>
      <c r="O137" s="16">
        <f t="shared" si="122"/>
        <v>0</v>
      </c>
      <c r="P137" s="16">
        <f t="shared" si="122"/>
        <v>0</v>
      </c>
      <c r="Q137" s="16">
        <f>Q19</f>
        <v>0</v>
      </c>
      <c r="R137" s="16">
        <f>R19</f>
        <v>0</v>
      </c>
      <c r="S137" s="16">
        <f>S19</f>
        <v>0</v>
      </c>
      <c r="T137" s="16">
        <f>T19</f>
        <v>0</v>
      </c>
      <c r="U137" s="16"/>
      <c r="V137" s="3"/>
      <c r="W137" s="3"/>
      <c r="X137" s="3"/>
      <c r="Y137" s="3"/>
      <c r="Z137" s="3"/>
      <c r="AA137" s="3"/>
      <c r="AB137" s="3"/>
      <c r="AC137" s="3"/>
    </row>
    <row r="138" spans="1:29">
      <c r="A138" s="4"/>
      <c r="B138" s="3"/>
      <c r="C138" s="73"/>
      <c r="D138" s="73"/>
      <c r="E138" s="73"/>
      <c r="F138" s="73"/>
      <c r="G138" s="73"/>
      <c r="H138" s="73"/>
      <c r="I138" s="73"/>
      <c r="J138" s="73"/>
      <c r="K138" s="73"/>
      <c r="L138" s="73"/>
      <c r="M138" s="73"/>
      <c r="V138" s="3"/>
      <c r="W138" s="3"/>
      <c r="X138" s="3"/>
      <c r="Y138" s="3"/>
      <c r="Z138" s="3"/>
      <c r="AA138" s="3"/>
      <c r="AB138" s="3"/>
      <c r="AC138" s="3"/>
    </row>
    <row r="139" spans="1:29">
      <c r="A139" s="4" t="s">
        <v>28</v>
      </c>
      <c r="B139" s="3"/>
      <c r="C139" s="612">
        <f>C134-C136-C137</f>
        <v>237.94899999999976</v>
      </c>
      <c r="D139" s="612">
        <f t="shared" ref="D139:P139" si="123">D134-D136-D137</f>
        <v>358.61200000000008</v>
      </c>
      <c r="E139" s="612">
        <f t="shared" si="123"/>
        <v>464.04399999999987</v>
      </c>
      <c r="F139" s="612">
        <f t="shared" si="123"/>
        <v>636.52899999999954</v>
      </c>
      <c r="G139" s="612">
        <f t="shared" si="123"/>
        <v>742.00200000000018</v>
      </c>
      <c r="H139" s="612">
        <f t="shared" si="123"/>
        <v>622.24199999999962</v>
      </c>
      <c r="I139" s="612">
        <f t="shared" si="123"/>
        <v>734.93999999999983</v>
      </c>
      <c r="J139" s="612">
        <f t="shared" si="123"/>
        <v>880.80000000000041</v>
      </c>
      <c r="K139" s="612">
        <f>K134-K136-K137</f>
        <v>1038.9099999999996</v>
      </c>
      <c r="L139" s="612">
        <f>L134-L136-L137</f>
        <v>1066.9879999999994</v>
      </c>
      <c r="M139" s="612">
        <f t="shared" si="123"/>
        <v>869.61700000000087</v>
      </c>
      <c r="N139" s="612">
        <f t="shared" si="123"/>
        <v>531.20000000000005</v>
      </c>
      <c r="O139" s="612">
        <f t="shared" si="123"/>
        <v>551.69999999999902</v>
      </c>
      <c r="P139" s="612">
        <f t="shared" si="123"/>
        <v>609.22000000000082</v>
      </c>
      <c r="Q139" s="612">
        <f>Q134-Q136-Q137</f>
        <v>727.88426854841623</v>
      </c>
      <c r="R139" s="612">
        <f>R134-R136-R137</f>
        <v>798.07318690128318</v>
      </c>
      <c r="S139" s="612">
        <f>S134-S136-S137</f>
        <v>829.26995884422956</v>
      </c>
      <c r="T139" s="612">
        <f>T134-T136-T137</f>
        <v>861.02496739783351</v>
      </c>
      <c r="U139" s="612"/>
      <c r="V139" s="3"/>
      <c r="W139" s="3"/>
      <c r="X139" s="3"/>
      <c r="Y139" s="3"/>
      <c r="Z139" s="3"/>
      <c r="AA139" s="3"/>
      <c r="AB139" s="3"/>
      <c r="AC139" s="3"/>
    </row>
    <row r="140" spans="1:29">
      <c r="A140" s="4"/>
      <c r="B140" s="3"/>
      <c r="V140" s="3"/>
      <c r="W140" s="3"/>
      <c r="X140" s="3"/>
      <c r="Y140" s="3"/>
      <c r="Z140" s="3"/>
      <c r="AA140" s="3"/>
      <c r="AB140" s="3"/>
      <c r="AC140" s="3"/>
    </row>
    <row r="141" spans="1:29">
      <c r="A141" s="116" t="s">
        <v>29</v>
      </c>
      <c r="B141" s="3"/>
      <c r="C141" s="607">
        <f t="shared" ref="C141:P141" si="124">C139/C142</f>
        <v>0.61715487682786963</v>
      </c>
      <c r="D141" s="607">
        <f t="shared" si="124"/>
        <v>0.91906784113421403</v>
      </c>
      <c r="E141" s="607">
        <f t="shared" si="124"/>
        <v>1.1944658232409679</v>
      </c>
      <c r="F141" s="607">
        <f t="shared" si="124"/>
        <v>1.6868129829656864</v>
      </c>
      <c r="G141" s="607">
        <f t="shared" si="124"/>
        <v>2.0592176104259412</v>
      </c>
      <c r="H141" s="607">
        <f t="shared" si="124"/>
        <v>1.9130338539865237</v>
      </c>
      <c r="I141" s="607">
        <f t="shared" si="124"/>
        <v>2.3256950954680842</v>
      </c>
      <c r="J141" s="607">
        <f t="shared" si="124"/>
        <v>2.9207972503121264</v>
      </c>
      <c r="K141" s="607">
        <f>K139/K142</f>
        <v>3.5311522019355026</v>
      </c>
      <c r="L141" s="607">
        <f>L139/L142</f>
        <v>3.7285729137272932</v>
      </c>
      <c r="M141" s="607">
        <f t="shared" si="124"/>
        <v>3.1024371100735402</v>
      </c>
      <c r="N141" s="607">
        <f t="shared" si="124"/>
        <v>1.9163059163059166</v>
      </c>
      <c r="O141" s="607">
        <f t="shared" si="124"/>
        <v>1.9752953813104153</v>
      </c>
      <c r="P141" s="607">
        <f t="shared" si="124"/>
        <v>2.1542432814710071</v>
      </c>
      <c r="Q141" s="607">
        <f>Q139/Q142</f>
        <v>2.5171683804568308</v>
      </c>
      <c r="R141" s="607">
        <f>R139/R142</f>
        <v>2.7503842267960255</v>
      </c>
      <c r="S141" s="607">
        <f>S139/S142</f>
        <v>2.8480817708051429</v>
      </c>
      <c r="T141" s="607">
        <f>T139/T142</f>
        <v>2.9470212087233945</v>
      </c>
      <c r="U141" s="1361"/>
      <c r="V141" s="3"/>
      <c r="W141" s="3"/>
      <c r="X141" s="3"/>
      <c r="Y141" s="3"/>
      <c r="Z141" s="3"/>
      <c r="AA141" s="3"/>
      <c r="AB141" s="3"/>
      <c r="AC141" s="3"/>
    </row>
    <row r="142" spans="1:29">
      <c r="A142" s="4" t="s">
        <v>30</v>
      </c>
      <c r="B142" s="3"/>
      <c r="C142" s="73">
        <f t="shared" ref="C142:J142" si="125">C24</f>
        <v>385.55799999999999</v>
      </c>
      <c r="D142" s="73">
        <f t="shared" si="125"/>
        <v>390.19099999999997</v>
      </c>
      <c r="E142" s="73">
        <f t="shared" si="125"/>
        <v>388.495</v>
      </c>
      <c r="F142" s="73">
        <f t="shared" si="125"/>
        <v>377.35599999999999</v>
      </c>
      <c r="G142" s="73">
        <f>G24</f>
        <v>360.33199999999999</v>
      </c>
      <c r="H142" s="73">
        <f t="shared" si="125"/>
        <v>325.2645</v>
      </c>
      <c r="I142" s="73">
        <f t="shared" si="125"/>
        <v>316.00874999999996</v>
      </c>
      <c r="J142" s="73">
        <f t="shared" si="125"/>
        <v>301.56150000000002</v>
      </c>
      <c r="K142" s="73">
        <f>K24</f>
        <v>294.21275000000003</v>
      </c>
      <c r="L142" s="73">
        <f>L24</f>
        <v>286.16525000000001</v>
      </c>
      <c r="M142" s="533">
        <f t="shared" ref="M142:S142" si="126">INDEX(M143:M145,MATCH($AA$147,$AC$147:$AC$149,0))</f>
        <v>280.30124999999998</v>
      </c>
      <c r="N142" s="533">
        <f t="shared" si="126"/>
        <v>277.2</v>
      </c>
      <c r="O142" s="533">
        <f t="shared" si="126"/>
        <v>279.3</v>
      </c>
      <c r="P142" s="533">
        <f t="shared" si="126"/>
        <v>282.8</v>
      </c>
      <c r="Q142" s="533">
        <f t="shared" si="126"/>
        <v>289.16788968098967</v>
      </c>
      <c r="R142" s="533">
        <f t="shared" si="126"/>
        <v>290.16788968098967</v>
      </c>
      <c r="S142" s="533">
        <f t="shared" si="126"/>
        <v>291.16788968098967</v>
      </c>
      <c r="T142" s="533">
        <f>INDEX(T143:T145,MATCH($AA$147,$AC$147:$AC$149,0))</f>
        <v>292.16788968098967</v>
      </c>
      <c r="U142" s="533"/>
      <c r="V142" s="3"/>
      <c r="W142" s="3"/>
      <c r="X142" s="3"/>
      <c r="Y142" s="3"/>
      <c r="Z142" s="3"/>
      <c r="AA142" s="3"/>
      <c r="AB142" s="3"/>
      <c r="AC142" s="3"/>
    </row>
    <row r="143" spans="1:29" hidden="1" outlineLevel="1">
      <c r="A143" s="657" t="s">
        <v>116</v>
      </c>
      <c r="B143" s="3"/>
      <c r="C143" s="73"/>
      <c r="D143" s="73"/>
      <c r="E143" s="73"/>
      <c r="F143" s="73"/>
      <c r="G143" s="73"/>
      <c r="H143" s="73"/>
      <c r="I143" s="73"/>
      <c r="J143" s="73"/>
      <c r="K143" s="73"/>
      <c r="L143" s="73"/>
      <c r="M143" s="533">
        <f t="shared" ref="M143:S143" si="127">M63</f>
        <v>280.30124999999998</v>
      </c>
      <c r="N143" s="533">
        <f t="shared" si="127"/>
        <v>277.2</v>
      </c>
      <c r="O143" s="533">
        <f t="shared" si="127"/>
        <v>279.3</v>
      </c>
      <c r="P143" s="533">
        <f t="shared" si="127"/>
        <v>282.8</v>
      </c>
      <c r="Q143" s="533">
        <f t="shared" si="127"/>
        <v>287.36266614913234</v>
      </c>
      <c r="R143" s="533">
        <f t="shared" si="127"/>
        <v>287.6524667606709</v>
      </c>
      <c r="S143" s="533">
        <f t="shared" si="127"/>
        <v>287.48106202557199</v>
      </c>
      <c r="T143" s="533">
        <f>T63</f>
        <v>287.33541341731882</v>
      </c>
      <c r="U143" s="533"/>
      <c r="V143" s="3"/>
      <c r="W143" s="3"/>
      <c r="X143" s="3"/>
      <c r="Y143" s="3"/>
      <c r="Z143" s="3"/>
      <c r="AA143" s="3"/>
      <c r="AB143" s="3"/>
      <c r="AC143" s="3"/>
    </row>
    <row r="144" spans="1:29" hidden="1" outlineLevel="1">
      <c r="A144" s="657" t="s">
        <v>57</v>
      </c>
      <c r="B144" s="3"/>
      <c r="C144" s="73"/>
      <c r="D144" s="73"/>
      <c r="E144" s="73"/>
      <c r="F144" s="73"/>
      <c r="G144" s="73"/>
      <c r="H144" s="73"/>
      <c r="I144" s="73"/>
      <c r="J144" s="73"/>
      <c r="K144" s="73"/>
      <c r="L144" s="73"/>
      <c r="M144" s="533">
        <f t="shared" ref="M144:S144" si="128">M24</f>
        <v>280.30124999999998</v>
      </c>
      <c r="N144" s="533">
        <f t="shared" si="128"/>
        <v>277.2</v>
      </c>
      <c r="O144" s="533">
        <f t="shared" si="128"/>
        <v>279.3</v>
      </c>
      <c r="P144" s="533">
        <f t="shared" si="128"/>
        <v>282.8</v>
      </c>
      <c r="Q144" s="533">
        <f t="shared" si="128"/>
        <v>289.16788968098967</v>
      </c>
      <c r="R144" s="533">
        <f t="shared" si="128"/>
        <v>290.16788968098967</v>
      </c>
      <c r="S144" s="533">
        <f t="shared" si="128"/>
        <v>291.16788968098967</v>
      </c>
      <c r="T144" s="533">
        <f>T24</f>
        <v>292.16788968098967</v>
      </c>
      <c r="U144" s="533"/>
      <c r="V144" s="3"/>
      <c r="W144" s="3"/>
      <c r="X144" s="3"/>
      <c r="Y144" s="3"/>
      <c r="Z144" s="3"/>
      <c r="AA144" s="3"/>
      <c r="AB144" s="3"/>
      <c r="AC144" s="3"/>
    </row>
    <row r="145" spans="1:29" hidden="1" outlineLevel="1">
      <c r="A145" s="657" t="s">
        <v>117</v>
      </c>
      <c r="B145" s="3"/>
      <c r="C145" s="73"/>
      <c r="D145" s="73"/>
      <c r="E145" s="73"/>
      <c r="F145" s="73"/>
      <c r="G145" s="73"/>
      <c r="H145" s="73"/>
      <c r="I145" s="73"/>
      <c r="J145" s="73"/>
      <c r="K145" s="73"/>
      <c r="L145" s="73"/>
      <c r="M145" s="533">
        <f t="shared" ref="M145:S145" si="129">M103</f>
        <v>280.30124999999998</v>
      </c>
      <c r="N145" s="533">
        <f t="shared" si="129"/>
        <v>277.2</v>
      </c>
      <c r="O145" s="533">
        <f t="shared" si="129"/>
        <v>279.3</v>
      </c>
      <c r="P145" s="533">
        <f t="shared" si="129"/>
        <v>282.8</v>
      </c>
      <c r="Q145" s="533">
        <f t="shared" si="129"/>
        <v>289.21278374213938</v>
      </c>
      <c r="R145" s="533">
        <f t="shared" si="129"/>
        <v>291.54665408205938</v>
      </c>
      <c r="S145" s="533">
        <f t="shared" si="129"/>
        <v>292.46676509203195</v>
      </c>
      <c r="T145" s="533">
        <f>T103</f>
        <v>293.36919106313599</v>
      </c>
      <c r="U145" s="533"/>
      <c r="V145" s="3"/>
      <c r="W145" s="3"/>
      <c r="X145" s="3"/>
      <c r="Y145" s="3"/>
      <c r="Z145" s="3"/>
      <c r="AA145" s="3"/>
      <c r="AB145" s="3"/>
      <c r="AC145" s="3"/>
    </row>
    <row r="146" spans="1:29" ht="13.5" collapsed="1" thickBot="1">
      <c r="A146" s="4"/>
      <c r="B146" s="3"/>
      <c r="M146" s="535"/>
      <c r="N146" s="535"/>
      <c r="O146" s="535"/>
      <c r="P146" s="535"/>
      <c r="Q146" s="535"/>
      <c r="R146" s="535"/>
      <c r="S146" s="535"/>
      <c r="T146" s="535"/>
      <c r="U146" s="535"/>
      <c r="V146" s="3"/>
      <c r="W146" s="3"/>
      <c r="X146" s="3"/>
      <c r="Y146" s="3"/>
      <c r="Z146" s="3"/>
      <c r="AA146" s="3"/>
      <c r="AB146" s="3"/>
      <c r="AC146" s="3"/>
    </row>
    <row r="147" spans="1:29" ht="13.5" thickBot="1">
      <c r="A147" s="4" t="s">
        <v>44</v>
      </c>
      <c r="B147" s="3"/>
      <c r="C147" s="612">
        <f>C130+C131</f>
        <v>445.40399999999977</v>
      </c>
      <c r="D147" s="612">
        <f>D130+D131</f>
        <v>622.96300000000008</v>
      </c>
      <c r="E147" s="612">
        <f>E130+E131</f>
        <v>779.86199999999985</v>
      </c>
      <c r="F147" s="612">
        <f>F130+F131</f>
        <v>1074.2289999999998</v>
      </c>
      <c r="G147" s="612">
        <f t="shared" ref="G147:P147" si="130">G130+G131</f>
        <v>1279.933</v>
      </c>
      <c r="H147" s="612">
        <f>H130+H131</f>
        <v>1123.3269999999995</v>
      </c>
      <c r="I147" s="612">
        <f>I130+I131</f>
        <v>1276.9149999999997</v>
      </c>
      <c r="J147" s="612">
        <f>J130+J131</f>
        <v>1455.7080000000003</v>
      </c>
      <c r="K147" s="612">
        <f>K130+K131</f>
        <v>1684.1069999999995</v>
      </c>
      <c r="L147" s="612">
        <f>L130+L131</f>
        <v>1740.7299999999996</v>
      </c>
      <c r="M147" s="663">
        <f t="shared" si="130"/>
        <v>1440.9410000000007</v>
      </c>
      <c r="N147" s="663">
        <f t="shared" si="130"/>
        <v>980.3</v>
      </c>
      <c r="O147" s="663">
        <f t="shared" si="130"/>
        <v>987.19999999999902</v>
      </c>
      <c r="P147" s="663">
        <f t="shared" si="130"/>
        <v>1026.2200000000007</v>
      </c>
      <c r="Q147" s="663">
        <f>Q130+Q131</f>
        <v>1265.4147977539913</v>
      </c>
      <c r="R147" s="663">
        <f>R130+R131</f>
        <v>1347.6930321196096</v>
      </c>
      <c r="S147" s="663">
        <f>S130+S131</f>
        <v>1395.6510427570615</v>
      </c>
      <c r="T147" s="663">
        <f>T130+T131</f>
        <v>1444.5403141518987</v>
      </c>
      <c r="U147" s="663"/>
      <c r="V147" s="3"/>
      <c r="W147" s="3"/>
      <c r="X147" s="3"/>
      <c r="Y147" s="3"/>
      <c r="Z147" s="658" t="s">
        <v>58</v>
      </c>
      <c r="AA147" s="659" t="str">
        <f>AC148</f>
        <v>Base</v>
      </c>
      <c r="AB147" s="3"/>
      <c r="AC147" s="660" t="s">
        <v>116</v>
      </c>
    </row>
    <row r="148" spans="1:29">
      <c r="A148" s="4"/>
      <c r="B148" s="3"/>
      <c r="M148" s="535"/>
      <c r="N148" s="535"/>
      <c r="O148" s="535"/>
      <c r="P148" s="535"/>
      <c r="Q148" s="535"/>
      <c r="R148" s="535"/>
      <c r="S148" s="535"/>
      <c r="T148" s="535"/>
      <c r="U148" s="535"/>
      <c r="V148" s="3"/>
      <c r="W148" s="3"/>
      <c r="X148" s="3"/>
      <c r="Y148" s="3"/>
      <c r="Z148" s="3"/>
      <c r="AA148" s="3"/>
      <c r="AB148" s="3"/>
      <c r="AC148" s="660" t="s">
        <v>57</v>
      </c>
    </row>
    <row r="149" spans="1:29">
      <c r="A149" s="8" t="s">
        <v>96</v>
      </c>
      <c r="B149" s="3"/>
      <c r="M149" s="535"/>
      <c r="N149" s="535"/>
      <c r="O149" s="535"/>
      <c r="P149" s="535"/>
      <c r="Q149" s="535"/>
      <c r="R149" s="535"/>
      <c r="S149" s="535"/>
      <c r="T149" s="535"/>
      <c r="U149" s="535"/>
      <c r="V149" s="3"/>
      <c r="W149" s="3"/>
      <c r="X149" s="3"/>
      <c r="Y149" s="3"/>
      <c r="Z149" s="3"/>
      <c r="AA149" s="3"/>
      <c r="AB149" s="3"/>
      <c r="AC149" s="661" t="s">
        <v>117</v>
      </c>
    </row>
    <row r="150" spans="1:29">
      <c r="A150" s="4" t="s">
        <v>47</v>
      </c>
      <c r="B150" s="3"/>
      <c r="C150" s="50">
        <f t="shared" ref="C150:J150" si="131">C128/C124</f>
        <v>0.74943418620458913</v>
      </c>
      <c r="D150" s="50">
        <f t="shared" si="131"/>
        <v>0.76634317943573027</v>
      </c>
      <c r="E150" s="50">
        <f t="shared" si="131"/>
        <v>0.77717310921231531</v>
      </c>
      <c r="F150" s="50">
        <f t="shared" si="131"/>
        <v>0.77436175001607677</v>
      </c>
      <c r="G150" s="50">
        <f t="shared" si="131"/>
        <v>0.75677047948019927</v>
      </c>
      <c r="H150" s="50">
        <f t="shared" si="131"/>
        <v>0.71897013064360948</v>
      </c>
      <c r="I150" s="50">
        <f t="shared" si="131"/>
        <v>0.73003235359664886</v>
      </c>
      <c r="J150" s="50">
        <f t="shared" si="131"/>
        <v>0.72707368293476482</v>
      </c>
      <c r="K150" s="50">
        <f>K128/K124</f>
        <v>0.72768150689245414</v>
      </c>
      <c r="L150" s="50">
        <f>L128/L124</f>
        <v>0.72958885918126481</v>
      </c>
      <c r="M150" s="306">
        <f t="shared" ref="M150:S150" si="132">INDEX(M151:M153,MATCH($AA$147,$AC$147:$AC$149,0))</f>
        <v>0.7030786733707487</v>
      </c>
      <c r="N150" s="306">
        <f t="shared" si="132"/>
        <v>0.69622578490313958</v>
      </c>
      <c r="O150" s="306">
        <f t="shared" si="132"/>
        <v>0.67954940113094964</v>
      </c>
      <c r="P150" s="306">
        <f t="shared" si="132"/>
        <v>0.68712430096027455</v>
      </c>
      <c r="Q150" s="306">
        <f t="shared" si="132"/>
        <v>0.67355116324138897</v>
      </c>
      <c r="R150" s="306">
        <f t="shared" si="132"/>
        <v>0.6724</v>
      </c>
      <c r="S150" s="306">
        <f t="shared" si="132"/>
        <v>0.67390000000000005</v>
      </c>
      <c r="T150" s="306">
        <f>INDEX(T151:T153,MATCH($AA$147,$AC$147:$AC$149,0))</f>
        <v>0.67470000000000008</v>
      </c>
      <c r="U150" s="306"/>
      <c r="V150" s="3"/>
      <c r="W150" s="3"/>
      <c r="X150" s="3"/>
      <c r="Y150" s="3"/>
      <c r="Z150" s="3"/>
      <c r="AA150" s="3"/>
      <c r="AB150" s="3"/>
      <c r="AC150" s="3"/>
    </row>
    <row r="151" spans="1:29" hidden="1" outlineLevel="1">
      <c r="A151" s="657" t="s">
        <v>116</v>
      </c>
      <c r="B151" s="3"/>
      <c r="C151" s="50"/>
      <c r="D151" s="50"/>
      <c r="E151" s="50"/>
      <c r="F151" s="50"/>
      <c r="G151" s="50"/>
      <c r="H151" s="50"/>
      <c r="I151" s="50"/>
      <c r="J151" s="50"/>
      <c r="K151" s="50"/>
      <c r="L151" s="50"/>
      <c r="M151" s="306">
        <f t="shared" ref="M151:S151" si="133">M68</f>
        <v>0.7030786733707487</v>
      </c>
      <c r="N151" s="306">
        <f t="shared" si="133"/>
        <v>0.69622578490313958</v>
      </c>
      <c r="O151" s="306">
        <f t="shared" si="133"/>
        <v>0.67954940113094964</v>
      </c>
      <c r="P151" s="306">
        <f t="shared" si="133"/>
        <v>0.68712430096027455</v>
      </c>
      <c r="Q151" s="306">
        <f t="shared" si="133"/>
        <v>0.67855116324138898</v>
      </c>
      <c r="R151" s="306">
        <f t="shared" si="133"/>
        <v>0.68240000000000001</v>
      </c>
      <c r="S151" s="306">
        <f t="shared" si="133"/>
        <v>0.68390000000000006</v>
      </c>
      <c r="T151" s="306">
        <f>T68</f>
        <v>0.68470000000000009</v>
      </c>
      <c r="U151" s="306"/>
      <c r="V151" s="3"/>
      <c r="W151" s="3"/>
      <c r="X151" s="3"/>
      <c r="Y151" s="3"/>
      <c r="Z151" s="3"/>
      <c r="AA151" s="3"/>
      <c r="AB151" s="3"/>
      <c r="AC151" s="3"/>
    </row>
    <row r="152" spans="1:29" hidden="1" outlineLevel="1">
      <c r="A152" s="657" t="s">
        <v>57</v>
      </c>
      <c r="B152" s="3"/>
      <c r="C152" s="50"/>
      <c r="D152" s="50"/>
      <c r="E152" s="50"/>
      <c r="F152" s="50"/>
      <c r="G152" s="50"/>
      <c r="H152" s="50"/>
      <c r="I152" s="50"/>
      <c r="J152" s="50"/>
      <c r="K152" s="50"/>
      <c r="L152" s="50"/>
      <c r="M152" s="306">
        <f t="shared" ref="M152:S152" si="134">M29</f>
        <v>0.7030786733707487</v>
      </c>
      <c r="N152" s="306">
        <f t="shared" si="134"/>
        <v>0.69622578490313958</v>
      </c>
      <c r="O152" s="306">
        <f t="shared" si="134"/>
        <v>0.67954940113094964</v>
      </c>
      <c r="P152" s="306">
        <f t="shared" si="134"/>
        <v>0.68712430096027455</v>
      </c>
      <c r="Q152" s="306">
        <f t="shared" si="134"/>
        <v>0.67355116324138897</v>
      </c>
      <c r="R152" s="306">
        <f t="shared" si="134"/>
        <v>0.6724</v>
      </c>
      <c r="S152" s="306">
        <f t="shared" si="134"/>
        <v>0.67390000000000005</v>
      </c>
      <c r="T152" s="306">
        <f>T29</f>
        <v>0.67470000000000008</v>
      </c>
      <c r="U152" s="306"/>
      <c r="V152" s="3"/>
      <c r="W152" s="3"/>
      <c r="X152" s="3"/>
      <c r="Y152" s="3"/>
      <c r="Z152" s="3"/>
      <c r="AA152" s="3"/>
      <c r="AB152" s="3"/>
      <c r="AC152" s="3"/>
    </row>
    <row r="153" spans="1:29" hidden="1" outlineLevel="1">
      <c r="A153" s="657" t="s">
        <v>117</v>
      </c>
      <c r="B153" s="3"/>
      <c r="C153" s="50"/>
      <c r="D153" s="50"/>
      <c r="E153" s="50"/>
      <c r="F153" s="50"/>
      <c r="G153" s="50"/>
      <c r="H153" s="50"/>
      <c r="I153" s="50"/>
      <c r="J153" s="50"/>
      <c r="K153" s="50"/>
      <c r="L153" s="50"/>
      <c r="M153" s="306">
        <f t="shared" ref="M153:S153" si="135">M108</f>
        <v>0.7030786733707487</v>
      </c>
      <c r="N153" s="306">
        <f t="shared" si="135"/>
        <v>0.69622578490313958</v>
      </c>
      <c r="O153" s="306">
        <f t="shared" si="135"/>
        <v>0.67954940113094964</v>
      </c>
      <c r="P153" s="306">
        <f t="shared" si="135"/>
        <v>0.68712430096027455</v>
      </c>
      <c r="Q153" s="306">
        <f t="shared" si="135"/>
        <v>0.66105116324138902</v>
      </c>
      <c r="R153" s="306">
        <f t="shared" si="135"/>
        <v>0.65239999999999998</v>
      </c>
      <c r="S153" s="306">
        <f t="shared" si="135"/>
        <v>0.65239999999999998</v>
      </c>
      <c r="T153" s="306">
        <f>T108</f>
        <v>0.65239999999999998</v>
      </c>
      <c r="U153" s="306"/>
      <c r="V153" s="3"/>
      <c r="W153" s="3"/>
      <c r="X153" s="3"/>
      <c r="Y153" s="3"/>
      <c r="Z153" s="3"/>
      <c r="AA153" s="3"/>
      <c r="AB153" s="3"/>
      <c r="AC153" s="3"/>
    </row>
    <row r="154" spans="1:29" collapsed="1">
      <c r="A154" s="4" t="s">
        <v>98</v>
      </c>
      <c r="B154" s="3"/>
      <c r="C154" s="50">
        <f t="shared" ref="C154:J154" si="136">C129/C124</f>
        <v>0.4426427553882884</v>
      </c>
      <c r="D154" s="50">
        <f t="shared" si="136"/>
        <v>0.43159382211300945</v>
      </c>
      <c r="E154" s="50">
        <f t="shared" si="136"/>
        <v>0.42596178745815305</v>
      </c>
      <c r="F154" s="50">
        <f t="shared" si="136"/>
        <v>0.39410769023478293</v>
      </c>
      <c r="G154" s="50">
        <f t="shared" si="136"/>
        <v>0.38603200433104445</v>
      </c>
      <c r="H154" s="50">
        <f t="shared" si="136"/>
        <v>0.40932056903210312</v>
      </c>
      <c r="I154" s="50">
        <f t="shared" si="136"/>
        <v>0.41121665267782004</v>
      </c>
      <c r="J154" s="50">
        <f t="shared" si="136"/>
        <v>0.40710259715806663</v>
      </c>
      <c r="K154" s="50">
        <f>K129/K124</f>
        <v>0.4020171398099589</v>
      </c>
      <c r="L154" s="50">
        <f>L129/L124</f>
        <v>0.4187274278429835</v>
      </c>
      <c r="M154" s="306">
        <f t="shared" ref="M154:S154" si="137">INDEX(M155:M157,MATCH($AA$147,$AC$147:$AC$149,0))</f>
        <v>0.44267040293153076</v>
      </c>
      <c r="N154" s="306">
        <f t="shared" si="137"/>
        <v>0.50811146101727267</v>
      </c>
      <c r="O154" s="306">
        <f t="shared" si="137"/>
        <v>0.50665657420187915</v>
      </c>
      <c r="P154" s="306">
        <f t="shared" si="137"/>
        <v>0.50607134104226537</v>
      </c>
      <c r="Q154" s="306">
        <f t="shared" si="137"/>
        <v>0.50412266078012358</v>
      </c>
      <c r="R154" s="306">
        <f t="shared" si="137"/>
        <v>0.496</v>
      </c>
      <c r="S154" s="306">
        <f t="shared" si="137"/>
        <v>0.49600000000000005</v>
      </c>
      <c r="T154" s="306">
        <f>INDEX(T155:T157,MATCH($AA$147,$AC$147:$AC$149,0))</f>
        <v>0.49540000000000001</v>
      </c>
      <c r="U154" s="306"/>
      <c r="V154" s="3"/>
      <c r="W154" s="3"/>
      <c r="X154" s="3"/>
      <c r="Y154" s="3"/>
      <c r="Z154" s="3"/>
      <c r="AA154" s="3"/>
      <c r="AB154" s="3"/>
      <c r="AC154" s="3"/>
    </row>
    <row r="155" spans="1:29" hidden="1" outlineLevel="1">
      <c r="A155" s="657" t="s">
        <v>116</v>
      </c>
      <c r="B155" s="3"/>
      <c r="C155" s="50"/>
      <c r="D155" s="50"/>
      <c r="E155" s="50"/>
      <c r="F155" s="50"/>
      <c r="G155" s="50"/>
      <c r="H155" s="50"/>
      <c r="I155" s="50"/>
      <c r="J155" s="50"/>
      <c r="K155" s="50"/>
      <c r="L155" s="50"/>
      <c r="M155" s="306">
        <f t="shared" ref="M155:S155" si="138">M69</f>
        <v>0.44267040293153076</v>
      </c>
      <c r="N155" s="306">
        <f t="shared" si="138"/>
        <v>0.50811146101727267</v>
      </c>
      <c r="O155" s="306">
        <f t="shared" si="138"/>
        <v>0.50665657420187915</v>
      </c>
      <c r="P155" s="306">
        <f t="shared" si="138"/>
        <v>0.50607134104226537</v>
      </c>
      <c r="Q155" s="306">
        <f t="shared" si="138"/>
        <v>0.49157134104226535</v>
      </c>
      <c r="R155" s="306">
        <f t="shared" si="138"/>
        <v>0.48107134104226534</v>
      </c>
      <c r="S155" s="306">
        <f t="shared" si="138"/>
        <v>0.47107134104226533</v>
      </c>
      <c r="T155" s="306">
        <f>T69</f>
        <v>0.46207134104226533</v>
      </c>
      <c r="U155" s="306"/>
      <c r="V155" s="3"/>
      <c r="W155" s="3"/>
      <c r="X155" s="3"/>
      <c r="Y155" s="3"/>
      <c r="Z155" s="3"/>
      <c r="AA155" s="3"/>
      <c r="AB155" s="3"/>
      <c r="AC155" s="3"/>
    </row>
    <row r="156" spans="1:29" hidden="1" outlineLevel="1">
      <c r="A156" s="657" t="s">
        <v>57</v>
      </c>
      <c r="B156" s="3"/>
      <c r="C156" s="50"/>
      <c r="D156" s="50"/>
      <c r="E156" s="50"/>
      <c r="F156" s="50"/>
      <c r="G156" s="50"/>
      <c r="H156" s="50"/>
      <c r="I156" s="50"/>
      <c r="J156" s="50"/>
      <c r="K156" s="50"/>
      <c r="L156" s="50"/>
      <c r="M156" s="306">
        <f t="shared" ref="M156:S156" si="139">M30</f>
        <v>0.44267040293153076</v>
      </c>
      <c r="N156" s="306">
        <f t="shared" si="139"/>
        <v>0.50811146101727267</v>
      </c>
      <c r="O156" s="306">
        <f t="shared" si="139"/>
        <v>0.50665657420187915</v>
      </c>
      <c r="P156" s="306">
        <f t="shared" si="139"/>
        <v>0.50607134104226537</v>
      </c>
      <c r="Q156" s="306">
        <f t="shared" si="139"/>
        <v>0.50412266078012358</v>
      </c>
      <c r="R156" s="306">
        <f t="shared" si="139"/>
        <v>0.496</v>
      </c>
      <c r="S156" s="306">
        <f t="shared" si="139"/>
        <v>0.49600000000000005</v>
      </c>
      <c r="T156" s="306">
        <f>T30</f>
        <v>0.49540000000000001</v>
      </c>
      <c r="U156" s="306"/>
      <c r="V156" s="3"/>
      <c r="W156" s="3"/>
      <c r="X156" s="3"/>
      <c r="Y156" s="3"/>
      <c r="Z156" s="3"/>
      <c r="AA156" s="3"/>
      <c r="AB156" s="3"/>
      <c r="AC156" s="3"/>
    </row>
    <row r="157" spans="1:29" hidden="1" outlineLevel="1">
      <c r="A157" s="657" t="s">
        <v>117</v>
      </c>
      <c r="B157" s="3"/>
      <c r="C157" s="50"/>
      <c r="D157" s="50"/>
      <c r="E157" s="50"/>
      <c r="F157" s="50"/>
      <c r="G157" s="50"/>
      <c r="H157" s="50"/>
      <c r="I157" s="50"/>
      <c r="J157" s="50"/>
      <c r="K157" s="50"/>
      <c r="L157" s="50"/>
      <c r="M157" s="306">
        <f t="shared" ref="M157:S157" si="140">M109</f>
        <v>0.44267040293153076</v>
      </c>
      <c r="N157" s="306">
        <f t="shared" si="140"/>
        <v>0.50811146101727267</v>
      </c>
      <c r="O157" s="306">
        <f t="shared" si="140"/>
        <v>0.50665657420187915</v>
      </c>
      <c r="P157" s="306">
        <f t="shared" si="140"/>
        <v>0.50607134104226537</v>
      </c>
      <c r="Q157" s="306">
        <f t="shared" si="140"/>
        <v>0.50912266078012358</v>
      </c>
      <c r="R157" s="306">
        <f t="shared" si="140"/>
        <v>0.51100000000000001</v>
      </c>
      <c r="S157" s="306">
        <f t="shared" si="140"/>
        <v>0.51600000000000001</v>
      </c>
      <c r="T157" s="306">
        <f>T109</f>
        <v>0.52039999999999997</v>
      </c>
      <c r="U157" s="306"/>
      <c r="V157" s="3"/>
      <c r="W157" s="3"/>
      <c r="X157" s="3"/>
      <c r="Y157" s="3"/>
      <c r="Z157" s="3"/>
      <c r="AA157" s="3"/>
      <c r="AB157" s="3"/>
      <c r="AC157" s="3"/>
    </row>
    <row r="158" spans="1:29" collapsed="1">
      <c r="A158" s="4" t="s">
        <v>49</v>
      </c>
      <c r="B158" s="3"/>
      <c r="C158" s="50">
        <f>C131/C124</f>
        <v>0.30679143081630073</v>
      </c>
      <c r="D158" s="50">
        <f>D131/D124</f>
        <v>0.33474935732272076</v>
      </c>
      <c r="E158" s="50">
        <f>E131/E124</f>
        <v>0.35121132175416231</v>
      </c>
      <c r="F158" s="50">
        <f>F131/F124</f>
        <v>0.38025405978129384</v>
      </c>
      <c r="G158" s="50">
        <f t="shared" ref="G158:P158" si="141">G131/G124</f>
        <v>0.37073847514915476</v>
      </c>
      <c r="H158" s="50">
        <f t="shared" si="141"/>
        <v>0.30964956161150636</v>
      </c>
      <c r="I158" s="50">
        <f t="shared" si="141"/>
        <v>0.31881570091882877</v>
      </c>
      <c r="J158" s="50">
        <f t="shared" si="141"/>
        <v>0.31997108577669825</v>
      </c>
      <c r="K158" s="50">
        <f>K131/K124</f>
        <v>0.3256643670824953</v>
      </c>
      <c r="L158" s="50">
        <f>L131/L124</f>
        <v>0.31086143133828131</v>
      </c>
      <c r="M158" s="306">
        <f t="shared" si="141"/>
        <v>0.26040827043921788</v>
      </c>
      <c r="N158" s="306">
        <f t="shared" si="141"/>
        <v>0.18811432388586696</v>
      </c>
      <c r="O158" s="306">
        <f t="shared" si="141"/>
        <v>0.17289282692907057</v>
      </c>
      <c r="P158" s="306">
        <f t="shared" si="141"/>
        <v>0.18105295991800921</v>
      </c>
      <c r="Q158" s="306">
        <f>Q131/Q124</f>
        <v>0.1694285024612654</v>
      </c>
      <c r="R158" s="306">
        <f>R131/R124</f>
        <v>0.17639999999999995</v>
      </c>
      <c r="S158" s="306">
        <f>S131/S124</f>
        <v>0.17790000000000003</v>
      </c>
      <c r="T158" s="306">
        <f>T131/T124</f>
        <v>0.17930000000000001</v>
      </c>
      <c r="U158" s="306"/>
      <c r="V158" s="3"/>
      <c r="W158" s="3"/>
      <c r="X158" s="3"/>
      <c r="Y158" s="3"/>
      <c r="Z158" s="3"/>
      <c r="AA158" s="3"/>
      <c r="AB158" s="3"/>
      <c r="AC158" s="3"/>
    </row>
    <row r="159" spans="1:29">
      <c r="A159" s="4" t="s">
        <v>39</v>
      </c>
      <c r="B159" s="3"/>
      <c r="C159" s="50">
        <f t="shared" ref="C159:J159" si="142">C136/C134</f>
        <v>0.37333046100818634</v>
      </c>
      <c r="D159" s="50">
        <f t="shared" si="142"/>
        <v>0.36726424090168147</v>
      </c>
      <c r="E159" s="50">
        <f t="shared" si="142"/>
        <v>0.37909736810415195</v>
      </c>
      <c r="F159" s="50">
        <f t="shared" si="142"/>
        <v>0.38479998453613246</v>
      </c>
      <c r="G159" s="50">
        <f t="shared" si="142"/>
        <v>0.39000114271715114</v>
      </c>
      <c r="H159" s="50">
        <f t="shared" si="142"/>
        <v>0.37990909534823708</v>
      </c>
      <c r="I159" s="50">
        <f t="shared" si="142"/>
        <v>0.36199137446090385</v>
      </c>
      <c r="J159" s="50">
        <f t="shared" si="142"/>
        <v>0.33619565045365229</v>
      </c>
      <c r="K159" s="50">
        <f>K136/K134</f>
        <v>0.32751062871228176</v>
      </c>
      <c r="L159" s="50">
        <f>L136/L134</f>
        <v>0.32199973565952961</v>
      </c>
      <c r="M159" s="306">
        <f t="shared" ref="M159:S159" si="143">INDEX(M160:M162,MATCH($AA$147,$AC$147:$AC$149,0))</f>
        <v>0.30639387698781717</v>
      </c>
      <c r="N159" s="306">
        <f t="shared" si="143"/>
        <v>0.3208029663725866</v>
      </c>
      <c r="O159" s="306">
        <f t="shared" si="143"/>
        <v>0.26410564225690308</v>
      </c>
      <c r="P159" s="306">
        <f t="shared" si="143"/>
        <v>0.23244973038351033</v>
      </c>
      <c r="Q159" s="306">
        <f t="shared" si="143"/>
        <v>0.20032058087780233</v>
      </c>
      <c r="R159" s="306">
        <f t="shared" si="143"/>
        <v>0.215</v>
      </c>
      <c r="S159" s="306">
        <f t="shared" si="143"/>
        <v>0.215</v>
      </c>
      <c r="T159" s="306">
        <f>INDEX(T160:T162,MATCH($AA$147,$AC$147:$AC$149,0))</f>
        <v>0.215</v>
      </c>
      <c r="U159" s="306"/>
      <c r="V159" s="3"/>
      <c r="W159" s="3"/>
      <c r="X159" s="3"/>
      <c r="Y159" s="3"/>
      <c r="Z159" s="3"/>
      <c r="AA159" s="3"/>
      <c r="AB159" s="3"/>
      <c r="AC159" s="3"/>
    </row>
    <row r="160" spans="1:29" hidden="1" outlineLevel="1">
      <c r="A160" s="657" t="s">
        <v>116</v>
      </c>
      <c r="B160" s="3"/>
      <c r="C160" s="50"/>
      <c r="D160" s="50"/>
      <c r="E160" s="50"/>
      <c r="F160" s="50"/>
      <c r="G160" s="50"/>
      <c r="H160" s="50"/>
      <c r="I160" s="50"/>
      <c r="J160" s="50"/>
      <c r="K160" s="50"/>
      <c r="L160" s="50"/>
      <c r="M160" s="306">
        <f t="shared" ref="M160:S160" si="144">M71</f>
        <v>0.30639387698781717</v>
      </c>
      <c r="N160" s="306">
        <f t="shared" si="144"/>
        <v>0.3208029663725866</v>
      </c>
      <c r="O160" s="306">
        <f t="shared" si="144"/>
        <v>0.26410564225690308</v>
      </c>
      <c r="P160" s="306">
        <f t="shared" si="144"/>
        <v>0.23244973038351033</v>
      </c>
      <c r="Q160" s="306">
        <f t="shared" si="144"/>
        <v>0.19032058087780232</v>
      </c>
      <c r="R160" s="306">
        <f t="shared" si="144"/>
        <v>0.215</v>
      </c>
      <c r="S160" s="306">
        <f t="shared" si="144"/>
        <v>0.215</v>
      </c>
      <c r="T160" s="306">
        <f>T71</f>
        <v>0.215</v>
      </c>
      <c r="U160" s="306"/>
      <c r="V160" s="3"/>
      <c r="W160" s="3"/>
      <c r="X160" s="3"/>
      <c r="Y160" s="3"/>
      <c r="Z160" s="3"/>
      <c r="AA160" s="3"/>
      <c r="AB160" s="3"/>
      <c r="AC160" s="3"/>
    </row>
    <row r="161" spans="1:29" hidden="1" outlineLevel="1">
      <c r="A161" s="657" t="s">
        <v>57</v>
      </c>
      <c r="B161" s="3"/>
      <c r="C161" s="50"/>
      <c r="D161" s="50"/>
      <c r="E161" s="50"/>
      <c r="F161" s="50"/>
      <c r="G161" s="50"/>
      <c r="H161" s="50"/>
      <c r="I161" s="50"/>
      <c r="J161" s="50"/>
      <c r="K161" s="50"/>
      <c r="L161" s="50"/>
      <c r="M161" s="306">
        <f t="shared" ref="M161:S161" si="145">M32</f>
        <v>0.30639387698781717</v>
      </c>
      <c r="N161" s="306">
        <f t="shared" si="145"/>
        <v>0.3208029663725866</v>
      </c>
      <c r="O161" s="306">
        <f t="shared" si="145"/>
        <v>0.26410564225690308</v>
      </c>
      <c r="P161" s="306">
        <f t="shared" si="145"/>
        <v>0.23244973038351033</v>
      </c>
      <c r="Q161" s="306">
        <f t="shared" si="145"/>
        <v>0.20032058087780233</v>
      </c>
      <c r="R161" s="306">
        <f t="shared" si="145"/>
        <v>0.215</v>
      </c>
      <c r="S161" s="306">
        <f t="shared" si="145"/>
        <v>0.215</v>
      </c>
      <c r="T161" s="306">
        <f>T32</f>
        <v>0.215</v>
      </c>
      <c r="U161" s="306"/>
      <c r="V161" s="3"/>
      <c r="W161" s="3"/>
      <c r="X161" s="3"/>
      <c r="Y161" s="3"/>
      <c r="Z161" s="3"/>
      <c r="AA161" s="3"/>
      <c r="AB161" s="3"/>
      <c r="AC161" s="3"/>
    </row>
    <row r="162" spans="1:29" hidden="1" outlineLevel="1">
      <c r="A162" s="657" t="s">
        <v>117</v>
      </c>
      <c r="B162" s="3"/>
      <c r="C162" s="50"/>
      <c r="D162" s="50"/>
      <c r="E162" s="50"/>
      <c r="F162" s="50"/>
      <c r="G162" s="50"/>
      <c r="H162" s="50"/>
      <c r="I162" s="50"/>
      <c r="J162" s="50"/>
      <c r="K162" s="50"/>
      <c r="L162" s="50"/>
      <c r="M162" s="306">
        <f t="shared" ref="M162:S162" si="146">M111</f>
        <v>0.30639387698781717</v>
      </c>
      <c r="N162" s="306">
        <f t="shared" si="146"/>
        <v>0.3208029663725866</v>
      </c>
      <c r="O162" s="306">
        <f t="shared" si="146"/>
        <v>0.26410564225690308</v>
      </c>
      <c r="P162" s="306">
        <f t="shared" si="146"/>
        <v>0.23244973038351033</v>
      </c>
      <c r="Q162" s="306">
        <f t="shared" si="146"/>
        <v>0.20032058087780233</v>
      </c>
      <c r="R162" s="306">
        <f t="shared" si="146"/>
        <v>0.215</v>
      </c>
      <c r="S162" s="306">
        <f t="shared" si="146"/>
        <v>0.215</v>
      </c>
      <c r="T162" s="306">
        <f>T111</f>
        <v>0.215</v>
      </c>
      <c r="U162" s="306"/>
      <c r="V162" s="3"/>
      <c r="W162" s="3"/>
      <c r="X162" s="3"/>
      <c r="Y162" s="3"/>
      <c r="Z162" s="3"/>
      <c r="AA162" s="3"/>
      <c r="AB162" s="3"/>
      <c r="AC162" s="3"/>
    </row>
    <row r="163" spans="1:29" collapsed="1">
      <c r="A163" s="4"/>
      <c r="B163" s="3"/>
      <c r="M163" s="535"/>
      <c r="N163" s="535"/>
      <c r="O163" s="535"/>
      <c r="P163" s="535"/>
      <c r="Q163" s="535"/>
      <c r="R163" s="535"/>
      <c r="S163" s="535"/>
      <c r="T163" s="535"/>
      <c r="U163" s="535"/>
      <c r="V163" s="3"/>
      <c r="W163" s="3"/>
      <c r="X163" s="3"/>
      <c r="Y163" s="3"/>
      <c r="Z163" s="3"/>
      <c r="AA163" s="3"/>
      <c r="AB163" s="3"/>
      <c r="AC163" s="3"/>
    </row>
    <row r="164" spans="1:29">
      <c r="A164" s="8" t="s">
        <v>100</v>
      </c>
      <c r="B164" s="3"/>
      <c r="M164" s="535"/>
      <c r="N164" s="535"/>
      <c r="O164" s="535"/>
      <c r="P164" s="535"/>
      <c r="Q164" s="535"/>
      <c r="R164" s="535"/>
      <c r="S164" s="535"/>
      <c r="T164" s="535"/>
      <c r="U164" s="535"/>
      <c r="V164" s="3"/>
      <c r="W164" s="3"/>
      <c r="X164" s="3"/>
      <c r="Y164" s="3"/>
      <c r="Z164" s="3"/>
      <c r="AA164" s="3"/>
      <c r="AB164" s="3"/>
      <c r="AC164" s="3"/>
    </row>
    <row r="165" spans="1:29">
      <c r="A165" s="4" t="s">
        <v>482</v>
      </c>
      <c r="B165" s="3"/>
      <c r="C165" s="662" t="s">
        <v>606</v>
      </c>
      <c r="D165" s="614">
        <f t="shared" ref="D165:L165" si="147">((D124/C124)-1)</f>
        <v>0.29469020653906686</v>
      </c>
      <c r="E165" s="614">
        <f t="shared" si="147"/>
        <v>0.18981737266161613</v>
      </c>
      <c r="F165" s="614">
        <f t="shared" si="147"/>
        <v>0.28370475816560536</v>
      </c>
      <c r="G165" s="614">
        <f t="shared" si="147"/>
        <v>0.21753514700343302</v>
      </c>
      <c r="H165" s="614">
        <f t="shared" si="147"/>
        <v>1.5628669527411265E-2</v>
      </c>
      <c r="I165" s="614">
        <f t="shared" si="147"/>
        <v>0.11675336205156661</v>
      </c>
      <c r="J165" s="614">
        <f t="shared" si="147"/>
        <v>0.15269583738492476</v>
      </c>
      <c r="K165" s="614">
        <f t="shared" si="147"/>
        <v>0.14540627201060352</v>
      </c>
      <c r="L165" s="614">
        <f t="shared" si="147"/>
        <v>6.5546546634811298E-2</v>
      </c>
      <c r="M165" s="664">
        <f t="shared" ref="M165:S165" si="148">INDEX(M166:M168,MATCH($AA$147,$AC$147:$AC$149,0))</f>
        <v>-5.3033165924194714E-2</v>
      </c>
      <c r="N165" s="664">
        <f t="shared" si="148"/>
        <v>-0.12788121074622794</v>
      </c>
      <c r="O165" s="664">
        <f t="shared" si="148"/>
        <v>7.1619429334859985E-2</v>
      </c>
      <c r="P165" s="664">
        <f t="shared" si="148"/>
        <v>-7.7919764904921252E-4</v>
      </c>
      <c r="Q165" s="664">
        <f t="shared" si="148"/>
        <v>0.29913255208949852</v>
      </c>
      <c r="R165" s="664">
        <f t="shared" si="148"/>
        <v>3.1872959373271836E-2</v>
      </c>
      <c r="S165" s="664">
        <f t="shared" si="148"/>
        <v>2.8696375750194125E-2</v>
      </c>
      <c r="T165" s="664">
        <f>INDEX(T166:T168,MATCH($AA$147,$AC$147:$AC$149,0))</f>
        <v>2.8643197681103683E-2</v>
      </c>
      <c r="U165" s="664"/>
      <c r="V165" s="3"/>
      <c r="W165" s="3"/>
      <c r="X165" s="3"/>
      <c r="Y165" s="3"/>
      <c r="Z165" s="3"/>
      <c r="AA165" s="3"/>
      <c r="AB165" s="3"/>
      <c r="AC165" s="3"/>
    </row>
    <row r="166" spans="1:29" hidden="1" outlineLevel="1">
      <c r="A166" s="657" t="s">
        <v>116</v>
      </c>
      <c r="B166" s="3"/>
      <c r="C166" s="613"/>
      <c r="D166" s="613"/>
      <c r="E166" s="613"/>
      <c r="F166" s="613"/>
      <c r="G166" s="613"/>
      <c r="H166" s="50"/>
      <c r="I166" s="50"/>
      <c r="J166" s="50"/>
      <c r="K166" s="50"/>
      <c r="L166" s="50"/>
      <c r="M166" s="306">
        <f t="shared" ref="M166:S166" si="149">M74</f>
        <v>-5.3033165924194714E-2</v>
      </c>
      <c r="N166" s="306">
        <f t="shared" si="149"/>
        <v>-0.12788121074622794</v>
      </c>
      <c r="O166" s="306">
        <f t="shared" si="149"/>
        <v>7.1619429334859985E-2</v>
      </c>
      <c r="P166" s="306">
        <f t="shared" si="149"/>
        <v>-7.7919764904921252E-4</v>
      </c>
      <c r="Q166" s="306">
        <f t="shared" si="149"/>
        <v>0.33913255208949855</v>
      </c>
      <c r="R166" s="306">
        <f t="shared" si="149"/>
        <v>5.1872959373271833E-2</v>
      </c>
      <c r="S166" s="306">
        <f t="shared" si="149"/>
        <v>4.8696375750194122E-2</v>
      </c>
      <c r="T166" s="306">
        <f>T74</f>
        <v>4.864319768110368E-2</v>
      </c>
      <c r="U166" s="306"/>
      <c r="V166" s="3"/>
      <c r="W166" s="3"/>
      <c r="X166" s="3"/>
      <c r="Y166" s="3"/>
      <c r="Z166" s="3"/>
      <c r="AA166" s="3"/>
      <c r="AB166" s="3"/>
      <c r="AC166" s="3"/>
    </row>
    <row r="167" spans="1:29" hidden="1" outlineLevel="1">
      <c r="A167" s="657" t="s">
        <v>57</v>
      </c>
      <c r="B167" s="3"/>
      <c r="C167" s="613"/>
      <c r="D167" s="613"/>
      <c r="E167" s="613"/>
      <c r="F167" s="613"/>
      <c r="G167" s="613"/>
      <c r="H167" s="50"/>
      <c r="I167" s="50"/>
      <c r="J167" s="50"/>
      <c r="K167" s="50"/>
      <c r="L167" s="50"/>
      <c r="M167" s="306">
        <f t="shared" ref="M167:S167" si="150">M35</f>
        <v>-5.3033165924194714E-2</v>
      </c>
      <c r="N167" s="306">
        <f t="shared" si="150"/>
        <v>-0.12788121074622794</v>
      </c>
      <c r="O167" s="306">
        <f t="shared" si="150"/>
        <v>7.1619429334859985E-2</v>
      </c>
      <c r="P167" s="306">
        <f t="shared" si="150"/>
        <v>-7.7919764904921252E-4</v>
      </c>
      <c r="Q167" s="306">
        <f t="shared" si="150"/>
        <v>0.29913255208949852</v>
      </c>
      <c r="R167" s="306">
        <f t="shared" si="150"/>
        <v>3.1872959373271836E-2</v>
      </c>
      <c r="S167" s="306">
        <f t="shared" si="150"/>
        <v>2.8696375750194125E-2</v>
      </c>
      <c r="T167" s="306">
        <f>T35</f>
        <v>2.8643197681103683E-2</v>
      </c>
      <c r="U167" s="306"/>
      <c r="V167" s="3"/>
      <c r="W167" s="3"/>
      <c r="X167" s="3"/>
      <c r="Y167" s="3"/>
      <c r="Z167" s="3"/>
      <c r="AA167" s="3"/>
      <c r="AB167" s="3"/>
      <c r="AC167" s="3"/>
    </row>
    <row r="168" spans="1:29" hidden="1" outlineLevel="1">
      <c r="A168" s="657" t="s">
        <v>117</v>
      </c>
      <c r="B168" s="3"/>
      <c r="C168" s="613"/>
      <c r="D168" s="613"/>
      <c r="E168" s="613"/>
      <c r="F168" s="613"/>
      <c r="G168" s="613"/>
      <c r="H168" s="50"/>
      <c r="I168" s="50"/>
      <c r="J168" s="50"/>
      <c r="K168" s="50"/>
      <c r="L168" s="50"/>
      <c r="M168" s="306">
        <f t="shared" ref="M168:S168" si="151">M114</f>
        <v>-5.3033165924194714E-2</v>
      </c>
      <c r="N168" s="306">
        <f t="shared" si="151"/>
        <v>-0.12788121074622794</v>
      </c>
      <c r="O168" s="306">
        <f t="shared" si="151"/>
        <v>7.1619429334859985E-2</v>
      </c>
      <c r="P168" s="306">
        <f t="shared" si="151"/>
        <v>-7.7919764904921252E-4</v>
      </c>
      <c r="Q168" s="306">
        <f t="shared" si="151"/>
        <v>0.2791325520894985</v>
      </c>
      <c r="R168" s="306">
        <f t="shared" si="151"/>
        <v>1.8729593732718375E-3</v>
      </c>
      <c r="S168" s="306">
        <f t="shared" si="151"/>
        <v>-1.3036242498058737E-3</v>
      </c>
      <c r="T168" s="306">
        <f>T114</f>
        <v>-1.3568023188963163E-3</v>
      </c>
      <c r="U168" s="306"/>
      <c r="V168" s="3"/>
      <c r="W168" s="3"/>
      <c r="X168" s="3"/>
      <c r="Y168" s="3"/>
      <c r="Z168" s="3"/>
      <c r="AA168" s="3"/>
      <c r="AB168" s="3"/>
      <c r="AC168" s="3"/>
    </row>
    <row r="169" spans="1:29" collapsed="1">
      <c r="A169" s="4" t="s">
        <v>31</v>
      </c>
      <c r="B169" s="3"/>
      <c r="C169" s="50">
        <f t="shared" ref="C169:P169" si="152">C36</f>
        <v>0.16899999999999998</v>
      </c>
      <c r="D169" s="50">
        <f t="shared" si="152"/>
        <v>0.182</v>
      </c>
      <c r="E169" s="50">
        <f t="shared" si="152"/>
        <v>0.20699999999999999</v>
      </c>
      <c r="F169" s="50">
        <f t="shared" si="152"/>
        <v>0.223</v>
      </c>
      <c r="G169" s="50">
        <f t="shared" si="152"/>
        <v>9.8000000000000004E-2</v>
      </c>
      <c r="H169" s="50">
        <f t="shared" si="152"/>
        <v>-6.8000000000000005E-2</v>
      </c>
      <c r="I169" s="50">
        <f t="shared" si="152"/>
        <v>3.5557111151952245E-2</v>
      </c>
      <c r="J169" s="50">
        <f t="shared" si="152"/>
        <v>0.106</v>
      </c>
      <c r="K169" s="50">
        <f t="shared" si="152"/>
        <v>6.6000000000000003E-2</v>
      </c>
      <c r="L169" s="50">
        <f t="shared" si="152"/>
        <v>3.0000000000000001E-3</v>
      </c>
      <c r="M169" s="306">
        <f t="shared" si="152"/>
        <v>-0.15</v>
      </c>
      <c r="N169" s="306">
        <f t="shared" si="152"/>
        <v>-0.22</v>
      </c>
      <c r="O169" s="306">
        <f t="shared" si="152"/>
        <v>-3.3000000000000002E-2</v>
      </c>
      <c r="P169" s="306">
        <f t="shared" si="152"/>
        <v>3.1E-2</v>
      </c>
      <c r="Q169" s="306">
        <f>Q36</f>
        <v>0</v>
      </c>
      <c r="R169" s="306">
        <f>R36</f>
        <v>0.01</v>
      </c>
      <c r="S169" s="306">
        <f>S36</f>
        <v>0.01</v>
      </c>
      <c r="T169" s="306">
        <f>T36</f>
        <v>0.01</v>
      </c>
      <c r="U169" s="306"/>
      <c r="V169" s="3"/>
      <c r="W169" s="3"/>
      <c r="X169" s="3"/>
      <c r="Y169" s="3"/>
      <c r="Z169" s="3"/>
      <c r="AA169" s="3"/>
      <c r="AB169" s="3"/>
      <c r="AC169" s="3"/>
    </row>
    <row r="170" spans="1:29">
      <c r="A170" s="4" t="s">
        <v>93</v>
      </c>
      <c r="B170" s="3"/>
      <c r="C170" s="662" t="s">
        <v>606</v>
      </c>
      <c r="D170" s="614">
        <f t="shared" ref="D170:T170" si="153">((D129/C129)-1)</f>
        <v>0.26237307149037759</v>
      </c>
      <c r="E170" s="614">
        <f t="shared" si="153"/>
        <v>0.17429098573843693</v>
      </c>
      <c r="F170" s="614">
        <f t="shared" si="153"/>
        <v>0.18770728285984872</v>
      </c>
      <c r="G170" s="614">
        <f t="shared" si="153"/>
        <v>0.19258655638317834</v>
      </c>
      <c r="H170" s="614">
        <f t="shared" si="153"/>
        <v>7.6899584159286771E-2</v>
      </c>
      <c r="I170" s="614">
        <f t="shared" si="153"/>
        <v>0.12192646583936884</v>
      </c>
      <c r="J170" s="614">
        <f t="shared" si="153"/>
        <v>0.14116358390854211</v>
      </c>
      <c r="K170" s="614">
        <f t="shared" si="153"/>
        <v>0.13109804901416977</v>
      </c>
      <c r="L170" s="614">
        <f t="shared" si="153"/>
        <v>0.10983716995320858</v>
      </c>
      <c r="M170" s="664">
        <f t="shared" si="153"/>
        <v>1.1147159921041094E-3</v>
      </c>
      <c r="N170" s="664">
        <f t="shared" si="153"/>
        <v>1.0462620806610534E-3</v>
      </c>
      <c r="O170" s="664">
        <f t="shared" si="153"/>
        <v>6.855103765611803E-2</v>
      </c>
      <c r="P170" s="664">
        <f t="shared" si="153"/>
        <v>-1.9333860620444066E-3</v>
      </c>
      <c r="Q170" s="664">
        <f t="shared" si="153"/>
        <v>0.29413010726235456</v>
      </c>
      <c r="R170" s="664">
        <f t="shared" si="153"/>
        <v>1.5246938229527052E-2</v>
      </c>
      <c r="S170" s="664">
        <f t="shared" si="153"/>
        <v>2.8696375750194125E-2</v>
      </c>
      <c r="T170" s="664">
        <f t="shared" si="153"/>
        <v>2.7398871232295896E-2</v>
      </c>
      <c r="U170" s="664"/>
      <c r="V170" s="3"/>
      <c r="W170" s="3"/>
      <c r="X170" s="3"/>
      <c r="Y170" s="3"/>
      <c r="Z170" s="3"/>
      <c r="AA170" s="3"/>
      <c r="AB170" s="3"/>
      <c r="AC170" s="3"/>
    </row>
    <row r="171" spans="1:29">
      <c r="A171" s="4" t="s">
        <v>106</v>
      </c>
      <c r="B171" s="3"/>
      <c r="C171" s="662" t="s">
        <v>606</v>
      </c>
      <c r="D171" s="614">
        <f t="shared" ref="D171:T171" si="154">((D131/C131)-1)</f>
        <v>0.41267542387936085</v>
      </c>
      <c r="E171" s="614">
        <f t="shared" si="154"/>
        <v>0.24832900484313458</v>
      </c>
      <c r="F171" s="614">
        <f t="shared" si="154"/>
        <v>0.38985822955535299</v>
      </c>
      <c r="G171" s="614">
        <f t="shared" si="154"/>
        <v>0.18706720475298444</v>
      </c>
      <c r="H171" s="614">
        <f t="shared" si="154"/>
        <v>-0.1517228629892925</v>
      </c>
      <c r="I171" s="614">
        <f t="shared" si="154"/>
        <v>0.14981110912284468</v>
      </c>
      <c r="J171" s="614">
        <f t="shared" si="154"/>
        <v>0.1568731953770357</v>
      </c>
      <c r="K171" s="614">
        <f t="shared" si="154"/>
        <v>0.16578661387852955</v>
      </c>
      <c r="L171" s="614">
        <f t="shared" si="154"/>
        <v>1.711258008326455E-2</v>
      </c>
      <c r="M171" s="664">
        <f t="shared" si="154"/>
        <v>-0.20672695109406225</v>
      </c>
      <c r="N171" s="664">
        <f t="shared" si="154"/>
        <v>-0.36999682801193079</v>
      </c>
      <c r="O171" s="664">
        <f t="shared" si="154"/>
        <v>-1.5091946734306916E-2</v>
      </c>
      <c r="P171" s="664">
        <f t="shared" si="154"/>
        <v>4.6381663662119266E-2</v>
      </c>
      <c r="Q171" s="664">
        <f t="shared" si="154"/>
        <v>0.21572208981771746</v>
      </c>
      <c r="R171" s="664">
        <f t="shared" si="154"/>
        <v>7.4331575792915494E-2</v>
      </c>
      <c r="S171" s="664">
        <f t="shared" si="154"/>
        <v>3.7443793911335677E-2</v>
      </c>
      <c r="T171" s="664">
        <f t="shared" si="154"/>
        <v>3.6738197550432172E-2</v>
      </c>
      <c r="U171" s="664"/>
      <c r="V171" s="3"/>
      <c r="W171" s="3"/>
      <c r="X171" s="3"/>
      <c r="Y171" s="3"/>
      <c r="Z171" s="3"/>
      <c r="AA171" s="3"/>
      <c r="AB171" s="3"/>
      <c r="AC171" s="3"/>
    </row>
    <row r="172" spans="1:29">
      <c r="A172" s="4" t="s">
        <v>107</v>
      </c>
      <c r="B172" s="3"/>
      <c r="C172" s="662" t="s">
        <v>606</v>
      </c>
      <c r="D172" s="614">
        <f t="shared" ref="D172:T172" si="155">((D141/C141)-1)</f>
        <v>0.48920129394124645</v>
      </c>
      <c r="E172" s="614">
        <f t="shared" si="155"/>
        <v>0.29964924217877931</v>
      </c>
      <c r="F172" s="614">
        <f t="shared" si="155"/>
        <v>0.41219024449676001</v>
      </c>
      <c r="G172" s="614">
        <f t="shared" si="155"/>
        <v>0.22077410550012955</v>
      </c>
      <c r="H172" s="614">
        <f t="shared" si="155"/>
        <v>-7.0989950600305884E-2</v>
      </c>
      <c r="I172" s="614">
        <f t="shared" si="155"/>
        <v>0.21571037053088515</v>
      </c>
      <c r="J172" s="614">
        <f t="shared" si="155"/>
        <v>0.25588141627149463</v>
      </c>
      <c r="K172" s="614">
        <f t="shared" si="155"/>
        <v>0.2089686134695421</v>
      </c>
      <c r="L172" s="614">
        <f t="shared" si="155"/>
        <v>5.5908298623769337E-2</v>
      </c>
      <c r="M172" s="664">
        <f t="shared" si="155"/>
        <v>-0.16792907585326855</v>
      </c>
      <c r="N172" s="664">
        <f t="shared" si="155"/>
        <v>-0.38232239741984886</v>
      </c>
      <c r="O172" s="664">
        <f t="shared" si="155"/>
        <v>3.0782906060329518E-2</v>
      </c>
      <c r="P172" s="664">
        <f t="shared" si="155"/>
        <v>9.0592982626161556E-2</v>
      </c>
      <c r="Q172" s="664">
        <f t="shared" si="155"/>
        <v>0.16846987622400911</v>
      </c>
      <c r="R172" s="664">
        <f t="shared" si="155"/>
        <v>9.2650077821520016E-2</v>
      </c>
      <c r="S172" s="664">
        <f t="shared" si="155"/>
        <v>3.5521416628732982E-2</v>
      </c>
      <c r="T172" s="664">
        <f t="shared" si="155"/>
        <v>3.4738973765588765E-2</v>
      </c>
      <c r="U172" s="664"/>
      <c r="V172" s="3"/>
      <c r="W172" s="3"/>
      <c r="X172" s="3"/>
      <c r="Y172" s="3"/>
      <c r="Z172" s="3"/>
      <c r="AA172" s="3"/>
      <c r="AB172" s="3"/>
      <c r="AC172" s="3"/>
    </row>
    <row r="173" spans="1:29">
      <c r="A173" s="4" t="s">
        <v>44</v>
      </c>
      <c r="B173" s="3"/>
      <c r="C173" s="662" t="s">
        <v>606</v>
      </c>
      <c r="D173" s="614">
        <f t="shared" ref="D173:T173" si="156">((D147/C147)-1)</f>
        <v>0.39864707097376861</v>
      </c>
      <c r="E173" s="614">
        <f t="shared" si="156"/>
        <v>0.2518592596992113</v>
      </c>
      <c r="F173" s="614">
        <f t="shared" si="156"/>
        <v>0.37746037119387799</v>
      </c>
      <c r="G173" s="614">
        <f t="shared" si="156"/>
        <v>0.19148989647458792</v>
      </c>
      <c r="H173" s="614">
        <f t="shared" si="156"/>
        <v>-0.1223548420112619</v>
      </c>
      <c r="I173" s="614">
        <f t="shared" si="156"/>
        <v>0.13672599341064551</v>
      </c>
      <c r="J173" s="614">
        <f t="shared" si="156"/>
        <v>0.14001950012334463</v>
      </c>
      <c r="K173" s="614">
        <f t="shared" si="156"/>
        <v>0.15689891104534648</v>
      </c>
      <c r="L173" s="614">
        <f t="shared" si="156"/>
        <v>3.3621972950649948E-2</v>
      </c>
      <c r="M173" s="664">
        <f t="shared" si="156"/>
        <v>-0.17222027540169871</v>
      </c>
      <c r="N173" s="664">
        <f t="shared" si="156"/>
        <v>-0.31968068088839208</v>
      </c>
      <c r="O173" s="664">
        <f t="shared" si="156"/>
        <v>7.0386616341926445E-3</v>
      </c>
      <c r="P173" s="664">
        <f t="shared" si="156"/>
        <v>3.9525931928688918E-2</v>
      </c>
      <c r="Q173" s="664">
        <f t="shared" si="156"/>
        <v>0.23308335225779109</v>
      </c>
      <c r="R173" s="664">
        <f t="shared" si="156"/>
        <v>6.5020761975958852E-2</v>
      </c>
      <c r="S173" s="664">
        <f t="shared" si="156"/>
        <v>3.5585262737483303E-2</v>
      </c>
      <c r="T173" s="664">
        <f t="shared" si="156"/>
        <v>3.5029724406079321E-2</v>
      </c>
      <c r="U173" s="664"/>
      <c r="V173" s="3"/>
      <c r="W173" s="3"/>
      <c r="X173" s="3"/>
      <c r="Y173" s="3"/>
      <c r="Z173" s="3"/>
      <c r="AA173" s="3"/>
      <c r="AB173" s="3"/>
      <c r="AC173" s="3"/>
    </row>
    <row r="177" spans="11:21">
      <c r="K177" s="3"/>
      <c r="L177" s="3"/>
      <c r="M177" s="3"/>
      <c r="N177" s="3"/>
      <c r="O177" s="3"/>
      <c r="P177" s="3"/>
      <c r="Q177" s="3"/>
      <c r="R177" s="3"/>
      <c r="S177" s="3"/>
      <c r="T177" s="3"/>
      <c r="U177" s="3"/>
    </row>
    <row r="178" spans="11:21">
      <c r="K178" s="3"/>
      <c r="L178" s="3"/>
      <c r="M178" s="3"/>
      <c r="N178" s="3"/>
      <c r="O178" s="3"/>
      <c r="P178" s="3"/>
      <c r="Q178" s="3"/>
      <c r="R178" s="3"/>
      <c r="S178" s="3"/>
      <c r="T178" s="3"/>
      <c r="U178" s="3"/>
    </row>
    <row r="179" spans="11:21">
      <c r="K179" s="3"/>
      <c r="L179" s="3"/>
      <c r="M179" s="3"/>
      <c r="N179" s="3"/>
      <c r="O179" s="3"/>
      <c r="P179" s="3"/>
      <c r="Q179" s="3"/>
      <c r="R179" s="3"/>
      <c r="S179" s="3"/>
      <c r="T179" s="3"/>
      <c r="U179" s="3"/>
    </row>
    <row r="180" spans="11:21">
      <c r="K180" s="3"/>
      <c r="L180" s="3"/>
      <c r="M180" s="3"/>
      <c r="N180" s="3"/>
      <c r="O180" s="3"/>
      <c r="P180" s="3"/>
      <c r="Q180" s="3"/>
      <c r="R180" s="3"/>
      <c r="S180" s="3"/>
      <c r="T180" s="3"/>
      <c r="U180" s="3"/>
    </row>
    <row r="181" spans="11:21">
      <c r="K181" s="3"/>
      <c r="L181" s="3"/>
      <c r="M181" s="3"/>
      <c r="N181" s="3"/>
      <c r="O181" s="3"/>
      <c r="P181" s="3"/>
      <c r="Q181" s="3"/>
      <c r="R181" s="3"/>
      <c r="S181" s="3"/>
      <c r="T181" s="3"/>
      <c r="U181" s="3"/>
    </row>
    <row r="182" spans="11:21">
      <c r="K182" s="3"/>
      <c r="L182" s="3"/>
      <c r="M182" s="3"/>
      <c r="N182" s="3"/>
      <c r="O182" s="3"/>
      <c r="P182" s="3"/>
      <c r="Q182" s="3"/>
      <c r="R182" s="3"/>
      <c r="S182" s="3"/>
      <c r="T182" s="3"/>
      <c r="U182" s="3"/>
    </row>
    <row r="183" spans="11:21">
      <c r="K183" s="3"/>
      <c r="L183" s="3"/>
      <c r="M183" s="3"/>
      <c r="N183" s="3"/>
      <c r="O183" s="3"/>
      <c r="P183" s="3"/>
      <c r="Q183" s="3"/>
      <c r="R183" s="3"/>
      <c r="S183" s="3"/>
      <c r="T183" s="3"/>
      <c r="U183" s="3"/>
    </row>
    <row r="184" spans="11:21">
      <c r="K184" s="3"/>
      <c r="L184" s="3"/>
      <c r="M184" s="3"/>
      <c r="N184" s="3"/>
      <c r="O184" s="3"/>
      <c r="P184" s="3"/>
      <c r="Q184" s="3"/>
      <c r="R184" s="3"/>
      <c r="S184" s="3"/>
      <c r="T184" s="3"/>
      <c r="U184" s="3"/>
    </row>
    <row r="185" spans="11:21">
      <c r="K185" s="3"/>
      <c r="L185" s="3"/>
      <c r="M185" s="3"/>
      <c r="N185" s="3"/>
      <c r="O185" s="3"/>
      <c r="P185" s="3"/>
      <c r="Q185" s="3"/>
      <c r="R185" s="3"/>
      <c r="S185" s="3"/>
      <c r="T185" s="3"/>
      <c r="U185" s="3"/>
    </row>
    <row r="186" spans="11:21">
      <c r="K186" s="3"/>
      <c r="L186" s="3"/>
      <c r="M186" s="3"/>
      <c r="N186" s="3"/>
      <c r="O186" s="3"/>
      <c r="P186" s="3"/>
      <c r="Q186" s="3"/>
      <c r="R186" s="3"/>
      <c r="S186" s="3"/>
      <c r="T186" s="3"/>
      <c r="U186" s="3"/>
    </row>
    <row r="187" spans="11:21">
      <c r="K187" s="3"/>
      <c r="L187" s="3"/>
      <c r="M187" s="3"/>
      <c r="N187" s="3"/>
      <c r="O187" s="3"/>
      <c r="P187" s="3"/>
      <c r="Q187" s="3"/>
      <c r="R187" s="3"/>
      <c r="S187" s="3"/>
      <c r="T187" s="3"/>
      <c r="U187" s="3"/>
    </row>
    <row r="188" spans="11:21">
      <c r="K188" s="3"/>
      <c r="L188" s="3"/>
      <c r="M188" s="3"/>
      <c r="N188" s="3"/>
      <c r="O188" s="3"/>
      <c r="P188" s="3"/>
      <c r="Q188" s="3"/>
      <c r="R188" s="3"/>
      <c r="S188" s="3"/>
      <c r="T188" s="3"/>
      <c r="U188" s="3"/>
    </row>
    <row r="189" spans="11:21">
      <c r="K189" s="3"/>
      <c r="L189" s="3"/>
      <c r="M189" s="3"/>
      <c r="N189" s="3"/>
      <c r="O189" s="3"/>
      <c r="P189" s="3"/>
      <c r="Q189" s="3"/>
      <c r="R189" s="3"/>
      <c r="S189" s="3"/>
      <c r="T189" s="3"/>
      <c r="U189" s="3"/>
    </row>
    <row r="190" spans="11:21">
      <c r="K190" s="3"/>
      <c r="L190" s="3"/>
      <c r="M190" s="3"/>
      <c r="N190" s="3"/>
      <c r="O190" s="3"/>
      <c r="P190" s="3"/>
      <c r="Q190" s="3"/>
      <c r="R190" s="3"/>
      <c r="S190" s="3"/>
      <c r="T190" s="3"/>
      <c r="U190" s="3"/>
    </row>
    <row r="191" spans="11:21">
      <c r="K191" s="3"/>
      <c r="L191" s="3"/>
      <c r="M191" s="3"/>
      <c r="N191" s="3"/>
      <c r="O191" s="3"/>
      <c r="P191" s="3"/>
      <c r="Q191" s="3"/>
      <c r="R191" s="3"/>
      <c r="S191" s="3"/>
      <c r="T191" s="3"/>
      <c r="U191" s="3"/>
    </row>
    <row r="192" spans="11:21">
      <c r="K192" s="3"/>
      <c r="L192" s="3"/>
      <c r="M192" s="3"/>
      <c r="N192" s="3"/>
      <c r="O192" s="3"/>
      <c r="P192" s="3"/>
      <c r="Q192" s="3"/>
      <c r="R192" s="3"/>
      <c r="S192" s="3"/>
      <c r="T192" s="3"/>
      <c r="U192" s="3"/>
    </row>
    <row r="193" spans="11:21">
      <c r="K193" s="3"/>
      <c r="L193" s="3"/>
      <c r="M193" s="3"/>
      <c r="N193" s="3"/>
      <c r="O193" s="3"/>
      <c r="P193" s="3"/>
      <c r="Q193" s="3"/>
      <c r="R193" s="3"/>
      <c r="S193" s="3"/>
      <c r="T193" s="3"/>
      <c r="U193" s="3"/>
    </row>
    <row r="194" spans="11:21">
      <c r="K194" s="3"/>
      <c r="L194" s="3"/>
      <c r="M194" s="3"/>
      <c r="N194" s="3"/>
      <c r="O194" s="3"/>
      <c r="P194" s="3"/>
      <c r="Q194" s="3"/>
      <c r="R194" s="3"/>
      <c r="S194" s="3"/>
      <c r="T194" s="3"/>
      <c r="U194" s="3"/>
    </row>
    <row r="195" spans="11:21">
      <c r="K195" s="3"/>
      <c r="L195" s="3"/>
      <c r="M195" s="3"/>
      <c r="N195" s="3"/>
      <c r="O195" s="3"/>
      <c r="P195" s="3"/>
      <c r="Q195" s="3"/>
      <c r="R195" s="3"/>
      <c r="S195" s="3"/>
      <c r="T195" s="3"/>
      <c r="U195" s="3"/>
    </row>
  </sheetData>
  <phoneticPr fontId="39" type="noConversion"/>
  <pageMargins left="0.75" right="0.75" top="1" bottom="1" header="0.5" footer="0.5"/>
  <pageSetup scale="31"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2:DZ102"/>
  <sheetViews>
    <sheetView view="pageBreakPreview" topLeftCell="A5" zoomScale="85" zoomScaleNormal="85" zoomScaleSheetLayoutView="85" workbookViewId="0">
      <pane xSplit="2" ySplit="4" topLeftCell="BO9" activePane="bottomRight" state="frozen"/>
      <selection activeCell="A5" sqref="A5"/>
      <selection pane="topRight" activeCell="C5" sqref="C5"/>
      <selection pane="bottomLeft" activeCell="A9" sqref="A9"/>
      <selection pane="bottomRight" activeCell="DI22" sqref="DI22"/>
    </sheetView>
  </sheetViews>
  <sheetFormatPr defaultRowHeight="12.75" outlineLevelRow="1" outlineLevelCol="1"/>
  <cols>
    <col min="1" max="1" width="22.42578125" style="61" customWidth="1"/>
    <col min="2" max="2" width="1.140625" style="61" customWidth="1"/>
    <col min="3" max="6" width="6" style="61" hidden="1" customWidth="1" outlineLevel="1"/>
    <col min="7" max="7" width="2.140625" style="61" hidden="1" customWidth="1" outlineLevel="1"/>
    <col min="8" max="10" width="6" style="61" hidden="1" customWidth="1" outlineLevel="1"/>
    <col min="11" max="11" width="6.7109375" style="61" hidden="1" customWidth="1" outlineLevel="1"/>
    <col min="12" max="12" width="2.140625" style="61" hidden="1" customWidth="1" outlineLevel="1"/>
    <col min="13" max="13" width="7.28515625" style="61" hidden="1" customWidth="1" outlineLevel="1" collapsed="1"/>
    <col min="14" max="16" width="7.28515625" style="61" hidden="1" customWidth="1" outlineLevel="1"/>
    <col min="17" max="17" width="2.140625" style="61" hidden="1" customWidth="1" outlineLevel="1"/>
    <col min="18" max="21" width="6.5703125" style="61" hidden="1" customWidth="1" outlineLevel="1"/>
    <col min="22" max="22" width="2.140625" style="61" hidden="1" customWidth="1" outlineLevel="1" collapsed="1"/>
    <col min="23" max="23" width="6.5703125" style="61" hidden="1" customWidth="1" outlineLevel="1"/>
    <col min="24" max="24" width="6.28515625" style="61" hidden="1" customWidth="1" outlineLevel="1"/>
    <col min="25" max="25" width="6.85546875" style="61" hidden="1" customWidth="1" outlineLevel="1"/>
    <col min="26" max="26" width="6.140625" style="61" hidden="1" customWidth="1" outlineLevel="1"/>
    <col min="27" max="27" width="2.140625" style="61" hidden="1" customWidth="1" outlineLevel="1" collapsed="1"/>
    <col min="28" max="28" width="6.5703125" style="61" hidden="1" customWidth="1" outlineLevel="1"/>
    <col min="29" max="29" width="6.28515625" style="61" hidden="1" customWidth="1" outlineLevel="1"/>
    <col min="30" max="30" width="6.85546875" style="61" hidden="1" customWidth="1" outlineLevel="1"/>
    <col min="31" max="31" width="6" style="61" hidden="1" customWidth="1" outlineLevel="1"/>
    <col min="32" max="32" width="1" style="61" hidden="1" customWidth="1" outlineLevel="1"/>
    <col min="33" max="33" width="6.5703125" style="61" hidden="1" customWidth="1" outlineLevel="1"/>
    <col min="34" max="34" width="6.28515625" style="61" hidden="1" customWidth="1" outlineLevel="1"/>
    <col min="35" max="35" width="6.85546875" style="61" hidden="1" customWidth="1" outlineLevel="1"/>
    <col min="36" max="36" width="7.42578125" style="61" hidden="1" customWidth="1" outlineLevel="1"/>
    <col min="37" max="37" width="1" style="61" hidden="1" customWidth="1" outlineLevel="1"/>
    <col min="38" max="38" width="6.5703125" style="61" hidden="1" customWidth="1" outlineLevel="1"/>
    <col min="39" max="39" width="6.28515625" style="61" hidden="1" customWidth="1" outlineLevel="1"/>
    <col min="40" max="40" width="6.85546875" style="61" hidden="1" customWidth="1" outlineLevel="1"/>
    <col min="41" max="41" width="7.42578125" style="61" hidden="1" customWidth="1" outlineLevel="1"/>
    <col min="42" max="42" width="1" style="61" hidden="1" customWidth="1" outlineLevel="1"/>
    <col min="43" max="43" width="6.5703125" style="61" hidden="1" customWidth="1" outlineLevel="1"/>
    <col min="44" max="44" width="6.28515625" style="61" hidden="1" customWidth="1" outlineLevel="1"/>
    <col min="45" max="45" width="6.85546875" style="61" hidden="1" customWidth="1" outlineLevel="1"/>
    <col min="46" max="46" width="7.42578125" style="61" hidden="1" customWidth="1" outlineLevel="1"/>
    <col min="47" max="47" width="1" style="61" hidden="1" customWidth="1" outlineLevel="1" collapsed="1"/>
    <col min="48" max="51" width="7.42578125" style="61" hidden="1" customWidth="1" outlineLevel="1"/>
    <col min="52" max="52" width="1" style="61" hidden="1" customWidth="1" outlineLevel="1" collapsed="1"/>
    <col min="53" max="56" width="7.42578125" style="61" hidden="1" customWidth="1" outlineLevel="1"/>
    <col min="57" max="57" width="1" style="61" hidden="1" customWidth="1" outlineLevel="1"/>
    <col min="58" max="61" width="7.42578125" style="61" hidden="1" customWidth="1" outlineLevel="1"/>
    <col min="62" max="62" width="1" style="61" hidden="1" customWidth="1" outlineLevel="1"/>
    <col min="63" max="66" width="7.42578125" style="61" hidden="1" customWidth="1" outlineLevel="1"/>
    <col min="67" max="67" width="2.140625" style="61" hidden="1" customWidth="1" outlineLevel="1"/>
    <col min="68" max="71" width="7.42578125" style="61" hidden="1" customWidth="1" outlineLevel="1"/>
    <col min="72" max="72" width="2.140625" style="61" hidden="1" customWidth="1" outlineLevel="1"/>
    <col min="73" max="73" width="7.42578125" style="61" hidden="1" customWidth="1" outlineLevel="1"/>
    <col min="74" max="76" width="8.5703125" style="61" hidden="1" customWidth="1" outlineLevel="1"/>
    <col min="77" max="77" width="2.140625" style="61" hidden="1" customWidth="1" outlineLevel="1"/>
    <col min="78" max="78" width="8" style="61" hidden="1" customWidth="1" outlineLevel="1"/>
    <col min="79" max="79" width="7.5703125" style="61" hidden="1" customWidth="1" outlineLevel="1"/>
    <col min="80" max="81" width="7.42578125" style="61" hidden="1" customWidth="1" outlineLevel="1"/>
    <col min="82" max="82" width="1.28515625" style="61" hidden="1" customWidth="1" outlineLevel="1"/>
    <col min="83" max="83" width="8.42578125" style="61" customWidth="1" collapsed="1"/>
    <col min="84" max="84" width="8.140625" style="61" customWidth="1"/>
    <col min="85" max="85" width="8.140625" style="535" customWidth="1"/>
    <col min="86" max="86" width="8.5703125" style="535" customWidth="1"/>
    <col min="87" max="87" width="1.140625" style="535" customWidth="1"/>
    <col min="88" max="88" width="7.42578125" style="535" customWidth="1"/>
    <col min="89" max="89" width="7.140625" style="535" customWidth="1"/>
    <col min="90" max="91" width="7" style="535" customWidth="1"/>
    <col min="92" max="92" width="1.140625" style="535" customWidth="1"/>
    <col min="93" max="93" width="8" style="535" customWidth="1"/>
    <col min="94" max="94" width="7" style="535" customWidth="1"/>
    <col min="95" max="95" width="7.5703125" style="535" customWidth="1"/>
    <col min="96" max="96" width="7.85546875" style="535" customWidth="1"/>
    <col min="97" max="97" width="1.140625" style="535" customWidth="1"/>
    <col min="98" max="99" width="6.28515625" style="535" hidden="1" customWidth="1" outlineLevel="1"/>
    <col min="100" max="100" width="7" style="535" hidden="1" customWidth="1" outlineLevel="1"/>
    <col min="101" max="101" width="6.28515625" style="535" hidden="1" customWidth="1" outlineLevel="1"/>
    <col min="102" max="102" width="7.28515625" style="535" hidden="1" customWidth="1" outlineLevel="1"/>
    <col min="103" max="105" width="6.85546875" style="535" hidden="1" customWidth="1" outlineLevel="1" collapsed="1"/>
    <col min="106" max="107" width="6.85546875" style="535" hidden="1" customWidth="1" outlineLevel="1"/>
    <col min="108" max="111" width="8.140625" style="535" hidden="1" customWidth="1" outlineLevel="1"/>
    <col min="112" max="112" width="7.42578125" style="535" hidden="1" customWidth="1" outlineLevel="1"/>
    <col min="113" max="113" width="8" style="535" customWidth="1" collapsed="1"/>
    <col min="114" max="114" width="7.85546875" style="535" customWidth="1"/>
    <col min="115" max="115" width="7.7109375" style="535" customWidth="1"/>
    <col min="116" max="117" width="7.85546875" style="535" customWidth="1"/>
    <col min="118" max="121" width="7.7109375" style="535" customWidth="1"/>
    <col min="122" max="122" width="7.42578125" style="61" customWidth="1"/>
    <col min="123" max="124" width="7.42578125" style="61" hidden="1" customWidth="1" outlineLevel="1"/>
    <col min="125" max="125" width="24.28515625" customWidth="1" collapsed="1"/>
    <col min="127" max="127" width="34.140625" bestFit="1" customWidth="1"/>
    <col min="131" max="16384" width="9.140625" style="61"/>
  </cols>
  <sheetData>
    <row r="2" spans="1:124">
      <c r="A2" s="1684" t="s">
        <v>342</v>
      </c>
      <c r="B2" s="1685"/>
      <c r="C2" s="1685"/>
      <c r="D2" s="1685"/>
      <c r="E2" s="1685"/>
      <c r="F2" s="1685"/>
      <c r="G2" s="1686"/>
      <c r="H2" s="1685"/>
      <c r="I2" s="1685"/>
      <c r="J2" s="1685"/>
      <c r="K2" s="1685"/>
      <c r="L2" s="1686"/>
      <c r="M2" s="1685"/>
      <c r="N2" s="1685"/>
      <c r="O2" s="1685"/>
      <c r="P2" s="1685"/>
      <c r="Q2" s="1686"/>
      <c r="R2" s="1685"/>
      <c r="S2" s="1685"/>
      <c r="T2" s="1685"/>
      <c r="U2" s="1685"/>
      <c r="V2" s="1686"/>
      <c r="W2" s="1685"/>
      <c r="X2" s="1685"/>
      <c r="Y2" s="1685"/>
      <c r="Z2" s="1685"/>
      <c r="AA2" s="1686"/>
      <c r="AB2" s="1685"/>
      <c r="AC2" s="1685"/>
      <c r="AD2" s="1685"/>
      <c r="AE2" s="1685"/>
      <c r="AF2" s="1686"/>
      <c r="AG2" s="1685"/>
      <c r="AH2" s="1685"/>
      <c r="AI2" s="1685"/>
      <c r="AJ2" s="1685"/>
      <c r="AK2" s="1686"/>
      <c r="AL2" s="1685"/>
      <c r="AM2" s="1685"/>
      <c r="AN2" s="1685"/>
      <c r="AO2" s="1685"/>
      <c r="AP2" s="1686"/>
      <c r="AQ2" s="1685"/>
      <c r="AR2" s="1685"/>
      <c r="AS2" s="1685"/>
      <c r="AT2" s="1685"/>
      <c r="AU2" s="1686"/>
      <c r="AV2" s="1685"/>
      <c r="AW2" s="1685"/>
      <c r="AX2" s="1685"/>
      <c r="AY2" s="1685"/>
      <c r="AZ2" s="1686"/>
      <c r="BA2" s="1685"/>
      <c r="BB2" s="1685"/>
      <c r="BC2" s="1685"/>
      <c r="BD2" s="1685"/>
      <c r="BE2" s="1686"/>
      <c r="BF2" s="1685"/>
      <c r="BG2" s="1685"/>
      <c r="BH2" s="1685"/>
      <c r="BI2" s="1685"/>
      <c r="BJ2" s="1686"/>
      <c r="BK2" s="1685"/>
      <c r="BL2" s="1685"/>
      <c r="BM2" s="1685"/>
      <c r="BN2" s="1685"/>
      <c r="BO2" s="1686"/>
      <c r="BP2" s="1685"/>
      <c r="BQ2" s="1685"/>
      <c r="BR2" s="1685"/>
      <c r="BS2" s="1685"/>
      <c r="BT2" s="1686"/>
      <c r="BU2" s="1686"/>
      <c r="BV2" s="1686"/>
      <c r="BW2" s="1686"/>
      <c r="BX2" s="1686"/>
      <c r="BY2" s="1686"/>
      <c r="BZ2" s="1686"/>
      <c r="CA2" s="1686"/>
      <c r="CB2" s="1686"/>
      <c r="CC2" s="1686"/>
      <c r="CD2" s="1686"/>
      <c r="CE2" s="1686"/>
      <c r="CF2" s="1686"/>
      <c r="CG2" s="1686"/>
      <c r="CH2" s="1686"/>
      <c r="CI2" s="1686"/>
      <c r="CJ2" s="1686"/>
      <c r="CK2" s="1686"/>
      <c r="CL2" s="1686"/>
      <c r="CM2" s="1686"/>
      <c r="CN2" s="1686"/>
      <c r="CO2" s="1686"/>
      <c r="CP2" s="1686"/>
      <c r="CQ2" s="1686"/>
      <c r="CR2" s="1686"/>
      <c r="CS2" s="1686"/>
      <c r="CT2" s="1685"/>
      <c r="CU2" s="1685"/>
      <c r="CV2" s="1685"/>
      <c r="CW2" s="1685"/>
      <c r="CX2" s="1685"/>
      <c r="CY2" s="1686"/>
      <c r="CZ2" s="1686"/>
      <c r="DA2" s="1686"/>
      <c r="DB2" s="1686"/>
      <c r="DC2" s="1686"/>
      <c r="DD2" s="1686"/>
      <c r="DE2" s="1686"/>
      <c r="DF2" s="1686"/>
      <c r="DG2" s="1686"/>
      <c r="DH2" s="1686"/>
      <c r="DI2" s="1686"/>
      <c r="DJ2" s="1686"/>
      <c r="DK2" s="1686"/>
      <c r="DL2" s="1686"/>
      <c r="DM2" s="1686"/>
      <c r="DN2" s="236"/>
      <c r="DO2" s="236"/>
      <c r="DP2" s="236"/>
      <c r="DQ2" s="236"/>
      <c r="DR2" s="236"/>
      <c r="DS2" s="236"/>
      <c r="DT2" s="236"/>
    </row>
    <row r="3" spans="1:124">
      <c r="A3" s="1687" t="s">
        <v>142</v>
      </c>
      <c r="B3" s="1688"/>
      <c r="C3" s="1688"/>
      <c r="D3" s="1688"/>
      <c r="E3" s="1688"/>
      <c r="F3" s="1688"/>
      <c r="G3" s="1689"/>
      <c r="H3" s="1688"/>
      <c r="I3" s="1688"/>
      <c r="J3" s="1688"/>
      <c r="K3" s="1688"/>
      <c r="L3" s="1689"/>
      <c r="M3" s="1688"/>
      <c r="N3" s="1688"/>
      <c r="O3" s="1688"/>
      <c r="P3" s="1688"/>
      <c r="Q3" s="1689"/>
      <c r="R3" s="1688"/>
      <c r="S3" s="1688"/>
      <c r="T3" s="1688"/>
      <c r="U3" s="1688"/>
      <c r="V3" s="1689"/>
      <c r="W3" s="1688"/>
      <c r="X3" s="1688"/>
      <c r="Y3" s="1688"/>
      <c r="Z3" s="1688"/>
      <c r="AA3" s="1689"/>
      <c r="AB3" s="1688"/>
      <c r="AC3" s="1688"/>
      <c r="AD3" s="1688"/>
      <c r="AE3" s="1688"/>
      <c r="AF3" s="1689"/>
      <c r="AG3" s="1688"/>
      <c r="AH3" s="1688"/>
      <c r="AI3" s="1688"/>
      <c r="AJ3" s="1688"/>
      <c r="AK3" s="1689"/>
      <c r="AL3" s="1688"/>
      <c r="AM3" s="1688"/>
      <c r="AN3" s="1688"/>
      <c r="AO3" s="1688"/>
      <c r="AP3" s="1689"/>
      <c r="AQ3" s="1688"/>
      <c r="AR3" s="1688"/>
      <c r="AS3" s="1688"/>
      <c r="AT3" s="1688"/>
      <c r="AU3" s="1689"/>
      <c r="AV3" s="1688"/>
      <c r="AW3" s="1688"/>
      <c r="AX3" s="1688"/>
      <c r="AY3" s="1688"/>
      <c r="AZ3" s="1689"/>
      <c r="BA3" s="1688"/>
      <c r="BB3" s="1688"/>
      <c r="BC3" s="1688"/>
      <c r="BD3" s="1688"/>
      <c r="BE3" s="1689"/>
      <c r="BF3" s="1688"/>
      <c r="BG3" s="1688"/>
      <c r="BH3" s="1688"/>
      <c r="BI3" s="1688"/>
      <c r="BJ3" s="1689"/>
      <c r="BK3" s="1688"/>
      <c r="BL3" s="1688"/>
      <c r="BM3" s="1688"/>
      <c r="BN3" s="1688"/>
      <c r="BO3" s="1689"/>
      <c r="BP3" s="1688"/>
      <c r="BQ3" s="1688"/>
      <c r="BR3" s="1688"/>
      <c r="BS3" s="1688"/>
      <c r="BT3" s="1689"/>
      <c r="BU3" s="1689"/>
      <c r="BV3" s="1689"/>
      <c r="BW3" s="1689"/>
      <c r="BX3" s="1689"/>
      <c r="BY3" s="1689"/>
      <c r="BZ3" s="1689"/>
      <c r="CA3" s="1689"/>
      <c r="CB3" s="1689"/>
      <c r="CC3" s="1689"/>
      <c r="CD3" s="1689"/>
      <c r="CE3" s="1689"/>
      <c r="CF3" s="1689"/>
      <c r="CG3" s="1689"/>
      <c r="CH3" s="1689"/>
      <c r="CI3" s="1689"/>
      <c r="CJ3" s="1689"/>
      <c r="CK3" s="1689"/>
      <c r="CL3" s="1689"/>
      <c r="CM3" s="1689"/>
      <c r="CN3" s="1689"/>
      <c r="CO3" s="1689"/>
      <c r="CP3" s="1689"/>
      <c r="CQ3" s="1689"/>
      <c r="CR3" s="1689"/>
      <c r="CS3" s="1689"/>
      <c r="CT3" s="1688"/>
      <c r="CU3" s="1688"/>
      <c r="CV3" s="1688"/>
      <c r="CW3" s="1688"/>
      <c r="CX3" s="1688"/>
      <c r="CY3" s="1689"/>
      <c r="CZ3" s="1689"/>
      <c r="DA3" s="1689"/>
      <c r="DB3" s="1689"/>
      <c r="DC3" s="1689"/>
      <c r="DD3" s="1689"/>
      <c r="DE3" s="1689"/>
      <c r="DF3" s="1689"/>
      <c r="DG3" s="1689"/>
      <c r="DH3" s="1689"/>
      <c r="DI3" s="1689"/>
      <c r="DJ3" s="1689"/>
      <c r="DK3" s="1689"/>
      <c r="DL3" s="1689"/>
      <c r="DM3" s="1689"/>
      <c r="DN3" s="1689"/>
      <c r="DO3" s="1689"/>
      <c r="DP3" s="1689"/>
      <c r="DQ3" s="1689"/>
      <c r="DR3" s="1689"/>
      <c r="DS3" s="1689"/>
      <c r="DT3" s="1690"/>
    </row>
    <row r="4" spans="1:124">
      <c r="A4" s="1686" t="s">
        <v>51</v>
      </c>
      <c r="B4" s="1685"/>
      <c r="C4" s="1685"/>
      <c r="D4" s="1685"/>
      <c r="E4" s="1685"/>
      <c r="F4" s="1685"/>
      <c r="G4" s="1686"/>
      <c r="H4" s="1685"/>
      <c r="I4" s="1685"/>
      <c r="J4" s="1685"/>
      <c r="K4" s="1685"/>
      <c r="L4" s="1686"/>
      <c r="M4" s="1685"/>
      <c r="N4" s="1685"/>
      <c r="O4" s="1685"/>
      <c r="P4" s="1685"/>
      <c r="Q4" s="1686"/>
      <c r="R4" s="1685"/>
      <c r="S4" s="1685"/>
      <c r="T4" s="1685"/>
      <c r="U4" s="1685"/>
      <c r="V4" s="1686"/>
      <c r="W4" s="1685"/>
      <c r="X4" s="1685"/>
      <c r="Y4" s="1685"/>
      <c r="Z4" s="1685"/>
      <c r="AA4" s="1686"/>
      <c r="AB4" s="1685"/>
      <c r="AC4" s="1685"/>
      <c r="AD4" s="1685"/>
      <c r="AE4" s="1685"/>
      <c r="AF4" s="1686"/>
      <c r="AG4" s="1685"/>
      <c r="AH4" s="1685"/>
      <c r="AI4" s="1685"/>
      <c r="AJ4" s="1685"/>
      <c r="AK4" s="1686"/>
      <c r="AL4" s="1685"/>
      <c r="AM4" s="1685"/>
      <c r="AN4" s="1685"/>
      <c r="AO4" s="1685"/>
      <c r="AP4" s="1686"/>
      <c r="AQ4" s="1685"/>
      <c r="AR4" s="1685"/>
      <c r="AS4" s="1685"/>
      <c r="AT4" s="1685"/>
      <c r="AU4" s="1686"/>
      <c r="AV4" s="1685"/>
      <c r="AW4" s="1685"/>
      <c r="AX4" s="1685"/>
      <c r="AY4" s="1685"/>
      <c r="AZ4" s="1686"/>
      <c r="BA4" s="1685"/>
      <c r="BB4" s="1685"/>
      <c r="BC4" s="1685"/>
      <c r="BD4" s="1685"/>
      <c r="BE4" s="1686"/>
      <c r="BF4" s="1685"/>
      <c r="BG4" s="1685"/>
      <c r="BH4" s="1685"/>
      <c r="BI4" s="1685"/>
      <c r="BJ4" s="1686"/>
      <c r="BK4" s="1685"/>
      <c r="BL4" s="1685"/>
      <c r="BM4" s="1685"/>
      <c r="BN4" s="1685"/>
      <c r="BO4" s="1686"/>
      <c r="BP4" s="1685"/>
      <c r="BQ4" s="1685"/>
      <c r="BR4" s="1685"/>
      <c r="BS4" s="1685"/>
      <c r="BT4" s="1686"/>
      <c r="BU4" s="1686"/>
      <c r="BV4" s="1686"/>
      <c r="BW4" s="1686"/>
      <c r="BX4" s="1686"/>
      <c r="BY4" s="1686"/>
      <c r="BZ4" s="1686"/>
      <c r="CA4" s="1686"/>
      <c r="CB4" s="1686"/>
      <c r="CC4" s="1686"/>
      <c r="CD4" s="1686"/>
      <c r="CE4" s="1686"/>
      <c r="CF4" s="1686"/>
      <c r="CG4" s="1686"/>
      <c r="CH4" s="1686"/>
      <c r="CI4" s="1686"/>
      <c r="CJ4" s="1686"/>
      <c r="CK4" s="1686"/>
      <c r="CL4" s="1686"/>
      <c r="CM4" s="1686"/>
      <c r="CN4" s="1686"/>
      <c r="CO4" s="1686"/>
      <c r="CP4" s="1686"/>
      <c r="CQ4" s="1686"/>
      <c r="CR4" s="1686"/>
      <c r="CS4" s="1686"/>
      <c r="CT4" s="1685"/>
      <c r="CU4" s="1685"/>
      <c r="CV4" s="1685"/>
      <c r="CW4" s="1685"/>
      <c r="CX4" s="1685"/>
      <c r="CY4" s="1686"/>
      <c r="CZ4" s="1686"/>
      <c r="DA4" s="1686"/>
      <c r="DB4" s="1686"/>
      <c r="DC4" s="1686"/>
      <c r="DD4" s="1686"/>
      <c r="DE4" s="1686"/>
      <c r="DF4" s="1686"/>
      <c r="DG4" s="1686"/>
      <c r="DH4" s="1686"/>
      <c r="DI4" s="1686"/>
      <c r="DJ4" s="1686"/>
      <c r="DK4" s="1686"/>
      <c r="DL4" s="1686"/>
      <c r="DM4" s="1686"/>
      <c r="DN4" s="236"/>
      <c r="DO4" s="236"/>
      <c r="DP4" s="1691"/>
      <c r="DQ4" s="1691"/>
      <c r="DR4" s="1691"/>
      <c r="DS4" s="1691"/>
      <c r="DT4" s="1692"/>
    </row>
    <row r="5" spans="1:124">
      <c r="A5" s="1686"/>
      <c r="B5" s="1685"/>
      <c r="C5" s="1685"/>
      <c r="D5" s="1685"/>
      <c r="E5" s="1685"/>
      <c r="F5" s="1685"/>
      <c r="G5" s="1686"/>
      <c r="H5" s="1685"/>
      <c r="I5" s="1685"/>
      <c r="J5" s="1685"/>
      <c r="K5" s="1685"/>
      <c r="L5" s="1686"/>
      <c r="M5" s="1685"/>
      <c r="N5" s="1685"/>
      <c r="O5" s="1685"/>
      <c r="P5" s="1685"/>
      <c r="Q5" s="1686"/>
      <c r="R5" s="1685"/>
      <c r="S5" s="1685"/>
      <c r="T5" s="1685"/>
      <c r="U5" s="1685"/>
      <c r="V5" s="1686"/>
      <c r="W5" s="1685"/>
      <c r="X5" s="1685"/>
      <c r="Y5" s="1685"/>
      <c r="Z5" s="1685"/>
      <c r="AA5" s="1686"/>
      <c r="AB5" s="1685"/>
      <c r="AC5" s="1685"/>
      <c r="AD5" s="1685"/>
      <c r="AE5" s="1685"/>
      <c r="AF5" s="1686"/>
      <c r="AG5" s="1685"/>
      <c r="AH5" s="1685"/>
      <c r="AI5" s="1685"/>
      <c r="AJ5" s="1685"/>
      <c r="AK5" s="1686"/>
      <c r="AL5" s="1685"/>
      <c r="AM5" s="1685"/>
      <c r="AN5" s="1685"/>
      <c r="AO5" s="1685"/>
      <c r="AP5" s="1686"/>
      <c r="AQ5" s="1685"/>
      <c r="AR5" s="1685"/>
      <c r="AS5" s="1685"/>
      <c r="AT5" s="1685"/>
      <c r="AU5" s="1686"/>
      <c r="AV5" s="1685"/>
      <c r="AW5" s="1685"/>
      <c r="AX5" s="1685"/>
      <c r="AY5" s="1685"/>
      <c r="AZ5" s="1686"/>
      <c r="BA5" s="1685"/>
      <c r="BB5" s="1685"/>
      <c r="BC5" s="1685"/>
      <c r="BD5" s="1685"/>
      <c r="BE5" s="1686"/>
      <c r="BF5" s="1685"/>
      <c r="BG5" s="1685"/>
      <c r="BH5" s="1685"/>
      <c r="BI5" s="1685"/>
      <c r="BJ5" s="1686"/>
      <c r="BK5" s="1685"/>
      <c r="BL5" s="1685"/>
      <c r="BM5" s="1685"/>
      <c r="BN5" s="1685"/>
      <c r="BO5" s="1686"/>
      <c r="BP5" s="1685"/>
      <c r="BQ5" s="1685"/>
      <c r="BR5" s="1685"/>
      <c r="BS5" s="1685"/>
      <c r="BT5" s="1686"/>
      <c r="BU5" s="1686"/>
      <c r="BV5" s="1686"/>
      <c r="BW5" s="1686"/>
      <c r="BX5" s="1686"/>
      <c r="BY5" s="1686"/>
      <c r="BZ5" s="1686"/>
      <c r="CA5" s="1686"/>
      <c r="CB5" s="1686"/>
      <c r="CC5" s="1686"/>
      <c r="CD5" s="1686"/>
      <c r="CE5" s="1686"/>
      <c r="CF5" s="1686"/>
      <c r="CG5" s="1686"/>
      <c r="CH5" s="1686"/>
      <c r="CI5" s="1686"/>
      <c r="CJ5" s="1686"/>
      <c r="CK5" s="1686"/>
      <c r="CL5" s="1686"/>
      <c r="CM5" s="1686"/>
      <c r="CN5" s="1686"/>
      <c r="CO5" s="1686"/>
      <c r="CP5" s="1686"/>
      <c r="CQ5" s="1686"/>
      <c r="CR5" s="1686"/>
      <c r="CS5" s="1686"/>
      <c r="CT5" s="1685"/>
      <c r="CU5" s="1685"/>
      <c r="CV5" s="1685"/>
      <c r="CW5" s="1685"/>
      <c r="CX5" s="1685"/>
      <c r="CY5" s="1686"/>
      <c r="CZ5" s="1686"/>
      <c r="DA5" s="1686"/>
      <c r="DB5" s="1686"/>
      <c r="DC5" s="1686"/>
      <c r="DD5" s="1686"/>
      <c r="DE5" s="1686"/>
      <c r="DF5" s="1686"/>
      <c r="DG5" s="1686"/>
      <c r="DH5" s="1686"/>
      <c r="DI5" s="1686"/>
      <c r="DJ5" s="1686"/>
      <c r="DK5" s="1686"/>
      <c r="DL5" s="1686"/>
      <c r="DM5" s="1686"/>
      <c r="DN5" s="236"/>
      <c r="DO5" s="236"/>
      <c r="DP5" s="1692"/>
      <c r="DQ5" s="1692"/>
      <c r="DR5" s="1692"/>
      <c r="DS5" s="1692"/>
      <c r="DT5" s="1692"/>
    </row>
    <row r="6" spans="1:124" ht="12.75" customHeight="1">
      <c r="A6" s="1693"/>
      <c r="B6" s="1694"/>
      <c r="C6" s="1695"/>
      <c r="D6" s="1695"/>
      <c r="E6" s="1695"/>
      <c r="F6" s="1695"/>
      <c r="G6" s="1696"/>
      <c r="H6" s="1695"/>
      <c r="I6" s="1695"/>
      <c r="J6" s="1695"/>
      <c r="K6" s="1695"/>
      <c r="L6" s="1696"/>
      <c r="M6" s="1695"/>
      <c r="N6" s="1695"/>
      <c r="O6" s="1695"/>
      <c r="P6" s="1695"/>
      <c r="Q6" s="1696"/>
      <c r="R6" s="1695"/>
      <c r="S6" s="1695"/>
      <c r="T6" s="1695"/>
      <c r="U6" s="1695"/>
      <c r="V6" s="1697"/>
      <c r="W6" s="1698"/>
      <c r="X6" s="1699"/>
      <c r="Y6" s="1699"/>
      <c r="Z6" s="1699"/>
      <c r="AA6" s="1700"/>
      <c r="AB6" s="1695"/>
      <c r="AC6" s="1695"/>
      <c r="AD6" s="1695"/>
      <c r="AE6" s="1695"/>
      <c r="AF6" s="1695"/>
      <c r="AG6" s="1696"/>
      <c r="AH6" s="1696"/>
      <c r="AI6" s="1696"/>
      <c r="AJ6" s="1696"/>
      <c r="AK6" s="1696"/>
      <c r="AL6" s="1695"/>
      <c r="AM6" s="1695"/>
      <c r="AN6" s="1695"/>
      <c r="AO6" s="1695"/>
      <c r="AP6" s="1694"/>
      <c r="AQ6" s="1695" t="s">
        <v>52</v>
      </c>
      <c r="AR6" s="1695"/>
      <c r="AS6" s="1695"/>
      <c r="AT6" s="1695"/>
      <c r="AU6" s="1695"/>
      <c r="AV6" s="1695"/>
      <c r="AW6" s="1695"/>
      <c r="AX6" s="1695"/>
      <c r="AY6" s="1695"/>
      <c r="AZ6" s="1695"/>
      <c r="BA6" s="1695"/>
      <c r="BB6" s="1695"/>
      <c r="BC6" s="1695"/>
      <c r="BD6" s="1695"/>
      <c r="BE6" s="1695"/>
      <c r="BF6" s="1695"/>
      <c r="BG6" s="1695"/>
      <c r="BH6" s="1695"/>
      <c r="BI6" s="1695"/>
      <c r="BJ6" s="1695"/>
      <c r="BK6" s="1695"/>
      <c r="BL6" s="1695"/>
      <c r="BM6" s="1695"/>
      <c r="BN6" s="1695"/>
      <c r="BO6" s="1686"/>
      <c r="BP6" s="1695"/>
      <c r="BQ6" s="1695"/>
      <c r="BR6" s="1695"/>
      <c r="BS6" s="1695"/>
      <c r="BT6" s="1686"/>
      <c r="BU6" s="1689"/>
      <c r="BV6" s="1689"/>
      <c r="BW6" s="1689"/>
      <c r="BX6" s="1689"/>
      <c r="BY6" s="1690"/>
      <c r="BZ6" s="1690"/>
      <c r="CA6" s="1690"/>
      <c r="CB6" s="1690"/>
      <c r="CC6" s="1690"/>
      <c r="CD6" s="1690"/>
      <c r="CE6" s="1701"/>
      <c r="CF6" s="1690"/>
      <c r="CG6" s="1690"/>
      <c r="CH6" s="1690"/>
      <c r="CI6" s="1690"/>
      <c r="CJ6" s="1701"/>
      <c r="CK6" s="1690"/>
      <c r="CL6" s="1690"/>
      <c r="CM6" s="1690"/>
      <c r="CN6" s="1690"/>
      <c r="CO6" s="1690"/>
      <c r="CP6" s="1690"/>
      <c r="CQ6" s="1690"/>
      <c r="CR6" s="1690"/>
      <c r="CS6" s="1686"/>
      <c r="CT6" s="1694"/>
      <c r="CU6" s="1694"/>
      <c r="CV6" s="1694"/>
      <c r="CW6" s="1694"/>
      <c r="CX6" s="1694"/>
      <c r="CY6" s="1695" t="s">
        <v>53</v>
      </c>
      <c r="CZ6" s="1695" t="s">
        <v>53</v>
      </c>
      <c r="DA6" s="1695"/>
      <c r="DB6" s="1695"/>
      <c r="DC6" s="1695"/>
      <c r="DD6" s="1694"/>
      <c r="DE6" s="1694"/>
      <c r="DF6" s="1694"/>
      <c r="DG6" s="1694"/>
      <c r="DH6" s="1694"/>
      <c r="DI6" s="1694"/>
      <c r="DJ6" s="1694"/>
      <c r="DK6" s="1694"/>
      <c r="DL6" s="1694"/>
      <c r="DM6" s="1694"/>
      <c r="DN6" s="236"/>
      <c r="DO6" s="236"/>
      <c r="DP6" s="1692"/>
      <c r="DQ6" s="1692"/>
      <c r="DR6" s="1692"/>
      <c r="DS6" s="1692"/>
      <c r="DT6" s="1692"/>
    </row>
    <row r="7" spans="1:124">
      <c r="A7" s="1702"/>
      <c r="B7" s="1703" t="s">
        <v>54</v>
      </c>
      <c r="C7" s="1704">
        <v>2000</v>
      </c>
      <c r="D7" s="1705"/>
      <c r="E7" s="1705"/>
      <c r="F7" s="1705"/>
      <c r="G7" s="1702"/>
      <c r="H7" s="1704">
        <f>+CY7</f>
        <v>2001</v>
      </c>
      <c r="I7" s="1705"/>
      <c r="J7" s="1705"/>
      <c r="K7" s="1705"/>
      <c r="L7" s="1702"/>
      <c r="M7" s="1704">
        <f>CZ7</f>
        <v>2002</v>
      </c>
      <c r="N7" s="1705"/>
      <c r="O7" s="1705"/>
      <c r="P7" s="1705"/>
      <c r="Q7" s="1702"/>
      <c r="R7" s="1704">
        <f>+DA7</f>
        <v>2003</v>
      </c>
      <c r="S7" s="1705"/>
      <c r="T7" s="1705"/>
      <c r="U7" s="1705"/>
      <c r="V7" s="1702"/>
      <c r="W7" s="1704">
        <f>+DB7</f>
        <v>2004</v>
      </c>
      <c r="X7" s="1705"/>
      <c r="Y7" s="1705"/>
      <c r="Z7" s="1705"/>
      <c r="AA7" s="1702"/>
      <c r="AB7" s="1704">
        <f>+DC7</f>
        <v>2005</v>
      </c>
      <c r="AC7" s="1705"/>
      <c r="AD7" s="1705"/>
      <c r="AE7" s="1705"/>
      <c r="AF7" s="1706"/>
      <c r="AG7" s="1704" t="s">
        <v>623</v>
      </c>
      <c r="AH7" s="1705"/>
      <c r="AI7" s="1705"/>
      <c r="AJ7" s="1705"/>
      <c r="AK7" s="1706"/>
      <c r="AL7" s="1704">
        <f>DE7</f>
        <v>2007</v>
      </c>
      <c r="AM7" s="1705"/>
      <c r="AN7" s="1705"/>
      <c r="AO7" s="1705"/>
      <c r="AP7" s="1707"/>
      <c r="AQ7" s="1704">
        <f>DF7</f>
        <v>2008</v>
      </c>
      <c r="AR7" s="1705"/>
      <c r="AS7" s="1708"/>
      <c r="AT7" s="1705"/>
      <c r="AU7" s="1706"/>
      <c r="AV7" s="1704">
        <f>DG7</f>
        <v>2009</v>
      </c>
      <c r="AW7" s="1705"/>
      <c r="AX7" s="1705"/>
      <c r="AY7" s="1705"/>
      <c r="AZ7" s="1706"/>
      <c r="BA7" s="1704">
        <f>DH7</f>
        <v>2010</v>
      </c>
      <c r="BB7" s="1705"/>
      <c r="BC7" s="1705"/>
      <c r="BD7" s="1705"/>
      <c r="BE7" s="1706"/>
      <c r="BF7" s="1704">
        <f>DI7</f>
        <v>2011</v>
      </c>
      <c r="BG7" s="1705"/>
      <c r="BH7" s="1705"/>
      <c r="BI7" s="1705"/>
      <c r="BJ7" s="1706"/>
      <c r="BK7" s="1709">
        <f>DJ7</f>
        <v>2012</v>
      </c>
      <c r="BL7" s="1705"/>
      <c r="BM7" s="1705"/>
      <c r="BN7" s="1705"/>
      <c r="BO7" s="1702"/>
      <c r="BP7" s="1704">
        <f>DK7</f>
        <v>2013</v>
      </c>
      <c r="BQ7" s="1705"/>
      <c r="BR7" s="1705"/>
      <c r="BS7" s="1705"/>
      <c r="BT7" s="1702"/>
      <c r="BU7" s="1704">
        <f>DL7</f>
        <v>2014</v>
      </c>
      <c r="BV7" s="1704"/>
      <c r="BW7" s="1704"/>
      <c r="BX7" s="1704"/>
      <c r="BY7" s="1710"/>
      <c r="BZ7" s="2390" t="s">
        <v>792</v>
      </c>
      <c r="CA7" s="2390"/>
      <c r="CB7" s="2390"/>
      <c r="CC7" s="2390"/>
      <c r="CD7" s="1711"/>
      <c r="CE7" s="2390" t="s">
        <v>803</v>
      </c>
      <c r="CF7" s="2390"/>
      <c r="CG7" s="2390"/>
      <c r="CH7" s="2390"/>
      <c r="CI7" s="1711"/>
      <c r="CJ7" s="2390" t="s">
        <v>853</v>
      </c>
      <c r="CK7" s="2390"/>
      <c r="CL7" s="2390"/>
      <c r="CM7" s="2390"/>
      <c r="CN7" s="1712"/>
      <c r="CO7" s="2391" t="s">
        <v>12</v>
      </c>
      <c r="CP7" s="2392"/>
      <c r="CQ7" s="2392"/>
      <c r="CR7" s="2392"/>
      <c r="CS7" s="1702"/>
      <c r="CT7" s="1713">
        <v>1996</v>
      </c>
      <c r="CU7" s="1713">
        <v>1997</v>
      </c>
      <c r="CV7" s="1713">
        <v>1998</v>
      </c>
      <c r="CW7" s="1713">
        <v>1999</v>
      </c>
      <c r="CX7" s="1713">
        <v>2000</v>
      </c>
      <c r="CY7" s="1714">
        <f>+CX7+1</f>
        <v>2001</v>
      </c>
      <c r="CZ7" s="1714">
        <f>+CY7+1</f>
        <v>2002</v>
      </c>
      <c r="DA7" s="1714">
        <v>2003</v>
      </c>
      <c r="DB7" s="1714">
        <v>2004</v>
      </c>
      <c r="DC7" s="1715">
        <v>2005</v>
      </c>
      <c r="DD7" s="1714">
        <v>2006</v>
      </c>
      <c r="DE7" s="1715">
        <v>2007</v>
      </c>
      <c r="DF7" s="1714">
        <v>2008</v>
      </c>
      <c r="DG7" s="1715">
        <v>2009</v>
      </c>
      <c r="DH7" s="1714">
        <v>2010</v>
      </c>
      <c r="DI7" s="1714">
        <v>2011</v>
      </c>
      <c r="DJ7" s="1716">
        <v>2012</v>
      </c>
      <c r="DK7" s="1716">
        <v>2013</v>
      </c>
      <c r="DL7" s="1716">
        <v>2014</v>
      </c>
      <c r="DM7" s="1715">
        <v>2015</v>
      </c>
      <c r="DN7" s="1715">
        <v>2016</v>
      </c>
      <c r="DO7" s="1715">
        <v>2017</v>
      </c>
      <c r="DP7" s="1717" t="s">
        <v>12</v>
      </c>
      <c r="DQ7" s="1717" t="s">
        <v>759</v>
      </c>
      <c r="DR7" s="1717" t="s">
        <v>760</v>
      </c>
      <c r="DS7" s="1943" t="s">
        <v>802</v>
      </c>
      <c r="DT7" s="1718" t="s">
        <v>804</v>
      </c>
    </row>
    <row r="8" spans="1:124">
      <c r="A8" s="1719" t="s">
        <v>64</v>
      </c>
      <c r="B8" s="1720"/>
      <c r="C8" s="1720" t="s">
        <v>63</v>
      </c>
      <c r="D8" s="1720" t="s">
        <v>167</v>
      </c>
      <c r="E8" s="1720" t="s">
        <v>166</v>
      </c>
      <c r="F8" s="1720" t="s">
        <v>62</v>
      </c>
      <c r="G8" s="1721"/>
      <c r="H8" s="1720" t="str">
        <f>C8</f>
        <v>Sept</v>
      </c>
      <c r="I8" s="1720" t="str">
        <f>D8</f>
        <v>Dec</v>
      </c>
      <c r="J8" s="1720" t="str">
        <f>E8</f>
        <v>Mar</v>
      </c>
      <c r="K8" s="1720" t="str">
        <f>F8</f>
        <v>June</v>
      </c>
      <c r="L8" s="1721"/>
      <c r="M8" s="1722" t="str">
        <f>+H8</f>
        <v>Sept</v>
      </c>
      <c r="N8" s="1722" t="str">
        <f>+I8</f>
        <v>Dec</v>
      </c>
      <c r="O8" s="1722" t="str">
        <f>+J8</f>
        <v>Mar</v>
      </c>
      <c r="P8" s="1722" t="str">
        <f>+K8</f>
        <v>June</v>
      </c>
      <c r="Q8" s="1721"/>
      <c r="R8" s="1722" t="str">
        <f>+M8</f>
        <v>Sept</v>
      </c>
      <c r="S8" s="1722" t="str">
        <f>+N8</f>
        <v>Dec</v>
      </c>
      <c r="T8" s="1722" t="str">
        <f>+O8</f>
        <v>Mar</v>
      </c>
      <c r="U8" s="1722" t="str">
        <f>+P8</f>
        <v>June</v>
      </c>
      <c r="V8" s="1721"/>
      <c r="W8" s="1722" t="str">
        <f>+R8</f>
        <v>Sept</v>
      </c>
      <c r="X8" s="1722" t="str">
        <f>+S8</f>
        <v>Dec</v>
      </c>
      <c r="Y8" s="1722" t="str">
        <f>+T8</f>
        <v>Mar</v>
      </c>
      <c r="Z8" s="1722" t="str">
        <f>+U8</f>
        <v>June</v>
      </c>
      <c r="AA8" s="1721"/>
      <c r="AB8" s="1722" t="str">
        <f>W8</f>
        <v>Sept</v>
      </c>
      <c r="AC8" s="1722" t="str">
        <f>X8</f>
        <v>Dec</v>
      </c>
      <c r="AD8" s="1722" t="str">
        <f>Y8</f>
        <v>Mar</v>
      </c>
      <c r="AE8" s="1722" t="str">
        <f>Z8</f>
        <v>June</v>
      </c>
      <c r="AF8" s="1721"/>
      <c r="AG8" s="1722" t="str">
        <f>AB8</f>
        <v>Sept</v>
      </c>
      <c r="AH8" s="1722" t="str">
        <f>AC8</f>
        <v>Dec</v>
      </c>
      <c r="AI8" s="1722" t="str">
        <f>AD8</f>
        <v>Mar</v>
      </c>
      <c r="AJ8" s="1722" t="str">
        <f>AE8</f>
        <v>June</v>
      </c>
      <c r="AK8" s="1721"/>
      <c r="AL8" s="1722" t="str">
        <f>AG8</f>
        <v>Sept</v>
      </c>
      <c r="AM8" s="1722" t="str">
        <f>AH8</f>
        <v>Dec</v>
      </c>
      <c r="AN8" s="1722" t="str">
        <f>AI8</f>
        <v>Mar</v>
      </c>
      <c r="AO8" s="1722" t="str">
        <f>AJ8</f>
        <v>June</v>
      </c>
      <c r="AP8" s="1721"/>
      <c r="AQ8" s="1722" t="s">
        <v>63</v>
      </c>
      <c r="AR8" s="1722" t="s">
        <v>167</v>
      </c>
      <c r="AS8" s="1722" t="s">
        <v>166</v>
      </c>
      <c r="AT8" s="1722" t="s">
        <v>62</v>
      </c>
      <c r="AU8" s="1721"/>
      <c r="AV8" s="1722" t="s">
        <v>63</v>
      </c>
      <c r="AW8" s="1722" t="s">
        <v>167</v>
      </c>
      <c r="AX8" s="1722" t="s">
        <v>166</v>
      </c>
      <c r="AY8" s="1722" t="s">
        <v>62</v>
      </c>
      <c r="AZ8" s="1721"/>
      <c r="BA8" s="1722" t="s">
        <v>63</v>
      </c>
      <c r="BB8" s="1722" t="s">
        <v>167</v>
      </c>
      <c r="BC8" s="1722" t="s">
        <v>166</v>
      </c>
      <c r="BD8" s="1722" t="s">
        <v>62</v>
      </c>
      <c r="BE8" s="1721"/>
      <c r="BF8" s="1722" t="s">
        <v>63</v>
      </c>
      <c r="BG8" s="1722" t="s">
        <v>167</v>
      </c>
      <c r="BH8" s="1722" t="s">
        <v>166</v>
      </c>
      <c r="BI8" s="1722" t="s">
        <v>62</v>
      </c>
      <c r="BJ8" s="1721"/>
      <c r="BK8" s="1722" t="s">
        <v>63</v>
      </c>
      <c r="BL8" s="1722" t="s">
        <v>167</v>
      </c>
      <c r="BM8" s="1722" t="s">
        <v>166</v>
      </c>
      <c r="BN8" s="1722" t="s">
        <v>62</v>
      </c>
      <c r="BO8" s="1721"/>
      <c r="BP8" s="1722" t="s">
        <v>63</v>
      </c>
      <c r="BQ8" s="1722" t="s">
        <v>167</v>
      </c>
      <c r="BR8" s="1722" t="s">
        <v>166</v>
      </c>
      <c r="BS8" s="1722" t="s">
        <v>62</v>
      </c>
      <c r="BT8" s="1721"/>
      <c r="BU8" s="1722" t="s">
        <v>63</v>
      </c>
      <c r="BV8" s="1722" t="s">
        <v>167</v>
      </c>
      <c r="BW8" s="1722" t="s">
        <v>166</v>
      </c>
      <c r="BX8" s="1722" t="s">
        <v>62</v>
      </c>
      <c r="BY8" s="1723"/>
      <c r="BZ8" s="1722" t="s">
        <v>63</v>
      </c>
      <c r="CA8" s="1722" t="s">
        <v>167</v>
      </c>
      <c r="CB8" s="1722" t="s">
        <v>166</v>
      </c>
      <c r="CC8" s="1722" t="s">
        <v>62</v>
      </c>
      <c r="CD8" s="1723"/>
      <c r="CE8" s="1722" t="s">
        <v>63</v>
      </c>
      <c r="CF8" s="1722" t="s">
        <v>167</v>
      </c>
      <c r="CG8" s="1722" t="s">
        <v>166</v>
      </c>
      <c r="CH8" s="1722" t="s">
        <v>62</v>
      </c>
      <c r="CI8" s="1723"/>
      <c r="CJ8" s="1722" t="s">
        <v>63</v>
      </c>
      <c r="CK8" s="1722" t="s">
        <v>167</v>
      </c>
      <c r="CL8" s="1722" t="s">
        <v>166</v>
      </c>
      <c r="CM8" s="1722" t="s">
        <v>62</v>
      </c>
      <c r="CN8" s="1724"/>
      <c r="CO8" s="1722" t="s">
        <v>63</v>
      </c>
      <c r="CP8" s="1722" t="s">
        <v>167</v>
      </c>
      <c r="CQ8" s="1724" t="s">
        <v>166</v>
      </c>
      <c r="CR8" s="1724" t="s">
        <v>62</v>
      </c>
      <c r="CS8" s="1721"/>
      <c r="CT8" s="1725" t="s">
        <v>62</v>
      </c>
      <c r="CU8" s="1725" t="s">
        <v>62</v>
      </c>
      <c r="CV8" s="1725" t="s">
        <v>62</v>
      </c>
      <c r="CW8" s="1725" t="s">
        <v>62</v>
      </c>
      <c r="CX8" s="1725" t="s">
        <v>62</v>
      </c>
      <c r="CY8" s="1726" t="str">
        <f t="shared" ref="CY8:DE8" si="0">CX8</f>
        <v>June</v>
      </c>
      <c r="CZ8" s="1726" t="str">
        <f t="shared" si="0"/>
        <v>June</v>
      </c>
      <c r="DA8" s="1726" t="str">
        <f t="shared" si="0"/>
        <v>June</v>
      </c>
      <c r="DB8" s="1726" t="str">
        <f t="shared" si="0"/>
        <v>June</v>
      </c>
      <c r="DC8" s="1725" t="str">
        <f t="shared" si="0"/>
        <v>June</v>
      </c>
      <c r="DD8" s="1726" t="str">
        <f t="shared" si="0"/>
        <v>June</v>
      </c>
      <c r="DE8" s="1725" t="str">
        <f t="shared" si="0"/>
        <v>June</v>
      </c>
      <c r="DF8" s="1726" t="str">
        <f t="shared" ref="DF8:DK8" si="1">DE8</f>
        <v>June</v>
      </c>
      <c r="DG8" s="1725" t="str">
        <f t="shared" si="1"/>
        <v>June</v>
      </c>
      <c r="DH8" s="1726" t="str">
        <f t="shared" si="1"/>
        <v>June</v>
      </c>
      <c r="DI8" s="1726" t="str">
        <f t="shared" si="1"/>
        <v>June</v>
      </c>
      <c r="DJ8" s="1725" t="str">
        <f t="shared" si="1"/>
        <v>June</v>
      </c>
      <c r="DK8" s="1725" t="str">
        <f t="shared" si="1"/>
        <v>June</v>
      </c>
      <c r="DL8" s="1725" t="str">
        <f t="shared" ref="DL8:DR8" si="2">DK8</f>
        <v>June</v>
      </c>
      <c r="DM8" s="1725" t="str">
        <f t="shared" si="2"/>
        <v>June</v>
      </c>
      <c r="DN8" s="1725" t="str">
        <f t="shared" si="2"/>
        <v>June</v>
      </c>
      <c r="DO8" s="1725" t="str">
        <f t="shared" si="2"/>
        <v>June</v>
      </c>
      <c r="DP8" s="1725" t="str">
        <f t="shared" si="2"/>
        <v>June</v>
      </c>
      <c r="DQ8" s="1725" t="str">
        <f t="shared" si="2"/>
        <v>June</v>
      </c>
      <c r="DR8" s="1725" t="str">
        <f t="shared" si="2"/>
        <v>June</v>
      </c>
      <c r="DS8" s="1726" t="str">
        <f>DR8</f>
        <v>June</v>
      </c>
      <c r="DT8" s="1727" t="str">
        <f>DS8</f>
        <v>June</v>
      </c>
    </row>
    <row r="9" spans="1:124">
      <c r="A9" s="1686"/>
      <c r="B9" s="1728"/>
      <c r="C9" s="1728"/>
      <c r="D9" s="1728"/>
      <c r="E9" s="1728"/>
      <c r="F9" s="1728"/>
      <c r="G9" s="1729"/>
      <c r="H9" s="1728"/>
      <c r="I9" s="1728"/>
      <c r="J9" s="1728"/>
      <c r="K9" s="1728"/>
      <c r="L9" s="1729"/>
      <c r="M9" s="1728"/>
      <c r="N9" s="1728"/>
      <c r="O9" s="1728"/>
      <c r="P9" s="1728"/>
      <c r="Q9" s="1729"/>
      <c r="R9" s="1728"/>
      <c r="S9" s="1728"/>
      <c r="T9" s="1728"/>
      <c r="U9" s="1728"/>
      <c r="V9" s="1729"/>
      <c r="W9" s="1728"/>
      <c r="X9" s="1728"/>
      <c r="Y9" s="1728"/>
      <c r="Z9" s="1728"/>
      <c r="AA9" s="1729"/>
      <c r="AB9" s="1728"/>
      <c r="AC9" s="1728"/>
      <c r="AD9" s="1728"/>
      <c r="AE9" s="1728"/>
      <c r="AF9" s="1729"/>
      <c r="AG9" s="1728"/>
      <c r="AH9" s="1728"/>
      <c r="AI9" s="1728"/>
      <c r="AJ9" s="1728"/>
      <c r="AK9" s="1729"/>
      <c r="AL9" s="1728"/>
      <c r="AM9" s="1728"/>
      <c r="AN9" s="1728"/>
      <c r="AO9" s="1728"/>
      <c r="AP9" s="1729"/>
      <c r="AQ9" s="1728"/>
      <c r="AR9" s="1728"/>
      <c r="AS9" s="1728"/>
      <c r="AT9" s="1728"/>
      <c r="AU9" s="1729"/>
      <c r="AV9" s="1728"/>
      <c r="AW9" s="1728"/>
      <c r="AX9" s="1728"/>
      <c r="AY9" s="1728"/>
      <c r="AZ9" s="1729"/>
      <c r="BA9" s="1728"/>
      <c r="BB9" s="1728"/>
      <c r="BC9" s="1728"/>
      <c r="BD9" s="1728"/>
      <c r="BE9" s="1729"/>
      <c r="BF9" s="1728"/>
      <c r="BG9" s="1728"/>
      <c r="BH9" s="1728"/>
      <c r="BI9" s="1728"/>
      <c r="BJ9" s="1729"/>
      <c r="BK9" s="1728"/>
      <c r="BL9" s="1728"/>
      <c r="BM9" s="1728"/>
      <c r="BN9" s="1728"/>
      <c r="BO9" s="1729"/>
      <c r="BP9" s="1728"/>
      <c r="BQ9" s="1728"/>
      <c r="BR9" s="1728"/>
      <c r="BS9" s="1728"/>
      <c r="BT9" s="1729"/>
      <c r="BU9" s="1729"/>
      <c r="BV9" s="1729"/>
      <c r="BW9" s="1729"/>
      <c r="BX9" s="1729"/>
      <c r="BY9" s="1729"/>
      <c r="BZ9" s="1729"/>
      <c r="CA9" s="1729"/>
      <c r="CB9" s="1729"/>
      <c r="CC9" s="1729"/>
      <c r="CD9" s="1729"/>
      <c r="CE9" s="1729"/>
      <c r="CF9" s="1729"/>
      <c r="CG9" s="1729"/>
      <c r="CH9" s="1729"/>
      <c r="CI9" s="1729"/>
      <c r="CJ9" s="1729"/>
      <c r="CK9" s="1730"/>
      <c r="CL9" s="1730"/>
      <c r="CM9" s="1729"/>
      <c r="CN9" s="1729"/>
      <c r="CO9" s="1729"/>
      <c r="CP9" s="1729"/>
      <c r="CQ9" s="1729"/>
      <c r="CR9" s="1729"/>
      <c r="CS9" s="1729"/>
      <c r="CT9" s="1690"/>
      <c r="CU9" s="1690"/>
      <c r="CV9" s="1690"/>
      <c r="CW9" s="1690"/>
      <c r="CX9" s="1690"/>
      <c r="CY9" s="1731"/>
      <c r="CZ9" s="1731"/>
      <c r="DA9" s="1731"/>
      <c r="DB9" s="1731"/>
      <c r="DC9" s="1690"/>
      <c r="DD9" s="1731"/>
      <c r="DE9" s="1690"/>
      <c r="DF9" s="1731"/>
      <c r="DG9" s="1690"/>
      <c r="DH9" s="1731"/>
      <c r="DI9" s="1731"/>
      <c r="DJ9" s="1690"/>
      <c r="DK9" s="1690"/>
      <c r="DL9" s="1690"/>
      <c r="DM9" s="1690"/>
      <c r="DN9" s="1692"/>
      <c r="DO9" s="1692"/>
      <c r="DP9" s="1692"/>
      <c r="DQ9" s="1692"/>
      <c r="DR9" s="1692"/>
      <c r="DS9" s="1944"/>
      <c r="DT9" s="1732"/>
    </row>
    <row r="10" spans="1:124">
      <c r="A10" s="1733" t="s">
        <v>65</v>
      </c>
      <c r="B10" s="722"/>
      <c r="C10" s="722">
        <f>'qtrP&amp;L'!$X10</f>
        <v>118.032</v>
      </c>
      <c r="D10" s="722">
        <f>'qtrP&amp;L'!$X11</f>
        <v>194.12799999999999</v>
      </c>
      <c r="E10" s="722">
        <f>'qtrP&amp;L'!$X12</f>
        <v>115.072</v>
      </c>
      <c r="F10" s="722">
        <f>'qtrP&amp;L'!$X13</f>
        <v>121.68600000000001</v>
      </c>
      <c r="G10" s="722"/>
      <c r="H10" s="722">
        <f>'qtrP&amp;L'!$AB10</f>
        <v>131.495</v>
      </c>
      <c r="I10" s="722">
        <f>'qtrP&amp;L'!$AB11</f>
        <v>211.02799999999999</v>
      </c>
      <c r="J10" s="722">
        <f>'qtrP&amp;L'!$AB12</f>
        <v>125.714</v>
      </c>
      <c r="K10" s="722">
        <f>'qtrP&amp;L'!$AB13</f>
        <v>132.25399999999999</v>
      </c>
      <c r="L10" s="722"/>
      <c r="M10" s="722">
        <f>'qtrP&amp;L'!$AF10</f>
        <v>150.702</v>
      </c>
      <c r="N10" s="722">
        <f>'qtrP&amp;L'!$AF11</f>
        <v>235.75</v>
      </c>
      <c r="O10" s="722">
        <f>'qtrP&amp;L'!$AF12</f>
        <v>161.571</v>
      </c>
      <c r="P10" s="722">
        <f>'qtrP&amp;L'!$AF13</f>
        <v>171.38</v>
      </c>
      <c r="Q10" s="722"/>
      <c r="R10" s="722">
        <f>'qtrP&amp;L'!$AJ10</f>
        <v>192.791</v>
      </c>
      <c r="S10" s="722">
        <f>'qtrP&amp;L'!$AJ11</f>
        <v>308.52300000000002</v>
      </c>
      <c r="T10" s="722">
        <f>'qtrP&amp;L'!$AJ12</f>
        <v>220.39599999999999</v>
      </c>
      <c r="U10" s="722">
        <f>'qtrP&amp;L'!$AJ13</f>
        <v>231.51599999999999</v>
      </c>
      <c r="V10" s="722"/>
      <c r="W10" s="722">
        <f>+'qtrP&amp;L'!$AN$10</f>
        <v>258.375</v>
      </c>
      <c r="X10" s="722">
        <f>+'qtrP&amp;L'!$AN$11</f>
        <v>411.51299999999998</v>
      </c>
      <c r="Y10" s="722">
        <f>+'qtrP&amp;L'!$AN$12</f>
        <v>313.07299999999998</v>
      </c>
      <c r="Z10" s="722">
        <f>+'qtrP&amp;L'!$AN$13</f>
        <v>338.14499999999998</v>
      </c>
      <c r="AA10" s="722"/>
      <c r="AB10" s="722">
        <f>+'qtrP&amp;L'!$AR$10</f>
        <v>344.065</v>
      </c>
      <c r="AC10" s="722">
        <f>+'qtrP&amp;L'!$AR$11</f>
        <v>531.75900000000001</v>
      </c>
      <c r="AD10" s="722">
        <f>+'qtrP&amp;L'!$AR$12</f>
        <v>415.93900000000002</v>
      </c>
      <c r="AE10" s="722">
        <f>+'qtrP&amp;L'!$AR$13</f>
        <v>418.66</v>
      </c>
      <c r="AF10" s="722"/>
      <c r="AG10" s="722">
        <f>+'qtrP&amp;L'!$AV$10</f>
        <v>434</v>
      </c>
      <c r="AH10" s="722">
        <f>+'qtrP&amp;L'!$AV$11</f>
        <v>619.79999999999995</v>
      </c>
      <c r="AI10" s="722">
        <f>+'qtrP&amp;L'!$AV$12</f>
        <v>479.71800000000002</v>
      </c>
      <c r="AJ10" s="722">
        <f>+'qtrP&amp;L'!$AV$13</f>
        <v>501.57299999999998</v>
      </c>
      <c r="AK10" s="722"/>
      <c r="AL10" s="722">
        <f>+'qtrP&amp;L'!$AZ$10</f>
        <v>529.42100000000005</v>
      </c>
      <c r="AM10" s="722">
        <f>+'qtrP&amp;L'!$AZ$11</f>
        <v>805.60299999999995</v>
      </c>
      <c r="AN10" s="722">
        <f>+'qtrP&amp;L'!$AZ$12</f>
        <v>625.303</v>
      </c>
      <c r="AO10" s="722">
        <f>+'qtrP&amp;L'!$AZ$13</f>
        <v>652.12900000000002</v>
      </c>
      <c r="AP10" s="722"/>
      <c r="AQ10" s="722">
        <f>+'qtrP&amp;L'!$BD$10</f>
        <v>676.71799999999996</v>
      </c>
      <c r="AR10" s="722">
        <f>+'qtrP&amp;L'!$BD$11</f>
        <v>978.01700000000005</v>
      </c>
      <c r="AS10" s="722">
        <f>+'qtrP&amp;L'!$BD$12</f>
        <v>744.52200000000005</v>
      </c>
      <c r="AT10" s="722">
        <f>+'qtrP&amp;L'!$BD$13</f>
        <v>781.5</v>
      </c>
      <c r="AU10" s="722"/>
      <c r="AV10" s="722">
        <f>'qtrP&amp;L'!$BH$10</f>
        <v>752.529</v>
      </c>
      <c r="AW10" s="722">
        <f>'qtrP&amp;L'!$BH$11</f>
        <v>960.25599999999997</v>
      </c>
      <c r="AX10" s="722">
        <f>'qtrP&amp;L'!$BH$12</f>
        <v>739.93899999999996</v>
      </c>
      <c r="AY10" s="722">
        <f>'qtrP&amp;L'!$BH$13</f>
        <v>777.74400000000003</v>
      </c>
      <c r="AZ10" s="722"/>
      <c r="BA10" s="722">
        <f>'qtrP&amp;L'!$BL$10</f>
        <v>761.43700000000001</v>
      </c>
      <c r="BB10" s="722">
        <f>'qtrP&amp;L'!$BL$11</f>
        <v>1065.0050000000001</v>
      </c>
      <c r="BC10" s="722">
        <f>'qtrP&amp;L'!$BL$12</f>
        <v>830.66899999999998</v>
      </c>
      <c r="BD10" s="722">
        <f>'qtrP&amp;L'!$BL$13</f>
        <v>950.52499999999998</v>
      </c>
      <c r="BE10" s="722"/>
      <c r="BF10" s="722">
        <f>'qtrP&amp;L'!$BP$10</f>
        <v>911.66899999999998</v>
      </c>
      <c r="BG10" s="722">
        <f>'qtrP&amp;L'!$BP$11</f>
        <v>1264.4570000000001</v>
      </c>
      <c r="BH10" s="722">
        <f>'qtrP&amp;L'!$BP$12</f>
        <v>950.70600000000002</v>
      </c>
      <c r="BI10" s="722">
        <f>'qtrP&amp;L'!$BP$13</f>
        <v>1031.675</v>
      </c>
      <c r="BJ10" s="722"/>
      <c r="BK10" s="722">
        <f>'qtrP&amp;L'!$BT$10</f>
        <v>1050.3589999999999</v>
      </c>
      <c r="BL10" s="722">
        <f>'qtrP&amp;L'!$BT$11</f>
        <v>1448.6489999999999</v>
      </c>
      <c r="BM10" s="722">
        <f>'qtrP&amp;L'!$BT$12</f>
        <v>1108.981</v>
      </c>
      <c r="BN10" s="722">
        <f>'qtrP&amp;L'!$BT$13</f>
        <v>1155.191</v>
      </c>
      <c r="BO10" s="722"/>
      <c r="BP10" s="722">
        <f>'qtrP&amp;L'!$BX$10</f>
        <v>1161.3499999999999</v>
      </c>
      <c r="BQ10" s="722">
        <f>'qtrP&amp;L'!$BX$11</f>
        <v>1503.7739999999999</v>
      </c>
      <c r="BR10" s="722">
        <f>'qtrP&amp;L'!$BX$12</f>
        <v>1187.578</v>
      </c>
      <c r="BS10" s="722">
        <f>'qtrP&amp;L'!$BX$13</f>
        <v>1222.6880000000001</v>
      </c>
      <c r="BT10" s="722"/>
      <c r="BU10" s="722">
        <f>'qtrP&amp;L'!CB10</f>
        <v>1150.76</v>
      </c>
      <c r="BV10" s="722">
        <f>'qtrP&amp;L'!CB11</f>
        <v>1419.624</v>
      </c>
      <c r="BW10" s="722">
        <f>'qtrP&amp;L'!CB12</f>
        <v>1099.626</v>
      </c>
      <c r="BX10" s="722">
        <f>'qtrP&amp;L'!CB13</f>
        <v>1136.2159999999999</v>
      </c>
      <c r="BY10" s="722"/>
      <c r="BZ10" s="722">
        <f>'qtrP&amp;L'!CF10</f>
        <v>1038.8</v>
      </c>
      <c r="CA10" s="722">
        <f>'qtrP&amp;L'!CF11</f>
        <v>1219.4000000000001</v>
      </c>
      <c r="CB10" s="722">
        <f>'qtrP&amp;L'!CF12</f>
        <v>929.3</v>
      </c>
      <c r="CC10" s="722">
        <f>'qtrP&amp;L'!CF13</f>
        <v>1004.1</v>
      </c>
      <c r="CD10" s="722"/>
      <c r="CE10" s="722">
        <f>'qtrP&amp;L'!CJ10</f>
        <v>1030.3</v>
      </c>
      <c r="CF10" s="722">
        <f>'qtrP&amp;L'!CJ11</f>
        <v>1273.8</v>
      </c>
      <c r="CG10" s="722">
        <f>'qtrP&amp;L'!CJ12</f>
        <v>1033.0999999999999</v>
      </c>
      <c r="CH10" s="722">
        <f>'qtrP&amp;L'!CJ13</f>
        <v>1154.5999999999999</v>
      </c>
      <c r="CI10" s="722"/>
      <c r="CJ10" s="722">
        <f>'qtrP&amp;L'!CN10</f>
        <v>1037.5999999999999</v>
      </c>
      <c r="CK10" s="722">
        <f>'qtrP&amp;L'!CN11</f>
        <v>1321.7</v>
      </c>
      <c r="CL10" s="722">
        <f>'qtrP&amp;L'!CN12</f>
        <v>995.2</v>
      </c>
      <c r="CM10" s="722">
        <f>'qtrP&amp;L'!CN13</f>
        <v>1133.8</v>
      </c>
      <c r="CN10" s="722"/>
      <c r="CO10" s="722">
        <f>'qtrP&amp;L'!CR10</f>
        <v>1288.9000000000001</v>
      </c>
      <c r="CP10" s="722">
        <f>'qtrP&amp;L'!CR11</f>
        <v>1785</v>
      </c>
      <c r="CQ10" s="722">
        <f>'qtrP&amp;L'!CR12</f>
        <v>1305.6010826712957</v>
      </c>
      <c r="CR10" s="722">
        <f>'qtrP&amp;L'!CR13</f>
        <v>1451.3955508720001</v>
      </c>
      <c r="CS10" s="722"/>
      <c r="CT10" s="1734">
        <f>'yrP&amp;L'!C7</f>
        <v>512.64499999999998</v>
      </c>
      <c r="CU10" s="1734">
        <f>'yrP&amp;L'!D7</f>
        <v>540.36599999999999</v>
      </c>
      <c r="CV10" s="1734">
        <f>'yrP&amp;L'!E7</f>
        <v>513.91499999999996</v>
      </c>
      <c r="CW10" s="1734">
        <f>'yrP&amp;L'!F7</f>
        <v>500.94400000000002</v>
      </c>
      <c r="CX10" s="1734">
        <f>'yrP&amp;L'!G7</f>
        <v>548.91800000000001</v>
      </c>
      <c r="CY10" s="1735">
        <f>'yrP&amp;L'!H7</f>
        <v>600.49099999999999</v>
      </c>
      <c r="CZ10" s="1735">
        <f>'yrP&amp;L'!I7</f>
        <v>719.40300000000002</v>
      </c>
      <c r="DA10" s="1735">
        <f>'yrP&amp;L'!J7</f>
        <v>953.226</v>
      </c>
      <c r="DB10" s="1735">
        <f>'yrP&amp;L'!K7</f>
        <v>1321.1059999999998</v>
      </c>
      <c r="DC10" s="1734">
        <f>'yrP&amp;L'!L7</f>
        <v>1710.4230000000002</v>
      </c>
      <c r="DD10" s="1735">
        <f>'yrP&amp;L'!M7</f>
        <v>2035.0909999999999</v>
      </c>
      <c r="DE10" s="1734">
        <f>'yrP&amp;L'!N7</f>
        <v>2612.4559999999997</v>
      </c>
      <c r="DF10" s="1735">
        <f>'yrP&amp;L'!O7</f>
        <v>3180.7570000000001</v>
      </c>
      <c r="DG10" s="1734">
        <f>'yrP&amp;L'!P7</f>
        <v>3230.4679999999998</v>
      </c>
      <c r="DH10" s="1735">
        <f>'yrP&amp;L'!Q7</f>
        <v>3607.636</v>
      </c>
      <c r="DI10" s="1735">
        <f>'yrP&amp;L'!R7</f>
        <v>4158.5070000000005</v>
      </c>
      <c r="DJ10" s="1734">
        <f>'yrP&amp;L'!S7</f>
        <v>4763.1799999999994</v>
      </c>
      <c r="DK10" s="1734">
        <f>'yrP&amp;L'!T7</f>
        <v>5075.3899999999994</v>
      </c>
      <c r="DL10" s="1734">
        <f>'yrP&amp;L'!U7</f>
        <v>4806.2260000000006</v>
      </c>
      <c r="DM10" s="1734">
        <f>'yrP&amp;L'!V7</f>
        <v>4191.6000000000004</v>
      </c>
      <c r="DN10" s="1734">
        <f>'yrP&amp;L'!W7</f>
        <v>4491.7999999999993</v>
      </c>
      <c r="DO10" s="1734">
        <f>'yrP&amp;L'!X7</f>
        <v>4488.3</v>
      </c>
      <c r="DP10" s="1734">
        <f>'yrP&amp;L'!Y7</f>
        <v>5830.896633543296</v>
      </c>
      <c r="DQ10" s="1734">
        <f>'yrP&amp;L'!Z7</f>
        <v>6016.7445650539694</v>
      </c>
      <c r="DR10" s="1734">
        <f>'yrP&amp;L'!AA7</f>
        <v>6189.4033278856969</v>
      </c>
      <c r="DS10" s="1735">
        <f>'yrP&amp;L'!AB7</f>
        <v>6366.6876309344079</v>
      </c>
      <c r="DT10" s="1736">
        <f>'yrP&amp;L'!AC7</f>
        <v>6549.1863844707495</v>
      </c>
    </row>
    <row r="11" spans="1:124">
      <c r="A11" s="1686"/>
      <c r="B11" s="1737"/>
      <c r="C11" s="722"/>
      <c r="D11" s="722"/>
      <c r="E11" s="722"/>
      <c r="F11" s="722"/>
      <c r="G11" s="1737"/>
      <c r="H11" s="722"/>
      <c r="I11" s="722"/>
      <c r="J11" s="722"/>
      <c r="K11" s="722"/>
      <c r="L11" s="1737"/>
      <c r="M11" s="722"/>
      <c r="N11" s="722"/>
      <c r="O11" s="722"/>
      <c r="P11" s="722"/>
      <c r="Q11" s="1737"/>
      <c r="R11" s="722"/>
      <c r="S11" s="722"/>
      <c r="T11" s="722"/>
      <c r="U11" s="722"/>
      <c r="V11" s="1737"/>
      <c r="W11" s="722"/>
      <c r="X11" s="722"/>
      <c r="Y11" s="722"/>
      <c r="Z11" s="722"/>
      <c r="AA11" s="1737"/>
      <c r="AB11" s="722"/>
      <c r="AC11" s="722"/>
      <c r="AD11" s="722"/>
      <c r="AE11" s="722"/>
      <c r="AF11" s="1737"/>
      <c r="AG11" s="722"/>
      <c r="AH11" s="722"/>
      <c r="AI11" s="722"/>
      <c r="AJ11" s="722"/>
      <c r="AK11" s="1737"/>
      <c r="AL11" s="722"/>
      <c r="AM11" s="722"/>
      <c r="AN11" s="722"/>
      <c r="AO11" s="722"/>
      <c r="AP11" s="1737"/>
      <c r="AQ11" s="722"/>
      <c r="AR11" s="722"/>
      <c r="AS11" s="722"/>
      <c r="AT11" s="722"/>
      <c r="AU11" s="1737"/>
      <c r="AV11" s="722"/>
      <c r="AW11" s="722"/>
      <c r="AX11" s="722"/>
      <c r="AY11" s="722"/>
      <c r="AZ11" s="1737"/>
      <c r="BA11" s="722"/>
      <c r="BB11" s="722"/>
      <c r="BC11" s="722"/>
      <c r="BD11" s="722"/>
      <c r="BE11" s="1737"/>
      <c r="BF11" s="722"/>
      <c r="BG11" s="722"/>
      <c r="BH11" s="722"/>
      <c r="BI11" s="722"/>
      <c r="BJ11" s="1737"/>
      <c r="BK11" s="722"/>
      <c r="BL11" s="722"/>
      <c r="BM11" s="722"/>
      <c r="BN11" s="722"/>
      <c r="BO11" s="1737"/>
      <c r="BP11" s="722"/>
      <c r="BQ11" s="722"/>
      <c r="BR11" s="722"/>
      <c r="BS11" s="722"/>
      <c r="BT11" s="1737"/>
      <c r="BU11" s="1737"/>
      <c r="BV11" s="1737"/>
      <c r="BW11" s="1737"/>
      <c r="BX11" s="1737"/>
      <c r="BY11" s="1737"/>
      <c r="BZ11" s="1737"/>
      <c r="CA11" s="1737"/>
      <c r="CB11" s="1737"/>
      <c r="CC11" s="1737"/>
      <c r="CD11" s="1737"/>
      <c r="CE11" s="1737"/>
      <c r="CF11" s="1737"/>
      <c r="CG11" s="1737"/>
      <c r="CH11" s="1737"/>
      <c r="CI11" s="1737"/>
      <c r="CJ11" s="1737"/>
      <c r="CK11" s="1737"/>
      <c r="CL11" s="1737"/>
      <c r="CM11" s="1737"/>
      <c r="CN11" s="1737"/>
      <c r="CO11" s="1737"/>
      <c r="CP11" s="1737"/>
      <c r="CQ11" s="1737"/>
      <c r="CR11" s="1737"/>
      <c r="CS11" s="1737"/>
      <c r="CT11" s="1734"/>
      <c r="CU11" s="1734"/>
      <c r="CV11" s="1734"/>
      <c r="CW11" s="1734"/>
      <c r="CX11" s="1734"/>
      <c r="CY11" s="1735"/>
      <c r="CZ11" s="1735"/>
      <c r="DA11" s="1735"/>
      <c r="DB11" s="1735"/>
      <c r="DC11" s="1734"/>
      <c r="DD11" s="1735"/>
      <c r="DE11" s="1734"/>
      <c r="DF11" s="1735"/>
      <c r="DG11" s="1734"/>
      <c r="DH11" s="1735"/>
      <c r="DI11" s="1735"/>
      <c r="DJ11" s="1734"/>
      <c r="DK11" s="1734"/>
      <c r="DL11" s="1734"/>
      <c r="DM11" s="1734"/>
      <c r="DN11" s="1692"/>
      <c r="DO11" s="1692"/>
      <c r="DP11" s="1692"/>
      <c r="DQ11" s="1692"/>
      <c r="DR11" s="1692"/>
      <c r="DS11" s="1944"/>
      <c r="DT11" s="1732"/>
    </row>
    <row r="12" spans="1:124">
      <c r="A12" s="1733" t="s">
        <v>66</v>
      </c>
      <c r="B12" s="722"/>
      <c r="C12" s="722">
        <f>'qtrP&amp;L'!$X20</f>
        <v>54.726999999999997</v>
      </c>
      <c r="D12" s="722">
        <f>'qtrP&amp;L'!$X21</f>
        <v>73.641000000000005</v>
      </c>
      <c r="E12" s="722">
        <f>'qtrP&amp;L'!$X22</f>
        <v>44.835000000000001</v>
      </c>
      <c r="F12" s="722">
        <f>'qtrP&amp;L'!$X23</f>
        <v>46.881999999999998</v>
      </c>
      <c r="G12" s="722"/>
      <c r="H12" s="722">
        <f>'qtrP&amp;L'!$AB20</f>
        <v>49.564</v>
      </c>
      <c r="I12" s="722">
        <f>'qtrP&amp;L'!$AB21</f>
        <v>74.146000000000001</v>
      </c>
      <c r="J12" s="722">
        <f>'qtrP&amp;L'!$AB22</f>
        <v>45.271999999999998</v>
      </c>
      <c r="K12" s="722">
        <f>'qtrP&amp;L'!$AB23</f>
        <v>49.524999999999999</v>
      </c>
      <c r="L12" s="722"/>
      <c r="M12" s="722">
        <f>'qtrP&amp;L'!$AF20</f>
        <v>54.131</v>
      </c>
      <c r="N12" s="722">
        <f>'qtrP&amp;L'!$AF21</f>
        <v>74.132000000000005</v>
      </c>
      <c r="O12" s="722">
        <f>'qtrP&amp;L'!$AF22</f>
        <v>50.465000000000003</v>
      </c>
      <c r="P12" s="722">
        <f>'qtrP&amp;L'!$AF23</f>
        <v>57.313000000000002</v>
      </c>
      <c r="Q12" s="722"/>
      <c r="R12" s="722">
        <f>'qtrP&amp;L'!$AJ20</f>
        <v>61.567</v>
      </c>
      <c r="S12" s="722">
        <f>'qtrP&amp;L'!$AJ21</f>
        <v>91.680999999999997</v>
      </c>
      <c r="T12" s="722">
        <f>'qtrP&amp;L'!$AJ22</f>
        <v>60.588999999999999</v>
      </c>
      <c r="U12" s="722">
        <f>'qtrP&amp;L'!$AJ23</f>
        <v>61.96</v>
      </c>
      <c r="V12" s="722"/>
      <c r="W12" s="722">
        <f>+'qtrP&amp;L'!$AN$20</f>
        <v>70.465999999999994</v>
      </c>
      <c r="X12" s="722">
        <f>+'qtrP&amp;L'!$AN$21</f>
        <v>106.37</v>
      </c>
      <c r="Y12" s="722">
        <f>+'qtrP&amp;L'!$AN$22</f>
        <v>75.555999999999997</v>
      </c>
      <c r="Z12" s="722">
        <f>+'qtrP&amp;L'!$AN$23</f>
        <v>78.632000000000005</v>
      </c>
      <c r="AA12" s="722"/>
      <c r="AB12" s="722">
        <f>+'qtrP&amp;L'!$AR$20</f>
        <v>85.891000000000005</v>
      </c>
      <c r="AC12" s="722">
        <f>+'qtrP&amp;L'!$AR$21</f>
        <v>128.791</v>
      </c>
      <c r="AD12" s="722">
        <f>+'qtrP&amp;L'!$AR$22</f>
        <v>91.266000000000005</v>
      </c>
      <c r="AE12" s="722">
        <f>+'qtrP&amp;L'!$AR$23</f>
        <v>93.703999999999994</v>
      </c>
      <c r="AF12" s="722"/>
      <c r="AG12" s="722">
        <f>+'qtrP&amp;L'!$AV$20</f>
        <v>103.9</v>
      </c>
      <c r="AH12" s="722">
        <f>+'qtrP&amp;L'!$AV$21</f>
        <v>138</v>
      </c>
      <c r="AI12" s="722">
        <f>+'qtrP&amp;L'!$AV$22</f>
        <v>103.51900000000001</v>
      </c>
      <c r="AJ12" s="722">
        <f>+'qtrP&amp;L'!$AV$23</f>
        <v>108.054</v>
      </c>
      <c r="AK12" s="722"/>
      <c r="AL12" s="722">
        <f>+'qtrP&amp;L'!$AZ$20</f>
        <v>123.416</v>
      </c>
      <c r="AM12" s="722">
        <f>+'qtrP&amp;L'!$AZ$21</f>
        <v>184.30799999999999</v>
      </c>
      <c r="AN12" s="722">
        <f>+'qtrP&amp;L'!$AZ$22</f>
        <v>138.893</v>
      </c>
      <c r="AO12" s="722">
        <f>+'qtrP&amp;L'!$AZ$23</f>
        <v>142.85300000000001</v>
      </c>
      <c r="AP12" s="722"/>
      <c r="AQ12" s="722">
        <f>+'qtrP&amp;L'!$BD$20</f>
        <v>158.49700000000001</v>
      </c>
      <c r="AR12" s="722">
        <f>+'qtrP&amp;L'!$BD$21</f>
        <v>240.745</v>
      </c>
      <c r="AS12" s="722">
        <f>+'qtrP&amp;L'!$BD$22</f>
        <v>186.20400000000001</v>
      </c>
      <c r="AT12" s="722">
        <f>+'qtrP&amp;L'!$BD$23</f>
        <v>188.208</v>
      </c>
      <c r="AU12" s="722"/>
      <c r="AV12" s="722">
        <f>'qtrP&amp;L'!$BH$20</f>
        <v>194.33600000000001</v>
      </c>
      <c r="AW12" s="722">
        <f>'qtrP&amp;L'!$BH$21</f>
        <v>268.22000000000003</v>
      </c>
      <c r="AX12" s="722">
        <f>'qtrP&amp;L'!$BH$22</f>
        <v>214.876</v>
      </c>
      <c r="AY12" s="722">
        <f>'qtrP&amp;L'!$BH$23</f>
        <v>230.42599999999999</v>
      </c>
      <c r="AZ12" s="722"/>
      <c r="BA12" s="722">
        <f>'qtrP&amp;L'!$BL$20</f>
        <v>211.25899999999999</v>
      </c>
      <c r="BB12" s="722">
        <f>'qtrP&amp;L'!$BL$21</f>
        <v>294.06599999999997</v>
      </c>
      <c r="BC12" s="722">
        <f>'qtrP&amp;L'!$BL$22</f>
        <v>215.09399999999999</v>
      </c>
      <c r="BD12" s="722">
        <f>'qtrP&amp;L'!$BL$23</f>
        <v>253.52600000000001</v>
      </c>
      <c r="BE12" s="722"/>
      <c r="BF12" s="722">
        <f>'qtrP&amp;L'!$BP$20</f>
        <v>235.49799999999999</v>
      </c>
      <c r="BG12" s="722">
        <f>'qtrP&amp;L'!$BP$21</f>
        <v>349.28100000000001</v>
      </c>
      <c r="BH12" s="722">
        <f>'qtrP&amp;L'!$BP$22</f>
        <v>259.05099999999999</v>
      </c>
      <c r="BI12" s="722">
        <f>'qtrP&amp;L'!$BP$23</f>
        <v>291.13600000000002</v>
      </c>
      <c r="BJ12" s="722"/>
      <c r="BK12" s="722">
        <f>'qtrP&amp;L'!$BT$20</f>
        <v>285.70600000000002</v>
      </c>
      <c r="BL12" s="722">
        <f>'qtrP&amp;L'!$BT$21</f>
        <v>403.43799999999999</v>
      </c>
      <c r="BM12" s="722">
        <f>'qtrP&amp;L'!$BT$22</f>
        <v>290.91399999999999</v>
      </c>
      <c r="BN12" s="722">
        <f>'qtrP&amp;L'!$BT$23</f>
        <v>317.04399999999998</v>
      </c>
      <c r="BO12" s="722"/>
      <c r="BP12" s="722">
        <f>'qtrP&amp;L'!$BX$20</f>
        <v>316.18200000000002</v>
      </c>
      <c r="BQ12" s="722">
        <f>'qtrP&amp;L'!$BX$21</f>
        <v>418.392</v>
      </c>
      <c r="BR12" s="722">
        <f>'qtrP&amp;L'!$BX$22</f>
        <v>307.39</v>
      </c>
      <c r="BS12" s="722">
        <f>'qtrP&amp;L'!$BX$23</f>
        <v>330.47800000000001</v>
      </c>
      <c r="BT12" s="722"/>
      <c r="BU12" s="722">
        <f>'qtrP&amp;L'!CB20</f>
        <v>324.18700000000001</v>
      </c>
      <c r="BV12" s="722">
        <f>'qtrP&amp;L'!CB21</f>
        <v>436.94499999999999</v>
      </c>
      <c r="BW12" s="722">
        <f>'qtrP&amp;L'!CB22</f>
        <v>318.28699999999998</v>
      </c>
      <c r="BX12" s="722">
        <f>'qtrP&amp;L'!CB23</f>
        <v>347.65199999999999</v>
      </c>
      <c r="BY12" s="722"/>
      <c r="BZ12" s="722">
        <f>'qtrP&amp;L'!CF20</f>
        <v>319.39999999999998</v>
      </c>
      <c r="CA12" s="722">
        <f>'qtrP&amp;L'!CF21</f>
        <v>378.4</v>
      </c>
      <c r="CB12" s="722">
        <f>'qtrP&amp;L'!CF22</f>
        <v>263.8</v>
      </c>
      <c r="CC12" s="722">
        <f>'qtrP&amp;L'!CF23</f>
        <v>311.7</v>
      </c>
      <c r="CD12" s="722"/>
      <c r="CE12" s="722">
        <f>'qtrP&amp;L'!CJ20</f>
        <v>332.90000000000003</v>
      </c>
      <c r="CF12" s="722">
        <f>'qtrP&amp;L'!CJ21</f>
        <v>414.7</v>
      </c>
      <c r="CG12" s="722">
        <f>'qtrP&amp;L'!CJ22</f>
        <v>320.10000000000002</v>
      </c>
      <c r="CH12" s="722">
        <f>'qtrP&amp;L'!CJ23</f>
        <v>371.7</v>
      </c>
      <c r="CI12" s="722"/>
      <c r="CJ12" s="722">
        <f>'qtrP&amp;L'!CN20</f>
        <v>322.5</v>
      </c>
      <c r="CK12" s="722">
        <f>'qtrP&amp;L'!CN21</f>
        <v>415.3</v>
      </c>
      <c r="CL12" s="722">
        <f>'qtrP&amp;L'!CN22</f>
        <v>289.5</v>
      </c>
      <c r="CM12" s="722">
        <f>'qtrP&amp;L'!CN23</f>
        <v>376.98</v>
      </c>
      <c r="CN12" s="722"/>
      <c r="CO12" s="722">
        <f>'qtrP&amp;L'!CR20</f>
        <v>436.1</v>
      </c>
      <c r="CP12" s="722">
        <f>'qtrP&amp;L'!CR21</f>
        <v>589.20000000000005</v>
      </c>
      <c r="CQ12" s="722">
        <f>'qtrP&amp;L'!CR22</f>
        <v>389.06912263604602</v>
      </c>
      <c r="CR12" s="722">
        <f>'qtrP&amp;L'!CR23</f>
        <v>489.12030064386414</v>
      </c>
      <c r="CS12" s="722"/>
      <c r="CT12" s="1734">
        <f>'yrP&amp;L'!C12</f>
        <v>211.977</v>
      </c>
      <c r="CU12" s="1734">
        <f>'yrP&amp;L'!D12</f>
        <v>227.08600000000001</v>
      </c>
      <c r="CV12" s="1734">
        <f>'yrP&amp;L'!E12</f>
        <v>235.512</v>
      </c>
      <c r="CW12" s="1734">
        <f>'yrP&amp;L'!F12</f>
        <v>226.19</v>
      </c>
      <c r="CX12" s="1734">
        <f>'yrP&amp;L'!G12</f>
        <v>220.08500000000001</v>
      </c>
      <c r="CY12" s="1735">
        <f>'yrP&amp;L'!H12</f>
        <v>218.50700000000001</v>
      </c>
      <c r="CZ12" s="1735">
        <f>'yrP&amp;L'!I12</f>
        <v>236.041</v>
      </c>
      <c r="DA12" s="1735">
        <f>'yrP&amp;L'!J12</f>
        <v>275.79699999999997</v>
      </c>
      <c r="DB12" s="1735">
        <f>'yrP&amp;L'!K12</f>
        <v>331.024</v>
      </c>
      <c r="DC12" s="1734">
        <f>'yrP&amp;L'!L12</f>
        <v>399.65200000000004</v>
      </c>
      <c r="DD12" s="1735">
        <f>'yrP&amp;L'!M12</f>
        <v>453.47299999999996</v>
      </c>
      <c r="DE12" s="1734">
        <f>'yrP&amp;L'!N12</f>
        <v>589.47</v>
      </c>
      <c r="DF12" s="1735">
        <f>'yrP&amp;L'!O12</f>
        <v>773.654</v>
      </c>
      <c r="DG12" s="1734">
        <f>'yrP&amp;L'!P12</f>
        <v>907.85799999999995</v>
      </c>
      <c r="DH12" s="1735">
        <f>'yrP&amp;L'!Q12</f>
        <v>973.94499999999994</v>
      </c>
      <c r="DI12" s="1735">
        <f>'yrP&amp;L'!R12</f>
        <v>1134.9659999999999</v>
      </c>
      <c r="DJ12" s="1734">
        <f>'yrP&amp;L'!S12</f>
        <v>1297.1019999999999</v>
      </c>
      <c r="DK12" s="1734">
        <f>'yrP&amp;L'!T12</f>
        <v>1372.442</v>
      </c>
      <c r="DL12" s="1734">
        <f>'yrP&amp;L'!U12</f>
        <v>1427.0710000000001</v>
      </c>
      <c r="DM12" s="1734">
        <f>'yrP&amp;L'!V12</f>
        <v>1273.3</v>
      </c>
      <c r="DN12" s="1734">
        <f>'yrP&amp;L'!W12</f>
        <v>1439.4</v>
      </c>
      <c r="DO12" s="1734">
        <f>'yrP&amp;L'!X12</f>
        <v>1404.28</v>
      </c>
      <c r="DP12" s="1734">
        <f>'yrP&amp;L'!Y12</f>
        <v>1903.4894232799102</v>
      </c>
      <c r="DQ12" s="1734">
        <f>'yrP&amp;L'!Z12</f>
        <v>1971.0855195116803</v>
      </c>
      <c r="DR12" s="1734">
        <f>'yrP&amp;L'!AA12</f>
        <v>2018.3644252235254</v>
      </c>
      <c r="DS12" s="1735">
        <f>'yrP&amp;L'!AB12</f>
        <v>2071.0834863429632</v>
      </c>
      <c r="DT12" s="1736">
        <f>'yrP&amp;L'!AC12</f>
        <v>2116.6970394609466</v>
      </c>
    </row>
    <row r="13" spans="1:124">
      <c r="A13" s="1686"/>
      <c r="B13" s="722"/>
      <c r="C13" s="722"/>
      <c r="D13" s="722"/>
      <c r="E13" s="722"/>
      <c r="F13" s="722"/>
      <c r="G13" s="722"/>
      <c r="H13" s="722"/>
      <c r="I13" s="722"/>
      <c r="J13" s="722"/>
      <c r="K13" s="722"/>
      <c r="L13" s="722"/>
      <c r="M13" s="722"/>
      <c r="N13" s="722"/>
      <c r="O13" s="722"/>
      <c r="P13" s="722"/>
      <c r="Q13" s="722"/>
      <c r="R13" s="722"/>
      <c r="S13" s="722"/>
      <c r="T13" s="722"/>
      <c r="U13" s="722"/>
      <c r="V13" s="722"/>
      <c r="W13" s="722"/>
      <c r="X13" s="722"/>
      <c r="Y13" s="722"/>
      <c r="Z13" s="722"/>
      <c r="AA13" s="722"/>
      <c r="AB13" s="722"/>
      <c r="AC13" s="722"/>
      <c r="AD13" s="722"/>
      <c r="AE13" s="722"/>
      <c r="AF13" s="722"/>
      <c r="AG13" s="722"/>
      <c r="AH13" s="722"/>
      <c r="AI13" s="722"/>
      <c r="AJ13" s="722"/>
      <c r="AK13" s="722"/>
      <c r="AL13" s="722"/>
      <c r="AM13" s="722"/>
      <c r="AN13" s="722"/>
      <c r="AO13" s="722"/>
      <c r="AP13" s="722"/>
      <c r="AQ13" s="722"/>
      <c r="AR13" s="722"/>
      <c r="AS13" s="722"/>
      <c r="AT13" s="722"/>
      <c r="AU13" s="722"/>
      <c r="AV13" s="722"/>
      <c r="AW13" s="722"/>
      <c r="AX13" s="722"/>
      <c r="AY13" s="722"/>
      <c r="AZ13" s="722"/>
      <c r="BA13" s="722"/>
      <c r="BB13" s="722"/>
      <c r="BC13" s="722"/>
      <c r="BD13" s="722"/>
      <c r="BE13" s="722"/>
      <c r="BF13" s="722"/>
      <c r="BG13" s="722"/>
      <c r="BH13" s="722"/>
      <c r="BI13" s="722"/>
      <c r="BJ13" s="722"/>
      <c r="BK13" s="722"/>
      <c r="BL13" s="722"/>
      <c r="BM13" s="722"/>
      <c r="BN13" s="722"/>
      <c r="BO13" s="722"/>
      <c r="BP13" s="722"/>
      <c r="BQ13" s="722"/>
      <c r="BR13" s="722"/>
      <c r="BS13" s="722"/>
      <c r="BT13" s="722"/>
      <c r="BU13" s="722"/>
      <c r="BV13" s="722"/>
      <c r="BW13" s="722"/>
      <c r="BX13" s="722"/>
      <c r="BY13" s="722"/>
      <c r="BZ13" s="722"/>
      <c r="CA13" s="722"/>
      <c r="CB13" s="722"/>
      <c r="CC13" s="722"/>
      <c r="CD13" s="722"/>
      <c r="CE13" s="722"/>
      <c r="CF13" s="722"/>
      <c r="CG13" s="722"/>
      <c r="CH13" s="722"/>
      <c r="CI13" s="722"/>
      <c r="CJ13" s="722"/>
      <c r="CK13" s="722"/>
      <c r="CL13" s="722"/>
      <c r="CM13" s="722"/>
      <c r="CN13" s="722"/>
      <c r="CO13" s="722"/>
      <c r="CP13" s="722"/>
      <c r="CQ13" s="722"/>
      <c r="CR13" s="722"/>
      <c r="CS13" s="722"/>
      <c r="CT13" s="1734"/>
      <c r="CU13" s="1734"/>
      <c r="CV13" s="1734"/>
      <c r="CW13" s="1734"/>
      <c r="CX13" s="1734"/>
      <c r="CY13" s="1735"/>
      <c r="CZ13" s="1735"/>
      <c r="DA13" s="1735"/>
      <c r="DB13" s="1735"/>
      <c r="DC13" s="1734"/>
      <c r="DD13" s="1735"/>
      <c r="DE13" s="1734"/>
      <c r="DF13" s="1735"/>
      <c r="DG13" s="1734"/>
      <c r="DH13" s="1735"/>
      <c r="DI13" s="1735"/>
      <c r="DJ13" s="1734"/>
      <c r="DK13" s="1734"/>
      <c r="DL13" s="1734"/>
      <c r="DM13" s="1734"/>
      <c r="DN13" s="1734"/>
      <c r="DO13" s="1734"/>
      <c r="DP13" s="1734"/>
      <c r="DQ13" s="1734"/>
      <c r="DR13" s="1734"/>
      <c r="DS13" s="1735"/>
      <c r="DT13" s="1736"/>
    </row>
    <row r="14" spans="1:124">
      <c r="A14" s="1733" t="s">
        <v>88</v>
      </c>
      <c r="B14" s="722"/>
      <c r="C14" s="722">
        <f>C10-C12</f>
        <v>63.305</v>
      </c>
      <c r="D14" s="722">
        <f>D10-D12</f>
        <v>120.48699999999998</v>
      </c>
      <c r="E14" s="722">
        <f>E10-E12</f>
        <v>70.236999999999995</v>
      </c>
      <c r="F14" s="722">
        <f>F10-F12</f>
        <v>74.804000000000002</v>
      </c>
      <c r="G14" s="722"/>
      <c r="H14" s="722">
        <f>H10-H12</f>
        <v>81.931000000000012</v>
      </c>
      <c r="I14" s="722">
        <f>I10-I12</f>
        <v>136.88200000000001</v>
      </c>
      <c r="J14" s="722">
        <f>J10-J12</f>
        <v>80.442000000000007</v>
      </c>
      <c r="K14" s="722">
        <f>K10-K12</f>
        <v>82.728999999999985</v>
      </c>
      <c r="L14" s="722"/>
      <c r="M14" s="722">
        <f>M10-M12</f>
        <v>96.570999999999998</v>
      </c>
      <c r="N14" s="722">
        <f>N10-N12</f>
        <v>161.61799999999999</v>
      </c>
      <c r="O14" s="722">
        <f>O10-O12</f>
        <v>111.10599999999999</v>
      </c>
      <c r="P14" s="722">
        <f>P10-P12</f>
        <v>114.06699999999999</v>
      </c>
      <c r="Q14" s="722"/>
      <c r="R14" s="722">
        <f>R10-R12</f>
        <v>131.22399999999999</v>
      </c>
      <c r="S14" s="722">
        <f>S10-S12</f>
        <v>216.84200000000004</v>
      </c>
      <c r="T14" s="722">
        <f>T10-T12</f>
        <v>159.80699999999999</v>
      </c>
      <c r="U14" s="722">
        <f>U10-U12</f>
        <v>169.55599999999998</v>
      </c>
      <c r="V14" s="722"/>
      <c r="W14" s="722">
        <f>W10-W12</f>
        <v>187.90899999999999</v>
      </c>
      <c r="X14" s="722">
        <f>X10-X12</f>
        <v>305.14299999999997</v>
      </c>
      <c r="Y14" s="722">
        <f>Y10-Y12</f>
        <v>237.517</v>
      </c>
      <c r="Z14" s="722">
        <f>Z10-Z12</f>
        <v>259.51299999999998</v>
      </c>
      <c r="AA14" s="722"/>
      <c r="AB14" s="722">
        <f>AB10-AB12</f>
        <v>258.17399999999998</v>
      </c>
      <c r="AC14" s="722">
        <f>AC10-AC12</f>
        <v>402.96800000000002</v>
      </c>
      <c r="AD14" s="722">
        <f>AD10-AD12</f>
        <v>324.673</v>
      </c>
      <c r="AE14" s="722">
        <f>AE10-AE12</f>
        <v>324.95600000000002</v>
      </c>
      <c r="AF14" s="722"/>
      <c r="AG14" s="722">
        <f>AG10-AG12</f>
        <v>330.1</v>
      </c>
      <c r="AH14" s="722">
        <f>AH10-AH12</f>
        <v>481.79999999999995</v>
      </c>
      <c r="AI14" s="722">
        <f>AI10-AI12</f>
        <v>376.19900000000001</v>
      </c>
      <c r="AJ14" s="722">
        <f>AJ10-AJ12</f>
        <v>393.51900000000001</v>
      </c>
      <c r="AK14" s="722"/>
      <c r="AL14" s="722">
        <f>AL10-AL12</f>
        <v>406.00500000000005</v>
      </c>
      <c r="AM14" s="722">
        <f>AM10-AM12</f>
        <v>621.29499999999996</v>
      </c>
      <c r="AN14" s="722">
        <f>AN10-AN12</f>
        <v>486.40999999999997</v>
      </c>
      <c r="AO14" s="722">
        <f>AO10-AO12</f>
        <v>509.27600000000001</v>
      </c>
      <c r="AP14" s="722"/>
      <c r="AQ14" s="722">
        <f>AQ10-AQ12</f>
        <v>518.221</v>
      </c>
      <c r="AR14" s="722">
        <f>AR10-AR12</f>
        <v>737.27200000000005</v>
      </c>
      <c r="AS14" s="722">
        <f>AS10-AS12</f>
        <v>558.31799999999998</v>
      </c>
      <c r="AT14" s="722">
        <f>AT10-AT12</f>
        <v>593.29200000000003</v>
      </c>
      <c r="AU14" s="722"/>
      <c r="AV14" s="722">
        <f>AV10-AV12</f>
        <v>558.19299999999998</v>
      </c>
      <c r="AW14" s="722">
        <f>AW10-AW12</f>
        <v>692.03599999999994</v>
      </c>
      <c r="AX14" s="722">
        <f>AX10-AX12</f>
        <v>525.06299999999999</v>
      </c>
      <c r="AY14" s="722">
        <f>AY10-AY12</f>
        <v>547.31799999999998</v>
      </c>
      <c r="AZ14" s="722"/>
      <c r="BA14" s="722">
        <f>BA10-BA12</f>
        <v>550.178</v>
      </c>
      <c r="BB14" s="722">
        <f>BB10-BB12</f>
        <v>770.93900000000008</v>
      </c>
      <c r="BC14" s="722">
        <f>BC10-BC12</f>
        <v>615.57500000000005</v>
      </c>
      <c r="BD14" s="722">
        <f>BD10-BD12</f>
        <v>696.99900000000002</v>
      </c>
      <c r="BE14" s="722"/>
      <c r="BF14" s="722">
        <f>BF10-BF12</f>
        <v>676.17100000000005</v>
      </c>
      <c r="BG14" s="722">
        <f>BG10-BG12</f>
        <v>915.17600000000016</v>
      </c>
      <c r="BH14" s="722">
        <f>BH10-BH12</f>
        <v>691.65499999999997</v>
      </c>
      <c r="BI14" s="722">
        <f>BI10-BI12</f>
        <v>740.53899999999999</v>
      </c>
      <c r="BJ14" s="722"/>
      <c r="BK14" s="722">
        <f>BK10-BK12</f>
        <v>764.65299999999991</v>
      </c>
      <c r="BL14" s="722">
        <f>BL10-BL12</f>
        <v>1045.2109999999998</v>
      </c>
      <c r="BM14" s="722">
        <f>BM10-BM12</f>
        <v>818.06700000000001</v>
      </c>
      <c r="BN14" s="722">
        <f>BN10-BN12</f>
        <v>838.14700000000005</v>
      </c>
      <c r="BO14" s="722"/>
      <c r="BP14" s="722">
        <f>BP10-BP12</f>
        <v>845.16799999999989</v>
      </c>
      <c r="BQ14" s="722">
        <f>BQ10-BQ12</f>
        <v>1085.3819999999998</v>
      </c>
      <c r="BR14" s="722">
        <f>BR10-BR12</f>
        <v>880.18799999999999</v>
      </c>
      <c r="BS14" s="722">
        <f>BS10-BS12</f>
        <v>892.21</v>
      </c>
      <c r="BT14" s="722"/>
      <c r="BU14" s="722">
        <f>BU10-BU12</f>
        <v>826.57299999999998</v>
      </c>
      <c r="BV14" s="722">
        <f>BV10-BV12</f>
        <v>982.67900000000009</v>
      </c>
      <c r="BW14" s="722">
        <f>BW10-BW12</f>
        <v>781.33899999999994</v>
      </c>
      <c r="BX14" s="722">
        <f>BX10-BX12</f>
        <v>788.56399999999985</v>
      </c>
      <c r="BY14" s="722"/>
      <c r="BZ14" s="722">
        <f>BZ10-BZ12</f>
        <v>719.4</v>
      </c>
      <c r="CA14" s="722">
        <f>CA10-CA12</f>
        <v>841.00000000000011</v>
      </c>
      <c r="CB14" s="722">
        <f>CB10-CB12</f>
        <v>665.5</v>
      </c>
      <c r="CC14" s="722">
        <f>CC10-CC12</f>
        <v>692.40000000000009</v>
      </c>
      <c r="CD14" s="722"/>
      <c r="CE14" s="722">
        <f>CE10-CE12</f>
        <v>697.39999999999986</v>
      </c>
      <c r="CF14" s="722">
        <f>CF10-CF12</f>
        <v>859.09999999999991</v>
      </c>
      <c r="CG14" s="722">
        <f>CG10-CG12</f>
        <v>712.99999999999989</v>
      </c>
      <c r="CH14" s="722">
        <f>CH10-CH12</f>
        <v>782.89999999999986</v>
      </c>
      <c r="CI14" s="722"/>
      <c r="CJ14" s="722">
        <f>CJ10-CJ12</f>
        <v>715.09999999999991</v>
      </c>
      <c r="CK14" s="722">
        <f>CK10-CK12</f>
        <v>906.40000000000009</v>
      </c>
      <c r="CL14" s="722">
        <f>CL10-CL12</f>
        <v>705.7</v>
      </c>
      <c r="CM14" s="722">
        <f>CM10-CM12</f>
        <v>756.81999999999994</v>
      </c>
      <c r="CN14" s="722"/>
      <c r="CO14" s="722">
        <f>CO10-CO12</f>
        <v>852.80000000000007</v>
      </c>
      <c r="CP14" s="722">
        <f>CP10-CP12</f>
        <v>1195.8</v>
      </c>
      <c r="CQ14" s="722">
        <f>CQ10-CQ12</f>
        <v>916.53196003524965</v>
      </c>
      <c r="CR14" s="722">
        <f>CR10-CR12</f>
        <v>962.27525022813597</v>
      </c>
      <c r="CS14" s="722"/>
      <c r="CT14" s="1734">
        <f>CT10-CT12</f>
        <v>300.66800000000001</v>
      </c>
      <c r="CU14" s="1734">
        <f>CU10-CU12</f>
        <v>313.27999999999997</v>
      </c>
      <c r="CV14" s="1734">
        <f>CV10-CV12</f>
        <v>278.40299999999996</v>
      </c>
      <c r="CW14" s="1734">
        <f>CW10-CW12</f>
        <v>274.75400000000002</v>
      </c>
      <c r="CX14" s="1734">
        <f t="shared" ref="CX14:DE14" si="3">CX10-CX12</f>
        <v>328.83299999999997</v>
      </c>
      <c r="CY14" s="1735">
        <f t="shared" si="3"/>
        <v>381.98399999999998</v>
      </c>
      <c r="CZ14" s="1735">
        <f t="shared" si="3"/>
        <v>483.36200000000002</v>
      </c>
      <c r="DA14" s="1735">
        <f t="shared" si="3"/>
        <v>677.42900000000009</v>
      </c>
      <c r="DB14" s="1735">
        <f t="shared" si="3"/>
        <v>990.08199999999977</v>
      </c>
      <c r="DC14" s="1734">
        <f t="shared" si="3"/>
        <v>1310.7710000000002</v>
      </c>
      <c r="DD14" s="1735">
        <f t="shared" si="3"/>
        <v>1581.6179999999999</v>
      </c>
      <c r="DE14" s="1734">
        <f t="shared" si="3"/>
        <v>2022.9859999999996</v>
      </c>
      <c r="DF14" s="1735">
        <f t="shared" ref="DF14:DK14" si="4">DF10-DF12</f>
        <v>2407.1030000000001</v>
      </c>
      <c r="DG14" s="1734">
        <f t="shared" si="4"/>
        <v>2322.6099999999997</v>
      </c>
      <c r="DH14" s="1735">
        <f t="shared" si="4"/>
        <v>2633.6909999999998</v>
      </c>
      <c r="DI14" s="1735">
        <f t="shared" si="4"/>
        <v>3023.5410000000006</v>
      </c>
      <c r="DJ14" s="1734">
        <f t="shared" si="4"/>
        <v>3466.0779999999995</v>
      </c>
      <c r="DK14" s="1734">
        <f t="shared" si="4"/>
        <v>3702.9479999999994</v>
      </c>
      <c r="DL14" s="1734">
        <f t="shared" ref="DL14:DR14" si="5">DL10-DL12</f>
        <v>3379.1550000000007</v>
      </c>
      <c r="DM14" s="1734">
        <f t="shared" si="5"/>
        <v>2918.3</v>
      </c>
      <c r="DN14" s="1734">
        <f t="shared" si="5"/>
        <v>3052.3999999999992</v>
      </c>
      <c r="DO14" s="1734">
        <f t="shared" si="5"/>
        <v>3084.0200000000004</v>
      </c>
      <c r="DP14" s="1734">
        <f>DP10-DP12</f>
        <v>3927.4072102633859</v>
      </c>
      <c r="DQ14" s="1734">
        <f t="shared" si="5"/>
        <v>4045.6590455422893</v>
      </c>
      <c r="DR14" s="1734">
        <f t="shared" si="5"/>
        <v>4171.0389026621715</v>
      </c>
      <c r="DS14" s="1735">
        <f>DS10-DS12</f>
        <v>4295.6041445914452</v>
      </c>
      <c r="DT14" s="1736">
        <f>DT10-DT12</f>
        <v>4432.4893450098025</v>
      </c>
    </row>
    <row r="15" spans="1:124">
      <c r="A15" s="723" t="s">
        <v>93</v>
      </c>
      <c r="B15" s="723"/>
      <c r="C15" s="723">
        <f>'qtrP&amp;L'!$X30</f>
        <v>60.256</v>
      </c>
      <c r="D15" s="723">
        <f>'qtrP&amp;L'!$X31</f>
        <v>79.665999999999997</v>
      </c>
      <c r="E15" s="723">
        <f>'qtrP&amp;L'!$X32</f>
        <v>65.768000000000001</v>
      </c>
      <c r="F15" s="723">
        <f>'qtrP&amp;L'!$X33</f>
        <v>67.126000000000005</v>
      </c>
      <c r="G15" s="723"/>
      <c r="H15" s="723">
        <f>'qtrP&amp;L'!$AB30</f>
        <v>65.188999999999993</v>
      </c>
      <c r="I15" s="723">
        <f>'qtrP&amp;L'!$AB31</f>
        <v>75.17</v>
      </c>
      <c r="J15" s="723">
        <f>'qtrP&amp;L'!$AB32</f>
        <v>68.078999999999994</v>
      </c>
      <c r="K15" s="723">
        <f>'qtrP&amp;L'!$AB33</f>
        <v>67.289000000000001</v>
      </c>
      <c r="L15" s="723"/>
      <c r="M15" s="723">
        <f>'qtrP&amp;L'!$AF30</f>
        <v>77.100999999999999</v>
      </c>
      <c r="N15" s="723">
        <f>'qtrP&amp;L'!$AF31</f>
        <v>91.677000000000007</v>
      </c>
      <c r="O15" s="723">
        <f>'qtrP&amp;L'!$AF32</f>
        <v>87.379000000000005</v>
      </c>
      <c r="P15" s="723">
        <f>'qtrP&amp;L'!$AF33</f>
        <v>90.197000000000003</v>
      </c>
      <c r="Q15" s="723"/>
      <c r="R15" s="723">
        <f>'qtrP&amp;L'!$AJ30</f>
        <v>93.616</v>
      </c>
      <c r="S15" s="723">
        <f>'qtrP&amp;L'!$AJ31</f>
        <v>114.242</v>
      </c>
      <c r="T15" s="723">
        <f>'qtrP&amp;L'!$AJ32</f>
        <v>107.06</v>
      </c>
      <c r="U15" s="723">
        <f>'qtrP&amp;L'!$AJ33</f>
        <v>118.749</v>
      </c>
      <c r="V15" s="723"/>
      <c r="W15" s="723">
        <f>+'qtrP&amp;L'!$AN$30</f>
        <v>116.28400000000001</v>
      </c>
      <c r="X15" s="723">
        <f>+'qtrP&amp;L'!$AN$31</f>
        <v>144.43899999999999</v>
      </c>
      <c r="Y15" s="723">
        <f>+'qtrP&amp;L'!$AN$32</f>
        <v>136.648</v>
      </c>
      <c r="Z15" s="723">
        <f>+'qtrP&amp;L'!$AN$33</f>
        <v>148.24600000000001</v>
      </c>
      <c r="AA15" s="723"/>
      <c r="AB15" s="723">
        <f>+'qtrP&amp;L'!$AR$30</f>
        <v>157.61699999999999</v>
      </c>
      <c r="AC15" s="723">
        <f>+'qtrP&amp;L'!$AR$31</f>
        <v>191.47800000000001</v>
      </c>
      <c r="AD15" s="723">
        <f>+'qtrP&amp;L'!$AR$32</f>
        <v>192.33699999999999</v>
      </c>
      <c r="AE15" s="723">
        <f>+'qtrP&amp;L'!$AR$33</f>
        <v>196.77600000000001</v>
      </c>
      <c r="AF15" s="723"/>
      <c r="AG15" s="723">
        <f>+'qtrP&amp;L'!$AV$30</f>
        <v>194.5</v>
      </c>
      <c r="AH15" s="723">
        <f>+'qtrP&amp;L'!$AV$31</f>
        <v>228.5</v>
      </c>
      <c r="AI15" s="723">
        <f>+'qtrP&amp;L'!$AV$32</f>
        <v>222.523</v>
      </c>
      <c r="AJ15" s="723">
        <f>+'qtrP&amp;L'!$AV$33</f>
        <v>221.34800000000001</v>
      </c>
      <c r="AK15" s="723"/>
      <c r="AL15" s="723">
        <f>+'qtrP&amp;L'!$AZ$30</f>
        <v>225.351</v>
      </c>
      <c r="AM15" s="723">
        <f>+'qtrP&amp;L'!$AZ$31</f>
        <v>280.58</v>
      </c>
      <c r="AN15" s="723">
        <f>+'qtrP&amp;L'!$AZ$32</f>
        <v>259.78300000000002</v>
      </c>
      <c r="AO15" s="723">
        <f>+'qtrP&amp;L'!$AZ$33</f>
        <v>263.875</v>
      </c>
      <c r="AP15" s="723"/>
      <c r="AQ15" s="723">
        <f>+'qtrP&amp;L'!$BD$30</f>
        <v>279.46300000000002</v>
      </c>
      <c r="AR15" s="723">
        <f>+'qtrP&amp;L'!$BD$31</f>
        <v>334.209</v>
      </c>
      <c r="AS15" s="723">
        <f>+'qtrP&amp;L'!$BD$32</f>
        <v>301.62599999999998</v>
      </c>
      <c r="AT15" s="723">
        <f>+'qtrP&amp;L'!$BD$33</f>
        <v>312.57600000000002</v>
      </c>
      <c r="AU15" s="723"/>
      <c r="AV15" s="723">
        <f>'qtrP&amp;L'!$BH$30</f>
        <v>324.70699999999999</v>
      </c>
      <c r="AW15" s="723">
        <f>'qtrP&amp;L'!$BH$31</f>
        <v>343.673</v>
      </c>
      <c r="AX15" s="723">
        <f>'qtrP&amp;L'!$BH$32</f>
        <v>326.286</v>
      </c>
      <c r="AY15" s="723">
        <f>'qtrP&amp;L'!$BH$33</f>
        <v>327.63099999999997</v>
      </c>
      <c r="AZ15" s="723"/>
      <c r="BA15" s="723">
        <f>'qtrP&amp;L'!$BL$30</f>
        <v>326.93099999999998</v>
      </c>
      <c r="BB15" s="723">
        <f>'qtrP&amp;L'!$BL$31</f>
        <v>390.10199999999998</v>
      </c>
      <c r="BC15" s="723">
        <f>'qtrP&amp;L'!$BL$32</f>
        <v>366.45299999999997</v>
      </c>
      <c r="BD15" s="723">
        <f>'qtrP&amp;L'!$BL$33</f>
        <v>400.03399999999999</v>
      </c>
      <c r="BE15" s="723"/>
      <c r="BF15" s="723">
        <f>'qtrP&amp;L'!$BP$30</f>
        <v>390.51100000000002</v>
      </c>
      <c r="BG15" s="723">
        <f>'qtrP&amp;L'!$BP$31</f>
        <v>461.84100000000001</v>
      </c>
      <c r="BH15" s="723">
        <f>'qtrP&amp;L'!$BP$32</f>
        <v>412.14</v>
      </c>
      <c r="BI15" s="723">
        <f>'qtrP&amp;L'!$BP$33</f>
        <v>428.447</v>
      </c>
      <c r="BJ15" s="723"/>
      <c r="BK15" s="723">
        <f>'qtrP&amp;L'!$BT$30</f>
        <v>442.68700000000001</v>
      </c>
      <c r="BL15" s="723">
        <f>'qtrP&amp;L'!$BT$31</f>
        <v>524.04</v>
      </c>
      <c r="BM15" s="723">
        <f>'qtrP&amp;L'!$BT$32</f>
        <v>480.57499999999999</v>
      </c>
      <c r="BN15" s="723">
        <f>'qtrP&amp;L'!$BT$33</f>
        <v>467.57799999999997</v>
      </c>
      <c r="BO15" s="723"/>
      <c r="BP15" s="723">
        <f>'qtrP&amp;L'!$BX$30</f>
        <v>513.45100000000002</v>
      </c>
      <c r="BQ15" s="723">
        <f>'qtrP&amp;L'!$BX$31</f>
        <v>558.80499999999995</v>
      </c>
      <c r="BR15" s="723">
        <f>'qtrP&amp;L'!$BX$32</f>
        <v>531.69500000000005</v>
      </c>
      <c r="BS15" s="723">
        <f>'qtrP&amp;L'!$BX$33</f>
        <v>521.25399999999991</v>
      </c>
      <c r="BT15" s="723"/>
      <c r="BU15" s="723">
        <f>'qtrP&amp;L'!CB30</f>
        <v>504.93900000000002</v>
      </c>
      <c r="BV15" s="723">
        <f>'qtrP&amp;L'!CB31</f>
        <v>546.73599999999999</v>
      </c>
      <c r="BW15" s="723">
        <f>'qtrP&amp;L'!CB32</f>
        <v>518.63</v>
      </c>
      <c r="BX15" s="723">
        <f>'qtrP&amp;L'!CB33</f>
        <v>557.26900000000001</v>
      </c>
      <c r="BY15" s="723"/>
      <c r="BZ15" s="723">
        <f>'qtrP&amp;L'!CF30</f>
        <v>502.5</v>
      </c>
      <c r="CA15" s="723">
        <f>'qtrP&amp;L'!CF31</f>
        <v>542</v>
      </c>
      <c r="CB15" s="723">
        <f>'qtrP&amp;L'!CF32</f>
        <v>519</v>
      </c>
      <c r="CC15" s="723">
        <f>'qtrP&amp;L'!CF33</f>
        <v>566.29999999999995</v>
      </c>
      <c r="CD15" s="723"/>
      <c r="CE15" s="723">
        <f>'qtrP&amp;L'!CJ30</f>
        <v>532.4</v>
      </c>
      <c r="CF15" s="723">
        <f>'qtrP&amp;L'!CJ31</f>
        <v>574.1</v>
      </c>
      <c r="CG15" s="723">
        <f>'qtrP&amp;L'!CJ32</f>
        <v>561.20000000000016</v>
      </c>
      <c r="CH15" s="723">
        <f>'qtrP&amp;L'!CJ33</f>
        <v>608.1</v>
      </c>
      <c r="CI15" s="723"/>
      <c r="CJ15" s="723">
        <f>'qtrP&amp;L'!CN30</f>
        <v>538.29999999999995</v>
      </c>
      <c r="CK15" s="723">
        <f>'qtrP&amp;L'!CN31</f>
        <v>612.09999999999991</v>
      </c>
      <c r="CL15" s="723">
        <f>'qtrP&amp;L'!CN32</f>
        <v>543.70000000000005</v>
      </c>
      <c r="CM15" s="723">
        <f>'qtrP&amp;L'!CN33</f>
        <v>577.29999999999995</v>
      </c>
      <c r="CN15" s="723"/>
      <c r="CO15" s="723">
        <f>'qtrP&amp;L'!CR30</f>
        <v>684</v>
      </c>
      <c r="CP15" s="723">
        <f>'qtrP&amp;L'!CR31</f>
        <v>784.5</v>
      </c>
      <c r="CQ15" s="723">
        <f>'qtrP&amp;L'!CR32</f>
        <v>727.87260358924732</v>
      </c>
      <c r="CR15" s="723">
        <f>'qtrP&amp;L'!CR33</f>
        <v>743.11452204646412</v>
      </c>
      <c r="CS15" s="723"/>
      <c r="CT15" s="1738">
        <f>'yrP&amp;L'!C15</f>
        <v>238.62100000000001</v>
      </c>
      <c r="CU15" s="1738">
        <f>'yrP&amp;L'!D15</f>
        <v>269.01100000000002</v>
      </c>
      <c r="CV15" s="1738">
        <f>'yrP&amp;L'!E15</f>
        <v>253.39</v>
      </c>
      <c r="CW15" s="1738">
        <f>'yrP&amp;L'!F15</f>
        <v>248.17099999999999</v>
      </c>
      <c r="CX15" s="1738">
        <f>'yrP&amp;L'!G15</f>
        <v>272.81600000000003</v>
      </c>
      <c r="CY15" s="1739">
        <f>'yrP&amp;L'!H15</f>
        <v>275.72699999999998</v>
      </c>
      <c r="CZ15" s="1739">
        <f>'yrP&amp;L'!I15+'yrP&amp;L'!I58</f>
        <v>365.584</v>
      </c>
      <c r="DA15" s="1739">
        <f>'yrP&amp;L'!J15</f>
        <v>458.98</v>
      </c>
      <c r="DB15" s="1739">
        <f>'yrP&amp;L'!K15</f>
        <v>584.77800000000002</v>
      </c>
      <c r="DC15" s="1738">
        <f>'yrP&amp;L'!L15</f>
        <v>738.20800000000008</v>
      </c>
      <c r="DD15" s="1739">
        <f>'yrP&amp;L'!M15</f>
        <v>866.87100000000009</v>
      </c>
      <c r="DE15" s="1738">
        <f>'yrP&amp;L'!N15</f>
        <v>1029.5889999999999</v>
      </c>
      <c r="DF15" s="1739">
        <f>'yrP&amp;L'!O15</f>
        <v>1227.874</v>
      </c>
      <c r="DG15" s="1738">
        <f>'yrP&amp;L'!P15</f>
        <v>1322.297</v>
      </c>
      <c r="DH15" s="1739">
        <f>'yrP&amp;L'!Q15</f>
        <v>1483.52</v>
      </c>
      <c r="DI15" s="1739">
        <f>'yrP&amp;L'!R15</f>
        <v>1692.9390000000003</v>
      </c>
      <c r="DJ15" s="1738">
        <f>'yrP&amp;L'!S15</f>
        <v>1914.8799999999999</v>
      </c>
      <c r="DK15" s="1738">
        <f>'yrP&amp;L'!T15</f>
        <v>2125.2049999999999</v>
      </c>
      <c r="DL15" s="1738">
        <f>'yrP&amp;L'!U15</f>
        <v>2127.5739999999996</v>
      </c>
      <c r="DM15" s="1738">
        <f>'yrP&amp;L'!V15</f>
        <v>2129.8000000000002</v>
      </c>
      <c r="DN15" s="1738">
        <f>'yrP&amp;L'!W15</f>
        <v>2275.8000000000002</v>
      </c>
      <c r="DO15" s="1738">
        <f>'yrP&amp;L'!X15</f>
        <v>2271.3999999999996</v>
      </c>
      <c r="DP15" s="1738">
        <f>'yrP&amp;L'!Y15</f>
        <v>2939.4871256357114</v>
      </c>
      <c r="DQ15" s="1738">
        <f>'yrP&amp;L'!Z15</f>
        <v>2984.3053042667689</v>
      </c>
      <c r="DR15" s="1738">
        <f>'yrP&amp;L'!AA15</f>
        <v>3069.9440506313058</v>
      </c>
      <c r="DS15" s="1739">
        <f>'yrP&amp;L'!AB15</f>
        <v>3154.0570523649058</v>
      </c>
      <c r="DT15" s="1740">
        <f>'yrP&amp;L'!AC15</f>
        <v>3231.3685620978677</v>
      </c>
    </row>
    <row r="16" spans="1:124" ht="12.75" hidden="1" customHeight="1" outlineLevel="1">
      <c r="A16" s="723" t="s">
        <v>278</v>
      </c>
      <c r="B16" s="723"/>
      <c r="C16" s="723"/>
      <c r="D16" s="723"/>
      <c r="E16" s="723"/>
      <c r="F16" s="723"/>
      <c r="G16" s="723"/>
      <c r="H16" s="723"/>
      <c r="I16" s="723"/>
      <c r="J16" s="723"/>
      <c r="K16" s="723"/>
      <c r="L16" s="723"/>
      <c r="M16" s="723"/>
      <c r="N16" s="723"/>
      <c r="O16" s="723"/>
      <c r="P16" s="723"/>
      <c r="Q16" s="723"/>
      <c r="R16" s="1741">
        <f>'qtrP&amp;L'!AJ50</f>
        <v>6.3282221941007579</v>
      </c>
      <c r="S16" s="1741">
        <f>'qtrP&amp;L'!AJ51</f>
        <v>6.3282221941007579</v>
      </c>
      <c r="T16" s="1741">
        <f>'qtrP&amp;L'!AJ52</f>
        <v>6.3282221941007579</v>
      </c>
      <c r="U16" s="1741">
        <f>'qtrP&amp;L'!AJ53</f>
        <v>6.3282221941007579</v>
      </c>
      <c r="V16" s="1741"/>
      <c r="W16" s="1741">
        <f>'qtrP&amp;L'!AN50</f>
        <v>10.892749999999999</v>
      </c>
      <c r="X16" s="1741">
        <f>'qtrP&amp;L'!AN51</f>
        <v>10.892749999999999</v>
      </c>
      <c r="Y16" s="1741">
        <f>'qtrP&amp;L'!AN52</f>
        <v>10.892749999999999</v>
      </c>
      <c r="Z16" s="1741">
        <f>'qtrP&amp;L'!AN53</f>
        <v>10.892749999999999</v>
      </c>
      <c r="AA16" s="1741"/>
      <c r="AB16" s="1741">
        <f>'qtrP&amp;L'!AR50</f>
        <v>13.97</v>
      </c>
      <c r="AC16" s="1741">
        <f>'qtrP&amp;L'!AR51</f>
        <v>13.97</v>
      </c>
      <c r="AD16" s="1741">
        <f>'qtrP&amp;L'!AR52</f>
        <v>13.97</v>
      </c>
      <c r="AE16" s="1741">
        <f>'qtrP&amp;L'!AR53</f>
        <v>13.97</v>
      </c>
      <c r="AF16" s="723"/>
      <c r="AG16" s="723">
        <f>'qtrP&amp;L'!AV50</f>
        <v>17.297499999999999</v>
      </c>
      <c r="AH16" s="723">
        <f>'qtrP&amp;L'!AV51</f>
        <v>17.297499999999999</v>
      </c>
      <c r="AI16" s="723">
        <f>'qtrP&amp;L'!AV52</f>
        <v>17.297499999999999</v>
      </c>
      <c r="AJ16" s="723">
        <f>'qtrP&amp;L'!AV53</f>
        <v>17.297499999999999</v>
      </c>
      <c r="AK16" s="723"/>
      <c r="AL16" s="723">
        <f>'qtrP&amp;L'!AZ50</f>
        <v>14.1815</v>
      </c>
      <c r="AM16" s="723">
        <f>'qtrP&amp;L'!AZ51</f>
        <v>14.1815</v>
      </c>
      <c r="AN16" s="723">
        <f>'qtrP&amp;L'!AZ52</f>
        <v>14.1815</v>
      </c>
      <c r="AO16" s="723">
        <f>'qtrP&amp;L'!AZ53</f>
        <v>14.1815</v>
      </c>
      <c r="AP16" s="723"/>
      <c r="AQ16" s="723">
        <f>'qtrP&amp;L'!BD50</f>
        <v>16.74475</v>
      </c>
      <c r="AR16" s="723">
        <f>'qtrP&amp;L'!BD51</f>
        <v>16.74475</v>
      </c>
      <c r="AS16" s="723">
        <f>'qtrP&amp;L'!BD52</f>
        <v>16.74475</v>
      </c>
      <c r="AT16" s="723">
        <f>'qtrP&amp;L'!BD53</f>
        <v>16.74475</v>
      </c>
      <c r="AU16" s="723"/>
      <c r="AV16" s="723">
        <f>'qtrP&amp;L'!BH50</f>
        <v>0</v>
      </c>
      <c r="AW16" s="723">
        <f>'qtrP&amp;L'!BH51</f>
        <v>0</v>
      </c>
      <c r="AX16" s="723">
        <f>'qtrP&amp;L'!BH52</f>
        <v>0</v>
      </c>
      <c r="AY16" s="723">
        <f>'qtrP&amp;L'!BH53</f>
        <v>0</v>
      </c>
      <c r="AZ16" s="723"/>
      <c r="BA16" s="723">
        <f>'qtrP&amp;L'!BL50</f>
        <v>0</v>
      </c>
      <c r="BB16" s="723">
        <f>'qtrP&amp;L'!BL51</f>
        <v>0</v>
      </c>
      <c r="BC16" s="723">
        <f>'qtrP&amp;L'!BL52</f>
        <v>0</v>
      </c>
      <c r="BD16" s="723">
        <f>'qtrP&amp;L'!BL53</f>
        <v>0</v>
      </c>
      <c r="BE16" s="723"/>
      <c r="BF16" s="723">
        <f>'qtrP&amp;L'!BP50</f>
        <v>0</v>
      </c>
      <c r="BG16" s="723">
        <f>'qtrP&amp;L'!BP51</f>
        <v>0</v>
      </c>
      <c r="BH16" s="723">
        <f>'qtrP&amp;L'!BP52</f>
        <v>0</v>
      </c>
      <c r="BI16" s="723">
        <f>'qtrP&amp;L'!BP53</f>
        <v>0</v>
      </c>
      <c r="BJ16" s="723"/>
      <c r="BK16" s="723">
        <f>'qtrP&amp;L'!BU50</f>
        <v>0</v>
      </c>
      <c r="BL16" s="723">
        <f>'qtrP&amp;L'!BU51</f>
        <v>0</v>
      </c>
      <c r="BM16" s="723">
        <f>'qtrP&amp;L'!BU52</f>
        <v>0</v>
      </c>
      <c r="BN16" s="723">
        <f>'qtrP&amp;L'!BU53</f>
        <v>0</v>
      </c>
      <c r="BO16" s="723"/>
      <c r="BP16" s="723">
        <f>'qtrP&amp;L'!BY50</f>
        <v>0</v>
      </c>
      <c r="BQ16" s="723">
        <f>'qtrP&amp;L'!BY51</f>
        <v>0</v>
      </c>
      <c r="BR16" s="723">
        <f>'qtrP&amp;L'!BY52</f>
        <v>0</v>
      </c>
      <c r="BS16" s="723">
        <f>'qtrP&amp;L'!BY53</f>
        <v>0</v>
      </c>
      <c r="BT16" s="723"/>
      <c r="BU16" s="723">
        <f>'qtrP&amp;L'!CC50</f>
        <v>0</v>
      </c>
      <c r="BV16" s="723">
        <f>'qtrP&amp;L'!CC51</f>
        <v>0</v>
      </c>
      <c r="BW16" s="723">
        <f>'qtrP&amp;L'!CC52</f>
        <v>0</v>
      </c>
      <c r="BX16" s="723">
        <f>'qtrP&amp;L'!CC53</f>
        <v>0</v>
      </c>
      <c r="BY16" s="723"/>
      <c r="BZ16" s="723" t="e">
        <f>'qtrP&amp;L'!CH50</f>
        <v>#DIV/0!</v>
      </c>
      <c r="CA16" s="723" t="e">
        <f>'qtrP&amp;L'!CH51</f>
        <v>#DIV/0!</v>
      </c>
      <c r="CB16" s="723" t="e">
        <f>'qtrP&amp;L'!CH52</f>
        <v>#DIV/0!</v>
      </c>
      <c r="CC16" s="723" t="e">
        <f>'qtrP&amp;L'!CH53</f>
        <v>#DIV/0!</v>
      </c>
      <c r="CD16" s="723"/>
      <c r="CE16" s="723">
        <f>'qtrP&amp;L'!CY50</f>
        <v>0</v>
      </c>
      <c r="CF16" s="723">
        <f>'qtrP&amp;L'!CY51</f>
        <v>0</v>
      </c>
      <c r="CG16" s="723">
        <f>'qtrP&amp;L'!CY52</f>
        <v>0</v>
      </c>
      <c r="CH16" s="723">
        <f>'qtrP&amp;L'!CY53</f>
        <v>0</v>
      </c>
      <c r="CI16" s="723"/>
      <c r="CJ16" s="723">
        <f>'qtrP&amp;L'!DD50</f>
        <v>0</v>
      </c>
      <c r="CK16" s="723">
        <f>'qtrP&amp;L'!DD51</f>
        <v>0</v>
      </c>
      <c r="CL16" s="723">
        <f>'qtrP&amp;L'!DD52</f>
        <v>0</v>
      </c>
      <c r="CM16" s="723">
        <f>'qtrP&amp;L'!DD53</f>
        <v>0</v>
      </c>
      <c r="CN16" s="723"/>
      <c r="CO16" s="723"/>
      <c r="CP16" s="723"/>
      <c r="CQ16" s="723"/>
      <c r="CR16" s="723"/>
      <c r="CS16" s="723"/>
      <c r="CT16" s="1738"/>
      <c r="CU16" s="1738"/>
      <c r="CV16" s="1738"/>
      <c r="CW16" s="1738"/>
      <c r="CX16" s="1738"/>
      <c r="CY16" s="1742">
        <f>'yrP&amp;L'!H45</f>
        <v>0</v>
      </c>
      <c r="CZ16" s="1742">
        <f>'yrP&amp;L'!I45</f>
        <v>15.853712300749502</v>
      </c>
      <c r="DA16" s="1742">
        <f>'yrP&amp;L'!J45</f>
        <v>25.312888776403032</v>
      </c>
      <c r="DB16" s="1742">
        <f>'yrP&amp;L'!K45</f>
        <v>43.570999999999998</v>
      </c>
      <c r="DC16" s="1743">
        <f>'yrP&amp;L'!L45</f>
        <v>55.88</v>
      </c>
      <c r="DD16" s="1744">
        <f>'yrP&amp;L'!M45</f>
        <v>69.19</v>
      </c>
      <c r="DE16" s="1745">
        <f>'yrP&amp;L'!N45</f>
        <v>56.725999999999999</v>
      </c>
      <c r="DF16" s="1744">
        <f>'yrP&amp;L'!O45</f>
        <v>66.978999999999999</v>
      </c>
      <c r="DG16" s="1745">
        <f>'yrP&amp;L'!P45</f>
        <v>67.542000000000002</v>
      </c>
      <c r="DH16" s="1744">
        <f>'yrP&amp;L'!Q45</f>
        <v>81.42</v>
      </c>
      <c r="DI16" s="1744">
        <f>'yrP&amp;L'!R45</f>
        <v>95.83</v>
      </c>
      <c r="DJ16" s="1745">
        <f>'yrP&amp;L'!S45</f>
        <v>107.511</v>
      </c>
      <c r="DK16" s="1745">
        <f>'yrP&amp;L'!T45</f>
        <v>120.46</v>
      </c>
      <c r="DL16" s="1745">
        <f>'yrP&amp;L'!U45</f>
        <v>104.94</v>
      </c>
      <c r="DM16" s="1745">
        <f>'yrP&amp;L'!V45</f>
        <v>0</v>
      </c>
      <c r="DN16" s="1745">
        <f>'yrP&amp;L'!W45</f>
        <v>0</v>
      </c>
      <c r="DO16" s="1745">
        <f>'yrP&amp;L'!X45</f>
        <v>0</v>
      </c>
      <c r="DP16" s="1745">
        <f>'yrP&amp;L'!Y45</f>
        <v>0</v>
      </c>
      <c r="DQ16" s="1745">
        <f>'yrP&amp;L'!Z45</f>
        <v>0</v>
      </c>
      <c r="DR16" s="1745">
        <f>'yrP&amp;L'!AA45</f>
        <v>0</v>
      </c>
      <c r="DS16" s="1744">
        <f>'yrP&amp;L'!AB45</f>
        <v>0</v>
      </c>
      <c r="DT16" s="1746">
        <f>'yrP&amp;L'!AC45</f>
        <v>0</v>
      </c>
    </row>
    <row r="17" spans="1:130" s="1747" customFormat="1" collapsed="1">
      <c r="A17" s="724" t="s">
        <v>316</v>
      </c>
      <c r="B17" s="724"/>
      <c r="C17" s="724"/>
      <c r="D17" s="724"/>
      <c r="E17" s="724"/>
      <c r="F17" s="724">
        <f>+CX17-E17-D17-C17</f>
        <v>22.628</v>
      </c>
      <c r="G17" s="724"/>
      <c r="H17" s="724">
        <f>$CY$17/4</f>
        <v>6.0327500000000001</v>
      </c>
      <c r="I17" s="724">
        <f>$CY$17/4</f>
        <v>6.0327500000000001</v>
      </c>
      <c r="J17" s="724">
        <f>$CY$17/4</f>
        <v>6.0327500000000001</v>
      </c>
      <c r="K17" s="724">
        <f>$CY$17/4</f>
        <v>6.0327500000000001</v>
      </c>
      <c r="L17" s="724"/>
      <c r="M17" s="724">
        <f>$CZ$17/4</f>
        <v>6.3734999999999999</v>
      </c>
      <c r="N17" s="724">
        <f>$CZ$17/4</f>
        <v>6.3734999999999999</v>
      </c>
      <c r="O17" s="724">
        <f>$CZ$17/4</f>
        <v>6.3734999999999999</v>
      </c>
      <c r="P17" s="724">
        <f>$CZ$17/4</f>
        <v>6.3734999999999999</v>
      </c>
      <c r="Q17" s="724"/>
      <c r="R17" s="724">
        <f>'qtrP&amp;L'!AJ207</f>
        <v>6.48</v>
      </c>
      <c r="S17" s="724">
        <f>'qtrP&amp;L'!AJ208</f>
        <v>7.0269999999999992</v>
      </c>
      <c r="T17" s="724">
        <f>'qtrP&amp;L'!AJ209</f>
        <v>7.4159999999999986</v>
      </c>
      <c r="U17" s="724">
        <f>'qtrP&amp;L'!AJ210</f>
        <v>9.3080000000000034</v>
      </c>
      <c r="V17" s="724"/>
      <c r="W17" s="724">
        <f>'qtrP&amp;L'!AN207</f>
        <v>8.8450000000000006</v>
      </c>
      <c r="X17" s="724">
        <f>'qtrP&amp;L'!AN208</f>
        <v>9.677999999999999</v>
      </c>
      <c r="Y17" s="724">
        <f>'qtrP&amp;L'!AN209</f>
        <v>13.258000000000001</v>
      </c>
      <c r="Z17" s="724">
        <f>'qtrP&amp;L'!AN210</f>
        <v>8.3190000000000026</v>
      </c>
      <c r="AA17" s="724"/>
      <c r="AB17" s="724">
        <f>'qtrP&amp;L'!AR207</f>
        <v>12.601000000000001</v>
      </c>
      <c r="AC17" s="724">
        <f>'qtrP&amp;L'!AR208</f>
        <v>13.205</v>
      </c>
      <c r="AD17" s="724">
        <f>'qtrP&amp;L'!AR209</f>
        <v>12.691000000000001</v>
      </c>
      <c r="AE17" s="724">
        <f>'qtrP&amp;L'!AR210</f>
        <v>11.902999999999999</v>
      </c>
      <c r="AF17" s="724"/>
      <c r="AG17" s="724">
        <f>'qtrP&amp;L'!AV207</f>
        <v>13.989000000000001</v>
      </c>
      <c r="AH17" s="724">
        <f>'qtrP&amp;L'!AV208</f>
        <v>17.635999999999999</v>
      </c>
      <c r="AI17" s="724">
        <f>'qtrP&amp;L'!AV209</f>
        <v>16.408999999999999</v>
      </c>
      <c r="AJ17" s="724">
        <f>'qtrP&amp;L'!AV210</f>
        <v>17.080999999999996</v>
      </c>
      <c r="AK17" s="724"/>
      <c r="AL17" s="724">
        <f>'qtrP&amp;L'!AZ207</f>
        <v>18.832000000000001</v>
      </c>
      <c r="AM17" s="724">
        <f>'qtrP&amp;L'!AZ208</f>
        <v>20.097999999999999</v>
      </c>
      <c r="AN17" s="724">
        <f>'qtrP&amp;L'!AZ209</f>
        <v>20.625</v>
      </c>
      <c r="AO17" s="724">
        <f>'qtrP&amp;L'!AZ210</f>
        <v>21.276999999999994</v>
      </c>
      <c r="AP17" s="724"/>
      <c r="AQ17" s="724">
        <f>'qtrP&amp;L'!BD207</f>
        <v>24.728000000000002</v>
      </c>
      <c r="AR17" s="724">
        <f>'qtrP&amp;L'!BD208</f>
        <v>24.411000000000001</v>
      </c>
      <c r="AS17" s="724">
        <f>'qtrP&amp;L'!BD209</f>
        <v>25.80899999999999</v>
      </c>
      <c r="AT17" s="724">
        <f>'qtrP&amp;L'!BD210</f>
        <v>25.756000000000007</v>
      </c>
      <c r="AU17" s="724"/>
      <c r="AV17" s="724">
        <f>'qtrP&amp;L'!BH207</f>
        <v>30.690999999999999</v>
      </c>
      <c r="AW17" s="724">
        <f>'qtrP&amp;L'!BH208</f>
        <v>30.401</v>
      </c>
      <c r="AX17" s="724">
        <f>'qtrP&amp;L'!BH209</f>
        <v>30.730999999999998</v>
      </c>
      <c r="AY17" s="724">
        <f>'qtrP&amp;L'!BH210</f>
        <v>31.190999999999999</v>
      </c>
      <c r="AZ17" s="724"/>
      <c r="BA17" s="724">
        <f>'qtrP&amp;L'!BL207</f>
        <v>33.380000000000003</v>
      </c>
      <c r="BB17" s="724">
        <f>'qtrP&amp;L'!BL208</f>
        <v>28.052999999999997</v>
      </c>
      <c r="BC17" s="724">
        <f>'qtrP&amp;L'!BL209</f>
        <v>32.578000000000003</v>
      </c>
      <c r="BD17" s="724">
        <f>'qtrP&amp;L'!BL210</f>
        <v>32.733000000000004</v>
      </c>
      <c r="BE17" s="724"/>
      <c r="BF17" s="724">
        <f>'qtrP&amp;L'!BP207</f>
        <v>32.250999999999998</v>
      </c>
      <c r="BG17" s="724">
        <f>'qtrP&amp;L'!BP208</f>
        <v>31.228000000000002</v>
      </c>
      <c r="BH17" s="724">
        <f>'qtrP&amp;L'!BP209</f>
        <v>30.370000000000005</v>
      </c>
      <c r="BI17" s="724">
        <f>'qtrP&amp;L'!BP210</f>
        <v>31.256</v>
      </c>
      <c r="BJ17" s="724"/>
      <c r="BK17" s="724">
        <f>'qtrP&amp;L'!BT207</f>
        <v>32.054000000000002</v>
      </c>
      <c r="BL17" s="724">
        <f>'qtrP&amp;L'!BT208</f>
        <v>33.027999999999992</v>
      </c>
      <c r="BM17" s="724">
        <f>'qtrP&amp;L'!BT209</f>
        <v>33.65100000000001</v>
      </c>
      <c r="BN17" s="724">
        <f>'qtrP&amp;L'!BT210</f>
        <v>34.175999999999988</v>
      </c>
      <c r="BO17" s="724"/>
      <c r="BP17" s="724">
        <f>'qtrP&amp;L'!BX207</f>
        <v>36.103999999999999</v>
      </c>
      <c r="BQ17" s="724">
        <f>'qtrP&amp;L'!BX208</f>
        <v>40.777000000000001</v>
      </c>
      <c r="BR17" s="724">
        <f>'qtrP&amp;L'!BX209</f>
        <v>38.784999999999997</v>
      </c>
      <c r="BS17" s="724">
        <f>'qtrP&amp;L'!BX210</f>
        <v>47.320999999999998</v>
      </c>
      <c r="BT17" s="724"/>
      <c r="BU17" s="724">
        <f>'qtrP&amp;L'!CB207</f>
        <v>44.963999999999999</v>
      </c>
      <c r="BV17" s="724">
        <f>'qtrP&amp;L'!CB208</f>
        <v>47.974999999999994</v>
      </c>
      <c r="BW17" s="724">
        <f>'qtrP&amp;L'!CB209</f>
        <v>48</v>
      </c>
      <c r="BX17" s="724">
        <f>'qtrP&amp;L'!CB210</f>
        <v>48.421000000000021</v>
      </c>
      <c r="BY17" s="724"/>
      <c r="BZ17" s="724">
        <f>'qtrP&amp;L'!CF207</f>
        <v>43.3</v>
      </c>
      <c r="CA17" s="724">
        <f>'qtrP&amp;L'!CF208</f>
        <v>46.5</v>
      </c>
      <c r="CB17" s="724">
        <f>'qtrP&amp;L'!CF209</f>
        <v>47.399999999999991</v>
      </c>
      <c r="CC17" s="724">
        <f>'qtrP&amp;L'!CF210</f>
        <v>54.600000000000023</v>
      </c>
      <c r="CD17" s="724"/>
      <c r="CE17" s="724">
        <f>'qtrP&amp;L'!CJ207</f>
        <v>54.4</v>
      </c>
      <c r="CF17" s="724">
        <f>'qtrP&amp;L'!CJ208</f>
        <v>52.699999999999996</v>
      </c>
      <c r="CG17" s="724">
        <f>'qtrP&amp;L'!CJ209</f>
        <v>49.500000000000007</v>
      </c>
      <c r="CH17" s="724">
        <f>'qtrP&amp;L'!CJ210</f>
        <v>54</v>
      </c>
      <c r="CI17" s="724"/>
      <c r="CJ17" s="724">
        <f>'qtrP&amp;L'!CN207</f>
        <v>52.3</v>
      </c>
      <c r="CK17" s="724">
        <f>'qtrP&amp;L'!CN208</f>
        <v>47.900000000000006</v>
      </c>
      <c r="CL17" s="724">
        <f>'qtrP&amp;L'!CN209</f>
        <v>48.499999999999986</v>
      </c>
      <c r="CM17" s="724">
        <f>'qtrP&amp;L'!CN210</f>
        <v>64.100000000000023</v>
      </c>
      <c r="CN17" s="724"/>
      <c r="CO17" s="724">
        <f>'qtrP&amp;L'!CR207</f>
        <v>65</v>
      </c>
      <c r="CP17" s="724">
        <f>'qtrP&amp;L'!CR208</f>
        <v>65</v>
      </c>
      <c r="CQ17" s="724">
        <f>'qtrP&amp;L'!CR209</f>
        <v>65</v>
      </c>
      <c r="CR17" s="724">
        <f>'qtrP&amp;L'!CR210</f>
        <v>82.49471312631681</v>
      </c>
      <c r="CS17" s="724"/>
      <c r="CT17" s="1745">
        <f>flow!G9</f>
        <v>0</v>
      </c>
      <c r="CU17" s="1745">
        <f>flow!H9</f>
        <v>21.826000000000001</v>
      </c>
      <c r="CV17" s="1745">
        <f>flow!J9</f>
        <v>22.784000000000002</v>
      </c>
      <c r="CW17" s="1745">
        <f>flow!L9</f>
        <v>22.256</v>
      </c>
      <c r="CX17" s="1745">
        <f>flow!N9</f>
        <v>22.628</v>
      </c>
      <c r="CY17" s="1744">
        <f>+flow!P9</f>
        <v>24.131</v>
      </c>
      <c r="CZ17" s="1744">
        <f>+flow!R9</f>
        <v>25.494</v>
      </c>
      <c r="DA17" s="1744">
        <f>+flow!T9</f>
        <v>30.231000000000002</v>
      </c>
      <c r="DB17" s="1744">
        <f>+flow!V9</f>
        <v>40.1</v>
      </c>
      <c r="DC17" s="1745">
        <f>+flow!X9</f>
        <v>50.4</v>
      </c>
      <c r="DD17" s="1744">
        <f>+flow!Z9</f>
        <v>65.114999999999995</v>
      </c>
      <c r="DE17" s="1745">
        <f>+flow!AB9</f>
        <v>80.831999999999994</v>
      </c>
      <c r="DF17" s="1744">
        <f>+flow!AD9</f>
        <v>100.70399999999999</v>
      </c>
      <c r="DG17" s="1745">
        <f>+flow!AF9</f>
        <v>123.014</v>
      </c>
      <c r="DH17" s="1744">
        <f>flow!AH9</f>
        <v>126.744</v>
      </c>
      <c r="DI17" s="1744">
        <f>flow!AJ9</f>
        <v>125.10599999999999</v>
      </c>
      <c r="DJ17" s="1745">
        <f>flow!AL9</f>
        <v>132.90899999999999</v>
      </c>
      <c r="DK17" s="1745">
        <f>flow!AN9</f>
        <v>162.98699999999999</v>
      </c>
      <c r="DL17" s="1745">
        <f>flow!AP9</f>
        <v>189.36</v>
      </c>
      <c r="DM17" s="1745">
        <f>'yrP&amp;L'!V48</f>
        <v>191.8</v>
      </c>
      <c r="DN17" s="1745">
        <f>'yrP&amp;L'!W48</f>
        <v>210.6</v>
      </c>
      <c r="DO17" s="1745">
        <f>'yrP&amp;L'!X48</f>
        <v>213.6</v>
      </c>
      <c r="DP17" s="1745">
        <f>'yrP&amp;L'!Y48</f>
        <v>277.49471312631681</v>
      </c>
      <c r="DQ17" s="1745">
        <f>'yrP&amp;L'!Z48</f>
        <v>286.33929084408965</v>
      </c>
      <c r="DR17" s="1745">
        <f>'yrP&amp;L'!AA48</f>
        <v>294.55619072619578</v>
      </c>
      <c r="DS17" s="1744">
        <f>'yrP&amp;L'!AB48</f>
        <v>302.99322192535908</v>
      </c>
      <c r="DT17" s="1746">
        <f>'yrP&amp;L'!AC48</f>
        <v>311.67841091793144</v>
      </c>
      <c r="DU17"/>
      <c r="DV17"/>
      <c r="DW17"/>
      <c r="DX17"/>
      <c r="DY17"/>
      <c r="DZ17"/>
    </row>
    <row r="18" spans="1:130">
      <c r="A18" s="1733" t="s">
        <v>106</v>
      </c>
      <c r="B18" s="722"/>
      <c r="C18" s="722">
        <f>C14-C15</f>
        <v>3.0489999999999995</v>
      </c>
      <c r="D18" s="722">
        <f>D14-D15</f>
        <v>40.820999999999984</v>
      </c>
      <c r="E18" s="722">
        <f>E14-E15</f>
        <v>4.4689999999999941</v>
      </c>
      <c r="F18" s="722">
        <f>F14-F15</f>
        <v>7.6779999999999973</v>
      </c>
      <c r="G18" s="722"/>
      <c r="H18" s="722">
        <f>H14-H15</f>
        <v>16.742000000000019</v>
      </c>
      <c r="I18" s="722">
        <f>I14-I15</f>
        <v>61.712000000000003</v>
      </c>
      <c r="J18" s="722">
        <f>J14-J15</f>
        <v>12.363000000000014</v>
      </c>
      <c r="K18" s="722">
        <f>K14-K15</f>
        <v>15.439999999999984</v>
      </c>
      <c r="L18" s="722"/>
      <c r="M18" s="722">
        <f>M14-M15</f>
        <v>19.47</v>
      </c>
      <c r="N18" s="722">
        <f>N14-N15</f>
        <v>69.940999999999988</v>
      </c>
      <c r="O18" s="722">
        <f>O14-O15</f>
        <v>23.72699999999999</v>
      </c>
      <c r="P18" s="722">
        <f>P14-P15</f>
        <v>23.86999999999999</v>
      </c>
      <c r="Q18" s="722"/>
      <c r="R18" s="722">
        <f>R14-R15</f>
        <v>37.60799999999999</v>
      </c>
      <c r="S18" s="722">
        <f>S14-S15</f>
        <v>102.60000000000004</v>
      </c>
      <c r="T18" s="722">
        <f>T14-T15</f>
        <v>52.746999999999986</v>
      </c>
      <c r="U18" s="722">
        <f>U14-U15</f>
        <v>50.806999999999988</v>
      </c>
      <c r="V18" s="722"/>
      <c r="W18" s="722">
        <f>W14-W15</f>
        <v>71.624999999999986</v>
      </c>
      <c r="X18" s="722">
        <f>X14-X15</f>
        <v>160.70399999999998</v>
      </c>
      <c r="Y18" s="722">
        <f>Y14-Y15</f>
        <v>100.869</v>
      </c>
      <c r="Z18" s="722">
        <f>Z14-Z15</f>
        <v>111.26699999999997</v>
      </c>
      <c r="AA18" s="722"/>
      <c r="AB18" s="722">
        <f>AB14-AB15</f>
        <v>100.55699999999999</v>
      </c>
      <c r="AC18" s="722">
        <f>AC14-AC15</f>
        <v>211.49</v>
      </c>
      <c r="AD18" s="722">
        <f>AD14-AD15</f>
        <v>132.33600000000001</v>
      </c>
      <c r="AE18" s="722">
        <f>AE14-AE15</f>
        <v>128.18</v>
      </c>
      <c r="AF18" s="722"/>
      <c r="AG18" s="722">
        <f>AG14-AG15</f>
        <v>135.60000000000002</v>
      </c>
      <c r="AH18" s="722">
        <f>AH14-AH15</f>
        <v>253.29999999999995</v>
      </c>
      <c r="AI18" s="722">
        <f>AI14-AI15</f>
        <v>153.67600000000002</v>
      </c>
      <c r="AJ18" s="722">
        <f>AJ14-AJ15</f>
        <v>172.17099999999999</v>
      </c>
      <c r="AK18" s="722"/>
      <c r="AL18" s="722">
        <f>AL14-AL15</f>
        <v>180.65400000000005</v>
      </c>
      <c r="AM18" s="722">
        <f>AM14-AM15</f>
        <v>340.71499999999997</v>
      </c>
      <c r="AN18" s="722">
        <f>AN14-AN15</f>
        <v>226.62699999999995</v>
      </c>
      <c r="AO18" s="722">
        <f>AO14-AO15</f>
        <v>245.40100000000001</v>
      </c>
      <c r="AP18" s="722"/>
      <c r="AQ18" s="722">
        <f>AQ14-AQ15</f>
        <v>238.75799999999998</v>
      </c>
      <c r="AR18" s="722">
        <f>AR14-AR15</f>
        <v>403.06300000000005</v>
      </c>
      <c r="AS18" s="722">
        <f>AS14-AS15</f>
        <v>256.69200000000001</v>
      </c>
      <c r="AT18" s="722">
        <f>AT14-AT15</f>
        <v>280.71600000000001</v>
      </c>
      <c r="AU18" s="722"/>
      <c r="AV18" s="722">
        <f>AV14-AV15</f>
        <v>233.48599999999999</v>
      </c>
      <c r="AW18" s="722">
        <f>AW14-AW15</f>
        <v>348.36299999999994</v>
      </c>
      <c r="AX18" s="722">
        <f>AX14-AX15</f>
        <v>198.77699999999999</v>
      </c>
      <c r="AY18" s="722">
        <f>AY14-AY15</f>
        <v>219.68700000000001</v>
      </c>
      <c r="AZ18" s="722"/>
      <c r="BA18" s="722">
        <f>BA14-BA15</f>
        <v>223.24700000000001</v>
      </c>
      <c r="BB18" s="722">
        <f>BB14-BB15</f>
        <v>380.8370000000001</v>
      </c>
      <c r="BC18" s="722">
        <f>BC14-BC15</f>
        <v>249.12200000000007</v>
      </c>
      <c r="BD18" s="722">
        <f>BD14-BD15</f>
        <v>296.96500000000003</v>
      </c>
      <c r="BE18" s="722"/>
      <c r="BF18" s="722">
        <f>BF14-BF15</f>
        <v>285.66000000000003</v>
      </c>
      <c r="BG18" s="722">
        <f>BG14-BG15</f>
        <v>453.33500000000015</v>
      </c>
      <c r="BH18" s="722">
        <f>BH14-BH15</f>
        <v>279.51499999999999</v>
      </c>
      <c r="BI18" s="722">
        <f>BI14-BI15</f>
        <v>312.09199999999998</v>
      </c>
      <c r="BJ18" s="722"/>
      <c r="BK18" s="722">
        <f>BK14-BK15</f>
        <v>321.96599999999989</v>
      </c>
      <c r="BL18" s="722">
        <f>BL14-BL15</f>
        <v>521.17099999999982</v>
      </c>
      <c r="BM18" s="722">
        <f>BM14-BM15</f>
        <v>337.49200000000002</v>
      </c>
      <c r="BN18" s="722">
        <f>BN14-BN15</f>
        <v>370.56900000000007</v>
      </c>
      <c r="BO18" s="722"/>
      <c r="BP18" s="722">
        <f>BP14-BP15</f>
        <v>331.71699999999987</v>
      </c>
      <c r="BQ18" s="722">
        <f>BQ14-BQ15</f>
        <v>526.57699999999988</v>
      </c>
      <c r="BR18" s="722">
        <f>BR14-BR15</f>
        <v>348.49299999999994</v>
      </c>
      <c r="BS18" s="722">
        <f>BS14-BS15</f>
        <v>370.95600000000013</v>
      </c>
      <c r="BT18" s="722"/>
      <c r="BU18" s="722">
        <f>BU14-BU15</f>
        <v>321.63399999999996</v>
      </c>
      <c r="BV18" s="722">
        <f>BV14-BV15</f>
        <v>435.9430000000001</v>
      </c>
      <c r="BW18" s="722">
        <f>BW14-BW15</f>
        <v>262.70899999999995</v>
      </c>
      <c r="BX18" s="722">
        <f>BX14-BX15</f>
        <v>231.29499999999985</v>
      </c>
      <c r="BY18" s="722"/>
      <c r="BZ18" s="722">
        <f>BZ14-BZ15</f>
        <v>216.89999999999998</v>
      </c>
      <c r="CA18" s="722">
        <f>CA14-CA15</f>
        <v>299.00000000000011</v>
      </c>
      <c r="CB18" s="722">
        <f>CB14-CB15</f>
        <v>146.5</v>
      </c>
      <c r="CC18" s="722">
        <f>CC14-CC15</f>
        <v>126.10000000000014</v>
      </c>
      <c r="CD18" s="722"/>
      <c r="CE18" s="722">
        <f>CE14-CE15</f>
        <v>164.99999999999989</v>
      </c>
      <c r="CF18" s="722">
        <f>CF14-CF15</f>
        <v>284.99999999999989</v>
      </c>
      <c r="CG18" s="722">
        <f>CG14-CG15</f>
        <v>151.79999999999973</v>
      </c>
      <c r="CH18" s="722">
        <f>CH14-CH15</f>
        <v>174.79999999999984</v>
      </c>
      <c r="CI18" s="722"/>
      <c r="CJ18" s="722">
        <f>CJ14-CJ15</f>
        <v>176.79999999999995</v>
      </c>
      <c r="CK18" s="722">
        <f>CK14-CK15</f>
        <v>294.30000000000018</v>
      </c>
      <c r="CL18" s="722">
        <f>CL14-CL15</f>
        <v>162</v>
      </c>
      <c r="CM18" s="722">
        <f>CM14-CM15</f>
        <v>179.51999999999998</v>
      </c>
      <c r="CN18" s="722"/>
      <c r="CO18" s="722">
        <f>CO14-CO15</f>
        <v>168.80000000000007</v>
      </c>
      <c r="CP18" s="722">
        <f>CP14-CP15</f>
        <v>411.29999999999995</v>
      </c>
      <c r="CQ18" s="722">
        <f>CQ14-CQ15</f>
        <v>188.65935644600233</v>
      </c>
      <c r="CR18" s="722">
        <f>CR14-CR15</f>
        <v>219.16072818167186</v>
      </c>
      <c r="CS18" s="722"/>
      <c r="CT18" s="1734">
        <f>CT14-CT15</f>
        <v>62.046999999999997</v>
      </c>
      <c r="CU18" s="1734">
        <f>CU14-CU15</f>
        <v>44.268999999999949</v>
      </c>
      <c r="CV18" s="1734">
        <f>CV14-CV15</f>
        <v>25.012999999999977</v>
      </c>
      <c r="CW18" s="1734">
        <f>CW14-CW15</f>
        <v>26.583000000000027</v>
      </c>
      <c r="CX18" s="1734">
        <f t="shared" ref="CX18:DC18" si="6">CX14-CX15</f>
        <v>56.016999999999939</v>
      </c>
      <c r="CY18" s="1735">
        <f t="shared" si="6"/>
        <v>106.25700000000001</v>
      </c>
      <c r="CZ18" s="1735">
        <f t="shared" si="6"/>
        <v>117.77800000000002</v>
      </c>
      <c r="DA18" s="1735">
        <f t="shared" si="6"/>
        <v>218.44900000000007</v>
      </c>
      <c r="DB18" s="1735">
        <f t="shared" si="6"/>
        <v>405.30399999999975</v>
      </c>
      <c r="DC18" s="1734">
        <f t="shared" si="6"/>
        <v>572.5630000000001</v>
      </c>
      <c r="DD18" s="1735">
        <f t="shared" ref="DD18:DI18" si="7">DD14-DD15</f>
        <v>714.74699999999984</v>
      </c>
      <c r="DE18" s="1734">
        <f t="shared" si="7"/>
        <v>993.39699999999971</v>
      </c>
      <c r="DF18" s="1735">
        <f t="shared" si="7"/>
        <v>1179.229</v>
      </c>
      <c r="DG18" s="1734">
        <f t="shared" si="7"/>
        <v>1000.3129999999996</v>
      </c>
      <c r="DH18" s="1735">
        <f t="shared" si="7"/>
        <v>1150.1709999999998</v>
      </c>
      <c r="DI18" s="1735">
        <f t="shared" si="7"/>
        <v>1330.6020000000003</v>
      </c>
      <c r="DJ18" s="1734">
        <f t="shared" ref="DJ18:DO18" si="8">DJ14-DJ15</f>
        <v>1551.1979999999996</v>
      </c>
      <c r="DK18" s="1734">
        <f t="shared" si="8"/>
        <v>1577.7429999999995</v>
      </c>
      <c r="DL18" s="1734">
        <f t="shared" si="8"/>
        <v>1251.581000000001</v>
      </c>
      <c r="DM18" s="1734">
        <f t="shared" si="8"/>
        <v>788.5</v>
      </c>
      <c r="DN18" s="1734">
        <f t="shared" si="8"/>
        <v>776.599999999999</v>
      </c>
      <c r="DO18" s="1734">
        <f t="shared" si="8"/>
        <v>812.6200000000008</v>
      </c>
      <c r="DP18" s="1734">
        <f>DP14-DP15</f>
        <v>987.92008462767444</v>
      </c>
      <c r="DQ18" s="1734">
        <f>DQ14-DQ15</f>
        <v>1061.3537412755204</v>
      </c>
      <c r="DR18" s="1734">
        <f>DR14-DR15</f>
        <v>1101.0948520308657</v>
      </c>
      <c r="DS18" s="1735">
        <f>DS14-DS15</f>
        <v>1141.5470922265395</v>
      </c>
      <c r="DT18" s="1736">
        <f>DT14-DT15</f>
        <v>1201.1207829119348</v>
      </c>
    </row>
    <row r="19" spans="1:130">
      <c r="A19" s="1686"/>
      <c r="B19" s="722"/>
      <c r="C19" s="722"/>
      <c r="D19" s="722"/>
      <c r="E19" s="722"/>
      <c r="F19" s="722"/>
      <c r="G19" s="722"/>
      <c r="H19" s="722"/>
      <c r="I19" s="722"/>
      <c r="J19" s="722"/>
      <c r="K19" s="722"/>
      <c r="L19" s="722"/>
      <c r="M19" s="722"/>
      <c r="N19" s="722"/>
      <c r="O19" s="722"/>
      <c r="P19" s="722"/>
      <c r="Q19" s="722"/>
      <c r="R19" s="722"/>
      <c r="S19" s="722"/>
      <c r="T19" s="722"/>
      <c r="U19" s="722"/>
      <c r="V19" s="722"/>
      <c r="W19" s="722"/>
      <c r="X19" s="722"/>
      <c r="Y19" s="722"/>
      <c r="Z19" s="722"/>
      <c r="AA19" s="722"/>
      <c r="AB19" s="722"/>
      <c r="AC19" s="722"/>
      <c r="AD19" s="722"/>
      <c r="AE19" s="722"/>
      <c r="AF19" s="722"/>
      <c r="AG19" s="722"/>
      <c r="AH19" s="722"/>
      <c r="AI19" s="722"/>
      <c r="AJ19" s="722"/>
      <c r="AK19" s="722"/>
      <c r="AL19" s="722"/>
      <c r="AM19" s="722"/>
      <c r="AN19" s="722"/>
      <c r="AO19" s="722"/>
      <c r="AP19" s="722"/>
      <c r="AQ19" s="722"/>
      <c r="AR19" s="722"/>
      <c r="AS19" s="722"/>
      <c r="AT19" s="722"/>
      <c r="AU19" s="722"/>
      <c r="AV19" s="722"/>
      <c r="AW19" s="722"/>
      <c r="AX19" s="722"/>
      <c r="AY19" s="722"/>
      <c r="AZ19" s="722"/>
      <c r="BA19" s="722"/>
      <c r="BB19" s="722"/>
      <c r="BC19" s="722"/>
      <c r="BD19" s="722"/>
      <c r="BE19" s="722"/>
      <c r="BF19" s="722"/>
      <c r="BG19" s="722"/>
      <c r="BH19" s="722"/>
      <c r="BI19" s="722"/>
      <c r="BJ19" s="722"/>
      <c r="BK19" s="722"/>
      <c r="BL19" s="722"/>
      <c r="BM19" s="722"/>
      <c r="BN19" s="722"/>
      <c r="BO19" s="722"/>
      <c r="BP19" s="722"/>
      <c r="BQ19" s="722"/>
      <c r="BR19" s="722"/>
      <c r="BS19" s="722"/>
      <c r="BT19" s="722"/>
      <c r="BU19" s="722"/>
      <c r="BV19" s="722"/>
      <c r="BW19" s="722"/>
      <c r="BX19" s="722"/>
      <c r="BY19" s="722"/>
      <c r="BZ19" s="722"/>
      <c r="CA19" s="722"/>
      <c r="CB19" s="722"/>
      <c r="CC19" s="722"/>
      <c r="CD19" s="722"/>
      <c r="CE19" s="722"/>
      <c r="CF19" s="722"/>
      <c r="CG19" s="722"/>
      <c r="CH19" s="722"/>
      <c r="CI19" s="722"/>
      <c r="CJ19" s="722"/>
      <c r="CK19" s="722"/>
      <c r="CL19" s="722"/>
      <c r="CM19" s="722"/>
      <c r="CN19" s="722"/>
      <c r="CO19" s="722"/>
      <c r="CP19" s="722"/>
      <c r="CQ19" s="722"/>
      <c r="CR19" s="722"/>
      <c r="CS19" s="722"/>
      <c r="CT19" s="1734"/>
      <c r="CU19" s="1734"/>
      <c r="CV19" s="1734"/>
      <c r="CW19" s="1734"/>
      <c r="CX19" s="1734"/>
      <c r="CY19" s="1735"/>
      <c r="CZ19" s="1735"/>
      <c r="DA19" s="1735"/>
      <c r="DB19" s="1735"/>
      <c r="DC19" s="1734"/>
      <c r="DD19" s="1735"/>
      <c r="DE19" s="1734"/>
      <c r="DF19" s="1735"/>
      <c r="DG19" s="1734"/>
      <c r="DH19" s="1735"/>
      <c r="DI19" s="1735"/>
      <c r="DJ19" s="1734"/>
      <c r="DK19" s="1734"/>
      <c r="DL19" s="1734"/>
      <c r="DM19" s="1734"/>
      <c r="DN19" s="1734"/>
      <c r="DO19" s="1734"/>
      <c r="DP19" s="1734"/>
      <c r="DQ19" s="1734"/>
      <c r="DR19" s="1734"/>
      <c r="DS19" s="1735"/>
      <c r="DT19" s="1736"/>
    </row>
    <row r="20" spans="1:130">
      <c r="A20" s="723" t="s">
        <v>272</v>
      </c>
      <c r="B20" s="1748"/>
      <c r="C20" s="723">
        <f>'qtrP&amp;L'!$X70</f>
        <v>-9.7000000000000003E-2</v>
      </c>
      <c r="D20" s="723">
        <f>'qtrP&amp;L'!$X71</f>
        <v>-9.7000000000000003E-2</v>
      </c>
      <c r="E20" s="723">
        <f>'qtrP&amp;L'!$X72</f>
        <v>-9.7000000000000003E-2</v>
      </c>
      <c r="F20" s="723">
        <f>'qtrP&amp;L'!$X73</f>
        <v>-9.6000000000000002E-2</v>
      </c>
      <c r="G20" s="723"/>
      <c r="H20" s="723">
        <f>'qtrP&amp;L'!$AB70</f>
        <v>-0.113</v>
      </c>
      <c r="I20" s="723">
        <f>'qtrP&amp;L'!$AB71</f>
        <v>-1.399</v>
      </c>
      <c r="J20" s="723">
        <f>'qtrP&amp;L'!$AB72</f>
        <v>-0.43</v>
      </c>
      <c r="K20" s="723">
        <f>'qtrP&amp;L'!$AB73</f>
        <v>-0.316</v>
      </c>
      <c r="L20" s="723"/>
      <c r="M20" s="723">
        <f>'qtrP&amp;L'!$AF70</f>
        <v>-0.44700000000000001</v>
      </c>
      <c r="N20" s="723">
        <f>'qtrP&amp;L'!$AF71</f>
        <v>-0.221</v>
      </c>
      <c r="O20" s="723">
        <f>'qtrP&amp;L'!$AF72</f>
        <v>0.129</v>
      </c>
      <c r="P20" s="723">
        <f>'qtrP&amp;L'!$AF73</f>
        <v>0.24</v>
      </c>
      <c r="Q20" s="723"/>
      <c r="R20" s="1749">
        <f>'qtrP&amp;L'!$AJ70</f>
        <v>0.16500000000000001</v>
      </c>
      <c r="S20" s="1749">
        <f>'qtrP&amp;L'!$AJ71</f>
        <v>0.11</v>
      </c>
      <c r="T20" s="1749">
        <f>'qtrP&amp;L'!$AJ72</f>
        <v>0.34399999999999997</v>
      </c>
      <c r="U20" s="1749">
        <f>'qtrP&amp;L'!$AJ73</f>
        <v>0.44</v>
      </c>
      <c r="V20" s="1749"/>
      <c r="W20" s="1749">
        <f>+'qtrP&amp;L'!$AN$70</f>
        <v>0.40500000000000003</v>
      </c>
      <c r="X20" s="1749">
        <f>+'qtrP&amp;L'!$AN$71</f>
        <v>0.46600000000000003</v>
      </c>
      <c r="Y20" s="1749">
        <f>+'qtrP&amp;L'!$AN$72</f>
        <v>0.76800000000000002</v>
      </c>
      <c r="Z20" s="1749">
        <f>+'qtrP&amp;L'!$AN$73</f>
        <v>1.5529999999999999</v>
      </c>
      <c r="AA20" s="723"/>
      <c r="AB20" s="1749">
        <f>+'qtrP&amp;L'!$AR$70</f>
        <v>2.5099999999999998</v>
      </c>
      <c r="AC20" s="1749">
        <f>+'qtrP&amp;L'!$AR$71</f>
        <v>3.4689999999999999</v>
      </c>
      <c r="AD20" s="1749">
        <f>+'qtrP&amp;L'!$AR$72</f>
        <v>4.9450000000000003</v>
      </c>
      <c r="AE20" s="1749">
        <f>+'qtrP&amp;L'!$AR$73</f>
        <v>4.8360000000000003</v>
      </c>
      <c r="AF20" s="723"/>
      <c r="AG20" s="723">
        <f>+'qtrP&amp;L'!$AV$70</f>
        <v>5.8869999999999996</v>
      </c>
      <c r="AH20" s="723">
        <f>+'qtrP&amp;L'!$AV$71</f>
        <v>6.99</v>
      </c>
      <c r="AI20" s="723">
        <f>+'qtrP&amp;L'!$AV$72</f>
        <v>10.118</v>
      </c>
      <c r="AJ20" s="723">
        <f>+'qtrP&amp;L'!$AV$73</f>
        <v>9.6280000000000001</v>
      </c>
      <c r="AK20" s="723"/>
      <c r="AL20" s="723">
        <f>+'qtrP&amp;L'!$AZ$70</f>
        <v>6.5890000000000004</v>
      </c>
      <c r="AM20" s="723">
        <f>+'qtrP&amp;L'!$AZ$71</f>
        <v>7.8879999999999999</v>
      </c>
      <c r="AN20" s="723">
        <f>+'qtrP&amp;L'!$AZ$72</f>
        <v>12.988</v>
      </c>
      <c r="AO20" s="723">
        <f>+'qtrP&amp;L'!$AZ$73</f>
        <v>13.808</v>
      </c>
      <c r="AP20" s="723"/>
      <c r="AQ20" s="723">
        <f>+'qtrP&amp;L'!$BD$70</f>
        <v>14.996</v>
      </c>
      <c r="AR20" s="723">
        <f>+'qtrP&amp;L'!$BD$71</f>
        <v>10.568</v>
      </c>
      <c r="AS20" s="723">
        <f>+'qtrP&amp;L'!$BD$72</f>
        <v>9.5470000000000006</v>
      </c>
      <c r="AT20" s="723">
        <f>+'qtrP&amp;L'!$BD$73</f>
        <v>2.0590000000000002</v>
      </c>
      <c r="AU20" s="723"/>
      <c r="AV20" s="723">
        <f>'qtrP&amp;L'!$BH$70</f>
        <v>2.6459999999999999</v>
      </c>
      <c r="AW20" s="723">
        <f>'qtrP&amp;L'!$BH$71</f>
        <v>0.53200000000000003</v>
      </c>
      <c r="AX20" s="723">
        <f>'qtrP&amp;L'!$BH$72</f>
        <v>-0.121</v>
      </c>
      <c r="AY20" s="723">
        <f>'qtrP&amp;L'!$BH$73</f>
        <v>9.9000000000000199E-2</v>
      </c>
      <c r="AZ20" s="723"/>
      <c r="BA20" s="723">
        <f>'qtrP&amp;L'!$BL$70</f>
        <v>-0.59599999999999997</v>
      </c>
      <c r="BB20" s="723">
        <f>'qtrP&amp;L'!$BL$71</f>
        <v>0.112</v>
      </c>
      <c r="BC20" s="723">
        <f>'qtrP&amp;L'!$BL$72</f>
        <v>0.104</v>
      </c>
      <c r="BD20" s="723">
        <f>'qtrP&amp;L'!$BL$73</f>
        <v>2.137</v>
      </c>
      <c r="BE20" s="723"/>
      <c r="BF20" s="723">
        <f>'qtrP&amp;L'!$BP$70</f>
        <v>-0.56200000000000006</v>
      </c>
      <c r="BG20" s="723">
        <f>'qtrP&amp;L'!$BP$71</f>
        <v>-0.89400000000000013</v>
      </c>
      <c r="BH20" s="723">
        <f>'qtrP&amp;L'!$BP$72</f>
        <v>-0.84199999999999986</v>
      </c>
      <c r="BI20" s="723">
        <f>'qtrP&amp;L'!$BP$73</f>
        <v>-1.407</v>
      </c>
      <c r="BJ20" s="723"/>
      <c r="BK20" s="723">
        <f>'qtrP&amp;L'!$BT$70</f>
        <v>-1.3619999999999999</v>
      </c>
      <c r="BL20" s="723">
        <f>'qtrP&amp;L'!$BT$71</f>
        <v>-1.7709999999999999</v>
      </c>
      <c r="BM20" s="723">
        <f>'qtrP&amp;L'!$BT$72</f>
        <v>-1.6720000000000002</v>
      </c>
      <c r="BN20" s="723">
        <f>'qtrP&amp;L'!$BT$73</f>
        <v>-1.5209999999999999</v>
      </c>
      <c r="BO20" s="723"/>
      <c r="BP20" s="723">
        <f>'qtrP&amp;L'!$BX$70</f>
        <v>-2.036</v>
      </c>
      <c r="BQ20" s="723">
        <f>'qtrP&amp;L'!$BX$71</f>
        <v>-1.2389999999999999</v>
      </c>
      <c r="BR20" s="723">
        <f>'qtrP&amp;L'!$BX$72</f>
        <v>-0.7430000000000001</v>
      </c>
      <c r="BS20" s="723">
        <f>'qtrP&amp;L'!$BX$73</f>
        <v>3.0000000000001137E-3</v>
      </c>
      <c r="BT20" s="723"/>
      <c r="BU20" s="723">
        <f>'qtrP&amp;L'!CB70</f>
        <v>1.6280000000000001</v>
      </c>
      <c r="BV20" s="723">
        <f>'qtrP&amp;L'!CB71</f>
        <v>1.9530000000000001</v>
      </c>
      <c r="BW20" s="723">
        <f>'qtrP&amp;L'!CB72</f>
        <v>-1.929</v>
      </c>
      <c r="BX20" s="723">
        <f>'qtrP&amp;L'!CB73</f>
        <v>0.52900000000000003</v>
      </c>
      <c r="BY20" s="723"/>
      <c r="BZ20" s="723">
        <f>'qtrP&amp;L'!CF70</f>
        <v>0.7</v>
      </c>
      <c r="CA20" s="723">
        <f>'qtrP&amp;L'!CF71</f>
        <v>0.4</v>
      </c>
      <c r="CB20" s="723">
        <f>'qtrP&amp;L'!CF72</f>
        <v>-1.2</v>
      </c>
      <c r="CC20" s="723">
        <f>'qtrP&amp;L'!CF73</f>
        <v>-6.3</v>
      </c>
      <c r="CD20" s="723"/>
      <c r="CE20" s="723">
        <f>'qtrP&amp;L'!CJ70</f>
        <v>-6.7</v>
      </c>
      <c r="CF20" s="723">
        <f>'qtrP&amp;L'!CJ71</f>
        <v>-6.3</v>
      </c>
      <c r="CG20" s="723">
        <f>'qtrP&amp;L'!CJ72</f>
        <v>-6.5</v>
      </c>
      <c r="CH20" s="723">
        <f>'qtrP&amp;L'!CJ73</f>
        <v>-7.4</v>
      </c>
      <c r="CI20" s="723"/>
      <c r="CJ20" s="723">
        <f>'qtrP&amp;L'!CN70</f>
        <v>-5.7</v>
      </c>
      <c r="CK20" s="723">
        <f>'qtrP&amp;L'!CN71</f>
        <v>-5.0999999999999996</v>
      </c>
      <c r="CL20" s="723">
        <f>'qtrP&amp;L'!CN72</f>
        <v>-4</v>
      </c>
      <c r="CM20" s="723">
        <f>'qtrP&amp;L'!CN73</f>
        <v>-4.0999999999999996</v>
      </c>
      <c r="CN20" s="723"/>
      <c r="CO20" s="723">
        <f>'qtrP&amp;L'!CR70</f>
        <v>-20.5</v>
      </c>
      <c r="CP20" s="723">
        <f>'qtrP&amp;L'!CR71</f>
        <v>-22.2</v>
      </c>
      <c r="CQ20" s="723">
        <f>'qtrP&amp;L'!CR72</f>
        <v>-17.5</v>
      </c>
      <c r="CR20" s="723">
        <f>'qtrP&amp;L'!CR73</f>
        <v>-17.5</v>
      </c>
      <c r="CS20" s="723"/>
      <c r="CT20" s="1738">
        <f>'yrP&amp;L'!C64</f>
        <v>-0.247</v>
      </c>
      <c r="CU20" s="1738">
        <f>'yrP&amp;L'!D64</f>
        <v>-0.49199999999999999</v>
      </c>
      <c r="CV20" s="1738">
        <f>'yrP&amp;L'!E64</f>
        <v>-0.23599999999999999</v>
      </c>
      <c r="CW20" s="1738">
        <f>'yrP&amp;L'!F64</f>
        <v>-0.41399999999999998</v>
      </c>
      <c r="CX20" s="1738">
        <f>'yrP&amp;L'!G64</f>
        <v>-0.38700000000000001</v>
      </c>
      <c r="CY20" s="1739">
        <f>'yrP&amp;L'!H64</f>
        <v>-2.258</v>
      </c>
      <c r="CZ20" s="1739">
        <f>'yrP&amp;L'!I64</f>
        <v>-0.29900000000000004</v>
      </c>
      <c r="DA20" s="1739">
        <f>'yrP&amp;L'!J64</f>
        <v>1.0589999999999999</v>
      </c>
      <c r="DB20" s="1739">
        <f>'yrP&amp;L'!K64</f>
        <v>3.1920000000000002</v>
      </c>
      <c r="DC20" s="1738">
        <f>'yrP&amp;L'!L64</f>
        <v>15.76</v>
      </c>
      <c r="DD20" s="1739">
        <f>'yrP&amp;L'!M64</f>
        <v>32.622999999999998</v>
      </c>
      <c r="DE20" s="1738">
        <f>'yrP&amp;L'!N64</f>
        <v>41.272999999999996</v>
      </c>
      <c r="DF20" s="1739">
        <f>'yrP&amp;L'!O64</f>
        <v>37.17</v>
      </c>
      <c r="DG20" s="1738">
        <f>'yrP&amp;L'!P64</f>
        <v>3.1560000000000001</v>
      </c>
      <c r="DH20" s="1739">
        <f>'yrP&amp;L'!Q64</f>
        <v>1.7570000000000001</v>
      </c>
      <c r="DI20" s="1739">
        <f>'yrP&amp;L'!R64</f>
        <v>-3.7050000000000001</v>
      </c>
      <c r="DJ20" s="1738">
        <f>'yrP&amp;L'!S64</f>
        <v>-6.3259999999999996</v>
      </c>
      <c r="DK20" s="1738">
        <f>'yrP&amp;L'!T64</f>
        <v>-4.0149999999999997</v>
      </c>
      <c r="DL20" s="1738">
        <f>'qtrP&amp;L'!CB74</f>
        <v>2.1810000000000005</v>
      </c>
      <c r="DM20" s="1738">
        <f>'qtrP&amp;L'!CF74</f>
        <v>-6.3999999999999995</v>
      </c>
      <c r="DN20" s="1738">
        <f>'yrP&amp;L'!W64</f>
        <v>-26.9</v>
      </c>
      <c r="DO20" s="1738">
        <f>'yrP&amp;L'!X64</f>
        <v>-18.899999999999999</v>
      </c>
      <c r="DP20" s="1738">
        <f>'yrP&amp;L'!Y64</f>
        <v>-77.7</v>
      </c>
      <c r="DQ20" s="1738">
        <f>'yrP&amp;L'!Z64</f>
        <v>-44.7</v>
      </c>
      <c r="DR20" s="1738">
        <f>'yrP&amp;L'!AA64</f>
        <v>-44.7</v>
      </c>
      <c r="DS20" s="1739">
        <f>'yrP&amp;L'!AB64</f>
        <v>-44.7</v>
      </c>
      <c r="DT20" s="1740">
        <f>'yrP&amp;L'!AC64</f>
        <v>-44.7</v>
      </c>
    </row>
    <row r="21" spans="1:130">
      <c r="A21" s="723" t="s">
        <v>94</v>
      </c>
      <c r="B21" s="722"/>
      <c r="C21" s="722">
        <f>C18+C20</f>
        <v>2.9519999999999995</v>
      </c>
      <c r="D21" s="722">
        <f>D18+D20</f>
        <v>40.723999999999982</v>
      </c>
      <c r="E21" s="722">
        <f>E18+E20</f>
        <v>4.3719999999999937</v>
      </c>
      <c r="F21" s="722">
        <f>F18+F20</f>
        <v>7.5819999999999972</v>
      </c>
      <c r="G21" s="722"/>
      <c r="H21" s="722">
        <f>H18+H20</f>
        <v>16.629000000000019</v>
      </c>
      <c r="I21" s="722">
        <f>I18+I20</f>
        <v>60.313000000000002</v>
      </c>
      <c r="J21" s="722">
        <f>J18+J20</f>
        <v>11.933000000000014</v>
      </c>
      <c r="K21" s="722">
        <f>K18+K20</f>
        <v>15.123999999999983</v>
      </c>
      <c r="L21" s="722"/>
      <c r="M21" s="722">
        <f>M18+M20</f>
        <v>19.023</v>
      </c>
      <c r="N21" s="722">
        <f>N18+N20</f>
        <v>69.719999999999985</v>
      </c>
      <c r="O21" s="722">
        <f>O18+O20</f>
        <v>23.855999999999991</v>
      </c>
      <c r="P21" s="722">
        <f>P18+P20</f>
        <v>24.109999999999989</v>
      </c>
      <c r="Q21" s="722"/>
      <c r="R21" s="722">
        <f>R18+R20</f>
        <v>37.772999999999989</v>
      </c>
      <c r="S21" s="722">
        <f>S18+S20</f>
        <v>102.71000000000004</v>
      </c>
      <c r="T21" s="722">
        <f>T18+T20</f>
        <v>53.090999999999987</v>
      </c>
      <c r="U21" s="722">
        <f>U18+U20</f>
        <v>51.246999999999986</v>
      </c>
      <c r="V21" s="722"/>
      <c r="W21" s="722">
        <f>W18+W20</f>
        <v>72.029999999999987</v>
      </c>
      <c r="X21" s="722">
        <f>X18+X20</f>
        <v>161.16999999999999</v>
      </c>
      <c r="Y21" s="722">
        <f>Y18+Y20</f>
        <v>101.637</v>
      </c>
      <c r="Z21" s="722">
        <f>Z18+Z20</f>
        <v>112.81999999999996</v>
      </c>
      <c r="AA21" s="722"/>
      <c r="AB21" s="722">
        <f>AB18+AB20</f>
        <v>103.06699999999999</v>
      </c>
      <c r="AC21" s="722">
        <f>AC18+AC20</f>
        <v>214.959</v>
      </c>
      <c r="AD21" s="722">
        <f>AD18+AD20</f>
        <v>137.28100000000001</v>
      </c>
      <c r="AE21" s="722">
        <f>AE18+AE20</f>
        <v>133.01600000000002</v>
      </c>
      <c r="AF21" s="722"/>
      <c r="AG21" s="722">
        <f>AG18+AG20</f>
        <v>141.48700000000002</v>
      </c>
      <c r="AH21" s="722">
        <f>AH18+AH20</f>
        <v>260.28999999999996</v>
      </c>
      <c r="AI21" s="722">
        <f>AI18+AI20</f>
        <v>163.79400000000001</v>
      </c>
      <c r="AJ21" s="722">
        <f>AJ18+AJ20</f>
        <v>181.79899999999998</v>
      </c>
      <c r="AK21" s="722"/>
      <c r="AL21" s="722">
        <f>AL18+AL20</f>
        <v>187.24300000000005</v>
      </c>
      <c r="AM21" s="722">
        <f>AM18+AM20</f>
        <v>348.60299999999995</v>
      </c>
      <c r="AN21" s="722">
        <f>AN18+AN20</f>
        <v>239.61499999999995</v>
      </c>
      <c r="AO21" s="722">
        <f>AO18+AO20</f>
        <v>259.209</v>
      </c>
      <c r="AP21" s="722"/>
      <c r="AQ21" s="722">
        <f>AQ18+AQ20</f>
        <v>253.75399999999999</v>
      </c>
      <c r="AR21" s="722">
        <f>AR18+AR20</f>
        <v>413.63100000000003</v>
      </c>
      <c r="AS21" s="722">
        <f>AS18+AS20</f>
        <v>266.23900000000003</v>
      </c>
      <c r="AT21" s="722">
        <f>AT18+AT20</f>
        <v>282.77500000000003</v>
      </c>
      <c r="AU21" s="722"/>
      <c r="AV21" s="722">
        <f>AV18+AV20</f>
        <v>236.13199999999998</v>
      </c>
      <c r="AW21" s="722">
        <f>AW18+AW20</f>
        <v>348.89499999999992</v>
      </c>
      <c r="AX21" s="722">
        <f>AX18+AX20</f>
        <v>198.65599999999998</v>
      </c>
      <c r="AY21" s="722">
        <f>AY18+AY20</f>
        <v>219.786</v>
      </c>
      <c r="AZ21" s="722"/>
      <c r="BA21" s="722">
        <f>BA18+BA20</f>
        <v>222.65100000000001</v>
      </c>
      <c r="BB21" s="722">
        <f>BB18+BB20</f>
        <v>380.94900000000013</v>
      </c>
      <c r="BC21" s="722">
        <f>BC18+BC20</f>
        <v>249.22600000000008</v>
      </c>
      <c r="BD21" s="722">
        <f>BD18+BD20</f>
        <v>299.10200000000003</v>
      </c>
      <c r="BE21" s="722"/>
      <c r="BF21" s="722">
        <f>BF18+BF20</f>
        <v>285.09800000000001</v>
      </c>
      <c r="BG21" s="722">
        <f>BG18+BG20</f>
        <v>452.44100000000014</v>
      </c>
      <c r="BH21" s="722">
        <f>BH18+BH20</f>
        <v>278.673</v>
      </c>
      <c r="BI21" s="722">
        <f>BI18+BI20</f>
        <v>310.685</v>
      </c>
      <c r="BJ21" s="722"/>
      <c r="BK21" s="722">
        <f>BK18+BK20</f>
        <v>320.60399999999987</v>
      </c>
      <c r="BL21" s="722">
        <f>BL18+BL20</f>
        <v>519.39999999999986</v>
      </c>
      <c r="BM21" s="722">
        <f>BM18+BM20</f>
        <v>335.82</v>
      </c>
      <c r="BN21" s="722">
        <f>BN18+BN20</f>
        <v>369.04800000000006</v>
      </c>
      <c r="BO21" s="722"/>
      <c r="BP21" s="722">
        <f>BP18+BP20</f>
        <v>329.68099999999987</v>
      </c>
      <c r="BQ21" s="722">
        <f>BQ18+BQ20</f>
        <v>525.33799999999985</v>
      </c>
      <c r="BR21" s="722">
        <f>BR18+BR20</f>
        <v>347.74999999999994</v>
      </c>
      <c r="BS21" s="722">
        <f>BS18+BS20</f>
        <v>370.95900000000012</v>
      </c>
      <c r="BT21" s="722"/>
      <c r="BU21" s="722">
        <f>BU18+BU20</f>
        <v>323.26199999999994</v>
      </c>
      <c r="BV21" s="722">
        <f>BV18+BV20</f>
        <v>437.89600000000007</v>
      </c>
      <c r="BW21" s="722">
        <f>BW18+BW20</f>
        <v>260.77999999999997</v>
      </c>
      <c r="BX21" s="722">
        <f>BX18+BX20</f>
        <v>231.82399999999984</v>
      </c>
      <c r="BY21" s="722"/>
      <c r="BZ21" s="722">
        <f>BZ18+BZ20</f>
        <v>217.59999999999997</v>
      </c>
      <c r="CA21" s="722">
        <f>CA18+CA20</f>
        <v>299.40000000000009</v>
      </c>
      <c r="CB21" s="722">
        <f>CB18+CB20</f>
        <v>145.30000000000001</v>
      </c>
      <c r="CC21" s="722">
        <f>CC18+CC20</f>
        <v>119.80000000000014</v>
      </c>
      <c r="CD21" s="722"/>
      <c r="CE21" s="722">
        <f>CE18+CE20</f>
        <v>158.2999999999999</v>
      </c>
      <c r="CF21" s="722">
        <f>CF18+CF20</f>
        <v>278.69999999999987</v>
      </c>
      <c r="CG21" s="722">
        <f>CG18+CG20</f>
        <v>145.29999999999973</v>
      </c>
      <c r="CH21" s="722">
        <f>CH18+CH20</f>
        <v>167.39999999999984</v>
      </c>
      <c r="CI21" s="722"/>
      <c r="CJ21" s="722">
        <f>CJ18+CJ20</f>
        <v>171.09999999999997</v>
      </c>
      <c r="CK21" s="722">
        <f>CK18+CK20</f>
        <v>289.20000000000016</v>
      </c>
      <c r="CL21" s="722">
        <f>CL18+CL20</f>
        <v>158</v>
      </c>
      <c r="CM21" s="722">
        <f>CM18+CM20</f>
        <v>175.42</v>
      </c>
      <c r="CN21" s="722"/>
      <c r="CO21" s="722">
        <f>CO18+CO20</f>
        <v>148.30000000000007</v>
      </c>
      <c r="CP21" s="722">
        <f>CP18+CP20</f>
        <v>389.09999999999997</v>
      </c>
      <c r="CQ21" s="722">
        <f>CQ18+CQ20</f>
        <v>171.15935644600233</v>
      </c>
      <c r="CR21" s="722">
        <f>CR18+CR20</f>
        <v>201.66072818167186</v>
      </c>
      <c r="CS21" s="722"/>
      <c r="CT21" s="1734">
        <f t="shared" ref="CT21:DC21" si="9">CT18+CT20</f>
        <v>61.8</v>
      </c>
      <c r="CU21" s="1734">
        <f t="shared" si="9"/>
        <v>43.776999999999951</v>
      </c>
      <c r="CV21" s="1734">
        <f t="shared" si="9"/>
        <v>24.776999999999976</v>
      </c>
      <c r="CW21" s="1734">
        <f t="shared" si="9"/>
        <v>26.169000000000025</v>
      </c>
      <c r="CX21" s="1734">
        <f t="shared" si="9"/>
        <v>55.629999999999939</v>
      </c>
      <c r="CY21" s="1735">
        <f t="shared" si="9"/>
        <v>103.99900000000001</v>
      </c>
      <c r="CZ21" s="1735">
        <f t="shared" si="9"/>
        <v>117.47900000000001</v>
      </c>
      <c r="DA21" s="1735">
        <f t="shared" si="9"/>
        <v>219.50800000000007</v>
      </c>
      <c r="DB21" s="1735">
        <f t="shared" si="9"/>
        <v>408.49599999999975</v>
      </c>
      <c r="DC21" s="1734">
        <f t="shared" si="9"/>
        <v>588.32300000000009</v>
      </c>
      <c r="DD21" s="1735">
        <f t="shared" ref="DD21:DM21" si="10">DD18+DD20</f>
        <v>747.36999999999989</v>
      </c>
      <c r="DE21" s="1734">
        <f t="shared" si="10"/>
        <v>1034.6699999999996</v>
      </c>
      <c r="DF21" s="1735">
        <f t="shared" si="10"/>
        <v>1216.3990000000001</v>
      </c>
      <c r="DG21" s="1734">
        <f t="shared" si="10"/>
        <v>1003.4689999999996</v>
      </c>
      <c r="DH21" s="1735">
        <f t="shared" si="10"/>
        <v>1151.9279999999999</v>
      </c>
      <c r="DI21" s="1735">
        <f t="shared" si="10"/>
        <v>1326.8970000000004</v>
      </c>
      <c r="DJ21" s="1734">
        <f t="shared" si="10"/>
        <v>1544.8719999999996</v>
      </c>
      <c r="DK21" s="1734">
        <f t="shared" si="10"/>
        <v>1573.7279999999994</v>
      </c>
      <c r="DL21" s="1734">
        <f t="shared" si="10"/>
        <v>1253.7620000000011</v>
      </c>
      <c r="DM21" s="1734">
        <f t="shared" si="10"/>
        <v>782.1</v>
      </c>
      <c r="DN21" s="1734">
        <f t="shared" ref="DN21:DS21" si="11">DN18+DN20</f>
        <v>749.69999999999902</v>
      </c>
      <c r="DO21" s="1734">
        <f t="shared" si="11"/>
        <v>793.72000000000082</v>
      </c>
      <c r="DP21" s="1734">
        <f t="shared" si="11"/>
        <v>910.2200846276744</v>
      </c>
      <c r="DQ21" s="1734">
        <f t="shared" si="11"/>
        <v>1016.6537412755204</v>
      </c>
      <c r="DR21" s="1734">
        <f t="shared" si="11"/>
        <v>1056.3948520308656</v>
      </c>
      <c r="DS21" s="1735">
        <f t="shared" si="11"/>
        <v>1096.8470922265394</v>
      </c>
      <c r="DT21" s="1736">
        <f>DT18+DT20</f>
        <v>1156.4207829119348</v>
      </c>
    </row>
    <row r="22" spans="1:130">
      <c r="A22" s="723"/>
      <c r="B22" s="725"/>
      <c r="C22" s="725"/>
      <c r="D22" s="725"/>
      <c r="E22" s="725"/>
      <c r="F22" s="725"/>
      <c r="G22" s="725"/>
      <c r="H22" s="725"/>
      <c r="I22" s="725"/>
      <c r="J22" s="725"/>
      <c r="K22" s="725"/>
      <c r="L22" s="725"/>
      <c r="M22" s="725"/>
      <c r="N22" s="725"/>
      <c r="O22" s="725"/>
      <c r="P22" s="725"/>
      <c r="Q22" s="725"/>
      <c r="R22" s="725"/>
      <c r="S22" s="725"/>
      <c r="T22" s="725"/>
      <c r="U22" s="725"/>
      <c r="V22" s="725"/>
      <c r="W22" s="725"/>
      <c r="X22" s="725"/>
      <c r="Y22" s="725"/>
      <c r="Z22" s="725"/>
      <c r="AA22" s="725"/>
      <c r="AB22" s="725"/>
      <c r="AC22" s="725"/>
      <c r="AD22" s="725"/>
      <c r="AE22" s="725"/>
      <c r="AF22" s="725"/>
      <c r="AG22" s="725"/>
      <c r="AH22" s="725"/>
      <c r="AI22" s="725"/>
      <c r="AJ22" s="725"/>
      <c r="AK22" s="725"/>
      <c r="AL22" s="725"/>
      <c r="AM22" s="725"/>
      <c r="AN22" s="725"/>
      <c r="AO22" s="725"/>
      <c r="AP22" s="725"/>
      <c r="AQ22" s="725"/>
      <c r="AR22" s="725"/>
      <c r="AS22" s="725"/>
      <c r="AT22" s="725"/>
      <c r="AU22" s="725"/>
      <c r="AV22" s="725"/>
      <c r="AW22" s="725"/>
      <c r="AX22" s="725"/>
      <c r="AY22" s="725"/>
      <c r="AZ22" s="725"/>
      <c r="BA22" s="725"/>
      <c r="BB22" s="725"/>
      <c r="BC22" s="725"/>
      <c r="BD22" s="725"/>
      <c r="BE22" s="725"/>
      <c r="BF22" s="725"/>
      <c r="BG22" s="725"/>
      <c r="BH22" s="725"/>
      <c r="BI22" s="725"/>
      <c r="BJ22" s="725"/>
      <c r="BK22" s="725"/>
      <c r="BL22" s="725"/>
      <c r="BM22" s="725"/>
      <c r="BN22" s="725"/>
      <c r="BO22" s="725"/>
      <c r="BP22" s="725"/>
      <c r="BQ22" s="725"/>
      <c r="BR22" s="725"/>
      <c r="BS22" s="725"/>
      <c r="BT22" s="725"/>
      <c r="BU22" s="725"/>
      <c r="BV22" s="725"/>
      <c r="BW22" s="725"/>
      <c r="BX22" s="725"/>
      <c r="BY22" s="725"/>
      <c r="BZ22" s="725"/>
      <c r="CA22" s="725"/>
      <c r="CB22" s="725"/>
      <c r="CC22" s="725"/>
      <c r="CD22" s="725"/>
      <c r="CE22" s="725"/>
      <c r="CF22" s="725"/>
      <c r="CG22" s="725"/>
      <c r="CH22" s="725"/>
      <c r="CI22" s="725"/>
      <c r="CJ22" s="725"/>
      <c r="CK22" s="725"/>
      <c r="CL22" s="725"/>
      <c r="CM22" s="725"/>
      <c r="CN22" s="725"/>
      <c r="CO22" s="725"/>
      <c r="CP22" s="725"/>
      <c r="CQ22" s="725"/>
      <c r="CR22" s="725"/>
      <c r="CS22" s="725"/>
      <c r="CT22" s="1750"/>
      <c r="CU22" s="1750"/>
      <c r="CV22" s="1750"/>
      <c r="CW22" s="1750"/>
      <c r="CX22" s="1750"/>
      <c r="CY22" s="1751"/>
      <c r="CZ22" s="1751"/>
      <c r="DA22" s="1751"/>
      <c r="DB22" s="1751"/>
      <c r="DC22" s="1750"/>
      <c r="DD22" s="1751"/>
      <c r="DE22" s="1750"/>
      <c r="DF22" s="1751"/>
      <c r="DG22" s="1750"/>
      <c r="DH22" s="1751"/>
      <c r="DI22" s="1751"/>
      <c r="DJ22" s="1750"/>
      <c r="DK22" s="1750"/>
      <c r="DL22" s="1750"/>
      <c r="DM22" s="1750"/>
      <c r="DN22" s="1750"/>
      <c r="DO22" s="1750"/>
      <c r="DP22" s="1750"/>
      <c r="DQ22" s="1750"/>
      <c r="DR22" s="1750"/>
      <c r="DS22" s="1751"/>
      <c r="DT22" s="1752"/>
    </row>
    <row r="23" spans="1:130">
      <c r="A23" s="723" t="s">
        <v>268</v>
      </c>
      <c r="B23" s="1748"/>
      <c r="C23" s="723">
        <f>'qtrP&amp;L'!$X90</f>
        <v>0.90300000000000002</v>
      </c>
      <c r="D23" s="723">
        <f>'qtrP&amp;L'!$X91</f>
        <v>12.462</v>
      </c>
      <c r="E23" s="723">
        <f>'qtrP&amp;L'!$X92</f>
        <v>1.3380000000000001</v>
      </c>
      <c r="F23" s="723">
        <f>'qtrP&amp;L'!$X93</f>
        <v>2.3239999999999998</v>
      </c>
      <c r="G23" s="723"/>
      <c r="H23" s="723">
        <f>'qtrP&amp;L'!$AB90</f>
        <v>4.0880000000000001</v>
      </c>
      <c r="I23" s="723">
        <f>'qtrP&amp;L'!$AB91</f>
        <v>21.109000000000002</v>
      </c>
      <c r="J23" s="723">
        <f>'qtrP&amp;L'!$AB92</f>
        <v>4.3029999999999999</v>
      </c>
      <c r="K23" s="723">
        <f>'qtrP&amp;L'!$AB93</f>
        <v>5.9</v>
      </c>
      <c r="L23" s="723"/>
      <c r="M23" s="723">
        <f>'qtrP&amp;L'!AF90</f>
        <v>6.7530000000000001</v>
      </c>
      <c r="N23" s="723">
        <f>'qtrP&amp;L'!$AF91</f>
        <v>24.751999999999999</v>
      </c>
      <c r="O23" s="723">
        <f>'qtrP&amp;L'!$AF92</f>
        <v>6.883</v>
      </c>
      <c r="P23" s="723">
        <f>'qtrP&amp;L'!$AF93</f>
        <v>8.9369999999999994</v>
      </c>
      <c r="Q23" s="723"/>
      <c r="R23" s="723">
        <f>'qtrP&amp;L'!$AJ90</f>
        <v>13.977</v>
      </c>
      <c r="S23" s="723">
        <f>'qtrP&amp;L'!$AJ91</f>
        <v>38.003</v>
      </c>
      <c r="T23" s="723">
        <f>'qtrP&amp;L'!$AJ92</f>
        <v>19.643999999999998</v>
      </c>
      <c r="U23" s="723">
        <f>'qtrP&amp;L'!$AJ93</f>
        <v>18.960999999999999</v>
      </c>
      <c r="V23" s="723"/>
      <c r="W23" s="723">
        <f>+'qtrP&amp;L'!$AN$90</f>
        <v>27.007999999999999</v>
      </c>
      <c r="X23" s="723">
        <f>+'qtrP&amp;L'!$AN$91</f>
        <v>60.445</v>
      </c>
      <c r="Y23" s="723">
        <f>+'qtrP&amp;L'!$AN$92</f>
        <v>38.113999999999997</v>
      </c>
      <c r="Z23" s="723">
        <f>+'qtrP&amp;L'!$AN$93</f>
        <v>42.298999999999999</v>
      </c>
      <c r="AA23" s="723"/>
      <c r="AB23" s="723">
        <f>+'qtrP&amp;L'!$AR$90</f>
        <v>39.164999999999999</v>
      </c>
      <c r="AC23" s="723">
        <f>+'qtrP&amp;L'!$AR$91</f>
        <v>81.683999999999997</v>
      </c>
      <c r="AD23" s="723">
        <f>+'qtrP&amp;L'!$AR$92</f>
        <v>52.167999999999999</v>
      </c>
      <c r="AE23" s="723">
        <f>+'qtrP&amp;L'!$AR$93</f>
        <v>43.052999999999997</v>
      </c>
      <c r="AF23" s="723"/>
      <c r="AG23" s="723">
        <f>+'qtrP&amp;L'!$AV$90</f>
        <v>53.6</v>
      </c>
      <c r="AH23" s="723">
        <f>+'qtrP&amp;L'!$AV$91</f>
        <v>98.6</v>
      </c>
      <c r="AI23" s="723">
        <f>+'qtrP&amp;L'!$AV$92</f>
        <v>62.122</v>
      </c>
      <c r="AJ23" s="723">
        <f>+'qtrP&amp;L'!$AV$93</f>
        <v>69.004000000000005</v>
      </c>
      <c r="AK23" s="723"/>
      <c r="AL23" s="723">
        <f>+'qtrP&amp;L'!$AZ$90</f>
        <v>72.004000000000005</v>
      </c>
      <c r="AM23" s="723">
        <f>+'qtrP&amp;L'!$AZ$91</f>
        <v>134.10599999999999</v>
      </c>
      <c r="AN23" s="723">
        <f>+'qtrP&amp;L'!$AZ$92</f>
        <v>92.224999999999994</v>
      </c>
      <c r="AO23" s="723">
        <f>+'qtrP&amp;L'!$AZ$93</f>
        <v>99.805999999999997</v>
      </c>
      <c r="AP23" s="723"/>
      <c r="AQ23" s="723">
        <f>+'qtrP&amp;L'!$BD$90</f>
        <v>98.968000000000004</v>
      </c>
      <c r="AR23" s="723">
        <f>+'qtrP&amp;L'!$BD$91</f>
        <v>161.31399999999999</v>
      </c>
      <c r="AS23" s="723">
        <f>+'qtrP&amp;L'!$BD$92</f>
        <v>103.827</v>
      </c>
      <c r="AT23" s="723">
        <f>+'qtrP&amp;L'!$BD$93</f>
        <v>110.288</v>
      </c>
      <c r="AU23" s="723"/>
      <c r="AV23" s="723">
        <f>'qtrP&amp;L'!$BH$90</f>
        <v>90.320999999999998</v>
      </c>
      <c r="AW23" s="723">
        <f>'qtrP&amp;L'!$BH$91</f>
        <v>131.989</v>
      </c>
      <c r="AX23" s="723">
        <f>'qtrP&amp;L'!$BH$92</f>
        <v>75.397000000000006</v>
      </c>
      <c r="AY23" s="723">
        <f>'qtrP&amp;L'!$BH$93</f>
        <v>83.52000000000001</v>
      </c>
      <c r="AZ23" s="723"/>
      <c r="BA23" s="723">
        <f>'qtrP&amp;L'!$BL$90</f>
        <v>81.823999999999998</v>
      </c>
      <c r="BB23" s="723">
        <f>'qtrP&amp;L'!$BL$91</f>
        <v>139.999</v>
      </c>
      <c r="BC23" s="723">
        <f>'qtrP&amp;L'!$BL$92</f>
        <v>91.59</v>
      </c>
      <c r="BD23" s="723">
        <f>'qtrP&amp;L'!$BL$93</f>
        <v>103.575</v>
      </c>
      <c r="BE23" s="723"/>
      <c r="BF23" s="723">
        <f>'qtrP&amp;L'!$BP$90</f>
        <v>96.221999999999994</v>
      </c>
      <c r="BG23" s="723">
        <f>'qtrP&amp;L'!$BP$91</f>
        <v>149.01300000000001</v>
      </c>
      <c r="BH23" s="723">
        <f>'qtrP&amp;L'!$BP$92</f>
        <v>92.658000000000001</v>
      </c>
      <c r="BI23" s="723">
        <f>'qtrP&amp;L'!$BP$93</f>
        <v>108.20399999999999</v>
      </c>
      <c r="BJ23" s="723"/>
      <c r="BK23" s="723">
        <f>'qtrP&amp;L'!$BT$90</f>
        <v>105.621</v>
      </c>
      <c r="BL23" s="723">
        <f>'qtrP&amp;L'!$BT$91</f>
        <v>171.905</v>
      </c>
      <c r="BM23" s="723">
        <f>'qtrP&amp;L'!$BT$92</f>
        <v>110.818</v>
      </c>
      <c r="BN23" s="723">
        <f>'qtrP&amp;L'!$BT$93</f>
        <v>117.61799999999999</v>
      </c>
      <c r="BO23" s="723"/>
      <c r="BP23" s="723">
        <f>'qtrP&amp;L'!$BX$90</f>
        <v>108.3</v>
      </c>
      <c r="BQ23" s="723">
        <f>'qtrP&amp;L'!$BX$91</f>
        <v>172.57400000000001</v>
      </c>
      <c r="BR23" s="723">
        <f>'qtrP&amp;L'!$BX$92</f>
        <v>108.818</v>
      </c>
      <c r="BS23" s="723">
        <f>'qtrP&amp;L'!$BX$93</f>
        <v>117.048</v>
      </c>
      <c r="BT23" s="723"/>
      <c r="BU23" s="723">
        <f>'qtrP&amp;L'!CB90</f>
        <v>105.379</v>
      </c>
      <c r="BV23" s="723">
        <f>'qtrP&amp;L'!CB91</f>
        <v>140.458</v>
      </c>
      <c r="BW23" s="723">
        <f>'qtrP&amp;L'!CB92</f>
        <v>70.040000000000006</v>
      </c>
      <c r="BX23" s="723">
        <f>'qtrP&amp;L'!CB93</f>
        <v>68.268000000000001</v>
      </c>
      <c r="BY23" s="723"/>
      <c r="BZ23" s="723">
        <f>'qtrP&amp;L'!CF90</f>
        <v>71.8</v>
      </c>
      <c r="CA23" s="723">
        <f>'qtrP&amp;L'!CF91</f>
        <v>99.2</v>
      </c>
      <c r="CB23" s="723">
        <f>'qtrP&amp;L'!CF92</f>
        <v>45.1</v>
      </c>
      <c r="CC23" s="723">
        <f>'qtrP&amp;L'!CF93</f>
        <v>34.799999999999997</v>
      </c>
      <c r="CD23" s="723"/>
      <c r="CE23" s="723">
        <f>'qtrP&amp;L'!CJ90</f>
        <v>45.2</v>
      </c>
      <c r="CF23" s="723">
        <f>'qtrP&amp;L'!CJ91</f>
        <v>90.3</v>
      </c>
      <c r="CG23" s="723">
        <f>'qtrP&amp;L'!CJ92</f>
        <v>21.2</v>
      </c>
      <c r="CH23" s="723">
        <f>'qtrP&amp;L'!CJ93</f>
        <v>41.3</v>
      </c>
      <c r="CI23" s="723"/>
      <c r="CJ23" s="723">
        <f>'qtrP&amp;L'!CN90</f>
        <v>45.1</v>
      </c>
      <c r="CK23" s="723">
        <f>'qtrP&amp;L'!CN91</f>
        <v>78</v>
      </c>
      <c r="CL23" s="723">
        <f>'qtrP&amp;L'!CN92</f>
        <v>27.7</v>
      </c>
      <c r="CM23" s="723">
        <f>'qtrP&amp;L'!CN93</f>
        <v>33.700000000000003</v>
      </c>
      <c r="CN23" s="723"/>
      <c r="CO23" s="723">
        <f>'qtrP&amp;L'!CR90</f>
        <v>28.6</v>
      </c>
      <c r="CP23" s="723">
        <f>'qtrP&amp;L'!CR91</f>
        <v>82.90000000000002</v>
      </c>
      <c r="CQ23" s="723">
        <f>'qtrP&amp;L'!CR92</f>
        <v>32.520277724740446</v>
      </c>
      <c r="CR23" s="723">
        <f>'qtrP&amp;L'!CR93</f>
        <v>38.315538354517656</v>
      </c>
      <c r="CS23" s="723"/>
      <c r="CT23" s="1738">
        <f>'yrP&amp;L'!C70</f>
        <v>18.940000000000001</v>
      </c>
      <c r="CU23" s="1738">
        <f>'yrP&amp;L'!D70</f>
        <v>11.645</v>
      </c>
      <c r="CV23" s="1738">
        <f>'yrP&amp;L'!E70</f>
        <v>4.18</v>
      </c>
      <c r="CW23" s="1738">
        <f>'yrP&amp;L'!F70</f>
        <v>2.3460000000000001</v>
      </c>
      <c r="CX23" s="1738">
        <f>'yrP&amp;L'!G70</f>
        <v>17.027000000000001</v>
      </c>
      <c r="CY23" s="1739">
        <f>'yrP&amp;L'!H70</f>
        <v>35.400000000000006</v>
      </c>
      <c r="CZ23" s="1739">
        <f>'yrP&amp;L'!I70</f>
        <v>41.695</v>
      </c>
      <c r="DA23" s="1739">
        <f>'yrP&amp;L'!J70</f>
        <v>81.218999999999994</v>
      </c>
      <c r="DB23" s="1739">
        <f>'yrP&amp;L'!K70</f>
        <v>152.50399999999999</v>
      </c>
      <c r="DC23" s="1738">
        <f>'yrP&amp;L'!L70</f>
        <v>216.07</v>
      </c>
      <c r="DD23" s="1739">
        <f>'yrP&amp;L'!M70</f>
        <v>283.32600000000002</v>
      </c>
      <c r="DE23" s="1738">
        <f>'yrP&amp;L'!N70</f>
        <v>398.14100000000002</v>
      </c>
      <c r="DF23" s="1739">
        <f>'yrP&amp;L'!O70</f>
        <v>474.39699999999999</v>
      </c>
      <c r="DG23" s="1738">
        <f>'yrP&amp;L'!P70</f>
        <v>381.22699999999998</v>
      </c>
      <c r="DH23" s="1739">
        <f>'yrP&amp;L'!Q70</f>
        <v>416.988</v>
      </c>
      <c r="DI23" s="1739">
        <f>'yrP&amp;L'!R70</f>
        <v>446.09700000000004</v>
      </c>
      <c r="DJ23" s="1738">
        <f>'yrP&amp;L'!S70</f>
        <v>505.96199999999999</v>
      </c>
      <c r="DK23" s="1738">
        <f>'yrP&amp;L'!T70</f>
        <v>506.74</v>
      </c>
      <c r="DL23" s="1738">
        <f>'yrP&amp;L'!U70</f>
        <v>384.14499999999998</v>
      </c>
      <c r="DM23" s="1738">
        <f>'yrP&amp;L'!V70</f>
        <v>250.89999999999998</v>
      </c>
      <c r="DN23" s="1738">
        <f>'yrP&amp;L'!W70</f>
        <v>198</v>
      </c>
      <c r="DO23" s="1738">
        <f>'yrP&amp;L'!X70</f>
        <v>184.5</v>
      </c>
      <c r="DP23" s="1738">
        <f>'yrP&amp;L'!Y70</f>
        <v>182.33581607925814</v>
      </c>
      <c r="DQ23" s="1738">
        <f>'yrP&amp;L'!Z70</f>
        <v>218.58055437423687</v>
      </c>
      <c r="DR23" s="1738">
        <f>'yrP&amp;L'!AA70</f>
        <v>227.12489318663611</v>
      </c>
      <c r="DS23" s="1739">
        <f>'yrP&amp;L'!AB70</f>
        <v>235.82212482870597</v>
      </c>
      <c r="DT23" s="1740">
        <f>'yrP&amp;L'!AC70</f>
        <v>248.63046832606597</v>
      </c>
    </row>
    <row r="24" spans="1:130" ht="12.75" hidden="1" customHeight="1" outlineLevel="1">
      <c r="A24" s="723" t="s">
        <v>309</v>
      </c>
      <c r="B24" s="1748"/>
      <c r="C24" s="723"/>
      <c r="D24" s="723"/>
      <c r="E24" s="723"/>
      <c r="F24" s="723"/>
      <c r="G24" s="723"/>
      <c r="H24" s="723"/>
      <c r="I24" s="723"/>
      <c r="J24" s="723"/>
      <c r="K24" s="723"/>
      <c r="L24" s="723"/>
      <c r="M24" s="723">
        <f>+'qtrP&amp;L'!$AF$111</f>
        <v>-0.26800000000000002</v>
      </c>
      <c r="N24" s="723">
        <f>+'qtrP&amp;L'!$AF$112</f>
        <v>0.80200000000000005</v>
      </c>
      <c r="O24" s="723">
        <f>+'qtrP&amp;L'!$AF$113</f>
        <v>0.68899999999999995</v>
      </c>
      <c r="P24" s="723">
        <f>+'qtrP&amp;L'!$AF$114</f>
        <v>-1.0389999999999999</v>
      </c>
      <c r="Q24" s="723"/>
      <c r="R24" s="723">
        <f>+'qtrP&amp;L'!$AJ$111</f>
        <v>1.3160000000000001</v>
      </c>
      <c r="S24" s="723">
        <f>+'qtrP&amp;L'!$AJ$112</f>
        <v>2.2759999999999998</v>
      </c>
      <c r="T24" s="723">
        <f>+'qtrP&amp;L'!$AJ$113</f>
        <v>1.5940000000000001</v>
      </c>
      <c r="U24" s="723">
        <f>+'qtrP&amp;L'!$AJ$114</f>
        <v>2.4220000000000002</v>
      </c>
      <c r="V24" s="723"/>
      <c r="W24" s="723">
        <f>+'qtrP&amp;L'!$AN$111</f>
        <v>2.6930000000000001</v>
      </c>
      <c r="X24" s="723">
        <f>+'qtrP&amp;L'!$AN$112</f>
        <v>5.2869999999999999</v>
      </c>
      <c r="Y24" s="723">
        <f>+'qtrP&amp;L'!$AN$113</f>
        <v>5.2119999999999997</v>
      </c>
      <c r="Z24" s="723">
        <f>+'qtrP&amp;L'!$AN$114</f>
        <v>4.851</v>
      </c>
      <c r="AA24" s="723"/>
      <c r="AB24" s="723">
        <f>+'qtrP&amp;L'!$AR$111</f>
        <v>2.9209999999999998</v>
      </c>
      <c r="AC24" s="723">
        <f>+'qtrP&amp;L'!$AR$112</f>
        <v>6.3719999999999999</v>
      </c>
      <c r="AD24" s="723">
        <f>+'qtrP&amp;L'!$AR$113</f>
        <v>4.2409999999999997</v>
      </c>
      <c r="AE24" s="723">
        <f>+'qtrP&amp;L'!$AR$114</f>
        <v>0.107</v>
      </c>
      <c r="AF24" s="723"/>
      <c r="AG24" s="723"/>
      <c r="AH24" s="723"/>
      <c r="AI24" s="723"/>
      <c r="AJ24" s="723"/>
      <c r="AK24" s="723"/>
      <c r="AL24" s="723"/>
      <c r="AM24" s="723"/>
      <c r="AN24" s="723"/>
      <c r="AO24" s="723"/>
      <c r="AP24" s="723"/>
      <c r="AQ24" s="723"/>
      <c r="AR24" s="723"/>
      <c r="AS24" s="723"/>
      <c r="AT24" s="723"/>
      <c r="AU24" s="723"/>
      <c r="AV24" s="723"/>
      <c r="AW24" s="723"/>
      <c r="AX24" s="723"/>
      <c r="AY24" s="723"/>
      <c r="AZ24" s="723"/>
      <c r="BA24" s="723"/>
      <c r="BB24" s="723"/>
      <c r="BC24" s="723"/>
      <c r="BD24" s="723"/>
      <c r="BE24" s="723"/>
      <c r="BF24" s="723"/>
      <c r="BG24" s="723"/>
      <c r="BH24" s="723"/>
      <c r="BI24" s="723"/>
      <c r="BJ24" s="723"/>
      <c r="BK24" s="723"/>
      <c r="BL24" s="723"/>
      <c r="BM24" s="723"/>
      <c r="BN24" s="723"/>
      <c r="BO24" s="723"/>
      <c r="BP24" s="723"/>
      <c r="BQ24" s="723"/>
      <c r="BR24" s="723"/>
      <c r="BS24" s="723"/>
      <c r="BT24" s="723"/>
      <c r="BU24" s="723"/>
      <c r="BV24" s="723"/>
      <c r="BW24" s="723"/>
      <c r="BX24" s="723"/>
      <c r="BY24" s="723"/>
      <c r="BZ24" s="723"/>
      <c r="CA24" s="723"/>
      <c r="CB24" s="723"/>
      <c r="CC24" s="723"/>
      <c r="CD24" s="723"/>
      <c r="CE24" s="723"/>
      <c r="CF24" s="723"/>
      <c r="CG24" s="723"/>
      <c r="CH24" s="723"/>
      <c r="CI24" s="723"/>
      <c r="CJ24" s="723"/>
      <c r="CK24" s="723"/>
      <c r="CL24" s="723"/>
      <c r="CM24" s="723"/>
      <c r="CN24" s="723"/>
      <c r="CO24" s="723"/>
      <c r="CP24" s="723"/>
      <c r="CQ24" s="723"/>
      <c r="CR24" s="723"/>
      <c r="CS24" s="723"/>
      <c r="CT24" s="1738"/>
      <c r="CU24" s="1738"/>
      <c r="CV24" s="1738"/>
      <c r="CW24" s="1738"/>
      <c r="CX24" s="1738"/>
      <c r="CY24" s="1739">
        <f>+'yrP&amp;L'!H73</f>
        <v>0</v>
      </c>
      <c r="CZ24" s="1739">
        <f>+'yrP&amp;L'!I73</f>
        <v>0.18399999999999994</v>
      </c>
      <c r="DA24" s="1739">
        <f>+'yrP&amp;L'!J73</f>
        <v>7.6080000000000005</v>
      </c>
      <c r="DB24" s="1739">
        <f>+'yrP&amp;L'!K73</f>
        <v>18.042999999999999</v>
      </c>
      <c r="DC24" s="1738">
        <f>+'yrP&amp;L'!L73</f>
        <v>13.640999999999998</v>
      </c>
      <c r="DD24" s="1739">
        <f>+'yrP&amp;L'!M73</f>
        <v>0</v>
      </c>
      <c r="DE24" s="1738">
        <f>+'yrP&amp;L'!N73</f>
        <v>0</v>
      </c>
      <c r="DF24" s="1739">
        <f>+'yrP&amp;L'!O73</f>
        <v>0</v>
      </c>
      <c r="DG24" s="1738">
        <f>+'yrP&amp;L'!P73</f>
        <v>0</v>
      </c>
      <c r="DH24" s="1739">
        <f>+'yrP&amp;L'!Q73</f>
        <v>0</v>
      </c>
      <c r="DI24" s="1739">
        <f>+'yrP&amp;L'!R73</f>
        <v>0</v>
      </c>
      <c r="DJ24" s="1738">
        <f>+'yrP&amp;L'!S73</f>
        <v>0</v>
      </c>
      <c r="DK24" s="1738">
        <f>+'yrP&amp;L'!T73</f>
        <v>0</v>
      </c>
      <c r="DL24" s="1738">
        <f>+'yrP&amp;L'!U73</f>
        <v>0</v>
      </c>
      <c r="DM24" s="1738">
        <f>+'yrP&amp;L'!V73</f>
        <v>0</v>
      </c>
      <c r="DN24" s="1738">
        <f>+'yrP&amp;L'!W73</f>
        <v>0</v>
      </c>
      <c r="DO24" s="1738">
        <f>+'yrP&amp;L'!X73</f>
        <v>0</v>
      </c>
      <c r="DP24" s="1738">
        <f>+'yrP&amp;L'!Y73</f>
        <v>0</v>
      </c>
      <c r="DQ24" s="1738">
        <f>+'yrP&amp;L'!Z73</f>
        <v>0</v>
      </c>
      <c r="DR24" s="1738">
        <f>+'yrP&amp;L'!AA73</f>
        <v>0</v>
      </c>
      <c r="DS24" s="1739">
        <f>+'yrP&amp;L'!AB73</f>
        <v>0</v>
      </c>
      <c r="DT24" s="1740">
        <f>+'yrP&amp;L'!AC73</f>
        <v>0</v>
      </c>
    </row>
    <row r="25" spans="1:130" collapsed="1">
      <c r="A25" s="1686"/>
      <c r="B25" s="725"/>
      <c r="C25" s="725"/>
      <c r="D25" s="725"/>
      <c r="E25" s="725"/>
      <c r="F25" s="725"/>
      <c r="G25" s="725"/>
      <c r="H25" s="725"/>
      <c r="I25" s="725"/>
      <c r="J25" s="725"/>
      <c r="K25" s="725"/>
      <c r="L25" s="725"/>
      <c r="M25" s="725"/>
      <c r="N25" s="725"/>
      <c r="O25" s="725"/>
      <c r="P25" s="725"/>
      <c r="Q25" s="725"/>
      <c r="R25" s="725"/>
      <c r="S25" s="725"/>
      <c r="T25" s="725"/>
      <c r="U25" s="725"/>
      <c r="V25" s="725"/>
      <c r="W25" s="725"/>
      <c r="X25" s="725"/>
      <c r="Y25" s="725"/>
      <c r="Z25" s="725"/>
      <c r="AA25" s="725"/>
      <c r="AB25" s="725"/>
      <c r="AC25" s="725"/>
      <c r="AD25" s="725"/>
      <c r="AE25" s="725"/>
      <c r="AF25" s="725"/>
      <c r="AG25" s="725"/>
      <c r="AH25" s="725"/>
      <c r="AI25" s="725"/>
      <c r="AJ25" s="725"/>
      <c r="AK25" s="725"/>
      <c r="AL25" s="725"/>
      <c r="AM25" s="725"/>
      <c r="AN25" s="725"/>
      <c r="AO25" s="725"/>
      <c r="AP25" s="725"/>
      <c r="AQ25" s="725"/>
      <c r="AR25" s="725"/>
      <c r="AS25" s="725"/>
      <c r="AT25" s="725"/>
      <c r="AU25" s="725"/>
      <c r="AV25" s="725"/>
      <c r="AW25" s="725"/>
      <c r="AX25" s="725"/>
      <c r="AY25" s="725"/>
      <c r="AZ25" s="725"/>
      <c r="BA25" s="725"/>
      <c r="BB25" s="725"/>
      <c r="BC25" s="725"/>
      <c r="BD25" s="725"/>
      <c r="BE25" s="725"/>
      <c r="BF25" s="725"/>
      <c r="BG25" s="725"/>
      <c r="BH25" s="725"/>
      <c r="BI25" s="725"/>
      <c r="BJ25" s="725"/>
      <c r="BK25" s="725"/>
      <c r="BL25" s="725"/>
      <c r="BM25" s="725"/>
      <c r="BN25" s="725"/>
      <c r="BO25" s="725"/>
      <c r="BP25" s="725"/>
      <c r="BQ25" s="725"/>
      <c r="BR25" s="725"/>
      <c r="BS25" s="725"/>
      <c r="BT25" s="725"/>
      <c r="BU25" s="725"/>
      <c r="BV25" s="725"/>
      <c r="BW25" s="725"/>
      <c r="BX25" s="725"/>
      <c r="BY25" s="725"/>
      <c r="BZ25" s="725"/>
      <c r="CA25" s="725"/>
      <c r="CB25" s="725"/>
      <c r="CC25" s="725"/>
      <c r="CD25" s="725"/>
      <c r="CE25" s="725"/>
      <c r="CF25" s="725"/>
      <c r="CG25" s="725"/>
      <c r="CH25" s="725"/>
      <c r="CI25" s="725"/>
      <c r="CJ25" s="725"/>
      <c r="CK25" s="725"/>
      <c r="CL25" s="725"/>
      <c r="CM25" s="725"/>
      <c r="CN25" s="725"/>
      <c r="CO25" s="725"/>
      <c r="CP25" s="725"/>
      <c r="CQ25" s="725"/>
      <c r="CR25" s="725"/>
      <c r="CS25" s="725"/>
      <c r="CT25" s="1750"/>
      <c r="CU25" s="1750"/>
      <c r="CV25" s="1750"/>
      <c r="CW25" s="1750"/>
      <c r="CX25" s="1750"/>
      <c r="CY25" s="1751"/>
      <c r="CZ25" s="1751"/>
      <c r="DA25" s="1751"/>
      <c r="DB25" s="1751"/>
      <c r="DC25" s="1750"/>
      <c r="DD25" s="1751"/>
      <c r="DE25" s="1750"/>
      <c r="DF25" s="1751"/>
      <c r="DG25" s="1750"/>
      <c r="DH25" s="1751"/>
      <c r="DI25" s="1751"/>
      <c r="DJ25" s="1750"/>
      <c r="DK25" s="1750"/>
      <c r="DL25" s="1750"/>
      <c r="DM25" s="1750"/>
      <c r="DN25" s="1750"/>
      <c r="DO25" s="1750"/>
      <c r="DP25" s="1750"/>
      <c r="DQ25" s="1750"/>
      <c r="DR25" s="1750"/>
      <c r="DS25" s="1751"/>
      <c r="DT25" s="1752"/>
    </row>
    <row r="26" spans="1:130">
      <c r="A26" s="1733" t="s">
        <v>274</v>
      </c>
      <c r="B26" s="1748"/>
      <c r="C26" s="722">
        <f>C21-C23</f>
        <v>2.0489999999999995</v>
      </c>
      <c r="D26" s="722">
        <f>D21-D23</f>
        <v>28.261999999999983</v>
      </c>
      <c r="E26" s="722">
        <f>E21-E23</f>
        <v>3.0339999999999936</v>
      </c>
      <c r="F26" s="722">
        <f>F21-F23</f>
        <v>5.2579999999999973</v>
      </c>
      <c r="G26" s="722"/>
      <c r="H26" s="722">
        <f>H21-H23</f>
        <v>12.541000000000018</v>
      </c>
      <c r="I26" s="722">
        <f>I21-I23</f>
        <v>39.204000000000001</v>
      </c>
      <c r="J26" s="722">
        <f>J21-J23</f>
        <v>7.6300000000000141</v>
      </c>
      <c r="K26" s="722">
        <f>K21-K23</f>
        <v>9.2239999999999824</v>
      </c>
      <c r="L26" s="722"/>
      <c r="M26" s="1753">
        <f>M21-M23-M24</f>
        <v>12.538</v>
      </c>
      <c r="N26" s="1753">
        <f t="shared" ref="N26:AE26" si="12">N21-N23-N24</f>
        <v>44.16599999999999</v>
      </c>
      <c r="O26" s="1753">
        <f t="shared" si="12"/>
        <v>16.283999999999992</v>
      </c>
      <c r="P26" s="1753">
        <f t="shared" si="12"/>
        <v>16.211999999999989</v>
      </c>
      <c r="Q26" s="722"/>
      <c r="R26" s="722">
        <f t="shared" si="12"/>
        <v>22.47999999999999</v>
      </c>
      <c r="S26" s="722">
        <f t="shared" si="12"/>
        <v>62.43100000000004</v>
      </c>
      <c r="T26" s="722">
        <f t="shared" si="12"/>
        <v>31.852999999999987</v>
      </c>
      <c r="U26" s="722">
        <f t="shared" si="12"/>
        <v>29.863999999999987</v>
      </c>
      <c r="V26" s="722"/>
      <c r="W26" s="722">
        <f t="shared" si="12"/>
        <v>42.328999999999994</v>
      </c>
      <c r="X26" s="722">
        <f t="shared" si="12"/>
        <v>95.437999999999988</v>
      </c>
      <c r="Y26" s="722">
        <f t="shared" si="12"/>
        <v>58.311000000000007</v>
      </c>
      <c r="Z26" s="722">
        <f t="shared" si="12"/>
        <v>65.669999999999959</v>
      </c>
      <c r="AA26" s="722"/>
      <c r="AB26" s="722">
        <f t="shared" si="12"/>
        <v>60.980999999999995</v>
      </c>
      <c r="AC26" s="722">
        <f t="shared" si="12"/>
        <v>126.90300000000001</v>
      </c>
      <c r="AD26" s="722">
        <f t="shared" si="12"/>
        <v>80.872</v>
      </c>
      <c r="AE26" s="722">
        <f t="shared" si="12"/>
        <v>89.856000000000023</v>
      </c>
      <c r="AF26" s="722"/>
      <c r="AG26" s="722">
        <f>AG21-AG23</f>
        <v>87.887000000000029</v>
      </c>
      <c r="AH26" s="722">
        <f>AH21-AH23</f>
        <v>161.68999999999997</v>
      </c>
      <c r="AI26" s="722">
        <f>AI21-AI23</f>
        <v>101.67200000000001</v>
      </c>
      <c r="AJ26" s="722">
        <f>AJ21-AJ23</f>
        <v>112.79499999999997</v>
      </c>
      <c r="AK26" s="722"/>
      <c r="AL26" s="722">
        <f>AL21-AL23</f>
        <v>115.23900000000005</v>
      </c>
      <c r="AM26" s="722">
        <f>AM21-AM23</f>
        <v>214.49699999999996</v>
      </c>
      <c r="AN26" s="722">
        <f>AN21-AN23</f>
        <v>147.38999999999996</v>
      </c>
      <c r="AO26" s="722">
        <f>AO21-AO23</f>
        <v>159.40300000000002</v>
      </c>
      <c r="AP26" s="722"/>
      <c r="AQ26" s="722">
        <f>AQ21-AQ23</f>
        <v>154.786</v>
      </c>
      <c r="AR26" s="722">
        <f>AR21-AR23</f>
        <v>252.31700000000004</v>
      </c>
      <c r="AS26" s="722">
        <f>AS21-AS23</f>
        <v>162.41200000000003</v>
      </c>
      <c r="AT26" s="722">
        <f>AT21-AT23</f>
        <v>172.48700000000002</v>
      </c>
      <c r="AU26" s="722"/>
      <c r="AV26" s="722">
        <f>AV21-AV23</f>
        <v>145.81099999999998</v>
      </c>
      <c r="AW26" s="722">
        <f>AW21-AW23</f>
        <v>216.90599999999992</v>
      </c>
      <c r="AX26" s="722">
        <f>AX21-AX23</f>
        <v>123.25899999999997</v>
      </c>
      <c r="AY26" s="722">
        <f>AY21-AY23</f>
        <v>136.26599999999999</v>
      </c>
      <c r="AZ26" s="722"/>
      <c r="BA26" s="722">
        <f>BA21-BA23</f>
        <v>140.827</v>
      </c>
      <c r="BB26" s="722">
        <f>BB21-BB23</f>
        <v>240.95000000000013</v>
      </c>
      <c r="BC26" s="722">
        <f>BC21-BC23</f>
        <v>157.63600000000008</v>
      </c>
      <c r="BD26" s="722">
        <f>BD21-BD23</f>
        <v>195.52700000000004</v>
      </c>
      <c r="BE26" s="722"/>
      <c r="BF26" s="722">
        <f>BF21-BF23</f>
        <v>188.87600000000003</v>
      </c>
      <c r="BG26" s="722">
        <f>BG21-BG23</f>
        <v>303.42800000000011</v>
      </c>
      <c r="BH26" s="722">
        <f>BH21-BH23</f>
        <v>186.01499999999999</v>
      </c>
      <c r="BI26" s="722">
        <f>BI21-BI23</f>
        <v>202.48099999999999</v>
      </c>
      <c r="BJ26" s="722"/>
      <c r="BK26" s="722">
        <f>BK21-BK23</f>
        <v>214.98299999999989</v>
      </c>
      <c r="BL26" s="722">
        <f>BL21-BL23</f>
        <v>347.49499999999989</v>
      </c>
      <c r="BM26" s="722">
        <f>BM21-BM23</f>
        <v>225.00200000000001</v>
      </c>
      <c r="BN26" s="722">
        <f>BN21-BN23</f>
        <v>251.43000000000006</v>
      </c>
      <c r="BO26" s="722"/>
      <c r="BP26" s="722">
        <f>BP21-BP23</f>
        <v>221.38099999999986</v>
      </c>
      <c r="BQ26" s="722">
        <f>BQ21-BQ23</f>
        <v>352.76399999999984</v>
      </c>
      <c r="BR26" s="722">
        <f>BR21-BR23</f>
        <v>238.93199999999996</v>
      </c>
      <c r="BS26" s="722">
        <f>BS21-BS23</f>
        <v>253.91100000000012</v>
      </c>
      <c r="BT26" s="722"/>
      <c r="BU26" s="722">
        <f>BU21-BU23</f>
        <v>217.88299999999992</v>
      </c>
      <c r="BV26" s="722">
        <f>BV21-BV23</f>
        <v>297.4380000000001</v>
      </c>
      <c r="BW26" s="722">
        <f>BW21-BW23</f>
        <v>190.73999999999995</v>
      </c>
      <c r="BX26" s="722">
        <f>BX21-BX23</f>
        <v>163.55599999999984</v>
      </c>
      <c r="BY26" s="722"/>
      <c r="BZ26" s="722">
        <f>BZ21-BZ23</f>
        <v>145.79999999999995</v>
      </c>
      <c r="CA26" s="722">
        <f>CA21-CA23</f>
        <v>200.2000000000001</v>
      </c>
      <c r="CB26" s="722">
        <f>CB21-CB23</f>
        <v>100.20000000000002</v>
      </c>
      <c r="CC26" s="722">
        <f>CC21-CC23</f>
        <v>85.000000000000142</v>
      </c>
      <c r="CD26" s="722"/>
      <c r="CE26" s="722">
        <f>CE21-CE23</f>
        <v>113.09999999999989</v>
      </c>
      <c r="CF26" s="722">
        <f>CF21-CF23</f>
        <v>188.39999999999986</v>
      </c>
      <c r="CG26" s="722">
        <f>CG21-CG23</f>
        <v>124.09999999999972</v>
      </c>
      <c r="CH26" s="722">
        <f>CH21-CH23</f>
        <v>126.09999999999984</v>
      </c>
      <c r="CI26" s="722"/>
      <c r="CJ26" s="722">
        <f>CJ21-CJ23</f>
        <v>125.99999999999997</v>
      </c>
      <c r="CK26" s="722">
        <f>CK21-CK23</f>
        <v>211.20000000000016</v>
      </c>
      <c r="CL26" s="722">
        <f>CL21-CL23</f>
        <v>130.30000000000001</v>
      </c>
      <c r="CM26" s="722">
        <f>CM21-CM23</f>
        <v>141.71999999999997</v>
      </c>
      <c r="CN26" s="722"/>
      <c r="CO26" s="722">
        <f>CO21-CO23</f>
        <v>119.70000000000007</v>
      </c>
      <c r="CP26" s="722">
        <f>CP21-CP23</f>
        <v>306.19999999999993</v>
      </c>
      <c r="CQ26" s="722">
        <f>CQ21-CQ23</f>
        <v>138.63907872126188</v>
      </c>
      <c r="CR26" s="722">
        <f>CR21-CR23</f>
        <v>163.3451898271542</v>
      </c>
      <c r="CS26" s="722"/>
      <c r="CT26" s="1734">
        <f>CT21-CT23</f>
        <v>42.86</v>
      </c>
      <c r="CU26" s="1734">
        <f>CU21-CU23</f>
        <v>32.131999999999948</v>
      </c>
      <c r="CV26" s="1734">
        <f>CV21-CV23</f>
        <v>20.596999999999976</v>
      </c>
      <c r="CW26" s="1734">
        <f>CW21-CW23-CW24</f>
        <v>23.823000000000025</v>
      </c>
      <c r="CX26" s="1734">
        <f>CX21-CX23-CX24</f>
        <v>38.602999999999938</v>
      </c>
      <c r="CY26" s="1735">
        <f>CY21-CY23-CY24</f>
        <v>68.599000000000004</v>
      </c>
      <c r="CZ26" s="1735">
        <f>CZ21-CZ23-CZ24</f>
        <v>75.600000000000023</v>
      </c>
      <c r="DA26" s="1735">
        <f>DA21-DA23-DA24</f>
        <v>130.68100000000007</v>
      </c>
      <c r="DB26" s="1735">
        <f t="shared" ref="DB26:DK26" si="13">DB21-DB23-DB24</f>
        <v>237.94899999999976</v>
      </c>
      <c r="DC26" s="1734">
        <f t="shared" si="13"/>
        <v>358.61200000000008</v>
      </c>
      <c r="DD26" s="1735">
        <f t="shared" si="13"/>
        <v>464.04399999999987</v>
      </c>
      <c r="DE26" s="1734">
        <f t="shared" si="13"/>
        <v>636.52899999999954</v>
      </c>
      <c r="DF26" s="1735">
        <f t="shared" si="13"/>
        <v>742.00200000000018</v>
      </c>
      <c r="DG26" s="1734">
        <f t="shared" si="13"/>
        <v>622.24199999999962</v>
      </c>
      <c r="DH26" s="1735">
        <f t="shared" si="13"/>
        <v>734.93999999999983</v>
      </c>
      <c r="DI26" s="1735">
        <f t="shared" si="13"/>
        <v>880.80000000000041</v>
      </c>
      <c r="DJ26" s="1734">
        <f t="shared" si="13"/>
        <v>1038.9099999999996</v>
      </c>
      <c r="DK26" s="1734">
        <f t="shared" si="13"/>
        <v>1066.9879999999994</v>
      </c>
      <c r="DL26" s="1734">
        <f t="shared" ref="DL26:DR26" si="14">DL21-DL23-DL24</f>
        <v>869.6170000000011</v>
      </c>
      <c r="DM26" s="1734">
        <f t="shared" si="14"/>
        <v>531.20000000000005</v>
      </c>
      <c r="DN26" s="1734">
        <f t="shared" si="14"/>
        <v>551.69999999999902</v>
      </c>
      <c r="DO26" s="1734">
        <f t="shared" si="14"/>
        <v>609.22000000000082</v>
      </c>
      <c r="DP26" s="1734">
        <f t="shared" si="14"/>
        <v>727.88426854841623</v>
      </c>
      <c r="DQ26" s="1734">
        <f t="shared" si="14"/>
        <v>798.07318690128352</v>
      </c>
      <c r="DR26" s="1734">
        <f t="shared" si="14"/>
        <v>829.26995884422956</v>
      </c>
      <c r="DS26" s="1735">
        <f>DS21-DS23-DS24</f>
        <v>861.02496739783351</v>
      </c>
      <c r="DT26" s="1736">
        <f>DT21-DT23-DT24</f>
        <v>907.79031458586883</v>
      </c>
    </row>
    <row r="27" spans="1:130">
      <c r="A27" s="1686"/>
      <c r="B27" s="1754"/>
      <c r="C27" s="1754"/>
      <c r="D27" s="1754"/>
      <c r="E27" s="1754"/>
      <c r="F27" s="1754"/>
      <c r="G27" s="1754"/>
      <c r="H27" s="1754"/>
      <c r="I27" s="1754"/>
      <c r="J27" s="1754"/>
      <c r="K27" s="1754"/>
      <c r="L27" s="1754"/>
      <c r="M27" s="1754"/>
      <c r="N27" s="1754"/>
      <c r="O27" s="1754"/>
      <c r="P27" s="1754"/>
      <c r="Q27" s="1754"/>
      <c r="R27" s="1754"/>
      <c r="S27" s="1754"/>
      <c r="T27" s="1754"/>
      <c r="U27" s="1754"/>
      <c r="V27" s="1754"/>
      <c r="W27" s="1754"/>
      <c r="X27" s="1754"/>
      <c r="Y27" s="1754"/>
      <c r="Z27" s="1754"/>
      <c r="AA27" s="1754"/>
      <c r="AB27" s="1754"/>
      <c r="AC27" s="1754"/>
      <c r="AD27" s="1754"/>
      <c r="AE27" s="1754"/>
      <c r="AF27" s="1754"/>
      <c r="AG27" s="1754"/>
      <c r="AH27" s="1754"/>
      <c r="AI27" s="1754"/>
      <c r="AJ27" s="1754"/>
      <c r="AK27" s="1754"/>
      <c r="AL27" s="1754"/>
      <c r="AM27" s="1754"/>
      <c r="AN27" s="1754"/>
      <c r="AO27" s="1754"/>
      <c r="AP27" s="1754"/>
      <c r="AQ27" s="1754"/>
      <c r="AR27" s="1754"/>
      <c r="AS27" s="1754"/>
      <c r="AT27" s="1754"/>
      <c r="AU27" s="1754"/>
      <c r="AV27" s="1754"/>
      <c r="AW27" s="1754"/>
      <c r="AX27" s="1754"/>
      <c r="AY27" s="1754"/>
      <c r="AZ27" s="1754"/>
      <c r="BA27" s="1754"/>
      <c r="BB27" s="1754"/>
      <c r="BC27" s="1754"/>
      <c r="BD27" s="1754"/>
      <c r="BE27" s="1754"/>
      <c r="BF27" s="1754"/>
      <c r="BG27" s="1754"/>
      <c r="BH27" s="1754"/>
      <c r="BI27" s="1754"/>
      <c r="BJ27" s="1754"/>
      <c r="BK27" s="1754"/>
      <c r="BL27" s="1754"/>
      <c r="BM27" s="1754"/>
      <c r="BN27" s="1754"/>
      <c r="BO27" s="1755"/>
      <c r="BP27" s="1754"/>
      <c r="BQ27" s="1754"/>
      <c r="BR27" s="1754"/>
      <c r="BS27" s="1754"/>
      <c r="BT27" s="1755"/>
      <c r="BU27" s="1755"/>
      <c r="BV27" s="1755"/>
      <c r="BW27" s="1755"/>
      <c r="BX27" s="1755"/>
      <c r="BY27" s="1755"/>
      <c r="BZ27" s="1756"/>
      <c r="CA27" s="1756"/>
      <c r="CB27" s="1755"/>
      <c r="CC27" s="1755"/>
      <c r="CD27" s="1755"/>
      <c r="CE27" s="1756"/>
      <c r="CF27" s="1756"/>
      <c r="CG27" s="1755"/>
      <c r="CH27" s="1755"/>
      <c r="CI27" s="1755"/>
      <c r="CJ27" s="1756"/>
      <c r="CK27" s="1756"/>
      <c r="CL27" s="1755"/>
      <c r="CM27" s="1755"/>
      <c r="CN27" s="1755"/>
      <c r="CO27" s="1755"/>
      <c r="CP27" s="1755"/>
      <c r="CQ27" s="1755"/>
      <c r="CR27" s="1755"/>
      <c r="CS27" s="1755"/>
      <c r="CT27" s="1755"/>
      <c r="CU27" s="1755"/>
      <c r="CV27" s="1755"/>
      <c r="CW27" s="1755"/>
      <c r="CX27" s="1755"/>
      <c r="CY27" s="1757"/>
      <c r="CZ27" s="1757"/>
      <c r="DA27" s="1757"/>
      <c r="DB27" s="1757"/>
      <c r="DC27" s="1755"/>
      <c r="DD27" s="1757"/>
      <c r="DE27" s="1755"/>
      <c r="DF27" s="1757"/>
      <c r="DG27" s="1755"/>
      <c r="DH27" s="1757"/>
      <c r="DI27" s="1757"/>
      <c r="DJ27" s="1755"/>
      <c r="DK27" s="1755"/>
      <c r="DL27" s="1755"/>
      <c r="DM27" s="1755"/>
      <c r="DN27" s="1755"/>
      <c r="DO27" s="1755"/>
      <c r="DP27" s="1755"/>
      <c r="DQ27" s="1755"/>
      <c r="DR27" s="1755"/>
      <c r="DS27" s="1757"/>
      <c r="DT27" s="1758"/>
    </row>
    <row r="28" spans="1:130">
      <c r="A28" s="1759" t="s">
        <v>273</v>
      </c>
      <c r="B28" s="1760"/>
      <c r="C28" s="1761">
        <f>C26/C29</f>
        <v>7.3178571428571407E-3</v>
      </c>
      <c r="D28" s="1761">
        <f>D26/D29</f>
        <v>0.10086078912807621</v>
      </c>
      <c r="E28" s="1761">
        <f>E26/E29</f>
        <v>1.0827670873065699E-2</v>
      </c>
      <c r="F28" s="1761">
        <f>F26/F29</f>
        <v>1.8764631987666293E-2</v>
      </c>
      <c r="G28" s="1761"/>
      <c r="H28" s="1761">
        <f>H26/H29</f>
        <v>4.475603837149552E-2</v>
      </c>
      <c r="I28" s="1761">
        <f>I26/I29</f>
        <v>0.11009143396311191</v>
      </c>
      <c r="J28" s="1761">
        <f>J26/J29</f>
        <v>2.1014652418199886E-2</v>
      </c>
      <c r="K28" s="1761">
        <f>K26/K29</f>
        <v>2.5265141554912739E-2</v>
      </c>
      <c r="L28" s="1761"/>
      <c r="M28" s="1761">
        <f>M26/M29</f>
        <v>3.4750554323725057E-2</v>
      </c>
      <c r="N28" s="1761">
        <f>N26/N29</f>
        <v>0.12348875443168217</v>
      </c>
      <c r="O28" s="1761">
        <f>O26/O29</f>
        <v>4.4420923990135933E-2</v>
      </c>
      <c r="P28" s="1761">
        <f>P26/P29</f>
        <v>4.38512972540194E-2</v>
      </c>
      <c r="Q28" s="1761"/>
      <c r="R28" s="1761">
        <f>R26/R29</f>
        <v>6.109226889294718E-2</v>
      </c>
      <c r="S28" s="1761">
        <f>S26/S29</f>
        <v>0.16977771251108187</v>
      </c>
      <c r="T28" s="1761">
        <f>T26/T29</f>
        <v>8.5400446131737529E-2</v>
      </c>
      <c r="U28" s="1761">
        <f>U26/U29</f>
        <v>7.9194687824850923E-2</v>
      </c>
      <c r="V28" s="1761"/>
      <c r="W28" s="1761">
        <f>W26/W29</f>
        <v>0.1108326918343728</v>
      </c>
      <c r="X28" s="1761">
        <f>X26/X29</f>
        <v>0.24855522943138933</v>
      </c>
      <c r="Y28" s="1761">
        <f>Y26/Y29</f>
        <v>0.15062031983344484</v>
      </c>
      <c r="Z28" s="1761">
        <f>Z26/Z29</f>
        <v>0.16863930397446389</v>
      </c>
      <c r="AA28" s="1761"/>
      <c r="AB28" s="1761">
        <f>AB26/AB29</f>
        <v>0.15656547502901214</v>
      </c>
      <c r="AC28" s="1761">
        <f>AC26/AC29</f>
        <v>0.3249648539229168</v>
      </c>
      <c r="AD28" s="1761">
        <f>AD26/AD29</f>
        <v>0.20651210774011836</v>
      </c>
      <c r="AE28" s="1761">
        <f>AE26/AE29</f>
        <v>0.23091511834091441</v>
      </c>
      <c r="AF28" s="1761"/>
      <c r="AG28" s="1761">
        <f>AG26/AG29</f>
        <v>0.22536746227934321</v>
      </c>
      <c r="AH28" s="1761">
        <f>AH26/AH29</f>
        <v>0.41393169832573851</v>
      </c>
      <c r="AI28" s="1761">
        <f>AI26/AI29</f>
        <v>0.25972977598843289</v>
      </c>
      <c r="AJ28" s="1761">
        <f>AJ26/AJ29</f>
        <v>0.2935634403620776</v>
      </c>
      <c r="AK28" s="1761"/>
      <c r="AL28" s="1761">
        <f>AL26/AL29</f>
        <v>0.3083961335074612</v>
      </c>
      <c r="AM28" s="1761">
        <f>AM26/AM29</f>
        <v>0.57123644459594769</v>
      </c>
      <c r="AN28" s="1761">
        <f>AN26/AN29</f>
        <v>0.38859550369243495</v>
      </c>
      <c r="AO28" s="1761">
        <f>AO26/AO29</f>
        <v>0.4189721969605375</v>
      </c>
      <c r="AP28" s="1761"/>
      <c r="AQ28" s="1761">
        <f>AQ26/AQ29</f>
        <v>0.40809945028145062</v>
      </c>
      <c r="AR28" s="1761">
        <f>AR26/AR29</f>
        <v>0.68832061630961705</v>
      </c>
      <c r="AS28" s="1761">
        <f>AS26/AS29</f>
        <v>0.46193183595805387</v>
      </c>
      <c r="AT28" s="1761">
        <f>AT26/AT29</f>
        <v>0.50201548943650709</v>
      </c>
      <c r="AU28" s="1761"/>
      <c r="AV28" s="1761">
        <f>AV26/AV29</f>
        <v>0.43652981980282785</v>
      </c>
      <c r="AW28" s="1761">
        <f>AW26/AW29</f>
        <v>0.66705825911528782</v>
      </c>
      <c r="AX28" s="1761">
        <f>AX26/AX29</f>
        <v>0.38356023712094089</v>
      </c>
      <c r="AY28" s="1761">
        <f>AY26/AY29</f>
        <v>0.42515100838658143</v>
      </c>
      <c r="AZ28" s="1761"/>
      <c r="BA28" s="1761">
        <f>BA26/BA29</f>
        <v>0.43855628046027123</v>
      </c>
      <c r="BB28" s="1761">
        <f>BB26/BB29</f>
        <v>0.74973318273326717</v>
      </c>
      <c r="BC28" s="1761">
        <f>BC26/BC29</f>
        <v>0.50208943814498697</v>
      </c>
      <c r="BD28" s="1761">
        <f>BD26/BD29</f>
        <v>0.63569684536330517</v>
      </c>
      <c r="BE28" s="1761"/>
      <c r="BF28" s="1761">
        <f>BF26/BF29</f>
        <v>0.6269763551082328</v>
      </c>
      <c r="BG28" s="1761">
        <f>BG26/BG29</f>
        <v>0.99597249347622763</v>
      </c>
      <c r="BH28" s="1761">
        <f>BH26/BH29</f>
        <v>0.61671971354684696</v>
      </c>
      <c r="BI28" s="1761">
        <f>BI26/BI29</f>
        <v>0.67782419774907776</v>
      </c>
      <c r="BJ28" s="1761"/>
      <c r="BK28" s="1761">
        <f>BK26/BK29</f>
        <v>0.72612710593512264</v>
      </c>
      <c r="BL28" s="1761">
        <f>BL26/BL29</f>
        <v>1.1759201919400082</v>
      </c>
      <c r="BM28" s="1761">
        <f>BM26/BM29</f>
        <v>0.76662714312971902</v>
      </c>
      <c r="BN28" s="1761">
        <f>BN26/BN29</f>
        <v>0.86171678467876278</v>
      </c>
      <c r="BO28" s="1761"/>
      <c r="BP28" s="1761">
        <f>BP26/BP29</f>
        <v>0.76735979923534681</v>
      </c>
      <c r="BQ28" s="1761">
        <f>BQ26/BQ29</f>
        <v>1.2324795701253912</v>
      </c>
      <c r="BR28" s="1761">
        <f>BR26/BR29</f>
        <v>0.83946539996627112</v>
      </c>
      <c r="BS28" s="1761">
        <f>BS26/BS29</f>
        <v>0.88992594202238251</v>
      </c>
      <c r="BT28" s="1761"/>
      <c r="BU28" s="1761">
        <f>BU26/BU29</f>
        <v>0.76581034961495587</v>
      </c>
      <c r="BV28" s="1761">
        <f>BV26/BV29</f>
        <v>1.0564905126911852</v>
      </c>
      <c r="BW28" s="1761">
        <f>BW26/BW29</f>
        <v>0.68426905829596396</v>
      </c>
      <c r="BX28" s="1761">
        <f>BX26/BX29</f>
        <v>0.59171948713495925</v>
      </c>
      <c r="BY28" s="1761"/>
      <c r="BZ28" s="1761">
        <f>BZ26/BZ29</f>
        <v>0.52749638205499261</v>
      </c>
      <c r="CA28" s="1761">
        <f>CA26/CA29</f>
        <v>0.72405063291139282</v>
      </c>
      <c r="CB28" s="1761">
        <f>CB26/CB29</f>
        <v>0.36121124729632309</v>
      </c>
      <c r="CC28" s="1761">
        <f>CC26/CC29</f>
        <v>0.30520646319569172</v>
      </c>
      <c r="CD28" s="1761"/>
      <c r="CE28" s="1761">
        <f>CE26/CE29</f>
        <v>0.40639597556593565</v>
      </c>
      <c r="CF28" s="1761">
        <f>CF26/CF29</f>
        <v>0.67672413793103403</v>
      </c>
      <c r="CG28" s="1761">
        <f>CG26/CG29</f>
        <v>0.4440071556350616</v>
      </c>
      <c r="CH28" s="1761">
        <f>CH26/CH29</f>
        <v>0.4485948061188183</v>
      </c>
      <c r="CI28" s="1761"/>
      <c r="CJ28" s="1761">
        <f>CJ26/CJ29</f>
        <v>0.44696700957786445</v>
      </c>
      <c r="CK28" s="1761">
        <f>CK26/CK29</f>
        <v>0.74946770759403891</v>
      </c>
      <c r="CL28" s="1761">
        <f>CL26/CL29</f>
        <v>0.46058677978084134</v>
      </c>
      <c r="CM28" s="1761">
        <f>CM26/CM29</f>
        <v>0.49778714436248672</v>
      </c>
      <c r="CN28" s="1761"/>
      <c r="CO28" s="1761">
        <f>CO26/CO29</f>
        <v>0.41750959190791798</v>
      </c>
      <c r="CP28" s="1761">
        <f>CP26/CP29</f>
        <v>1.0691340782122905</v>
      </c>
      <c r="CQ28" s="1761">
        <f>CQ26/CQ29</f>
        <v>0.47747641828526799</v>
      </c>
      <c r="CR28" s="1761">
        <f>CR26/CR29</f>
        <v>0.55708599632202804</v>
      </c>
      <c r="CS28" s="1761"/>
      <c r="CT28" s="1761"/>
      <c r="CU28" s="1761">
        <f>CU26/CU29</f>
        <v>0.1146719579740762</v>
      </c>
      <c r="CV28" s="1761">
        <f>CV26/CV29</f>
        <v>7.3506109747044968E-2</v>
      </c>
      <c r="CW28" s="1761">
        <f>CW26/CW29</f>
        <v>8.5018985896191487E-2</v>
      </c>
      <c r="CX28" s="1761">
        <f t="shared" ref="CX28:DE28" si="15">CX26/CX29</f>
        <v>0.13776551704448101</v>
      </c>
      <c r="CY28" s="1762">
        <f t="shared" si="15"/>
        <v>0.20340817439984821</v>
      </c>
      <c r="CZ28" s="1762">
        <f t="shared" si="15"/>
        <v>0.20780191749494245</v>
      </c>
      <c r="DA28" s="1762">
        <f t="shared" si="15"/>
        <v>0.35159167464835739</v>
      </c>
      <c r="DB28" s="1762">
        <f t="shared" si="15"/>
        <v>0.61715487682786963</v>
      </c>
      <c r="DC28" s="1761">
        <f t="shared" si="15"/>
        <v>0.91906784113421403</v>
      </c>
      <c r="DD28" s="1762">
        <f t="shared" si="15"/>
        <v>1.1944658232409679</v>
      </c>
      <c r="DE28" s="1761">
        <f t="shared" si="15"/>
        <v>1.6868129829656864</v>
      </c>
      <c r="DF28" s="1762">
        <f t="shared" ref="DF28:DK28" si="16">DF26/DF29</f>
        <v>2.0592176104259412</v>
      </c>
      <c r="DG28" s="1761">
        <f t="shared" si="16"/>
        <v>1.9130338539865237</v>
      </c>
      <c r="DH28" s="1762">
        <f t="shared" si="16"/>
        <v>2.3256950954680842</v>
      </c>
      <c r="DI28" s="1762">
        <f t="shared" si="16"/>
        <v>2.9207972503121264</v>
      </c>
      <c r="DJ28" s="1761">
        <f t="shared" si="16"/>
        <v>3.5311522019355026</v>
      </c>
      <c r="DK28" s="1761">
        <f t="shared" si="16"/>
        <v>3.7285729137272932</v>
      </c>
      <c r="DL28" s="1761">
        <f t="shared" ref="DL28:DR28" si="17">DL26/DL29</f>
        <v>3.1024371100735411</v>
      </c>
      <c r="DM28" s="1761">
        <f t="shared" si="17"/>
        <v>1.9163059163059166</v>
      </c>
      <c r="DN28" s="1761">
        <f t="shared" si="17"/>
        <v>1.9752953813104153</v>
      </c>
      <c r="DO28" s="1761">
        <f t="shared" si="17"/>
        <v>2.1542432814710071</v>
      </c>
      <c r="DP28" s="1761">
        <f t="shared" si="17"/>
        <v>2.5171683804568308</v>
      </c>
      <c r="DQ28" s="1761">
        <f t="shared" si="17"/>
        <v>2.7503842267960263</v>
      </c>
      <c r="DR28" s="1761">
        <f t="shared" si="17"/>
        <v>2.8480817708051429</v>
      </c>
      <c r="DS28" s="1762">
        <f>DS26/DS29</f>
        <v>2.9470212087233945</v>
      </c>
      <c r="DT28" s="1763">
        <f>DT26/DT29</f>
        <v>3.0964861655677227</v>
      </c>
    </row>
    <row r="29" spans="1:130">
      <c r="A29" s="1749" t="s">
        <v>9</v>
      </c>
      <c r="B29" s="1764"/>
      <c r="C29" s="1764">
        <f>'qtrP&amp;L'!$X161</f>
        <v>280</v>
      </c>
      <c r="D29" s="1764">
        <f>'qtrP&amp;L'!$X162</f>
        <v>280.20800000000003</v>
      </c>
      <c r="E29" s="1764">
        <f>'qtrP&amp;L'!$X163</f>
        <v>280.20800000000003</v>
      </c>
      <c r="F29" s="1764">
        <f>'qtrP&amp;L'!$X164</f>
        <v>280.20800000000003</v>
      </c>
      <c r="G29" s="1764"/>
      <c r="H29" s="1764">
        <f>'qtrP&amp;L'!$AB161</f>
        <v>280.20800000000003</v>
      </c>
      <c r="I29" s="1764">
        <f>'qtrP&amp;L'!$AB162</f>
        <v>356.10399999999998</v>
      </c>
      <c r="J29" s="1764">
        <f>'qtrP&amp;L'!$AB163</f>
        <v>363.08</v>
      </c>
      <c r="K29" s="1764">
        <f>'qtrP&amp;L'!$AB164</f>
        <v>365.08800000000002</v>
      </c>
      <c r="L29" s="1764"/>
      <c r="M29" s="1764">
        <f>'qtrP&amp;L'!$AF161</f>
        <v>360.8</v>
      </c>
      <c r="N29" s="1764">
        <f>'qtrP&amp;L'!$AF162</f>
        <v>357.65199999999999</v>
      </c>
      <c r="O29" s="1764">
        <f>'qtrP&amp;L'!$AF163</f>
        <v>366.584</v>
      </c>
      <c r="P29" s="1764">
        <f>'qtrP&amp;L'!$AF164</f>
        <v>369.70400000000001</v>
      </c>
      <c r="Q29" s="1764"/>
      <c r="R29" s="1764">
        <f>'qtrP&amp;L'!$AJ161</f>
        <v>367.96800000000002</v>
      </c>
      <c r="S29" s="1764">
        <f>'qtrP&amp;L'!$AJ162</f>
        <v>367.72199999999998</v>
      </c>
      <c r="T29" s="1764">
        <f>'qtrP&amp;L'!$AJ163</f>
        <v>372.98399999999998</v>
      </c>
      <c r="U29" s="1764">
        <f>'qtrP&amp;L'!$AJ164</f>
        <v>377.096</v>
      </c>
      <c r="V29" s="1764"/>
      <c r="W29" s="1764">
        <f>+'qtrP&amp;L'!$AN$161</f>
        <v>381.91800000000001</v>
      </c>
      <c r="X29" s="1764">
        <f>+'qtrP&amp;L'!$AN$162</f>
        <v>383.971</v>
      </c>
      <c r="Y29" s="1764">
        <f>+'qtrP&amp;L'!$AN$163</f>
        <v>387.13900000000001</v>
      </c>
      <c r="Z29" s="1764">
        <f>+'qtrP&amp;L'!$AN$164</f>
        <v>389.411</v>
      </c>
      <c r="AA29" s="1764"/>
      <c r="AB29" s="1764">
        <f>+'qtrP&amp;L'!$AR$161</f>
        <v>389.49200000000002</v>
      </c>
      <c r="AC29" s="1764">
        <f>+'qtrP&amp;L'!$AR$162</f>
        <v>390.51299999999998</v>
      </c>
      <c r="AD29" s="1764">
        <f>+'qtrP&amp;L'!$AR$163</f>
        <v>391.60899999999998</v>
      </c>
      <c r="AE29" s="1764">
        <f>+'qtrP&amp;L'!$AR$164</f>
        <v>389.13</v>
      </c>
      <c r="AF29" s="1764"/>
      <c r="AG29" s="1764">
        <f>+'qtrP&amp;L'!$AV$161</f>
        <v>389.97199999999998</v>
      </c>
      <c r="AH29" s="1764">
        <f>+'qtrP&amp;L'!$AV$162</f>
        <v>390.62</v>
      </c>
      <c r="AI29" s="1764">
        <f>+'qtrP&amp;L'!$AV$163</f>
        <v>391.45299999999997</v>
      </c>
      <c r="AJ29" s="1764">
        <f>+'qtrP&amp;L'!$AV$164</f>
        <v>384.22699999999998</v>
      </c>
      <c r="AK29" s="1764"/>
      <c r="AL29" s="1764">
        <f>+'qtrP&amp;L'!$AZ$161</f>
        <v>373.67200000000003</v>
      </c>
      <c r="AM29" s="1764">
        <f>+'qtrP&amp;L'!$AZ$162</f>
        <v>375.49599999999998</v>
      </c>
      <c r="AN29" s="1764">
        <f>+'qtrP&amp;L'!$AZ$163</f>
        <v>379.28899999999999</v>
      </c>
      <c r="AO29" s="1764">
        <f>+'qtrP&amp;L'!$AZ$164</f>
        <v>380.46199999999999</v>
      </c>
      <c r="AP29" s="1764"/>
      <c r="AQ29" s="1764">
        <f>+'qtrP&amp;L'!$BD$161</f>
        <v>379.28500000000003</v>
      </c>
      <c r="AR29" s="1764">
        <f>+'qtrP&amp;L'!$BD$162</f>
        <v>366.56900000000002</v>
      </c>
      <c r="AS29" s="1764">
        <f>+'qtrP&amp;L'!$BD$163</f>
        <v>351.59300000000002</v>
      </c>
      <c r="AT29" s="1764">
        <f>+'qtrP&amp;L'!$BD$164</f>
        <v>343.589</v>
      </c>
      <c r="AU29" s="1764"/>
      <c r="AV29" s="1764">
        <f>'qtrP&amp;L'!$BH$161</f>
        <v>334.02300000000002</v>
      </c>
      <c r="AW29" s="1764">
        <f>'qtrP&amp;L'!$BH$162</f>
        <v>325.16800000000001</v>
      </c>
      <c r="AX29" s="1764">
        <f>'qtrP&amp;L'!$BH$163</f>
        <v>321.35500000000002</v>
      </c>
      <c r="AY29" s="1764">
        <f>'qtrP&amp;L'!$BH$164</f>
        <v>320.512</v>
      </c>
      <c r="AZ29" s="1764"/>
      <c r="BA29" s="1764">
        <f>'qtrP&amp;L'!$BL$161</f>
        <v>321.11500000000001</v>
      </c>
      <c r="BB29" s="1764">
        <f>'qtrP&amp;L'!$BL$162</f>
        <v>321.38099999999997</v>
      </c>
      <c r="BC29" s="1764">
        <f>'qtrP&amp;L'!$BL$163</f>
        <v>313.95999999999998</v>
      </c>
      <c r="BD29" s="1764">
        <f>'qtrP&amp;L'!$BL$164</f>
        <v>307.57900000000001</v>
      </c>
      <c r="BE29" s="1764"/>
      <c r="BF29" s="1764">
        <f>'qtrP&amp;L'!$BP$161</f>
        <v>301.24900000000002</v>
      </c>
      <c r="BG29" s="1764">
        <f>'qtrP&amp;L'!$BP$162</f>
        <v>304.65499999999997</v>
      </c>
      <c r="BH29" s="1764">
        <f>'qtrP&amp;L'!$BP$163</f>
        <v>301.62</v>
      </c>
      <c r="BI29" s="1764">
        <f>'qtrP&amp;L'!$BP$164</f>
        <v>298.72199999999998</v>
      </c>
      <c r="BJ29" s="1764"/>
      <c r="BK29" s="1764">
        <f>'qtrP&amp;L'!$BT$161</f>
        <v>296.06799999999998</v>
      </c>
      <c r="BL29" s="1764">
        <f>'qtrP&amp;L'!$BT$162</f>
        <v>295.50900000000001</v>
      </c>
      <c r="BM29" s="1764">
        <f>'qtrP&amp;L'!$BT$163</f>
        <v>293.49599999999998</v>
      </c>
      <c r="BN29" s="1764">
        <f>'qtrP&amp;L'!$BT$164</f>
        <v>291.77800000000002</v>
      </c>
      <c r="BO29" s="1765"/>
      <c r="BP29" s="1764">
        <f>'qtrP&amp;L'!$BX$161</f>
        <v>288.49700000000001</v>
      </c>
      <c r="BQ29" s="1764">
        <f>'qtrP&amp;L'!$BX$162</f>
        <v>286.22300000000001</v>
      </c>
      <c r="BR29" s="1764">
        <f>'qtrP&amp;L'!$BX$163</f>
        <v>284.62400000000002</v>
      </c>
      <c r="BS29" s="1764">
        <f>'qtrP&amp;L'!$BX$164</f>
        <v>285.31700000000001</v>
      </c>
      <c r="BT29" s="1765"/>
      <c r="BU29" s="1765">
        <f>'qtrP&amp;L'!CB161</f>
        <v>284.51299999999998</v>
      </c>
      <c r="BV29" s="1765">
        <f>'qtrP&amp;L'!CB162</f>
        <v>281.53399999999999</v>
      </c>
      <c r="BW29" s="1765">
        <f>'qtrP&amp;L'!CB163</f>
        <v>278.75</v>
      </c>
      <c r="BX29" s="1765">
        <f>'qtrP&amp;L'!CB164</f>
        <v>276.40800000000002</v>
      </c>
      <c r="BY29" s="1765"/>
      <c r="BZ29" s="1765">
        <f>'qtrP&amp;L'!CF161</f>
        <v>276.39999999999998</v>
      </c>
      <c r="CA29" s="1765">
        <f>'qtrP&amp;L'!CF162</f>
        <v>276.5</v>
      </c>
      <c r="CB29" s="1765">
        <f>'qtrP&amp;L'!CF163</f>
        <v>277.39999999999998</v>
      </c>
      <c r="CC29" s="1765">
        <f>'qtrP&amp;L'!CF164</f>
        <v>278.5</v>
      </c>
      <c r="CD29" s="1765"/>
      <c r="CE29" s="1765">
        <f>'qtrP&amp;L'!CJ161</f>
        <v>278.3</v>
      </c>
      <c r="CF29" s="1765">
        <f>'qtrP&amp;L'!CJ162</f>
        <v>278.39999999999998</v>
      </c>
      <c r="CG29" s="1765">
        <f>'qtrP&amp;L'!CJ163</f>
        <v>279.5</v>
      </c>
      <c r="CH29" s="1765">
        <f>'qtrP&amp;L'!CJ164</f>
        <v>281.10000000000002</v>
      </c>
      <c r="CI29" s="1765"/>
      <c r="CJ29" s="1765">
        <f>'qtrP&amp;L'!CN161</f>
        <v>281.89999999999998</v>
      </c>
      <c r="CK29" s="1765">
        <f>'qtrP&amp;L'!CN162</f>
        <v>281.8</v>
      </c>
      <c r="CL29" s="1765">
        <f>'qtrP&amp;L'!CN163</f>
        <v>282.89999999999998</v>
      </c>
      <c r="CM29" s="1765">
        <f>'qtrP&amp;L'!CN164</f>
        <v>284.7</v>
      </c>
      <c r="CN29" s="1765"/>
      <c r="CO29" s="1765">
        <f>'qtrP&amp;L'!CR161</f>
        <v>286.7</v>
      </c>
      <c r="CP29" s="1765">
        <f>'qtrP&amp;L'!CR162</f>
        <v>286.39999999999998</v>
      </c>
      <c r="CQ29" s="1765">
        <f>'qtrP&amp;L'!CR163</f>
        <v>290.35795991590112</v>
      </c>
      <c r="CR29" s="1765">
        <f>'qtrP&amp;L'!CR164</f>
        <v>293.21359880805761</v>
      </c>
      <c r="CS29" s="1765"/>
      <c r="CT29" s="1765"/>
      <c r="CU29" s="1765">
        <f>'yrP&amp;L'!D88</f>
        <v>280.20800000000003</v>
      </c>
      <c r="CV29" s="1765">
        <f>'yrP&amp;L'!E88</f>
        <v>280.20800000000003</v>
      </c>
      <c r="CW29" s="1765">
        <f>'yrP&amp;L'!F88</f>
        <v>280.20800000000003</v>
      </c>
      <c r="CX29" s="1765">
        <f>'yrP&amp;L'!G88</f>
        <v>280.20800000000003</v>
      </c>
      <c r="CY29" s="1766">
        <f>'yrP&amp;L'!H88</f>
        <v>337.24799999999999</v>
      </c>
      <c r="CZ29" s="1766">
        <f>'yrP&amp;L'!I88</f>
        <v>363.80799999999999</v>
      </c>
      <c r="DA29" s="1766">
        <f>'yrP&amp;L'!J88</f>
        <v>371.68400000000003</v>
      </c>
      <c r="DB29" s="1766">
        <f>'yrP&amp;L'!K88</f>
        <v>385.55799999999999</v>
      </c>
      <c r="DC29" s="1765">
        <f>'yrP&amp;L'!L88</f>
        <v>390.19099999999997</v>
      </c>
      <c r="DD29" s="1766">
        <f>'yrP&amp;L'!M88</f>
        <v>388.495</v>
      </c>
      <c r="DE29" s="1765">
        <f>'yrP&amp;L'!N88</f>
        <v>377.35599999999999</v>
      </c>
      <c r="DF29" s="1766">
        <f>'yrP&amp;L'!O88</f>
        <v>360.33199999999999</v>
      </c>
      <c r="DG29" s="1765">
        <f>'yrP&amp;L'!P88</f>
        <v>325.2645</v>
      </c>
      <c r="DH29" s="1766">
        <f>'yrP&amp;L'!Q88</f>
        <v>316.00874999999996</v>
      </c>
      <c r="DI29" s="1766">
        <f>'yrP&amp;L'!R88</f>
        <v>301.56150000000002</v>
      </c>
      <c r="DJ29" s="1765">
        <f>'yrP&amp;L'!S88</f>
        <v>294.21275000000003</v>
      </c>
      <c r="DK29" s="1765">
        <f>'yrP&amp;L'!T88</f>
        <v>286.16525000000001</v>
      </c>
      <c r="DL29" s="1765">
        <f>'yrP&amp;L'!U88</f>
        <v>280.30124999999998</v>
      </c>
      <c r="DM29" s="1765">
        <f>'yrP&amp;L'!V88</f>
        <v>277.2</v>
      </c>
      <c r="DN29" s="1765">
        <f>'yrP&amp;L'!W88</f>
        <v>279.3</v>
      </c>
      <c r="DO29" s="1765">
        <f>'yrP&amp;L'!X88</f>
        <v>282.8</v>
      </c>
      <c r="DP29" s="1765">
        <f>'yrP&amp;L'!Y88</f>
        <v>289.16788968098967</v>
      </c>
      <c r="DQ29" s="1765">
        <f>'yrP&amp;L'!Z88</f>
        <v>290.16788968098967</v>
      </c>
      <c r="DR29" s="1765">
        <f>'yrP&amp;L'!AA88</f>
        <v>291.16788968098967</v>
      </c>
      <c r="DS29" s="1766">
        <f>'yrP&amp;L'!AB88</f>
        <v>292.16788968098967</v>
      </c>
      <c r="DT29" s="1767">
        <f>'yrP&amp;L'!AC88</f>
        <v>293.16788968098967</v>
      </c>
    </row>
    <row r="30" spans="1:130" outlineLevel="1">
      <c r="A30" s="1749" t="s">
        <v>645</v>
      </c>
      <c r="B30" s="1764"/>
      <c r="C30" s="1764" t="str">
        <f>+'qtrP&amp;L'!$X197</f>
        <v>ND</v>
      </c>
      <c r="D30" s="1764">
        <f>+'qtrP&amp;L'!$X198</f>
        <v>35.026000000000003</v>
      </c>
      <c r="E30" s="1764">
        <f>+'qtrP&amp;L'!$X199</f>
        <v>35.026000000000003</v>
      </c>
      <c r="F30" s="1764">
        <f>+'qtrP&amp;L'!$X200</f>
        <v>35.026000000000003</v>
      </c>
      <c r="G30" s="1764"/>
      <c r="H30" s="1764">
        <f>+'qtrP&amp;L'!$AB197</f>
        <v>35.026000000000003</v>
      </c>
      <c r="I30" s="1764">
        <f>+'qtrP&amp;L'!$AB198</f>
        <v>45.512999999999998</v>
      </c>
      <c r="J30" s="1764">
        <f>+'qtrP&amp;L'!$AB199</f>
        <v>43.512999999999998</v>
      </c>
      <c r="K30" s="1764">
        <f>+'qtrP&amp;L'!$AB200</f>
        <v>87.21</v>
      </c>
      <c r="L30" s="1764"/>
      <c r="M30" s="1764">
        <f>+'qtrP&amp;L'!$AF197</f>
        <v>87.313999999999993</v>
      </c>
      <c r="N30" s="1764">
        <f>+'qtrP&amp;L'!$AF198</f>
        <v>87.38</v>
      </c>
      <c r="O30" s="1764">
        <f>+'qtrP&amp;L'!$AF199</f>
        <v>88.424000000000007</v>
      </c>
      <c r="P30" s="1764">
        <f>+'qtrP&amp;L'!$AF200</f>
        <v>88.95</v>
      </c>
      <c r="Q30" s="1764"/>
      <c r="R30" s="1764">
        <f>+'qtrP&amp;L'!$AJ197</f>
        <v>354.916</v>
      </c>
      <c r="S30" s="1764">
        <f>+'qtrP&amp;L'!$AJ198</f>
        <v>355.91199999999998</v>
      </c>
      <c r="T30" s="1764">
        <f>+'qtrP&amp;L'!$AJ199</f>
        <v>360.92399999999998</v>
      </c>
      <c r="U30" s="1764">
        <f>+'qtrP&amp;L'!$AJ200</f>
        <v>363.74400000000003</v>
      </c>
      <c r="V30" s="1764"/>
      <c r="W30" s="1764">
        <f>+'qtrP&amp;L'!$AN197</f>
        <v>367.17599999999999</v>
      </c>
      <c r="X30" s="1764">
        <f>+'qtrP&amp;L'!$AN198</f>
        <v>370.46300000000002</v>
      </c>
      <c r="Y30" s="1764">
        <f>+'qtrP&amp;L'!$AN199</f>
        <v>374.012</v>
      </c>
      <c r="Z30" s="1764">
        <f>+'qtrP&amp;L'!$AN200</f>
        <v>377.03500000000003</v>
      </c>
      <c r="AA30" s="1764"/>
      <c r="AB30" s="1764">
        <f>+'qtrP&amp;L'!$AR197</f>
        <v>377.98099999999999</v>
      </c>
      <c r="AC30" s="1764">
        <f>+'qtrP&amp;L'!$AR198</f>
        <v>379.35399999999998</v>
      </c>
      <c r="AD30" s="1764">
        <f>+'qtrP&amp;L'!$AR199</f>
        <v>379.69499999999999</v>
      </c>
      <c r="AE30" s="1764">
        <f>+'qtrP&amp;L'!$AR200</f>
        <v>377.63200000000001</v>
      </c>
      <c r="AF30" s="1764"/>
      <c r="AG30" s="1764">
        <f>+'qtrP&amp;L'!$AV197</f>
        <v>379.55099999999999</v>
      </c>
      <c r="AH30" s="1764">
        <f>+'qtrP&amp;L'!$AV198</f>
        <v>380.83699999999999</v>
      </c>
      <c r="AI30" s="1764">
        <f>+'qtrP&amp;L'!$AV199</f>
        <v>383.73899999999998</v>
      </c>
      <c r="AJ30" s="1764">
        <f>+'qtrP&amp;L'!$AV200</f>
        <v>376.70600000000002</v>
      </c>
      <c r="AK30" s="1764"/>
      <c r="AL30" s="1764">
        <f>+'qtrP&amp;L'!$AZ197</f>
        <v>368.17099999999999</v>
      </c>
      <c r="AM30" s="1764">
        <f>+'qtrP&amp;L'!$AZ198</f>
        <v>368.13799999999998</v>
      </c>
      <c r="AN30" s="1764">
        <f>+'qtrP&amp;L'!$AZ199</f>
        <v>370.26400000000001</v>
      </c>
      <c r="AO30" s="1764">
        <f>+'qtrP&amp;L'!$AZ200</f>
        <v>371.565</v>
      </c>
      <c r="AP30" s="1764"/>
      <c r="AQ30" s="1764">
        <f>+'qtrP&amp;L'!$BD197</f>
        <v>372.18599999999998</v>
      </c>
      <c r="AR30" s="1764">
        <f>+'qtrP&amp;L'!$BD198</f>
        <v>362.16699999999997</v>
      </c>
      <c r="AS30" s="1764">
        <f>+'qtrP&amp;L'!$BD199</f>
        <v>348.125</v>
      </c>
      <c r="AT30" s="1764">
        <f>+'qtrP&amp;L'!$BD200</f>
        <v>340.15699999999998</v>
      </c>
      <c r="AU30" s="1764"/>
      <c r="AV30" s="1764">
        <f>+'qtrP&amp;L'!$BH197</f>
        <v>331.86500000000001</v>
      </c>
      <c r="AW30" s="1764">
        <f>+'qtrP&amp;L'!$BH198</f>
        <v>323.65499999999997</v>
      </c>
      <c r="AX30" s="1764">
        <f>+'qtrP&amp;L'!$BH199</f>
        <v>320.16300000000001</v>
      </c>
      <c r="AY30" s="1764">
        <f>+'qtrP&amp;L'!$BH200</f>
        <v>317.75200000000001</v>
      </c>
      <c r="AZ30" s="1764"/>
      <c r="BA30" s="1764">
        <f>+'qtrP&amp;L'!$BL197</f>
        <v>318.286</v>
      </c>
      <c r="BB30" s="1764">
        <f>+'qtrP&amp;L'!$BL198</f>
        <v>317.45800000000003</v>
      </c>
      <c r="BC30" s="1764">
        <f>+'qtrP&amp;L'!$BL199</f>
        <v>309.24900000000002</v>
      </c>
      <c r="BD30" s="1764">
        <f>+'qtrP&amp;L'!$BL200</f>
        <v>302.86799999999999</v>
      </c>
      <c r="BE30" s="1764"/>
      <c r="BF30" s="1764">
        <f>+'qtrP&amp;L'!$BP197</f>
        <v>296.30399999999997</v>
      </c>
      <c r="BG30" s="1764">
        <f>+'qtrP&amp;L'!$BP198</f>
        <v>297.24099999999999</v>
      </c>
      <c r="BH30" s="1764">
        <f>+'qtrP&amp;L'!$BP199</f>
        <v>294.20600000000002</v>
      </c>
      <c r="BI30" s="1764">
        <f>+'qtrP&amp;L'!$BP200</f>
        <v>291.30799999999999</v>
      </c>
      <c r="BJ30" s="1764"/>
      <c r="BK30" s="1764">
        <f>+'qtrP&amp;L'!$BT197</f>
        <v>289.77800000000002</v>
      </c>
      <c r="BL30" s="1764">
        <f>+'qtrP&amp;L'!$BT198</f>
        <v>289.81200000000001</v>
      </c>
      <c r="BM30" s="1764">
        <f>+'qtrP&amp;L'!$BT199</f>
        <v>287.56900000000002</v>
      </c>
      <c r="BN30" s="1764">
        <f>+'qtrP&amp;L'!$BT200</f>
        <v>285.851</v>
      </c>
      <c r="BO30" s="1765"/>
      <c r="BP30" s="1764">
        <f>+'qtrP&amp;L'!$BX197</f>
        <v>282.56999999999994</v>
      </c>
      <c r="BQ30" s="1764">
        <f>+'qtrP&amp;L'!$BX198</f>
        <v>280.29599999999988</v>
      </c>
      <c r="BR30" s="1764">
        <f>+'qtrP&amp;L'!$BX199</f>
        <v>278.69699999999983</v>
      </c>
      <c r="BS30" s="1764">
        <f>+'qtrP&amp;L'!$BX200</f>
        <v>279.38999999999987</v>
      </c>
      <c r="BT30" s="1765"/>
      <c r="BU30" s="1765">
        <f>'qtrP&amp;L'!CB197</f>
        <v>278.58599999999979</v>
      </c>
      <c r="BV30" s="1765">
        <f>'qtrP&amp;L'!CB198</f>
        <v>279.08499999999998</v>
      </c>
      <c r="BW30" s="1765">
        <f>'qtrP&amp;L'!CB199</f>
        <v>276.10700000000003</v>
      </c>
      <c r="BX30" s="1765">
        <f>'qtrP&amp;L'!CB200</f>
        <v>274.17236500000001</v>
      </c>
      <c r="BY30" s="1765"/>
      <c r="BZ30" s="1765">
        <f>'qtrP&amp;L'!CF197</f>
        <v>275</v>
      </c>
      <c r="CA30" s="1765">
        <f>'qtrP&amp;L'!CF198</f>
        <v>275.5</v>
      </c>
      <c r="CB30" s="1765">
        <f>'qtrP&amp;L'!CF199</f>
        <v>275.89999999999998</v>
      </c>
      <c r="CC30" s="1765">
        <f>'qtrP&amp;L'!CF200</f>
        <v>276.39999999999998</v>
      </c>
      <c r="CD30" s="1765"/>
      <c r="CE30" s="1765">
        <f>'qtrP&amp;L'!CJ197</f>
        <v>277.10000000000002</v>
      </c>
      <c r="CF30" s="1765">
        <f>'qtrP&amp;L'!CJ198</f>
        <v>277.60000000000002</v>
      </c>
      <c r="CG30" s="1765">
        <f>'qtrP&amp;L'!CJ199</f>
        <v>277.8</v>
      </c>
      <c r="CH30" s="1765">
        <f>'qtrP&amp;L'!CJ200</f>
        <v>278.2</v>
      </c>
      <c r="CI30" s="1765"/>
      <c r="CJ30" s="1765">
        <f>'qtrP&amp;L'!CN197</f>
        <v>279.5</v>
      </c>
      <c r="CK30" s="1765">
        <f>'qtrP&amp;L'!CN198</f>
        <v>280.5</v>
      </c>
      <c r="CL30" s="1765">
        <f>'qtrP&amp;L'!CN199</f>
        <v>280.8</v>
      </c>
      <c r="CM30" s="1765">
        <f>'qtrP&amp;L'!CN200</f>
        <v>281.5</v>
      </c>
      <c r="CN30" s="1765"/>
      <c r="CO30" s="1765">
        <f>'qtrP&amp;L'!CR197</f>
        <v>283.2</v>
      </c>
      <c r="CP30" s="1765">
        <f>'qtrP&amp;L'!CR198</f>
        <v>286.39999999999998</v>
      </c>
      <c r="CQ30" s="1765">
        <f>'qtrP&amp;L'!CR199</f>
        <v>287.70631016042785</v>
      </c>
      <c r="CR30" s="1765">
        <f>'qtrP&amp;L'!CR200</f>
        <v>289.4235267455856</v>
      </c>
      <c r="CS30" s="1765"/>
      <c r="CT30" s="1765"/>
      <c r="CU30" s="1765">
        <f>+'yrP&amp;L'!D94</f>
        <v>0</v>
      </c>
      <c r="CV30" s="1765">
        <f>+'yrP&amp;L'!E94</f>
        <v>0</v>
      </c>
      <c r="CW30" s="1765" t="str">
        <f>+'yrP&amp;L'!F94</f>
        <v>ND</v>
      </c>
      <c r="CX30" s="1765">
        <f>+'yrP&amp;L'!G94</f>
        <v>35.026000000000003</v>
      </c>
      <c r="CY30" s="1766">
        <f>+'yrP&amp;L'!H94</f>
        <v>52.8155</v>
      </c>
      <c r="CZ30" s="1766">
        <f>+'yrP&amp;L'!I94</f>
        <v>88.016999999999996</v>
      </c>
      <c r="DA30" s="1766">
        <f>+'yrP&amp;L'!J94</f>
        <v>358.87400000000002</v>
      </c>
      <c r="DB30" s="1766">
        <f>+'yrP&amp;L'!K94</f>
        <v>372.17150000000004</v>
      </c>
      <c r="DC30" s="1765">
        <f>+'yrP&amp;L'!L94</f>
        <v>378.66550000000001</v>
      </c>
      <c r="DD30" s="1766">
        <f>+'yrP&amp;L'!M94</f>
        <v>379.63499999999999</v>
      </c>
      <c r="DE30" s="1765">
        <f>+'yrP&amp;L'!N94</f>
        <v>369.661</v>
      </c>
      <c r="DF30" s="1766">
        <f>+'yrP&amp;L'!O94</f>
        <v>355.73099999999999</v>
      </c>
      <c r="DG30" s="1765">
        <f>+'yrP&amp;L'!P94</f>
        <v>321.11126918924771</v>
      </c>
      <c r="DH30" s="1766">
        <f>+'yrP&amp;L'!Q94</f>
        <v>311.97370382383468</v>
      </c>
      <c r="DI30" s="1766">
        <f>+'yrP&amp;L'!R94</f>
        <v>297.71092757928807</v>
      </c>
      <c r="DJ30" s="1765">
        <f>+'yrP&amp;L'!S94</f>
        <v>290.45601215060009</v>
      </c>
      <c r="DK30" s="1765">
        <f>+'yrP&amp;L'!T94</f>
        <v>282.5112689068693</v>
      </c>
      <c r="DL30" s="1765">
        <f>+'yrP&amp;L'!U94</f>
        <v>276.72214503222034</v>
      </c>
      <c r="DM30" s="1765">
        <f>+'yrP&amp;L'!V94</f>
        <v>273.66049421089446</v>
      </c>
      <c r="DN30" s="1765">
        <f>+'yrP&amp;L'!W94</f>
        <v>275.73367977309817</v>
      </c>
      <c r="DO30" s="1765">
        <f>+'yrP&amp;L'!X94</f>
        <v>279.18898904343774</v>
      </c>
      <c r="DP30" s="1765">
        <f>+'yrP&amp;L'!Y94</f>
        <v>285.4755685426444</v>
      </c>
      <c r="DQ30" s="1765">
        <f>+'yrP&amp;L'!Z94</f>
        <v>286.46279976274144</v>
      </c>
      <c r="DR30" s="1765">
        <f>+'yrP&amp;L'!AA94</f>
        <v>287.45003098283848</v>
      </c>
      <c r="DS30" s="1766">
        <f>+'yrP&amp;L'!AB94</f>
        <v>288.43726220293553</v>
      </c>
      <c r="DT30" s="1767">
        <f>+'yrP&amp;L'!AC94</f>
        <v>289.42449342303252</v>
      </c>
    </row>
    <row r="31" spans="1:130">
      <c r="A31" s="1749" t="s">
        <v>424</v>
      </c>
      <c r="B31" s="1764"/>
      <c r="C31" s="1764" t="str">
        <f>+'qtrP&amp;L'!$X187</f>
        <v>ND</v>
      </c>
      <c r="D31" s="1764" t="str">
        <f>+'qtrP&amp;L'!$X188</f>
        <v>ND</v>
      </c>
      <c r="E31" s="1764" t="str">
        <f>+'qtrP&amp;L'!$X189</f>
        <v>ND</v>
      </c>
      <c r="F31" s="1764" t="str">
        <f>+'qtrP&amp;L'!$X190</f>
        <v>ND</v>
      </c>
      <c r="G31" s="1764"/>
      <c r="H31" s="1764">
        <f>+'qtrP&amp;L'!$AB187</f>
        <v>43.513333000000003</v>
      </c>
      <c r="I31" s="1764">
        <f>+'qtrP&amp;L'!$AB188</f>
        <v>43.513333000000003</v>
      </c>
      <c r="J31" s="1764">
        <f>+'qtrP&amp;L'!$AB189</f>
        <v>43.513333000000003</v>
      </c>
      <c r="K31" s="1764">
        <f>+'qtrP&amp;L'!$AB190</f>
        <v>87.371983999999998</v>
      </c>
      <c r="L31" s="1764"/>
      <c r="M31" s="1764">
        <f>+'qtrP&amp;L'!$AF187</f>
        <v>43.439791999999997</v>
      </c>
      <c r="N31" s="1764">
        <f>+'qtrP&amp;L'!$AF188</f>
        <v>44.128833</v>
      </c>
      <c r="O31" s="1764">
        <f>+'qtrP&amp;L'!$AF189</f>
        <v>44.352421999999997</v>
      </c>
      <c r="P31" s="1764">
        <f>+'qtrP&amp;L'!$AF190</f>
        <v>89.453721999999999</v>
      </c>
      <c r="Q31" s="1764"/>
      <c r="R31" s="1764">
        <f>+'qtrP&amp;L'!$AJ187</f>
        <v>341.596204</v>
      </c>
      <c r="S31" s="1764">
        <f>+'qtrP&amp;L'!$AJ188</f>
        <v>347.55764399999998</v>
      </c>
      <c r="T31" s="1764">
        <f>+'qtrP&amp;L'!$AJ189</f>
        <v>350.85991199999995</v>
      </c>
      <c r="U31" s="1764">
        <f>+'qtrP&amp;L'!$AJ190</f>
        <v>355.0955786666666</v>
      </c>
      <c r="V31" s="1764"/>
      <c r="W31" s="1764">
        <f>+'qtrP&amp;L'!$AN187</f>
        <v>359.84891199999993</v>
      </c>
      <c r="X31" s="1764">
        <f>+'qtrP&amp;L'!$AN188</f>
        <v>360.89141199999995</v>
      </c>
      <c r="Y31" s="1764">
        <f>+'qtrP&amp;L'!$AN189</f>
        <v>363.32091199999991</v>
      </c>
      <c r="Z31" s="1764">
        <f>+'qtrP&amp;L'!$AN190</f>
        <v>365.92557866666664</v>
      </c>
      <c r="AA31" s="1764"/>
      <c r="AB31" s="1764">
        <f>+'qtrP&amp;L'!$AR187</f>
        <v>368.30091200000004</v>
      </c>
      <c r="AC31" s="1764">
        <f>+'qtrP&amp;L'!$AR188</f>
        <v>369.29441200000002</v>
      </c>
      <c r="AD31" s="1764">
        <f>+'qtrP&amp;L'!$AR189</f>
        <v>370.58091200000001</v>
      </c>
      <c r="AE31" s="1764">
        <f>+'qtrP&amp;L'!$AR190</f>
        <v>367.90891200000004</v>
      </c>
      <c r="AF31" s="1764"/>
      <c r="AG31" s="1764">
        <f>+'qtrP&amp;L'!$AV187</f>
        <v>372.75791200000015</v>
      </c>
      <c r="AH31" s="1764">
        <f>+'qtrP&amp;L'!$AV188</f>
        <v>372.06691200000012</v>
      </c>
      <c r="AI31" s="1764">
        <f>+'qtrP&amp;L'!$AV189</f>
        <v>371.65791200000007</v>
      </c>
      <c r="AJ31" s="1764">
        <f>+'qtrP&amp;L'!$AV190</f>
        <v>365.22791200000006</v>
      </c>
      <c r="AK31" s="1764"/>
      <c r="AL31" s="1764">
        <f>+'qtrP&amp;L'!$AZ187</f>
        <v>355.08191200000016</v>
      </c>
      <c r="AM31" s="1764">
        <f>+'qtrP&amp;L'!$AZ188</f>
        <v>358.10791200000011</v>
      </c>
      <c r="AN31" s="1764">
        <f>+'qtrP&amp;L'!$AZ189</f>
        <v>363.16641200000009</v>
      </c>
      <c r="AO31" s="1764">
        <f>+'qtrP&amp;L'!$AZ190</f>
        <v>363.47424533333344</v>
      </c>
      <c r="AP31" s="1764"/>
      <c r="AQ31" s="1764">
        <f>+'qtrP&amp;L'!$BD187</f>
        <v>366.15991200000008</v>
      </c>
      <c r="AR31" s="1764">
        <f>+'qtrP&amp;L'!$BD188</f>
        <v>352.27491200000003</v>
      </c>
      <c r="AS31" s="1764">
        <f>+'qtrP&amp;L'!$BD189</f>
        <v>336.14941199999998</v>
      </c>
      <c r="AT31" s="1764">
        <f>+'qtrP&amp;L'!$BD190</f>
        <v>328.90624533333335</v>
      </c>
      <c r="AU31" s="1764"/>
      <c r="AV31" s="1764">
        <f>+'qtrP&amp;L'!$BH187</f>
        <v>321.5699120000001</v>
      </c>
      <c r="AW31" s="1764">
        <f>+'qtrP&amp;L'!$BH188</f>
        <v>313.56916200000001</v>
      </c>
      <c r="AX31" s="1764">
        <f>+'qtrP&amp;L'!$BH189</f>
        <v>309.826412</v>
      </c>
      <c r="AY31" s="1764">
        <f>+'qtrP&amp;L'!$BH190</f>
        <v>309.19791199999992</v>
      </c>
      <c r="AZ31" s="1764"/>
      <c r="BA31" s="1764">
        <f>+'qtrP&amp;L'!$BL187</f>
        <v>316.404</v>
      </c>
      <c r="BB31" s="1764">
        <f>+'qtrP&amp;L'!$BL188</f>
        <v>317.33750000000003</v>
      </c>
      <c r="BC31" s="1764">
        <f>+'qtrP&amp;L'!$BL189</f>
        <v>310.58399999999995</v>
      </c>
      <c r="BD31" s="1764">
        <f>+'qtrP&amp;L'!$BL190</f>
        <v>303.7580000000001</v>
      </c>
      <c r="BE31" s="1764"/>
      <c r="BF31" s="1764">
        <f>+'qtrP&amp;L'!$BP187</f>
        <v>293.83500000000004</v>
      </c>
      <c r="BG31" s="1764">
        <f>+'qtrP&amp;L'!$BP188</f>
        <v>297.85824999999994</v>
      </c>
      <c r="BH31" s="1764">
        <f>+'qtrP&amp;L'!$BP189</f>
        <v>295.44049999999999</v>
      </c>
      <c r="BI31" s="1764">
        <f>+'qtrP&amp;L'!$BP190</f>
        <v>292.13099999999997</v>
      </c>
      <c r="BJ31" s="1764"/>
      <c r="BK31" s="1764">
        <f>+'qtrP&amp;L'!$BT187</f>
        <v>290.14099999999996</v>
      </c>
      <c r="BL31" s="1764">
        <f>+'qtrP&amp;L'!$BT188</f>
        <v>289.54875000000004</v>
      </c>
      <c r="BM31" s="1764">
        <f>+'qtrP&amp;L'!$BT189</f>
        <v>287.5025</v>
      </c>
      <c r="BN31" s="1764">
        <f>+'qtrP&amp;L'!$BT190</f>
        <v>285.80666666666673</v>
      </c>
      <c r="BO31" s="1765"/>
      <c r="BP31" s="1764">
        <f>+'qtrP&amp;L'!$BX187</f>
        <v>282.56999999999988</v>
      </c>
      <c r="BQ31" s="1764">
        <f>+'qtrP&amp;L'!$BX188</f>
        <v>280.29599999999988</v>
      </c>
      <c r="BR31" s="1764">
        <f>+'qtrP&amp;L'!$BX189</f>
        <v>278.69699999999983</v>
      </c>
      <c r="BS31" s="1764">
        <f>+'qtrP&amp;L'!$BX190</f>
        <v>279.38999999999987</v>
      </c>
      <c r="BT31" s="1765"/>
      <c r="BU31" s="1765">
        <f>'qtrP&amp;L'!CB187</f>
        <v>282.27736499999992</v>
      </c>
      <c r="BV31" s="1765">
        <f>'qtrP&amp;L'!CB188</f>
        <v>278.22034124999988</v>
      </c>
      <c r="BW31" s="1765">
        <f>'qtrP&amp;L'!CB189</f>
        <v>274.56199999999978</v>
      </c>
      <c r="BX31" s="1765">
        <f>'qtrP&amp;L'!CB190</f>
        <v>272.73499999999984</v>
      </c>
      <c r="BY31" s="1765"/>
      <c r="BZ31" s="1765">
        <f>'qtrP&amp;L'!CF187</f>
        <v>274.29999999999984</v>
      </c>
      <c r="CA31" s="1765">
        <f>'qtrP&amp;L'!CF188</f>
        <v>274.99999999999989</v>
      </c>
      <c r="CB31" s="1765">
        <f>'qtrP&amp;L'!CF189</f>
        <v>276.19999999999987</v>
      </c>
      <c r="CC31" s="1765">
        <f>'qtrP&amp;L'!CF190</f>
        <v>277.19999999999987</v>
      </c>
      <c r="CD31" s="1765"/>
      <c r="CE31" s="1765">
        <f>'qtrP&amp;L'!CJ187</f>
        <v>275.39999999999992</v>
      </c>
      <c r="CF31" s="1765">
        <f>'qtrP&amp;L'!CJ188</f>
        <v>276.69999999999993</v>
      </c>
      <c r="CG31" s="1765">
        <f>'qtrP&amp;L'!CJ189</f>
        <v>278.49999999999989</v>
      </c>
      <c r="CH31" s="1765">
        <f>'qtrP&amp;L'!CJ190</f>
        <v>279.86666666666656</v>
      </c>
      <c r="CI31" s="1765"/>
      <c r="CJ31" s="1765">
        <f>'qtrP&amp;L'!CN187</f>
        <v>278.69999999999987</v>
      </c>
      <c r="CK31" s="1765">
        <f>'qtrP&amp;L'!CN188</f>
        <v>279.59999999999985</v>
      </c>
      <c r="CL31" s="1765">
        <f>'qtrP&amp;L'!CN189</f>
        <v>281.04999999999978</v>
      </c>
      <c r="CM31" s="1765">
        <f>'qtrP&amp;L'!CN190</f>
        <v>282.76666666666648</v>
      </c>
      <c r="CN31" s="1765"/>
      <c r="CO31" s="1765">
        <f>'qtrP&amp;L'!CR187</f>
        <v>282.90992793752787</v>
      </c>
      <c r="CP31" s="1765">
        <f>'qtrP&amp;L'!CR188</f>
        <v>283.91456954551359</v>
      </c>
      <c r="CQ31" s="1765">
        <f>'qtrP&amp;L'!CR189</f>
        <v>288.60795991590101</v>
      </c>
      <c r="CR31" s="1765">
        <f>'qtrP&amp;L'!CR190</f>
        <v>291.16304888956637</v>
      </c>
      <c r="CS31" s="1765"/>
      <c r="CT31" s="1765"/>
      <c r="CU31" s="1765">
        <f>+'yrP&amp;L'!D93</f>
        <v>35.026000000000003</v>
      </c>
      <c r="CV31" s="1765">
        <f>+'yrP&amp;L'!E93</f>
        <v>35.026000000000003</v>
      </c>
      <c r="CW31" s="1765">
        <f>+'yrP&amp;L'!F93</f>
        <v>35.026000000000003</v>
      </c>
      <c r="CX31" s="1765" t="str">
        <f>+'yrP&amp;L'!G93</f>
        <v>NM</v>
      </c>
      <c r="CY31" s="1766">
        <f>+'yrP&amp;L'!H93</f>
        <v>54.477995750000005</v>
      </c>
      <c r="CZ31" s="1766">
        <f>+'yrP&amp;L'!I93</f>
        <v>55.343692249999997</v>
      </c>
      <c r="DA31" s="1766">
        <f>+'yrP&amp;L'!J93</f>
        <v>348.7773346666666</v>
      </c>
      <c r="DB31" s="1766">
        <f>+'yrP&amp;L'!K93</f>
        <v>362.49670366666658</v>
      </c>
      <c r="DC31" s="1765">
        <f>+'yrP&amp;L'!L93</f>
        <v>369.02128700000009</v>
      </c>
      <c r="DD31" s="1766">
        <f>+'yrP&amp;L'!M93</f>
        <v>370.42766200000011</v>
      </c>
      <c r="DE31" s="1765">
        <f>+'yrP&amp;L'!N93</f>
        <v>359.95762033333347</v>
      </c>
      <c r="DF31" s="1766">
        <f>+'yrP&amp;L'!O93</f>
        <v>345.87262033333337</v>
      </c>
      <c r="DG31" s="1765">
        <f>+'yrP&amp;L'!P93</f>
        <v>312.2123067515833</v>
      </c>
      <c r="DH31" s="1766">
        <f>+'yrP&amp;L'!Q93</f>
        <v>303.32797090117236</v>
      </c>
      <c r="DI31" s="1766">
        <f>+'yrP&amp;L'!R93</f>
        <v>289.4604592338469</v>
      </c>
      <c r="DJ31" s="1765">
        <f>+'yrP&amp;L'!S93</f>
        <v>282.40659940825662</v>
      </c>
      <c r="DK31" s="1765">
        <f>+'yrP&amp;L'!T93</f>
        <v>274.68202897839609</v>
      </c>
      <c r="DL31" s="1765">
        <f>+'yrP&amp;L'!U93</f>
        <v>269.0533391988742</v>
      </c>
      <c r="DM31" s="1765">
        <f>+'yrP&amp;L'!V93</f>
        <v>266.07653596239021</v>
      </c>
      <c r="DN31" s="1765">
        <f>+'yrP&amp;L'!W93</f>
        <v>268.0922672954386</v>
      </c>
      <c r="DO31" s="1765">
        <f>+'yrP&amp;L'!X93</f>
        <v>271.45181951718592</v>
      </c>
      <c r="DP31" s="1765">
        <f>+'yrP&amp;L'!Y93</f>
        <v>277.56417892450332</v>
      </c>
      <c r="DQ31" s="1765">
        <f>+'yrP&amp;L'!Z93</f>
        <v>278.52405098785971</v>
      </c>
      <c r="DR31" s="1765">
        <f>+'yrP&amp;L'!AA93</f>
        <v>279.4839230512161</v>
      </c>
      <c r="DS31" s="1766">
        <f>+'yrP&amp;L'!AB93</f>
        <v>280.44379511457248</v>
      </c>
      <c r="DT31" s="1767">
        <f>+'yrP&amp;L'!AC93</f>
        <v>281.40366717792887</v>
      </c>
    </row>
    <row r="32" spans="1:130">
      <c r="A32" s="1686"/>
      <c r="B32" s="1686"/>
      <c r="C32" s="1686"/>
      <c r="D32" s="1686"/>
      <c r="E32" s="1686"/>
      <c r="F32" s="1768"/>
      <c r="G32" s="1686"/>
      <c r="H32" s="1686"/>
      <c r="I32" s="1686"/>
      <c r="J32" s="1686"/>
      <c r="K32" s="1768"/>
      <c r="L32" s="1686"/>
      <c r="M32" s="1686"/>
      <c r="N32" s="1686"/>
      <c r="O32" s="1686"/>
      <c r="P32" s="1768"/>
      <c r="Q32" s="1686"/>
      <c r="R32" s="1686"/>
      <c r="S32" s="1686"/>
      <c r="T32" s="1686"/>
      <c r="U32" s="1768"/>
      <c r="V32" s="1686"/>
      <c r="W32" s="1686"/>
      <c r="X32" s="1686"/>
      <c r="Y32" s="1686"/>
      <c r="Z32" s="1768"/>
      <c r="AA32" s="1686"/>
      <c r="AB32" s="1686"/>
      <c r="AC32" s="1686"/>
      <c r="AD32" s="1686"/>
      <c r="AE32" s="1768"/>
      <c r="AF32" s="1686"/>
      <c r="AG32" s="1686"/>
      <c r="AH32" s="1686"/>
      <c r="AI32" s="1686"/>
      <c r="AJ32" s="1768"/>
      <c r="AK32" s="1686"/>
      <c r="AL32" s="1686"/>
      <c r="AM32" s="1686"/>
      <c r="AN32" s="1686"/>
      <c r="AO32" s="1768"/>
      <c r="AP32" s="1686"/>
      <c r="AQ32" s="1686"/>
      <c r="AR32" s="1686"/>
      <c r="AS32" s="1686"/>
      <c r="AT32" s="1768"/>
      <c r="AU32" s="1686"/>
      <c r="AV32" s="1768"/>
      <c r="AW32" s="1768"/>
      <c r="AX32" s="1768"/>
      <c r="AY32" s="1768"/>
      <c r="AZ32" s="1686"/>
      <c r="BA32" s="1768"/>
      <c r="BB32" s="1768"/>
      <c r="BC32" s="1768"/>
      <c r="BD32" s="1768"/>
      <c r="BE32" s="1686"/>
      <c r="BF32" s="1768"/>
      <c r="BG32" s="1768"/>
      <c r="BH32" s="1768"/>
      <c r="BI32" s="1768"/>
      <c r="BJ32" s="1686"/>
      <c r="BK32" s="1768"/>
      <c r="BL32" s="1768"/>
      <c r="BM32" s="1768"/>
      <c r="BN32" s="1768"/>
      <c r="BO32" s="1686"/>
      <c r="BP32" s="1768"/>
      <c r="BQ32" s="1768"/>
      <c r="BR32" s="1768"/>
      <c r="BS32" s="1768"/>
      <c r="BT32" s="1686"/>
      <c r="BU32" s="1686"/>
      <c r="BV32" s="1686"/>
      <c r="BW32" s="1686"/>
      <c r="BX32" s="1686"/>
      <c r="BY32" s="1686"/>
      <c r="BZ32" s="1686"/>
      <c r="CA32" s="1686"/>
      <c r="CB32" s="1686"/>
      <c r="CC32" s="1686"/>
      <c r="CD32" s="1686"/>
      <c r="CE32" s="1686"/>
      <c r="CF32" s="1686"/>
      <c r="CG32" s="1686"/>
      <c r="CH32" s="1686"/>
      <c r="CI32" s="1686"/>
      <c r="CJ32" s="1686"/>
      <c r="CK32" s="1686"/>
      <c r="CL32" s="1686"/>
      <c r="CM32" s="1686"/>
      <c r="CN32" s="1686"/>
      <c r="CO32" s="1686"/>
      <c r="CP32" s="1686"/>
      <c r="CQ32" s="1686"/>
      <c r="CR32" s="1686"/>
      <c r="CS32" s="1686"/>
      <c r="CT32" s="1690"/>
      <c r="CU32" s="1690"/>
      <c r="CV32" s="1690"/>
      <c r="CW32" s="1690"/>
      <c r="CX32" s="1690"/>
      <c r="CY32" s="1731"/>
      <c r="CZ32" s="1731"/>
      <c r="DA32" s="1731"/>
      <c r="DB32" s="1731"/>
      <c r="DC32" s="1690"/>
      <c r="DD32" s="1731"/>
      <c r="DE32" s="1690"/>
      <c r="DF32" s="1731"/>
      <c r="DG32" s="1690"/>
      <c r="DH32" s="1731"/>
      <c r="DI32" s="1731"/>
      <c r="DJ32" s="1690"/>
      <c r="DK32" s="1690"/>
      <c r="DL32" s="1690"/>
      <c r="DM32" s="1690"/>
      <c r="DN32" s="1690"/>
      <c r="DO32" s="1690"/>
      <c r="DP32" s="1690"/>
      <c r="DQ32" s="1690"/>
      <c r="DR32" s="1690"/>
      <c r="DS32" s="1731"/>
      <c r="DT32" s="1769"/>
    </row>
    <row r="33" spans="1:124">
      <c r="A33" s="1733" t="s">
        <v>95</v>
      </c>
      <c r="B33" s="1734"/>
      <c r="C33" s="722">
        <f>C18+C17</f>
        <v>3.0489999999999995</v>
      </c>
      <c r="D33" s="722">
        <f>D18+D17</f>
        <v>40.820999999999984</v>
      </c>
      <c r="E33" s="722">
        <f>E18+E17</f>
        <v>4.4689999999999941</v>
      </c>
      <c r="F33" s="722">
        <f>F18+F17</f>
        <v>30.305999999999997</v>
      </c>
      <c r="G33" s="722"/>
      <c r="H33" s="722">
        <f>H18+H17</f>
        <v>22.774750000000019</v>
      </c>
      <c r="I33" s="722">
        <f>I18+I17</f>
        <v>67.74475000000001</v>
      </c>
      <c r="J33" s="722">
        <f>J18+J17</f>
        <v>18.395750000000014</v>
      </c>
      <c r="K33" s="722">
        <f>K18+K17</f>
        <v>21.472749999999984</v>
      </c>
      <c r="L33" s="722"/>
      <c r="M33" s="722">
        <f>M18+M17</f>
        <v>25.843499999999999</v>
      </c>
      <c r="N33" s="722">
        <f>N18+N17</f>
        <v>76.314499999999981</v>
      </c>
      <c r="O33" s="722">
        <f>O18+O17</f>
        <v>30.10049999999999</v>
      </c>
      <c r="P33" s="722">
        <f>P18+P17</f>
        <v>30.24349999999999</v>
      </c>
      <c r="Q33" s="722"/>
      <c r="R33" s="722">
        <f>R18+R17</f>
        <v>44.087999999999994</v>
      </c>
      <c r="S33" s="722">
        <f>S18+S17</f>
        <v>109.62700000000004</v>
      </c>
      <c r="T33" s="722">
        <f>T18+T17</f>
        <v>60.162999999999982</v>
      </c>
      <c r="U33" s="722">
        <f>U18+U17</f>
        <v>60.114999999999995</v>
      </c>
      <c r="V33" s="722"/>
      <c r="W33" s="722">
        <f>W18+W17</f>
        <v>80.469999999999985</v>
      </c>
      <c r="X33" s="722">
        <f>X18+X17</f>
        <v>170.38199999999998</v>
      </c>
      <c r="Y33" s="722">
        <f>Y18+Y17</f>
        <v>114.127</v>
      </c>
      <c r="Z33" s="722">
        <f>Z18+Z17</f>
        <v>119.58599999999997</v>
      </c>
      <c r="AA33" s="722"/>
      <c r="AB33" s="722">
        <f>AB18+AB17</f>
        <v>113.15799999999999</v>
      </c>
      <c r="AC33" s="722">
        <f>AC18+AC17</f>
        <v>224.69500000000002</v>
      </c>
      <c r="AD33" s="722">
        <f>AD18+AD17</f>
        <v>145.02700000000002</v>
      </c>
      <c r="AE33" s="722">
        <f>AE18+AE17</f>
        <v>140.083</v>
      </c>
      <c r="AF33" s="722"/>
      <c r="AG33" s="722">
        <f>AG18+AG17</f>
        <v>149.58900000000003</v>
      </c>
      <c r="AH33" s="722">
        <f>AH18+AH17</f>
        <v>270.93599999999998</v>
      </c>
      <c r="AI33" s="722">
        <f>AI18+AI17</f>
        <v>170.08500000000001</v>
      </c>
      <c r="AJ33" s="722">
        <f>AJ18+AJ17</f>
        <v>189.25199999999998</v>
      </c>
      <c r="AK33" s="722"/>
      <c r="AL33" s="722">
        <f>AL18+AL17</f>
        <v>199.48600000000005</v>
      </c>
      <c r="AM33" s="722">
        <f>AM18+AM17</f>
        <v>360.81299999999999</v>
      </c>
      <c r="AN33" s="722">
        <f>AN18+AN17</f>
        <v>247.25199999999995</v>
      </c>
      <c r="AO33" s="722">
        <f>AO18+AO17</f>
        <v>266.678</v>
      </c>
      <c r="AP33" s="722"/>
      <c r="AQ33" s="722">
        <f>AQ18+AQ17</f>
        <v>263.48599999999999</v>
      </c>
      <c r="AR33" s="722">
        <f>AR18+AR17</f>
        <v>427.47400000000005</v>
      </c>
      <c r="AS33" s="722">
        <f>AS18+AS17</f>
        <v>282.50099999999998</v>
      </c>
      <c r="AT33" s="722">
        <f>AT18+AT17</f>
        <v>306.47200000000004</v>
      </c>
      <c r="AU33" s="722"/>
      <c r="AV33" s="722">
        <f>AV18+AV17</f>
        <v>264.17699999999996</v>
      </c>
      <c r="AW33" s="722">
        <f>AW18+AW17</f>
        <v>378.76399999999995</v>
      </c>
      <c r="AX33" s="722">
        <f>AX18+AX17</f>
        <v>229.50799999999998</v>
      </c>
      <c r="AY33" s="722">
        <f>AY18+AY17</f>
        <v>250.87800000000001</v>
      </c>
      <c r="AZ33" s="722"/>
      <c r="BA33" s="722">
        <f>BA18+BA17</f>
        <v>256.62700000000001</v>
      </c>
      <c r="BB33" s="722">
        <f>BB18+BB17</f>
        <v>408.8900000000001</v>
      </c>
      <c r="BC33" s="722">
        <f>BC18+BC17</f>
        <v>281.70000000000005</v>
      </c>
      <c r="BD33" s="722">
        <f>BD18+BD17</f>
        <v>329.69800000000004</v>
      </c>
      <c r="BE33" s="722"/>
      <c r="BF33" s="722">
        <f>BF18+BF17</f>
        <v>317.911</v>
      </c>
      <c r="BG33" s="722">
        <f>BG18+BG17</f>
        <v>484.56300000000016</v>
      </c>
      <c r="BH33" s="722">
        <f>BH18+BH17</f>
        <v>309.88499999999999</v>
      </c>
      <c r="BI33" s="722">
        <f>BI18+BI17</f>
        <v>343.34799999999996</v>
      </c>
      <c r="BJ33" s="722"/>
      <c r="BK33" s="722">
        <f>BK18+BK17</f>
        <v>354.01999999999987</v>
      </c>
      <c r="BL33" s="722">
        <f>BL18+BL17</f>
        <v>554.19899999999984</v>
      </c>
      <c r="BM33" s="722">
        <f>BM18+BM17</f>
        <v>371.14300000000003</v>
      </c>
      <c r="BN33" s="722">
        <f>BN18+BN17</f>
        <v>404.74500000000006</v>
      </c>
      <c r="BO33" s="722"/>
      <c r="BP33" s="722">
        <f>BP18+BP17</f>
        <v>367.82099999999986</v>
      </c>
      <c r="BQ33" s="722">
        <f>BQ18+BQ17</f>
        <v>567.35399999999993</v>
      </c>
      <c r="BR33" s="722">
        <f>BR18+BR17</f>
        <v>387.27799999999991</v>
      </c>
      <c r="BS33" s="722">
        <f>BS18+BS17</f>
        <v>418.27700000000016</v>
      </c>
      <c r="BT33" s="722"/>
      <c r="BU33" s="722">
        <f>BU18+BU17</f>
        <v>366.59799999999996</v>
      </c>
      <c r="BV33" s="722">
        <f>BV18+BV17</f>
        <v>483.91800000000012</v>
      </c>
      <c r="BW33" s="722">
        <f>BW18+BW17</f>
        <v>310.70899999999995</v>
      </c>
      <c r="BX33" s="722">
        <f>BX18+BX17</f>
        <v>279.71599999999989</v>
      </c>
      <c r="BY33" s="722"/>
      <c r="BZ33" s="722">
        <f>BZ18+BZ17</f>
        <v>260.2</v>
      </c>
      <c r="CA33" s="722">
        <f>CA18+CA17</f>
        <v>345.50000000000011</v>
      </c>
      <c r="CB33" s="722">
        <f>CB18+CB17</f>
        <v>193.89999999999998</v>
      </c>
      <c r="CC33" s="722">
        <f>CC18+CC17</f>
        <v>180.70000000000016</v>
      </c>
      <c r="CD33" s="722"/>
      <c r="CE33" s="722">
        <f>CE18+CE17</f>
        <v>219.39999999999989</v>
      </c>
      <c r="CF33" s="722">
        <f>CF18+CF17</f>
        <v>337.69999999999987</v>
      </c>
      <c r="CG33" s="722">
        <f>CG18+CG17</f>
        <v>201.29999999999973</v>
      </c>
      <c r="CH33" s="722">
        <f>CH18+CH17</f>
        <v>228.79999999999984</v>
      </c>
      <c r="CI33" s="722"/>
      <c r="CJ33" s="722">
        <f>CJ18+CJ17</f>
        <v>229.09999999999997</v>
      </c>
      <c r="CK33" s="722">
        <f>CK18+CK17</f>
        <v>342.20000000000016</v>
      </c>
      <c r="CL33" s="722">
        <f>CL18+CL17</f>
        <v>210.5</v>
      </c>
      <c r="CM33" s="722">
        <f>CM18+CM17</f>
        <v>243.62</v>
      </c>
      <c r="CN33" s="722"/>
      <c r="CO33" s="722">
        <f>CO18+CO17</f>
        <v>233.80000000000007</v>
      </c>
      <c r="CP33" s="722">
        <f>CP18+CP17</f>
        <v>476.29999999999995</v>
      </c>
      <c r="CQ33" s="722">
        <f>CQ18+CQ17</f>
        <v>253.65935644600233</v>
      </c>
      <c r="CR33" s="722">
        <f>CR18+CR17</f>
        <v>301.65544130798867</v>
      </c>
      <c r="CS33" s="722"/>
      <c r="CT33" s="1734">
        <f>CT18+CT17</f>
        <v>62.046999999999997</v>
      </c>
      <c r="CU33" s="1734">
        <f t="shared" ref="CU33:DG33" si="18">CU18+CU17</f>
        <v>66.094999999999942</v>
      </c>
      <c r="CV33" s="1734">
        <f t="shared" si="18"/>
        <v>47.796999999999983</v>
      </c>
      <c r="CW33" s="1734">
        <f t="shared" si="18"/>
        <v>48.839000000000027</v>
      </c>
      <c r="CX33" s="1734">
        <f t="shared" si="18"/>
        <v>78.644999999999939</v>
      </c>
      <c r="CY33" s="1735">
        <f t="shared" si="18"/>
        <v>130.38800000000001</v>
      </c>
      <c r="CZ33" s="1735">
        <f t="shared" si="18"/>
        <v>143.27200000000002</v>
      </c>
      <c r="DA33" s="1735">
        <f t="shared" si="18"/>
        <v>248.68000000000006</v>
      </c>
      <c r="DB33" s="1735">
        <f t="shared" si="18"/>
        <v>445.40399999999977</v>
      </c>
      <c r="DC33" s="1734">
        <f t="shared" si="18"/>
        <v>622.96300000000008</v>
      </c>
      <c r="DD33" s="1735">
        <f t="shared" si="18"/>
        <v>779.86199999999985</v>
      </c>
      <c r="DE33" s="1734">
        <f t="shared" si="18"/>
        <v>1074.2289999999998</v>
      </c>
      <c r="DF33" s="1735">
        <f t="shared" si="18"/>
        <v>1279.933</v>
      </c>
      <c r="DG33" s="1734">
        <f t="shared" si="18"/>
        <v>1123.3269999999995</v>
      </c>
      <c r="DH33" s="1735">
        <f t="shared" ref="DH33:DM33" si="19">DH18+DH17</f>
        <v>1276.9149999999997</v>
      </c>
      <c r="DI33" s="1735">
        <f t="shared" si="19"/>
        <v>1455.7080000000003</v>
      </c>
      <c r="DJ33" s="1734">
        <f t="shared" si="19"/>
        <v>1684.1069999999995</v>
      </c>
      <c r="DK33" s="1734">
        <f t="shared" si="19"/>
        <v>1740.7299999999996</v>
      </c>
      <c r="DL33" s="1734">
        <f t="shared" si="19"/>
        <v>1440.9410000000012</v>
      </c>
      <c r="DM33" s="1734">
        <f t="shared" si="19"/>
        <v>980.3</v>
      </c>
      <c r="DN33" s="1734">
        <f t="shared" ref="DN33:DS33" si="20">DN18+DN17</f>
        <v>987.19999999999902</v>
      </c>
      <c r="DO33" s="1734">
        <f t="shared" si="20"/>
        <v>1026.2200000000007</v>
      </c>
      <c r="DP33" s="1734">
        <f t="shared" si="20"/>
        <v>1265.4147977539913</v>
      </c>
      <c r="DQ33" s="1734">
        <f t="shared" si="20"/>
        <v>1347.6930321196101</v>
      </c>
      <c r="DR33" s="1734">
        <f t="shared" si="20"/>
        <v>1395.6510427570615</v>
      </c>
      <c r="DS33" s="1735">
        <f t="shared" si="20"/>
        <v>1444.5403141518987</v>
      </c>
      <c r="DT33" s="1736">
        <f>DT18+DT17</f>
        <v>1512.7991938298662</v>
      </c>
    </row>
    <row r="34" spans="1:124" ht="12.75" hidden="1" customHeight="1" outlineLevel="1">
      <c r="A34" s="1733"/>
      <c r="B34" s="1734"/>
      <c r="C34" s="722"/>
      <c r="D34" s="722"/>
      <c r="E34" s="722"/>
      <c r="F34" s="722"/>
      <c r="G34" s="722"/>
      <c r="H34" s="722"/>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2"/>
      <c r="AL34" s="722"/>
      <c r="AM34" s="722"/>
      <c r="AN34" s="722"/>
      <c r="AO34" s="722"/>
      <c r="AP34" s="722"/>
      <c r="AQ34" s="722"/>
      <c r="AR34" s="722"/>
      <c r="AS34" s="722"/>
      <c r="AT34" s="722"/>
      <c r="AU34" s="722"/>
      <c r="AV34" s="722"/>
      <c r="AW34" s="722"/>
      <c r="AX34" s="722"/>
      <c r="AY34" s="722"/>
      <c r="AZ34" s="722"/>
      <c r="BA34" s="722"/>
      <c r="BB34" s="722"/>
      <c r="BC34" s="722"/>
      <c r="BD34" s="722"/>
      <c r="BE34" s="722"/>
      <c r="BF34" s="722"/>
      <c r="BG34" s="722"/>
      <c r="BH34" s="722"/>
      <c r="BI34" s="722"/>
      <c r="BJ34" s="722"/>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c r="CI34" s="722"/>
      <c r="CJ34" s="722"/>
      <c r="CK34" s="722"/>
      <c r="CL34" s="722"/>
      <c r="CM34" s="722"/>
      <c r="CN34" s="722"/>
      <c r="CO34" s="722"/>
      <c r="CP34" s="722"/>
      <c r="CQ34" s="722"/>
      <c r="CR34" s="722"/>
      <c r="CS34" s="722"/>
      <c r="CT34" s="1734"/>
      <c r="CU34" s="1734"/>
      <c r="CV34" s="1734"/>
      <c r="CW34" s="1734"/>
      <c r="CX34" s="1734"/>
      <c r="CY34" s="1735"/>
      <c r="CZ34" s="1735"/>
      <c r="DA34" s="1735"/>
      <c r="DB34" s="1735"/>
      <c r="DC34" s="1734"/>
      <c r="DD34" s="1735"/>
      <c r="DE34" s="1734"/>
      <c r="DF34" s="1735"/>
      <c r="DG34" s="1734"/>
      <c r="DH34" s="1735"/>
      <c r="DI34" s="1735"/>
      <c r="DJ34" s="1734"/>
      <c r="DK34" s="1734"/>
      <c r="DL34" s="1734"/>
      <c r="DM34" s="1734"/>
      <c r="DN34" s="1734"/>
      <c r="DO34" s="1734"/>
      <c r="DP34" s="1734"/>
      <c r="DQ34" s="1734"/>
      <c r="DR34" s="1734"/>
      <c r="DS34" s="1735"/>
      <c r="DT34" s="1736"/>
    </row>
    <row r="35" spans="1:124" ht="12.75" hidden="1" customHeight="1" outlineLevel="1">
      <c r="A35" s="1733" t="s">
        <v>336</v>
      </c>
      <c r="B35" s="1734"/>
      <c r="C35" s="722"/>
      <c r="D35" s="722"/>
      <c r="E35" s="722"/>
      <c r="F35" s="722"/>
      <c r="G35" s="722"/>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2"/>
      <c r="AW35" s="722"/>
      <c r="AX35" s="722"/>
      <c r="AY35" s="722"/>
      <c r="AZ35" s="722"/>
      <c r="BA35" s="722"/>
      <c r="BB35" s="722"/>
      <c r="BC35" s="722"/>
      <c r="BD35" s="722"/>
      <c r="BE35" s="722"/>
      <c r="BF35" s="722"/>
      <c r="BG35" s="722"/>
      <c r="BH35" s="722"/>
      <c r="BI35" s="722"/>
      <c r="BJ35" s="722"/>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c r="CI35" s="722"/>
      <c r="CJ35" s="722"/>
      <c r="CK35" s="722"/>
      <c r="CL35" s="722"/>
      <c r="CM35" s="722"/>
      <c r="CN35" s="722"/>
      <c r="CO35" s="722"/>
      <c r="CP35" s="722"/>
      <c r="CQ35" s="722"/>
      <c r="CR35" s="722"/>
      <c r="CS35" s="722"/>
      <c r="CT35" s="1734"/>
      <c r="CU35" s="1734"/>
      <c r="CV35" s="1734"/>
      <c r="CW35" s="1734"/>
      <c r="CX35" s="1734"/>
      <c r="CY35" s="1735"/>
      <c r="CZ35" s="1770">
        <f>CZ26/(AVERAGE(bal!R50,bal!P50))</f>
        <v>0.36998066899943732</v>
      </c>
      <c r="DA35" s="1770">
        <f>DA26/(AVERAGE(bal!T50,bal!R50))</f>
        <v>0.38028183359159606</v>
      </c>
      <c r="DB35" s="1770">
        <f>DB26/(AVERAGE(bal!V50,bal!T50))</f>
        <v>0.39355945799547598</v>
      </c>
      <c r="DC35" s="1771">
        <f>DC26/(AVERAGE(bal!X50,bal!V50))</f>
        <v>0.39017607384591291</v>
      </c>
      <c r="DD35" s="1770">
        <f>DD26/(AVERAGE(bal!Z50,bal!X50))</f>
        <v>0.41346595065431019</v>
      </c>
      <c r="DE35" s="1771">
        <f>DE26/(AVERAGE(bal!AB50,bal!Z50))</f>
        <v>0.41078472118248954</v>
      </c>
      <c r="DF35" s="1770">
        <f>DF26/(AVERAGE(bal!AD50,bal!AB50))</f>
        <v>0.43637820008592282</v>
      </c>
      <c r="DG35" s="1771">
        <f>DG26/(AVERAGE(bal!AF50,bal!AD50))</f>
        <v>0.39055905112231043</v>
      </c>
      <c r="DH35" s="1770" t="s">
        <v>606</v>
      </c>
      <c r="DI35" s="1770" t="s">
        <v>606</v>
      </c>
      <c r="DJ35" s="1771" t="s">
        <v>606</v>
      </c>
      <c r="DK35" s="1771" t="s">
        <v>606</v>
      </c>
      <c r="DL35" s="1771" t="s">
        <v>606</v>
      </c>
      <c r="DM35" s="1771" t="s">
        <v>606</v>
      </c>
      <c r="DN35" s="1771" t="s">
        <v>606</v>
      </c>
      <c r="DO35" s="1771" t="s">
        <v>606</v>
      </c>
      <c r="DP35" s="1771" t="s">
        <v>606</v>
      </c>
      <c r="DQ35" s="1771" t="s">
        <v>606</v>
      </c>
      <c r="DR35" s="1771" t="s">
        <v>606</v>
      </c>
      <c r="DS35" s="1770" t="s">
        <v>606</v>
      </c>
      <c r="DT35" s="1772" t="s">
        <v>606</v>
      </c>
    </row>
    <row r="36" spans="1:124" ht="12.75" hidden="1" customHeight="1" outlineLevel="1">
      <c r="A36" s="1733" t="s">
        <v>611</v>
      </c>
      <c r="B36" s="1734"/>
      <c r="C36" s="722"/>
      <c r="D36" s="722"/>
      <c r="E36" s="722"/>
      <c r="F36" s="722"/>
      <c r="G36" s="722"/>
      <c r="H36" s="722"/>
      <c r="I36" s="722"/>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722"/>
      <c r="AK36" s="722"/>
      <c r="AL36" s="722"/>
      <c r="AM36" s="722"/>
      <c r="AN36" s="722"/>
      <c r="AO36" s="722"/>
      <c r="AP36" s="722"/>
      <c r="AQ36" s="722"/>
      <c r="AR36" s="722"/>
      <c r="AS36" s="722"/>
      <c r="AT36" s="722"/>
      <c r="AU36" s="722"/>
      <c r="AV36" s="722"/>
      <c r="AW36" s="722"/>
      <c r="AX36" s="722"/>
      <c r="AY36" s="722"/>
      <c r="AZ36" s="722"/>
      <c r="BA36" s="722"/>
      <c r="BB36" s="722"/>
      <c r="BC36" s="722"/>
      <c r="BD36" s="722"/>
      <c r="BE36" s="722"/>
      <c r="BF36" s="722"/>
      <c r="BG36" s="722"/>
      <c r="BH36" s="722"/>
      <c r="BI36" s="722"/>
      <c r="BJ36" s="722"/>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c r="CI36" s="722"/>
      <c r="CJ36" s="722"/>
      <c r="CK36" s="722"/>
      <c r="CL36" s="722"/>
      <c r="CM36" s="722"/>
      <c r="CN36" s="722"/>
      <c r="CO36" s="722"/>
      <c r="CP36" s="722"/>
      <c r="CQ36" s="722"/>
      <c r="CR36" s="722"/>
      <c r="CS36" s="722"/>
      <c r="CT36" s="1734"/>
      <c r="CU36" s="1734"/>
      <c r="CV36" s="1734"/>
      <c r="CW36" s="1734"/>
      <c r="CX36" s="1734"/>
      <c r="CY36" s="1735"/>
      <c r="CZ36" s="1770">
        <f>CZ18/((bal!R39+bal!R50)+(bal!P39+bal!P50)/2)</f>
        <v>0.34643339324005146</v>
      </c>
      <c r="DA36" s="1770">
        <f>DA18/((bal!T39+bal!T50)+(bal!R39+bal!R50)/2)</f>
        <v>0.38838864644737003</v>
      </c>
      <c r="DB36" s="1770">
        <f>DB18/((bal!V39+bal!V50)+(bal!T39+bal!T50)/2)</f>
        <v>0.4049241811181109</v>
      </c>
      <c r="DC36" s="1771">
        <f>DC18/((bal!X39+bal!X50)+(bal!V39+bal!V50)/2)</f>
        <v>0.39431545760008496</v>
      </c>
      <c r="DD36" s="1770">
        <f>DD18/((bal!Z39+bal!Z50)+(bal!X39+bal!X50)/2)</f>
        <v>0.41520562277038436</v>
      </c>
      <c r="DE36" s="1771">
        <f>DE18/((bal!AB39+bal!AB50)+(bal!Z39+bal!Z50)/2)</f>
        <v>0.39591197926298127</v>
      </c>
      <c r="DF36" s="1770">
        <f>DF18/((bal!AD39+bal!AD50)+(bal!AB39+bal!AB50)/2)</f>
        <v>0.48140353111747008</v>
      </c>
      <c r="DG36" s="1771">
        <f>DG18/((bal!AF39+bal!AF50)+(bal!AD39+bal!AD50)/2)</f>
        <v>0.40538030707270617</v>
      </c>
      <c r="DH36" s="1770" t="s">
        <v>606</v>
      </c>
      <c r="DI36" s="1770" t="s">
        <v>606</v>
      </c>
      <c r="DJ36" s="1771" t="s">
        <v>606</v>
      </c>
      <c r="DK36" s="1771" t="s">
        <v>606</v>
      </c>
      <c r="DL36" s="1771" t="s">
        <v>606</v>
      </c>
      <c r="DM36" s="1771" t="s">
        <v>606</v>
      </c>
      <c r="DN36" s="1771" t="s">
        <v>606</v>
      </c>
      <c r="DO36" s="1771" t="s">
        <v>606</v>
      </c>
      <c r="DP36" s="1771" t="s">
        <v>606</v>
      </c>
      <c r="DQ36" s="1771" t="s">
        <v>606</v>
      </c>
      <c r="DR36" s="1771" t="s">
        <v>606</v>
      </c>
      <c r="DS36" s="1770" t="s">
        <v>606</v>
      </c>
      <c r="DT36" s="1772" t="s">
        <v>606</v>
      </c>
    </row>
    <row r="37" spans="1:124" collapsed="1">
      <c r="A37" s="1686"/>
      <c r="B37" s="1686"/>
      <c r="C37" s="1686"/>
      <c r="D37" s="1686"/>
      <c r="E37" s="1686"/>
      <c r="F37" s="1686"/>
      <c r="G37" s="1686"/>
      <c r="H37" s="1686"/>
      <c r="I37" s="1686"/>
      <c r="J37" s="1686"/>
      <c r="K37" s="1686"/>
      <c r="L37" s="1686"/>
      <c r="M37" s="1686"/>
      <c r="N37" s="1686"/>
      <c r="O37" s="1686"/>
      <c r="P37" s="1686"/>
      <c r="Q37" s="1686"/>
      <c r="R37" s="1686"/>
      <c r="S37" s="1686"/>
      <c r="T37" s="1686"/>
      <c r="U37" s="1686"/>
      <c r="V37" s="1686"/>
      <c r="W37" s="1686"/>
      <c r="X37" s="1686"/>
      <c r="Y37" s="1686"/>
      <c r="Z37" s="1686"/>
      <c r="AA37" s="1686"/>
      <c r="AB37" s="1686"/>
      <c r="AC37" s="1686"/>
      <c r="AD37" s="1686"/>
      <c r="AE37" s="1686"/>
      <c r="AF37" s="1686"/>
      <c r="AG37" s="1686"/>
      <c r="AH37" s="1686"/>
      <c r="AI37" s="1686"/>
      <c r="AJ37" s="1686"/>
      <c r="AK37" s="1686"/>
      <c r="AL37" s="1686"/>
      <c r="AM37" s="1686"/>
      <c r="AN37" s="1686"/>
      <c r="AO37" s="1686"/>
      <c r="AP37" s="1686"/>
      <c r="AQ37" s="1686"/>
      <c r="AR37" s="1686"/>
      <c r="AS37" s="1686"/>
      <c r="AT37" s="1686"/>
      <c r="AU37" s="1686"/>
      <c r="AV37" s="1686"/>
      <c r="AW37" s="1686"/>
      <c r="AX37" s="1686"/>
      <c r="AY37" s="1686"/>
      <c r="AZ37" s="1686"/>
      <c r="BA37" s="1686"/>
      <c r="BB37" s="1686"/>
      <c r="BC37" s="1686"/>
      <c r="BD37" s="1686"/>
      <c r="BE37" s="1686"/>
      <c r="BF37" s="1686"/>
      <c r="BG37" s="1686"/>
      <c r="BH37" s="1686"/>
      <c r="BI37" s="1686"/>
      <c r="BJ37" s="1686"/>
      <c r="BK37" s="1686"/>
      <c r="BL37" s="1686"/>
      <c r="BM37" s="1686"/>
      <c r="BN37" s="1686"/>
      <c r="BO37" s="1686"/>
      <c r="BP37" s="1686"/>
      <c r="BQ37" s="1686"/>
      <c r="BR37" s="1686"/>
      <c r="BS37" s="1686"/>
      <c r="BT37" s="1686"/>
      <c r="BU37" s="1686"/>
      <c r="BV37" s="1686"/>
      <c r="BW37" s="1686"/>
      <c r="BX37" s="1773"/>
      <c r="BY37" s="1686"/>
      <c r="BZ37" s="1686"/>
      <c r="CA37" s="1686"/>
      <c r="CB37" s="1768"/>
      <c r="CC37" s="1686"/>
      <c r="CD37" s="1686"/>
      <c r="CE37" s="1686"/>
      <c r="CF37" s="1686"/>
      <c r="CG37" s="1686"/>
      <c r="CH37" s="1686"/>
      <c r="CI37" s="1686"/>
      <c r="CJ37" s="1686"/>
      <c r="CK37" s="1686"/>
      <c r="CL37" s="1686"/>
      <c r="CM37" s="1686"/>
      <c r="CN37" s="1686"/>
      <c r="CO37" s="1686"/>
      <c r="CP37" s="1686"/>
      <c r="CQ37" s="1686"/>
      <c r="CR37" s="1686"/>
      <c r="CS37" s="1686"/>
      <c r="CT37" s="1690"/>
      <c r="CU37" s="1690"/>
      <c r="CV37" s="1690"/>
      <c r="CW37" s="1690"/>
      <c r="CX37" s="1690"/>
      <c r="CY37" s="1731"/>
      <c r="CZ37" s="1731"/>
      <c r="DA37" s="1731"/>
      <c r="DB37" s="1731"/>
      <c r="DC37" s="1690"/>
      <c r="DD37" s="1731"/>
      <c r="DE37" s="1690"/>
      <c r="DF37" s="1731"/>
      <c r="DG37" s="1690"/>
      <c r="DH37" s="1731"/>
      <c r="DI37" s="1731"/>
      <c r="DJ37" s="1690"/>
      <c r="DK37" s="1690"/>
      <c r="DL37" s="1690"/>
      <c r="DM37" s="1690"/>
      <c r="DN37" s="1690"/>
      <c r="DO37" s="1690"/>
      <c r="DP37" s="1690"/>
      <c r="DQ37" s="1690"/>
      <c r="DR37" s="1690"/>
      <c r="DS37" s="1731"/>
      <c r="DT37" s="1769"/>
    </row>
    <row r="38" spans="1:124">
      <c r="A38" s="1719" t="s">
        <v>96</v>
      </c>
      <c r="B38" s="1686"/>
      <c r="C38" s="1686"/>
      <c r="D38" s="1686"/>
      <c r="E38" s="1686"/>
      <c r="F38" s="1686"/>
      <c r="G38" s="1686"/>
      <c r="H38" s="1686"/>
      <c r="I38" s="1686"/>
      <c r="J38" s="1686"/>
      <c r="K38" s="1686"/>
      <c r="L38" s="1686"/>
      <c r="M38" s="1686"/>
      <c r="N38" s="1686"/>
      <c r="O38" s="1686"/>
      <c r="P38" s="1686"/>
      <c r="Q38" s="1686"/>
      <c r="R38" s="1686"/>
      <c r="S38" s="1686"/>
      <c r="T38" s="1686"/>
      <c r="U38" s="1686"/>
      <c r="V38" s="1686"/>
      <c r="W38" s="1686"/>
      <c r="X38" s="1686"/>
      <c r="Y38" s="1686"/>
      <c r="Z38" s="1686"/>
      <c r="AA38" s="1686"/>
      <c r="AB38" s="1686"/>
      <c r="AC38" s="1686"/>
      <c r="AD38" s="1686"/>
      <c r="AE38" s="1686"/>
      <c r="AF38" s="1686"/>
      <c r="AG38" s="1686"/>
      <c r="AH38" s="1686"/>
      <c r="AI38" s="1686"/>
      <c r="AJ38" s="1686"/>
      <c r="AK38" s="1686"/>
      <c r="AL38" s="1686"/>
      <c r="AM38" s="1686"/>
      <c r="AN38" s="1686"/>
      <c r="AO38" s="1686"/>
      <c r="AP38" s="1686"/>
      <c r="AQ38" s="1686"/>
      <c r="AR38" s="1686"/>
      <c r="AS38" s="1686"/>
      <c r="AT38" s="1686"/>
      <c r="AU38" s="1686"/>
      <c r="AV38" s="1686"/>
      <c r="AW38" s="1686"/>
      <c r="AX38" s="1686"/>
      <c r="AY38" s="1686"/>
      <c r="AZ38" s="1686"/>
      <c r="BA38" s="1686"/>
      <c r="BB38" s="1686"/>
      <c r="BC38" s="1686"/>
      <c r="BD38" s="1686"/>
      <c r="BE38" s="1686"/>
      <c r="BF38" s="1686"/>
      <c r="BG38" s="1686"/>
      <c r="BH38" s="1686"/>
      <c r="BI38" s="1686"/>
      <c r="BJ38" s="1686"/>
      <c r="BK38" s="1686"/>
      <c r="BL38" s="1686"/>
      <c r="BM38" s="1686"/>
      <c r="BN38" s="1686"/>
      <c r="BO38" s="1686"/>
      <c r="BP38" s="1686"/>
      <c r="BQ38" s="1686"/>
      <c r="BR38" s="1686"/>
      <c r="BS38" s="1774"/>
      <c r="BT38" s="1686"/>
      <c r="BU38" s="1686"/>
      <c r="BV38" s="1775"/>
      <c r="BW38" s="1776"/>
      <c r="BX38" s="1777"/>
      <c r="BY38" s="1733"/>
      <c r="BZ38" s="1686"/>
      <c r="CA38" s="1775"/>
      <c r="CB38" s="1775"/>
      <c r="CC38" s="1775"/>
      <c r="CD38" s="1775"/>
      <c r="CE38" s="1686"/>
      <c r="CF38" s="1775"/>
      <c r="CG38" s="1775"/>
      <c r="CH38" s="1775"/>
      <c r="CI38" s="1775"/>
      <c r="CJ38" s="1686"/>
      <c r="CK38" s="1775"/>
      <c r="CL38" s="1775"/>
      <c r="CM38" s="1775"/>
      <c r="CN38" s="1775"/>
      <c r="CO38" s="1775"/>
      <c r="CP38" s="1775"/>
      <c r="CQ38" s="1775"/>
      <c r="CR38" s="1775"/>
      <c r="CS38" s="1686"/>
      <c r="CT38" s="1690"/>
      <c r="CU38" s="1690"/>
      <c r="CV38" s="1690"/>
      <c r="CW38" s="1690"/>
      <c r="CX38" s="1690"/>
      <c r="CY38" s="1731"/>
      <c r="CZ38" s="1731"/>
      <c r="DA38" s="1731"/>
      <c r="DB38" s="1731"/>
      <c r="DC38" s="1778"/>
      <c r="DD38" s="1731"/>
      <c r="DE38" s="1690"/>
      <c r="DF38" s="1779"/>
      <c r="DG38" s="1780"/>
      <c r="DH38" s="1731"/>
      <c r="DI38" s="1731"/>
      <c r="DJ38" s="1690"/>
      <c r="DK38" s="1690"/>
      <c r="DL38" s="1690"/>
      <c r="DM38" s="1690"/>
      <c r="DN38" s="1781"/>
      <c r="DO38" s="1690"/>
      <c r="DP38" s="1690"/>
      <c r="DQ38" s="1690"/>
      <c r="DR38" s="1690"/>
      <c r="DS38" s="1731"/>
      <c r="DT38" s="1769"/>
    </row>
    <row r="39" spans="1:124">
      <c r="A39" s="1749" t="s">
        <v>97</v>
      </c>
      <c r="B39" s="1782"/>
      <c r="C39" s="1783">
        <f>C14/C10</f>
        <v>0.53633760336180025</v>
      </c>
      <c r="D39" s="1783">
        <f>D14/D10</f>
        <v>0.62065750432704192</v>
      </c>
      <c r="E39" s="1783">
        <f>E14/E10</f>
        <v>0.61037437430478303</v>
      </c>
      <c r="F39" s="1783">
        <f>F14/F10</f>
        <v>0.61472971418240385</v>
      </c>
      <c r="G39" s="1783"/>
      <c r="H39" s="1783">
        <f>H14/H10</f>
        <v>0.62307312065097542</v>
      </c>
      <c r="I39" s="1783">
        <f>I14/I10</f>
        <v>0.64864378186780902</v>
      </c>
      <c r="J39" s="1783">
        <f>J14/J10</f>
        <v>0.63988099972954493</v>
      </c>
      <c r="K39" s="1783">
        <f>K14/K10</f>
        <v>0.6255311748604957</v>
      </c>
      <c r="L39" s="1782"/>
      <c r="M39" s="1783">
        <f>M14/M10</f>
        <v>0.64080768669294363</v>
      </c>
      <c r="N39" s="1783">
        <f>N14/N10</f>
        <v>0.68554825026511135</v>
      </c>
      <c r="O39" s="1783">
        <f>O14/O10</f>
        <v>0.68766053314022935</v>
      </c>
      <c r="P39" s="1783">
        <f>P14/P10</f>
        <v>0.66557941416734734</v>
      </c>
      <c r="Q39" s="1782"/>
      <c r="R39" s="1783">
        <f>R14/R10</f>
        <v>0.68065417991503752</v>
      </c>
      <c r="S39" s="1783">
        <f>S14/S10</f>
        <v>0.70283901038172203</v>
      </c>
      <c r="T39" s="1783">
        <f>T14/T10</f>
        <v>0.72509029201981889</v>
      </c>
      <c r="U39" s="1783">
        <f>U14/U10</f>
        <v>0.73237270858169623</v>
      </c>
      <c r="V39" s="1782"/>
      <c r="W39" s="1783">
        <f>W14/W10</f>
        <v>0.7272723754233188</v>
      </c>
      <c r="X39" s="1783">
        <f>X14/X10</f>
        <v>0.74151484886261188</v>
      </c>
      <c r="Y39" s="1783">
        <f>Y14/Y10</f>
        <v>0.75866331494571559</v>
      </c>
      <c r="Z39" s="1783">
        <f>Z14/Z10</f>
        <v>0.76746070472726191</v>
      </c>
      <c r="AA39" s="1782"/>
      <c r="AB39" s="1783">
        <f>AB14/AB10</f>
        <v>0.750364030052461</v>
      </c>
      <c r="AC39" s="1783">
        <f>AC14/AC10</f>
        <v>0.75780193659157624</v>
      </c>
      <c r="AD39" s="1783">
        <f>AD14/AD10</f>
        <v>0.7805784021214649</v>
      </c>
      <c r="AE39" s="1783">
        <f>AE14/AE10</f>
        <v>0.77618114938135963</v>
      </c>
      <c r="AF39" s="1782"/>
      <c r="AG39" s="1783">
        <f>AG14/AG10</f>
        <v>0.76059907834101392</v>
      </c>
      <c r="AH39" s="1783">
        <f>AH14/AH10</f>
        <v>0.77734753146176183</v>
      </c>
      <c r="AI39" s="1783">
        <f>AI14/AI10</f>
        <v>0.78420863924222151</v>
      </c>
      <c r="AJ39" s="1783">
        <f>AJ14/AJ10</f>
        <v>0.7845697435866763</v>
      </c>
      <c r="AK39" s="1782"/>
      <c r="AL39" s="1783">
        <f>AL14/AL10</f>
        <v>0.76688495545133273</v>
      </c>
      <c r="AM39" s="1783">
        <f>AM14/AM10</f>
        <v>0.77121733657893532</v>
      </c>
      <c r="AN39" s="1783">
        <f>AN14/AN10</f>
        <v>0.77787888431688312</v>
      </c>
      <c r="AO39" s="1783">
        <f>AO14/AO10</f>
        <v>0.78094364765253499</v>
      </c>
      <c r="AP39" s="1782"/>
      <c r="AQ39" s="1783">
        <f>AQ14/AQ10</f>
        <v>0.76578574827328372</v>
      </c>
      <c r="AR39" s="1783">
        <f>AR14/AR10</f>
        <v>0.75384374709233071</v>
      </c>
      <c r="AS39" s="1783">
        <f>AS14/AS10</f>
        <v>0.74990127894138781</v>
      </c>
      <c r="AT39" s="1783">
        <f>AT14/AT10</f>
        <v>0.75917082533589253</v>
      </c>
      <c r="AU39" s="1782"/>
      <c r="AV39" s="1783">
        <f>AV14/AV10</f>
        <v>0.74175613165738463</v>
      </c>
      <c r="AW39" s="1783">
        <f>AW14/AW10</f>
        <v>0.72067865235937079</v>
      </c>
      <c r="AX39" s="1783">
        <f>AX14/AX10</f>
        <v>0.7096030889032745</v>
      </c>
      <c r="AY39" s="1783">
        <f>AY14/AY10</f>
        <v>0.70372513320578489</v>
      </c>
      <c r="AZ39" s="1782"/>
      <c r="BA39" s="1783">
        <f>BA14/BA10</f>
        <v>0.72255222690780718</v>
      </c>
      <c r="BB39" s="1783">
        <f>BB14/BB10</f>
        <v>0.72388298646485227</v>
      </c>
      <c r="BC39" s="1783">
        <f>BC14/BC10</f>
        <v>0.74105931484141108</v>
      </c>
      <c r="BD39" s="1783">
        <f>BD14/BD10</f>
        <v>0.73327792535703962</v>
      </c>
      <c r="BE39" s="1782"/>
      <c r="BF39" s="1783">
        <f>BF14/BF10</f>
        <v>0.74168475619989283</v>
      </c>
      <c r="BG39" s="1783">
        <f>BG14/BG10</f>
        <v>0.72376996608030175</v>
      </c>
      <c r="BH39" s="1783">
        <f>BH14/BH10</f>
        <v>0.72751723456042139</v>
      </c>
      <c r="BI39" s="1783">
        <f>BI14/BI10</f>
        <v>0.71780260256379191</v>
      </c>
      <c r="BJ39" s="1782"/>
      <c r="BK39" s="1783">
        <f>BK14/BK10</f>
        <v>0.72799204843296428</v>
      </c>
      <c r="BL39" s="1783">
        <f>BL14/BL10</f>
        <v>0.72150741829111109</v>
      </c>
      <c r="BM39" s="1783">
        <f>BM14/BM10</f>
        <v>0.73767449577585187</v>
      </c>
      <c r="BN39" s="1783">
        <f>BN14/BN10</f>
        <v>0.72554841580310103</v>
      </c>
      <c r="BO39" s="1782"/>
      <c r="BP39" s="1783">
        <f>BP14/BP10</f>
        <v>0.72774615748912896</v>
      </c>
      <c r="BQ39" s="1783">
        <f>BQ14/BQ10</f>
        <v>0.72177202159367027</v>
      </c>
      <c r="BR39" s="1783">
        <f>BR14/BR10</f>
        <v>0.74116226471019164</v>
      </c>
      <c r="BS39" s="1783">
        <f>BS14/BS10</f>
        <v>0.72971191342353892</v>
      </c>
      <c r="BT39" s="1782"/>
      <c r="BU39" s="1783">
        <f>BU14/BU10</f>
        <v>0.71828443811046616</v>
      </c>
      <c r="BV39" s="1783">
        <f>BV14/BV10</f>
        <v>0.69221075439693891</v>
      </c>
      <c r="BW39" s="1783">
        <f>BW14/BW10</f>
        <v>0.71054976873955322</v>
      </c>
      <c r="BX39" s="1783">
        <f>BX14/BX10</f>
        <v>0.69402648792131072</v>
      </c>
      <c r="BY39" s="1783"/>
      <c r="BZ39" s="1783">
        <f>BZ14/BZ10</f>
        <v>0.69252984212552948</v>
      </c>
      <c r="CA39" s="1783">
        <f>CA14/CA10</f>
        <v>0.68968345087748073</v>
      </c>
      <c r="CB39" s="1783">
        <f>CB14/CB10</f>
        <v>0.71613042074679867</v>
      </c>
      <c r="CC39" s="1783">
        <f>CC14/CC10</f>
        <v>0.6895727517179564</v>
      </c>
      <c r="CD39" s="1783"/>
      <c r="CE39" s="1783">
        <f>CE14/CE10</f>
        <v>0.67689022614772387</v>
      </c>
      <c r="CF39" s="1783">
        <f>CF14/CF10</f>
        <v>0.67443868739205526</v>
      </c>
      <c r="CG39" s="1783">
        <f>CG14/CG10</f>
        <v>0.69015584164166099</v>
      </c>
      <c r="CH39" s="1783">
        <f>CH14/CH10</f>
        <v>0.67807032738610773</v>
      </c>
      <c r="CI39" s="1783"/>
      <c r="CJ39" s="1783">
        <f>CJ14/CJ10</f>
        <v>0.68918658442559755</v>
      </c>
      <c r="CK39" s="1783">
        <f>CK14/CK10</f>
        <v>0.68578346069456009</v>
      </c>
      <c r="CL39" s="1783">
        <f>CL14/CL10</f>
        <v>0.70910369774919613</v>
      </c>
      <c r="CM39" s="1783">
        <f>CM14/CM10</f>
        <v>0.66750749691303579</v>
      </c>
      <c r="CN39" s="1783"/>
      <c r="CO39" s="1783">
        <f>CO14/CO10</f>
        <v>0.66164946853906437</v>
      </c>
      <c r="CP39" s="1783">
        <f>CP14/CP10</f>
        <v>0.6699159663865546</v>
      </c>
      <c r="CQ39" s="1783">
        <f>CQ14/CQ10</f>
        <v>0.70200000000000007</v>
      </c>
      <c r="CR39" s="1783">
        <f>CR14/CR10</f>
        <v>0.66299999999999992</v>
      </c>
      <c r="CS39" s="1782"/>
      <c r="CT39" s="1771">
        <f>CT14/CT10</f>
        <v>0.58650333076495431</v>
      </c>
      <c r="CU39" s="1771">
        <f>CU14/CU10</f>
        <v>0.57975520295503413</v>
      </c>
      <c r="CV39" s="1771">
        <f>CV14/CV10</f>
        <v>0.54172966346574825</v>
      </c>
      <c r="CW39" s="1771">
        <f>CW14/CW10</f>
        <v>0.5484724839503019</v>
      </c>
      <c r="CX39" s="1771">
        <f t="shared" ref="CX39:DE39" si="21">CX14/CX10</f>
        <v>0.59905668970593051</v>
      </c>
      <c r="CY39" s="1770">
        <f t="shared" si="21"/>
        <v>0.63611944225642014</v>
      </c>
      <c r="CZ39" s="1770">
        <f t="shared" si="21"/>
        <v>0.67189322257482942</v>
      </c>
      <c r="DA39" s="1770">
        <f t="shared" si="21"/>
        <v>0.71066987262202252</v>
      </c>
      <c r="DB39" s="1770">
        <f t="shared" si="21"/>
        <v>0.74943418620458913</v>
      </c>
      <c r="DC39" s="1771">
        <f t="shared" si="21"/>
        <v>0.76634317943573027</v>
      </c>
      <c r="DD39" s="1770">
        <f t="shared" si="21"/>
        <v>0.77717310921231531</v>
      </c>
      <c r="DE39" s="1771">
        <f t="shared" si="21"/>
        <v>0.77436175001607677</v>
      </c>
      <c r="DF39" s="1770">
        <f t="shared" ref="DF39:DK39" si="22">DF14/DF10</f>
        <v>0.75677047948019927</v>
      </c>
      <c r="DG39" s="1771">
        <f t="shared" si="22"/>
        <v>0.71897013064360948</v>
      </c>
      <c r="DH39" s="1770">
        <f t="shared" si="22"/>
        <v>0.73003235359664886</v>
      </c>
      <c r="DI39" s="1770">
        <f t="shared" si="22"/>
        <v>0.72707368293476482</v>
      </c>
      <c r="DJ39" s="1771">
        <f t="shared" si="22"/>
        <v>0.72768150689245414</v>
      </c>
      <c r="DK39" s="1771">
        <f t="shared" si="22"/>
        <v>0.72958885918126481</v>
      </c>
      <c r="DL39" s="1771">
        <f t="shared" ref="DL39:DR39" si="23">DL14/DL10</f>
        <v>0.7030786733707487</v>
      </c>
      <c r="DM39" s="1771">
        <f t="shared" si="23"/>
        <v>0.69622578490313958</v>
      </c>
      <c r="DN39" s="1771">
        <f t="shared" si="23"/>
        <v>0.67954940113094964</v>
      </c>
      <c r="DO39" s="1771">
        <f t="shared" si="23"/>
        <v>0.68712430096027455</v>
      </c>
      <c r="DP39" s="1771">
        <f t="shared" si="23"/>
        <v>0.67355116324138897</v>
      </c>
      <c r="DQ39" s="1771">
        <f t="shared" si="23"/>
        <v>0.6724</v>
      </c>
      <c r="DR39" s="1771">
        <f t="shared" si="23"/>
        <v>0.67390000000000005</v>
      </c>
      <c r="DS39" s="1770">
        <f>DS14/DS10</f>
        <v>0.67470000000000008</v>
      </c>
      <c r="DT39" s="1772">
        <f>DT14/DT10</f>
        <v>0.67679999999999985</v>
      </c>
    </row>
    <row r="40" spans="1:124">
      <c r="A40" s="1749" t="s">
        <v>98</v>
      </c>
      <c r="B40" s="1764"/>
      <c r="C40" s="1783">
        <f>(C15/C10)</f>
        <v>0.51050562559305956</v>
      </c>
      <c r="D40" s="1783">
        <f>(D15/D10)</f>
        <v>0.41037871919558233</v>
      </c>
      <c r="E40" s="1783">
        <f>(E15/E10)</f>
        <v>0.57153781979977747</v>
      </c>
      <c r="F40" s="1783">
        <f>(F15/F10)</f>
        <v>0.55163289121180747</v>
      </c>
      <c r="G40" s="1783"/>
      <c r="H40" s="1783">
        <f>(H15/H10)</f>
        <v>0.49575269021635798</v>
      </c>
      <c r="I40" s="1783">
        <f>(I15/I10)</f>
        <v>0.3562086547756696</v>
      </c>
      <c r="J40" s="1783">
        <f>(J15/J10)</f>
        <v>0.5415387307698426</v>
      </c>
      <c r="K40" s="1783">
        <f>(K15/K10)</f>
        <v>0.50878612367111775</v>
      </c>
      <c r="L40" s="1782"/>
      <c r="M40" s="1783">
        <f>(M15/M10)</f>
        <v>0.51161232100436627</v>
      </c>
      <c r="N40" s="1783">
        <f>(N15/N10)</f>
        <v>0.38887380699893959</v>
      </c>
      <c r="O40" s="1783">
        <f>(O15/O10)</f>
        <v>0.54080868472683841</v>
      </c>
      <c r="P40" s="1783">
        <f>(P15/P10)</f>
        <v>0.52629828451394567</v>
      </c>
      <c r="Q40" s="1782"/>
      <c r="R40" s="1783">
        <f>(R15/R10)</f>
        <v>0.48558283322354262</v>
      </c>
      <c r="S40" s="1783">
        <f>(S15/S10)</f>
        <v>0.37028681816266534</v>
      </c>
      <c r="T40" s="1783">
        <f>(T15/T10)</f>
        <v>0.48576199205067244</v>
      </c>
      <c r="U40" s="1783">
        <f>(U15/U10)</f>
        <v>0.51291919348986681</v>
      </c>
      <c r="V40" s="1782"/>
      <c r="W40" s="1783">
        <f>(W15/W10)</f>
        <v>0.45005902273826803</v>
      </c>
      <c r="X40" s="1783">
        <f>(X15/X10)</f>
        <v>0.3509949867926408</v>
      </c>
      <c r="Y40" s="1783">
        <f>(Y15/Y10)</f>
        <v>0.43647328258904472</v>
      </c>
      <c r="Z40" s="1783">
        <f>(Z15/Z10)</f>
        <v>0.43840955802983933</v>
      </c>
      <c r="AA40" s="1782"/>
      <c r="AB40" s="1783">
        <f>(AB15/AB10)</f>
        <v>0.45810239344309939</v>
      </c>
      <c r="AC40" s="1783">
        <f>(AC15/AC10)</f>
        <v>0.36008417346956045</v>
      </c>
      <c r="AD40" s="1783">
        <f>(AD15/AD10)</f>
        <v>0.46241636393798125</v>
      </c>
      <c r="AE40" s="1783">
        <f>(AE15/AE10)</f>
        <v>0.4700138537237854</v>
      </c>
      <c r="AF40" s="1782"/>
      <c r="AG40" s="1783">
        <f>(AG15/AG10)</f>
        <v>0.44815668202764974</v>
      </c>
      <c r="AH40" s="1783">
        <f>(AH15/AH10)</f>
        <v>0.36866731203614073</v>
      </c>
      <c r="AI40" s="1783">
        <f>(AI15/AI10)</f>
        <v>0.46386210231844538</v>
      </c>
      <c r="AJ40" s="1783">
        <f>(AJ15/AJ10)</f>
        <v>0.44130764614522716</v>
      </c>
      <c r="AK40" s="1782"/>
      <c r="AL40" s="1783">
        <f>(AL15/AL10)</f>
        <v>0.42565557467497506</v>
      </c>
      <c r="AM40" s="1783">
        <f>(AM15/AM10)</f>
        <v>0.34828569407015614</v>
      </c>
      <c r="AN40" s="1783">
        <f>(AN15/AN10)</f>
        <v>0.41545138916653207</v>
      </c>
      <c r="AO40" s="1783">
        <f>(AO15/AO10)</f>
        <v>0.40463619927959038</v>
      </c>
      <c r="AP40" s="1782"/>
      <c r="AQ40" s="1783">
        <f>(AQ15/AQ10)</f>
        <v>0.41296817876870429</v>
      </c>
      <c r="AR40" s="1783">
        <f>(AR15/AR10)</f>
        <v>0.34172105392851043</v>
      </c>
      <c r="AS40" s="1783">
        <f>(AS15/AS10)</f>
        <v>0.40512704795828725</v>
      </c>
      <c r="AT40" s="1783">
        <f>(AT15/AT10)</f>
        <v>0.39996928982725533</v>
      </c>
      <c r="AU40" s="1782"/>
      <c r="AV40" s="1783">
        <f>(AV15/AV10)</f>
        <v>0.43148769017539523</v>
      </c>
      <c r="AW40" s="1783">
        <f>(AW15/AW10)</f>
        <v>0.35789726906158359</v>
      </c>
      <c r="AX40" s="1783">
        <f>(AX15/AX10)</f>
        <v>0.44096337671078295</v>
      </c>
      <c r="AY40" s="1783">
        <f>(AY15/AY10)</f>
        <v>0.42125815178259163</v>
      </c>
      <c r="AZ40" s="1782"/>
      <c r="BA40" s="1783">
        <f>(BA15/BA10)</f>
        <v>0.42936053803532004</v>
      </c>
      <c r="BB40" s="1783">
        <f>(BB15/BB10)</f>
        <v>0.3662912380693048</v>
      </c>
      <c r="BC40" s="1783">
        <f>(BC15/BC10)</f>
        <v>0.44115405775344929</v>
      </c>
      <c r="BD40" s="1783">
        <f>(BD15/BD10)</f>
        <v>0.4208558428237027</v>
      </c>
      <c r="BE40" s="1782"/>
      <c r="BF40" s="1783">
        <f>(BF15/BF10)</f>
        <v>0.4283473497508416</v>
      </c>
      <c r="BG40" s="1783">
        <f>(BG15/BG10)</f>
        <v>0.36524848215479055</v>
      </c>
      <c r="BH40" s="1783">
        <f>(BH15/BH10)</f>
        <v>0.43350941300465123</v>
      </c>
      <c r="BI40" s="1783">
        <f>(BI15/BI10)</f>
        <v>0.41529260668330631</v>
      </c>
      <c r="BJ40" s="1782"/>
      <c r="BK40" s="1783">
        <f>(BK15/BK10)</f>
        <v>0.42146256660817877</v>
      </c>
      <c r="BL40" s="1783">
        <f>(BL15/BL10)</f>
        <v>0.36174394211434241</v>
      </c>
      <c r="BM40" s="1783">
        <f>(BM15/BM10)</f>
        <v>0.43334827197219788</v>
      </c>
      <c r="BN40" s="1783">
        <f>(BN15/BN10)</f>
        <v>0.40476250247794515</v>
      </c>
      <c r="BO40" s="1782"/>
      <c r="BP40" s="1783">
        <f>(BP15/BP10)</f>
        <v>0.44211564127954539</v>
      </c>
      <c r="BQ40" s="1783">
        <f>(BQ15/BQ10)</f>
        <v>0.37160171674733039</v>
      </c>
      <c r="BR40" s="1783">
        <f>(BR15/BR10)</f>
        <v>0.44771375017051518</v>
      </c>
      <c r="BS40" s="1783">
        <f>(BS15/BS10)</f>
        <v>0.42631807951006295</v>
      </c>
      <c r="BT40" s="1782"/>
      <c r="BU40" s="1783">
        <f>(BU15/BU10)</f>
        <v>0.438787410059439</v>
      </c>
      <c r="BV40" s="1783">
        <f>(BV15/BV10)</f>
        <v>0.38512732949006212</v>
      </c>
      <c r="BW40" s="1783">
        <f>(BW15/BW10)</f>
        <v>0.4716421765218356</v>
      </c>
      <c r="BX40" s="1783">
        <f>(BX15/BX10)</f>
        <v>0.49046044062044547</v>
      </c>
      <c r="BY40" s="1783"/>
      <c r="BZ40" s="1783">
        <f>(BZ15/BZ10)</f>
        <v>0.48373122834039278</v>
      </c>
      <c r="CA40" s="1783">
        <f>(CA15/CA10)</f>
        <v>0.44448089224208626</v>
      </c>
      <c r="CB40" s="1783">
        <f>(CB15/CB10)</f>
        <v>0.55848488109329608</v>
      </c>
      <c r="CC40" s="1783">
        <f>(CC15/CC10)</f>
        <v>0.56398765063240708</v>
      </c>
      <c r="CD40" s="1783"/>
      <c r="CE40" s="1783">
        <f>(CE15/CE10)</f>
        <v>0.51674269630204794</v>
      </c>
      <c r="CF40" s="1783">
        <f>(CF15/CF10)</f>
        <v>0.45069869681268648</v>
      </c>
      <c r="CG40" s="1783">
        <f>(CG15/CG10)</f>
        <v>0.54321943664698502</v>
      </c>
      <c r="CH40" s="1783">
        <f>(CH15/CH10)</f>
        <v>0.52667590507535078</v>
      </c>
      <c r="CI40" s="1783"/>
      <c r="CJ40" s="1783">
        <f>(CJ15/CJ10)</f>
        <v>0.51879336931380104</v>
      </c>
      <c r="CK40" s="1783">
        <f>(CK15/CK10)</f>
        <v>0.46311568434591804</v>
      </c>
      <c r="CL40" s="1783">
        <f>(CL15/CL10)</f>
        <v>0.546322347266881</v>
      </c>
      <c r="CM40" s="1783">
        <f>(CM15/CM10)</f>
        <v>0.50917269359675421</v>
      </c>
      <c r="CN40" s="1783"/>
      <c r="CO40" s="1783">
        <f>(CO15/CO10)</f>
        <v>0.5306850803010319</v>
      </c>
      <c r="CP40" s="1783">
        <f>(CP15/CP10)</f>
        <v>0.43949579831932772</v>
      </c>
      <c r="CQ40" s="1783">
        <f>(CQ15/CQ10)</f>
        <v>0.5575</v>
      </c>
      <c r="CR40" s="1783">
        <f>(CR15/CR10)</f>
        <v>0.51200000000000001</v>
      </c>
      <c r="CS40" s="1782"/>
      <c r="CT40" s="1771">
        <f>(CT15/CT10)</f>
        <v>0.46547025719552521</v>
      </c>
      <c r="CU40" s="1771">
        <f>(CU15/CU10)</f>
        <v>0.49783109966208094</v>
      </c>
      <c r="CV40" s="1771">
        <f>(CV15/CV10)</f>
        <v>0.49305819055680417</v>
      </c>
      <c r="CW40" s="1771">
        <f>(CW15/CW10)</f>
        <v>0.49540667220288093</v>
      </c>
      <c r="CX40" s="1771">
        <f t="shared" ref="CX40:DE40" si="24">(CX15/CX10)</f>
        <v>0.49700683890854375</v>
      </c>
      <c r="CY40" s="1770">
        <f t="shared" si="24"/>
        <v>0.4591692464999475</v>
      </c>
      <c r="CZ40" s="1770">
        <f t="shared" si="24"/>
        <v>0.50817691891749128</v>
      </c>
      <c r="DA40" s="1770">
        <f t="shared" si="24"/>
        <v>0.48150176348525953</v>
      </c>
      <c r="DB40" s="1770">
        <f t="shared" si="24"/>
        <v>0.4426427553882884</v>
      </c>
      <c r="DC40" s="1771">
        <f t="shared" si="24"/>
        <v>0.43159382211300945</v>
      </c>
      <c r="DD40" s="1770">
        <f t="shared" si="24"/>
        <v>0.42596178745815305</v>
      </c>
      <c r="DE40" s="1771">
        <f t="shared" si="24"/>
        <v>0.39410769023478293</v>
      </c>
      <c r="DF40" s="1770">
        <f t="shared" ref="DF40:DK40" si="25">(DF15/DF10)</f>
        <v>0.38603200433104445</v>
      </c>
      <c r="DG40" s="1771">
        <f t="shared" si="25"/>
        <v>0.40932056903210312</v>
      </c>
      <c r="DH40" s="1770">
        <f t="shared" si="25"/>
        <v>0.41121665267782004</v>
      </c>
      <c r="DI40" s="1770">
        <f t="shared" si="25"/>
        <v>0.40710259715806663</v>
      </c>
      <c r="DJ40" s="1771">
        <f t="shared" si="25"/>
        <v>0.4020171398099589</v>
      </c>
      <c r="DK40" s="1771">
        <f t="shared" si="25"/>
        <v>0.4187274278429835</v>
      </c>
      <c r="DL40" s="1771">
        <f t="shared" ref="DL40:DR40" si="26">(DL15/DL10)</f>
        <v>0.44267040293153076</v>
      </c>
      <c r="DM40" s="1771">
        <f t="shared" si="26"/>
        <v>0.50811146101727267</v>
      </c>
      <c r="DN40" s="1771">
        <f t="shared" si="26"/>
        <v>0.50665657420187915</v>
      </c>
      <c r="DO40" s="1771">
        <f t="shared" si="26"/>
        <v>0.50607134104226537</v>
      </c>
      <c r="DP40" s="1771">
        <f t="shared" si="26"/>
        <v>0.50412266078012358</v>
      </c>
      <c r="DQ40" s="1771">
        <f t="shared" si="26"/>
        <v>0.496</v>
      </c>
      <c r="DR40" s="1771">
        <f t="shared" si="26"/>
        <v>0.49600000000000005</v>
      </c>
      <c r="DS40" s="1770">
        <f>(DS15/DS10)</f>
        <v>0.49540000000000001</v>
      </c>
      <c r="DT40" s="1772">
        <f>(DT15/DT10)</f>
        <v>0.49339999999999995</v>
      </c>
    </row>
    <row r="41" spans="1:124">
      <c r="A41" s="1749" t="s">
        <v>49</v>
      </c>
      <c r="B41" s="1764"/>
      <c r="C41" s="1783">
        <f>(C18/C10)</f>
        <v>2.5831977768740678E-2</v>
      </c>
      <c r="D41" s="1783">
        <f>(D18/D10)</f>
        <v>0.21027878513145959</v>
      </c>
      <c r="E41" s="1783">
        <f>(E18/E10)</f>
        <v>3.8836554505005512E-2</v>
      </c>
      <c r="F41" s="1783">
        <f>(F18/F10)</f>
        <v>6.3096822970596433E-2</v>
      </c>
      <c r="G41" s="1783"/>
      <c r="H41" s="1783">
        <f>(H18/H10)</f>
        <v>0.12732043043461741</v>
      </c>
      <c r="I41" s="1783">
        <f>(I18/I10)</f>
        <v>0.29243512709213948</v>
      </c>
      <c r="J41" s="1783">
        <f>(J18/J10)</f>
        <v>9.8342268959702286E-2</v>
      </c>
      <c r="K41" s="1783">
        <f>(K18/K10)</f>
        <v>0.1167450511893779</v>
      </c>
      <c r="L41" s="1782"/>
      <c r="M41" s="1783">
        <f>(M18/M10)</f>
        <v>0.12919536568857745</v>
      </c>
      <c r="N41" s="1783">
        <f>(N18/N10)</f>
        <v>0.29667444326617176</v>
      </c>
      <c r="O41" s="1783">
        <f>(O18/O10)</f>
        <v>0.14685184841339097</v>
      </c>
      <c r="P41" s="1783">
        <f>(P18/P10)</f>
        <v>0.13928112965340175</v>
      </c>
      <c r="Q41" s="1782"/>
      <c r="R41" s="1783">
        <f>(R18/R10)</f>
        <v>0.1950713466914949</v>
      </c>
      <c r="S41" s="1783">
        <f>(S18/S10)</f>
        <v>0.33255219221905669</v>
      </c>
      <c r="T41" s="1783">
        <f>(T18/T10)</f>
        <v>0.2393282999691464</v>
      </c>
      <c r="U41" s="1783">
        <f>(U18/U10)</f>
        <v>0.21945351509182948</v>
      </c>
      <c r="V41" s="1782"/>
      <c r="W41" s="1783">
        <f>(W18/W10)</f>
        <v>0.27721335268505076</v>
      </c>
      <c r="X41" s="1783">
        <f>(X18/X10)</f>
        <v>0.39051986206997102</v>
      </c>
      <c r="Y41" s="1783">
        <f>(Y18/Y10)</f>
        <v>0.32219003235667082</v>
      </c>
      <c r="Z41" s="1783">
        <f>(Z18/Z10)</f>
        <v>0.32905114669742264</v>
      </c>
      <c r="AA41" s="1782"/>
      <c r="AB41" s="1783">
        <f>(AB18/AB10)</f>
        <v>0.29226163660936155</v>
      </c>
      <c r="AC41" s="1783">
        <f>(AC18/AC10)</f>
        <v>0.39771776312201579</v>
      </c>
      <c r="AD41" s="1783">
        <f>(AD18/AD10)</f>
        <v>0.31816203818348365</v>
      </c>
      <c r="AE41" s="1783">
        <f>(AE18/AE10)</f>
        <v>0.30616729565757417</v>
      </c>
      <c r="AF41" s="1782"/>
      <c r="AG41" s="1783">
        <f>(AG18/AG10)</f>
        <v>0.31244239631336412</v>
      </c>
      <c r="AH41" s="1783">
        <f>(AH18/AH10)</f>
        <v>0.40868021942562111</v>
      </c>
      <c r="AI41" s="1783">
        <f>(AI18/AI10)</f>
        <v>0.32034653692377607</v>
      </c>
      <c r="AJ41" s="1783">
        <f>(AJ18/AJ10)</f>
        <v>0.3432620974414492</v>
      </c>
      <c r="AK41" s="1782"/>
      <c r="AL41" s="1783">
        <f>(AL18/AL10)</f>
        <v>0.34122938077635762</v>
      </c>
      <c r="AM41" s="1783">
        <f>(AM18/AM10)</f>
        <v>0.42293164250877913</v>
      </c>
      <c r="AN41" s="1783">
        <f>(AN18/AN10)</f>
        <v>0.36242749515035105</v>
      </c>
      <c r="AO41" s="1783">
        <f>(AO18/AO10)</f>
        <v>0.37630744837294461</v>
      </c>
      <c r="AP41" s="1782"/>
      <c r="AQ41" s="1783">
        <f>(AQ18/AQ10)</f>
        <v>0.35281756950457943</v>
      </c>
      <c r="AR41" s="1783">
        <f>(AR18/AR10)</f>
        <v>0.41212269316382028</v>
      </c>
      <c r="AS41" s="1783">
        <f>(AS18/AS10)</f>
        <v>0.34477423098310056</v>
      </c>
      <c r="AT41" s="1783">
        <f>(AT18/AT10)</f>
        <v>0.35920153550863726</v>
      </c>
      <c r="AU41" s="1782"/>
      <c r="AV41" s="1783">
        <f>(AV18/AV10)</f>
        <v>0.3102684414819894</v>
      </c>
      <c r="AW41" s="1783">
        <f>(AW18/AW10)</f>
        <v>0.3627813832977872</v>
      </c>
      <c r="AX41" s="1783">
        <f>(AX18/AX10)</f>
        <v>0.26863971219249155</v>
      </c>
      <c r="AY41" s="1783">
        <f>(AY18/AY10)</f>
        <v>0.28246698142319326</v>
      </c>
      <c r="AZ41" s="1782"/>
      <c r="BA41" s="1783">
        <f>(BA18/BA10)</f>
        <v>0.29319168887248714</v>
      </c>
      <c r="BB41" s="1783">
        <f>(BB18/BB10)</f>
        <v>0.35759174839554753</v>
      </c>
      <c r="BC41" s="1783">
        <f>(BC18/BC10)</f>
        <v>0.29990525708796173</v>
      </c>
      <c r="BD41" s="1783">
        <f>(BD18/BD10)</f>
        <v>0.31242208253333686</v>
      </c>
      <c r="BE41" s="1782"/>
      <c r="BF41" s="1783">
        <f>(BF18/BF10)</f>
        <v>0.31333740644905117</v>
      </c>
      <c r="BG41" s="1783">
        <f>(BG18/BG10)</f>
        <v>0.3585214839255112</v>
      </c>
      <c r="BH41" s="1783">
        <f>(BH18/BH10)</f>
        <v>0.2940078215557701</v>
      </c>
      <c r="BI41" s="1783">
        <f>(BI18/BI10)</f>
        <v>0.3025099958804856</v>
      </c>
      <c r="BJ41" s="1782"/>
      <c r="BK41" s="1783">
        <f>(BK18/BK10)</f>
        <v>0.30652948182478557</v>
      </c>
      <c r="BL41" s="1783">
        <f>(BL18/BL10)</f>
        <v>0.35976347617676874</v>
      </c>
      <c r="BM41" s="1783">
        <f>(BM18/BM10)</f>
        <v>0.30432622380365398</v>
      </c>
      <c r="BN41" s="1783">
        <f>(BN18/BN10)</f>
        <v>0.32078591332515582</v>
      </c>
      <c r="BO41" s="1782"/>
      <c r="BP41" s="1783">
        <f>(BP18/BP10)</f>
        <v>0.28563051620958357</v>
      </c>
      <c r="BQ41" s="1783">
        <f>(BQ18/BQ10)</f>
        <v>0.35017030484633987</v>
      </c>
      <c r="BR41" s="1783">
        <f>(BR18/BR10)</f>
        <v>0.29344851453967652</v>
      </c>
      <c r="BS41" s="1783">
        <f>(BS18/BS10)</f>
        <v>0.30339383391347596</v>
      </c>
      <c r="BT41" s="1782"/>
      <c r="BU41" s="1783">
        <f>(BU18/BU10)</f>
        <v>0.27949702805102711</v>
      </c>
      <c r="BV41" s="1783">
        <f>(BV18/BV10)</f>
        <v>0.30708342490687679</v>
      </c>
      <c r="BW41" s="1783">
        <f>(BW18/BW10)</f>
        <v>0.23890759221771762</v>
      </c>
      <c r="BX41" s="1783">
        <f>(BX18/BX10)</f>
        <v>0.20356604730086522</v>
      </c>
      <c r="BY41" s="1783"/>
      <c r="BZ41" s="1783">
        <f>(BZ18/BZ10)</f>
        <v>0.20879861378513667</v>
      </c>
      <c r="CA41" s="1783">
        <f>(CA18/CA10)</f>
        <v>0.24520255863539453</v>
      </c>
      <c r="CB41" s="1783">
        <f>(CB18/CB10)</f>
        <v>0.15764553965350264</v>
      </c>
      <c r="CC41" s="1783">
        <f>(CC18/CC10)</f>
        <v>0.12558510108554938</v>
      </c>
      <c r="CD41" s="1783"/>
      <c r="CE41" s="1783">
        <f>(CE18/CE10)</f>
        <v>0.1601475298456759</v>
      </c>
      <c r="CF41" s="1783">
        <f>(CF18/CF10)</f>
        <v>0.22373999057936875</v>
      </c>
      <c r="CG41" s="1783">
        <f>(CG18/CG10)</f>
        <v>0.14693640499467597</v>
      </c>
      <c r="CH41" s="1783">
        <f>(CH18/CH10)</f>
        <v>0.15139442231075684</v>
      </c>
      <c r="CI41" s="1783"/>
      <c r="CJ41" s="1783">
        <f>(CJ18/CJ10)</f>
        <v>0.17039321511179642</v>
      </c>
      <c r="CK41" s="1783">
        <f>(CK18/CK10)</f>
        <v>0.22266777634864204</v>
      </c>
      <c r="CL41" s="1783">
        <f>(CL18/CL10)</f>
        <v>0.1627813504823151</v>
      </c>
      <c r="CM41" s="1783">
        <f>(CM18/CM10)</f>
        <v>0.15833480331628152</v>
      </c>
      <c r="CN41" s="1783"/>
      <c r="CO41" s="1783">
        <f>(CO18/CO10)</f>
        <v>0.13096438823803247</v>
      </c>
      <c r="CP41" s="1783">
        <f>(CP18/CP10)</f>
        <v>0.23042016806722687</v>
      </c>
      <c r="CQ41" s="1783">
        <f>(CQ18/CQ10)</f>
        <v>0.14450000000000007</v>
      </c>
      <c r="CR41" s="1783">
        <f>(CR18/CR10)</f>
        <v>0.15099999999999988</v>
      </c>
      <c r="CS41" s="1782"/>
      <c r="CT41" s="1771">
        <f>(CT18/CT10)</f>
        <v>0.12103307356942913</v>
      </c>
      <c r="CU41" s="1771">
        <f>(CU18/CU10)</f>
        <v>8.1924103292953201E-2</v>
      </c>
      <c r="CV41" s="1771">
        <f>(CV18/CV10)</f>
        <v>4.8671472908944045E-2</v>
      </c>
      <c r="CW41" s="1771">
        <f>(CW18/CW10)</f>
        <v>5.3065811747420921E-2</v>
      </c>
      <c r="CX41" s="1771">
        <f t="shared" ref="CX41:DE41" si="27">(CX18/CX10)</f>
        <v>0.10204985079738675</v>
      </c>
      <c r="CY41" s="1770">
        <f t="shared" si="27"/>
        <v>0.17695019575647264</v>
      </c>
      <c r="CZ41" s="1770">
        <f t="shared" si="27"/>
        <v>0.16371630365733811</v>
      </c>
      <c r="DA41" s="1770">
        <f t="shared" si="27"/>
        <v>0.22916810913676303</v>
      </c>
      <c r="DB41" s="1770">
        <f t="shared" si="27"/>
        <v>0.30679143081630073</v>
      </c>
      <c r="DC41" s="1771">
        <f t="shared" si="27"/>
        <v>0.33474935732272076</v>
      </c>
      <c r="DD41" s="1770">
        <f t="shared" si="27"/>
        <v>0.35121132175416231</v>
      </c>
      <c r="DE41" s="1771">
        <f t="shared" si="27"/>
        <v>0.38025405978129384</v>
      </c>
      <c r="DF41" s="1770">
        <f t="shared" ref="DF41:DK41" si="28">(DF18/DF10)</f>
        <v>0.37073847514915476</v>
      </c>
      <c r="DG41" s="1771">
        <f t="shared" si="28"/>
        <v>0.30964956161150636</v>
      </c>
      <c r="DH41" s="1770">
        <f t="shared" si="28"/>
        <v>0.31881570091882877</v>
      </c>
      <c r="DI41" s="1770">
        <f t="shared" si="28"/>
        <v>0.31997108577669825</v>
      </c>
      <c r="DJ41" s="1771">
        <f t="shared" si="28"/>
        <v>0.3256643670824953</v>
      </c>
      <c r="DK41" s="1771">
        <f t="shared" si="28"/>
        <v>0.31086143133828131</v>
      </c>
      <c r="DL41" s="1771">
        <f t="shared" ref="DL41:DR41" si="29">(DL18/DL10)</f>
        <v>0.26040827043921799</v>
      </c>
      <c r="DM41" s="1771">
        <f t="shared" si="29"/>
        <v>0.18811432388586696</v>
      </c>
      <c r="DN41" s="1771">
        <f t="shared" si="29"/>
        <v>0.17289282692907057</v>
      </c>
      <c r="DO41" s="1771">
        <f t="shared" si="29"/>
        <v>0.18105295991800921</v>
      </c>
      <c r="DP41" s="1771">
        <f t="shared" si="29"/>
        <v>0.1694285024612654</v>
      </c>
      <c r="DQ41" s="1771">
        <f t="shared" si="29"/>
        <v>0.17640000000000003</v>
      </c>
      <c r="DR41" s="1771">
        <f t="shared" si="29"/>
        <v>0.17790000000000003</v>
      </c>
      <c r="DS41" s="1770">
        <f>(DS18/DS10)</f>
        <v>0.17930000000000001</v>
      </c>
      <c r="DT41" s="1772">
        <f>(DT18/DT10)</f>
        <v>0.1833999999999999</v>
      </c>
    </row>
    <row r="42" spans="1:124">
      <c r="A42" s="1749" t="s">
        <v>324</v>
      </c>
      <c r="B42" s="1764"/>
      <c r="C42" s="1783">
        <f>C20/C10</f>
        <v>-8.2181103429578429E-4</v>
      </c>
      <c r="D42" s="1783">
        <f>D20/D10</f>
        <v>-4.9967032061320376E-4</v>
      </c>
      <c r="E42" s="1783">
        <f>E20/E10</f>
        <v>-8.4295050055617352E-4</v>
      </c>
      <c r="F42" s="1783">
        <f>F20/F10</f>
        <v>-7.8891573393816865E-4</v>
      </c>
      <c r="G42" s="1783"/>
      <c r="H42" s="1783">
        <f>H20/H10</f>
        <v>-8.5934826419255489E-4</v>
      </c>
      <c r="I42" s="1783">
        <f>I20/I10</f>
        <v>-6.6294520158462385E-3</v>
      </c>
      <c r="J42" s="1783">
        <f>J20/J10</f>
        <v>-3.4204623192325436E-3</v>
      </c>
      <c r="K42" s="1783">
        <f>K20/K10</f>
        <v>-2.3893417212333843E-3</v>
      </c>
      <c r="L42" s="1782"/>
      <c r="M42" s="1783">
        <f>M20/M10</f>
        <v>-2.9661185651152608E-3</v>
      </c>
      <c r="N42" s="1783">
        <f>N20/N10</f>
        <v>-9.3743372216330864E-4</v>
      </c>
      <c r="O42" s="1783">
        <f>O20/O10</f>
        <v>7.9841060586367601E-4</v>
      </c>
      <c r="P42" s="1783">
        <f>P20/P10</f>
        <v>1.400396779087408E-3</v>
      </c>
      <c r="Q42" s="1782"/>
      <c r="R42" s="1783">
        <f>R20/R10</f>
        <v>8.5584908009191303E-4</v>
      </c>
      <c r="S42" s="1783">
        <f>S20/S10</f>
        <v>3.5653743805162013E-4</v>
      </c>
      <c r="T42" s="1783">
        <f>T20/T10</f>
        <v>1.5608268752608939E-3</v>
      </c>
      <c r="U42" s="1783">
        <f>U20/U10</f>
        <v>1.9005165949653588E-3</v>
      </c>
      <c r="V42" s="1782"/>
      <c r="W42" s="1783">
        <f>W20/W10</f>
        <v>1.5674891146589261E-3</v>
      </c>
      <c r="X42" s="1783">
        <f>X20/X10</f>
        <v>1.1324065096363907E-3</v>
      </c>
      <c r="Y42" s="1783">
        <f>Y20/Y10</f>
        <v>2.4531019921871259E-3</v>
      </c>
      <c r="Z42" s="1783">
        <f>Z20/Z10</f>
        <v>4.5927043132384035E-3</v>
      </c>
      <c r="AA42" s="1782"/>
      <c r="AB42" s="1783">
        <f>AB20/AB10</f>
        <v>7.2951331870431454E-3</v>
      </c>
      <c r="AC42" s="1783">
        <f>AC20/AC10</f>
        <v>6.5236319460507484E-3</v>
      </c>
      <c r="AD42" s="1783">
        <f>AD20/AD10</f>
        <v>1.1888762534890934E-2</v>
      </c>
      <c r="AE42" s="1783">
        <f>AE20/AE10</f>
        <v>1.1551139349352696E-2</v>
      </c>
      <c r="AF42" s="1782"/>
      <c r="AG42" s="1783">
        <f>AG20/AG10</f>
        <v>1.3564516129032258E-2</v>
      </c>
      <c r="AH42" s="1783">
        <f>AH20/AH10</f>
        <v>1.1277831558567281E-2</v>
      </c>
      <c r="AI42" s="1783">
        <f>AI20/AI10</f>
        <v>2.1091557956966385E-2</v>
      </c>
      <c r="AJ42" s="1783">
        <f>AJ20/AJ10</f>
        <v>1.919561060902401E-2</v>
      </c>
      <c r="AK42" s="1782"/>
      <c r="AL42" s="1783">
        <f>AL20/AL10</f>
        <v>1.244567178105893E-2</v>
      </c>
      <c r="AM42" s="1783">
        <f>AM20/AM10</f>
        <v>9.7914233189300443E-3</v>
      </c>
      <c r="AN42" s="1783">
        <f>AN20/AN10</f>
        <v>2.0770730349926356E-2</v>
      </c>
      <c r="AO42" s="1783">
        <f>AO20/AO10</f>
        <v>2.117372483051666E-2</v>
      </c>
      <c r="AP42" s="1782"/>
      <c r="AQ42" s="1783">
        <f>AQ20/AQ10</f>
        <v>2.2159895259177383E-2</v>
      </c>
      <c r="AR42" s="1783">
        <f>AR20/AR10</f>
        <v>1.0805538145042468E-2</v>
      </c>
      <c r="AS42" s="1783">
        <f>AS20/AS10</f>
        <v>1.2822992470336672E-2</v>
      </c>
      <c r="AT42" s="1783">
        <f>AT20/AT10</f>
        <v>2.6346769033909153E-3</v>
      </c>
      <c r="AU42" s="1782"/>
      <c r="AV42" s="1783">
        <f>AV20/AV10</f>
        <v>3.5161435639025204E-3</v>
      </c>
      <c r="AW42" s="1783">
        <f>AW20/AW10</f>
        <v>5.5401892828579056E-4</v>
      </c>
      <c r="AX42" s="1783">
        <f>AX20/AX10</f>
        <v>-1.6352699344135126E-4</v>
      </c>
      <c r="AY42" s="1783">
        <f>AY20/AY10</f>
        <v>1.2729124236252572E-4</v>
      </c>
      <c r="AZ42" s="1782"/>
      <c r="BA42" s="1783">
        <f>BA20/BA10</f>
        <v>-7.8273054763558893E-4</v>
      </c>
      <c r="BB42" s="1783">
        <f>BB20/BB10</f>
        <v>1.051638255219459E-4</v>
      </c>
      <c r="BC42" s="1783">
        <f>BC20/BC10</f>
        <v>1.2520029036836573E-4</v>
      </c>
      <c r="BD42" s="1783">
        <f>BD20/BD10</f>
        <v>2.248231240630178E-3</v>
      </c>
      <c r="BE42" s="1782"/>
      <c r="BF42" s="1783">
        <f>BF20/BF10</f>
        <v>-6.1645180432810603E-4</v>
      </c>
      <c r="BG42" s="1783">
        <f>BG20/BG10</f>
        <v>-7.0702285645142548E-4</v>
      </c>
      <c r="BH42" s="1783">
        <f>BH20/BH10</f>
        <v>-8.8565760603172782E-4</v>
      </c>
      <c r="BI42" s="1783">
        <f>BI20/BI10</f>
        <v>-1.3638015848014152E-3</v>
      </c>
      <c r="BJ42" s="1782"/>
      <c r="BK42" s="1783">
        <f>BK20/BK10</f>
        <v>-1.2966995094058317E-3</v>
      </c>
      <c r="BL42" s="1783">
        <f>BL20/BL10</f>
        <v>-1.2225183602100993E-3</v>
      </c>
      <c r="BM42" s="1783">
        <f>BM20/BM10</f>
        <v>-1.5076903932529052E-3</v>
      </c>
      <c r="BN42" s="1783">
        <f>BN20/BN10</f>
        <v>-1.3166653826077244E-3</v>
      </c>
      <c r="BO42" s="1782"/>
      <c r="BP42" s="1783">
        <f>BP20/BP10</f>
        <v>-1.7531321307099497E-3</v>
      </c>
      <c r="BQ42" s="1783">
        <f>BQ20/BQ10</f>
        <v>-8.2392699966883317E-4</v>
      </c>
      <c r="BR42" s="1783">
        <f>BR20/BR10</f>
        <v>-6.2564311565219306E-4</v>
      </c>
      <c r="BS42" s="1783">
        <f>BS20/BS10</f>
        <v>2.4536104059253984E-6</v>
      </c>
      <c r="BT42" s="1782"/>
      <c r="BU42" s="1783">
        <f>BU20/BU10</f>
        <v>1.4147172303521152E-3</v>
      </c>
      <c r="BV42" s="1783">
        <f>BV20/BV10</f>
        <v>1.375716386874271E-3</v>
      </c>
      <c r="BW42" s="1783">
        <f>BW20/BW10</f>
        <v>-1.7542328027893121E-3</v>
      </c>
      <c r="BX42" s="1783">
        <f>BX20/BX10</f>
        <v>4.6558048821702925E-4</v>
      </c>
      <c r="BY42" s="1783"/>
      <c r="BZ42" s="1783">
        <f>BZ20/BZ10</f>
        <v>6.7385444743935314E-4</v>
      </c>
      <c r="CA42" s="1783">
        <f>CA20/CA10</f>
        <v>3.2803017877644741E-4</v>
      </c>
      <c r="CB42" s="1783">
        <f>CB20/CB10</f>
        <v>-1.291294522759066E-3</v>
      </c>
      <c r="CC42" s="1783">
        <f>CC20/CC10</f>
        <v>-6.2742754705706599E-3</v>
      </c>
      <c r="CD42" s="1783"/>
      <c r="CE42" s="1783">
        <f>CE20/CE10</f>
        <v>-6.5029603028244204E-3</v>
      </c>
      <c r="CF42" s="1783">
        <f>CF20/CF10</f>
        <v>-4.9458313707018368E-3</v>
      </c>
      <c r="CG42" s="1783">
        <f>CG20/CG10</f>
        <v>-6.2917432968734883E-3</v>
      </c>
      <c r="CH42" s="1783">
        <f>CH20/CH10</f>
        <v>-6.4091460245972636E-3</v>
      </c>
      <c r="CI42" s="1783"/>
      <c r="CJ42" s="1783">
        <f>CJ20/CJ10</f>
        <v>-5.4934464148033929E-3</v>
      </c>
      <c r="CK42" s="1783">
        <f>CK20/CK10</f>
        <v>-3.8586668684270253E-3</v>
      </c>
      <c r="CL42" s="1783">
        <f>CL20/CL10</f>
        <v>-4.0192926045016075E-3</v>
      </c>
      <c r="CM42" s="1783">
        <f>CM20/CM10</f>
        <v>-3.6161580525665899E-3</v>
      </c>
      <c r="CN42" s="1783"/>
      <c r="CO42" s="1783">
        <f>CO20/CO10</f>
        <v>-1.5905035301419814E-2</v>
      </c>
      <c r="CP42" s="1783">
        <f>CP20/CP10</f>
        <v>-1.2436974789915966E-2</v>
      </c>
      <c r="CQ42" s="1783">
        <f>CQ20/CQ10</f>
        <v>-1.3403787904491102E-2</v>
      </c>
      <c r="CR42" s="1783">
        <f>CR20/CR10</f>
        <v>-1.2057360923757815E-2</v>
      </c>
      <c r="CS42" s="1782"/>
      <c r="CT42" s="1771"/>
      <c r="CU42" s="1771"/>
      <c r="CV42" s="1771"/>
      <c r="CW42" s="1771"/>
      <c r="CX42" s="1771"/>
      <c r="CY42" s="1770"/>
      <c r="CZ42" s="1770"/>
      <c r="DA42" s="1770"/>
      <c r="DB42" s="1770"/>
      <c r="DC42" s="1771"/>
      <c r="DD42" s="1784">
        <f t="shared" ref="DD42:DR42" si="30">DD20/DD10</f>
        <v>1.603024139952464E-2</v>
      </c>
      <c r="DE42" s="1785">
        <f t="shared" si="30"/>
        <v>1.5798543592695915E-2</v>
      </c>
      <c r="DF42" s="1784">
        <f t="shared" si="30"/>
        <v>1.1685897413728871E-2</v>
      </c>
      <c r="DG42" s="1785">
        <f t="shared" si="30"/>
        <v>9.7694823164940826E-4</v>
      </c>
      <c r="DH42" s="1784">
        <f t="shared" si="30"/>
        <v>4.8702252666288956E-4</v>
      </c>
      <c r="DI42" s="1784">
        <f t="shared" si="30"/>
        <v>-8.9094475493247923E-4</v>
      </c>
      <c r="DJ42" s="1785">
        <f t="shared" si="30"/>
        <v>-1.3281043336594461E-3</v>
      </c>
      <c r="DK42" s="1785">
        <f t="shared" si="30"/>
        <v>-7.9107221316982541E-4</v>
      </c>
      <c r="DL42" s="1785">
        <f t="shared" si="30"/>
        <v>4.5378640122208157E-4</v>
      </c>
      <c r="DM42" s="1785">
        <f t="shared" si="30"/>
        <v>-1.5268632503101438E-3</v>
      </c>
      <c r="DN42" s="1785">
        <f t="shared" si="30"/>
        <v>-5.9886905026937986E-3</v>
      </c>
      <c r="DO42" s="1785">
        <f t="shared" si="30"/>
        <v>-4.2109484660116294E-3</v>
      </c>
      <c r="DP42" s="1771">
        <f t="shared" si="30"/>
        <v>-1.3325566355098217E-2</v>
      </c>
      <c r="DQ42" s="1771">
        <f t="shared" si="30"/>
        <v>-7.4292666934247771E-3</v>
      </c>
      <c r="DR42" s="1771">
        <f t="shared" si="30"/>
        <v>-7.2220208688952162E-3</v>
      </c>
      <c r="DS42" s="1770">
        <f>DS20/DS10</f>
        <v>-7.0209192897751132E-3</v>
      </c>
      <c r="DT42" s="1772">
        <f>DT20/DT10</f>
        <v>-6.8252752900713606E-3</v>
      </c>
    </row>
    <row r="43" spans="1:124">
      <c r="A43" s="1749" t="s">
        <v>99</v>
      </c>
      <c r="B43" s="1764"/>
      <c r="C43" s="1783">
        <f>(C21/C10)</f>
        <v>2.5010166734444894E-2</v>
      </c>
      <c r="D43" s="1783">
        <f>(D21/D10)</f>
        <v>0.20977911481084638</v>
      </c>
      <c r="E43" s="1783">
        <f>(E21/E10)</f>
        <v>3.799360400444933E-2</v>
      </c>
      <c r="F43" s="1783">
        <f>(F21/F10)</f>
        <v>6.2307907236658258E-2</v>
      </c>
      <c r="G43" s="1783"/>
      <c r="H43" s="1783">
        <f>(H21/H10)</f>
        <v>0.12646108217042487</v>
      </c>
      <c r="I43" s="1783">
        <f>(I21/I10)</f>
        <v>0.28580567507629323</v>
      </c>
      <c r="J43" s="1783">
        <f>(J21/J10)</f>
        <v>9.4921806640469744E-2</v>
      </c>
      <c r="K43" s="1783">
        <f>(K21/K10)</f>
        <v>0.11435570946814451</v>
      </c>
      <c r="L43" s="1782"/>
      <c r="M43" s="1783">
        <f>(M21/M10)</f>
        <v>0.1262292471234622</v>
      </c>
      <c r="N43" s="1783">
        <f>(N21/N10)</f>
        <v>0.29573700954400844</v>
      </c>
      <c r="O43" s="1783">
        <f>(O21/O10)</f>
        <v>0.14765025901925463</v>
      </c>
      <c r="P43" s="1783">
        <f>(P21/P10)</f>
        <v>0.14068152643248916</v>
      </c>
      <c r="Q43" s="1782"/>
      <c r="R43" s="1783">
        <f>(R21/R10)</f>
        <v>0.19592719577158679</v>
      </c>
      <c r="S43" s="1783">
        <f>(S21/S10)</f>
        <v>0.33290872965710833</v>
      </c>
      <c r="T43" s="1783">
        <f>(T21/T10)</f>
        <v>0.2408891268444073</v>
      </c>
      <c r="U43" s="1783">
        <f>(U21/U10)</f>
        <v>0.22135403168679482</v>
      </c>
      <c r="V43" s="1782"/>
      <c r="W43" s="1783">
        <f>(W21/W10)</f>
        <v>0.27878084179970969</v>
      </c>
      <c r="X43" s="1783">
        <f>(X21/X10)</f>
        <v>0.39165226857960744</v>
      </c>
      <c r="Y43" s="1783">
        <f>(Y21/Y10)</f>
        <v>0.32464313434885794</v>
      </c>
      <c r="Z43" s="1783">
        <f>(Z21/Z10)</f>
        <v>0.33364385101066102</v>
      </c>
      <c r="AA43" s="1782"/>
      <c r="AB43" s="1783">
        <f>(AB21/AB10)</f>
        <v>0.29955676979640472</v>
      </c>
      <c r="AC43" s="1783">
        <f>(AC21/AC10)</f>
        <v>0.40424139506806656</v>
      </c>
      <c r="AD43" s="1783">
        <f>(AD21/AD10)</f>
        <v>0.33005080071837456</v>
      </c>
      <c r="AE43" s="1783">
        <f>(AE21/AE10)</f>
        <v>0.31771843500692687</v>
      </c>
      <c r="AF43" s="1782"/>
      <c r="AG43" s="1783">
        <f>(AG21/AG10)</f>
        <v>0.32600691244239638</v>
      </c>
      <c r="AH43" s="1783">
        <f>(AH21/AH10)</f>
        <v>0.41995805098418842</v>
      </c>
      <c r="AI43" s="1783">
        <f>(AI21/AI10)</f>
        <v>0.34143809488074245</v>
      </c>
      <c r="AJ43" s="1783">
        <f>(AJ21/AJ10)</f>
        <v>0.36245770805047317</v>
      </c>
      <c r="AK43" s="1782"/>
      <c r="AL43" s="1783">
        <f>(AL21/AL10)</f>
        <v>0.35367505255741655</v>
      </c>
      <c r="AM43" s="1783">
        <f>(AM21/AM10)</f>
        <v>0.43272306582770914</v>
      </c>
      <c r="AN43" s="1783">
        <f>(AN21/AN10)</f>
        <v>0.38319822550027738</v>
      </c>
      <c r="AO43" s="1783">
        <f>(AO21/AO10)</f>
        <v>0.39748117320346127</v>
      </c>
      <c r="AP43" s="1782"/>
      <c r="AQ43" s="1783">
        <f>(AQ21/AQ10)</f>
        <v>0.37497746476375687</v>
      </c>
      <c r="AR43" s="1783">
        <f>(AR21/AR10)</f>
        <v>0.42292823130886276</v>
      </c>
      <c r="AS43" s="1783">
        <f>(AS21/AS10)</f>
        <v>0.35759722345343725</v>
      </c>
      <c r="AT43" s="1783">
        <f>(AT21/AT10)</f>
        <v>0.36183621241202818</v>
      </c>
      <c r="AU43" s="1782"/>
      <c r="AV43" s="1783">
        <f>(AV21/AV10)</f>
        <v>0.31378458504589191</v>
      </c>
      <c r="AW43" s="1783">
        <f>(AW21/AW10)</f>
        <v>0.36333540222607297</v>
      </c>
      <c r="AX43" s="1783">
        <f>(AX21/AX10)</f>
        <v>0.2684761851990502</v>
      </c>
      <c r="AY43" s="1783">
        <f>(AY21/AY10)</f>
        <v>0.28259427266555576</v>
      </c>
      <c r="AZ43" s="1782"/>
      <c r="BA43" s="1783">
        <f>(BA21/BA10)</f>
        <v>0.29240895832485159</v>
      </c>
      <c r="BB43" s="1783">
        <f>(BB21/BB10)</f>
        <v>0.35769691222106947</v>
      </c>
      <c r="BC43" s="1783">
        <f>(BC21/BC10)</f>
        <v>0.30003045737833012</v>
      </c>
      <c r="BD43" s="1783">
        <f>(BD21/BD10)</f>
        <v>0.31467031377396704</v>
      </c>
      <c r="BE43" s="1782"/>
      <c r="BF43" s="1783">
        <f>(BF21/BF10)</f>
        <v>0.31272095464472305</v>
      </c>
      <c r="BG43" s="1783">
        <f>(BG21/BG10)</f>
        <v>0.35781446106905979</v>
      </c>
      <c r="BH43" s="1783">
        <f>(BH21/BH10)</f>
        <v>0.29312216394973839</v>
      </c>
      <c r="BI43" s="1783">
        <f>(BI21/BI10)</f>
        <v>0.30114619429568423</v>
      </c>
      <c r="BJ43" s="1782"/>
      <c r="BK43" s="1783">
        <f>(BK21/BK10)</f>
        <v>0.3052327823153797</v>
      </c>
      <c r="BL43" s="1783">
        <f>(BL21/BL10)</f>
        <v>0.35854095781655865</v>
      </c>
      <c r="BM43" s="1783">
        <f>(BM21/BM10)</f>
        <v>0.3028185334104011</v>
      </c>
      <c r="BN43" s="1783">
        <f>(BN21/BN10)</f>
        <v>0.31946924794254805</v>
      </c>
      <c r="BO43" s="1782"/>
      <c r="BP43" s="1783">
        <f>(BP21/BP10)</f>
        <v>0.28387738407887364</v>
      </c>
      <c r="BQ43" s="1783">
        <f>(BQ21/BQ10)</f>
        <v>0.34934637784667105</v>
      </c>
      <c r="BR43" s="1783">
        <f>(BR21/BR10)</f>
        <v>0.2928228714240243</v>
      </c>
      <c r="BS43" s="1783">
        <f>(BS21/BS10)</f>
        <v>0.30339628752388187</v>
      </c>
      <c r="BT43" s="1782"/>
      <c r="BU43" s="1783">
        <f>(BU21/BU10)</f>
        <v>0.28091174528137919</v>
      </c>
      <c r="BV43" s="1783">
        <f>(BV21/BV10)</f>
        <v>0.30845914129375107</v>
      </c>
      <c r="BW43" s="1783">
        <f>(BW21/BW10)</f>
        <v>0.23715335941492832</v>
      </c>
      <c r="BX43" s="1783">
        <f>(BX21/BX10)</f>
        <v>0.20403162778908224</v>
      </c>
      <c r="BY43" s="1783"/>
      <c r="BZ43" s="1783">
        <f>(BZ21/BZ10)</f>
        <v>0.20947246823257604</v>
      </c>
      <c r="CA43" s="1783">
        <f>(CA21/CA10)</f>
        <v>0.24553058881417095</v>
      </c>
      <c r="CB43" s="1783">
        <f>(CB21/CB10)</f>
        <v>0.15635424513074359</v>
      </c>
      <c r="CC43" s="1783">
        <f>(CC21/CC10)</f>
        <v>0.11931082561497873</v>
      </c>
      <c r="CD43" s="1783"/>
      <c r="CE43" s="1783">
        <f>(CE21/CE10)</f>
        <v>0.15364456954285149</v>
      </c>
      <c r="CF43" s="1783">
        <f>(CF21/CF10)</f>
        <v>0.21879415920866688</v>
      </c>
      <c r="CG43" s="1783">
        <f>(CG21/CG10)</f>
        <v>0.14064466169780249</v>
      </c>
      <c r="CH43" s="1783">
        <f>(CH21/CH10)</f>
        <v>0.14498527628615956</v>
      </c>
      <c r="CI43" s="1783"/>
      <c r="CJ43" s="1783">
        <f>(CJ21/CJ10)</f>
        <v>0.16489976869699305</v>
      </c>
      <c r="CK43" s="1783">
        <f>(CK21/CK10)</f>
        <v>0.21880910948021498</v>
      </c>
      <c r="CL43" s="1783">
        <f>(CL21/CL10)</f>
        <v>0.1587620578778135</v>
      </c>
      <c r="CM43" s="1783">
        <f>(CM21/CM10)</f>
        <v>0.15471864526371493</v>
      </c>
      <c r="CN43" s="1783"/>
      <c r="CO43" s="1783">
        <f>(CO21/CO10)</f>
        <v>0.11505935293661267</v>
      </c>
      <c r="CP43" s="1783">
        <f>(CP21/CP10)</f>
        <v>0.21798319327731092</v>
      </c>
      <c r="CQ43" s="1783">
        <f>(CQ21/CQ10)</f>
        <v>0.13109621209550898</v>
      </c>
      <c r="CR43" s="1783">
        <f>(CR21/CR10)</f>
        <v>0.13894263907624207</v>
      </c>
      <c r="CS43" s="1782"/>
      <c r="CT43" s="1771">
        <f>(CT21/CT10)</f>
        <v>0.12055125866827922</v>
      </c>
      <c r="CU43" s="1771">
        <f>(CU21/CU10)</f>
        <v>8.1013609294441083E-2</v>
      </c>
      <c r="CV43" s="1771">
        <f>(CV21/CV10)</f>
        <v>4.821225299903676E-2</v>
      </c>
      <c r="CW43" s="1771">
        <f>(CW21/CW10)</f>
        <v>5.2239372065540308E-2</v>
      </c>
      <c r="CX43" s="1771">
        <f t="shared" ref="CX43:DE43" si="31">(CX21/CX10)</f>
        <v>0.10134482746056776</v>
      </c>
      <c r="CY43" s="1770">
        <f t="shared" si="31"/>
        <v>0.17318993956612175</v>
      </c>
      <c r="CZ43" s="1770">
        <f t="shared" si="31"/>
        <v>0.16330068125932198</v>
      </c>
      <c r="DA43" s="1770">
        <f t="shared" si="31"/>
        <v>0.23027907337819159</v>
      </c>
      <c r="DB43" s="1770">
        <f t="shared" si="31"/>
        <v>0.30920758818747307</v>
      </c>
      <c r="DC43" s="1771">
        <f t="shared" si="31"/>
        <v>0.34396345231559677</v>
      </c>
      <c r="DD43" s="1770">
        <f t="shared" si="31"/>
        <v>0.36724156315368695</v>
      </c>
      <c r="DE43" s="1771">
        <f t="shared" si="31"/>
        <v>0.39605260337398973</v>
      </c>
      <c r="DF43" s="1770">
        <f t="shared" ref="DF43:DK43" si="32">(DF21/DF10)</f>
        <v>0.38242437256288364</v>
      </c>
      <c r="DG43" s="1771">
        <f t="shared" si="32"/>
        <v>0.31062650984315576</v>
      </c>
      <c r="DH43" s="1770">
        <f t="shared" si="32"/>
        <v>0.31930272344549171</v>
      </c>
      <c r="DI43" s="1770">
        <f t="shared" si="32"/>
        <v>0.3190801410217658</v>
      </c>
      <c r="DJ43" s="1771">
        <f t="shared" si="32"/>
        <v>0.32433626274883581</v>
      </c>
      <c r="DK43" s="1771">
        <f t="shared" si="32"/>
        <v>0.31007035912511149</v>
      </c>
      <c r="DL43" s="1771">
        <f t="shared" ref="DL43:DR43" si="33">(DL21/DL10)</f>
        <v>0.26086205684044006</v>
      </c>
      <c r="DM43" s="1771">
        <f t="shared" si="33"/>
        <v>0.18658746063555681</v>
      </c>
      <c r="DN43" s="1771">
        <f t="shared" si="33"/>
        <v>0.16690413642637678</v>
      </c>
      <c r="DO43" s="1771">
        <f t="shared" si="33"/>
        <v>0.1768420114519976</v>
      </c>
      <c r="DP43" s="1771">
        <f t="shared" si="33"/>
        <v>0.15610293610616718</v>
      </c>
      <c r="DQ43" s="1771">
        <f t="shared" si="33"/>
        <v>0.16897073330657525</v>
      </c>
      <c r="DR43" s="1771">
        <f t="shared" si="33"/>
        <v>0.1706779791311048</v>
      </c>
      <c r="DS43" s="1770">
        <f>(DS21/DS10)</f>
        <v>0.17227908071022491</v>
      </c>
      <c r="DT43" s="1772">
        <f>(DT21/DT10)</f>
        <v>0.17657472470992855</v>
      </c>
    </row>
    <row r="44" spans="1:124">
      <c r="A44" s="1749" t="s">
        <v>39</v>
      </c>
      <c r="B44" s="1764"/>
      <c r="C44" s="1783">
        <f>(C23/C21)</f>
        <v>0.3058943089430895</v>
      </c>
      <c r="D44" s="1783">
        <f>(D23/D21)</f>
        <v>0.30601119732835685</v>
      </c>
      <c r="E44" s="1783">
        <f>(E23/E21)</f>
        <v>0.30603842634949724</v>
      </c>
      <c r="F44" s="1783">
        <f>(F23/F21)</f>
        <v>0.30651543128462155</v>
      </c>
      <c r="G44" s="1783"/>
      <c r="H44" s="1783">
        <f>(H23/H21)</f>
        <v>0.24583558842985118</v>
      </c>
      <c r="I44" s="1783">
        <f>(I23/I21)</f>
        <v>0.34999088090461428</v>
      </c>
      <c r="J44" s="1783">
        <f>(J23/J21)</f>
        <v>0.36059666471130436</v>
      </c>
      <c r="K44" s="1783">
        <f>(K23/K21)</f>
        <v>0.39010843692144981</v>
      </c>
      <c r="L44" s="1782"/>
      <c r="M44" s="1783">
        <f>(M23/M21)</f>
        <v>0.35499132628922886</v>
      </c>
      <c r="N44" s="1783">
        <f>(N23/N21)</f>
        <v>0.35502008032128518</v>
      </c>
      <c r="O44" s="1783">
        <f>(O23/O21)</f>
        <v>0.28852280348759235</v>
      </c>
      <c r="P44" s="1783">
        <f>(P23/P21)</f>
        <v>0.37067606802156794</v>
      </c>
      <c r="Q44" s="1782"/>
      <c r="R44" s="1783">
        <f>(R23/R21)</f>
        <v>0.3700262091970456</v>
      </c>
      <c r="S44" s="1783">
        <f>(S23/S21)</f>
        <v>0.37000292084509773</v>
      </c>
      <c r="T44" s="1783">
        <f>(T23/T21)</f>
        <v>0.37000621574278131</v>
      </c>
      <c r="U44" s="1783">
        <f>(U23/U21)</f>
        <v>0.3699923897984273</v>
      </c>
      <c r="V44" s="1782"/>
      <c r="W44" s="1783">
        <f>(W23/W21)</f>
        <v>0.37495487991114818</v>
      </c>
      <c r="X44" s="1783">
        <f>(X23/X21)</f>
        <v>0.37503877892908111</v>
      </c>
      <c r="Y44" s="1783">
        <f>(Y23/Y21)</f>
        <v>0.37500122986707596</v>
      </c>
      <c r="Z44" s="1783">
        <f>(Z23/Z21)</f>
        <v>0.37492465874844899</v>
      </c>
      <c r="AA44" s="1782"/>
      <c r="AB44" s="1783">
        <f>(AB23/AB21)</f>
        <v>0.37999553688377463</v>
      </c>
      <c r="AC44" s="1783">
        <f>(AC23/AC21)</f>
        <v>0.37999804613903115</v>
      </c>
      <c r="AD44" s="1783">
        <f>(AD23/AD21)</f>
        <v>0.38000888688165146</v>
      </c>
      <c r="AE44" s="1783">
        <f>(AE23/AE21)</f>
        <v>0.32366782943405298</v>
      </c>
      <c r="AF44" s="1782"/>
      <c r="AG44" s="1783">
        <f>(AG23/AG21)</f>
        <v>0.37883339105359498</v>
      </c>
      <c r="AH44" s="1783">
        <f>(AH23/AH21)</f>
        <v>0.37880825233393528</v>
      </c>
      <c r="AI44" s="1783">
        <f>(AI23/AI21)</f>
        <v>0.3792690818955517</v>
      </c>
      <c r="AJ44" s="1783">
        <f>(AJ23/AJ21)</f>
        <v>0.37956204379562053</v>
      </c>
      <c r="AK44" s="1782"/>
      <c r="AL44" s="1783">
        <f>(AL23/AL21)</f>
        <v>0.38454842103576625</v>
      </c>
      <c r="AM44" s="1783">
        <f>(AM23/AM21)</f>
        <v>0.38469548454832581</v>
      </c>
      <c r="AN44" s="1783">
        <f>(AN23/AN21)</f>
        <v>0.38488825824760559</v>
      </c>
      <c r="AO44" s="1783">
        <f>(AO23/AO21)</f>
        <v>0.38504064287891238</v>
      </c>
      <c r="AP44" s="1782"/>
      <c r="AQ44" s="1783">
        <f>(AQ23/AQ21)</f>
        <v>0.39001552684883789</v>
      </c>
      <c r="AR44" s="1783">
        <f>(AR23/AR21)</f>
        <v>0.38999494718722721</v>
      </c>
      <c r="AS44" s="1783">
        <f>(AS23/AS21)</f>
        <v>0.3899766750926798</v>
      </c>
      <c r="AT44" s="1783">
        <f>(AT23/AT21)</f>
        <v>0.39002033418795856</v>
      </c>
      <c r="AU44" s="1782"/>
      <c r="AV44" s="1783">
        <f>(AV23/AV21)</f>
        <v>0.38250215980892044</v>
      </c>
      <c r="AW44" s="1783">
        <f>(AW23/AW21)</f>
        <v>0.37830579400679298</v>
      </c>
      <c r="AX44" s="1783">
        <f>(AX23/AX21)</f>
        <v>0.3795354784149485</v>
      </c>
      <c r="AY44" s="1783">
        <f>(AY23/AY21)</f>
        <v>0.38000600584204641</v>
      </c>
      <c r="AZ44" s="1782"/>
      <c r="BA44" s="1783">
        <f>(BA23/BA21)</f>
        <v>0.36749891085151198</v>
      </c>
      <c r="BB44" s="1783">
        <f>(BB23/BB21)</f>
        <v>0.36750063656814941</v>
      </c>
      <c r="BC44" s="1783">
        <f>(BC23/BC21)</f>
        <v>0.36749777310553461</v>
      </c>
      <c r="BD44" s="1783">
        <f>(BD23/BD21)</f>
        <v>0.34628655107622147</v>
      </c>
      <c r="BE44" s="1782"/>
      <c r="BF44" s="1783">
        <f>(BF23/BF21)</f>
        <v>0.33750499828129271</v>
      </c>
      <c r="BG44" s="1783">
        <f>(BG23/BG21)</f>
        <v>0.32935344055910043</v>
      </c>
      <c r="BH44" s="1783">
        <f>(BH23/BH21)</f>
        <v>0.33249722793381492</v>
      </c>
      <c r="BI44" s="1783">
        <f>(BI23/BI21)</f>
        <v>0.34827558459532965</v>
      </c>
      <c r="BJ44" s="1782"/>
      <c r="BK44" s="1783">
        <f>(BK23/BK21)</f>
        <v>0.32944379982782512</v>
      </c>
      <c r="BL44" s="1783">
        <f>(BL23/BL21)</f>
        <v>0.33096842510589153</v>
      </c>
      <c r="BM44" s="1783">
        <f>(BM23/BM21)</f>
        <v>0.32999225775713181</v>
      </c>
      <c r="BN44" s="1783">
        <f>(BN23/BN21)</f>
        <v>0.31870650972231246</v>
      </c>
      <c r="BO44" s="1782"/>
      <c r="BP44" s="1783">
        <f>(BP23/BP21)</f>
        <v>0.32849936757046977</v>
      </c>
      <c r="BQ44" s="1783">
        <f>(BQ23/BQ21)</f>
        <v>0.32850088895149421</v>
      </c>
      <c r="BR44" s="1783">
        <f>(BR23/BR21)</f>
        <v>0.31292020129403314</v>
      </c>
      <c r="BS44" s="1783">
        <f>(BS23/BS21)</f>
        <v>0.31552813114117723</v>
      </c>
      <c r="BT44" s="1782"/>
      <c r="BU44" s="1783">
        <f>(BU23/BU21)</f>
        <v>0.3259863516280912</v>
      </c>
      <c r="BV44" s="1783">
        <f>(BV23/BV21)</f>
        <v>0.32075652666386534</v>
      </c>
      <c r="BW44" s="1783">
        <f>(BW23/BW21)</f>
        <v>0.26857887874837033</v>
      </c>
      <c r="BX44" s="1783">
        <f>(BX23/BX21)</f>
        <v>0.29448202084339864</v>
      </c>
      <c r="BY44" s="1783"/>
      <c r="BZ44" s="1783">
        <f>(BZ23/BZ21)</f>
        <v>0.3299632352941177</v>
      </c>
      <c r="CA44" s="1783">
        <f>(CA23/CA21)</f>
        <v>0.33132932531730119</v>
      </c>
      <c r="CB44" s="1783">
        <f>(CB23/CB21)</f>
        <v>0.31039229181004818</v>
      </c>
      <c r="CC44" s="1783">
        <f>(CC23/CC21)</f>
        <v>0.29048414023372249</v>
      </c>
      <c r="CD44" s="1783"/>
      <c r="CE44" s="1783">
        <f>(CE23/CE21)</f>
        <v>0.28553379658875572</v>
      </c>
      <c r="CF44" s="1783">
        <f>(CF23/CF21)</f>
        <v>0.32400430570505934</v>
      </c>
      <c r="CG44" s="1783">
        <f>(CG23/CG21)</f>
        <v>0.14590502408809386</v>
      </c>
      <c r="CH44" s="1783">
        <f>(CH23/CH21)</f>
        <v>0.24671445639187597</v>
      </c>
      <c r="CI44" s="1783"/>
      <c r="CJ44" s="1783">
        <f>(CJ23/CJ21)</f>
        <v>0.26358854471069554</v>
      </c>
      <c r="CK44" s="1783">
        <f>(CK23/CK21)</f>
        <v>0.2697095435684646</v>
      </c>
      <c r="CL44" s="1783">
        <f>(CL23/CL21)</f>
        <v>0.17531645569620252</v>
      </c>
      <c r="CM44" s="1783">
        <f>(CM23/CM21)</f>
        <v>0.19211036369855208</v>
      </c>
      <c r="CN44" s="1783"/>
      <c r="CO44" s="1783">
        <f>(CO23/CO21)</f>
        <v>0.19285232636547531</v>
      </c>
      <c r="CP44" s="1783">
        <f>(CP23/CP21)</f>
        <v>0.21305576972500651</v>
      </c>
      <c r="CQ44" s="1783">
        <f>(CQ23/CQ21)</f>
        <v>0.19</v>
      </c>
      <c r="CR44" s="1783">
        <f>(CR23/CR21)</f>
        <v>0.19000000000000003</v>
      </c>
      <c r="CS44" s="1782"/>
      <c r="CT44" s="1771">
        <f>(CT23/CT21)</f>
        <v>0.30647249190938514</v>
      </c>
      <c r="CU44" s="1771">
        <f>(CU23/CU21)</f>
        <v>0.26600726408844855</v>
      </c>
      <c r="CV44" s="1771">
        <f>(CV23/CV21)</f>
        <v>0.16870484723735737</v>
      </c>
      <c r="CW44" s="1771">
        <f>(CW23/CW21)</f>
        <v>8.9648056861171527E-2</v>
      </c>
      <c r="CX44" s="1771">
        <f t="shared" ref="CX44:DE44" si="34">(CX23/CX21)</f>
        <v>0.3060758583498116</v>
      </c>
      <c r="CY44" s="1770">
        <f t="shared" si="34"/>
        <v>0.34038788834508027</v>
      </c>
      <c r="CZ44" s="1770">
        <f t="shared" si="34"/>
        <v>0.3549144953566169</v>
      </c>
      <c r="DA44" s="1770">
        <f t="shared" si="34"/>
        <v>0.37000473786832355</v>
      </c>
      <c r="DB44" s="1770">
        <f t="shared" si="34"/>
        <v>0.37333046100818634</v>
      </c>
      <c r="DC44" s="1771">
        <f t="shared" si="34"/>
        <v>0.36726424090168147</v>
      </c>
      <c r="DD44" s="1770">
        <f t="shared" si="34"/>
        <v>0.37909736810415195</v>
      </c>
      <c r="DE44" s="1771">
        <f t="shared" si="34"/>
        <v>0.38479998453613246</v>
      </c>
      <c r="DF44" s="1770">
        <f t="shared" ref="DF44:DK44" si="35">(DF23/DF21)</f>
        <v>0.39000114271715114</v>
      </c>
      <c r="DG44" s="1771">
        <f t="shared" si="35"/>
        <v>0.37990909534823708</v>
      </c>
      <c r="DH44" s="1770">
        <f t="shared" si="35"/>
        <v>0.36199137446090385</v>
      </c>
      <c r="DI44" s="1770">
        <f t="shared" si="35"/>
        <v>0.33619565045365229</v>
      </c>
      <c r="DJ44" s="1771">
        <f t="shared" si="35"/>
        <v>0.32751062871228176</v>
      </c>
      <c r="DK44" s="1771">
        <f t="shared" si="35"/>
        <v>0.32199973565952961</v>
      </c>
      <c r="DL44" s="1771">
        <f t="shared" ref="DL44:DR44" si="36">(DL23/DL21)</f>
        <v>0.30639387698781717</v>
      </c>
      <c r="DM44" s="1771">
        <f t="shared" si="36"/>
        <v>0.3208029663725866</v>
      </c>
      <c r="DN44" s="1771">
        <f t="shared" si="36"/>
        <v>0.26410564225690308</v>
      </c>
      <c r="DO44" s="1771">
        <f t="shared" si="36"/>
        <v>0.23244973038351033</v>
      </c>
      <c r="DP44" s="1771">
        <f t="shared" si="36"/>
        <v>0.20032058087780233</v>
      </c>
      <c r="DQ44" s="1771">
        <f t="shared" si="36"/>
        <v>0.215</v>
      </c>
      <c r="DR44" s="1771">
        <f t="shared" si="36"/>
        <v>0.215</v>
      </c>
      <c r="DS44" s="1770">
        <f>(DS23/DS21)</f>
        <v>0.215</v>
      </c>
      <c r="DT44" s="1772">
        <f>(DT23/DT21)</f>
        <v>0.215</v>
      </c>
    </row>
    <row r="45" spans="1:124">
      <c r="A45" s="1749" t="s">
        <v>50</v>
      </c>
      <c r="B45" s="1764"/>
      <c r="C45" s="1783">
        <f>(C26/C10)</f>
        <v>1.7359699064660426E-2</v>
      </c>
      <c r="D45" s="1783">
        <f>(D26/D10)</f>
        <v>0.14558435671309644</v>
      </c>
      <c r="E45" s="1783">
        <f>(E26/E10)</f>
        <v>2.6366101223581701E-2</v>
      </c>
      <c r="F45" s="1783">
        <f>(F26/F10)</f>
        <v>4.3209572177571758E-2</v>
      </c>
      <c r="G45" s="1783"/>
      <c r="H45" s="1783">
        <f>(H26/H10)</f>
        <v>9.5372447621582701E-2</v>
      </c>
      <c r="I45" s="1783">
        <f>(I26/I10)</f>
        <v>0.18577629508880339</v>
      </c>
      <c r="J45" s="1783">
        <f>(J26/J10)</f>
        <v>6.0693319757545015E-2</v>
      </c>
      <c r="K45" s="1783">
        <f>(K26/K10)</f>
        <v>6.9744582394483209E-2</v>
      </c>
      <c r="L45" s="1782"/>
      <c r="M45" s="1783">
        <f>(M26/M10)</f>
        <v>8.3197303287282184E-2</v>
      </c>
      <c r="N45" s="1783">
        <f>(N26/N10)</f>
        <v>0.18734252386002118</v>
      </c>
      <c r="O45" s="1783">
        <f>(O26/O10)</f>
        <v>0.1007854132239077</v>
      </c>
      <c r="P45" s="1783">
        <f>(P26/P10)</f>
        <v>9.4596802427354354E-2</v>
      </c>
      <c r="Q45" s="1782"/>
      <c r="R45" s="1783">
        <f>(R26/R10)</f>
        <v>0.11660295345737089</v>
      </c>
      <c r="S45" s="1783">
        <f>(S26/S10)</f>
        <v>0.20235444359091553</v>
      </c>
      <c r="T45" s="1783">
        <f>(T26/T10)</f>
        <v>0.14452621644675942</v>
      </c>
      <c r="U45" s="1783">
        <f>(U26/U10)</f>
        <v>0.12899324452737601</v>
      </c>
      <c r="V45" s="1782"/>
      <c r="W45" s="1783">
        <f>(W26/W10)</f>
        <v>0.16382776971456214</v>
      </c>
      <c r="X45" s="1783">
        <f>(X26/X10)</f>
        <v>0.23191976924179794</v>
      </c>
      <c r="Y45" s="1783">
        <f>(Y26/Y10)</f>
        <v>0.18625368524273894</v>
      </c>
      <c r="Z45" s="1783">
        <f>(Z26/Z10)</f>
        <v>0.19420662733442742</v>
      </c>
      <c r="AA45" s="1782"/>
      <c r="AB45" s="1783">
        <f>(AB26/AB10)</f>
        <v>0.17723685931437372</v>
      </c>
      <c r="AC45" s="1783">
        <f>(AC26/AC10)</f>
        <v>0.23864758283357687</v>
      </c>
      <c r="AD45" s="1783">
        <f>(AD26/AD10)</f>
        <v>0.19443235666768444</v>
      </c>
      <c r="AE45" s="1783">
        <f>(AE26/AE10)</f>
        <v>0.21462762145894046</v>
      </c>
      <c r="AF45" s="1782"/>
      <c r="AG45" s="1783">
        <f>(AG26/AG10)</f>
        <v>0.20250460829493094</v>
      </c>
      <c r="AH45" s="1783">
        <f>(AH26/AH10)</f>
        <v>0.26087447563730232</v>
      </c>
      <c r="AI45" s="1783">
        <f>(AI26/AI10)</f>
        <v>0.21194118211115698</v>
      </c>
      <c r="AJ45" s="1783">
        <f>(AJ26/AJ10)</f>
        <v>0.22488251959335925</v>
      </c>
      <c r="AK45" s="1782"/>
      <c r="AL45" s="1783">
        <f>(AL26/AL10)</f>
        <v>0.21766986953672038</v>
      </c>
      <c r="AM45" s="1783">
        <f>(AM26/AM10)</f>
        <v>0.26625645634388151</v>
      </c>
      <c r="AN45" s="1783">
        <f>(AN26/AN10)</f>
        <v>0.23570972792390243</v>
      </c>
      <c r="AO45" s="1783">
        <f>(AO26/AO10)</f>
        <v>0.24443476674093625</v>
      </c>
      <c r="AP45" s="1782"/>
      <c r="AQ45" s="1783">
        <f>(AQ26/AQ10)</f>
        <v>0.22873043128747869</v>
      </c>
      <c r="AR45" s="1783">
        <f>(AR26/AR10)</f>
        <v>0.25798835807557541</v>
      </c>
      <c r="AS45" s="1783">
        <f>(AS26/AS10)</f>
        <v>0.21814264722869173</v>
      </c>
      <c r="AT45" s="1783">
        <f>(AT26/AT10)</f>
        <v>0.22071273192578378</v>
      </c>
      <c r="AU45" s="1782"/>
      <c r="AV45" s="1783">
        <f>(AV26/AV10)</f>
        <v>0.19376130355109236</v>
      </c>
      <c r="AW45" s="1783">
        <f>(AW26/AW10)</f>
        <v>0.22588351439616094</v>
      </c>
      <c r="AX45" s="1783">
        <f>(AX26/AX10)</f>
        <v>0.16657994780650834</v>
      </c>
      <c r="AY45" s="1783">
        <f>(AY26/AY10)</f>
        <v>0.17520675183607973</v>
      </c>
      <c r="AZ45" s="1782"/>
      <c r="BA45" s="1783">
        <f>(BA26/BA10)</f>
        <v>0.18494898461724343</v>
      </c>
      <c r="BB45" s="1783">
        <f>(BB26/BB10)</f>
        <v>0.22624306928136498</v>
      </c>
      <c r="BC45" s="1783">
        <f>(BC26/BC10)</f>
        <v>0.18976993242795878</v>
      </c>
      <c r="BD45" s="1783">
        <f>(BD26/BD10)</f>
        <v>0.20570421609110759</v>
      </c>
      <c r="BE45" s="1782"/>
      <c r="BF45" s="1783">
        <f>(BF26/BF10)</f>
        <v>0.2071760693848316</v>
      </c>
      <c r="BG45" s="1783">
        <f>(BG26/BG10)</f>
        <v>0.23996703723416463</v>
      </c>
      <c r="BH45" s="1783">
        <f>(BH26/BH10)</f>
        <v>0.19565985699048916</v>
      </c>
      <c r="BI45" s="1783">
        <f>(BI26/BI10)</f>
        <v>0.19626432742869607</v>
      </c>
      <c r="BJ45" s="1782"/>
      <c r="BK45" s="1783">
        <f>(BK26/BK10)</f>
        <v>0.20467573467738165</v>
      </c>
      <c r="BL45" s="1783">
        <f>(BL26/BL10)</f>
        <v>0.23987522167205438</v>
      </c>
      <c r="BM45" s="1783">
        <f>(BM26/BM10)</f>
        <v>0.2028907618795994</v>
      </c>
      <c r="BN45" s="1783">
        <f>(BN26/BN10)</f>
        <v>0.21765231896716652</v>
      </c>
      <c r="BO45" s="1782"/>
      <c r="BP45" s="1783">
        <f>(BP26/BP10)</f>
        <v>0.1906238429414043</v>
      </c>
      <c r="BQ45" s="1783">
        <f>(BQ26/BQ10)</f>
        <v>0.23458578217205503</v>
      </c>
      <c r="BR45" s="1783">
        <f>(BR26/BR10)</f>
        <v>0.20119267955452186</v>
      </c>
      <c r="BS45" s="1783">
        <f>(BS26/BS10)</f>
        <v>0.20766622392630016</v>
      </c>
      <c r="BT45" s="1782"/>
      <c r="BU45" s="1783">
        <f>(BU26/BU10)</f>
        <v>0.18933835030762272</v>
      </c>
      <c r="BV45" s="1783">
        <f>(BV26/BV10)</f>
        <v>0.20951885851464902</v>
      </c>
      <c r="BW45" s="1783">
        <f>(BW26/BW10)</f>
        <v>0.17345897605185759</v>
      </c>
      <c r="BX45" s="1783">
        <f>(BX26/BX10)</f>
        <v>0.14394798172178516</v>
      </c>
      <c r="BY45" s="1783"/>
      <c r="BZ45" s="1783">
        <f>(BZ26/BZ10)</f>
        <v>0.14035425490951095</v>
      </c>
      <c r="CA45" s="1783">
        <f>(CA26/CA10)</f>
        <v>0.16417910447761203</v>
      </c>
      <c r="CB45" s="1783">
        <f>(CB26/CB10)</f>
        <v>0.10782309265038204</v>
      </c>
      <c r="CC45" s="1783">
        <f>(CC26/CC10)</f>
        <v>8.4652923015636039E-2</v>
      </c>
      <c r="CD45" s="1783"/>
      <c r="CE45" s="1783">
        <f>(CE26/CE10)</f>
        <v>0.109773852276036</v>
      </c>
      <c r="CF45" s="1783">
        <f>(CF26/CF10)</f>
        <v>0.14790390956194055</v>
      </c>
      <c r="CG45" s="1783">
        <f>(CG26/CG10)</f>
        <v>0.12012389894492279</v>
      </c>
      <c r="CH45" s="1783">
        <f>(CH26/CH10)</f>
        <v>0.10921531266239377</v>
      </c>
      <c r="CI45" s="1783"/>
      <c r="CJ45" s="1783">
        <f>(CJ26/CJ10)</f>
        <v>0.12143407864302234</v>
      </c>
      <c r="CK45" s="1783">
        <f>(CK26/CK10)</f>
        <v>0.159794204433684</v>
      </c>
      <c r="CL45" s="1783">
        <f>(CL26/CL10)</f>
        <v>0.13092845659163987</v>
      </c>
      <c r="CM45" s="1783">
        <f>(CM26/CM10)</f>
        <v>0.12499559005115539</v>
      </c>
      <c r="CN45" s="1783"/>
      <c r="CO45" s="1783">
        <f>(CO26/CO10)</f>
        <v>9.2869889052680635E-2</v>
      </c>
      <c r="CP45" s="1783">
        <f>(CP26/CP10)</f>
        <v>0.17154061624649855</v>
      </c>
      <c r="CQ45" s="1783">
        <f>(CQ26/CQ10)</f>
        <v>0.10618793179736227</v>
      </c>
      <c r="CR45" s="1783">
        <f>(CR26/CR10)</f>
        <v>0.11254353765175608</v>
      </c>
      <c r="CS45" s="1782"/>
      <c r="CT45" s="1771">
        <f>(CT26/CT10)</f>
        <v>8.3605614021398822E-2</v>
      </c>
      <c r="CU45" s="1771">
        <f>(CU26/CU10)</f>
        <v>5.94634007320963E-2</v>
      </c>
      <c r="CV45" s="1771">
        <f>(CV26/CV10)</f>
        <v>4.0078612221865442E-2</v>
      </c>
      <c r="CW45" s="1771">
        <f>(CW26/CW10)</f>
        <v>4.7556213868216853E-2</v>
      </c>
      <c r="CX45" s="1771">
        <f t="shared" ref="CX45:DE45" si="37">(CX26/CX10)</f>
        <v>7.0325622406260932E-2</v>
      </c>
      <c r="CY45" s="1770">
        <f t="shared" si="37"/>
        <v>0.11423818175459749</v>
      </c>
      <c r="CZ45" s="1770">
        <f t="shared" si="37"/>
        <v>0.10508713474922959</v>
      </c>
      <c r="DA45" s="1770">
        <f t="shared" si="37"/>
        <v>0.13709340701995126</v>
      </c>
      <c r="DB45" s="1770">
        <f t="shared" si="37"/>
        <v>0.18011348067452559</v>
      </c>
      <c r="DC45" s="1771">
        <f t="shared" si="37"/>
        <v>0.20966275593815098</v>
      </c>
      <c r="DD45" s="1770">
        <f t="shared" si="37"/>
        <v>0.22802125310366952</v>
      </c>
      <c r="DE45" s="1771">
        <f t="shared" si="37"/>
        <v>0.24365156772018345</v>
      </c>
      <c r="DF45" s="1770">
        <f t="shared" ref="DF45:DK45" si="38">(DF26/DF10)</f>
        <v>0.23327843026046949</v>
      </c>
      <c r="DG45" s="1771">
        <f t="shared" si="38"/>
        <v>0.19261667349746217</v>
      </c>
      <c r="DH45" s="1770">
        <f t="shared" si="38"/>
        <v>0.20371789171634827</v>
      </c>
      <c r="DI45" s="1770">
        <f t="shared" si="38"/>
        <v>0.21180678546411014</v>
      </c>
      <c r="DJ45" s="1771">
        <f t="shared" si="38"/>
        <v>0.21811268942177281</v>
      </c>
      <c r="DK45" s="1771">
        <f t="shared" si="38"/>
        <v>0.21022778545097018</v>
      </c>
      <c r="DL45" s="1771">
        <f t="shared" ref="DL45:DR45" si="39">(DL26/DL10)</f>
        <v>0.18093551988608131</v>
      </c>
      <c r="DM45" s="1771">
        <f t="shared" si="39"/>
        <v>0.12672964977574197</v>
      </c>
      <c r="DN45" s="1771">
        <f t="shared" si="39"/>
        <v>0.12282381228015475</v>
      </c>
      <c r="DO45" s="1771">
        <f t="shared" si="39"/>
        <v>0.13573513356950312</v>
      </c>
      <c r="DP45" s="1771">
        <f t="shared" si="39"/>
        <v>0.12483230526864929</v>
      </c>
      <c r="DQ45" s="1771">
        <f t="shared" si="39"/>
        <v>0.13264202564566158</v>
      </c>
      <c r="DR45" s="1771">
        <f t="shared" si="39"/>
        <v>0.13398221361791729</v>
      </c>
      <c r="DS45" s="1770">
        <f>(DS26/DS10)</f>
        <v>0.13523907835752655</v>
      </c>
      <c r="DT45" s="1772">
        <f>(DT26/DT10)</f>
        <v>0.13861115889729389</v>
      </c>
    </row>
    <row r="46" spans="1:124">
      <c r="A46" s="1749" t="s">
        <v>48</v>
      </c>
      <c r="B46" s="1764"/>
      <c r="C46" s="1783">
        <f>(C33/C10)</f>
        <v>2.5831977768740678E-2</v>
      </c>
      <c r="D46" s="1783">
        <f>(D33/D10)</f>
        <v>0.21027878513145959</v>
      </c>
      <c r="E46" s="1783">
        <f>(E33/E10)</f>
        <v>3.8836554505005512E-2</v>
      </c>
      <c r="F46" s="1783">
        <f>(F33/F10)</f>
        <v>0.24905083575760562</v>
      </c>
      <c r="G46" s="1783"/>
      <c r="H46" s="1783">
        <f>(H33/H10)</f>
        <v>0.17319860070725135</v>
      </c>
      <c r="I46" s="1783">
        <f>(I33/I10)</f>
        <v>0.32102256572587529</v>
      </c>
      <c r="J46" s="1783">
        <f>(J33/J10)</f>
        <v>0.1463301621140049</v>
      </c>
      <c r="K46" s="1783">
        <f>(K33/K10)</f>
        <v>0.16235992862219656</v>
      </c>
      <c r="L46" s="1782"/>
      <c r="M46" s="1783">
        <f>(M33/M10)</f>
        <v>0.17148743878647926</v>
      </c>
      <c r="N46" s="1783">
        <f>(N33/N10)</f>
        <v>0.3237094379639448</v>
      </c>
      <c r="O46" s="1783">
        <f>(O33/O10)</f>
        <v>0.18629890264960908</v>
      </c>
      <c r="P46" s="1783">
        <f>(P33/P10)</f>
        <v>0.17647041661804172</v>
      </c>
      <c r="Q46" s="1782"/>
      <c r="R46" s="1783">
        <f>(R33/R10)</f>
        <v>0.22868287420055913</v>
      </c>
      <c r="S46" s="1783">
        <f>(S33/S10)</f>
        <v>0.35532845201168156</v>
      </c>
      <c r="T46" s="1783">
        <f>(T33/T10)</f>
        <v>0.27297682353581726</v>
      </c>
      <c r="U46" s="1783">
        <f>(U33/U10)</f>
        <v>0.25965807978714212</v>
      </c>
      <c r="V46" s="1782"/>
      <c r="W46" s="1783">
        <f>(W33/W10)</f>
        <v>0.31144654088050311</v>
      </c>
      <c r="X46" s="1783">
        <f>(X33/X10)</f>
        <v>0.41403795262847098</v>
      </c>
      <c r="Y46" s="1783">
        <f>(Y33/Y10)</f>
        <v>0.3645379831540887</v>
      </c>
      <c r="Z46" s="1783">
        <f>(Z33/Z10)</f>
        <v>0.35365301867542026</v>
      </c>
      <c r="AA46" s="1782"/>
      <c r="AB46" s="1783">
        <f>(AB33/AB10)</f>
        <v>0.32888553035036983</v>
      </c>
      <c r="AC46" s="1783">
        <f>(AC33/AC10)</f>
        <v>0.42255044108327272</v>
      </c>
      <c r="AD46" s="1783">
        <f>(AD33/AD10)</f>
        <v>0.34867372379122902</v>
      </c>
      <c r="AE46" s="1783">
        <f>(AE33/AE10)</f>
        <v>0.33459848086752969</v>
      </c>
      <c r="AF46" s="1782"/>
      <c r="AG46" s="1783">
        <f>(AG33/AG10)</f>
        <v>0.34467511520737332</v>
      </c>
      <c r="AH46" s="1783">
        <f>(AH33/AH10)</f>
        <v>0.43713455953533398</v>
      </c>
      <c r="AI46" s="1783">
        <f>(AI33/AI10)</f>
        <v>0.35455204932898077</v>
      </c>
      <c r="AJ46" s="1783">
        <f>(AJ33/AJ10)</f>
        <v>0.37731696084119359</v>
      </c>
      <c r="AK46" s="1782"/>
      <c r="AL46" s="1783">
        <f>(AL33/AL10)</f>
        <v>0.37680031581671303</v>
      </c>
      <c r="AM46" s="1783">
        <f>(AM33/AM10)</f>
        <v>0.44787941455034302</v>
      </c>
      <c r="AN46" s="1783">
        <f>(AN33/AN10)</f>
        <v>0.39541150450261708</v>
      </c>
      <c r="AO46" s="1783">
        <f>(AO33/AO10)</f>
        <v>0.40893442861765078</v>
      </c>
      <c r="AP46" s="1782"/>
      <c r="AQ46" s="1783">
        <f>(AQ33/AQ10)</f>
        <v>0.38935863978791757</v>
      </c>
      <c r="AR46" s="1783">
        <f>(AR33/AR10)</f>
        <v>0.43708238200358485</v>
      </c>
      <c r="AS46" s="1783">
        <f>(AS33/AS10)</f>
        <v>0.37943942556432175</v>
      </c>
      <c r="AT46" s="1783">
        <f>(AT33/AT10)</f>
        <v>0.3921586692258478</v>
      </c>
      <c r="AU46" s="1782"/>
      <c r="AV46" s="1783">
        <f>(AV33/AV10)</f>
        <v>0.35105225180690708</v>
      </c>
      <c r="AW46" s="1783">
        <f>(AW33/AW10)</f>
        <v>0.39444064916022392</v>
      </c>
      <c r="AX46" s="1783">
        <f>(AX33/AX10)</f>
        <v>0.31017151413832761</v>
      </c>
      <c r="AY46" s="1783">
        <f>(AY33/AY10)</f>
        <v>0.32257143738813798</v>
      </c>
      <c r="AZ46" s="1782"/>
      <c r="BA46" s="1783">
        <f>(BA33/BA10)</f>
        <v>0.33702985276523206</v>
      </c>
      <c r="BB46" s="1783">
        <f>(BB33/BB10)</f>
        <v>0.3839324698006113</v>
      </c>
      <c r="BC46" s="1783">
        <f>(BC33/BC10)</f>
        <v>0.33912424804585228</v>
      </c>
      <c r="BD46" s="1783">
        <f>(BD33/BD10)</f>
        <v>0.34685884116672372</v>
      </c>
      <c r="BE46" s="1782"/>
      <c r="BF46" s="1783">
        <f>(BF33/BF10)</f>
        <v>0.34871318428069836</v>
      </c>
      <c r="BG46" s="1783">
        <f>(BG33/BG10)</f>
        <v>0.38321825099627754</v>
      </c>
      <c r="BH46" s="1783">
        <f>(BH33/BH10)</f>
        <v>0.32595250266643944</v>
      </c>
      <c r="BI46" s="1783">
        <f>(BI33/BI10)</f>
        <v>0.33280635859161073</v>
      </c>
      <c r="BJ46" s="1782"/>
      <c r="BK46" s="1783">
        <f>(BK33/BK10)</f>
        <v>0.33704666690150692</v>
      </c>
      <c r="BL46" s="1783">
        <f>(BL33/BL10)</f>
        <v>0.38256264975159604</v>
      </c>
      <c r="BM46" s="1783">
        <f>(BM33/BM10)</f>
        <v>0.3346702964252769</v>
      </c>
      <c r="BN46" s="1783">
        <f>(BN33/BN10)</f>
        <v>0.3503706313501404</v>
      </c>
      <c r="BO46" s="1782"/>
      <c r="BP46" s="1783">
        <f>(BP33/BP10)</f>
        <v>0.3167184741895207</v>
      </c>
      <c r="BQ46" s="1783">
        <f>(BQ33/BQ10)</f>
        <v>0.377286746545691</v>
      </c>
      <c r="BR46" s="1783">
        <f>(BR33/BR10)</f>
        <v>0.32610742199670245</v>
      </c>
      <c r="BS46" s="1783">
        <f>(BS33/BS10)</f>
        <v>0.34209626658640646</v>
      </c>
      <c r="BT46" s="1782"/>
      <c r="BU46" s="1783">
        <f>(BU33/BU10)</f>
        <v>0.3185703361256908</v>
      </c>
      <c r="BV46" s="1783">
        <f>(BV33/BV10)</f>
        <v>0.34087758448716005</v>
      </c>
      <c r="BW46" s="1783">
        <f>(BW33/BW10)</f>
        <v>0.2825587972637969</v>
      </c>
      <c r="BX46" s="1783">
        <f>(BX33/BX10)</f>
        <v>0.24618206397375139</v>
      </c>
      <c r="BY46" s="1783"/>
      <c r="BZ46" s="1783">
        <f>(BZ33/BZ10)</f>
        <v>0.2504813246053138</v>
      </c>
      <c r="CA46" s="1783">
        <f>(CA33/CA10)</f>
        <v>0.28333606691815655</v>
      </c>
      <c r="CB46" s="1783">
        <f>(CB33/CB10)</f>
        <v>0.20865167330248574</v>
      </c>
      <c r="CC46" s="1783">
        <f>(CC33/CC10)</f>
        <v>0.17996215516382846</v>
      </c>
      <c r="CD46" s="1783"/>
      <c r="CE46" s="1783">
        <f>(CE33/CE10)</f>
        <v>0.21294768514025031</v>
      </c>
      <c r="CF46" s="1783">
        <f>(CF33/CF10)</f>
        <v>0.26511226252158887</v>
      </c>
      <c r="CG46" s="1783">
        <f>(CG33/CG10)</f>
        <v>0.1948504501016356</v>
      </c>
      <c r="CH46" s="1783">
        <f>(CH33/CH10)</f>
        <v>0.19816386627403418</v>
      </c>
      <c r="CI46" s="1783"/>
      <c r="CJ46" s="1783">
        <f>(CJ33/CJ10)</f>
        <v>0.22079799537393985</v>
      </c>
      <c r="CK46" s="1783">
        <f>(CK33/CK10)</f>
        <v>0.25890898085798603</v>
      </c>
      <c r="CL46" s="1783">
        <f>(CL33/CL10)</f>
        <v>0.2115152733118971</v>
      </c>
      <c r="CM46" s="1783">
        <f>(CM33/CM10)</f>
        <v>0.21487034750396897</v>
      </c>
      <c r="CN46" s="1783"/>
      <c r="CO46" s="1783">
        <f>(CO33/CO10)</f>
        <v>0.18139498797424164</v>
      </c>
      <c r="CP46" s="1783">
        <f>(CP33/CP10)</f>
        <v>0.26683473389355739</v>
      </c>
      <c r="CQ46" s="1783">
        <f>(CQ33/CQ10)</f>
        <v>0.19428549793096703</v>
      </c>
      <c r="CR46" s="1783">
        <f>(CR33/CR10)</f>
        <v>0.20783820174090636</v>
      </c>
      <c r="CS46" s="1782"/>
      <c r="CT46" s="1771">
        <f>(CT33/CT10)</f>
        <v>0.12103307356942913</v>
      </c>
      <c r="CU46" s="1771">
        <f>(CU33/CU10)</f>
        <v>0.12231524559280181</v>
      </c>
      <c r="CV46" s="1771">
        <f>(CV33/CV10)</f>
        <v>9.3005652685755405E-2</v>
      </c>
      <c r="CW46" s="1771">
        <f>(CW33/CW10)</f>
        <v>9.7493931457408464E-2</v>
      </c>
      <c r="CX46" s="1771">
        <f t="shared" ref="CX46:DE46" si="40">(CX33/CX10)</f>
        <v>0.14327276569542252</v>
      </c>
      <c r="CY46" s="1770">
        <f t="shared" si="40"/>
        <v>0.21713564399799498</v>
      </c>
      <c r="CZ46" s="1770">
        <f t="shared" si="40"/>
        <v>0.19915402076443942</v>
      </c>
      <c r="DA46" s="1770">
        <f t="shared" si="40"/>
        <v>0.26088251894094378</v>
      </c>
      <c r="DB46" s="1770">
        <f t="shared" si="40"/>
        <v>0.33714478626241939</v>
      </c>
      <c r="DC46" s="1771">
        <f t="shared" si="40"/>
        <v>0.36421575247760352</v>
      </c>
      <c r="DD46" s="1770">
        <f t="shared" si="40"/>
        <v>0.38320743396732621</v>
      </c>
      <c r="DE46" s="1771">
        <f t="shared" si="40"/>
        <v>0.41119505936176531</v>
      </c>
      <c r="DF46" s="1770">
        <f t="shared" ref="DF46:DK46" si="41">(DF33/DF10)</f>
        <v>0.40239886291219351</v>
      </c>
      <c r="DG46" s="1771">
        <f t="shared" si="41"/>
        <v>0.34772887395881946</v>
      </c>
      <c r="DH46" s="1770">
        <f t="shared" si="41"/>
        <v>0.35394784839712201</v>
      </c>
      <c r="DI46" s="1770">
        <f t="shared" si="41"/>
        <v>0.3500554405703778</v>
      </c>
      <c r="DJ46" s="1771">
        <f t="shared" si="41"/>
        <v>0.3535677845472982</v>
      </c>
      <c r="DK46" s="1771">
        <f t="shared" si="41"/>
        <v>0.34297462855071231</v>
      </c>
      <c r="DL46" s="1771">
        <f t="shared" ref="DL46:DR46" si="42">(DL33/DL10)</f>
        <v>0.29980716678741304</v>
      </c>
      <c r="DM46" s="1771">
        <f t="shared" si="42"/>
        <v>0.23387250691859907</v>
      </c>
      <c r="DN46" s="1771">
        <f t="shared" si="42"/>
        <v>0.21977826261187033</v>
      </c>
      <c r="DO46" s="1771">
        <f t="shared" si="42"/>
        <v>0.22864336162912477</v>
      </c>
      <c r="DP46" s="1771">
        <f t="shared" si="42"/>
        <v>0.21701890417238096</v>
      </c>
      <c r="DQ46" s="1771">
        <f t="shared" si="42"/>
        <v>0.22399040171111559</v>
      </c>
      <c r="DR46" s="1771">
        <f t="shared" si="42"/>
        <v>0.22549040171111559</v>
      </c>
      <c r="DS46" s="1770">
        <f>(DS33/DS10)</f>
        <v>0.2268904017111156</v>
      </c>
      <c r="DT46" s="1772">
        <f>(DT33/DT10)</f>
        <v>0.23099040171111546</v>
      </c>
    </row>
    <row r="47" spans="1:124">
      <c r="A47" s="1749"/>
      <c r="B47" s="1686"/>
      <c r="C47" s="1786"/>
      <c r="D47" s="1786"/>
      <c r="E47" s="1786"/>
      <c r="F47" s="1786"/>
      <c r="G47" s="1786"/>
      <c r="H47" s="1786"/>
      <c r="I47" s="1786"/>
      <c r="J47" s="1786"/>
      <c r="K47" s="1786"/>
      <c r="L47" s="1786"/>
      <c r="M47" s="1786"/>
      <c r="N47" s="1786"/>
      <c r="O47" s="1786"/>
      <c r="P47" s="1786"/>
      <c r="Q47" s="1786"/>
      <c r="R47" s="1786"/>
      <c r="S47" s="1786"/>
      <c r="T47" s="1786"/>
      <c r="U47" s="1786"/>
      <c r="V47" s="1786"/>
      <c r="W47" s="1786"/>
      <c r="X47" s="1786"/>
      <c r="Y47" s="1786"/>
      <c r="Z47" s="1786"/>
      <c r="AA47" s="1786"/>
      <c r="AB47" s="1786"/>
      <c r="AC47" s="1786"/>
      <c r="AD47" s="1786"/>
      <c r="AE47" s="1786"/>
      <c r="AF47" s="1786"/>
      <c r="AG47" s="1786"/>
      <c r="AH47" s="1786"/>
      <c r="AI47" s="1786"/>
      <c r="AJ47" s="1786"/>
      <c r="AK47" s="1786"/>
      <c r="AL47" s="1786"/>
      <c r="AM47" s="1786"/>
      <c r="AN47" s="1786"/>
      <c r="AO47" s="1786"/>
      <c r="AP47" s="1786"/>
      <c r="AQ47" s="1786"/>
      <c r="AR47" s="1786"/>
      <c r="AS47" s="1786"/>
      <c r="AT47" s="1786"/>
      <c r="AU47" s="1786"/>
      <c r="AV47" s="1786"/>
      <c r="AW47" s="1786"/>
      <c r="AX47" s="1786"/>
      <c r="AY47" s="1786"/>
      <c r="AZ47" s="1786"/>
      <c r="BA47" s="1786"/>
      <c r="BB47" s="1786"/>
      <c r="BC47" s="1786"/>
      <c r="BD47" s="1786"/>
      <c r="BE47" s="1786"/>
      <c r="BF47" s="1786"/>
      <c r="BG47" s="1786"/>
      <c r="BH47" s="1786"/>
      <c r="BI47" s="1786"/>
      <c r="BJ47" s="1786"/>
      <c r="BK47" s="1786"/>
      <c r="BL47" s="1786"/>
      <c r="BM47" s="1786"/>
      <c r="BN47" s="1786"/>
      <c r="BO47" s="1786"/>
      <c r="BP47" s="1786"/>
      <c r="BQ47" s="1786"/>
      <c r="BR47" s="1786"/>
      <c r="BS47" s="1786"/>
      <c r="BT47" s="1786"/>
      <c r="BU47" s="1786"/>
      <c r="BV47" s="1786"/>
      <c r="BW47" s="1773"/>
      <c r="BX47" s="1786"/>
      <c r="BY47" s="1786"/>
      <c r="BZ47" s="1786"/>
      <c r="CA47" s="1786"/>
      <c r="CB47" s="1786"/>
      <c r="CC47" s="1786"/>
      <c r="CD47" s="1786"/>
      <c r="CE47" s="1786"/>
      <c r="CF47" s="1786"/>
      <c r="CG47" s="1786"/>
      <c r="CH47" s="1786"/>
      <c r="CI47" s="1786"/>
      <c r="CJ47" s="1786"/>
      <c r="CK47" s="1786"/>
      <c r="CL47" s="1786"/>
      <c r="CM47" s="1786"/>
      <c r="CN47" s="1786"/>
      <c r="CO47" s="1786"/>
      <c r="CP47" s="1786"/>
      <c r="CQ47" s="1786"/>
      <c r="CR47" s="1786"/>
      <c r="CS47" s="1786"/>
      <c r="CT47" s="1781"/>
      <c r="CU47" s="1781"/>
      <c r="CV47" s="1781"/>
      <c r="CW47" s="1781"/>
      <c r="CX47" s="1781"/>
      <c r="CY47" s="1787"/>
      <c r="CZ47" s="1787"/>
      <c r="DA47" s="1787"/>
      <c r="DB47" s="1787"/>
      <c r="DC47" s="1781"/>
      <c r="DD47" s="1787"/>
      <c r="DE47" s="1781"/>
      <c r="DF47" s="1787"/>
      <c r="DG47" s="1781"/>
      <c r="DH47" s="1787"/>
      <c r="DI47" s="1787"/>
      <c r="DJ47" s="1781"/>
      <c r="DK47" s="1781"/>
      <c r="DL47" s="1781"/>
      <c r="DM47" s="1781"/>
      <c r="DN47" s="1781"/>
      <c r="DO47" s="1781"/>
      <c r="DP47" s="1781"/>
      <c r="DQ47" s="1781"/>
      <c r="DR47" s="1781"/>
      <c r="DS47" s="1787"/>
      <c r="DT47" s="1788"/>
    </row>
    <row r="48" spans="1:124">
      <c r="A48" s="1719" t="s">
        <v>100</v>
      </c>
      <c r="B48" s="1702"/>
      <c r="C48" s="1786"/>
      <c r="D48" s="1786"/>
      <c r="E48" s="1786"/>
      <c r="F48" s="1786"/>
      <c r="G48" s="1786"/>
      <c r="H48" s="1786"/>
      <c r="I48" s="1786"/>
      <c r="J48" s="1786"/>
      <c r="K48" s="1786"/>
      <c r="L48" s="1786"/>
      <c r="M48" s="1786"/>
      <c r="N48" s="1786"/>
      <c r="O48" s="1786"/>
      <c r="P48" s="1786"/>
      <c r="Q48" s="1786"/>
      <c r="R48" s="1786"/>
      <c r="S48" s="1786"/>
      <c r="T48" s="1786"/>
      <c r="U48" s="1786"/>
      <c r="V48" s="1786"/>
      <c r="W48" s="1786"/>
      <c r="X48" s="1786"/>
      <c r="Y48" s="1786"/>
      <c r="Z48" s="1786"/>
      <c r="AA48" s="1786"/>
      <c r="AB48" s="1786"/>
      <c r="AC48" s="1786"/>
      <c r="AD48" s="1786"/>
      <c r="AE48" s="1786"/>
      <c r="AF48" s="1786"/>
      <c r="AG48" s="1786"/>
      <c r="AH48" s="1786"/>
      <c r="AI48" s="1786"/>
      <c r="AJ48" s="1786"/>
      <c r="AK48" s="1786"/>
      <c r="AL48" s="1786"/>
      <c r="AM48" s="1786"/>
      <c r="AN48" s="1786"/>
      <c r="AO48" s="1786"/>
      <c r="AP48" s="1786"/>
      <c r="AQ48" s="1786"/>
      <c r="AR48" s="1786"/>
      <c r="AS48" s="1786"/>
      <c r="AT48" s="1786"/>
      <c r="AU48" s="1786"/>
      <c r="AV48" s="1786"/>
      <c r="AW48" s="1786"/>
      <c r="AX48" s="1786"/>
      <c r="AY48" s="1786"/>
      <c r="AZ48" s="1786"/>
      <c r="BA48" s="1786"/>
      <c r="BB48" s="1786"/>
      <c r="BC48" s="1786"/>
      <c r="BD48" s="1786"/>
      <c r="BE48" s="1786"/>
      <c r="BF48" s="1786"/>
      <c r="BG48" s="1786"/>
      <c r="BH48" s="1786"/>
      <c r="BI48" s="1786"/>
      <c r="BJ48" s="1786"/>
      <c r="BK48" s="1786"/>
      <c r="BL48" s="1786"/>
      <c r="BM48" s="1786"/>
      <c r="BN48" s="1786"/>
      <c r="BO48" s="1786"/>
      <c r="BP48" s="1786"/>
      <c r="BQ48" s="1786"/>
      <c r="BR48" s="1786"/>
      <c r="BS48" s="1786"/>
      <c r="BT48" s="1786"/>
      <c r="BU48" s="1786"/>
      <c r="BV48" s="1786"/>
      <c r="BW48" s="1786"/>
      <c r="BX48" s="1786"/>
      <c r="BY48" s="1786"/>
      <c r="BZ48" s="1786"/>
      <c r="CA48" s="1786"/>
      <c r="CB48" s="1786"/>
      <c r="CC48" s="1786"/>
      <c r="CD48" s="1786"/>
      <c r="CE48" s="1786"/>
      <c r="CF48" s="1786"/>
      <c r="CG48" s="1786"/>
      <c r="CH48" s="1786"/>
      <c r="CI48" s="1786"/>
      <c r="CJ48" s="1786"/>
      <c r="CK48" s="1786"/>
      <c r="CL48" s="1786"/>
      <c r="CM48" s="1786"/>
      <c r="CN48" s="1786"/>
      <c r="CO48" s="1786"/>
      <c r="CP48" s="1786"/>
      <c r="CQ48" s="1786"/>
      <c r="CR48" s="1786"/>
      <c r="CS48" s="1786"/>
      <c r="CT48" s="1781"/>
      <c r="CU48" s="1781"/>
      <c r="CV48" s="1781"/>
      <c r="CW48" s="1781"/>
      <c r="CX48" s="1781"/>
      <c r="CY48" s="1787"/>
      <c r="CZ48" s="1787"/>
      <c r="DA48" s="1787"/>
      <c r="DB48" s="1787"/>
      <c r="DC48" s="1781"/>
      <c r="DD48" s="1787"/>
      <c r="DE48" s="1781"/>
      <c r="DF48" s="1787"/>
      <c r="DG48" s="1781"/>
      <c r="DH48" s="1787"/>
      <c r="DI48" s="1787"/>
      <c r="DJ48" s="1781"/>
      <c r="DK48" s="1781"/>
      <c r="DL48" s="1781"/>
      <c r="DM48" s="1781"/>
      <c r="DN48" s="1781"/>
      <c r="DO48" s="1781"/>
      <c r="DP48" s="1781"/>
      <c r="DQ48" s="1781"/>
      <c r="DR48" s="1781"/>
      <c r="DS48" s="1787"/>
      <c r="DT48" s="1788"/>
    </row>
    <row r="49" spans="1:124">
      <c r="A49" s="1749" t="s">
        <v>482</v>
      </c>
      <c r="B49" s="1789"/>
      <c r="C49" s="1783"/>
      <c r="D49" s="1783"/>
      <c r="E49" s="1783"/>
      <c r="F49" s="1783"/>
      <c r="G49" s="1783"/>
      <c r="H49" s="1783">
        <f>((H10/C10)-1)</f>
        <v>0.11406228819303244</v>
      </c>
      <c r="I49" s="1783">
        <f>((I10/D10)-1)</f>
        <v>8.7055963075908682E-2</v>
      </c>
      <c r="J49" s="1783">
        <f>((J10/E10)-1)</f>
        <v>9.248122914349266E-2</v>
      </c>
      <c r="K49" s="1783">
        <f>((K10/F10)-1)</f>
        <v>8.6846473711026606E-2</v>
      </c>
      <c r="L49" s="1782"/>
      <c r="M49" s="1783">
        <f>((M10/H10)-1)</f>
        <v>0.14606639035704783</v>
      </c>
      <c r="N49" s="1783">
        <f>((N10/I10)-1)</f>
        <v>0.11715033076179471</v>
      </c>
      <c r="O49" s="1783">
        <f>((O10/J10)-1)</f>
        <v>0.28522678460632855</v>
      </c>
      <c r="P49" s="1783">
        <f>((P10/K10)-1)</f>
        <v>0.29583982337018178</v>
      </c>
      <c r="Q49" s="1782"/>
      <c r="R49" s="1783">
        <f>((R10/M10)-1)</f>
        <v>0.27928627357301172</v>
      </c>
      <c r="S49" s="1783">
        <f>((S10/N10)-1)</f>
        <v>0.30868716861081658</v>
      </c>
      <c r="T49" s="1783">
        <f>((T10/O10)-1)</f>
        <v>0.36408142550333911</v>
      </c>
      <c r="U49" s="1783">
        <f>((U10/P10)-1)</f>
        <v>0.35089275294666811</v>
      </c>
      <c r="V49" s="1782"/>
      <c r="W49" s="1783">
        <f>((W10/R10)-1)</f>
        <v>0.34018185496210918</v>
      </c>
      <c r="X49" s="1783">
        <f>((X10/S10)-1)</f>
        <v>0.33381627949942128</v>
      </c>
      <c r="Y49" s="1783">
        <f>((Y10/T10)-1)</f>
        <v>0.42050218697254027</v>
      </c>
      <c r="Z49" s="1783">
        <f>((Z10/U10)-1)</f>
        <v>0.46056860001036637</v>
      </c>
      <c r="AA49" s="1782"/>
      <c r="AB49" s="1783">
        <f>((AB10/W10)-1)</f>
        <v>0.33164973391388486</v>
      </c>
      <c r="AC49" s="1783">
        <f>((AC10/X10)-1)</f>
        <v>0.29220462051016627</v>
      </c>
      <c r="AD49" s="1783">
        <f>((AD10/Y10)-1)</f>
        <v>0.32856873636500139</v>
      </c>
      <c r="AE49" s="1783">
        <f>((AE10/Z10)-1)</f>
        <v>0.23810791228614958</v>
      </c>
      <c r="AF49" s="1782"/>
      <c r="AG49" s="1783">
        <f>((AG10/AB10)-1)</f>
        <v>0.2613895630186156</v>
      </c>
      <c r="AH49" s="1783">
        <f>((AH10/AC10)-1)</f>
        <v>0.16556560396721065</v>
      </c>
      <c r="AI49" s="1783">
        <f>((AI10/AD10)-1)</f>
        <v>0.15333738841512812</v>
      </c>
      <c r="AJ49" s="1783">
        <f>((AJ10/AE10)-1)</f>
        <v>0.19804375865857726</v>
      </c>
      <c r="AK49" s="1782"/>
      <c r="AL49" s="1783">
        <f>((AL10/AG10)-1)</f>
        <v>0.21986405529953923</v>
      </c>
      <c r="AM49" s="1783">
        <f>((AM10/AH10)-1)</f>
        <v>0.29977896095514689</v>
      </c>
      <c r="AN49" s="1783">
        <f>((AN10/AI10)-1)</f>
        <v>0.30348037805544092</v>
      </c>
      <c r="AO49" s="1783">
        <f>((AO10/AJ10)-1)</f>
        <v>0.30016767250230791</v>
      </c>
      <c r="AP49" s="1782"/>
      <c r="AQ49" s="1783">
        <f>((AQ10/AL10)-1)</f>
        <v>0.2782228132242579</v>
      </c>
      <c r="AR49" s="1783">
        <f>((AR10/AM10)-1)</f>
        <v>0.21401856745816494</v>
      </c>
      <c r="AS49" s="1783">
        <f>((AS10/AN10)-1)</f>
        <v>0.1906579690166208</v>
      </c>
      <c r="AT49" s="1783">
        <f>((AT10/AO10)-1)</f>
        <v>0.19838252861013683</v>
      </c>
      <c r="AU49" s="1782"/>
      <c r="AV49" s="1783">
        <f>((AV10/AQ10)-1)</f>
        <v>0.11202746195608815</v>
      </c>
      <c r="AW49" s="1783">
        <f>((AW10/AR10)-1)</f>
        <v>-1.8160216028964782E-2</v>
      </c>
      <c r="AX49" s="1783">
        <f>((AX10/AS10)-1)</f>
        <v>-6.155627368969685E-3</v>
      </c>
      <c r="AY49" s="1783">
        <f>((AY10/AT10)-1)</f>
        <v>-4.806142034548877E-3</v>
      </c>
      <c r="AZ49" s="1782"/>
      <c r="BA49" s="1783">
        <f>((BA10/AV10)-1)</f>
        <v>1.183741756131651E-2</v>
      </c>
      <c r="BB49" s="1783">
        <f>((BB10/AW10)-1)</f>
        <v>0.10908445247933907</v>
      </c>
      <c r="BC49" s="1783">
        <f>((BC10/AX10)-1)</f>
        <v>0.12261821582589927</v>
      </c>
      <c r="BD49" s="1783">
        <f>((BD10/AY10)-1)</f>
        <v>0.22215664794585366</v>
      </c>
      <c r="BE49" s="1782"/>
      <c r="BF49" s="1783">
        <f>((BF10/BA10)-1)</f>
        <v>0.19730063025568767</v>
      </c>
      <c r="BG49" s="1783">
        <f>((BG10/BB10)-1)</f>
        <v>0.1872779940000282</v>
      </c>
      <c r="BH49" s="1783">
        <f>((BH10/BC10)-1)</f>
        <v>0.14450641591295699</v>
      </c>
      <c r="BI49" s="1783">
        <f>((BI10/BD10)-1)</f>
        <v>8.5373872333710299E-2</v>
      </c>
      <c r="BJ49" s="1782"/>
      <c r="BK49" s="1783">
        <f>((BK10/BF10)-1)</f>
        <v>0.1521275813919305</v>
      </c>
      <c r="BL49" s="1783">
        <f>((BL10/BG10)-1)</f>
        <v>0.14566885232158922</v>
      </c>
      <c r="BM49" s="1783">
        <f>((BM10/BH10)-1)</f>
        <v>0.16648154108630853</v>
      </c>
      <c r="BN49" s="1783">
        <f>((BN10/BI10)-1)</f>
        <v>0.11972375021203385</v>
      </c>
      <c r="BO49" s="1782"/>
      <c r="BP49" s="1783">
        <f>((BP10/BK10)-1)</f>
        <v>0.10566958535129412</v>
      </c>
      <c r="BQ49" s="1783">
        <f>((BQ10/BL10)-1)</f>
        <v>3.8052695994681862E-2</v>
      </c>
      <c r="BR49" s="1783">
        <f>((BR10/BM10)-1)</f>
        <v>7.0873170956039733E-2</v>
      </c>
      <c r="BS49" s="1783">
        <f>((BS10/BN10)-1)</f>
        <v>5.8429298704716359E-2</v>
      </c>
      <c r="BT49" s="1782"/>
      <c r="BU49" s="1783">
        <f>((BU10/BP10)-1)</f>
        <v>-9.1186980669047957E-3</v>
      </c>
      <c r="BV49" s="1783">
        <f>((BV10/BQ10)-1)</f>
        <v>-5.5959206636103431E-2</v>
      </c>
      <c r="BW49" s="1783">
        <f>((BW10/BR10)-1)</f>
        <v>-7.4059977534107202E-2</v>
      </c>
      <c r="BX49" s="1783">
        <f>((BX10/BS10)-1)</f>
        <v>-7.0722866340391155E-2</v>
      </c>
      <c r="BY49" s="1783"/>
      <c r="BZ49" s="1783">
        <f>((BZ10/BU10)-1)</f>
        <v>-9.7292224269178718E-2</v>
      </c>
      <c r="CA49" s="1783">
        <f>((CA10/BV10)-1)</f>
        <v>-0.14104016274731901</v>
      </c>
      <c r="CB49" s="1783">
        <f>((CB10/BW10)-1)</f>
        <v>-0.15489448230580216</v>
      </c>
      <c r="CC49" s="1783">
        <f>((CC10/BX10)-1)</f>
        <v>-0.11627718673210008</v>
      </c>
      <c r="CD49" s="1783"/>
      <c r="CE49" s="1783">
        <f>((CE10/BZ10)-1)</f>
        <v>-8.1825182903350058E-3</v>
      </c>
      <c r="CF49" s="1783">
        <f>((CF10/CA10)-1)</f>
        <v>4.4612104313596745E-2</v>
      </c>
      <c r="CG49" s="1783">
        <f>((CG10/CB10)-1)</f>
        <v>0.11169697621865926</v>
      </c>
      <c r="CH49" s="1783">
        <f>((CH10/CC10)-1)</f>
        <v>0.14988546957474336</v>
      </c>
      <c r="CI49" s="1783"/>
      <c r="CJ49" s="1783">
        <f>((CJ10/CE10)-1)</f>
        <v>7.0853149568086415E-3</v>
      </c>
      <c r="CK49" s="1783">
        <f>((CK10/CF10)-1)</f>
        <v>3.7604019469304584E-2</v>
      </c>
      <c r="CL49" s="1783">
        <f>((CL10/CG10)-1)</f>
        <v>-3.668570322330833E-2</v>
      </c>
      <c r="CM49" s="1783">
        <f>((CM10/CH10)-1)</f>
        <v>-1.8014896934003044E-2</v>
      </c>
      <c r="CN49" s="1783"/>
      <c r="CO49" s="1783">
        <f>((CO10/CJ10)-1)</f>
        <v>0.24219352351580592</v>
      </c>
      <c r="CP49" s="1783">
        <f>((CP10/CK10)-1)</f>
        <v>0.35053340394945898</v>
      </c>
      <c r="CQ49" s="1783">
        <f>((CQ10/CL10)-1)</f>
        <v>0.31189819400250762</v>
      </c>
      <c r="CR49" s="1783">
        <f>((CR10/CM10)-1)</f>
        <v>0.28011602652319634</v>
      </c>
      <c r="CS49" s="1782"/>
      <c r="CT49" s="1771"/>
      <c r="CU49" s="1771"/>
      <c r="CV49" s="1770">
        <f t="shared" ref="CV49:DD49" si="43">((CV10/CU10)-1)</f>
        <v>-4.8950156005374224E-2</v>
      </c>
      <c r="CW49" s="1770">
        <f t="shared" si="43"/>
        <v>-2.5239582421217377E-2</v>
      </c>
      <c r="CX49" s="1770">
        <f t="shared" si="43"/>
        <v>9.5767191542367902E-2</v>
      </c>
      <c r="CY49" s="1770">
        <f t="shared" si="43"/>
        <v>9.3953923901201941E-2</v>
      </c>
      <c r="CZ49" s="1784">
        <f t="shared" si="43"/>
        <v>0.1980246165221462</v>
      </c>
      <c r="DA49" s="1770">
        <f t="shared" si="43"/>
        <v>0.32502366545594041</v>
      </c>
      <c r="DB49" s="1770">
        <f t="shared" si="43"/>
        <v>0.38593156292421704</v>
      </c>
      <c r="DC49" s="1771">
        <f t="shared" si="43"/>
        <v>0.29469020653906686</v>
      </c>
      <c r="DD49" s="1770">
        <f t="shared" si="43"/>
        <v>0.18981737266161613</v>
      </c>
      <c r="DE49" s="1771">
        <f t="shared" ref="DE49:DM49" si="44">((DE10/DD10)-1)</f>
        <v>0.28370475816560536</v>
      </c>
      <c r="DF49" s="1770">
        <f t="shared" si="44"/>
        <v>0.21753514700343302</v>
      </c>
      <c r="DG49" s="1771">
        <f t="shared" si="44"/>
        <v>1.5628669527411265E-2</v>
      </c>
      <c r="DH49" s="1770">
        <f t="shared" si="44"/>
        <v>0.11675336205156661</v>
      </c>
      <c r="DI49" s="1770">
        <f t="shared" si="44"/>
        <v>0.15269583738492476</v>
      </c>
      <c r="DJ49" s="1771">
        <f t="shared" si="44"/>
        <v>0.14540627201060352</v>
      </c>
      <c r="DK49" s="1771">
        <f t="shared" si="44"/>
        <v>6.5546546634811298E-2</v>
      </c>
      <c r="DL49" s="1771">
        <f t="shared" si="44"/>
        <v>-5.3033165924194714E-2</v>
      </c>
      <c r="DM49" s="1771">
        <f t="shared" si="44"/>
        <v>-0.12788121074622794</v>
      </c>
      <c r="DN49" s="1771">
        <f t="shared" ref="DN49:DT49" si="45">((DN10/DM10)-1)</f>
        <v>7.1619429334859985E-2</v>
      </c>
      <c r="DO49" s="1771">
        <f t="shared" si="45"/>
        <v>-7.7919764904921252E-4</v>
      </c>
      <c r="DP49" s="1771">
        <f t="shared" si="45"/>
        <v>0.29913255208949852</v>
      </c>
      <c r="DQ49" s="1771">
        <f t="shared" si="45"/>
        <v>3.1872959373271836E-2</v>
      </c>
      <c r="DR49" s="1771">
        <f t="shared" si="45"/>
        <v>2.8696375750194125E-2</v>
      </c>
      <c r="DS49" s="1770">
        <f t="shared" si="45"/>
        <v>2.8643197681103683E-2</v>
      </c>
      <c r="DT49" s="1772">
        <f t="shared" si="45"/>
        <v>2.8664631298953358E-2</v>
      </c>
    </row>
    <row r="50" spans="1:124">
      <c r="A50" s="1749" t="s">
        <v>907</v>
      </c>
      <c r="B50" s="1790"/>
      <c r="C50" s="1791">
        <f>'qtrP&amp;L'!$Z10/100</f>
        <v>0</v>
      </c>
      <c r="D50" s="1791">
        <f>'qtrP&amp;L'!$Z11/100</f>
        <v>0</v>
      </c>
      <c r="E50" s="1791">
        <f>'qtrP&amp;L'!$Z12/100</f>
        <v>0</v>
      </c>
      <c r="F50" s="1791">
        <f>'qtrP&amp;L'!$Z13/100</f>
        <v>0</v>
      </c>
      <c r="G50" s="1791"/>
      <c r="H50" s="1791">
        <f>'qtrP&amp;L'!$AD10/100</f>
        <v>5.5E-2</v>
      </c>
      <c r="I50" s="1791">
        <f>'qtrP&amp;L'!$AD11/100</f>
        <v>2.6000000000000002E-2</v>
      </c>
      <c r="J50" s="1791">
        <f>'qtrP&amp;L'!$AD12/100</f>
        <v>3.7000000000000005E-2</v>
      </c>
      <c r="K50" s="1791">
        <f>'qtrP&amp;L'!$AD13/100</f>
        <v>1.6E-2</v>
      </c>
      <c r="L50" s="1792"/>
      <c r="M50" s="1791">
        <f>'qtrP&amp;L'!$AH10/100</f>
        <v>-1.9E-2</v>
      </c>
      <c r="N50" s="1791">
        <f>'qtrP&amp;L'!$AH11/100</f>
        <v>6.0000000000000001E-3</v>
      </c>
      <c r="O50" s="1791">
        <f>'qtrP&amp;L'!$AH12/100</f>
        <v>9.6000000000000002E-2</v>
      </c>
      <c r="P50" s="1791">
        <f>'qtrP&amp;L'!$AH13/100</f>
        <v>9.5000000000000001E-2</v>
      </c>
      <c r="Q50" s="1792"/>
      <c r="R50" s="1791">
        <f>'qtrP&amp;L'!$AL10/100</f>
        <v>0.13200000000000001</v>
      </c>
      <c r="S50" s="1791">
        <f>'qtrP&amp;L'!$AL11/100</f>
        <v>0.127</v>
      </c>
      <c r="T50" s="1791">
        <f>'qtrP&amp;L'!$AL12/100</f>
        <v>0.14099999999999999</v>
      </c>
      <c r="U50" s="1791">
        <f>'qtrP&amp;L'!$AL13/100</f>
        <v>0.21600000000000003</v>
      </c>
      <c r="V50" s="1792"/>
      <c r="W50" s="1791">
        <f>+'qtrP&amp;L'!$AP$10/100</f>
        <v>0.17800000000000002</v>
      </c>
      <c r="X50" s="1791">
        <f>+'qtrP&amp;L'!$AP$11/100</f>
        <v>0.13699999999999998</v>
      </c>
      <c r="Y50" s="1791">
        <f>+'qtrP&amp;L'!$AP$12/100</f>
        <v>0.20499999999999999</v>
      </c>
      <c r="Z50" s="1791">
        <f>+'qtrP&amp;L'!$AP$13/100</f>
        <v>0.17699999999999999</v>
      </c>
      <c r="AA50" s="1792"/>
      <c r="AB50" s="1791">
        <f>+'qtrP&amp;L'!$AT$10/100</f>
        <v>0.151</v>
      </c>
      <c r="AC50" s="1791">
        <f>+'qtrP&amp;L'!$AT$11/100</f>
        <v>0.16500000000000001</v>
      </c>
      <c r="AD50" s="1791">
        <f>+'qtrP&amp;L'!$AT$12/100</f>
        <v>0.193</v>
      </c>
      <c r="AE50" s="1791">
        <f>+'qtrP&amp;L'!$AT$13/100</f>
        <v>0.22</v>
      </c>
      <c r="AF50" s="1792"/>
      <c r="AG50" s="1791">
        <f>+'qtrP&amp;L'!$AX$10/100</f>
        <v>0.251</v>
      </c>
      <c r="AH50" s="1791">
        <f>+'qtrP&amp;L'!$AX$11/100</f>
        <v>0.19899999999999998</v>
      </c>
      <c r="AI50" s="1791">
        <f>+'qtrP&amp;L'!$AX$12/100</f>
        <v>0.21100000000000002</v>
      </c>
      <c r="AJ50" s="1791">
        <f>+'qtrP&amp;L'!$AX$13/100</f>
        <v>0.185</v>
      </c>
      <c r="AK50" s="1792"/>
      <c r="AL50" s="1791">
        <f>+'qtrP&amp;L'!$BB$10/100</f>
        <v>0.214</v>
      </c>
      <c r="AM50" s="1791">
        <f>+'qtrP&amp;L'!$BB$11/100</f>
        <v>0.25700000000000001</v>
      </c>
      <c r="AN50" s="1791">
        <f>+'qtrP&amp;L'!$BB$12/100</f>
        <v>0.2</v>
      </c>
      <c r="AO50" s="1791">
        <f>+'qtrP&amp;L'!$BB$13/100</f>
        <v>0.20199999999999999</v>
      </c>
      <c r="AP50" s="1792"/>
      <c r="AQ50" s="1791">
        <f>+'qtrP&amp;L'!$BF$10/100</f>
        <v>0.193</v>
      </c>
      <c r="AR50" s="1791">
        <f>+'qtrP&amp;L'!$BF$11/100</f>
        <v>7.0000000000000007E-2</v>
      </c>
      <c r="AS50" s="1791">
        <f>+'qtrP&amp;L'!$BF$12/100</f>
        <v>0.09</v>
      </c>
      <c r="AT50" s="1791">
        <f>+'qtrP&amp;L'!$BF$13/100</f>
        <v>6.7000000000000004E-2</v>
      </c>
      <c r="AU50" s="1792"/>
      <c r="AV50" s="1791">
        <f>'qtrP&amp;L'!$BJ$10/100</f>
        <v>6.0000000000000001E-3</v>
      </c>
      <c r="AW50" s="1791">
        <f>'qtrP&amp;L'!$BJ$11/100</f>
        <v>-0.13200000000000001</v>
      </c>
      <c r="AX50" s="1791">
        <f>'qtrP&amp;L'!$BJ$12/100</f>
        <v>-4.2000000000000003E-2</v>
      </c>
      <c r="AY50" s="1791">
        <f>'qtrP&amp;L'!$BJ$13/100</f>
        <v>-6.0999999999999999E-2</v>
      </c>
      <c r="AZ50" s="1792"/>
      <c r="BA50" s="1791">
        <f>0.01*'qtrP&amp;L'!$BN$10</f>
        <v>-1.1000000000000001E-2</v>
      </c>
      <c r="BB50" s="1791">
        <f>0.01*'qtrP&amp;L'!$BN$11</f>
        <v>3.2000000000000001E-2</v>
      </c>
      <c r="BC50" s="1791">
        <f>0.01*'qtrP&amp;L'!$BN$12</f>
        <v>5.0999999999999997E-2</v>
      </c>
      <c r="BD50" s="1791">
        <f>0.01*'qtrP&amp;L'!$BN$13</f>
        <v>6.3E-2</v>
      </c>
      <c r="BE50" s="1792"/>
      <c r="BF50" s="1791">
        <f>0.01*'qtrP&amp;L'!$BR$10</f>
        <v>8.5000000000000006E-2</v>
      </c>
      <c r="BG50" s="1791">
        <f>0.01*'qtrP&amp;L'!$BR$11</f>
        <v>0.126</v>
      </c>
      <c r="BH50" s="1791">
        <f>0.01*'qtrP&amp;L'!$BR$12</f>
        <v>0.10300000000000001</v>
      </c>
      <c r="BI50" s="1791">
        <f>0.01*'qtrP&amp;L'!$BR$13</f>
        <v>0.10099999999999999</v>
      </c>
      <c r="BJ50" s="1792"/>
      <c r="BK50" s="1791">
        <f>'qtrP&amp;L'!$BV$10*0.01</f>
        <v>9.1999999999999998E-2</v>
      </c>
      <c r="BL50" s="1791">
        <f>0.01*'qtrP&amp;L'!$BV$11</f>
        <v>8.8000000000000009E-2</v>
      </c>
      <c r="BM50" s="1791">
        <f>0.01*'qtrP&amp;L'!$BV$12</f>
        <v>6.7000000000000004E-2</v>
      </c>
      <c r="BN50" s="1791">
        <f>0.01*'qtrP&amp;L'!$BV$13</f>
        <v>1.7000000000000001E-2</v>
      </c>
      <c r="BO50" s="1792"/>
      <c r="BP50" s="1791">
        <f>'qtrP&amp;L'!$BZ$10*0.01</f>
        <v>5.5E-2</v>
      </c>
      <c r="BQ50" s="1791">
        <f>0.01*'qtrP&amp;L'!$BZ$11</f>
        <v>-2.2000000000000002E-2</v>
      </c>
      <c r="BR50" s="1791">
        <f>0.01*'qtrP&amp;L'!$BZ$12</f>
        <v>0.01</v>
      </c>
      <c r="BS50" s="1791">
        <f>0.01*'qtrP&amp;L'!$BZ$13</f>
        <v>-1.7000000000000001E-2</v>
      </c>
      <c r="BT50" s="1792"/>
      <c r="BU50" s="1791">
        <f>'qtrP&amp;L'!CD10*0.01</f>
        <v>-6.8000000000000005E-2</v>
      </c>
      <c r="BV50" s="1791">
        <f>'qtrP&amp;L'!CD11*0.01</f>
        <v>-0.13600000000000001</v>
      </c>
      <c r="BW50" s="1791">
        <f>'qtrP&amp;L'!CD12*0.01</f>
        <v>-0.214</v>
      </c>
      <c r="BX50" s="1791">
        <f>'qtrP&amp;L'!CD13*0.01</f>
        <v>-0.17</v>
      </c>
      <c r="BY50" s="1791"/>
      <c r="BZ50" s="1793">
        <f>'qtrP&amp;L'!CH10*0.01</f>
        <v>-0.24</v>
      </c>
      <c r="CA50" s="1793">
        <f>'qtrP&amp;L'!CH11*0.01</f>
        <v>-0.22</v>
      </c>
      <c r="CB50" s="1793">
        <f>'qtrP&amp;L'!CH12*0.01</f>
        <v>-0.23</v>
      </c>
      <c r="CC50" s="1793">
        <f>'qtrP&amp;L'!CH13*0.01</f>
        <v>-0.19</v>
      </c>
      <c r="CD50" s="1793"/>
      <c r="CE50" s="1793">
        <f>'CoachSegsales&amp;OldOM'!G79/100</f>
        <v>-9.5000000000000001E-2</v>
      </c>
      <c r="CF50" s="1793">
        <f>'CoachSegsales&amp;OldOM'!G80/100</f>
        <v>-4.2000000000000003E-2</v>
      </c>
      <c r="CG50" s="1793">
        <f>'CoachSegsales&amp;OldOM'!G81/100</f>
        <v>-2E-3</v>
      </c>
      <c r="CH50" s="1793">
        <f>'CoachSegsales&amp;OldOM'!G82/100</f>
        <v>0.02</v>
      </c>
      <c r="CI50" s="1793"/>
      <c r="CJ50" s="1793">
        <f>'CoachSegsales&amp;OldOM'!G86/100</f>
        <v>1.9E-2</v>
      </c>
      <c r="CK50" s="1793">
        <f>'CoachSegsales&amp;OldOM'!G87/100</f>
        <v>2.7999999999999997E-2</v>
      </c>
      <c r="CL50" s="1793">
        <f>'CoachSegsales&amp;OldOM'!G88/100</f>
        <v>3.4000000000000002E-2</v>
      </c>
      <c r="CM50" s="1793">
        <f>'CoachSegsales&amp;OldOM'!G89/100</f>
        <v>0.04</v>
      </c>
      <c r="CN50" s="1793"/>
      <c r="CO50" s="1793">
        <f t="array" ref="CO50:CR50">TRANSPOSE('SegOM-New'!G30:G33/100)</f>
        <v>-0.02</v>
      </c>
      <c r="CP50" s="1793">
        <v>0.03</v>
      </c>
      <c r="CQ50" s="1793">
        <v>2.5000000000000001E-2</v>
      </c>
      <c r="CR50" s="1793">
        <v>0.01</v>
      </c>
      <c r="CS50" s="1792"/>
      <c r="CT50" s="1794"/>
      <c r="CU50" s="1794"/>
      <c r="CV50" s="1794">
        <f>yrSales!E97</f>
        <v>0</v>
      </c>
      <c r="CW50" s="1794">
        <f>yrSales!F97</f>
        <v>0</v>
      </c>
      <c r="CX50" s="1794">
        <f>yrSales!G97</f>
        <v>0</v>
      </c>
      <c r="CY50" s="1795">
        <f>yrSales!H97</f>
        <v>3.2000000000000001E-2</v>
      </c>
      <c r="CZ50" s="1795">
        <f>'qtrP&amp;L'!AH14/100</f>
        <v>3.9E-2</v>
      </c>
      <c r="DA50" s="1795">
        <f>'qtrP&amp;L'!AL14/100</f>
        <v>0.152</v>
      </c>
      <c r="DB50" s="1795">
        <f>'qtrP&amp;L'!AP14/100</f>
        <v>0.16899999999999998</v>
      </c>
      <c r="DC50" s="1796">
        <f>'qtrP&amp;L'!AT14/100</f>
        <v>0.182</v>
      </c>
      <c r="DD50" s="1795">
        <f>'qtrP&amp;L'!AX14/100</f>
        <v>0.20699999999999999</v>
      </c>
      <c r="DE50" s="1796">
        <f>'qtrP&amp;L'!BB14/100</f>
        <v>0.223</v>
      </c>
      <c r="DF50" s="1795">
        <f>'qtrP&amp;L'!BF14/100</f>
        <v>9.8000000000000004E-2</v>
      </c>
      <c r="DG50" s="1796">
        <f>'qtrP&amp;L'!BJ14/100</f>
        <v>-6.8000000000000005E-2</v>
      </c>
      <c r="DH50" s="1797">
        <f>yrSales!Q97</f>
        <v>3.5557111151952245E-2</v>
      </c>
      <c r="DI50" s="1797">
        <f>yrSales!R97</f>
        <v>0.106</v>
      </c>
      <c r="DJ50" s="1798">
        <f>yrSales!S97</f>
        <v>6.6000000000000003E-2</v>
      </c>
      <c r="DK50" s="1798">
        <f>yrSales!T97</f>
        <v>3.0000000000000001E-3</v>
      </c>
      <c r="DL50" s="1798">
        <f>yrSales!U97</f>
        <v>-0.15</v>
      </c>
      <c r="DM50" s="1798">
        <f>yrSales!V97</f>
        <v>-0.22</v>
      </c>
      <c r="DN50" s="1798">
        <f>yrSales!W97</f>
        <v>-3.3000000000000002E-2</v>
      </c>
      <c r="DO50" s="1798">
        <f>yrSales!X97</f>
        <v>3.1E-2</v>
      </c>
      <c r="DP50" s="2379">
        <f>yrSales!Y99</f>
        <v>1.2695740251674479E-2</v>
      </c>
      <c r="DQ50" s="2379">
        <f>yrSales!Z99</f>
        <v>1.43E-2</v>
      </c>
      <c r="DR50" s="2379">
        <f>yrSales!AA99</f>
        <v>1.2149999999999999E-2</v>
      </c>
      <c r="DS50" s="1796">
        <f>yrSales!AB99</f>
        <v>1.2149999999999999E-2</v>
      </c>
      <c r="DT50" s="1796">
        <f>yrSales!AC99</f>
        <v>1.2149999999999999E-2</v>
      </c>
    </row>
    <row r="51" spans="1:124">
      <c r="A51" s="1749" t="s">
        <v>885</v>
      </c>
      <c r="B51" s="1790"/>
      <c r="C51" s="1791"/>
      <c r="D51" s="1791"/>
      <c r="E51" s="1791"/>
      <c r="F51" s="1791"/>
      <c r="G51" s="1791"/>
      <c r="H51" s="1791"/>
      <c r="I51" s="1791"/>
      <c r="J51" s="1791"/>
      <c r="K51" s="1791"/>
      <c r="L51" s="1792"/>
      <c r="M51" s="1791"/>
      <c r="N51" s="1791"/>
      <c r="O51" s="1791"/>
      <c r="P51" s="1791"/>
      <c r="Q51" s="1792"/>
      <c r="R51" s="1791"/>
      <c r="S51" s="1791"/>
      <c r="T51" s="1791"/>
      <c r="U51" s="1791"/>
      <c r="V51" s="1792"/>
      <c r="W51" s="1791"/>
      <c r="X51" s="1791"/>
      <c r="Y51" s="1791"/>
      <c r="Z51" s="1791"/>
      <c r="AA51" s="1792"/>
      <c r="AB51" s="1791"/>
      <c r="AC51" s="1791"/>
      <c r="AD51" s="1791"/>
      <c r="AE51" s="1791"/>
      <c r="AF51" s="1792"/>
      <c r="AG51" s="1791"/>
      <c r="AH51" s="1791"/>
      <c r="AI51" s="1791"/>
      <c r="AJ51" s="1791"/>
      <c r="AK51" s="1792"/>
      <c r="AL51" s="1791"/>
      <c r="AM51" s="1791"/>
      <c r="AN51" s="1791"/>
      <c r="AO51" s="1791"/>
      <c r="AP51" s="1792"/>
      <c r="AQ51" s="1791"/>
      <c r="AR51" s="1791"/>
      <c r="AS51" s="1791"/>
      <c r="AT51" s="1791"/>
      <c r="AU51" s="1792"/>
      <c r="AV51" s="1791"/>
      <c r="AW51" s="1791"/>
      <c r="AX51" s="1791"/>
      <c r="AY51" s="1791"/>
      <c r="AZ51" s="1792"/>
      <c r="BA51" s="1791"/>
      <c r="BB51" s="1791"/>
      <c r="BC51" s="1791"/>
      <c r="BD51" s="1791"/>
      <c r="BE51" s="1792"/>
      <c r="BF51" s="1791"/>
      <c r="BG51" s="1791"/>
      <c r="BH51" s="1791"/>
      <c r="BI51" s="1791"/>
      <c r="BJ51" s="1792"/>
      <c r="BK51" s="1791"/>
      <c r="BL51" s="1791"/>
      <c r="BM51" s="1791"/>
      <c r="BN51" s="1791"/>
      <c r="BO51" s="1792"/>
      <c r="BP51" s="1791"/>
      <c r="BQ51" s="1791"/>
      <c r="BR51" s="1791"/>
      <c r="BS51" s="1791"/>
      <c r="BT51" s="1792"/>
      <c r="BU51" s="1791"/>
      <c r="BV51" s="1791"/>
      <c r="BW51" s="1791"/>
      <c r="BX51" s="1791"/>
      <c r="BY51" s="1791"/>
      <c r="BZ51" s="1793"/>
      <c r="CA51" s="1793"/>
      <c r="CB51" s="1793"/>
      <c r="CC51" s="1793"/>
      <c r="CD51" s="1793"/>
      <c r="CE51" s="1793">
        <f>KateQtrSalesOld!F41/100</f>
        <v>0.16</v>
      </c>
      <c r="CF51" s="1793">
        <f>KateQtrSalesOld!F42/100</f>
        <v>0.14000000000000001</v>
      </c>
      <c r="CG51" s="1793">
        <f>KateQtrSalesOld!F43/100</f>
        <v>0.19</v>
      </c>
      <c r="CH51" s="1793">
        <f>KateQtrSalesOld!F44/100</f>
        <v>0.04</v>
      </c>
      <c r="CI51" s="1793"/>
      <c r="CJ51" s="1793">
        <f>KateQtrSalesOld!F48/100</f>
        <v>6.7000000000000004E-2</v>
      </c>
      <c r="CK51" s="1793">
        <f>KateQtrSalesOld!F49/100</f>
        <v>9.3000000000000013E-2</v>
      </c>
      <c r="CL51" s="1793">
        <f>KateQtrSalesOld!F50/100</f>
        <v>-2.4E-2</v>
      </c>
      <c r="CM51" s="1793" t="str">
        <f>KateQtrSalesOld!F51</f>
        <v>NA</v>
      </c>
      <c r="CN51" s="1793"/>
      <c r="CO51" s="1793">
        <f>KateQtrSalesOld!F55/100</f>
        <v>-0.09</v>
      </c>
      <c r="CP51" s="1793">
        <f>KateQtrSalesOld!F56/100</f>
        <v>-7.0000000000000007E-2</v>
      </c>
      <c r="CQ51" s="1793">
        <f>KateQtrSalesOld!F57/100</f>
        <v>-0.06</v>
      </c>
      <c r="CR51" s="1793">
        <f>KateQtrSalesOld!F58/100</f>
        <v>-0.05</v>
      </c>
      <c r="CS51" s="1792"/>
      <c r="CT51" s="1794"/>
      <c r="CU51" s="1794"/>
      <c r="CV51" s="1794"/>
      <c r="CW51" s="1794"/>
      <c r="CX51" s="1794"/>
      <c r="CY51" s="1795"/>
      <c r="CZ51" s="1795"/>
      <c r="DA51" s="1795"/>
      <c r="DB51" s="1795"/>
      <c r="DC51" s="1796"/>
      <c r="DD51" s="1795"/>
      <c r="DE51" s="1796"/>
      <c r="DF51" s="1795"/>
      <c r="DG51" s="1796"/>
      <c r="DH51" s="1797"/>
      <c r="DI51" s="1797">
        <f>'yrP&amp;L'!R10</f>
        <v>0</v>
      </c>
      <c r="DJ51" s="1798">
        <f>'yrP&amp;L'!S10</f>
        <v>0.29499999999999998</v>
      </c>
      <c r="DK51" s="1798">
        <f>'yrP&amp;L'!T10</f>
        <v>0.28199999999999997</v>
      </c>
      <c r="DL51" s="1798">
        <f>'yrP&amp;L'!U10</f>
        <v>0.24399999999999999</v>
      </c>
      <c r="DM51" s="1798">
        <f>'yrP&amp;L'!V10</f>
        <v>0.16818824978383284</v>
      </c>
      <c r="DN51" s="1798">
        <f>'yrP&amp;L'!W10</f>
        <v>0.13022399145350455</v>
      </c>
      <c r="DO51" s="1798">
        <f>'yrP&amp;L'!X10</f>
        <v>4.3029905311251559E-2</v>
      </c>
      <c r="DP51" s="2380">
        <f>'yrP&amp;L'!Y10</f>
        <v>-6.7685122354254224E-2</v>
      </c>
      <c r="DQ51" s="2380">
        <f>'yrP&amp;L'!Z10</f>
        <v>-0.01</v>
      </c>
      <c r="DR51" s="2380">
        <f>'yrP&amp;L'!AA10</f>
        <v>0</v>
      </c>
      <c r="DS51" s="1795"/>
      <c r="DT51" s="1799"/>
    </row>
    <row r="52" spans="1:124">
      <c r="A52" s="1749" t="s">
        <v>101</v>
      </c>
      <c r="B52" s="1764"/>
      <c r="C52" s="1783"/>
      <c r="D52" s="1783"/>
      <c r="E52" s="1783"/>
      <c r="F52" s="1783"/>
      <c r="G52" s="1783"/>
      <c r="H52" s="1783">
        <f>((H15/C15)-1)</f>
        <v>8.1867365905469835E-2</v>
      </c>
      <c r="I52" s="1783">
        <f>((I15/D15)-1)</f>
        <v>-5.6435618708106317E-2</v>
      </c>
      <c r="J52" s="1783">
        <f>((J15/E15)-1)</f>
        <v>3.5138669261646882E-2</v>
      </c>
      <c r="K52" s="1783">
        <f>((K15/F15)-1)</f>
        <v>2.42826922503947E-3</v>
      </c>
      <c r="L52" s="1782"/>
      <c r="M52" s="1783">
        <f>((M15/H15)-1)</f>
        <v>0.18273021522035937</v>
      </c>
      <c r="N52" s="1783">
        <f>((N15/I15)-1)</f>
        <v>0.21959558334441942</v>
      </c>
      <c r="O52" s="1783">
        <f>((O15/J15)-1)</f>
        <v>0.2834941758838998</v>
      </c>
      <c r="P52" s="1783">
        <f>((P15/K15)-1)</f>
        <v>0.34044197417111266</v>
      </c>
      <c r="Q52" s="1782"/>
      <c r="R52" s="1783">
        <f>((R15/M15)-1)</f>
        <v>0.21419955642598665</v>
      </c>
      <c r="S52" s="1783">
        <f>((S15/N15)-1)</f>
        <v>0.24613589013602089</v>
      </c>
      <c r="T52" s="1783">
        <f>((T15/O15)-1)</f>
        <v>0.22523718513601665</v>
      </c>
      <c r="U52" s="1783">
        <f>((U15/P15)-1)</f>
        <v>0.31655154827765886</v>
      </c>
      <c r="V52" s="1782"/>
      <c r="W52" s="1783">
        <f>((W15/R15)-1)</f>
        <v>0.24213809605195702</v>
      </c>
      <c r="X52" s="1783">
        <f>((X15/S15)-1)</f>
        <v>0.26432485425675312</v>
      </c>
      <c r="Y52" s="1783">
        <f>((Y15/T15)-1)</f>
        <v>0.27636839155613657</v>
      </c>
      <c r="Z52" s="1783">
        <f>((Z15/U15)-1)</f>
        <v>0.24839788124531581</v>
      </c>
      <c r="AA52" s="1782"/>
      <c r="AB52" s="1783">
        <f>((AB15/W15)-1)</f>
        <v>0.35544872897389146</v>
      </c>
      <c r="AC52" s="1783">
        <f>((AC15/X15)-1)</f>
        <v>0.3256668905212583</v>
      </c>
      <c r="AD52" s="1783">
        <f>((AD15/Y15)-1)</f>
        <v>0.40753615127919907</v>
      </c>
      <c r="AE52" s="1783">
        <f>((AE15/Z15)-1)</f>
        <v>0.32736127787596292</v>
      </c>
      <c r="AF52" s="1782"/>
      <c r="AG52" s="1783">
        <f>((AG15/AB15)-1)</f>
        <v>0.2340039462748309</v>
      </c>
      <c r="AH52" s="1783">
        <f>((AH15/AC15)-1)</f>
        <v>0.19334858312704317</v>
      </c>
      <c r="AI52" s="1783">
        <f>((AI15/AD15)-1)</f>
        <v>0.15694328184384698</v>
      </c>
      <c r="AJ52" s="1783">
        <f>((AJ15/AE15)-1)</f>
        <v>0.12487295198601456</v>
      </c>
      <c r="AK52" s="1782"/>
      <c r="AL52" s="1783">
        <f>((AL15/AG15)-1)</f>
        <v>0.1586169665809769</v>
      </c>
      <c r="AM52" s="1783">
        <f>((AM15/AH15)-1)</f>
        <v>0.22792122538293214</v>
      </c>
      <c r="AN52" s="1783">
        <f>((AN15/AI15)-1)</f>
        <v>0.16744336540492455</v>
      </c>
      <c r="AO52" s="1783">
        <f>((AO15/AJ15)-1)</f>
        <v>0.1921273289119394</v>
      </c>
      <c r="AP52" s="1782"/>
      <c r="AQ52" s="1783">
        <f>((AQ15/AL15)-1)</f>
        <v>0.24012318560822909</v>
      </c>
      <c r="AR52" s="1783">
        <f>((AR15/AM15)-1)</f>
        <v>0.19113621783448576</v>
      </c>
      <c r="AS52" s="1783">
        <f>((AS15/AN15)-1)</f>
        <v>0.16106904608846606</v>
      </c>
      <c r="AT52" s="1783">
        <f>((AT15/AO15)-1)</f>
        <v>0.18456087162482238</v>
      </c>
      <c r="AU52" s="1782"/>
      <c r="AV52" s="1783">
        <f>((AV15/AQ15)-1)</f>
        <v>0.16189620808479099</v>
      </c>
      <c r="AW52" s="1783">
        <f>((AW15/AR15)-1)</f>
        <v>2.8317609639477048E-2</v>
      </c>
      <c r="AX52" s="1783">
        <f>((AX15/AS15)-1)</f>
        <v>8.1756877722742871E-2</v>
      </c>
      <c r="AY52" s="1783">
        <f>((AY15/AT15)-1)</f>
        <v>4.8164286445536275E-2</v>
      </c>
      <c r="AZ52" s="1782"/>
      <c r="BA52" s="1783">
        <f>((BA15/AV15)-1)</f>
        <v>6.8492517869955805E-3</v>
      </c>
      <c r="BB52" s="1783">
        <f>((BB15/AW15)-1)</f>
        <v>0.13509644342150806</v>
      </c>
      <c r="BC52" s="1783">
        <f>((BC15/AX15)-1)</f>
        <v>0.12310365752744512</v>
      </c>
      <c r="BD52" s="1783">
        <f>((BD15/AY15)-1)</f>
        <v>0.22098946680869647</v>
      </c>
      <c r="BE52" s="1782"/>
      <c r="BF52" s="1783">
        <f>((BF15/BA15)-1)</f>
        <v>0.19447528683422499</v>
      </c>
      <c r="BG52" s="1783">
        <f>((BG15/BB15)-1)</f>
        <v>0.18389805743113352</v>
      </c>
      <c r="BH52" s="1783">
        <f>((BH15/BC15)-1)</f>
        <v>0.12467355977437755</v>
      </c>
      <c r="BI52" s="1783">
        <f>((BI15/BD15)-1)</f>
        <v>7.1026462750666264E-2</v>
      </c>
      <c r="BJ52" s="1782"/>
      <c r="BK52" s="1783">
        <f>((BK15/BF15)-1)</f>
        <v>0.13360955261183416</v>
      </c>
      <c r="BL52" s="1783">
        <f>((BL15/BG15)-1)</f>
        <v>0.13467621973796162</v>
      </c>
      <c r="BM52" s="1783">
        <f>((BM15/BH15)-1)</f>
        <v>0.16604794487310137</v>
      </c>
      <c r="BN52" s="1783">
        <f>((BN15/BI15)-1)</f>
        <v>9.1332183443926462E-2</v>
      </c>
      <c r="BO52" s="1782"/>
      <c r="BP52" s="1783">
        <f>((BP15/BK15)-1)</f>
        <v>0.15985109117728791</v>
      </c>
      <c r="BQ52" s="1783">
        <f>((BQ15/BL15)-1)</f>
        <v>6.63403556980382E-2</v>
      </c>
      <c r="BR52" s="1783">
        <f>((BR15/BM15)-1)</f>
        <v>0.10637257452010629</v>
      </c>
      <c r="BS52" s="1783">
        <f>((BS15/BN15)-1)</f>
        <v>0.11479582016262513</v>
      </c>
      <c r="BT52" s="1782"/>
      <c r="BU52" s="1783">
        <f>((BU15/BP15)-1)</f>
        <v>-1.6578018155578578E-2</v>
      </c>
      <c r="BV52" s="1783">
        <f>((BV15/BQ15)-1)</f>
        <v>-2.1597874034770537E-2</v>
      </c>
      <c r="BW52" s="1783">
        <f>((BW15/BR15)-1)</f>
        <v>-2.4572358212885281E-2</v>
      </c>
      <c r="BX52" s="1783">
        <f>((BX15/BS15)-1)</f>
        <v>6.9092994969822907E-2</v>
      </c>
      <c r="BY52" s="1783"/>
      <c r="BZ52" s="1783">
        <f>((BZ15/BU15)-1)</f>
        <v>-4.8302864306382087E-3</v>
      </c>
      <c r="CA52" s="1783">
        <f>((CA15/BV15)-1)</f>
        <v>-8.6623159989464016E-3</v>
      </c>
      <c r="CB52" s="1783">
        <f>((CB15/BW15)-1)</f>
        <v>7.1341804369207118E-4</v>
      </c>
      <c r="CC52" s="1783">
        <f>((CC15/BX15)-1)</f>
        <v>1.620581801607468E-2</v>
      </c>
      <c r="CD52" s="1783"/>
      <c r="CE52" s="1783">
        <f>((CE15/BZ15)-1)</f>
        <v>5.950248756218901E-2</v>
      </c>
      <c r="CF52" s="1783">
        <f>((CF15/CA15)-1)</f>
        <v>5.922509225092254E-2</v>
      </c>
      <c r="CG52" s="1783">
        <f>((CG15/CB15)-1)</f>
        <v>8.1310211946050481E-2</v>
      </c>
      <c r="CH52" s="1783">
        <f>((CH15/CC15)-1)</f>
        <v>7.3812466890341044E-2</v>
      </c>
      <c r="CI52" s="1783"/>
      <c r="CJ52" s="1783">
        <f>((CJ15/CE15)-1)</f>
        <v>1.1081893313298119E-2</v>
      </c>
      <c r="CK52" s="1783">
        <f>((CK15/CF15)-1)</f>
        <v>6.6190559136038774E-2</v>
      </c>
      <c r="CL52" s="1783">
        <f>((CL15/CG15)-1)</f>
        <v>-3.1183178902352338E-2</v>
      </c>
      <c r="CM52" s="1783">
        <f>((CM15/CH15)-1)</f>
        <v>-5.0649564216411869E-2</v>
      </c>
      <c r="CN52" s="1783"/>
      <c r="CO52" s="1783">
        <f>((CO15/CJ15)-1)</f>
        <v>0.27066691436002244</v>
      </c>
      <c r="CP52" s="1783">
        <f>((CP15/CK15)-1)</f>
        <v>0.28165332462016024</v>
      </c>
      <c r="CQ52" s="1783">
        <f>((CQ15/CL15)-1)</f>
        <v>0.33873938493516143</v>
      </c>
      <c r="CR52" s="1783">
        <f>((CR15/CM15)-1)</f>
        <v>0.28722418507961911</v>
      </c>
      <c r="CS52" s="1782"/>
      <c r="CT52" s="1771"/>
      <c r="CU52" s="1771"/>
      <c r="CV52" s="1770">
        <f>((CV15/CU15)-1)</f>
        <v>-5.8068257431852399E-2</v>
      </c>
      <c r="CW52" s="1770">
        <f>((CW15/CV15)-1)</f>
        <v>-2.0596708630964078E-2</v>
      </c>
      <c r="CX52" s="1770">
        <f>((CX15/CW15)-1)</f>
        <v>9.9306526548226914E-2</v>
      </c>
      <c r="CY52" s="1770">
        <f t="shared" ref="CY52:DD52" si="46">((CY15/CX15)-1)</f>
        <v>1.0670195296463403E-2</v>
      </c>
      <c r="CZ52" s="1784">
        <f t="shared" si="46"/>
        <v>0.32589118947364626</v>
      </c>
      <c r="DA52" s="1770">
        <f t="shared" si="46"/>
        <v>0.2554706989364961</v>
      </c>
      <c r="DB52" s="1770">
        <f t="shared" si="46"/>
        <v>0.27408165933156137</v>
      </c>
      <c r="DC52" s="1771">
        <f t="shared" si="46"/>
        <v>0.26237307149037759</v>
      </c>
      <c r="DD52" s="1770">
        <f t="shared" si="46"/>
        <v>0.17429098573843693</v>
      </c>
      <c r="DE52" s="1771">
        <f t="shared" ref="DE52:DM52" si="47">((DE15/DD15)-1)</f>
        <v>0.18770728285984872</v>
      </c>
      <c r="DF52" s="1770">
        <f t="shared" si="47"/>
        <v>0.19258655638317834</v>
      </c>
      <c r="DG52" s="1771">
        <f t="shared" si="47"/>
        <v>7.6899584159286771E-2</v>
      </c>
      <c r="DH52" s="1770">
        <f t="shared" si="47"/>
        <v>0.12192646583936884</v>
      </c>
      <c r="DI52" s="1770">
        <f t="shared" si="47"/>
        <v>0.14116358390854211</v>
      </c>
      <c r="DJ52" s="1771">
        <f t="shared" si="47"/>
        <v>0.13109804901416977</v>
      </c>
      <c r="DK52" s="1771">
        <f t="shared" si="47"/>
        <v>0.10983716995320858</v>
      </c>
      <c r="DL52" s="1771">
        <f t="shared" si="47"/>
        <v>1.1147159921041094E-3</v>
      </c>
      <c r="DM52" s="1771">
        <f t="shared" si="47"/>
        <v>1.0462620806610534E-3</v>
      </c>
      <c r="DN52" s="1771">
        <f t="shared" ref="DN52:DT52" si="48">((DN15/DM15)-1)</f>
        <v>6.855103765611803E-2</v>
      </c>
      <c r="DO52" s="1771">
        <f t="shared" si="48"/>
        <v>-1.9333860620444066E-3</v>
      </c>
      <c r="DP52" s="1771">
        <f t="shared" si="48"/>
        <v>0.29413010726235456</v>
      </c>
      <c r="DQ52" s="1771">
        <f t="shared" si="48"/>
        <v>1.5246938229527052E-2</v>
      </c>
      <c r="DR52" s="1771">
        <f t="shared" si="48"/>
        <v>2.8696375750194125E-2</v>
      </c>
      <c r="DS52" s="1770">
        <f t="shared" si="48"/>
        <v>2.7398871232295896E-2</v>
      </c>
      <c r="DT52" s="1772">
        <f t="shared" si="48"/>
        <v>2.451176641684194E-2</v>
      </c>
    </row>
    <row r="53" spans="1:124">
      <c r="A53" s="1749" t="s">
        <v>106</v>
      </c>
      <c r="B53" s="1764"/>
      <c r="C53" s="1783"/>
      <c r="D53" s="1783"/>
      <c r="E53" s="1783"/>
      <c r="F53" s="1783"/>
      <c r="G53" s="1783"/>
      <c r="H53" s="1783">
        <f>((H18/C18)-1)</f>
        <v>4.4909806493932507</v>
      </c>
      <c r="I53" s="1783">
        <f>((I18/D18)-1)</f>
        <v>0.51177090223169519</v>
      </c>
      <c r="J53" s="1783">
        <f>((J18/E18)-1)</f>
        <v>1.7663906914298568</v>
      </c>
      <c r="K53" s="1783">
        <f>((K18/F18)-1)</f>
        <v>1.0109403490492301</v>
      </c>
      <c r="L53" s="1782"/>
      <c r="M53" s="1783">
        <f>((M18/H18)-1)</f>
        <v>0.16294349540078712</v>
      </c>
      <c r="N53" s="1783">
        <f>((N18/I18)-1)</f>
        <v>0.13334521648949926</v>
      </c>
      <c r="O53" s="1783">
        <f>((O18/J18)-1)</f>
        <v>0.91919437029846818</v>
      </c>
      <c r="P53" s="1783">
        <f>((P18/K18)-1)</f>
        <v>0.54598445595855027</v>
      </c>
      <c r="Q53" s="1782"/>
      <c r="R53" s="1783">
        <f>((R18/M18)-1)</f>
        <v>0.93158705701078537</v>
      </c>
      <c r="S53" s="1783">
        <f>((S18/N18)-1)</f>
        <v>0.46695071560315204</v>
      </c>
      <c r="T53" s="1783">
        <f>((T18/O18)-1)</f>
        <v>1.2230791924811402</v>
      </c>
      <c r="U53" s="1783">
        <f>((U18/P18)-1)</f>
        <v>1.1284876413908678</v>
      </c>
      <c r="V53" s="1782"/>
      <c r="W53" s="1783">
        <f>((W18/R18)-1)</f>
        <v>0.90451499680918968</v>
      </c>
      <c r="X53" s="1783">
        <f>((X18/S18)-1)</f>
        <v>0.56631578947368344</v>
      </c>
      <c r="Y53" s="1783">
        <f>((Y18/T18)-1)</f>
        <v>0.9123172881870063</v>
      </c>
      <c r="Z53" s="1783">
        <f>((Z18/U18)-1)</f>
        <v>1.1899935048320112</v>
      </c>
      <c r="AA53" s="1782"/>
      <c r="AB53" s="1783">
        <f>((AB18/W18)-1)</f>
        <v>0.40393717277486929</v>
      </c>
      <c r="AC53" s="1783">
        <f>((AC18/X18)-1)</f>
        <v>0.31602200318598195</v>
      </c>
      <c r="AD53" s="1783">
        <f>((AD18/Y18)-1)</f>
        <v>0.31195907563275149</v>
      </c>
      <c r="AE53" s="1783">
        <f>((AE18/Z18)-1)</f>
        <v>0.15200373875452788</v>
      </c>
      <c r="AF53" s="1782"/>
      <c r="AG53" s="1783">
        <f>((AG18/AB18)-1)</f>
        <v>0.34848891673379323</v>
      </c>
      <c r="AH53" s="1783">
        <f>((AH18/AC18)-1)</f>
        <v>0.19769256229608945</v>
      </c>
      <c r="AI53" s="1783">
        <f>((AI18/AD18)-1)</f>
        <v>0.16125619634868826</v>
      </c>
      <c r="AJ53" s="1783">
        <f>((AJ18/AE18)-1)</f>
        <v>0.34319706662505833</v>
      </c>
      <c r="AK53" s="1782"/>
      <c r="AL53" s="1783">
        <f>((AL18/AG18)-1)</f>
        <v>0.33225663716814169</v>
      </c>
      <c r="AM53" s="1783">
        <f>((AM18/AH18)-1)</f>
        <v>0.34510461902881961</v>
      </c>
      <c r="AN53" s="1783">
        <f>((AN18/AI18)-1)</f>
        <v>0.47470652541711078</v>
      </c>
      <c r="AO53" s="1783">
        <f>((AO18/AJ18)-1)</f>
        <v>0.42533295386563363</v>
      </c>
      <c r="AP53" s="1782"/>
      <c r="AQ53" s="1783">
        <f>((AQ18/AL18)-1)</f>
        <v>0.3216314058919254</v>
      </c>
      <c r="AR53" s="1783">
        <f>((AR18/AM18)-1)</f>
        <v>0.1829916499126838</v>
      </c>
      <c r="AS53" s="1783">
        <f>((AS18/AN18)-1)</f>
        <v>0.13266292189368456</v>
      </c>
      <c r="AT53" s="1783">
        <f>((AT18/AO18)-1)</f>
        <v>0.14390731904107978</v>
      </c>
      <c r="AU53" s="1782"/>
      <c r="AV53" s="1783">
        <f>((AV18/AQ18)-1)</f>
        <v>-2.2080935507920119E-2</v>
      </c>
      <c r="AW53" s="1783">
        <f>((AW18/AR18)-1)</f>
        <v>-0.13571079459042412</v>
      </c>
      <c r="AX53" s="1783">
        <f>((AX18/AS18)-1)</f>
        <v>-0.22562058809779817</v>
      </c>
      <c r="AY53" s="1783">
        <f>((AY18/AT18)-1)</f>
        <v>-0.21740477920745516</v>
      </c>
      <c r="AZ53" s="1782"/>
      <c r="BA53" s="1783">
        <f>((BA18/AV18)-1)</f>
        <v>-4.3852736352500643E-2</v>
      </c>
      <c r="BB53" s="1783">
        <f>((BB18/AW18)-1)</f>
        <v>9.321885504488181E-2</v>
      </c>
      <c r="BC53" s="1783">
        <f>((BC18/AX18)-1)</f>
        <v>0.2532737690980349</v>
      </c>
      <c r="BD53" s="1783">
        <f>((BD18/AY18)-1)</f>
        <v>0.35176410074333031</v>
      </c>
      <c r="BE53" s="1782"/>
      <c r="BF53" s="1783">
        <f>((BF18/BA18)-1)</f>
        <v>0.2795692663283269</v>
      </c>
      <c r="BG53" s="1783">
        <f>((BG18/BB18)-1)</f>
        <v>0.19036490677113838</v>
      </c>
      <c r="BH53" s="1783">
        <f>((BH18/BC18)-1)</f>
        <v>0.12200046563531086</v>
      </c>
      <c r="BI53" s="1783">
        <f>((BI18/BD18)-1)</f>
        <v>5.0938662805380952E-2</v>
      </c>
      <c r="BJ53" s="1782"/>
      <c r="BK53" s="1783">
        <f>((BK18/BF18)-1)</f>
        <v>0.12709514807813438</v>
      </c>
      <c r="BL53" s="1783">
        <f>((BL18/BG18)-1)</f>
        <v>0.14963768515556852</v>
      </c>
      <c r="BM53" s="1783">
        <f>((BM18/BH18)-1)</f>
        <v>0.20741999534908695</v>
      </c>
      <c r="BN53" s="1783">
        <f>((BN18/BI18)-1)</f>
        <v>0.18737103161888191</v>
      </c>
      <c r="BO53" s="1782"/>
      <c r="BP53" s="1783">
        <f>((BP18/BK18)-1)</f>
        <v>3.0285806575849561E-2</v>
      </c>
      <c r="BQ53" s="1783">
        <f>((BQ18/BL18)-1)</f>
        <v>1.0372795109474753E-2</v>
      </c>
      <c r="BR53" s="1783">
        <f>((BR18/BM18)-1)</f>
        <v>3.259632820926095E-2</v>
      </c>
      <c r="BS53" s="1783">
        <f>((BS18/BN18)-1)</f>
        <v>1.0443399205006809E-3</v>
      </c>
      <c r="BT53" s="1782"/>
      <c r="BU53" s="1783">
        <f>((BU18/BP18)-1)</f>
        <v>-3.0396392105318415E-2</v>
      </c>
      <c r="BV53" s="1783">
        <f>((BV18/BQ18)-1)</f>
        <v>-0.17211917725232928</v>
      </c>
      <c r="BW53" s="1783">
        <f>((BW18/BR18)-1)</f>
        <v>-0.24615702467481415</v>
      </c>
      <c r="BX53" s="1783">
        <f>((BX18/BS18)-1)</f>
        <v>-0.37648939496867617</v>
      </c>
      <c r="BY53" s="1783"/>
      <c r="BZ53" s="1783">
        <f>((BZ18/BU18)-1)</f>
        <v>-0.32563099672298323</v>
      </c>
      <c r="CA53" s="1783">
        <f>((CA18/BV18)-1)</f>
        <v>-0.31413051706301043</v>
      </c>
      <c r="CB53" s="1783">
        <f>((CB18/BW18)-1)</f>
        <v>-0.44234875851227007</v>
      </c>
      <c r="CC53" s="1783">
        <f>((CC18/BX18)-1)</f>
        <v>-0.45480879396441676</v>
      </c>
      <c r="CD53" s="1783"/>
      <c r="CE53" s="1783">
        <f>((CE18/BZ18)-1)</f>
        <v>-0.23928077455048458</v>
      </c>
      <c r="CF53" s="1783">
        <f>((CF18/CA18)-1)</f>
        <v>-4.6822742474917134E-2</v>
      </c>
      <c r="CG53" s="1783">
        <f>((CG18/CB18)-1)</f>
        <v>3.617747440272856E-2</v>
      </c>
      <c r="CH53" s="1783">
        <f>((CH18/CC18)-1)</f>
        <v>0.38620142743853814</v>
      </c>
      <c r="CI53" s="1783"/>
      <c r="CJ53" s="1783">
        <f>((CJ18/CE18)-1)</f>
        <v>7.1515151515151976E-2</v>
      </c>
      <c r="CK53" s="1783">
        <f>((CK18/CF18)-1)</f>
        <v>3.2631578947369455E-2</v>
      </c>
      <c r="CL53" s="1783">
        <f>((CL18/CG18)-1)</f>
        <v>6.7193675889329896E-2</v>
      </c>
      <c r="CM53" s="1783">
        <f>((CM18/CH18)-1)</f>
        <v>2.700228832952023E-2</v>
      </c>
      <c r="CN53" s="1783"/>
      <c r="CO53" s="1783">
        <f>((CO18/CJ18)-1)</f>
        <v>-4.5248868778279938E-2</v>
      </c>
      <c r="CP53" s="1783">
        <f>((CP18/CK18)-1)</f>
        <v>0.39755351681957074</v>
      </c>
      <c r="CQ53" s="1783">
        <f>((CQ18/CL18)-1)</f>
        <v>0.16456392867902681</v>
      </c>
      <c r="CR53" s="1783">
        <f>((CR18/CM18)-1)</f>
        <v>0.2208151079638585</v>
      </c>
      <c r="CS53" s="1782"/>
      <c r="CT53" s="1771"/>
      <c r="CU53" s="1771"/>
      <c r="CV53" s="1770">
        <f>((CV18/CU18)-1)</f>
        <v>-0.434977071991687</v>
      </c>
      <c r="CW53" s="1770">
        <f>((CW18/CV18)-1)</f>
        <v>6.2767360972296515E-2</v>
      </c>
      <c r="CX53" s="1770">
        <f>((CX18/CW18)-1)</f>
        <v>1.1072489937177852</v>
      </c>
      <c r="CY53" s="1770">
        <f t="shared" ref="CY53:DD53" si="49">((CY18/CX18)-1)</f>
        <v>0.89687059285574233</v>
      </c>
      <c r="CZ53" s="1784">
        <f t="shared" si="49"/>
        <v>0.10842579782979023</v>
      </c>
      <c r="DA53" s="1770">
        <f t="shared" si="49"/>
        <v>0.85475216084497974</v>
      </c>
      <c r="DB53" s="1770">
        <f t="shared" si="49"/>
        <v>0.85537127659087298</v>
      </c>
      <c r="DC53" s="1771">
        <f t="shared" si="49"/>
        <v>0.41267542387936085</v>
      </c>
      <c r="DD53" s="1770">
        <f t="shared" si="49"/>
        <v>0.24832900484313458</v>
      </c>
      <c r="DE53" s="1771">
        <f t="shared" ref="DE53:DM53" si="50">((DE18/DD18)-1)</f>
        <v>0.38985822955535299</v>
      </c>
      <c r="DF53" s="1770">
        <f t="shared" si="50"/>
        <v>0.18706720475298444</v>
      </c>
      <c r="DG53" s="1771">
        <f t="shared" si="50"/>
        <v>-0.1517228629892925</v>
      </c>
      <c r="DH53" s="1770">
        <f t="shared" si="50"/>
        <v>0.14981110912284468</v>
      </c>
      <c r="DI53" s="1770">
        <f t="shared" si="50"/>
        <v>0.1568731953770357</v>
      </c>
      <c r="DJ53" s="1771">
        <f t="shared" si="50"/>
        <v>0.16578661387852955</v>
      </c>
      <c r="DK53" s="1771">
        <f t="shared" si="50"/>
        <v>1.711258008326455E-2</v>
      </c>
      <c r="DL53" s="1771">
        <f t="shared" si="50"/>
        <v>-0.20672695109406192</v>
      </c>
      <c r="DM53" s="1771">
        <f t="shared" si="50"/>
        <v>-0.36999682801193101</v>
      </c>
      <c r="DN53" s="1771">
        <f t="shared" ref="DN53:DT53" si="51">((DN18/DM18)-1)</f>
        <v>-1.5091946734306916E-2</v>
      </c>
      <c r="DO53" s="1771">
        <f t="shared" si="51"/>
        <v>4.6381663662119266E-2</v>
      </c>
      <c r="DP53" s="1771">
        <f t="shared" si="51"/>
        <v>0.21572208981771746</v>
      </c>
      <c r="DQ53" s="1771">
        <f t="shared" si="51"/>
        <v>7.4331575792915938E-2</v>
      </c>
      <c r="DR53" s="1771">
        <f t="shared" si="51"/>
        <v>3.7443793911335232E-2</v>
      </c>
      <c r="DS53" s="1770">
        <f t="shared" si="51"/>
        <v>3.6738197550432172E-2</v>
      </c>
      <c r="DT53" s="1772">
        <f t="shared" si="51"/>
        <v>5.2186800782085374E-2</v>
      </c>
    </row>
    <row r="54" spans="1:124">
      <c r="A54" s="1749" t="s">
        <v>107</v>
      </c>
      <c r="B54" s="1764"/>
      <c r="C54" s="1783"/>
      <c r="D54" s="1783"/>
      <c r="E54" s="1783"/>
      <c r="F54" s="1783"/>
      <c r="G54" s="1783"/>
      <c r="H54" s="1783">
        <f>((H28/C28)-1)</f>
        <v>5.1160032913707907</v>
      </c>
      <c r="I54" s="1783">
        <f>((I28/D28)-1)</f>
        <v>9.1518665626483919E-2</v>
      </c>
      <c r="J54" s="1783">
        <f>((J28/E28)-1)</f>
        <v>0.94082851839122172</v>
      </c>
      <c r="K54" s="1783">
        <f>((K28/F28)-1)</f>
        <v>0.34642350414967549</v>
      </c>
      <c r="L54" s="1782"/>
      <c r="M54" s="1783">
        <f>((M28/H28)-1)</f>
        <v>-0.22355607001496391</v>
      </c>
      <c r="N54" s="1783">
        <f>((N28/I28)-1)</f>
        <v>0.12169266932302159</v>
      </c>
      <c r="O54" s="1783">
        <f>((O28/J28)-1)</f>
        <v>1.1138072191793609</v>
      </c>
      <c r="P54" s="1783">
        <f>((P28/K28)-1)</f>
        <v>0.73564423372457344</v>
      </c>
      <c r="Q54" s="1782"/>
      <c r="R54" s="1783">
        <f>((R28/M28)-1)</f>
        <v>0.75802285983213769</v>
      </c>
      <c r="S54" s="1783">
        <f>((S28/N28)-1)</f>
        <v>0.37484350937403121</v>
      </c>
      <c r="T54" s="1783">
        <f>((T28/O28)-1)</f>
        <v>0.92252745914743839</v>
      </c>
      <c r="U54" s="1783">
        <f>((U28/P28)-1)</f>
        <v>0.80598278235866694</v>
      </c>
      <c r="V54" s="1782"/>
      <c r="W54" s="1783">
        <f>((W28/R28)-1)</f>
        <v>0.8141852290440621</v>
      </c>
      <c r="X54" s="1783">
        <f>((X28/S28)-1)</f>
        <v>0.46400387751228211</v>
      </c>
      <c r="Y54" s="1783">
        <f>((Y28/T28)-1)</f>
        <v>0.76369476572874162</v>
      </c>
      <c r="Z54" s="1783">
        <f>((Z28/U28)-1)</f>
        <v>1.1294269679732944</v>
      </c>
      <c r="AA54" s="1782"/>
      <c r="AB54" s="1783">
        <f>((AB28/W28)-1)</f>
        <v>0.41262900357037169</v>
      </c>
      <c r="AC54" s="1783">
        <f>((AC28/X28)-1)</f>
        <v>0.30741507497680476</v>
      </c>
      <c r="AD54" s="1783">
        <f>((AD28/Y28)-1)</f>
        <v>0.37107734181203678</v>
      </c>
      <c r="AE54" s="1783">
        <f>((AE28/Z28)-1)</f>
        <v>0.36928410458738958</v>
      </c>
      <c r="AF54" s="1782"/>
      <c r="AG54" s="1783">
        <f>((AG28/AB28)-1)</f>
        <v>0.43944546035824184</v>
      </c>
      <c r="AH54" s="1783">
        <f>((AH28/AC28)-1)</f>
        <v>0.27377374300275892</v>
      </c>
      <c r="AI54" s="1783">
        <f>((AI28/AD28)-1)</f>
        <v>0.25769756955502765</v>
      </c>
      <c r="AJ54" s="1783">
        <f>((AJ28/AE28)-1)</f>
        <v>0.27130454892378064</v>
      </c>
      <c r="AK54" s="1782"/>
      <c r="AL54" s="1783">
        <f>((AL28/AG28)-1)</f>
        <v>0.3684146344302528</v>
      </c>
      <c r="AM54" s="1783">
        <f>((AM28/AH28)-1)</f>
        <v>0.38002585186510673</v>
      </c>
      <c r="AN54" s="1783">
        <f>((AN28/AI28)-1)</f>
        <v>0.49615307761148308</v>
      </c>
      <c r="AO54" s="1783">
        <f>((AO28/AJ28)-1)</f>
        <v>0.42719473665992691</v>
      </c>
      <c r="AP54" s="1782"/>
      <c r="AQ54" s="1783">
        <f>((AQ28/AL28)-1)</f>
        <v>0.32329626068926465</v>
      </c>
      <c r="AR54" s="1783">
        <f>((AR28/AM28)-1)</f>
        <v>0.2049662146407456</v>
      </c>
      <c r="AS54" s="1783">
        <f>((AS28/AN28)-1)</f>
        <v>0.18872151522283964</v>
      </c>
      <c r="AT54" s="1783">
        <f>((AT28/AO28)-1)</f>
        <v>0.19820716763167789</v>
      </c>
      <c r="AU54" s="1782"/>
      <c r="AV54" s="1783">
        <f>((AV28/AQ28)-1)</f>
        <v>6.9665297274401849E-2</v>
      </c>
      <c r="AW54" s="1783">
        <f>((AW28/AR28)-1)</f>
        <v>-3.0890193741872629E-2</v>
      </c>
      <c r="AX54" s="1783">
        <f>((AX28/AS28)-1)</f>
        <v>-0.16966052723897895</v>
      </c>
      <c r="AY54" s="1783">
        <f>((AY28/AT28)-1)</f>
        <v>-0.15311177178258595</v>
      </c>
      <c r="AZ54" s="1782"/>
      <c r="BA54" s="1783">
        <f>((BA28/AV28)-1)</f>
        <v>4.6422044165475018E-3</v>
      </c>
      <c r="BB54" s="1783">
        <f>((BB28/AW28)-1)</f>
        <v>0.12393958471877742</v>
      </c>
      <c r="BC54" s="1783">
        <f>((BC28/AX28)-1)</f>
        <v>0.30902369315897693</v>
      </c>
      <c r="BD54" s="1783">
        <f>((BD28/AY28)-1)</f>
        <v>0.49522600869684075</v>
      </c>
      <c r="BE54" s="1782"/>
      <c r="BF54" s="1783">
        <f>((BF28/BA28)-1)</f>
        <v>0.42963715956869186</v>
      </c>
      <c r="BG54" s="1783">
        <f>((BG28/BB28)-1)</f>
        <v>0.328435924158055</v>
      </c>
      <c r="BH54" s="1783">
        <f>((BH28/BC28)-1)</f>
        <v>0.22830648624151806</v>
      </c>
      <c r="BI54" s="1783">
        <f>((BI28/BD28)-1)</f>
        <v>6.6269563382364227E-2</v>
      </c>
      <c r="BJ54" s="1782"/>
      <c r="BK54" s="1783">
        <f>((BK28/BF28)-1)</f>
        <v>0.15814113246706696</v>
      </c>
      <c r="BL54" s="1783">
        <f>((BL28/BG28)-1)</f>
        <v>0.18067536969390785</v>
      </c>
      <c r="BM54" s="1783">
        <f>((BM28/BH28)-1)</f>
        <v>0.24307221950265245</v>
      </c>
      <c r="BN54" s="1783">
        <f>((BN28/BI28)-1)</f>
        <v>0.27129835072332398</v>
      </c>
      <c r="BO54" s="1782"/>
      <c r="BP54" s="1783">
        <f>((BP28/BK28)-1)</f>
        <v>5.6784401743443791E-2</v>
      </c>
      <c r="BQ54" s="1783">
        <f>((BQ28/BL28)-1)</f>
        <v>4.8097973462019272E-2</v>
      </c>
      <c r="BR54" s="1783">
        <f>((BR28/BM28)-1)</f>
        <v>9.5011320026047397E-2</v>
      </c>
      <c r="BS54" s="1783">
        <f>((BS28/BN28)-1)</f>
        <v>3.2735996147662094E-2</v>
      </c>
      <c r="BT54" s="1782"/>
      <c r="BU54" s="1783">
        <f>((BU28/BP28)-1)</f>
        <v>-2.0191957174912067E-3</v>
      </c>
      <c r="BV54" s="1783">
        <f>((BV28/BQ28)-1)</f>
        <v>-0.14279267721760369</v>
      </c>
      <c r="BW54" s="1783">
        <f>((BW28/BR28)-1)</f>
        <v>-0.18487520948039404</v>
      </c>
      <c r="BX54" s="1783">
        <f>((BX28/BS28)-1)</f>
        <v>-0.33509131581189833</v>
      </c>
      <c r="BY54" s="1783"/>
      <c r="BZ54" s="1783">
        <f>((BZ28/BU28)-1)</f>
        <v>-0.31119188671161979</v>
      </c>
      <c r="CA54" s="1783">
        <f>((CA28/BV28)-1)</f>
        <v>-0.31466433042827091</v>
      </c>
      <c r="CB54" s="1783">
        <f>((CB28/BW28)-1)</f>
        <v>-0.4721210276614759</v>
      </c>
      <c r="CC54" s="1783">
        <f>((CC28/BX28)-1)</f>
        <v>-0.48420413754925007</v>
      </c>
      <c r="CD54" s="1783"/>
      <c r="CE54" s="1783">
        <f>((CE28/BZ28)-1)</f>
        <v>-0.22957580489420681</v>
      </c>
      <c r="CF54" s="1783">
        <f>((CF28/CA28)-1)</f>
        <v>-6.5363515794551463E-2</v>
      </c>
      <c r="CG54" s="1783">
        <f>((CG28/CB28)-1)</f>
        <v>0.22921741490185688</v>
      </c>
      <c r="CH54" s="1783">
        <f>((CH28/CC28)-1)</f>
        <v>0.4698076882834199</v>
      </c>
      <c r="CI54" s="1783"/>
      <c r="CJ54" s="1783">
        <f>((CJ28/CE28)-1)</f>
        <v>9.9831288819803632E-2</v>
      </c>
      <c r="CK54" s="1783">
        <f>((CK28/CF28)-1)</f>
        <v>0.10749368255934488</v>
      </c>
      <c r="CL54" s="1783">
        <f>((CL28/CG28)-1)</f>
        <v>3.7340894026957727E-2</v>
      </c>
      <c r="CM54" s="1783">
        <f>((CM28/CH28)-1)</f>
        <v>0.1096587333885426</v>
      </c>
      <c r="CN54" s="1783"/>
      <c r="CO54" s="1783">
        <f>((CO28/CJ28)-1)</f>
        <v>-6.5905127310777023E-2</v>
      </c>
      <c r="CP54" s="1783">
        <f>((CP28/CK28)-1)</f>
        <v>0.42652454185711752</v>
      </c>
      <c r="CQ54" s="1783">
        <f>((CQ28/CL28)-1)</f>
        <v>3.6669829108996854E-2</v>
      </c>
      <c r="CR54" s="1783">
        <f>((CR28/CM28)-1)</f>
        <v>0.11912491640475165</v>
      </c>
      <c r="CS54" s="1782"/>
      <c r="CT54" s="1771"/>
      <c r="CU54" s="1771"/>
      <c r="CV54" s="1770">
        <f>((CV28/CU28)-1)</f>
        <v>-0.35898792481015773</v>
      </c>
      <c r="CW54" s="1770">
        <f>((CW28/CV28)-1)</f>
        <v>0.15662475117735841</v>
      </c>
      <c r="CX54" s="1770">
        <f>((CX28/CW28)-1)</f>
        <v>0.62040884859169276</v>
      </c>
      <c r="CY54" s="1770">
        <f t="shared" ref="CY54:DD54" si="52">((CY28/CX28)-1)</f>
        <v>0.47648104375910583</v>
      </c>
      <c r="CZ54" s="1784">
        <f t="shared" si="52"/>
        <v>2.1600622040180539E-2</v>
      </c>
      <c r="DA54" s="1770">
        <f t="shared" si="52"/>
        <v>0.69195587262525882</v>
      </c>
      <c r="DB54" s="1770">
        <f t="shared" si="52"/>
        <v>0.75531709459592267</v>
      </c>
      <c r="DC54" s="1771">
        <f t="shared" si="52"/>
        <v>0.48920129394124645</v>
      </c>
      <c r="DD54" s="1770">
        <f t="shared" si="52"/>
        <v>0.29964924217877931</v>
      </c>
      <c r="DE54" s="1771">
        <f t="shared" ref="DE54:DM54" si="53">((DE28/DD28)-1)</f>
        <v>0.41219024449676001</v>
      </c>
      <c r="DF54" s="1770">
        <f t="shared" si="53"/>
        <v>0.22077410550012955</v>
      </c>
      <c r="DG54" s="1771">
        <f t="shared" si="53"/>
        <v>-7.0989950600305884E-2</v>
      </c>
      <c r="DH54" s="1770">
        <f t="shared" si="53"/>
        <v>0.21571037053088515</v>
      </c>
      <c r="DI54" s="1770">
        <f t="shared" si="53"/>
        <v>0.25588141627149463</v>
      </c>
      <c r="DJ54" s="1771">
        <f t="shared" si="53"/>
        <v>0.2089686134695421</v>
      </c>
      <c r="DK54" s="1771">
        <f t="shared" si="53"/>
        <v>5.5908298623769337E-2</v>
      </c>
      <c r="DL54" s="1771">
        <f t="shared" si="53"/>
        <v>-0.16792907585326822</v>
      </c>
      <c r="DM54" s="1771">
        <f t="shared" si="53"/>
        <v>-0.38232239741984908</v>
      </c>
      <c r="DN54" s="1771">
        <f t="shared" ref="DN54:DT54" si="54">((DN28/DM28)-1)</f>
        <v>3.0782906060329518E-2</v>
      </c>
      <c r="DO54" s="1771">
        <f t="shared" si="54"/>
        <v>9.0592982626161556E-2</v>
      </c>
      <c r="DP54" s="1771">
        <f t="shared" si="54"/>
        <v>0.16846987622400911</v>
      </c>
      <c r="DQ54" s="1771">
        <f t="shared" si="54"/>
        <v>9.2650077821520238E-2</v>
      </c>
      <c r="DR54" s="1771">
        <f t="shared" si="54"/>
        <v>3.552141662873276E-2</v>
      </c>
      <c r="DS54" s="1770">
        <f t="shared" si="54"/>
        <v>3.4738973765588765E-2</v>
      </c>
      <c r="DT54" s="1772">
        <f t="shared" si="54"/>
        <v>5.071729935363245E-2</v>
      </c>
    </row>
    <row r="55" spans="1:124">
      <c r="A55" s="1733" t="s">
        <v>44</v>
      </c>
      <c r="B55" s="1764"/>
      <c r="C55" s="1783"/>
      <c r="D55" s="1783"/>
      <c r="E55" s="1783"/>
      <c r="F55" s="1783"/>
      <c r="G55" s="1783"/>
      <c r="H55" s="1783">
        <f>((H33/C33)-1)</f>
        <v>6.4695801902263108</v>
      </c>
      <c r="I55" s="1783">
        <f>((I33/D33)-1)</f>
        <v>0.65955635579726213</v>
      </c>
      <c r="J55" s="1783">
        <f>((J33/E33)-1)</f>
        <v>3.1163011859476475</v>
      </c>
      <c r="K55" s="1783">
        <f>((K33/F33)-1)</f>
        <v>-0.29146868606876575</v>
      </c>
      <c r="L55" s="1782"/>
      <c r="M55" s="1783">
        <f>((M33/H33)-1)</f>
        <v>0.1347435207850789</v>
      </c>
      <c r="N55" s="1783">
        <f>((N33/I33)-1)</f>
        <v>0.12650057753552812</v>
      </c>
      <c r="O55" s="1783">
        <f>((O33/J33)-1)</f>
        <v>0.63627468301101975</v>
      </c>
      <c r="P55" s="1783">
        <f>((P33/K33)-1)</f>
        <v>0.4084595592087652</v>
      </c>
      <c r="Q55" s="1782"/>
      <c r="R55" s="1783">
        <f>((R33/M33)-1)</f>
        <v>0.70596087991177647</v>
      </c>
      <c r="S55" s="1783">
        <f>((S33/N33)-1)</f>
        <v>0.43651599630476601</v>
      </c>
      <c r="T55" s="1783">
        <f>((T33/O33)-1)</f>
        <v>0.99873756249896184</v>
      </c>
      <c r="U55" s="1783">
        <f>((U33/P33)-1)</f>
        <v>0.9876998363284677</v>
      </c>
      <c r="V55" s="1782"/>
      <c r="W55" s="1783">
        <f>((W33/R33)-1)</f>
        <v>0.8252132099437488</v>
      </c>
      <c r="X55" s="1783">
        <f>((X33/S33)-1)</f>
        <v>0.5541974148704234</v>
      </c>
      <c r="Y55" s="1783">
        <f>((Y33/T33)-1)</f>
        <v>0.89696324983794073</v>
      </c>
      <c r="Z55" s="1783">
        <f>((Z33/U33)-1)</f>
        <v>0.98928719953422584</v>
      </c>
      <c r="AA55" s="1782"/>
      <c r="AB55" s="1783">
        <f>((AB33/W33)-1)</f>
        <v>0.40621349571268817</v>
      </c>
      <c r="AC55" s="1783">
        <f>((AC33/X33)-1)</f>
        <v>0.31877193600262976</v>
      </c>
      <c r="AD55" s="1783">
        <f>((AD33/Y33)-1)</f>
        <v>0.27075100545883113</v>
      </c>
      <c r="AE55" s="1783">
        <f>((AE33/Z33)-1)</f>
        <v>0.17139966216781266</v>
      </c>
      <c r="AF55" s="1782"/>
      <c r="AG55" s="1783">
        <f>((AG33/AB33)-1)</f>
        <v>0.32194807260644454</v>
      </c>
      <c r="AH55" s="1783">
        <f>((AH33/AC33)-1)</f>
        <v>0.20579452146242661</v>
      </c>
      <c r="AI55" s="1783">
        <f>((AI33/AD33)-1)</f>
        <v>0.1727816199742116</v>
      </c>
      <c r="AJ55" s="1783">
        <f>((AJ33/AE33)-1)</f>
        <v>0.35099905056288039</v>
      </c>
      <c r="AK55" s="1782"/>
      <c r="AL55" s="1783">
        <f>((AL33/AG33)-1)</f>
        <v>0.33356062277306497</v>
      </c>
      <c r="AM55" s="1783">
        <f>((AM33/AH33)-1)</f>
        <v>0.33172778811232173</v>
      </c>
      <c r="AN55" s="1783">
        <f>((AN33/AI33)-1)</f>
        <v>0.45369668107122885</v>
      </c>
      <c r="AO55" s="1783">
        <f>((AO33/AJ33)-1)</f>
        <v>0.40911588781096109</v>
      </c>
      <c r="AP55" s="1782"/>
      <c r="AQ55" s="1783">
        <f>((AQ33/AL33)-1)</f>
        <v>0.32082451901386522</v>
      </c>
      <c r="AR55" s="1783">
        <f>((AR33/AM33)-1)</f>
        <v>0.18475221236485395</v>
      </c>
      <c r="AS55" s="1783">
        <f>((AS33/AN33)-1)</f>
        <v>0.1425630530794495</v>
      </c>
      <c r="AT55" s="1783">
        <f>((AT33/AO33)-1)</f>
        <v>0.14922115810078096</v>
      </c>
      <c r="AU55" s="1782"/>
      <c r="AV55" s="1783">
        <f>((AV33/AQ33)-1)</f>
        <v>2.6225302293099162E-3</v>
      </c>
      <c r="AW55" s="1783">
        <f>((AW33/AR33)-1)</f>
        <v>-0.11394845066600567</v>
      </c>
      <c r="AX55" s="1783">
        <f>((AX33/AS33)-1)</f>
        <v>-0.18758517668964003</v>
      </c>
      <c r="AY55" s="1783">
        <f>((AY33/AT33)-1)</f>
        <v>-0.18139993213083094</v>
      </c>
      <c r="AZ55" s="1782"/>
      <c r="BA55" s="1783">
        <f>((BA33/AV33)-1)</f>
        <v>-2.8579323710996585E-2</v>
      </c>
      <c r="BB55" s="1783">
        <f>((BB33/AW33)-1)</f>
        <v>7.9537654053712048E-2</v>
      </c>
      <c r="BC55" s="1783">
        <f>((BC33/AX33)-1)</f>
        <v>0.22740819492131026</v>
      </c>
      <c r="BD55" s="1783">
        <f>((BD33/AY33)-1)</f>
        <v>0.31417661173957079</v>
      </c>
      <c r="BE55" s="1782"/>
      <c r="BF55" s="1783">
        <f>((BF33/BA33)-1)</f>
        <v>0.23880573751008272</v>
      </c>
      <c r="BG55" s="1783">
        <f>((BG33/BB33)-1)</f>
        <v>0.18506933405072279</v>
      </c>
      <c r="BH55" s="1783">
        <f>((BH33/BC33)-1)</f>
        <v>0.100053248136315</v>
      </c>
      <c r="BI55" s="1783">
        <f>((BI33/BD33)-1)</f>
        <v>4.1401525031998787E-2</v>
      </c>
      <c r="BJ55" s="1782"/>
      <c r="BK55" s="1800">
        <f>((BK33/BF33)-1)</f>
        <v>0.11358210316723816</v>
      </c>
      <c r="BL55" s="1800">
        <f>((BL33/BG33)-1)</f>
        <v>0.14370886757758994</v>
      </c>
      <c r="BM55" s="1800">
        <f>((BM33/BH33)-1)</f>
        <v>0.19767978443616196</v>
      </c>
      <c r="BN55" s="1800">
        <f>((BN33/BI33)-1)</f>
        <v>0.17881857474049689</v>
      </c>
      <c r="BO55" s="1782"/>
      <c r="BP55" s="1800">
        <f>((BP33/BK33)-1)</f>
        <v>3.8983673238800032E-2</v>
      </c>
      <c r="BQ55" s="1800">
        <f>((BQ33/BL33)-1)</f>
        <v>2.3736960911153071E-2</v>
      </c>
      <c r="BR55" s="1800">
        <f>((BR33/BM33)-1)</f>
        <v>4.3473809286447285E-2</v>
      </c>
      <c r="BS55" s="1800">
        <f>((BS33/BN33)-1)</f>
        <v>3.343339633596476E-2</v>
      </c>
      <c r="BT55" s="1782"/>
      <c r="BU55" s="1800">
        <f>((BU33/BP33)-1)</f>
        <v>-3.3249868822060602E-3</v>
      </c>
      <c r="BV55" s="1800">
        <f>((BV33/BQ33)-1)</f>
        <v>-0.14706162290210312</v>
      </c>
      <c r="BW55" s="1800">
        <f>((BW33/BR33)-1)</f>
        <v>-0.1977106884460258</v>
      </c>
      <c r="BX55" s="1800">
        <f>((BX33/BS33)-1)</f>
        <v>-0.33126612268903188</v>
      </c>
      <c r="BY55" s="1785"/>
      <c r="BZ55" s="1800">
        <f>((BZ33/BU33)-1)</f>
        <v>-0.2902307159340749</v>
      </c>
      <c r="CA55" s="1800">
        <f>((CA33/BV33)-1)</f>
        <v>-0.28603606396124959</v>
      </c>
      <c r="CB55" s="1800">
        <f>((CB33/BW33)-1)</f>
        <v>-0.37594340685335792</v>
      </c>
      <c r="CC55" s="1800">
        <f>((CC33/BX33)-1)</f>
        <v>-0.3539876160105242</v>
      </c>
      <c r="CD55" s="1785"/>
      <c r="CE55" s="1800">
        <f>((CE33/BZ33)-1)</f>
        <v>-0.15680245964642625</v>
      </c>
      <c r="CF55" s="1800">
        <f>((CF33/CA33)-1)</f>
        <v>-2.2575976845152668E-2</v>
      </c>
      <c r="CG55" s="1800">
        <f>((CG33/CB33)-1)</f>
        <v>3.8164002062917701E-2</v>
      </c>
      <c r="CH55" s="1800">
        <f>((CH33/CC33)-1)</f>
        <v>0.26618705035971013</v>
      </c>
      <c r="CI55" s="1785"/>
      <c r="CJ55" s="1800">
        <f>((CJ33/CE33)-1)</f>
        <v>4.4211485870556455E-2</v>
      </c>
      <c r="CK55" s="1800">
        <f>((CK33/CF33)-1)</f>
        <v>1.3325436778206301E-2</v>
      </c>
      <c r="CL55" s="1800">
        <f>((CL33/CG33)-1)</f>
        <v>4.5702930948833931E-2</v>
      </c>
      <c r="CM55" s="1800">
        <f>((CM33/CH33)-1)</f>
        <v>6.4772727272728092E-2</v>
      </c>
      <c r="CN55" s="1785"/>
      <c r="CO55" s="1800">
        <f>((CO33/CJ33)-1)</f>
        <v>2.0515058926233509E-2</v>
      </c>
      <c r="CP55" s="1800">
        <f>((CP33/CK33)-1)</f>
        <v>0.39187609585037908</v>
      </c>
      <c r="CQ55" s="1800">
        <f>((CQ33/CL33)-1)</f>
        <v>0.20503257219003479</v>
      </c>
      <c r="CR55" s="1800">
        <f>((CR33/CM33)-1)</f>
        <v>0.23822116947700778</v>
      </c>
      <c r="CS55" s="1782"/>
      <c r="CT55" s="1771"/>
      <c r="CU55" s="1771"/>
      <c r="CV55" s="1801">
        <f>((CV33/CU33)-1)</f>
        <v>-0.27684393675769692</v>
      </c>
      <c r="CW55" s="1801">
        <f>((CW33/CV33)-1)</f>
        <v>2.1800531414106317E-2</v>
      </c>
      <c r="CX55" s="1801">
        <f>((CX33/CW33)-1)</f>
        <v>0.61029095599827787</v>
      </c>
      <c r="CY55" s="1801">
        <f t="shared" ref="CY55:DD55" si="55">((CY33/CX33)-1)</f>
        <v>0.65793120986712572</v>
      </c>
      <c r="CZ55" s="1802">
        <f t="shared" si="55"/>
        <v>9.8812774181673335E-2</v>
      </c>
      <c r="DA55" s="1801">
        <f t="shared" si="55"/>
        <v>0.73571947065721166</v>
      </c>
      <c r="DB55" s="1801">
        <f t="shared" si="55"/>
        <v>0.79107286472575056</v>
      </c>
      <c r="DC55" s="1803">
        <f t="shared" si="55"/>
        <v>0.39864707097376861</v>
      </c>
      <c r="DD55" s="1801">
        <f t="shared" si="55"/>
        <v>0.2518592596992113</v>
      </c>
      <c r="DE55" s="1803">
        <f t="shared" ref="DE55:DM55" si="56">((DE33/DD33)-1)</f>
        <v>0.37746037119387799</v>
      </c>
      <c r="DF55" s="1801">
        <f t="shared" si="56"/>
        <v>0.19148989647458792</v>
      </c>
      <c r="DG55" s="1803">
        <f t="shared" si="56"/>
        <v>-0.1223548420112619</v>
      </c>
      <c r="DH55" s="1801">
        <f t="shared" si="56"/>
        <v>0.13672599341064551</v>
      </c>
      <c r="DI55" s="1801">
        <f t="shared" si="56"/>
        <v>0.14001950012334463</v>
      </c>
      <c r="DJ55" s="1803">
        <f t="shared" si="56"/>
        <v>0.15689891104534648</v>
      </c>
      <c r="DK55" s="1803">
        <f t="shared" si="56"/>
        <v>3.3621972950649948E-2</v>
      </c>
      <c r="DL55" s="1803">
        <f t="shared" si="56"/>
        <v>-0.17222027540169838</v>
      </c>
      <c r="DM55" s="1803">
        <f t="shared" si="56"/>
        <v>-0.3196806808883923</v>
      </c>
      <c r="DN55" s="1803">
        <f t="shared" ref="DN55:DT55" si="57">((DN33/DM33)-1)</f>
        <v>7.0386616341926445E-3</v>
      </c>
      <c r="DO55" s="1803">
        <f t="shared" si="57"/>
        <v>3.9525931928688918E-2</v>
      </c>
      <c r="DP55" s="1803">
        <f t="shared" si="57"/>
        <v>0.23308335225779109</v>
      </c>
      <c r="DQ55" s="1803">
        <f t="shared" si="57"/>
        <v>6.5020761975959296E-2</v>
      </c>
      <c r="DR55" s="1803">
        <f t="shared" si="57"/>
        <v>3.5585262737483081E-2</v>
      </c>
      <c r="DS55" s="1801">
        <f t="shared" si="57"/>
        <v>3.5029724406079321E-2</v>
      </c>
      <c r="DT55" s="1804">
        <f t="shared" si="57"/>
        <v>4.7253011223880481E-2</v>
      </c>
    </row>
    <row r="56" spans="1:124">
      <c r="A56" s="1805"/>
      <c r="B56" s="1806"/>
      <c r="C56" s="1805"/>
      <c r="D56" s="1805"/>
      <c r="E56" s="1805"/>
      <c r="F56" s="1805"/>
      <c r="G56" s="1805"/>
      <c r="H56" s="1805"/>
      <c r="I56" s="1805"/>
      <c r="J56" s="1805"/>
      <c r="K56" s="1805"/>
      <c r="L56" s="1805"/>
      <c r="M56" s="1805"/>
      <c r="N56" s="1805"/>
      <c r="O56" s="1805"/>
      <c r="P56" s="1805"/>
      <c r="Q56" s="1805"/>
      <c r="R56" s="1805"/>
      <c r="S56" s="1805"/>
      <c r="T56" s="1805"/>
      <c r="U56" s="1805"/>
      <c r="V56" s="1805"/>
      <c r="W56" s="1805"/>
      <c r="X56" s="1805"/>
      <c r="Y56" s="1805"/>
      <c r="Z56" s="1805"/>
      <c r="AA56" s="1805"/>
      <c r="AB56" s="1805"/>
      <c r="AC56" s="1805"/>
      <c r="AD56" s="1805"/>
      <c r="AE56" s="1805"/>
      <c r="AF56" s="1805"/>
      <c r="AG56" s="1805"/>
      <c r="AH56" s="1805"/>
      <c r="AI56" s="1805"/>
      <c r="AJ56" s="1805"/>
      <c r="AK56" s="1805"/>
      <c r="AL56" s="1805"/>
      <c r="AM56" s="1805"/>
      <c r="AN56" s="1805"/>
      <c r="AO56" s="1805"/>
      <c r="AP56" s="1805"/>
      <c r="AQ56" s="1805"/>
      <c r="AR56" s="1805"/>
      <c r="AS56" s="1805"/>
      <c r="AT56" s="1805"/>
      <c r="AU56" s="1805"/>
      <c r="AV56" s="1805"/>
      <c r="AW56" s="1805"/>
      <c r="AX56" s="1805"/>
      <c r="AY56" s="1805"/>
      <c r="AZ56" s="1805"/>
      <c r="BA56" s="1805"/>
      <c r="BB56" s="1805"/>
      <c r="BC56" s="1805"/>
      <c r="BD56" s="1805"/>
      <c r="BE56" s="1805"/>
      <c r="BF56" s="1805"/>
      <c r="BG56" s="1805"/>
      <c r="BH56" s="1805"/>
      <c r="BI56" s="1805"/>
      <c r="BJ56" s="1805"/>
      <c r="BK56" s="1805"/>
      <c r="BL56" s="1805"/>
      <c r="BM56" s="1805"/>
      <c r="BN56" s="1805"/>
      <c r="BO56" s="1805"/>
      <c r="BP56" s="1805"/>
      <c r="BQ56" s="1805"/>
      <c r="BR56" s="1805"/>
      <c r="BS56" s="1805"/>
      <c r="BT56" s="1805"/>
      <c r="BU56" s="1805"/>
      <c r="BV56" s="1805"/>
      <c r="BW56" s="1805"/>
      <c r="BX56" s="1805"/>
      <c r="BY56" s="1805"/>
      <c r="BZ56" s="1805"/>
      <c r="CA56" s="1805"/>
      <c r="CB56" s="1805"/>
      <c r="CC56" s="1805"/>
      <c r="CD56" s="1805"/>
      <c r="CE56" s="1805"/>
      <c r="CF56" s="1805"/>
      <c r="CG56" s="1805"/>
      <c r="CH56" s="1805"/>
      <c r="CI56" s="1805"/>
      <c r="CJ56" s="1805"/>
      <c r="CK56" s="1805"/>
      <c r="CL56" s="1805"/>
      <c r="CM56" s="1805"/>
      <c r="CN56" s="1805"/>
      <c r="CO56" s="1805"/>
      <c r="CP56" s="1805"/>
      <c r="CQ56" s="1805"/>
      <c r="CR56" s="1805"/>
      <c r="CS56" s="1805"/>
      <c r="CT56" s="1806"/>
      <c r="CU56" s="1806"/>
      <c r="CV56" s="1806"/>
      <c r="CW56" s="1806"/>
      <c r="CX56" s="1806"/>
      <c r="CY56" s="1806"/>
      <c r="CZ56" s="1806"/>
      <c r="DA56" s="1806"/>
      <c r="DB56" s="1806"/>
      <c r="DC56" s="1806"/>
      <c r="DD56" s="1806"/>
      <c r="DE56" s="1806"/>
      <c r="DF56" s="1806"/>
      <c r="DG56" s="1806"/>
      <c r="DH56" s="1806"/>
      <c r="DI56" s="1806"/>
      <c r="DJ56" s="1806"/>
      <c r="DK56" s="1806"/>
      <c r="DL56" s="1806"/>
      <c r="DM56" s="1806"/>
      <c r="DN56" s="236"/>
      <c r="DO56" s="236"/>
      <c r="DP56" s="1692"/>
      <c r="DQ56" s="1692"/>
      <c r="DR56" s="1692"/>
      <c r="DS56" s="1692"/>
      <c r="DT56" s="1692"/>
    </row>
    <row r="57" spans="1:124">
      <c r="A57" s="1690"/>
      <c r="B57" s="1690"/>
      <c r="C57" s="1807"/>
      <c r="D57" s="1807"/>
      <c r="E57" s="1807"/>
      <c r="F57" s="1807"/>
      <c r="G57" s="1702"/>
      <c r="H57" s="1702"/>
      <c r="I57" s="1702"/>
      <c r="J57" s="1702"/>
      <c r="K57" s="1702"/>
      <c r="L57" s="1702"/>
      <c r="M57" s="1702"/>
      <c r="N57" s="1702"/>
      <c r="O57" s="1702"/>
      <c r="P57" s="1702"/>
      <c r="Q57" s="1702"/>
      <c r="R57" s="1702"/>
      <c r="S57" s="1702"/>
      <c r="T57" s="1702"/>
      <c r="U57" s="1702"/>
      <c r="V57" s="1702"/>
      <c r="W57" s="1702"/>
      <c r="X57" s="1702"/>
      <c r="Y57" s="1702"/>
      <c r="Z57" s="1702"/>
      <c r="AA57" s="1702"/>
      <c r="AB57" s="1702"/>
      <c r="AC57" s="1702"/>
      <c r="AD57" s="1702"/>
      <c r="AE57" s="1702"/>
      <c r="AF57" s="1702"/>
      <c r="AG57" s="1702"/>
      <c r="AH57" s="1702"/>
      <c r="AI57" s="1702"/>
      <c r="AJ57" s="1702"/>
      <c r="AK57" s="1702"/>
      <c r="AL57" s="1702"/>
      <c r="AM57" s="1702"/>
      <c r="AN57" s="1702"/>
      <c r="AO57" s="1702"/>
      <c r="AP57" s="1702"/>
      <c r="AQ57" s="1702"/>
      <c r="AR57" s="1702"/>
      <c r="AS57" s="1702"/>
      <c r="AT57" s="1702"/>
      <c r="AU57" s="1702"/>
      <c r="AV57" s="1702"/>
      <c r="AW57" s="1702"/>
      <c r="AX57" s="1702"/>
      <c r="AY57" s="1702"/>
      <c r="AZ57" s="1702"/>
      <c r="BA57" s="1702"/>
      <c r="BB57" s="1702"/>
      <c r="BC57" s="1702"/>
      <c r="BD57" s="1702"/>
      <c r="BE57" s="1702"/>
      <c r="BF57" s="1702"/>
      <c r="BG57" s="1702"/>
      <c r="BH57" s="1702"/>
      <c r="BI57" s="1702"/>
      <c r="BJ57" s="1702"/>
      <c r="BK57" s="1702"/>
      <c r="BL57" s="1702"/>
      <c r="BM57" s="1702"/>
      <c r="BN57" s="1702"/>
      <c r="BO57" s="1807"/>
      <c r="BP57" s="1702"/>
      <c r="BQ57" s="1702"/>
      <c r="BR57" s="1702"/>
      <c r="BS57" s="1702"/>
      <c r="BT57" s="1807"/>
      <c r="BU57" s="1807"/>
      <c r="BV57" s="1778"/>
      <c r="BW57" s="1807"/>
      <c r="BX57" s="1807"/>
      <c r="BY57" s="1807"/>
      <c r="BZ57" s="1807"/>
      <c r="CA57" s="1807"/>
      <c r="CB57" s="1778"/>
      <c r="CC57" s="1807"/>
      <c r="CD57" s="1807"/>
      <c r="CE57" s="1807"/>
      <c r="CF57" s="1807"/>
      <c r="CG57" s="1778"/>
      <c r="CH57" s="1807"/>
      <c r="CI57" s="1807"/>
      <c r="CJ57" s="1807"/>
      <c r="CK57" s="1807"/>
      <c r="CL57" s="1778"/>
      <c r="CM57" s="1807"/>
      <c r="CN57" s="1807"/>
      <c r="CO57" s="1807"/>
      <c r="CP57" s="1807"/>
      <c r="CQ57" s="1807"/>
      <c r="CR57" s="1807"/>
      <c r="CS57" s="1807"/>
      <c r="CT57" s="1807"/>
      <c r="CU57" s="1807"/>
      <c r="CV57" s="1807"/>
      <c r="CW57" s="1807"/>
      <c r="CX57" s="1807"/>
      <c r="CY57" s="236"/>
      <c r="CZ57" s="236"/>
      <c r="DA57" s="236"/>
      <c r="DB57" s="236"/>
      <c r="DC57" s="1807"/>
      <c r="DD57" s="1807"/>
      <c r="DE57" s="1807"/>
      <c r="DF57" s="1807"/>
      <c r="DG57" s="1807"/>
      <c r="DH57" s="1738"/>
      <c r="DI57" s="1738"/>
      <c r="DJ57" s="1738"/>
      <c r="DK57" s="1738"/>
      <c r="DL57" s="1738"/>
      <c r="DM57" s="1738"/>
      <c r="DN57" s="1692"/>
      <c r="DO57" s="1692"/>
      <c r="DP57" s="1692"/>
      <c r="DQ57" s="1692"/>
      <c r="DR57" s="1692"/>
      <c r="DS57" s="1692"/>
      <c r="DT57" s="1692"/>
    </row>
    <row r="58" spans="1:124">
      <c r="A58" s="1808" t="s">
        <v>108</v>
      </c>
      <c r="B58" s="1809"/>
      <c r="C58" s="1810"/>
      <c r="D58" s="1810"/>
      <c r="E58" s="1810"/>
      <c r="F58" s="1810"/>
      <c r="G58" s="1809"/>
      <c r="H58" s="1810"/>
      <c r="I58" s="1810"/>
      <c r="J58" s="1810"/>
      <c r="K58" s="1810"/>
      <c r="L58" s="1809"/>
      <c r="M58" s="1810"/>
      <c r="N58" s="1810"/>
      <c r="O58" s="1810"/>
      <c r="P58" s="1810"/>
      <c r="Q58" s="1809"/>
      <c r="R58" s="1810"/>
      <c r="S58" s="1810"/>
      <c r="T58" s="1810"/>
      <c r="U58" s="1810"/>
      <c r="V58" s="1809"/>
      <c r="W58" s="1810"/>
      <c r="X58" s="1810"/>
      <c r="Y58" s="1810"/>
      <c r="Z58" s="1810"/>
      <c r="AA58" s="1809"/>
      <c r="AB58" s="1370">
        <f>CZ7</f>
        <v>2002</v>
      </c>
      <c r="AC58" s="1810"/>
      <c r="AD58" s="1810"/>
      <c r="AE58" s="1810"/>
      <c r="AF58" s="1810"/>
      <c r="AG58" s="1370">
        <f>DA7</f>
        <v>2003</v>
      </c>
      <c r="AH58" s="1370">
        <f>DB7</f>
        <v>2004</v>
      </c>
      <c r="AI58" s="1370">
        <f>DC7</f>
        <v>2005</v>
      </c>
      <c r="AJ58" s="1370">
        <f>DD7</f>
        <v>2006</v>
      </c>
      <c r="AK58" s="1810"/>
      <c r="AL58" s="1370">
        <f>DE7</f>
        <v>2007</v>
      </c>
      <c r="AM58" s="1810"/>
      <c r="AN58" s="1810"/>
      <c r="AO58" s="1810"/>
      <c r="AP58" s="1810"/>
      <c r="AQ58" s="1810"/>
      <c r="AR58" s="1810"/>
      <c r="AS58" s="1810"/>
      <c r="AT58" s="1810"/>
      <c r="AU58" s="1810"/>
      <c r="AV58" s="1370">
        <f>DF7</f>
        <v>2008</v>
      </c>
      <c r="AW58" s="1810"/>
      <c r="AX58" s="1810"/>
      <c r="AY58" s="1810"/>
      <c r="AZ58" s="1809"/>
      <c r="BA58" s="1370">
        <f>DG7</f>
        <v>2009</v>
      </c>
      <c r="BB58" s="1370">
        <f>DH7</f>
        <v>2010</v>
      </c>
      <c r="BC58" s="1370">
        <f>DI7</f>
        <v>2011</v>
      </c>
      <c r="BD58" s="1370" t="s">
        <v>305</v>
      </c>
      <c r="BE58" s="1809"/>
      <c r="BF58" s="220"/>
      <c r="BG58" s="220"/>
      <c r="BH58" s="220"/>
      <c r="BI58" s="220"/>
      <c r="BJ58" s="1809"/>
      <c r="BK58" s="1370">
        <v>2010</v>
      </c>
      <c r="BL58" s="220"/>
      <c r="BM58" s="220"/>
      <c r="BN58" s="220"/>
      <c r="BO58" s="1811"/>
      <c r="BP58" s="1370">
        <v>2011</v>
      </c>
      <c r="BQ58" s="220"/>
      <c r="BR58" s="220"/>
      <c r="BS58" s="220"/>
      <c r="BT58" s="220"/>
      <c r="BU58" s="1370">
        <v>2012</v>
      </c>
      <c r="BV58" s="220"/>
      <c r="BW58" s="220"/>
      <c r="BX58" s="220"/>
      <c r="BY58" s="220"/>
      <c r="BZ58" s="1370"/>
      <c r="CA58" s="220"/>
      <c r="CB58" s="220"/>
      <c r="CC58" s="220"/>
      <c r="CD58" s="220"/>
      <c r="CE58" s="1370">
        <v>2014</v>
      </c>
      <c r="CF58" s="1370">
        <v>2015</v>
      </c>
      <c r="CG58" s="1370">
        <v>2016</v>
      </c>
      <c r="CH58" s="728" t="s">
        <v>24</v>
      </c>
      <c r="CI58" s="154"/>
      <c r="CK58" s="154"/>
      <c r="CL58" s="154"/>
      <c r="CM58" s="154"/>
      <c r="CN58" s="1067"/>
      <c r="CO58" s="1808" t="s">
        <v>300</v>
      </c>
      <c r="CP58" s="220"/>
      <c r="CQ58" s="220"/>
      <c r="CR58" s="220"/>
      <c r="CS58" s="1809"/>
      <c r="CT58" s="1813">
        <f t="shared" ref="CT58:DS58" si="58">CT7</f>
        <v>1996</v>
      </c>
      <c r="CU58" s="1813">
        <f t="shared" si="58"/>
        <v>1997</v>
      </c>
      <c r="CV58" s="1813">
        <f t="shared" si="58"/>
        <v>1998</v>
      </c>
      <c r="CW58" s="1813">
        <f t="shared" si="58"/>
        <v>1999</v>
      </c>
      <c r="CX58" s="1813">
        <f t="shared" si="58"/>
        <v>2000</v>
      </c>
      <c r="CY58" s="1813">
        <f t="shared" si="58"/>
        <v>2001</v>
      </c>
      <c r="CZ58" s="1813">
        <f t="shared" si="58"/>
        <v>2002</v>
      </c>
      <c r="DA58" s="1813">
        <f t="shared" si="58"/>
        <v>2003</v>
      </c>
      <c r="DB58" s="1813">
        <f t="shared" si="58"/>
        <v>2004</v>
      </c>
      <c r="DC58" s="1813">
        <f t="shared" si="58"/>
        <v>2005</v>
      </c>
      <c r="DD58" s="1813">
        <f t="shared" si="58"/>
        <v>2006</v>
      </c>
      <c r="DE58" s="1813">
        <f t="shared" si="58"/>
        <v>2007</v>
      </c>
      <c r="DF58" s="1813">
        <f t="shared" si="58"/>
        <v>2008</v>
      </c>
      <c r="DG58" s="1813">
        <f t="shared" si="58"/>
        <v>2009</v>
      </c>
      <c r="DH58" s="1813">
        <f t="shared" si="58"/>
        <v>2010</v>
      </c>
      <c r="DI58" s="1813">
        <f t="shared" si="58"/>
        <v>2011</v>
      </c>
      <c r="DJ58" s="1813">
        <f t="shared" si="58"/>
        <v>2012</v>
      </c>
      <c r="DK58" s="1813">
        <f t="shared" si="58"/>
        <v>2013</v>
      </c>
      <c r="DL58" s="1813">
        <f t="shared" si="58"/>
        <v>2014</v>
      </c>
      <c r="DM58" s="1813">
        <f t="shared" si="58"/>
        <v>2015</v>
      </c>
      <c r="DN58" s="1813">
        <f t="shared" si="58"/>
        <v>2016</v>
      </c>
      <c r="DO58" s="1813">
        <f t="shared" si="58"/>
        <v>2017</v>
      </c>
      <c r="DP58" s="1813" t="str">
        <f t="shared" si="58"/>
        <v>2018E</v>
      </c>
      <c r="DQ58" s="1813" t="str">
        <f t="shared" si="58"/>
        <v>2019E</v>
      </c>
      <c r="DR58" s="1814" t="str">
        <f t="shared" si="58"/>
        <v>2020E</v>
      </c>
      <c r="DS58" s="1813" t="str">
        <f t="shared" si="58"/>
        <v>2021E</v>
      </c>
      <c r="DT58" s="1814" t="str">
        <f>DT7</f>
        <v>2022E</v>
      </c>
    </row>
    <row r="59" spans="1:124">
      <c r="A59" s="1815" t="s">
        <v>109</v>
      </c>
      <c r="B59" s="1816"/>
      <c r="C59" s="1692"/>
      <c r="D59" s="1692"/>
      <c r="E59" s="1692"/>
      <c r="F59" s="1692"/>
      <c r="G59" s="1817"/>
      <c r="H59" s="1692"/>
      <c r="I59" s="1692"/>
      <c r="J59" s="1692"/>
      <c r="K59" s="1692"/>
      <c r="L59" s="1817"/>
      <c r="M59" s="1692"/>
      <c r="N59" s="1692"/>
      <c r="O59" s="1692"/>
      <c r="P59" s="1692"/>
      <c r="Q59" s="1817"/>
      <c r="R59" s="1692"/>
      <c r="S59" s="1692"/>
      <c r="T59" s="1692"/>
      <c r="U59" s="1692"/>
      <c r="V59" s="1817"/>
      <c r="W59" s="1692"/>
      <c r="X59" s="1692"/>
      <c r="Y59" s="1692"/>
      <c r="Z59" s="1692"/>
      <c r="AA59" s="1817"/>
      <c r="AB59" s="1818">
        <f>turn!R63</f>
        <v>1.8865961047758157</v>
      </c>
      <c r="AC59" s="1692"/>
      <c r="AD59" s="1692"/>
      <c r="AE59" s="1692"/>
      <c r="AF59" s="1692"/>
      <c r="AG59" s="1818">
        <f>+turn!R70</f>
        <v>1.9534665466100378</v>
      </c>
      <c r="AH59" s="1818">
        <f>+turn!R77</f>
        <v>2.0665944555605149</v>
      </c>
      <c r="AI59" s="1818">
        <f>+turn!R84</f>
        <v>2.1334258622875564</v>
      </c>
      <c r="AJ59" s="1818">
        <f>+turn!R91</f>
        <v>2.1601294249414531</v>
      </c>
      <c r="AK59" s="1692"/>
      <c r="AL59" s="1818">
        <f>+turn!R98</f>
        <v>2.2189869498481549</v>
      </c>
      <c r="AM59" s="1692"/>
      <c r="AN59" s="1692"/>
      <c r="AO59" s="1692"/>
      <c r="AP59" s="1692"/>
      <c r="AQ59" s="1692"/>
      <c r="AR59" s="1692"/>
      <c r="AS59" s="1692"/>
      <c r="AT59" s="1692"/>
      <c r="AU59" s="1692"/>
      <c r="AV59" s="1818">
        <f>+turn!R106</f>
        <v>2.5604583085805444</v>
      </c>
      <c r="AW59" s="1692"/>
      <c r="AX59" s="1692"/>
      <c r="AY59" s="1692"/>
      <c r="AZ59" s="1817"/>
      <c r="BA59" s="1819">
        <f>turn!$R$113</f>
        <v>2.479018231689293</v>
      </c>
      <c r="BB59" s="1819">
        <f>turn!$R$120</f>
        <v>3.0964733897687404</v>
      </c>
      <c r="BC59" s="1819">
        <f>turn!$R$127</f>
        <v>2.8192134531431439</v>
      </c>
      <c r="BD59" s="1819">
        <f>turn!$R$134</f>
        <v>2.7493476244362167</v>
      </c>
      <c r="BE59" s="1817"/>
      <c r="BF59" s="154"/>
      <c r="BG59" s="154"/>
      <c r="BH59" s="154"/>
      <c r="BI59" s="154"/>
      <c r="BJ59" s="1817"/>
      <c r="BK59" s="1819">
        <f>turn!R120</f>
        <v>3.0964733897687404</v>
      </c>
      <c r="BL59" s="154"/>
      <c r="BM59" s="154"/>
      <c r="BN59" s="154"/>
      <c r="BO59" s="1807"/>
      <c r="BP59" s="1819">
        <f>turn!R127</f>
        <v>2.8192134531431439</v>
      </c>
      <c r="BQ59" s="154"/>
      <c r="BR59" s="154"/>
      <c r="BS59" s="154"/>
      <c r="BT59" s="154"/>
      <c r="BU59" s="1819">
        <f>turn!R134</f>
        <v>2.7493476244362167</v>
      </c>
      <c r="BV59" s="154"/>
      <c r="BW59" s="154"/>
      <c r="BX59" s="154"/>
      <c r="BY59" s="154"/>
      <c r="BZ59" s="1819"/>
      <c r="CA59" s="154"/>
      <c r="CB59" s="154"/>
      <c r="CC59" s="154"/>
      <c r="CD59" s="154"/>
      <c r="CE59" s="1819">
        <f>turn!R148</f>
        <v>2.4824848489197406</v>
      </c>
      <c r="CF59" s="1819">
        <f>turn!R155</f>
        <v>2.5377970165986734</v>
      </c>
      <c r="CG59" s="1878">
        <f>turn!R162</f>
        <v>2.9534484085254822</v>
      </c>
      <c r="CH59" s="1820">
        <f>turn!R169</f>
        <v>2.873427628718316</v>
      </c>
      <c r="CI59" s="154"/>
      <c r="CK59" s="154"/>
      <c r="CL59" s="154"/>
      <c r="CM59" s="154"/>
      <c r="CN59" s="154"/>
      <c r="CO59" s="1822" t="s">
        <v>860</v>
      </c>
      <c r="CP59" s="154"/>
      <c r="CQ59" s="154"/>
      <c r="CR59" s="154"/>
      <c r="CS59" s="1817"/>
      <c r="CT59" s="1823">
        <f>yrSales!C61</f>
        <v>0</v>
      </c>
      <c r="CU59" s="1823">
        <f>yrSales!D61</f>
        <v>0</v>
      </c>
      <c r="CV59" s="1823">
        <f>yrSales!E61</f>
        <v>0</v>
      </c>
      <c r="CW59" s="1823">
        <f>yrSales!F61</f>
        <v>233</v>
      </c>
      <c r="CX59" s="1823">
        <f>yrSales!G61</f>
        <v>239</v>
      </c>
      <c r="CY59" s="1823">
        <f>yrSales!H61</f>
        <v>265</v>
      </c>
      <c r="CZ59" s="1823">
        <f>yrSales!I61</f>
        <v>295</v>
      </c>
      <c r="DA59" s="1823">
        <f>yrSales!J61</f>
        <v>325</v>
      </c>
      <c r="DB59" s="1823">
        <f>yrSales!K61</f>
        <v>350</v>
      </c>
      <c r="DC59" s="1823">
        <f>yrSales!L61</f>
        <v>378</v>
      </c>
      <c r="DD59" s="1823">
        <f>yrSales!M61</f>
        <v>422</v>
      </c>
      <c r="DE59" s="1823">
        <f>yrSales!N61</f>
        <v>489</v>
      </c>
      <c r="DF59" s="1823">
        <f>yrSales!O61</f>
        <v>548</v>
      </c>
      <c r="DG59" s="1823">
        <f>yrSales!P61</f>
        <v>624</v>
      </c>
      <c r="DH59" s="1823">
        <f>yrSales!Q61</f>
        <v>665</v>
      </c>
      <c r="DI59" s="1823">
        <f>yrSales!R61</f>
        <v>723</v>
      </c>
      <c r="DJ59" s="1823">
        <f>yrSales!S61</f>
        <v>832</v>
      </c>
      <c r="DK59" s="1823">
        <f>yrSales!T61</f>
        <v>953</v>
      </c>
      <c r="DL59" s="1823">
        <f>yrSales!U61</f>
        <v>1014</v>
      </c>
      <c r="DM59" s="1823">
        <f>yrSales!V61</f>
        <v>965</v>
      </c>
      <c r="DN59" s="1823">
        <f>yrSales!W61</f>
        <v>955</v>
      </c>
      <c r="DO59" s="1823">
        <f>yrSales!X61</f>
        <v>964</v>
      </c>
      <c r="DP59" s="1823">
        <f>yrSales!Y61</f>
        <v>969</v>
      </c>
      <c r="DQ59" s="1823">
        <f>yrSales!Z61</f>
        <v>961</v>
      </c>
      <c r="DR59" s="1823">
        <f>yrSales!AA61</f>
        <v>953</v>
      </c>
      <c r="DS59" s="1823">
        <f>yrSales!AB61</f>
        <v>945</v>
      </c>
      <c r="DT59" s="1823">
        <f>yrSales!AC61</f>
        <v>937</v>
      </c>
    </row>
    <row r="60" spans="1:124">
      <c r="A60" s="1825" t="s">
        <v>110</v>
      </c>
      <c r="B60" s="1826"/>
      <c r="C60" s="1692"/>
      <c r="D60" s="1692"/>
      <c r="E60" s="1692"/>
      <c r="F60" s="1692"/>
      <c r="G60" s="1765"/>
      <c r="H60" s="1692"/>
      <c r="I60" s="1692"/>
      <c r="J60" s="1692"/>
      <c r="K60" s="1692"/>
      <c r="L60" s="1765"/>
      <c r="M60" s="1692"/>
      <c r="N60" s="1692"/>
      <c r="O60" s="1692"/>
      <c r="P60" s="1692"/>
      <c r="Q60" s="1765"/>
      <c r="R60" s="1692"/>
      <c r="S60" s="1692"/>
      <c r="T60" s="1692"/>
      <c r="U60" s="1692"/>
      <c r="V60" s="1765"/>
      <c r="W60" s="1692"/>
      <c r="X60" s="1692"/>
      <c r="Y60" s="1692"/>
      <c r="Z60" s="1692"/>
      <c r="AA60" s="1765"/>
      <c r="AB60" s="1827">
        <f>bal!R30/bal!R11</f>
        <v>0.18928330547491276</v>
      </c>
      <c r="AC60" s="1692"/>
      <c r="AD60" s="1692"/>
      <c r="AE60" s="1692"/>
      <c r="AF60" s="1692"/>
      <c r="AG60" s="1827">
        <f>bal!T30/bal!T11</f>
        <v>0.1852274228653682</v>
      </c>
      <c r="AH60" s="1827">
        <f>bal!V30/bal!V11</f>
        <v>0.27651269508933807</v>
      </c>
      <c r="AI60" s="1827">
        <f>bal!X30/bal!X11</f>
        <v>0.3523769242865431</v>
      </c>
      <c r="AJ60" s="1827">
        <f>bal!Z30/bal!Z11</f>
        <v>0.34184604315314315</v>
      </c>
      <c r="AK60" s="1692"/>
      <c r="AL60" s="1827">
        <f>bal!AB30/bal!AB11</f>
        <v>0.37538462595126237</v>
      </c>
      <c r="AM60" s="1692"/>
      <c r="AN60" s="1692"/>
      <c r="AO60" s="1692"/>
      <c r="AP60" s="1692"/>
      <c r="AQ60" s="1692"/>
      <c r="AR60" s="1692"/>
      <c r="AS60" s="1692"/>
      <c r="AT60" s="1692"/>
      <c r="AU60" s="1692"/>
      <c r="AV60" s="1827">
        <f>bal!AD30/bal!AD11</f>
        <v>0.42301485132971206</v>
      </c>
      <c r="AW60" s="1692"/>
      <c r="AX60" s="1692"/>
      <c r="AY60" s="1692"/>
      <c r="AZ60" s="1765"/>
      <c r="BA60" s="1827">
        <f>bal!AF30/bal!AF11</f>
        <v>0.31589646418190509</v>
      </c>
      <c r="BB60" s="1827">
        <f>bal!AH30/bal!AH11</f>
        <v>0.2905955379385331</v>
      </c>
      <c r="BC60" s="1827">
        <f>bal!AJ30/bal!AJ11</f>
        <v>0.28118369678852428</v>
      </c>
      <c r="BD60" s="1827">
        <f>bal!AL30/bal!AL11</f>
        <v>0.30800808737536917</v>
      </c>
      <c r="BE60" s="1765"/>
      <c r="BF60" s="154"/>
      <c r="BG60" s="154"/>
      <c r="BH60" s="154"/>
      <c r="BI60" s="154"/>
      <c r="BJ60" s="1765"/>
      <c r="BK60" s="1827">
        <f>bal!AH30/bal!AH11</f>
        <v>0.2905955379385331</v>
      </c>
      <c r="BL60" s="154"/>
      <c r="BM60" s="154"/>
      <c r="BN60" s="154"/>
      <c r="BO60" s="1807"/>
      <c r="BP60" s="1827">
        <f>bal!AJ30/bal!AJ11</f>
        <v>0.28118369678852428</v>
      </c>
      <c r="BQ60" s="154"/>
      <c r="BR60" s="154"/>
      <c r="BS60" s="154"/>
      <c r="BT60" s="154"/>
      <c r="BU60" s="1827">
        <f>bal!AL30/bal!AL11</f>
        <v>0.30800808737536917</v>
      </c>
      <c r="BV60" s="154"/>
      <c r="BW60" s="154"/>
      <c r="BX60" s="154"/>
      <c r="BY60" s="154"/>
      <c r="BZ60" s="1827"/>
      <c r="CA60" s="154"/>
      <c r="CB60" s="154"/>
      <c r="CC60" s="154"/>
      <c r="CD60" s="154"/>
      <c r="CE60" s="1827">
        <f>bal!$AP$30/bal!$AP$11</f>
        <v>0.29243122535278188</v>
      </c>
      <c r="CF60" s="1827">
        <f>bal!$AR$30/bal!$AR$11</f>
        <v>0.45928674500103073</v>
      </c>
      <c r="CG60" s="1827">
        <f>bal!$AT$30/bal!$AT$11</f>
        <v>0.40657665505226481</v>
      </c>
      <c r="CH60" s="1828">
        <f>bal!$AV$30/bal!$AV$11</f>
        <v>0.41430700447093888</v>
      </c>
      <c r="CI60" s="154"/>
      <c r="CK60" s="154"/>
      <c r="CL60" s="154"/>
      <c r="CM60" s="154"/>
      <c r="CN60" s="154"/>
      <c r="CO60" s="1822" t="s">
        <v>861</v>
      </c>
      <c r="CP60" s="154"/>
      <c r="CQ60" s="154"/>
      <c r="CR60" s="154"/>
      <c r="CS60" s="1817"/>
      <c r="CT60" s="1823">
        <f>yrSales!C62+yrSales!C63</f>
        <v>0</v>
      </c>
      <c r="CU60" s="1823">
        <f>yrSales!D62+yrSales!D63</f>
        <v>0</v>
      </c>
      <c r="CV60" s="1823">
        <f>yrSales!E62+yrSales!E63</f>
        <v>100</v>
      </c>
      <c r="CW60" s="1823">
        <f>yrSales!F62+yrSales!F63</f>
        <v>101</v>
      </c>
      <c r="CX60" s="1823">
        <f>yrSales!G62+yrSales!G63</f>
        <v>106</v>
      </c>
      <c r="CY60" s="1823">
        <f>yrSales!H62+yrSales!H63</f>
        <v>121</v>
      </c>
      <c r="CZ60" s="1823">
        <f>yrSales!I62+yrSales!I63</f>
        <v>138</v>
      </c>
      <c r="DA60" s="1823">
        <f>yrSales!J62+yrSales!J63</f>
        <v>156</v>
      </c>
      <c r="DB60" s="1823">
        <f>yrSales!K62+yrSales!K63</f>
        <v>174</v>
      </c>
      <c r="DC60" s="1823">
        <f>yrSales!L62+yrSales!L63</f>
        <v>193</v>
      </c>
      <c r="DD60" s="1823">
        <f>yrSales!M62+yrSales!M63</f>
        <v>218</v>
      </c>
      <c r="DE60" s="1823">
        <f>yrSales!N62+yrSales!N63</f>
        <v>259</v>
      </c>
      <c r="DF60" s="1823">
        <f>yrSales!O62+yrSales!O63</f>
        <v>297</v>
      </c>
      <c r="DG60" s="1823">
        <f>yrSales!P62+yrSales!P63</f>
        <v>330</v>
      </c>
      <c r="DH60" s="1823">
        <f>yrSales!Q62+yrSales!Q63</f>
        <v>342</v>
      </c>
      <c r="DI60" s="1823">
        <f>yrSales!R62+yrSales!R63</f>
        <v>345</v>
      </c>
      <c r="DJ60" s="1823">
        <f>yrSales!S62+yrSales!S63</f>
        <v>354</v>
      </c>
      <c r="DK60" s="1823">
        <f>yrSales!T62+yrSales!T63</f>
        <v>351</v>
      </c>
      <c r="DL60" s="1823">
        <f>yrSales!U62+yrSales!U63</f>
        <v>332</v>
      </c>
      <c r="DM60" s="1823">
        <f>yrSales!V62+yrSales!V63</f>
        <v>258</v>
      </c>
      <c r="DN60" s="1823">
        <f>yrSales!W62+yrSales!W63</f>
        <v>229</v>
      </c>
      <c r="DO60" s="1823">
        <f>yrSales!X62+yrSales!X63</f>
        <v>221</v>
      </c>
      <c r="DP60" s="1823">
        <f>yrSales!Y62+yrSales!Y63</f>
        <v>225</v>
      </c>
      <c r="DQ60" s="1823">
        <f>yrSales!Z62+yrSales!Z63</f>
        <v>210</v>
      </c>
      <c r="DR60" s="1823">
        <f>yrSales!AA62+yrSales!AA63</f>
        <v>195</v>
      </c>
      <c r="DS60" s="1823">
        <f>yrSales!AB62+yrSales!AB63</f>
        <v>180</v>
      </c>
      <c r="DT60" s="1823">
        <f>yrSales!AC62+yrSales!AC63</f>
        <v>165</v>
      </c>
    </row>
    <row r="61" spans="1:124">
      <c r="A61" s="1829" t="s">
        <v>111</v>
      </c>
      <c r="B61" s="1692"/>
      <c r="C61" s="1692"/>
      <c r="D61" s="1692"/>
      <c r="E61" s="1692"/>
      <c r="F61" s="1692"/>
      <c r="G61" s="1692"/>
      <c r="H61" s="1692"/>
      <c r="I61" s="1692"/>
      <c r="J61" s="1692"/>
      <c r="K61" s="1692"/>
      <c r="L61" s="1692"/>
      <c r="M61" s="1692"/>
      <c r="N61" s="1692"/>
      <c r="O61" s="1692"/>
      <c r="P61" s="1692"/>
      <c r="Q61" s="1690"/>
      <c r="R61" s="1692"/>
      <c r="S61" s="1692"/>
      <c r="T61" s="1692"/>
      <c r="U61" s="1692"/>
      <c r="V61" s="1690"/>
      <c r="W61" s="1692"/>
      <c r="X61" s="1692"/>
      <c r="Y61" s="1692"/>
      <c r="Z61" s="1692"/>
      <c r="AA61" s="1690"/>
      <c r="AB61" s="1830">
        <f>(bal!R35+bal!R39)/(bal!R35+bal!R39+bal!R50)</f>
        <v>1.3974837717670408E-2</v>
      </c>
      <c r="AC61" s="1692"/>
      <c r="AD61" s="1692"/>
      <c r="AE61" s="1692"/>
      <c r="AF61" s="1692"/>
      <c r="AG61" s="1830">
        <f>(bal!T35+bal!T39)/(bal!T35+bal!T39+bal!T50)</f>
        <v>8.396354379575607E-3</v>
      </c>
      <c r="AH61" s="1830">
        <f>(bal!V35+bal!V39)/(bal!V35+bal!V39+bal!V50)</f>
        <v>4.4984799337253649E-3</v>
      </c>
      <c r="AI61" s="1830">
        <f>(bal!X35+bal!X39)/(bal!X35+bal!X39+bal!X50)</f>
        <v>3.2284252459078297E-3</v>
      </c>
      <c r="AJ61" s="1830">
        <f>(bal!Z35+bal!Z39)/(bal!Z35+bal!Z39+bal!Z50)</f>
        <v>2.7432793849685071E-3</v>
      </c>
      <c r="AK61" s="1692"/>
      <c r="AL61" s="1830">
        <f>(bal!AB35+bal!AB39)/(bal!AB35+bal!AB39+bal!AB50)</f>
        <v>1.6201068852452164E-3</v>
      </c>
      <c r="AM61" s="1692"/>
      <c r="AN61" s="1692"/>
      <c r="AO61" s="1692"/>
      <c r="AP61" s="1692"/>
      <c r="AQ61" s="1692"/>
      <c r="AR61" s="1692"/>
      <c r="AS61" s="1692"/>
      <c r="AT61" s="1692"/>
      <c r="AU61" s="1692"/>
      <c r="AV61" s="1830">
        <f>(bal!AD35+bal!AD39)/(bal!AD35+bal!AD39+bal!AD50)</f>
        <v>1.9186467011331066E-3</v>
      </c>
      <c r="AW61" s="1692"/>
      <c r="AX61" s="1692"/>
      <c r="AY61" s="1692"/>
      <c r="AZ61" s="1690"/>
      <c r="BA61" s="1830">
        <f>(bal!AF35+bal!AF39)/(bal!AF35+bal!AF39+bal!AF50)</f>
        <v>1.4858081506858066E-2</v>
      </c>
      <c r="BB61" s="1830">
        <f>(bal!AH35+bal!AH39)/(bal!AH35+bal!AH39+bal!AH50)</f>
        <v>1.6273100012155321E-2</v>
      </c>
      <c r="BC61" s="1830">
        <f>(bal!AJ35+bal!AJ39)/(bal!AJ35+bal!AJ39+bal!AJ50)</f>
        <v>1.4758138818762359E-2</v>
      </c>
      <c r="BD61" s="1830">
        <f>(bal!AL35+bal!AL39)/(bal!AL35+bal!AL39+bal!AL50)</f>
        <v>1.158562925688802E-2</v>
      </c>
      <c r="BE61" s="1690"/>
      <c r="BF61" s="154"/>
      <c r="BG61" s="154"/>
      <c r="BH61" s="154"/>
      <c r="BI61" s="154"/>
      <c r="BJ61" s="1690"/>
      <c r="BK61" s="1830">
        <v>1.6273100012155321E-2</v>
      </c>
      <c r="BL61" s="154"/>
      <c r="BM61" s="154"/>
      <c r="BN61" s="154"/>
      <c r="BO61" s="1807"/>
      <c r="BP61" s="1830">
        <v>1.4758138818762359E-2</v>
      </c>
      <c r="BQ61" s="154"/>
      <c r="BR61" s="154"/>
      <c r="BS61" s="154"/>
      <c r="BT61" s="154"/>
      <c r="BU61" s="1830">
        <v>1.2948804215107941E-2</v>
      </c>
      <c r="BV61" s="154"/>
      <c r="BW61" s="154"/>
      <c r="BX61" s="154"/>
      <c r="BY61" s="154"/>
      <c r="BZ61" s="1830"/>
      <c r="CA61" s="154"/>
      <c r="CB61" s="154"/>
      <c r="CC61" s="154"/>
      <c r="CD61" s="154"/>
      <c r="CE61" s="1830">
        <f>(bal!AP35+bal!AP39)/(bal!AP35+bal!AP39-bal!AP44)</f>
        <v>0</v>
      </c>
      <c r="CF61" s="1830">
        <f>(bal!AR35+bal!AR39)/bal!AR52</f>
        <v>0.18836794209469607</v>
      </c>
      <c r="CG61" s="1830">
        <f>(bal!AT35+bal!AT39)/bal!AT52</f>
        <v>0.17601625268510629</v>
      </c>
      <c r="CH61" s="1831">
        <f>(bal!AV35+bal!AV39)/bal!AV52</f>
        <v>0.2708519102819123</v>
      </c>
      <c r="CI61" s="154"/>
      <c r="CK61" s="154"/>
      <c r="CL61" s="154"/>
      <c r="CM61" s="154"/>
      <c r="CN61" s="154"/>
      <c r="CO61" s="1822" t="s">
        <v>862</v>
      </c>
      <c r="CP61" s="154"/>
      <c r="CQ61" s="154"/>
      <c r="CR61" s="154"/>
      <c r="CS61" s="1817"/>
      <c r="CT61" s="1823">
        <f>yrSales!C64+yrSales!C65</f>
        <v>0</v>
      </c>
      <c r="CU61" s="1823">
        <f>yrSales!D64+yrSales!D65</f>
        <v>0</v>
      </c>
      <c r="CV61" s="1823">
        <f>yrSales!E64+yrSales!E65</f>
        <v>62</v>
      </c>
      <c r="CW61" s="1823">
        <f>yrSales!F64+yrSales!F65</f>
        <v>62</v>
      </c>
      <c r="CX61" s="1823">
        <f>yrSales!G64+yrSales!G65</f>
        <v>63</v>
      </c>
      <c r="CY61" s="1823">
        <f>yrSales!H64+yrSales!H65</f>
        <v>68</v>
      </c>
      <c r="CZ61" s="1823">
        <f>yrSales!I64+yrSales!I65</f>
        <v>74</v>
      </c>
      <c r="DA61" s="1823">
        <f>yrSales!J64+yrSales!J65</f>
        <v>76</v>
      </c>
      <c r="DB61" s="1823">
        <f>yrSales!K64+yrSales!K65</f>
        <v>76</v>
      </c>
      <c r="DC61" s="1823">
        <f>yrSales!L64+yrSales!L65</f>
        <v>82</v>
      </c>
      <c r="DD61" s="1823">
        <f>yrSales!M64+yrSales!M65</f>
        <v>86</v>
      </c>
      <c r="DE61" s="1823">
        <f>yrSales!N64+yrSales!N65</f>
        <v>93</v>
      </c>
      <c r="DF61" s="1823">
        <f>yrSales!O64+yrSales!O65</f>
        <v>102</v>
      </c>
      <c r="DG61" s="1823">
        <f>yrSales!P64+yrSales!P65</f>
        <v>111</v>
      </c>
      <c r="DH61" s="1823">
        <f>yrSales!Q64+yrSales!Q65</f>
        <v>121</v>
      </c>
      <c r="DI61" s="1823">
        <f>yrSales!R64+yrSales!R65</f>
        <v>143</v>
      </c>
      <c r="DJ61" s="1823">
        <f>yrSales!S64+yrSales!S65</f>
        <v>169</v>
      </c>
      <c r="DK61" s="1823">
        <f>yrSales!T64+yrSales!T65</f>
        <v>193</v>
      </c>
      <c r="DL61" s="1823">
        <f>yrSales!U64+yrSales!U65</f>
        <v>207</v>
      </c>
      <c r="DM61" s="1823">
        <f>yrSales!V64+yrSales!V65</f>
        <v>204</v>
      </c>
      <c r="DN61" s="1823">
        <f>yrSales!W64+yrSales!W65</f>
        <v>204</v>
      </c>
      <c r="DO61" s="1823">
        <f>yrSales!X64+yrSales!X65</f>
        <v>198</v>
      </c>
      <c r="DP61" s="1823">
        <f>yrSales!Y64+yrSales!Y65</f>
        <v>191</v>
      </c>
      <c r="DQ61" s="1823">
        <f>yrSales!Z64+yrSales!Z65</f>
        <v>191</v>
      </c>
      <c r="DR61" s="1823">
        <f>yrSales!AA64+yrSales!AA65</f>
        <v>191</v>
      </c>
      <c r="DS61" s="1823">
        <f>yrSales!AB64+yrSales!AB65</f>
        <v>191</v>
      </c>
      <c r="DT61" s="1823">
        <f>yrSales!AC64+yrSales!AC65</f>
        <v>191</v>
      </c>
    </row>
    <row r="62" spans="1:124">
      <c r="A62" s="1832" t="s">
        <v>271</v>
      </c>
      <c r="B62" s="1833"/>
      <c r="C62" s="1692"/>
      <c r="D62" s="1692"/>
      <c r="E62" s="1692"/>
      <c r="F62" s="1692"/>
      <c r="G62" s="1690"/>
      <c r="H62" s="1692"/>
      <c r="I62" s="1692"/>
      <c r="J62" s="1692"/>
      <c r="K62" s="1692"/>
      <c r="L62" s="1690"/>
      <c r="M62" s="1692"/>
      <c r="N62" s="1692"/>
      <c r="O62" s="1692"/>
      <c r="P62" s="1692"/>
      <c r="Q62" s="1834"/>
      <c r="R62" s="1692"/>
      <c r="S62" s="1692"/>
      <c r="T62" s="1692"/>
      <c r="U62" s="1692"/>
      <c r="V62" s="1834"/>
      <c r="W62" s="1692"/>
      <c r="X62" s="1692"/>
      <c r="Y62" s="1692"/>
      <c r="Z62" s="1692"/>
      <c r="AA62" s="1834"/>
      <c r="AB62" s="1835">
        <f>flow!R8/((bal!P50+bal!R50)/2)</f>
        <v>0.42003083172241668</v>
      </c>
      <c r="AC62" s="1692"/>
      <c r="AD62" s="1692"/>
      <c r="AE62" s="1692"/>
      <c r="AF62" s="1692"/>
      <c r="AG62" s="1835">
        <f>flow!T8/((bal!R50+bal!T50)/2)</f>
        <v>0.42668761867347599</v>
      </c>
      <c r="AH62" s="1835">
        <f>flow!V8/((bal!T50+bal!V50)/2)</f>
        <v>0.39355945799547598</v>
      </c>
      <c r="AI62" s="1835">
        <f>flow!X8/((bal!V50+bal!X50)/2)</f>
        <v>0.39017607384591291</v>
      </c>
      <c r="AJ62" s="1835">
        <f>flow!Z8/((bal!X50+bal!Z50)/2)</f>
        <v>0.44040373260199578</v>
      </c>
      <c r="AK62" s="1692"/>
      <c r="AL62" s="1835">
        <f>flow!AB8/((bal!Z50+bal!AB50)/2)</f>
        <v>0.42829696994728744</v>
      </c>
      <c r="AM62" s="1692"/>
      <c r="AN62" s="1692"/>
      <c r="AO62" s="1692"/>
      <c r="AP62" s="1692"/>
      <c r="AQ62" s="1692"/>
      <c r="AR62" s="1692"/>
      <c r="AS62" s="1692"/>
      <c r="AT62" s="1692"/>
      <c r="AU62" s="1692"/>
      <c r="AV62" s="1835">
        <f>flow!AD8/((bal!AB50+bal!AD50)/2)</f>
        <v>0.46052184693340759</v>
      </c>
      <c r="AW62" s="1692"/>
      <c r="AX62" s="1692"/>
      <c r="AY62" s="1692"/>
      <c r="AZ62" s="1834"/>
      <c r="BA62" s="1835">
        <f>flow!AF8/((bal!AD50+bal!AF50)/2)</f>
        <v>0.39126642871915351</v>
      </c>
      <c r="BB62" s="1835">
        <f>flow!AH8/((bal!AF50+bal!AH50)/2)</f>
        <v>0.45914595004896386</v>
      </c>
      <c r="BC62" s="1835">
        <f>flow!AJ8/((bal!AH50+bal!AJ50)/2)</f>
        <v>0.56500255623885876</v>
      </c>
      <c r="BD62" s="1835">
        <f>flow!AL8/((bal!AJ50+bal!AL50)/2)</f>
        <v>0.57629177645264162</v>
      </c>
      <c r="BE62" s="1834"/>
      <c r="BF62" s="154"/>
      <c r="BG62" s="154"/>
      <c r="BH62" s="154"/>
      <c r="BI62" s="154"/>
      <c r="BJ62" s="1834"/>
      <c r="BK62" s="1835">
        <v>0.45914595004896386</v>
      </c>
      <c r="BL62" s="154"/>
      <c r="BM62" s="154"/>
      <c r="BN62" s="154"/>
      <c r="BO62" s="1807"/>
      <c r="BP62" s="1835">
        <v>0.5650025562388582</v>
      </c>
      <c r="BQ62" s="154"/>
      <c r="BR62" s="154"/>
      <c r="BS62" s="154"/>
      <c r="BT62" s="154"/>
      <c r="BU62" s="1835">
        <v>0.61234162363882794</v>
      </c>
      <c r="BV62" s="154"/>
      <c r="BW62" s="154"/>
      <c r="BX62" s="154"/>
      <c r="BY62" s="154"/>
      <c r="BZ62" s="1835"/>
      <c r="CA62" s="154"/>
      <c r="CB62" s="154"/>
      <c r="CC62" s="154"/>
      <c r="CD62" s="154"/>
      <c r="CE62" s="1835">
        <f>flow!AP8/((bal!AP50+bal!AN50)/2)</f>
        <v>0.32355427572631773</v>
      </c>
      <c r="CF62" s="1835">
        <f>flow!AR8/((bal!AR50+bal!AP50)/2)</f>
        <v>0.16389092700398303</v>
      </c>
      <c r="CG62" s="1835">
        <f>flow!AT8/((bal!AT50+bal!AR50)/2)</f>
        <v>0.17804464068233009</v>
      </c>
      <c r="CH62" s="1836">
        <f>flow!AV8/((bal!AV50+bal!AT50)/2)</f>
        <v>0.20792882109051661</v>
      </c>
      <c r="CI62" s="154"/>
      <c r="CK62" s="154"/>
      <c r="CL62" s="154"/>
      <c r="CM62" s="154"/>
      <c r="CN62" s="154"/>
      <c r="CO62" s="1822" t="s">
        <v>290</v>
      </c>
      <c r="CP62" s="154"/>
      <c r="CQ62" s="154"/>
      <c r="CR62" s="154"/>
      <c r="CS62" s="1817"/>
      <c r="CT62" s="1823">
        <f>yrSales!C67</f>
        <v>0</v>
      </c>
      <c r="CU62" s="1823">
        <f>yrSales!D67</f>
        <v>0</v>
      </c>
      <c r="CV62" s="1823">
        <f>yrSales!E67</f>
        <v>0</v>
      </c>
      <c r="CW62" s="1823">
        <f>yrSales!F67</f>
        <v>0</v>
      </c>
      <c r="CX62" s="1823">
        <f>yrSales!G67</f>
        <v>0</v>
      </c>
      <c r="CY62" s="1823">
        <f>yrSales!H67</f>
        <v>0</v>
      </c>
      <c r="CZ62" s="1823">
        <f>yrSales!I67</f>
        <v>0</v>
      </c>
      <c r="DA62" s="1823">
        <f>yrSales!J67</f>
        <v>0</v>
      </c>
      <c r="DB62" s="1823">
        <f>yrSales!K67</f>
        <v>0</v>
      </c>
      <c r="DC62" s="1823">
        <f>yrSales!L67</f>
        <v>0</v>
      </c>
      <c r="DD62" s="1823">
        <f>yrSales!M67</f>
        <v>118</v>
      </c>
      <c r="DE62" s="1823">
        <f>yrSales!N67</f>
        <v>137</v>
      </c>
      <c r="DF62" s="1823">
        <f>yrSales!O67</f>
        <v>149</v>
      </c>
      <c r="DG62" s="1823">
        <f>yrSales!P67</f>
        <v>155</v>
      </c>
      <c r="DH62" s="1823">
        <f>yrSales!Q67</f>
        <v>161</v>
      </c>
      <c r="DI62" s="1823">
        <f>yrSales!R67</f>
        <v>169</v>
      </c>
      <c r="DJ62" s="1823">
        <f>yrSales!S67</f>
        <v>180</v>
      </c>
      <c r="DK62" s="1823">
        <f>yrSales!T67</f>
        <v>191</v>
      </c>
      <c r="DL62" s="1823">
        <f>yrSales!U67</f>
        <v>198</v>
      </c>
      <c r="DM62" s="1823">
        <f>yrSales!V67</f>
        <v>196</v>
      </c>
      <c r="DN62" s="1823">
        <f>yrSales!W67</f>
        <v>195</v>
      </c>
      <c r="DO62" s="1823">
        <f>yrSales!X67</f>
        <v>184</v>
      </c>
      <c r="DP62" s="1823">
        <f>yrSales!Y67</f>
        <v>172</v>
      </c>
      <c r="DQ62" s="1823">
        <f>yrSales!Z67</f>
        <v>172</v>
      </c>
      <c r="DR62" s="1823">
        <f>yrSales!AA67</f>
        <v>172</v>
      </c>
      <c r="DS62" s="1823">
        <f>yrSales!AB67</f>
        <v>172</v>
      </c>
      <c r="DT62" s="1823">
        <f>yrSales!AC67</f>
        <v>172</v>
      </c>
    </row>
    <row r="63" spans="1:124">
      <c r="A63" s="1837" t="s">
        <v>317</v>
      </c>
      <c r="B63" s="1838"/>
      <c r="C63" s="1698"/>
      <c r="D63" s="1698"/>
      <c r="E63" s="1698"/>
      <c r="F63" s="1698"/>
      <c r="G63" s="1839"/>
      <c r="H63" s="1698"/>
      <c r="I63" s="1698"/>
      <c r="J63" s="1698"/>
      <c r="K63" s="1698"/>
      <c r="L63" s="1839"/>
      <c r="M63" s="1698"/>
      <c r="N63" s="1698"/>
      <c r="O63" s="1698"/>
      <c r="P63" s="1698"/>
      <c r="Q63" s="1689"/>
      <c r="R63" s="1698"/>
      <c r="S63" s="1698"/>
      <c r="T63" s="1698"/>
      <c r="U63" s="1698"/>
      <c r="V63" s="1689"/>
      <c r="W63" s="1689"/>
      <c r="X63" s="1698"/>
      <c r="Y63" s="1838"/>
      <c r="Z63" s="1698"/>
      <c r="AA63" s="1689"/>
      <c r="AB63" s="1689"/>
      <c r="AC63" s="1698"/>
      <c r="AD63" s="1838"/>
      <c r="AE63" s="1698"/>
      <c r="AF63" s="1689"/>
      <c r="AG63" s="1689"/>
      <c r="AH63" s="1698"/>
      <c r="AI63" s="1840"/>
      <c r="AJ63" s="1698"/>
      <c r="AK63" s="1689"/>
      <c r="AL63" s="1689"/>
      <c r="AM63" s="1698"/>
      <c r="AN63" s="1840"/>
      <c r="AO63" s="1698"/>
      <c r="AP63" s="1689"/>
      <c r="AQ63" s="1689"/>
      <c r="AR63" s="1698"/>
      <c r="AS63" s="1840"/>
      <c r="AT63" s="1698"/>
      <c r="AU63" s="1689"/>
      <c r="AV63" s="1840"/>
      <c r="AW63" s="1698"/>
      <c r="AX63" s="1698"/>
      <c r="AY63" s="1698"/>
      <c r="AZ63" s="1689"/>
      <c r="BA63" s="1840"/>
      <c r="BB63" s="1698"/>
      <c r="BC63" s="1698"/>
      <c r="BD63" s="1698"/>
      <c r="BE63" s="1689"/>
      <c r="BF63" s="1698"/>
      <c r="BG63" s="1698"/>
      <c r="BH63" s="1698"/>
      <c r="BI63" s="1698"/>
      <c r="BJ63" s="1689"/>
      <c r="BK63" s="1841">
        <f>flow!AH19</f>
        <v>81.116</v>
      </c>
      <c r="BL63" s="1055"/>
      <c r="BM63" s="1055"/>
      <c r="BN63" s="1055"/>
      <c r="BO63" s="1842"/>
      <c r="BP63" s="1841">
        <f>flow!AJ19</f>
        <v>147.744</v>
      </c>
      <c r="BQ63" s="1055"/>
      <c r="BR63" s="1055"/>
      <c r="BS63" s="1055"/>
      <c r="BT63" s="1055"/>
      <c r="BU63" s="1841">
        <f>flow!AL19</f>
        <v>184.309</v>
      </c>
      <c r="BV63" s="1055"/>
      <c r="BW63" s="1055"/>
      <c r="BX63" s="1055"/>
      <c r="BY63" s="1055"/>
      <c r="BZ63" s="1841"/>
      <c r="CA63" s="1055"/>
      <c r="CB63" s="1055"/>
      <c r="CC63" s="1055"/>
      <c r="CD63" s="1055"/>
      <c r="CE63" s="1841">
        <f>flow!AP19</f>
        <v>219.58699999999999</v>
      </c>
      <c r="CF63" s="1841">
        <f>flow!AR19</f>
        <v>199.3</v>
      </c>
      <c r="CG63" s="1841">
        <f>flow!AT19</f>
        <v>396.4</v>
      </c>
      <c r="CH63" s="1843">
        <f>flow!AV19</f>
        <v>283.10000000000002</v>
      </c>
      <c r="CI63" s="154"/>
      <c r="CK63" s="154"/>
      <c r="CL63" s="154"/>
      <c r="CM63" s="154"/>
      <c r="CN63" s="154"/>
      <c r="CO63" s="1822" t="s">
        <v>373</v>
      </c>
      <c r="CP63" s="154"/>
      <c r="CQ63" s="154"/>
      <c r="CR63" s="154"/>
      <c r="CS63" s="1817"/>
      <c r="CT63" s="1823">
        <f>yrSales!C68+yrSales!C69</f>
        <v>0</v>
      </c>
      <c r="CU63" s="1823">
        <f>yrSales!D68+yrSales!D69</f>
        <v>0</v>
      </c>
      <c r="CV63" s="1823">
        <f>yrSales!E68+yrSales!E69</f>
        <v>0</v>
      </c>
      <c r="CW63" s="1823">
        <f>yrSales!F68+yrSales!F69</f>
        <v>0</v>
      </c>
      <c r="CX63" s="1823">
        <f>yrSales!G68+yrSales!G69</f>
        <v>0</v>
      </c>
      <c r="CY63" s="1823">
        <f>yrSales!H68+yrSales!H69</f>
        <v>0</v>
      </c>
      <c r="CZ63" s="1823">
        <f>yrSales!I68+yrSales!I69</f>
        <v>0</v>
      </c>
      <c r="DA63" s="1823">
        <f>yrSales!J68+yrSales!J69</f>
        <v>0</v>
      </c>
      <c r="DB63" s="1823">
        <f>yrSales!K68+yrSales!K69</f>
        <v>0</v>
      </c>
      <c r="DC63" s="1823">
        <f>yrSales!L68+yrSales!L69</f>
        <v>0</v>
      </c>
      <c r="DD63" s="1823">
        <f>yrSales!M68+yrSales!M69</f>
        <v>0</v>
      </c>
      <c r="DE63" s="1823">
        <f>yrSales!N68+yrSales!N69</f>
        <v>16</v>
      </c>
      <c r="DF63" s="1823">
        <f>yrSales!O68+yrSales!O69</f>
        <v>24</v>
      </c>
      <c r="DG63" s="1823">
        <f>yrSales!P68+yrSales!P69</f>
        <v>28</v>
      </c>
      <c r="DH63" s="1823">
        <f>yrSales!Q68+yrSales!Q69</f>
        <v>41</v>
      </c>
      <c r="DI63" s="1823">
        <f>yrSales!R68+yrSales!R69</f>
        <v>66</v>
      </c>
      <c r="DJ63" s="1823">
        <f>yrSales!S68+yrSales!S69</f>
        <v>96</v>
      </c>
      <c r="DK63" s="1823">
        <f>yrSales!T68+yrSales!T69</f>
        <v>126</v>
      </c>
      <c r="DL63" s="1823">
        <f>yrSales!U68+yrSales!U69</f>
        <v>153</v>
      </c>
      <c r="DM63" s="1823">
        <f>yrSales!V68+yrSales!V69</f>
        <v>171</v>
      </c>
      <c r="DN63" s="1823">
        <f>yrSales!W68+yrSales!W69</f>
        <v>185</v>
      </c>
      <c r="DO63" s="1823">
        <f>yrSales!X68+yrSales!X69</f>
        <v>199</v>
      </c>
      <c r="DP63" s="1823">
        <f>yrSales!Y68+yrSales!Y69</f>
        <v>209</v>
      </c>
      <c r="DQ63" s="1823">
        <f>yrSales!Z68+yrSales!Z69</f>
        <v>211</v>
      </c>
      <c r="DR63" s="1823">
        <f>yrSales!AA68+yrSales!AA69</f>
        <v>213</v>
      </c>
      <c r="DS63" s="1823">
        <f>yrSales!AB68+yrSales!AB69</f>
        <v>215</v>
      </c>
      <c r="DT63" s="1823">
        <f>yrSales!AC68+yrSales!AC69</f>
        <v>217</v>
      </c>
    </row>
    <row r="64" spans="1:124">
      <c r="A64" s="1692"/>
      <c r="B64" s="1844"/>
      <c r="C64" s="1692"/>
      <c r="D64" s="1692"/>
      <c r="E64" s="1692"/>
      <c r="F64" s="1692"/>
      <c r="G64" s="1834"/>
      <c r="H64" s="236"/>
      <c r="I64" s="236"/>
      <c r="J64" s="236"/>
      <c r="K64" s="236"/>
      <c r="L64" s="1834"/>
      <c r="M64" s="236"/>
      <c r="N64" s="236"/>
      <c r="O64" s="236"/>
      <c r="P64" s="236"/>
      <c r="Q64" s="1686"/>
      <c r="R64" s="236"/>
      <c r="S64" s="236"/>
      <c r="T64" s="236"/>
      <c r="U64" s="236"/>
      <c r="V64" s="1686"/>
      <c r="W64" s="1686"/>
      <c r="X64" s="236"/>
      <c r="Y64" s="1844"/>
      <c r="Z64" s="1692"/>
      <c r="AA64" s="1690"/>
      <c r="AB64" s="1690"/>
      <c r="AC64" s="236"/>
      <c r="AD64" s="1844"/>
      <c r="AE64" s="1692"/>
      <c r="AF64" s="1690"/>
      <c r="AG64" s="1690"/>
      <c r="AH64" s="236"/>
      <c r="AI64" s="1821"/>
      <c r="AJ64" s="1692"/>
      <c r="AK64" s="1690"/>
      <c r="AL64" s="1690"/>
      <c r="AM64" s="236"/>
      <c r="AN64" s="1821"/>
      <c r="AO64" s="1692"/>
      <c r="AP64" s="1690"/>
      <c r="AQ64" s="1690"/>
      <c r="AR64" s="236"/>
      <c r="AS64" s="1821"/>
      <c r="AT64" s="1692"/>
      <c r="AU64" s="1690"/>
      <c r="AV64" s="1821"/>
      <c r="AW64" s="1692"/>
      <c r="AX64" s="1692"/>
      <c r="AY64" s="1692"/>
      <c r="AZ64" s="1690"/>
      <c r="BA64" s="1821"/>
      <c r="BB64" s="1692"/>
      <c r="BC64" s="1692"/>
      <c r="BD64" s="1692"/>
      <c r="BE64" s="1690"/>
      <c r="BF64" s="1692"/>
      <c r="BG64" s="1692"/>
      <c r="BH64" s="1692"/>
      <c r="BI64" s="1692"/>
      <c r="BJ64" s="1690"/>
      <c r="BK64" s="1702"/>
      <c r="BL64" s="1702"/>
      <c r="BM64" s="1702"/>
      <c r="BN64" s="1702"/>
      <c r="BO64" s="1807"/>
      <c r="BP64" s="1821"/>
      <c r="BQ64" s="1692"/>
      <c r="BR64" s="1692"/>
      <c r="BS64" s="1692"/>
      <c r="BT64" s="154"/>
      <c r="BX64" s="154"/>
      <c r="BY64" s="154"/>
      <c r="BZ64" s="1821"/>
      <c r="CA64" s="154"/>
      <c r="CB64" s="154"/>
      <c r="CC64" s="154"/>
      <c r="CD64" s="154"/>
      <c r="CE64" s="1821"/>
      <c r="CF64" s="154"/>
      <c r="CG64" s="154"/>
      <c r="CH64" s="154"/>
      <c r="CI64" s="154"/>
      <c r="CK64" s="154"/>
      <c r="CL64" s="154"/>
      <c r="CM64" s="154"/>
      <c r="CN64" s="154"/>
      <c r="CO64" s="1822" t="s">
        <v>319</v>
      </c>
      <c r="CP64" s="154"/>
      <c r="CQ64" s="154"/>
      <c r="CR64" s="154"/>
      <c r="CS64" s="1817"/>
      <c r="CT64" s="1823"/>
      <c r="CU64" s="1823"/>
      <c r="CV64" s="1823"/>
      <c r="CW64" s="1823"/>
      <c r="CX64" s="1823"/>
      <c r="CY64" s="1823"/>
      <c r="CZ64" s="1823"/>
      <c r="DA64" s="1823"/>
      <c r="DB64" s="1823"/>
      <c r="DC64" s="1823"/>
      <c r="DD64" s="1823"/>
      <c r="DE64" s="1823"/>
      <c r="DF64" s="1823"/>
      <c r="DG64" s="1823"/>
      <c r="DH64" s="1823"/>
      <c r="DI64" s="1823"/>
      <c r="DJ64" s="1823"/>
      <c r="DK64" s="1823"/>
      <c r="DL64" s="1823">
        <f>yrSales!U74</f>
        <v>27</v>
      </c>
      <c r="DM64" s="1823">
        <f>yrSales!V74</f>
        <v>34</v>
      </c>
      <c r="DN64" s="1823">
        <f>yrSales!W74</f>
        <v>39</v>
      </c>
      <c r="DO64" s="1823">
        <f>yrSales!X74</f>
        <v>55</v>
      </c>
      <c r="DP64" s="1823">
        <f>yrSales!Y74</f>
        <v>65</v>
      </c>
      <c r="DQ64" s="1823">
        <f>yrSales!Z74</f>
        <v>70</v>
      </c>
      <c r="DR64" s="1823">
        <f>yrSales!AA74</f>
        <v>75</v>
      </c>
      <c r="DS64" s="1823">
        <f>yrSales!AB74</f>
        <v>80</v>
      </c>
      <c r="DT64" s="1823">
        <f>yrSales!AC74</f>
        <v>85</v>
      </c>
    </row>
    <row r="65" spans="1:124">
      <c r="A65" s="1808" t="s">
        <v>768</v>
      </c>
      <c r="B65" s="1845"/>
      <c r="C65" s="1845"/>
      <c r="D65" s="1845"/>
      <c r="E65" s="1845"/>
      <c r="F65" s="1845"/>
      <c r="G65" s="1845"/>
      <c r="H65" s="1845"/>
      <c r="I65" s="1845"/>
      <c r="J65" s="1845"/>
      <c r="K65" s="1845"/>
      <c r="L65" s="1845"/>
      <c r="M65" s="1845"/>
      <c r="N65" s="1845"/>
      <c r="O65" s="1845"/>
      <c r="P65" s="1845"/>
      <c r="Q65" s="1845"/>
      <c r="R65" s="1845"/>
      <c r="S65" s="1845"/>
      <c r="T65" s="1845"/>
      <c r="U65" s="1845"/>
      <c r="V65" s="1845"/>
      <c r="W65" s="1845"/>
      <c r="X65" s="1845"/>
      <c r="Y65" s="1845"/>
      <c r="Z65" s="1845"/>
      <c r="AA65" s="1845"/>
      <c r="AB65" s="1845"/>
      <c r="AC65" s="1845"/>
      <c r="AD65" s="1845"/>
      <c r="AE65" s="1810"/>
      <c r="AF65" s="1845"/>
      <c r="AG65" s="1845"/>
      <c r="AH65" s="1845"/>
      <c r="AI65" s="1846"/>
      <c r="AJ65" s="1810"/>
      <c r="AK65" s="1845"/>
      <c r="AL65" s="1845"/>
      <c r="AM65" s="1845"/>
      <c r="AN65" s="1846"/>
      <c r="AO65" s="1810"/>
      <c r="AP65" s="1845"/>
      <c r="AQ65" s="1845"/>
      <c r="AR65" s="1845"/>
      <c r="AS65" s="1846"/>
      <c r="AT65" s="1810"/>
      <c r="AU65" s="1845"/>
      <c r="AV65" s="1846"/>
      <c r="AW65" s="1810"/>
      <c r="AX65" s="1810"/>
      <c r="AY65" s="1810"/>
      <c r="AZ65" s="1845"/>
      <c r="BA65" s="1846"/>
      <c r="BB65" s="1810"/>
      <c r="BC65" s="1810"/>
      <c r="BD65" s="1810"/>
      <c r="BE65" s="1845"/>
      <c r="BF65" s="1810"/>
      <c r="BG65" s="1810"/>
      <c r="BH65" s="1810"/>
      <c r="BI65" s="1810"/>
      <c r="BJ65" s="1845"/>
      <c r="BK65" s="1370" t="s">
        <v>320</v>
      </c>
      <c r="BL65" s="1370" t="s">
        <v>321</v>
      </c>
      <c r="BM65" s="1370" t="s">
        <v>322</v>
      </c>
      <c r="BN65" s="1370" t="s">
        <v>323</v>
      </c>
      <c r="BO65" s="1811"/>
      <c r="BP65" s="1370" t="s">
        <v>102</v>
      </c>
      <c r="BQ65" s="1370" t="s">
        <v>103</v>
      </c>
      <c r="BR65" s="1370" t="s">
        <v>104</v>
      </c>
      <c r="BS65" s="728" t="s">
        <v>105</v>
      </c>
      <c r="BT65" s="154"/>
      <c r="BU65" s="1370" t="s">
        <v>404</v>
      </c>
      <c r="BV65" s="1370" t="s">
        <v>405</v>
      </c>
      <c r="BW65" s="1370" t="s">
        <v>406</v>
      </c>
      <c r="BX65" s="728" t="s">
        <v>753</v>
      </c>
      <c r="BY65" s="154"/>
      <c r="BZ65" s="1370" t="s">
        <v>764</v>
      </c>
      <c r="CA65" s="1370" t="s">
        <v>765</v>
      </c>
      <c r="CB65" s="1370" t="s">
        <v>766</v>
      </c>
      <c r="CC65" s="728" t="s">
        <v>767</v>
      </c>
      <c r="CD65" s="154"/>
      <c r="CE65" s="1370" t="s">
        <v>806</v>
      </c>
      <c r="CF65" s="1370" t="s">
        <v>807</v>
      </c>
      <c r="CG65" s="1370" t="s">
        <v>808</v>
      </c>
      <c r="CH65" s="728" t="s">
        <v>809</v>
      </c>
      <c r="CI65" s="154"/>
      <c r="CK65" s="154"/>
      <c r="CL65" s="154"/>
      <c r="CM65" s="154"/>
      <c r="CN65" s="154"/>
      <c r="CO65" s="1847" t="s">
        <v>867</v>
      </c>
      <c r="CP65" s="154"/>
      <c r="CQ65" s="154"/>
      <c r="CR65" s="154"/>
      <c r="CS65" s="1765"/>
      <c r="CT65" s="535">
        <f>yrSales!C88</f>
        <v>0</v>
      </c>
      <c r="CU65" s="535">
        <f>yrSales!D88</f>
        <v>0</v>
      </c>
      <c r="CV65" s="535">
        <f>yrSales!E88</f>
        <v>0</v>
      </c>
      <c r="CW65" s="535">
        <f>yrSales!F88</f>
        <v>0.37208200000000002</v>
      </c>
      <c r="CX65" s="535">
        <f>yrSales!G88</f>
        <v>0.44771099999999997</v>
      </c>
      <c r="CY65" s="535">
        <f>yrSales!H88</f>
        <v>0.51343099999999997</v>
      </c>
      <c r="CZ65" s="535">
        <f>yrSales!I88</f>
        <v>0.59798300000000004</v>
      </c>
      <c r="DA65" s="535">
        <f>yrSales!J88</f>
        <v>0.69845000000000002</v>
      </c>
      <c r="DB65" s="535">
        <f>yrSales!K88</f>
        <v>0.78226300000000004</v>
      </c>
      <c r="DC65" s="535">
        <f>yrSales!L88</f>
        <v>0.90483599999999997</v>
      </c>
      <c r="DD65" s="535">
        <f>yrSales!M88</f>
        <v>1.0387150000000001</v>
      </c>
      <c r="DE65" s="535">
        <f>yrSales!N88</f>
        <v>1.2239710000000001</v>
      </c>
      <c r="DF65" s="535">
        <f>yrSales!O88</f>
        <v>1.4686079999999999</v>
      </c>
      <c r="DG65" s="535">
        <f>yrSales!P88</f>
        <v>1.7038599999999999</v>
      </c>
      <c r="DH65" s="535">
        <f>yrSales!Q88</f>
        <v>1.850705</v>
      </c>
      <c r="DI65" s="1819">
        <f>yrSales!R88</f>
        <v>2.0168460000000001</v>
      </c>
      <c r="DJ65" s="1819">
        <f>yrSales!S88</f>
        <v>2.4141939999999997</v>
      </c>
      <c r="DK65" s="1819">
        <f>yrSales!T88</f>
        <v>2.7031909999999999</v>
      </c>
      <c r="DL65" s="1819">
        <f>yrSales!U88</f>
        <v>2.9617120000000003</v>
      </c>
      <c r="DM65" s="1819">
        <f>yrSales!V88</f>
        <v>3.0396469999999995</v>
      </c>
      <c r="DN65" s="1819">
        <f>yrSales!W88</f>
        <v>3.0962809999999998</v>
      </c>
      <c r="DO65" s="1819">
        <f>yrSales!X88</f>
        <v>2.9697659999999999</v>
      </c>
      <c r="DP65" s="1819">
        <f>yrSales!Y88</f>
        <v>2.9795159999999998</v>
      </c>
      <c r="DQ65" s="1819">
        <f>yrSales!Z88</f>
        <v>2.9907659999999998</v>
      </c>
      <c r="DR65" s="1848">
        <f>yrSales!AA88</f>
        <v>3.0020159999999998</v>
      </c>
      <c r="DS65" s="1819">
        <f>yrSales!AB88</f>
        <v>3.0132659999999998</v>
      </c>
      <c r="DT65" s="1848">
        <f>yrSales!AC88</f>
        <v>3.0245159999999998</v>
      </c>
    </row>
    <row r="66" spans="1:124">
      <c r="A66" s="1847" t="s">
        <v>97</v>
      </c>
      <c r="B66" s="1690"/>
      <c r="C66" s="1690"/>
      <c r="D66" s="1690"/>
      <c r="E66" s="1690"/>
      <c r="F66" s="1690"/>
      <c r="G66" s="1690"/>
      <c r="H66" s="1690"/>
      <c r="I66" s="1690"/>
      <c r="J66" s="1690"/>
      <c r="K66" s="1690"/>
      <c r="L66" s="1690"/>
      <c r="M66" s="1690"/>
      <c r="N66" s="1690"/>
      <c r="O66" s="1690"/>
      <c r="P66" s="1690"/>
      <c r="Q66" s="1690"/>
      <c r="R66" s="1692"/>
      <c r="S66" s="1692"/>
      <c r="T66" s="1692"/>
      <c r="U66" s="1692"/>
      <c r="V66" s="1690"/>
      <c r="W66" s="1807"/>
      <c r="X66" s="1807"/>
      <c r="Y66" s="1807"/>
      <c r="Z66" s="1807"/>
      <c r="AA66" s="1690"/>
      <c r="AB66" s="1807"/>
      <c r="AC66" s="1807"/>
      <c r="AD66" s="1690"/>
      <c r="AE66" s="1690"/>
      <c r="AF66" s="1690"/>
      <c r="AG66" s="1807"/>
      <c r="AH66" s="1807"/>
      <c r="AI66" s="1844"/>
      <c r="AJ66" s="1692"/>
      <c r="AK66" s="1690"/>
      <c r="AL66" s="1807"/>
      <c r="AM66" s="1807"/>
      <c r="AN66" s="1844"/>
      <c r="AO66" s="1692"/>
      <c r="AP66" s="1690"/>
      <c r="AQ66" s="1807"/>
      <c r="AR66" s="1807"/>
      <c r="AS66" s="1844"/>
      <c r="AT66" s="1692"/>
      <c r="AU66" s="1690"/>
      <c r="AV66" s="1844"/>
      <c r="AW66" s="1692"/>
      <c r="AX66" s="1692"/>
      <c r="AY66" s="1692"/>
      <c r="AZ66" s="1690"/>
      <c r="BA66" s="1844"/>
      <c r="BB66" s="1692"/>
      <c r="BC66" s="1692"/>
      <c r="BD66" s="1692"/>
      <c r="BE66" s="1690"/>
      <c r="BF66" s="1692"/>
      <c r="BG66" s="1692"/>
      <c r="BH66" s="1692"/>
      <c r="BI66" s="1692"/>
      <c r="BJ66" s="1690"/>
      <c r="BK66" s="1849">
        <f t="shared" ref="BK66:BN68" si="59">(BK39-BF39)*10000</f>
        <v>-136.92707766928547</v>
      </c>
      <c r="BL66" s="1849">
        <f t="shared" si="59"/>
        <v>-22.625477891906609</v>
      </c>
      <c r="BM66" s="1849">
        <f t="shared" si="59"/>
        <v>101.57261215430479</v>
      </c>
      <c r="BN66" s="1849">
        <f t="shared" si="59"/>
        <v>77.458132393091176</v>
      </c>
      <c r="BO66" s="1807"/>
      <c r="BP66" s="1849">
        <f t="shared" ref="BP66:BS68" si="60">(BP39-BK39)*10000</f>
        <v>-2.4589094383531407</v>
      </c>
      <c r="BQ66" s="1849">
        <f t="shared" si="60"/>
        <v>2.646033025591743</v>
      </c>
      <c r="BR66" s="1849">
        <f t="shared" si="60"/>
        <v>34.877689343397748</v>
      </c>
      <c r="BS66" s="1850">
        <f t="shared" si="60"/>
        <v>41.634976204378837</v>
      </c>
      <c r="BT66" s="154"/>
      <c r="BU66" s="1849">
        <f t="shared" ref="BU66:BX68" si="61">(BU39-BP39)*10000</f>
        <v>-94.617193786628036</v>
      </c>
      <c r="BV66" s="1849">
        <f t="shared" si="61"/>
        <v>-295.61267196731353</v>
      </c>
      <c r="BW66" s="1849">
        <f t="shared" si="61"/>
        <v>-306.12495970638417</v>
      </c>
      <c r="BX66" s="1850">
        <f t="shared" si="61"/>
        <v>-356.85425502228196</v>
      </c>
      <c r="BY66" s="154"/>
      <c r="BZ66" s="1849">
        <f t="shared" ref="BZ66:CC68" si="62">(BZ39-BU39)*10000</f>
        <v>-257.5459598493668</v>
      </c>
      <c r="CA66" s="1849">
        <f t="shared" si="62"/>
        <v>-25.273035194581794</v>
      </c>
      <c r="CB66" s="1849">
        <f t="shared" si="62"/>
        <v>55.806520072454461</v>
      </c>
      <c r="CC66" s="1850">
        <f t="shared" si="62"/>
        <v>-44.537362033543189</v>
      </c>
      <c r="CD66" s="154"/>
      <c r="CE66" s="1849">
        <f t="shared" ref="CE66:CH68" si="63">(CE39-BZ39)*10000</f>
        <v>-156.3961597780561</v>
      </c>
      <c r="CF66" s="1849">
        <f t="shared" si="63"/>
        <v>-152.44763485425472</v>
      </c>
      <c r="CG66" s="1849">
        <f t="shared" si="63"/>
        <v>-259.74579105137673</v>
      </c>
      <c r="CH66" s="1850">
        <f t="shared" si="63"/>
        <v>-115.02424331848671</v>
      </c>
      <c r="CI66" s="154"/>
      <c r="CK66" s="154"/>
      <c r="CL66" s="154"/>
      <c r="CM66" s="154"/>
      <c r="CN66" s="154"/>
      <c r="CO66" s="1847" t="s">
        <v>868</v>
      </c>
      <c r="CP66" s="154"/>
      <c r="CQ66" s="154"/>
      <c r="CR66" s="154"/>
      <c r="CS66" s="1690"/>
      <c r="CY66" s="535">
        <f t="shared" ref="CY66:DL66" si="64">+CY65/CX65-1</f>
        <v>0.14679112195143751</v>
      </c>
      <c r="CZ66" s="535">
        <f t="shared" si="64"/>
        <v>0.16468035626987865</v>
      </c>
      <c r="DA66" s="535">
        <f t="shared" si="64"/>
        <v>0.16800979292053442</v>
      </c>
      <c r="DB66" s="535">
        <f t="shared" si="64"/>
        <v>0.11999856825828625</v>
      </c>
      <c r="DC66" s="535">
        <f t="shared" si="64"/>
        <v>0.15669026912943584</v>
      </c>
      <c r="DD66" s="535">
        <f t="shared" si="64"/>
        <v>0.14795940921890827</v>
      </c>
      <c r="DE66" s="535">
        <f t="shared" si="64"/>
        <v>0.17835113577834161</v>
      </c>
      <c r="DF66" s="535">
        <f t="shared" si="64"/>
        <v>0.19987156558447849</v>
      </c>
      <c r="DG66" s="535">
        <f t="shared" si="64"/>
        <v>0.16018706148951933</v>
      </c>
      <c r="DH66" s="535">
        <f t="shared" si="64"/>
        <v>8.6183724014883945E-2</v>
      </c>
      <c r="DI66" s="1872">
        <f t="shared" si="64"/>
        <v>8.9771735635879368E-2</v>
      </c>
      <c r="DJ66" s="1872">
        <f t="shared" si="64"/>
        <v>0.19701454647504058</v>
      </c>
      <c r="DK66" s="1872">
        <f t="shared" si="64"/>
        <v>0.1197074468746091</v>
      </c>
      <c r="DL66" s="1872">
        <f t="shared" si="64"/>
        <v>9.5635491535744466E-2</v>
      </c>
      <c r="DM66" s="1872">
        <f t="shared" ref="DM66:DR66" si="65">+DM65/DL65-1</f>
        <v>2.6314172343563147E-2</v>
      </c>
      <c r="DN66" s="1872">
        <f t="shared" si="65"/>
        <v>1.8631768754727274E-2</v>
      </c>
      <c r="DO66" s="1872">
        <f t="shared" si="65"/>
        <v>-4.086030951325148E-2</v>
      </c>
      <c r="DP66" s="1872">
        <f t="shared" si="65"/>
        <v>3.2830869502848969E-3</v>
      </c>
      <c r="DQ66" s="1872">
        <f t="shared" si="65"/>
        <v>3.7757810328926666E-3</v>
      </c>
      <c r="DR66" s="1851">
        <f t="shared" si="65"/>
        <v>3.7615781375073265E-3</v>
      </c>
      <c r="DS66" s="1872">
        <f>+DS65/DR65-1</f>
        <v>3.7474816923026566E-3</v>
      </c>
      <c r="DT66" s="1851">
        <f>+DT65/DS65-1</f>
        <v>3.7334905049868361E-3</v>
      </c>
    </row>
    <row r="67" spans="1:124">
      <c r="A67" s="1847" t="s">
        <v>98</v>
      </c>
      <c r="B67" s="1807"/>
      <c r="C67" s="1807"/>
      <c r="D67" s="1807"/>
      <c r="E67" s="1807"/>
      <c r="F67" s="1807"/>
      <c r="G67" s="1690"/>
      <c r="H67" s="1807"/>
      <c r="I67" s="1807"/>
      <c r="J67" s="1807"/>
      <c r="K67" s="1807"/>
      <c r="L67" s="1690"/>
      <c r="M67" s="1807"/>
      <c r="N67" s="1807"/>
      <c r="O67" s="1807"/>
      <c r="P67" s="1807"/>
      <c r="Q67" s="1692"/>
      <c r="R67" s="1692"/>
      <c r="S67" s="1692"/>
      <c r="T67" s="1692"/>
      <c r="U67" s="1692"/>
      <c r="V67" s="1692"/>
      <c r="W67" s="1692"/>
      <c r="X67" s="1692"/>
      <c r="Y67" s="1692"/>
      <c r="Z67" s="1692"/>
      <c r="AA67" s="1692"/>
      <c r="AB67" s="1692"/>
      <c r="AC67" s="1692"/>
      <c r="AD67" s="1690"/>
      <c r="AE67" s="1690"/>
      <c r="AF67" s="1692"/>
      <c r="AG67" s="1692"/>
      <c r="AH67" s="1692"/>
      <c r="AI67" s="1690"/>
      <c r="AJ67" s="1692"/>
      <c r="AK67" s="1692"/>
      <c r="AL67" s="1692"/>
      <c r="AM67" s="1692"/>
      <c r="AN67" s="1690"/>
      <c r="AO67" s="1692"/>
      <c r="AP67" s="1692"/>
      <c r="AQ67" s="1692"/>
      <c r="AR67" s="1692"/>
      <c r="AS67" s="1690"/>
      <c r="AT67" s="1692"/>
      <c r="AU67" s="1692"/>
      <c r="AV67" s="1690"/>
      <c r="AW67" s="1692"/>
      <c r="AX67" s="1692"/>
      <c r="AY67" s="1692"/>
      <c r="AZ67" s="1692"/>
      <c r="BA67" s="1690"/>
      <c r="BB67" s="1692"/>
      <c r="BC67" s="1692"/>
      <c r="BD67" s="1692"/>
      <c r="BE67" s="1692"/>
      <c r="BF67" s="1692"/>
      <c r="BG67" s="1692"/>
      <c r="BH67" s="1692"/>
      <c r="BI67" s="1692"/>
      <c r="BJ67" s="1692"/>
      <c r="BK67" s="1852">
        <f t="shared" si="59"/>
        <v>-68.847831426628318</v>
      </c>
      <c r="BL67" s="1852">
        <f t="shared" si="59"/>
        <v>-35.045400404481455</v>
      </c>
      <c r="BM67" s="1852">
        <f t="shared" si="59"/>
        <v>-1.611410324533491</v>
      </c>
      <c r="BN67" s="1852">
        <f t="shared" si="59"/>
        <v>-105.30104205361157</v>
      </c>
      <c r="BO67" s="1807"/>
      <c r="BP67" s="1852">
        <f t="shared" si="60"/>
        <v>206.53074671366622</v>
      </c>
      <c r="BQ67" s="1852">
        <f t="shared" si="60"/>
        <v>98.577746329879815</v>
      </c>
      <c r="BR67" s="1852">
        <f t="shared" si="60"/>
        <v>143.65478198317294</v>
      </c>
      <c r="BS67" s="1853">
        <f t="shared" si="60"/>
        <v>215.55577032117802</v>
      </c>
      <c r="BT67" s="154"/>
      <c r="BU67" s="1852">
        <f t="shared" si="61"/>
        <v>-33.282312201063924</v>
      </c>
      <c r="BV67" s="1852">
        <f t="shared" si="61"/>
        <v>135.2561274273173</v>
      </c>
      <c r="BW67" s="1852">
        <f t="shared" si="61"/>
        <v>239.28426351320419</v>
      </c>
      <c r="BX67" s="1853">
        <f t="shared" si="61"/>
        <v>641.42361110382512</v>
      </c>
      <c r="BY67" s="154"/>
      <c r="BZ67" s="1852">
        <f t="shared" si="62"/>
        <v>449.43818280953786</v>
      </c>
      <c r="CA67" s="1852">
        <f t="shared" si="62"/>
        <v>593.53562752024141</v>
      </c>
      <c r="CB67" s="1852">
        <f t="shared" si="62"/>
        <v>868.42704571460479</v>
      </c>
      <c r="CC67" s="1853">
        <f t="shared" si="62"/>
        <v>735.27210011961608</v>
      </c>
      <c r="CD67" s="154"/>
      <c r="CE67" s="1852">
        <f t="shared" si="63"/>
        <v>330.1146796165516</v>
      </c>
      <c r="CF67" s="1852">
        <f t="shared" si="63"/>
        <v>62.178045706002273</v>
      </c>
      <c r="CG67" s="1852">
        <f t="shared" si="63"/>
        <v>-152.65444446311059</v>
      </c>
      <c r="CH67" s="1853">
        <f t="shared" si="63"/>
        <v>-373.11745557056298</v>
      </c>
      <c r="CI67" s="154"/>
      <c r="CK67" s="154"/>
      <c r="CL67" s="154"/>
      <c r="CM67" s="154"/>
      <c r="CN67" s="154"/>
      <c r="CO67" s="1731" t="s">
        <v>318</v>
      </c>
      <c r="CP67" s="154"/>
      <c r="CQ67" s="154"/>
      <c r="CR67" s="154"/>
      <c r="CY67" s="1823">
        <f>yrSales!H91</f>
        <v>1907.0277777777776</v>
      </c>
      <c r="CZ67" s="1823">
        <f>yrSales!I91</f>
        <v>1984.667857142857</v>
      </c>
      <c r="DA67" s="1823">
        <f>yrSales!J91</f>
        <v>2091.0209677419357</v>
      </c>
      <c r="DB67" s="1823">
        <f>yrSales!K91</f>
        <v>2193.6488888888889</v>
      </c>
      <c r="DC67" s="1823">
        <f>yrSales!L91</f>
        <v>2317.4436813186812</v>
      </c>
      <c r="DD67" s="1823">
        <f>yrSales!M91</f>
        <v>2429.4387499999998</v>
      </c>
      <c r="DE67" s="535">
        <f>yrSales!N91</f>
        <v>2483.7387486278822</v>
      </c>
      <c r="DF67" s="535">
        <f>yrSales!O91</f>
        <v>2596.5081967213118</v>
      </c>
      <c r="DG67" s="535">
        <f>yrSales!P91</f>
        <v>2706.8839590443686</v>
      </c>
      <c r="DH67" s="535">
        <f>yrSales!Q91</f>
        <v>2757.6144297905353</v>
      </c>
      <c r="DI67" s="1873">
        <f>yrSales!R91</f>
        <v>2786.4200288184443</v>
      </c>
      <c r="DJ67" s="1873">
        <f>yrSales!S91</f>
        <v>2849.5434083601281</v>
      </c>
      <c r="DK67" s="1873">
        <f>yrSales!T91</f>
        <v>2866.8823529411761</v>
      </c>
      <c r="DL67" s="1873">
        <f>yrSales!U91</f>
        <v>2879.971021860702</v>
      </c>
      <c r="DM67" s="1873">
        <f>yrSales!V91</f>
        <v>3032.520970186963</v>
      </c>
      <c r="DN67" s="1873">
        <f>yrSales!W91</f>
        <v>3195.7958333333331</v>
      </c>
      <c r="DO67" s="1873">
        <f>yrSales!X91</f>
        <v>3161.0458572173006</v>
      </c>
      <c r="DP67" s="1873">
        <f>yrSales!Y91</f>
        <v>3077.7454733574755</v>
      </c>
      <c r="DQ67" s="1873">
        <f>yrSales!Z91</f>
        <v>3093.4103626943001</v>
      </c>
      <c r="DR67" s="1854">
        <f>yrSales!AA91</f>
        <v>3131.0250783699062</v>
      </c>
      <c r="DS67" s="1873">
        <f>yrSales!AB91</f>
        <v>3169.2739726027394</v>
      </c>
      <c r="DT67" s="1854">
        <f>yrSales!AC91</f>
        <v>3208.1732199787461</v>
      </c>
    </row>
    <row r="68" spans="1:124">
      <c r="A68" s="1855" t="s">
        <v>49</v>
      </c>
      <c r="B68" s="1698"/>
      <c r="C68" s="1698"/>
      <c r="D68" s="1698"/>
      <c r="E68" s="1698"/>
      <c r="F68" s="1698"/>
      <c r="G68" s="1698"/>
      <c r="H68" s="1698"/>
      <c r="I68" s="1698"/>
      <c r="J68" s="1698"/>
      <c r="K68" s="1698"/>
      <c r="L68" s="1698"/>
      <c r="M68" s="1698"/>
      <c r="N68" s="1698"/>
      <c r="O68" s="1698"/>
      <c r="P68" s="1698"/>
      <c r="Q68" s="1698"/>
      <c r="R68" s="1698"/>
      <c r="S68" s="1698"/>
      <c r="T68" s="1698"/>
      <c r="U68" s="1698"/>
      <c r="V68" s="1698"/>
      <c r="W68" s="1698"/>
      <c r="X68" s="1698"/>
      <c r="Y68" s="1698"/>
      <c r="Z68" s="1698"/>
      <c r="AA68" s="1698"/>
      <c r="AB68" s="1698"/>
      <c r="AC68" s="1698"/>
      <c r="AD68" s="1842"/>
      <c r="AE68" s="1842"/>
      <c r="AF68" s="1698"/>
      <c r="AG68" s="1698"/>
      <c r="AH68" s="1698"/>
      <c r="AI68" s="1689"/>
      <c r="AJ68" s="1689"/>
      <c r="AK68" s="1698"/>
      <c r="AL68" s="1698"/>
      <c r="AM68" s="1698"/>
      <c r="AN68" s="1689"/>
      <c r="AO68" s="1689"/>
      <c r="AP68" s="1698"/>
      <c r="AQ68" s="1698"/>
      <c r="AR68" s="1698"/>
      <c r="AS68" s="1689"/>
      <c r="AT68" s="1689"/>
      <c r="AU68" s="1698"/>
      <c r="AV68" s="1689"/>
      <c r="AW68" s="1689"/>
      <c r="AX68" s="1689"/>
      <c r="AY68" s="1689"/>
      <c r="AZ68" s="1698"/>
      <c r="BA68" s="1689"/>
      <c r="BB68" s="1689"/>
      <c r="BC68" s="1689"/>
      <c r="BD68" s="1689"/>
      <c r="BE68" s="1698"/>
      <c r="BF68" s="1689"/>
      <c r="BG68" s="1689"/>
      <c r="BH68" s="1689"/>
      <c r="BI68" s="1689"/>
      <c r="BJ68" s="1698"/>
      <c r="BK68" s="1856">
        <f t="shared" si="59"/>
        <v>-68.079246242656041</v>
      </c>
      <c r="BL68" s="1856">
        <f t="shared" si="59"/>
        <v>12.419922512575399</v>
      </c>
      <c r="BM68" s="1856">
        <f t="shared" si="59"/>
        <v>103.18402247883884</v>
      </c>
      <c r="BN68" s="1856">
        <f t="shared" si="59"/>
        <v>182.75917444670219</v>
      </c>
      <c r="BO68" s="1842"/>
      <c r="BP68" s="1856">
        <f t="shared" si="60"/>
        <v>-208.98965615201993</v>
      </c>
      <c r="BQ68" s="1856">
        <f t="shared" si="60"/>
        <v>-95.931713304288621</v>
      </c>
      <c r="BR68" s="1856">
        <f t="shared" si="60"/>
        <v>-108.77709263977464</v>
      </c>
      <c r="BS68" s="1857">
        <f t="shared" si="60"/>
        <v>-173.92079411679862</v>
      </c>
      <c r="BT68" s="154"/>
      <c r="BU68" s="1856">
        <f t="shared" si="61"/>
        <v>-61.334881585564659</v>
      </c>
      <c r="BV68" s="1856">
        <f t="shared" si="61"/>
        <v>-430.86879939463086</v>
      </c>
      <c r="BW68" s="1856">
        <f t="shared" si="61"/>
        <v>-545.40922321958897</v>
      </c>
      <c r="BX68" s="1857">
        <f t="shared" si="61"/>
        <v>-998.27786612610737</v>
      </c>
      <c r="BY68" s="154"/>
      <c r="BZ68" s="1856">
        <f t="shared" si="62"/>
        <v>-706.98414265890437</v>
      </c>
      <c r="CA68" s="1856">
        <f t="shared" si="62"/>
        <v>-618.80866271482262</v>
      </c>
      <c r="CB68" s="1856">
        <f t="shared" si="62"/>
        <v>-812.6205256421498</v>
      </c>
      <c r="CC68" s="1857">
        <f t="shared" si="62"/>
        <v>-779.80946215315839</v>
      </c>
      <c r="CD68" s="154"/>
      <c r="CE68" s="1856">
        <f t="shared" si="63"/>
        <v>-486.51083939460773</v>
      </c>
      <c r="CF68" s="1856">
        <f t="shared" si="63"/>
        <v>-214.62568056025782</v>
      </c>
      <c r="CG68" s="1856">
        <f t="shared" si="63"/>
        <v>-107.09134658826669</v>
      </c>
      <c r="CH68" s="1857">
        <f t="shared" si="63"/>
        <v>258.09321225207458</v>
      </c>
      <c r="CI68" s="154"/>
      <c r="CK68" s="154"/>
      <c r="CL68" s="154"/>
      <c r="CM68" s="154"/>
      <c r="CN68" s="154"/>
      <c r="CO68" s="1731" t="s">
        <v>887</v>
      </c>
      <c r="CP68" s="154"/>
      <c r="CQ68" s="154"/>
      <c r="CR68" s="154"/>
      <c r="CY68" s="1823"/>
      <c r="CZ68" s="1823"/>
      <c r="DA68" s="1823"/>
      <c r="DB68" s="1823"/>
      <c r="DC68" s="1823"/>
      <c r="DD68" s="1823"/>
      <c r="DF68" s="535" t="s">
        <v>538</v>
      </c>
      <c r="DG68" s="535" t="s">
        <v>538</v>
      </c>
      <c r="DH68" s="535" t="s">
        <v>538</v>
      </c>
      <c r="DI68" s="1874" t="s">
        <v>538</v>
      </c>
      <c r="DJ68" s="1874">
        <f>yrSales!S160</f>
        <v>1897.3031762387652</v>
      </c>
      <c r="DK68" s="1874">
        <f>yrSales!T160</f>
        <v>1797.8687331491801</v>
      </c>
      <c r="DL68" s="1874">
        <f>yrSales!U160</f>
        <v>1517.8313980840223</v>
      </c>
      <c r="DM68" s="1874">
        <f>yrSales!V160</f>
        <v>1286.596299712543</v>
      </c>
      <c r="DN68" s="1874">
        <f>yrSales!W160</f>
        <v>1266.7627128139161</v>
      </c>
      <c r="DO68" s="1874">
        <f>yrSales!X160</f>
        <v>1241.4475415744876</v>
      </c>
      <c r="DP68" s="1874">
        <f>yrSales!Y160</f>
        <v>1271.963157177089</v>
      </c>
      <c r="DQ68" s="1874">
        <f>yrSales!Z160</f>
        <v>1275.1430650700318</v>
      </c>
      <c r="DR68" s="1858">
        <f>yrSales!AA160</f>
        <v>1278.3309227327068</v>
      </c>
      <c r="DS68" s="1874">
        <f>yrSales!AB160</f>
        <v>1281.5267500395385</v>
      </c>
      <c r="DT68" s="1858">
        <f>yrSales!AC160</f>
        <v>1284.7305669146372</v>
      </c>
    </row>
    <row r="69" spans="1:124">
      <c r="A69" s="1749"/>
      <c r="B69" s="181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6"/>
      <c r="AF69" s="236"/>
      <c r="AG69" s="236"/>
      <c r="AH69" s="236"/>
      <c r="AI69" s="1702"/>
      <c r="AJ69" s="1702"/>
      <c r="AK69" s="236"/>
      <c r="AL69" s="236"/>
      <c r="AM69" s="236"/>
      <c r="AN69" s="1702"/>
      <c r="AO69" s="1702"/>
      <c r="AP69" s="236"/>
      <c r="AQ69" s="236"/>
      <c r="AR69" s="236"/>
      <c r="AS69" s="1702"/>
      <c r="AT69" s="1702"/>
      <c r="AU69" s="236"/>
      <c r="AV69" s="1702"/>
      <c r="AW69" s="1702"/>
      <c r="AX69" s="1702"/>
      <c r="AY69" s="1702"/>
      <c r="AZ69" s="236"/>
      <c r="BA69" s="1702"/>
      <c r="BB69" s="1702"/>
      <c r="BC69" s="1702"/>
      <c r="BD69" s="1702"/>
      <c r="BE69" s="236"/>
      <c r="BF69" s="1702"/>
      <c r="BG69" s="1702"/>
      <c r="BH69" s="1702"/>
      <c r="BI69" s="1702"/>
      <c r="BJ69" s="236"/>
      <c r="BK69" s="1859"/>
      <c r="BL69" s="1859"/>
      <c r="BM69" s="1859"/>
      <c r="BN69" s="1859"/>
      <c r="BO69" s="1807"/>
      <c r="BP69" s="154"/>
      <c r="BQ69" s="154"/>
      <c r="BR69" s="154"/>
      <c r="BS69" s="154"/>
      <c r="BT69" s="154"/>
      <c r="BU69" s="1692"/>
      <c r="BV69" s="1692"/>
      <c r="BW69" s="1692"/>
      <c r="BX69" s="1692"/>
      <c r="BY69" s="1692"/>
      <c r="BZ69" s="1692"/>
      <c r="CA69" s="1692"/>
      <c r="CB69" s="1692"/>
      <c r="CC69" s="1692"/>
      <c r="CD69" s="1692"/>
      <c r="CE69" s="1690"/>
      <c r="CF69" s="1692"/>
      <c r="CG69" s="1692"/>
      <c r="CH69" s="1692"/>
      <c r="CI69" s="1692"/>
      <c r="CK69" s="1692"/>
      <c r="CL69" s="1692"/>
      <c r="CM69" s="1692"/>
      <c r="CN69" s="1692"/>
      <c r="CO69" s="1731" t="s">
        <v>886</v>
      </c>
      <c r="CP69" s="1692"/>
      <c r="CQ69" s="1692"/>
      <c r="CR69" s="1692"/>
      <c r="CS69" s="1692"/>
      <c r="CT69" s="1692"/>
      <c r="CU69" s="1692"/>
      <c r="CV69" s="1692"/>
      <c r="CW69" s="1692"/>
      <c r="CX69" s="1692"/>
      <c r="CY69" s="1692"/>
      <c r="CZ69" s="1692"/>
      <c r="DA69" s="1692"/>
      <c r="DB69" s="1692"/>
      <c r="DC69" s="535">
        <f>yrSales!L161</f>
        <v>2027.6498296780453</v>
      </c>
      <c r="DD69" s="535">
        <f>yrSales!M161</f>
        <v>2094.1987115336824</v>
      </c>
      <c r="DE69" s="535">
        <f>yrSales!N161</f>
        <v>2309.0495101839138</v>
      </c>
      <c r="DF69" s="535">
        <f>yrSales!O161</f>
        <v>2362.6419131992043</v>
      </c>
      <c r="DG69" s="535">
        <f>yrSales!P161</f>
        <v>2036.5645926137001</v>
      </c>
      <c r="DH69" s="535">
        <f>yrSales!Q161</f>
        <v>2029.8607565201364</v>
      </c>
      <c r="DI69" s="1875">
        <f>yrSales!R161</f>
        <v>2150.4600715026122</v>
      </c>
      <c r="DJ69" s="1875">
        <f>yrSales!S161</f>
        <v>2130.8767242001882</v>
      </c>
      <c r="DK69" s="1875">
        <f>yrSales!T161</f>
        <v>1968.3099864481565</v>
      </c>
      <c r="DL69" s="1875">
        <f>yrSales!U161</f>
        <v>1675.1213568881935</v>
      </c>
      <c r="DM69" s="1875">
        <f>yrSales!V161</f>
        <v>1362.7246761941753</v>
      </c>
      <c r="DN69" s="1875">
        <f>yrSales!W161</f>
        <v>1336.8474988624378</v>
      </c>
      <c r="DO69" s="1875">
        <f>yrSales!X161</f>
        <v>1339.9170827393855</v>
      </c>
      <c r="DP69" s="1875">
        <f>yrSales!Y161</f>
        <v>1410.8512253309586</v>
      </c>
      <c r="DQ69" s="1875">
        <f>yrSales!Z161</f>
        <v>1429.2032462439654</v>
      </c>
      <c r="DR69" s="1860">
        <f>yrSales!AA161</f>
        <v>1444.6316333502505</v>
      </c>
      <c r="DS69" s="1875">
        <f>yrSales!AB161</f>
        <v>1460.4188173175505</v>
      </c>
      <c r="DT69" s="1860">
        <f>yrSales!AC161</f>
        <v>1476.5710776250116</v>
      </c>
    </row>
    <row r="70" spans="1:124" hidden="1" outlineLevel="1">
      <c r="A70" s="1749"/>
      <c r="B70" s="1812"/>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6"/>
      <c r="AF70" s="236"/>
      <c r="AG70" s="236"/>
      <c r="AH70" s="236"/>
      <c r="AI70" s="1686"/>
      <c r="AJ70" s="1686"/>
      <c r="AK70" s="236"/>
      <c r="AL70" s="236"/>
      <c r="AM70" s="236"/>
      <c r="AN70" s="1686"/>
      <c r="AO70" s="1686"/>
      <c r="AP70" s="236"/>
      <c r="AQ70" s="236"/>
      <c r="AR70" s="236"/>
      <c r="AS70" s="1686"/>
      <c r="AT70" s="1686"/>
      <c r="AU70" s="236"/>
      <c r="AV70" s="1686"/>
      <c r="AW70" s="1686"/>
      <c r="AX70" s="1686"/>
      <c r="AY70" s="1686"/>
      <c r="AZ70" s="236"/>
      <c r="BA70" s="1686"/>
      <c r="BB70" s="1686"/>
      <c r="BC70" s="1686"/>
      <c r="BD70" s="1686"/>
      <c r="BE70" s="236"/>
      <c r="BF70" s="1686"/>
      <c r="BG70" s="1686"/>
      <c r="BH70" s="1686"/>
      <c r="BI70" s="1686"/>
      <c r="BJ70" s="236"/>
      <c r="BK70" s="1859"/>
      <c r="BL70" s="1859"/>
      <c r="BM70" s="1859"/>
      <c r="BN70" s="1859"/>
      <c r="BO70" s="1807"/>
      <c r="BP70" s="1690"/>
      <c r="BQ70" s="1690"/>
      <c r="BR70" s="1690"/>
      <c r="BS70" s="1690"/>
      <c r="BT70" s="154"/>
      <c r="BX70" s="154"/>
      <c r="BY70" s="154"/>
      <c r="BZ70" s="1690"/>
      <c r="CA70" s="154"/>
      <c r="CB70" s="154"/>
      <c r="CC70" s="154"/>
      <c r="CD70" s="154"/>
      <c r="CE70" s="1690"/>
      <c r="CF70" s="154"/>
      <c r="CG70" s="154"/>
      <c r="CH70" s="154"/>
      <c r="CI70" s="154"/>
      <c r="CK70" s="154"/>
      <c r="CL70" s="154"/>
      <c r="CM70" s="154"/>
      <c r="CN70" s="154"/>
      <c r="CO70" s="1731" t="s">
        <v>329</v>
      </c>
      <c r="CP70" s="154"/>
      <c r="CQ70" s="154"/>
      <c r="CR70" s="154"/>
      <c r="CS70" s="1690"/>
      <c r="CT70" s="1690"/>
      <c r="CU70" s="1690"/>
      <c r="CV70" s="1690"/>
      <c r="CW70" s="1690"/>
      <c r="CX70" s="1690"/>
      <c r="CY70" s="1690"/>
      <c r="CZ70" s="1690"/>
      <c r="DA70" s="535">
        <f>yrSales!J157</f>
        <v>917.65124223275495</v>
      </c>
      <c r="DB70" s="535">
        <f>yrSales!K157</f>
        <v>1030.3911176749564</v>
      </c>
      <c r="DC70" s="535">
        <f>yrSales!L157</f>
        <v>1117.2400820775638</v>
      </c>
      <c r="DD70" s="535">
        <f>yrSales!M157</f>
        <v>1178.9376600175801</v>
      </c>
      <c r="DE70" s="535">
        <f>yrSales!N157</f>
        <v>1283.0951993967617</v>
      </c>
      <c r="DF70" s="535">
        <f>yrSales!O157</f>
        <v>1197.4945123432187</v>
      </c>
      <c r="DG70" s="535">
        <f>yrSales!P157</f>
        <v>880.18167432163784</v>
      </c>
      <c r="DH70" s="535">
        <f>yrSales!Q157</f>
        <v>834.52028801228084</v>
      </c>
      <c r="DI70" s="1876">
        <f>yrSales!R157</f>
        <v>897.50724931233742</v>
      </c>
      <c r="DJ70" s="1876">
        <f>yrSales!S157</f>
        <v>896.71678495654692</v>
      </c>
      <c r="DK70" s="1876" t="s">
        <v>538</v>
      </c>
      <c r="DL70" s="1876" t="s">
        <v>538</v>
      </c>
      <c r="DM70" s="1876" t="s">
        <v>538</v>
      </c>
      <c r="DN70" s="1876" t="s">
        <v>538</v>
      </c>
      <c r="DO70" s="1876" t="s">
        <v>538</v>
      </c>
      <c r="DP70" s="1876" t="s">
        <v>538</v>
      </c>
      <c r="DQ70" s="1876" t="s">
        <v>538</v>
      </c>
      <c r="DR70" s="1861" t="s">
        <v>538</v>
      </c>
      <c r="DS70" s="1876" t="s">
        <v>538</v>
      </c>
      <c r="DT70" s="1861" t="s">
        <v>538</v>
      </c>
    </row>
    <row r="71" spans="1:124" hidden="1" outlineLevel="1">
      <c r="A71" s="1749"/>
      <c r="B71" s="181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6"/>
      <c r="AF71" s="236"/>
      <c r="AG71" s="236"/>
      <c r="AH71" s="236"/>
      <c r="AI71" s="1702"/>
      <c r="AJ71" s="1702"/>
      <c r="AK71" s="236"/>
      <c r="AL71" s="236"/>
      <c r="AM71" s="236"/>
      <c r="AN71" s="1702"/>
      <c r="AO71" s="1702"/>
      <c r="AP71" s="236"/>
      <c r="AQ71" s="236"/>
      <c r="AR71" s="236"/>
      <c r="AS71" s="1702"/>
      <c r="AT71" s="1702"/>
      <c r="AU71" s="236"/>
      <c r="AV71" s="1702"/>
      <c r="AW71" s="1702"/>
      <c r="AX71" s="1702"/>
      <c r="AY71" s="1702"/>
      <c r="AZ71" s="236"/>
      <c r="BA71" s="1702"/>
      <c r="BB71" s="1702"/>
      <c r="BC71" s="1702"/>
      <c r="BD71" s="1702"/>
      <c r="BE71" s="236"/>
      <c r="BF71" s="1702"/>
      <c r="BG71" s="1702"/>
      <c r="BH71" s="1702"/>
      <c r="BI71" s="1702"/>
      <c r="BJ71" s="236"/>
      <c r="BK71" s="1859"/>
      <c r="BL71" s="1859"/>
      <c r="BM71" s="1859"/>
      <c r="BN71" s="1859"/>
      <c r="BO71" s="1807"/>
      <c r="BP71" s="1690"/>
      <c r="BQ71" s="1807"/>
      <c r="BR71" s="1807"/>
      <c r="BS71" s="1807"/>
      <c r="BT71" s="154"/>
      <c r="BX71" s="154"/>
      <c r="BY71" s="154"/>
      <c r="BZ71" s="1690"/>
      <c r="CA71" s="154"/>
      <c r="CB71" s="154"/>
      <c r="CC71" s="154"/>
      <c r="CD71" s="154"/>
      <c r="CE71" s="1690"/>
      <c r="CF71" s="154"/>
      <c r="CG71" s="154"/>
      <c r="CH71" s="154"/>
      <c r="CI71" s="154"/>
      <c r="CK71" s="154"/>
      <c r="CL71" s="154"/>
      <c r="CM71" s="154"/>
      <c r="CN71" s="154"/>
      <c r="CO71" s="1731" t="s">
        <v>330</v>
      </c>
      <c r="CP71" s="154"/>
      <c r="CQ71" s="154"/>
      <c r="CR71" s="154"/>
      <c r="CS71" s="1690"/>
      <c r="CT71" s="1690"/>
      <c r="CU71" s="1690"/>
      <c r="CV71" s="1690"/>
      <c r="CW71" s="1690"/>
      <c r="CX71" s="1690"/>
      <c r="CY71" s="1690"/>
      <c r="CZ71" s="1690"/>
      <c r="DA71" s="535">
        <f>yrSales!J158</f>
        <v>1011.3691935323437</v>
      </c>
      <c r="DB71" s="535">
        <f>yrSales!K158</f>
        <v>1195.1770263197006</v>
      </c>
      <c r="DC71" s="535">
        <f>yrSales!L158</f>
        <v>1563.1799377215004</v>
      </c>
      <c r="DD71" s="535">
        <f>yrSales!M158</f>
        <v>1929.3729389251516</v>
      </c>
      <c r="DE71" s="535">
        <f>yrSales!N158</f>
        <v>2424.1997644263338</v>
      </c>
      <c r="DF71" s="535">
        <f>yrSales!O158</f>
        <v>2692.3110731843599</v>
      </c>
      <c r="DG71" s="535">
        <f>yrSales!P158</f>
        <v>2749.5104364379004</v>
      </c>
      <c r="DH71" s="535">
        <f>yrSales!Q158</f>
        <v>2953.3299441249669</v>
      </c>
      <c r="DI71" s="1876">
        <f>yrSales!R158</f>
        <v>3042.8341859452225</v>
      </c>
      <c r="DJ71" s="1876">
        <f>yrSales!S158</f>
        <v>3204.6715420313776</v>
      </c>
      <c r="DK71" s="1876" t="s">
        <v>538</v>
      </c>
      <c r="DL71" s="1876" t="s">
        <v>538</v>
      </c>
      <c r="DM71" s="1876" t="s">
        <v>538</v>
      </c>
      <c r="DN71" s="1876" t="s">
        <v>538</v>
      </c>
      <c r="DO71" s="1876" t="s">
        <v>538</v>
      </c>
      <c r="DP71" s="1876" t="s">
        <v>538</v>
      </c>
      <c r="DQ71" s="1876" t="s">
        <v>538</v>
      </c>
      <c r="DR71" s="1861" t="s">
        <v>538</v>
      </c>
      <c r="DS71" s="1876" t="s">
        <v>538</v>
      </c>
      <c r="DT71" s="1861" t="s">
        <v>538</v>
      </c>
    </row>
    <row r="72" spans="1:124" hidden="1" outlineLevel="1">
      <c r="A72" s="1749"/>
      <c r="B72" s="181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c r="AE72" s="236"/>
      <c r="AF72" s="236"/>
      <c r="AG72" s="236"/>
      <c r="AH72" s="236"/>
      <c r="AI72" s="1702"/>
      <c r="AJ72" s="1702"/>
      <c r="AK72" s="236"/>
      <c r="AL72" s="236"/>
      <c r="AM72" s="236"/>
      <c r="AN72" s="1702"/>
      <c r="AO72" s="1702"/>
      <c r="AP72" s="236"/>
      <c r="AQ72" s="236"/>
      <c r="AR72" s="236"/>
      <c r="AS72" s="1702"/>
      <c r="AT72" s="1702"/>
      <c r="AU72" s="236"/>
      <c r="AV72" s="1702"/>
      <c r="AW72" s="1702"/>
      <c r="AX72" s="1702"/>
      <c r="AY72" s="1702"/>
      <c r="AZ72" s="236"/>
      <c r="BA72" s="1702"/>
      <c r="BB72" s="1702"/>
      <c r="BC72" s="1702"/>
      <c r="BD72" s="1702"/>
      <c r="BE72" s="236"/>
      <c r="BF72" s="1702"/>
      <c r="BG72" s="1702"/>
      <c r="BH72" s="1702"/>
      <c r="BI72" s="1702"/>
      <c r="BJ72" s="236"/>
      <c r="BK72" s="1859"/>
      <c r="BL72" s="1859"/>
      <c r="BM72" s="1859"/>
      <c r="BN72" s="1859"/>
      <c r="BO72" s="1807"/>
      <c r="BP72" s="154"/>
      <c r="BQ72" s="154"/>
      <c r="BR72" s="154"/>
      <c r="BS72" s="154"/>
      <c r="BT72" s="154"/>
      <c r="BU72" s="1692"/>
      <c r="BV72" s="1692"/>
      <c r="BW72" s="1692"/>
      <c r="BX72" s="1692"/>
      <c r="BY72" s="1692"/>
      <c r="BZ72" s="1692"/>
      <c r="CA72" s="1692"/>
      <c r="CB72" s="1692"/>
      <c r="CC72" s="1692"/>
      <c r="CD72" s="1692"/>
      <c r="CE72" s="1690"/>
      <c r="CF72" s="154"/>
      <c r="CG72" s="154"/>
      <c r="CH72" s="154"/>
      <c r="CI72" s="1692"/>
      <c r="CO72" s="2099" t="s">
        <v>328</v>
      </c>
      <c r="CP72" s="2098"/>
      <c r="CQ72" s="2098"/>
      <c r="CR72" s="2098"/>
      <c r="CS72" s="1690"/>
      <c r="CT72" s="1690"/>
      <c r="CU72" s="1690"/>
      <c r="CV72" s="1690"/>
      <c r="CW72" s="1690"/>
      <c r="CX72" s="1690"/>
      <c r="CY72" s="1690"/>
      <c r="CZ72" s="1690"/>
      <c r="DA72" s="2098">
        <f>yrSales!J159</f>
        <v>1984.4211207642131</v>
      </c>
      <c r="DB72" s="2098">
        <f>yrSales!K159</f>
        <v>2509.8834033755697</v>
      </c>
      <c r="DC72" s="2098">
        <f>yrSales!L159</f>
        <v>2650.7334750091668</v>
      </c>
      <c r="DD72" s="2098">
        <f>yrSales!M159</f>
        <v>2362.3636613886811</v>
      </c>
      <c r="DE72" s="2098">
        <f>yrSales!N159</f>
        <v>2322.9845581597078</v>
      </c>
      <c r="DF72" s="2098">
        <f>yrSales!O159</f>
        <v>2472.2540343571059</v>
      </c>
      <c r="DG72" s="2098">
        <f>yrSales!P159</f>
        <v>2450.6264560407531</v>
      </c>
      <c r="DH72" s="2098">
        <f>yrSales!Q159</f>
        <v>2488.3727819415235</v>
      </c>
      <c r="DI72" s="1876">
        <f>yrSales!R159</f>
        <v>2512.2973185618193</v>
      </c>
      <c r="DJ72" s="1876">
        <f>yrSales!S159</f>
        <v>2613.1340743373207</v>
      </c>
      <c r="DK72" s="1876">
        <f>yrSales!T159</f>
        <v>2170.9929086964453</v>
      </c>
      <c r="DL72" s="1876" t="s">
        <v>538</v>
      </c>
      <c r="DM72" s="1876" t="s">
        <v>538</v>
      </c>
      <c r="DN72" s="1876" t="s">
        <v>538</v>
      </c>
      <c r="DO72" s="1876" t="s">
        <v>538</v>
      </c>
      <c r="DP72" s="1876" t="s">
        <v>538</v>
      </c>
      <c r="DQ72" s="1876" t="s">
        <v>538</v>
      </c>
      <c r="DR72" s="1861" t="s">
        <v>538</v>
      </c>
      <c r="DS72" s="1877" t="s">
        <v>538</v>
      </c>
      <c r="DT72" s="1863" t="s">
        <v>538</v>
      </c>
    </row>
    <row r="73" spans="1:124" collapsed="1">
      <c r="A73" s="1749"/>
      <c r="B73" s="181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c r="AE73" s="236"/>
      <c r="AF73" s="236"/>
      <c r="AG73" s="236"/>
      <c r="AH73" s="236"/>
      <c r="AI73" s="1702"/>
      <c r="AJ73" s="1702"/>
      <c r="AK73" s="236"/>
      <c r="AL73" s="236"/>
      <c r="AM73" s="236"/>
      <c r="AN73" s="1702"/>
      <c r="AO73" s="1702"/>
      <c r="AP73" s="236"/>
      <c r="AQ73" s="236"/>
      <c r="AR73" s="236"/>
      <c r="AS73" s="1702"/>
      <c r="AT73" s="1702"/>
      <c r="AU73" s="236"/>
      <c r="AV73" s="1702"/>
      <c r="AW73" s="1702"/>
      <c r="AX73" s="1702"/>
      <c r="AY73" s="1702"/>
      <c r="AZ73" s="236"/>
      <c r="BA73" s="1702"/>
      <c r="BB73" s="1702"/>
      <c r="BC73" s="1702"/>
      <c r="BD73" s="1702"/>
      <c r="BE73" s="236"/>
      <c r="BF73" s="1702"/>
      <c r="BG73" s="1702"/>
      <c r="BH73" s="1702"/>
      <c r="BI73" s="1702"/>
      <c r="BJ73" s="236"/>
      <c r="BK73" s="1859"/>
      <c r="BL73" s="1859"/>
      <c r="BM73" s="1859"/>
      <c r="BN73" s="1859"/>
      <c r="BO73" s="1807"/>
      <c r="BP73" s="154"/>
      <c r="BQ73" s="154"/>
      <c r="BR73" s="154"/>
      <c r="BS73" s="154"/>
      <c r="BT73" s="154"/>
      <c r="BU73" s="1692"/>
      <c r="BV73" s="1692"/>
      <c r="BW73" s="1692"/>
      <c r="BX73" s="1692"/>
      <c r="BY73" s="1692"/>
      <c r="BZ73" s="1692"/>
      <c r="CA73" s="1692"/>
      <c r="CB73" s="1692"/>
      <c r="CC73" s="1692"/>
      <c r="CD73" s="1692"/>
      <c r="CE73" s="1690"/>
      <c r="CF73" s="154"/>
      <c r="CG73" s="154"/>
      <c r="CH73" s="154"/>
      <c r="CI73" s="1692"/>
      <c r="CO73" s="2100" t="s">
        <v>882</v>
      </c>
      <c r="CP73" s="2098"/>
      <c r="CQ73" s="2098"/>
      <c r="CR73" s="2098"/>
      <c r="CS73" s="1690"/>
      <c r="CT73" s="1690"/>
      <c r="CU73" s="1690"/>
      <c r="CV73" s="1690"/>
      <c r="CW73" s="1690"/>
      <c r="CX73" s="1690"/>
      <c r="CY73" s="1690"/>
      <c r="CZ73" s="1690"/>
      <c r="DA73" s="2098"/>
      <c r="DB73" s="2098"/>
      <c r="DC73" s="2098"/>
      <c r="DD73" s="2098"/>
      <c r="DE73" s="2098"/>
      <c r="DF73" s="2098"/>
      <c r="DG73" s="2098"/>
      <c r="DH73" s="2098"/>
      <c r="DI73" s="1823">
        <f>yrSales!R224</f>
        <v>79</v>
      </c>
      <c r="DJ73" s="1823">
        <f>yrSales!S224</f>
        <v>153</v>
      </c>
      <c r="DK73" s="1823">
        <f>yrSales!T224</f>
        <v>212</v>
      </c>
      <c r="DL73" s="1823">
        <f>yrSales!U224</f>
        <v>212</v>
      </c>
      <c r="DM73" s="1823">
        <f>yrSales!V224</f>
        <v>250</v>
      </c>
      <c r="DN73" s="1823">
        <f>yrSales!W224</f>
        <v>267</v>
      </c>
      <c r="DO73" s="1823">
        <f>yrSales!X224</f>
        <v>275</v>
      </c>
      <c r="DP73" s="1823">
        <f>yrSales!Y224</f>
        <v>298</v>
      </c>
      <c r="DQ73" s="1823">
        <f>yrSales!Z224</f>
        <v>321</v>
      </c>
      <c r="DR73" s="1824">
        <f>yrSales!AA224</f>
        <v>344</v>
      </c>
      <c r="DS73" s="1823">
        <f>yrSales!AB224</f>
        <v>367</v>
      </c>
      <c r="DT73" s="1823">
        <f>yrSales!AC224</f>
        <v>390</v>
      </c>
    </row>
    <row r="74" spans="1:124">
      <c r="A74" s="1749"/>
      <c r="B74" s="181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c r="AE74" s="236"/>
      <c r="AF74" s="236"/>
      <c r="AG74" s="236"/>
      <c r="AH74" s="236"/>
      <c r="AI74" s="1702"/>
      <c r="AJ74" s="1702"/>
      <c r="AK74" s="236"/>
      <c r="AL74" s="236"/>
      <c r="AM74" s="236"/>
      <c r="AN74" s="1702"/>
      <c r="AO74" s="1702"/>
      <c r="AP74" s="236"/>
      <c r="AQ74" s="236"/>
      <c r="AR74" s="236"/>
      <c r="AS74" s="1702"/>
      <c r="AT74" s="1702"/>
      <c r="AU74" s="236"/>
      <c r="AV74" s="1702"/>
      <c r="AW74" s="1702"/>
      <c r="AX74" s="1702"/>
      <c r="AY74" s="1702"/>
      <c r="AZ74" s="236"/>
      <c r="BA74" s="1702"/>
      <c r="BB74" s="1702"/>
      <c r="BC74" s="1702"/>
      <c r="BD74" s="1702"/>
      <c r="BE74" s="236"/>
      <c r="BF74" s="1702"/>
      <c r="BG74" s="1702"/>
      <c r="BH74" s="1702"/>
      <c r="BI74" s="1702"/>
      <c r="BJ74" s="236"/>
      <c r="BK74" s="1859"/>
      <c r="BL74" s="1859"/>
      <c r="BM74" s="1859"/>
      <c r="BN74" s="1859"/>
      <c r="BO74" s="1807"/>
      <c r="BP74" s="154"/>
      <c r="BQ74" s="154"/>
      <c r="BR74" s="154"/>
      <c r="BS74" s="154"/>
      <c r="BT74" s="154"/>
      <c r="BU74" s="1692"/>
      <c r="BV74" s="1692"/>
      <c r="BW74" s="1692"/>
      <c r="BX74" s="1692"/>
      <c r="BY74" s="1692"/>
      <c r="BZ74" s="1692"/>
      <c r="CA74" s="1692"/>
      <c r="CB74" s="1692"/>
      <c r="CC74" s="1692"/>
      <c r="CD74" s="1692"/>
      <c r="CE74" s="1690"/>
      <c r="CF74" s="154"/>
      <c r="CG74" s="154"/>
      <c r="CH74" s="154"/>
      <c r="CI74" s="1692"/>
      <c r="CO74" s="2100" t="s">
        <v>869</v>
      </c>
      <c r="CP74" s="2098"/>
      <c r="CQ74" s="2098"/>
      <c r="CR74" s="2098"/>
      <c r="CS74" s="1690"/>
      <c r="CT74" s="1690"/>
      <c r="CU74" s="1690"/>
      <c r="CV74" s="1690"/>
      <c r="CW74" s="1690"/>
      <c r="CX74" s="1690"/>
      <c r="CY74" s="1690"/>
      <c r="CZ74" s="1690"/>
      <c r="DA74" s="2098"/>
      <c r="DB74" s="2098"/>
      <c r="DC74" s="2098"/>
      <c r="DD74" s="2098"/>
      <c r="DE74" s="2098"/>
      <c r="DF74" s="2098"/>
      <c r="DG74" s="2098"/>
      <c r="DH74" s="2098"/>
      <c r="DI74" s="1876"/>
      <c r="DJ74" s="1876"/>
      <c r="DK74" s="1876"/>
      <c r="DL74" s="1823"/>
      <c r="DM74" s="1823">
        <f>yrSales!V226</f>
        <v>97</v>
      </c>
      <c r="DN74" s="1823">
        <f>yrSales!W226</f>
        <v>108</v>
      </c>
      <c r="DO74" s="1823">
        <f>yrSales!X226</f>
        <v>109</v>
      </c>
      <c r="DP74" s="1823">
        <f>yrSales!Y226</f>
        <v>110</v>
      </c>
      <c r="DQ74" s="1823">
        <f>yrSales!Z226</f>
        <v>111</v>
      </c>
      <c r="DR74" s="1824">
        <f>yrSales!AA226</f>
        <v>112</v>
      </c>
      <c r="DS74" s="1823">
        <f>yrSales!AB226</f>
        <v>113</v>
      </c>
      <c r="DT74" s="1823">
        <f>yrSales!AC226</f>
        <v>114</v>
      </c>
    </row>
    <row r="75" spans="1:124">
      <c r="A75" s="1749"/>
      <c r="B75" s="181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c r="AE75" s="236"/>
      <c r="AF75" s="236"/>
      <c r="AG75" s="236"/>
      <c r="AH75" s="236"/>
      <c r="AI75" s="1702"/>
      <c r="AJ75" s="1702"/>
      <c r="AK75" s="236"/>
      <c r="AL75" s="236"/>
      <c r="AM75" s="236"/>
      <c r="AN75" s="1702"/>
      <c r="AO75" s="1702"/>
      <c r="AP75" s="236"/>
      <c r="AQ75" s="236"/>
      <c r="AR75" s="236"/>
      <c r="AS75" s="1702"/>
      <c r="AT75" s="1702"/>
      <c r="AU75" s="236"/>
      <c r="AV75" s="1702"/>
      <c r="AW75" s="1702"/>
      <c r="AX75" s="1702"/>
      <c r="AY75" s="1702"/>
      <c r="AZ75" s="236"/>
      <c r="BA75" s="1702"/>
      <c r="BB75" s="1702"/>
      <c r="BC75" s="1702"/>
      <c r="BD75" s="1702"/>
      <c r="BE75" s="236"/>
      <c r="BF75" s="1702"/>
      <c r="BG75" s="1702"/>
      <c r="BH75" s="1702"/>
      <c r="BI75" s="1702"/>
      <c r="BJ75" s="236"/>
      <c r="BK75" s="1859"/>
      <c r="BL75" s="1859"/>
      <c r="BM75" s="1859"/>
      <c r="BN75" s="1859"/>
      <c r="BO75" s="1807"/>
      <c r="BP75" s="154"/>
      <c r="BQ75" s="154"/>
      <c r="BR75" s="154"/>
      <c r="BS75" s="154"/>
      <c r="BT75" s="154"/>
      <c r="BU75" s="1692"/>
      <c r="BV75" s="1692"/>
      <c r="BW75" s="1692"/>
      <c r="BX75" s="1692"/>
      <c r="BY75" s="1692"/>
      <c r="BZ75" s="1692"/>
      <c r="CA75" s="1692"/>
      <c r="CB75" s="1692"/>
      <c r="CC75" s="1692"/>
      <c r="CD75" s="1692"/>
      <c r="CE75" s="1690"/>
      <c r="CF75" s="154"/>
      <c r="CG75" s="154"/>
      <c r="CH75" s="154"/>
      <c r="CI75" s="1692"/>
      <c r="CO75" s="2100" t="s">
        <v>881</v>
      </c>
      <c r="CP75" s="2098"/>
      <c r="CQ75" s="2098"/>
      <c r="CR75" s="2098"/>
      <c r="CS75" s="1690"/>
      <c r="CT75" s="1690"/>
      <c r="CU75" s="1690"/>
      <c r="CV75" s="1690"/>
      <c r="CW75" s="1690"/>
      <c r="CX75" s="1690"/>
      <c r="CY75" s="1690"/>
      <c r="CZ75" s="1690"/>
      <c r="DA75" s="2098"/>
      <c r="DB75" s="2098"/>
      <c r="DC75" s="2098"/>
      <c r="DD75" s="2098"/>
      <c r="DE75" s="2098"/>
      <c r="DF75" s="2098"/>
      <c r="DG75" s="2098"/>
      <c r="DH75" s="2098"/>
      <c r="DI75" s="1876"/>
      <c r="DJ75" s="1876"/>
      <c r="DK75" s="1876"/>
      <c r="DL75" s="1823"/>
      <c r="DM75" s="1823">
        <f>yrSales!V227</f>
        <v>62</v>
      </c>
      <c r="DN75" s="1823">
        <f>yrSales!W227</f>
        <v>65</v>
      </c>
      <c r="DO75" s="1823">
        <f>yrSales!X227</f>
        <v>68</v>
      </c>
      <c r="DP75" s="1823">
        <f>yrSales!Y227</f>
        <v>88</v>
      </c>
      <c r="DQ75" s="1823">
        <f>yrSales!Z227</f>
        <v>108</v>
      </c>
      <c r="DR75" s="1824">
        <f>yrSales!AA227</f>
        <v>128</v>
      </c>
      <c r="DS75" s="1823">
        <f>yrSales!AB227</f>
        <v>148</v>
      </c>
      <c r="DT75" s="1823">
        <f>yrSales!AC227</f>
        <v>168</v>
      </c>
    </row>
    <row r="76" spans="1:124">
      <c r="A76" s="1749"/>
      <c r="B76" s="181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1702"/>
      <c r="AJ76" s="1702"/>
      <c r="AK76" s="236"/>
      <c r="AL76" s="236"/>
      <c r="AM76" s="236"/>
      <c r="AN76" s="1702"/>
      <c r="AO76" s="1702"/>
      <c r="AP76" s="236"/>
      <c r="AQ76" s="236"/>
      <c r="AR76" s="236"/>
      <c r="AS76" s="1702"/>
      <c r="AT76" s="1702"/>
      <c r="AU76" s="236"/>
      <c r="AV76" s="1702"/>
      <c r="AW76" s="1702"/>
      <c r="AX76" s="1702"/>
      <c r="AY76" s="1702"/>
      <c r="AZ76" s="236"/>
      <c r="BA76" s="1702"/>
      <c r="BB76" s="1702"/>
      <c r="BC76" s="1702"/>
      <c r="BD76" s="1702"/>
      <c r="BE76" s="236"/>
      <c r="BF76" s="1702"/>
      <c r="BG76" s="1702"/>
      <c r="BH76" s="1702"/>
      <c r="BI76" s="1702"/>
      <c r="BJ76" s="236"/>
      <c r="BK76" s="1859"/>
      <c r="BL76" s="1859"/>
      <c r="BM76" s="1859"/>
      <c r="BN76" s="1859"/>
      <c r="BO76" s="1807"/>
      <c r="BP76" s="154"/>
      <c r="BQ76" s="154"/>
      <c r="BR76" s="154"/>
      <c r="BS76" s="154"/>
      <c r="BT76" s="154"/>
      <c r="BU76" s="1692"/>
      <c r="BV76" s="1692"/>
      <c r="BW76" s="1692"/>
      <c r="BX76" s="1692"/>
      <c r="BY76" s="1692"/>
      <c r="BZ76" s="1692"/>
      <c r="CA76" s="1692"/>
      <c r="CB76" s="1692"/>
      <c r="CC76" s="1692"/>
      <c r="CD76" s="1692"/>
      <c r="CE76" s="1690"/>
      <c r="CF76" s="154"/>
      <c r="CG76" s="154"/>
      <c r="CH76" s="154"/>
      <c r="CI76" s="1692"/>
      <c r="CO76" s="2100" t="s">
        <v>879</v>
      </c>
      <c r="CP76" s="2098"/>
      <c r="CQ76" s="2098"/>
      <c r="CR76" s="2098"/>
      <c r="CS76" s="1690"/>
      <c r="CT76" s="1690"/>
      <c r="CU76" s="1690"/>
      <c r="CV76" s="1690"/>
      <c r="CW76" s="1690"/>
      <c r="CX76" s="1690"/>
      <c r="CY76" s="1690"/>
      <c r="CZ76" s="1690"/>
      <c r="DA76" s="2098"/>
      <c r="DB76" s="2098"/>
      <c r="DC76" s="2098"/>
      <c r="DD76" s="2098"/>
      <c r="DE76" s="2098"/>
      <c r="DF76" s="2098"/>
      <c r="DG76" s="2098"/>
      <c r="DH76" s="2098"/>
      <c r="DI76" s="1876"/>
      <c r="DJ76" s="1876"/>
      <c r="DK76" s="1876"/>
      <c r="DL76" s="1823"/>
      <c r="DM76" s="1823">
        <f>yrSales!V228</f>
        <v>78</v>
      </c>
      <c r="DN76" s="1823">
        <f>yrSales!W228</f>
        <v>80</v>
      </c>
      <c r="DO76" s="1823">
        <f>yrSales!X228</f>
        <v>80</v>
      </c>
      <c r="DP76" s="1823">
        <f>yrSales!Y228</f>
        <v>81</v>
      </c>
      <c r="DQ76" s="1823">
        <f>yrSales!Z228</f>
        <v>82</v>
      </c>
      <c r="DR76" s="1824">
        <f>yrSales!AA228</f>
        <v>83</v>
      </c>
      <c r="DS76" s="1823">
        <f>yrSales!AB228</f>
        <v>84</v>
      </c>
      <c r="DT76" s="1823">
        <f>yrSales!AC228</f>
        <v>85</v>
      </c>
    </row>
    <row r="77" spans="1:124">
      <c r="A77" s="1749"/>
      <c r="B77" s="181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c r="AH77" s="236"/>
      <c r="AI77" s="1702"/>
      <c r="AJ77" s="1702"/>
      <c r="AK77" s="236"/>
      <c r="AL77" s="236"/>
      <c r="AM77" s="236"/>
      <c r="AN77" s="1702"/>
      <c r="AO77" s="1702"/>
      <c r="AP77" s="236"/>
      <c r="AQ77" s="236"/>
      <c r="AR77" s="236"/>
      <c r="AS77" s="1702"/>
      <c r="AT77" s="1702"/>
      <c r="AU77" s="236"/>
      <c r="AV77" s="1702"/>
      <c r="AW77" s="1702"/>
      <c r="AX77" s="1702"/>
      <c r="AY77" s="1702"/>
      <c r="AZ77" s="236"/>
      <c r="BA77" s="1702"/>
      <c r="BB77" s="1702"/>
      <c r="BC77" s="1702"/>
      <c r="BD77" s="1702"/>
      <c r="BE77" s="236"/>
      <c r="BF77" s="1702"/>
      <c r="BG77" s="1702"/>
      <c r="BH77" s="1702"/>
      <c r="BI77" s="1702"/>
      <c r="BJ77" s="236"/>
      <c r="BK77" s="1859"/>
      <c r="BL77" s="1859"/>
      <c r="BM77" s="1859"/>
      <c r="BN77" s="1859"/>
      <c r="BO77" s="1807"/>
      <c r="BP77" s="154"/>
      <c r="BQ77" s="154"/>
      <c r="BR77" s="154"/>
      <c r="BS77" s="154"/>
      <c r="BT77" s="154"/>
      <c r="BU77" s="1692"/>
      <c r="BV77" s="1692"/>
      <c r="BW77" s="1692"/>
      <c r="BX77" s="1692"/>
      <c r="BY77" s="1692"/>
      <c r="BZ77" s="1692"/>
      <c r="CA77" s="1692"/>
      <c r="CB77" s="1692"/>
      <c r="CC77" s="1692"/>
      <c r="CD77" s="1692"/>
      <c r="CE77" s="1690"/>
      <c r="CF77" s="154"/>
      <c r="CG77" s="154"/>
      <c r="CH77" s="154"/>
      <c r="CI77" s="1692"/>
      <c r="CO77" s="2101" t="s">
        <v>880</v>
      </c>
      <c r="CP77" s="1862"/>
      <c r="CQ77" s="1862"/>
      <c r="CR77" s="1862"/>
      <c r="CS77" s="1689"/>
      <c r="CT77" s="1689"/>
      <c r="CU77" s="1689"/>
      <c r="CV77" s="1689"/>
      <c r="CW77" s="1689"/>
      <c r="CX77" s="1689"/>
      <c r="CY77" s="1689"/>
      <c r="CZ77" s="1689"/>
      <c r="DA77" s="1862"/>
      <c r="DB77" s="1862"/>
      <c r="DC77" s="1862"/>
      <c r="DD77" s="1862"/>
      <c r="DE77" s="1862"/>
      <c r="DF77" s="1862"/>
      <c r="DG77" s="1862"/>
      <c r="DH77" s="1862"/>
      <c r="DI77" s="1877"/>
      <c r="DJ77" s="1877"/>
      <c r="DK77" s="1877"/>
      <c r="DL77" s="2102"/>
      <c r="DM77" s="2102">
        <f>yrSales!V229</f>
        <v>13</v>
      </c>
      <c r="DN77" s="2102">
        <f>yrSales!W229</f>
        <v>14</v>
      </c>
      <c r="DO77" s="2102">
        <f>yrSales!X229</f>
        <v>13</v>
      </c>
      <c r="DP77" s="2102">
        <f>yrSales!Y229</f>
        <v>14</v>
      </c>
      <c r="DQ77" s="2102">
        <f>yrSales!Z229</f>
        <v>15</v>
      </c>
      <c r="DR77" s="2127">
        <f>yrSales!AA229</f>
        <v>16</v>
      </c>
      <c r="DS77" s="2102">
        <f>yrSales!AB229</f>
        <v>17</v>
      </c>
      <c r="DT77" s="2102">
        <f>yrSales!AC229</f>
        <v>18</v>
      </c>
    </row>
    <row r="78" spans="1:124">
      <c r="A78" s="1749"/>
      <c r="B78" s="181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c r="AE78" s="236"/>
      <c r="AF78" s="236"/>
      <c r="AG78" s="236"/>
      <c r="AH78" s="236"/>
      <c r="AI78" s="1702"/>
      <c r="AJ78" s="1702"/>
      <c r="AK78" s="236"/>
      <c r="AL78" s="236"/>
      <c r="AM78" s="236"/>
      <c r="AN78" s="1702"/>
      <c r="AO78" s="1702"/>
      <c r="AP78" s="236"/>
      <c r="AQ78" s="236"/>
      <c r="AR78" s="236"/>
      <c r="AS78" s="1702"/>
      <c r="AT78" s="1702"/>
      <c r="AU78" s="236"/>
      <c r="AV78" s="1702"/>
      <c r="AW78" s="1702"/>
      <c r="AX78" s="1702"/>
      <c r="AY78" s="1702"/>
      <c r="AZ78" s="236"/>
      <c r="BA78" s="1702"/>
      <c r="BB78" s="1702"/>
      <c r="BC78" s="1702"/>
      <c r="BD78" s="1702"/>
      <c r="BE78" s="236"/>
      <c r="BF78" s="1702"/>
      <c r="BG78" s="1702"/>
      <c r="BH78" s="1702"/>
      <c r="BI78" s="1702"/>
      <c r="BJ78" s="236"/>
      <c r="BK78" s="1859"/>
      <c r="BL78" s="1859"/>
      <c r="BM78" s="1859"/>
      <c r="BN78" s="1859"/>
      <c r="BO78" s="1807"/>
      <c r="BP78" s="154"/>
      <c r="BQ78" s="154"/>
      <c r="BR78" s="154"/>
      <c r="BS78" s="154"/>
      <c r="BT78" s="154"/>
      <c r="BU78" s="1692"/>
      <c r="BV78" s="1692"/>
      <c r="BW78" s="1692"/>
      <c r="BX78" s="1692"/>
      <c r="BY78" s="1692"/>
      <c r="BZ78" s="1692"/>
      <c r="CA78" s="1692"/>
      <c r="CB78" s="1692"/>
      <c r="CC78" s="1692"/>
      <c r="CD78" s="1692"/>
      <c r="CE78" s="1690"/>
      <c r="CF78" s="154"/>
      <c r="CG78" s="154"/>
      <c r="CH78" s="154"/>
      <c r="CI78" s="1692"/>
      <c r="CO78" s="2098"/>
      <c r="CP78" s="2098"/>
      <c r="CQ78" s="2098"/>
      <c r="CR78" s="2098"/>
      <c r="CS78" s="1690"/>
      <c r="CT78" s="1690"/>
      <c r="CU78" s="1690"/>
      <c r="CV78" s="1690"/>
      <c r="CW78" s="1690"/>
      <c r="CX78" s="1690"/>
      <c r="CY78" s="1690"/>
      <c r="CZ78" s="1690"/>
      <c r="DA78" s="2098"/>
      <c r="DB78" s="2098"/>
      <c r="DC78" s="2098"/>
      <c r="DD78" s="2098"/>
      <c r="DE78" s="2098"/>
      <c r="DF78" s="2098"/>
      <c r="DG78" s="2098"/>
      <c r="DH78" s="2098"/>
      <c r="DI78" s="1876"/>
      <c r="DJ78" s="1876"/>
      <c r="DK78" s="1876"/>
      <c r="DL78" s="1876"/>
      <c r="DM78" s="1876"/>
      <c r="DN78" s="1876"/>
      <c r="DO78" s="1876"/>
      <c r="DP78" s="1876"/>
      <c r="DQ78" s="1876"/>
      <c r="DR78" s="1876"/>
      <c r="DS78" s="1876"/>
      <c r="DT78" s="1876"/>
    </row>
    <row r="79" spans="1:124">
      <c r="A79" s="1864"/>
      <c r="B79" s="182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c r="AE79" s="236"/>
      <c r="AF79" s="236"/>
      <c r="AG79" s="236"/>
      <c r="AH79" s="236"/>
      <c r="AI79" s="236"/>
      <c r="AJ79" s="236"/>
      <c r="AK79" s="236"/>
      <c r="AL79" s="236"/>
      <c r="AM79" s="236"/>
      <c r="AN79" s="236"/>
      <c r="AO79" s="236"/>
      <c r="AP79" s="236"/>
      <c r="AQ79" s="236"/>
      <c r="AR79" s="236"/>
      <c r="AS79" s="236"/>
      <c r="AT79" s="236"/>
      <c r="AU79" s="236"/>
      <c r="AV79" s="236"/>
      <c r="AW79" s="236"/>
      <c r="AX79" s="236"/>
      <c r="AY79" s="236"/>
      <c r="AZ79" s="236"/>
      <c r="BA79" s="236"/>
      <c r="BB79" s="236"/>
      <c r="BC79" s="236"/>
      <c r="BD79" s="236"/>
      <c r="BE79" s="236"/>
      <c r="BF79" s="236"/>
      <c r="BG79" s="236"/>
      <c r="BH79" s="236"/>
      <c r="BI79" s="236"/>
      <c r="BJ79" s="236"/>
      <c r="BK79" s="1702"/>
      <c r="BL79" s="1702"/>
      <c r="BM79" s="1702"/>
      <c r="BN79" s="1702"/>
      <c r="BO79" s="1807"/>
      <c r="BP79" s="154"/>
      <c r="BQ79" s="154"/>
      <c r="BR79" s="154"/>
      <c r="BS79" s="154"/>
      <c r="BT79" s="154"/>
      <c r="BU79" s="1692"/>
      <c r="BV79" s="1692"/>
      <c r="BW79" s="1692"/>
      <c r="BX79" s="1692"/>
      <c r="BY79" s="1692"/>
      <c r="BZ79" s="1692"/>
      <c r="CA79" s="1692"/>
      <c r="CB79" s="1692"/>
      <c r="CC79" s="1692"/>
      <c r="CD79" s="1692"/>
      <c r="CE79" s="1692"/>
      <c r="CF79" s="1692"/>
      <c r="CG79" s="1692"/>
      <c r="CH79" s="1692"/>
      <c r="CI79" s="1692"/>
      <c r="CJ79" s="1692"/>
      <c r="CK79" s="1692"/>
      <c r="CL79" s="1692"/>
      <c r="CM79" s="1692"/>
      <c r="CN79" s="1692"/>
      <c r="CO79" s="1692"/>
      <c r="CP79" s="1692"/>
      <c r="CQ79" s="1692"/>
      <c r="CR79" s="1692"/>
      <c r="CS79" s="1692"/>
      <c r="CT79" s="1692"/>
      <c r="CU79" s="1692"/>
      <c r="CV79" s="1692"/>
      <c r="CW79" s="1692"/>
      <c r="CX79" s="1692"/>
      <c r="CY79" s="1692"/>
      <c r="CZ79" s="1692"/>
      <c r="DA79" s="1692"/>
      <c r="DB79" s="1692"/>
      <c r="DC79" s="1692"/>
      <c r="DD79" s="1692"/>
      <c r="DE79" s="1692"/>
      <c r="DF79" s="1692"/>
      <c r="DG79" s="1692"/>
      <c r="DH79" s="1692"/>
      <c r="DI79" s="1692"/>
      <c r="DJ79" s="1692"/>
      <c r="DK79" s="1692"/>
      <c r="DL79" s="2124"/>
      <c r="DM79" s="2124"/>
      <c r="DN79" s="2124"/>
      <c r="DO79" s="2124"/>
      <c r="DP79" s="2124"/>
      <c r="DQ79" s="2124"/>
      <c r="DR79" s="2124"/>
      <c r="DS79" s="2124">
        <f>SUM(DS74:DS77)</f>
        <v>362</v>
      </c>
      <c r="DT79" s="2124">
        <f>SUM(DT74:DT77)</f>
        <v>385</v>
      </c>
    </row>
    <row r="80" spans="1:124" hidden="1" outlineLevel="1">
      <c r="A80" s="271" t="s">
        <v>641</v>
      </c>
      <c r="B80" s="1865"/>
      <c r="C80" s="271">
        <f>+CoachNAqtrSalesOld!$AG47</f>
        <v>0</v>
      </c>
      <c r="D80" s="271">
        <f>+CoachNAqtrSalesOld!$AG48</f>
        <v>0</v>
      </c>
      <c r="E80" s="271">
        <f>+CoachNAqtrSalesOld!$AG49</f>
        <v>0</v>
      </c>
      <c r="F80" s="271">
        <f>+CoachNAqtrSalesOld!$AG50</f>
        <v>0.391569</v>
      </c>
      <c r="G80" s="271"/>
      <c r="H80" s="271">
        <f>+CoachNAqtrSalesOld!$AG54</f>
        <v>0</v>
      </c>
      <c r="I80" s="271">
        <f>+CoachNAqtrSalesOld!$AG55</f>
        <v>0</v>
      </c>
      <c r="J80" s="271">
        <f>+CoachNAqtrSalesOld!$AG56</f>
        <v>0</v>
      </c>
      <c r="K80" s="271">
        <f>+CoachNAqtrSalesOld!$AG57</f>
        <v>0.45006000000000002</v>
      </c>
      <c r="L80" s="271"/>
      <c r="M80" s="271">
        <f>+CoachNAqtrSalesOld!$AG61</f>
        <v>0</v>
      </c>
      <c r="N80" s="271">
        <f>+CoachNAqtrSalesOld!$AG62</f>
        <v>0</v>
      </c>
      <c r="O80" s="271">
        <f>+CoachNAqtrSalesOld!$AG63</f>
        <v>0</v>
      </c>
      <c r="P80" s="271">
        <f>+CoachNAqtrSalesOld!$AG64</f>
        <v>0.52100800000000003</v>
      </c>
      <c r="Q80" s="271"/>
      <c r="R80" s="271">
        <f>+CoachNAqtrSalesOld!$AG68</f>
        <v>0</v>
      </c>
      <c r="S80" s="271">
        <f>+CoachNAqtrSalesOld!$AG69</f>
        <v>0</v>
      </c>
      <c r="T80" s="271">
        <f>+CoachNAqtrSalesOld!$AG70</f>
        <v>0</v>
      </c>
      <c r="U80" s="271">
        <f>+CoachNAqtrSalesOld!$AG71</f>
        <v>0.59620800000000007</v>
      </c>
      <c r="V80" s="271"/>
      <c r="W80" s="271">
        <f>+CoachNAqtrSalesOld!$AG75</f>
        <v>0</v>
      </c>
      <c r="X80" s="271">
        <f>+CoachNAqtrSalesOld!$AG76</f>
        <v>0</v>
      </c>
      <c r="Y80" s="271">
        <f>+CoachNAqtrSalesOld!$AG77</f>
        <v>0</v>
      </c>
      <c r="Z80" s="271">
        <f>+CoachNAqtrSalesOld!$AG78</f>
        <v>0.66297200000000001</v>
      </c>
      <c r="AA80" s="271"/>
      <c r="AB80" s="271">
        <f>+CoachNAqtrSalesOld!$AG82</f>
        <v>0.81619386666666671</v>
      </c>
      <c r="AC80" s="271">
        <f>+CoachNAqtrSalesOld!$AG83</f>
        <v>0.85122833333333336</v>
      </c>
      <c r="AD80" s="271">
        <f>+CoachNAqtrSalesOld!$AG84</f>
        <v>0.8343104377124817</v>
      </c>
      <c r="AE80" s="271">
        <f>+CoachNAqtrSalesOld!$AG85</f>
        <v>0.90483599999999997</v>
      </c>
      <c r="AF80" s="271"/>
      <c r="AG80" s="271">
        <f>+CoachNAqtrSalesOld!$AG89</f>
        <v>0.94541846666666673</v>
      </c>
      <c r="AH80" s="271">
        <f>+CoachNAqtrSalesOld!$AG90</f>
        <v>0.96987020000000013</v>
      </c>
      <c r="AI80" s="271">
        <f>+CoachNAqtrSalesOld!$AG91</f>
        <v>0.96211000000000002</v>
      </c>
      <c r="AJ80" s="271">
        <f>+CoachNAqtrSalesOld!$AG92</f>
        <v>1.0387150000000001</v>
      </c>
      <c r="AK80" s="271"/>
      <c r="AL80" s="271">
        <f>+CoachNAqtrSalesOld!$AG96</f>
        <v>1.0945539333333334</v>
      </c>
      <c r="AM80" s="271">
        <f>+CoachNAqtrSalesOld!$AG97</f>
        <v>1.1286338</v>
      </c>
      <c r="AN80" s="271">
        <f>+CoachNAqtrSalesOld!$AG98</f>
        <v>1.1707726000000001</v>
      </c>
      <c r="AO80" s="271">
        <f>+CoachNAqtrSalesOld!$AG99</f>
        <v>1.2239710000000001</v>
      </c>
      <c r="AP80" s="271"/>
      <c r="AQ80" s="271">
        <f>+CoachNAqtrSalesOld!$AG103</f>
        <v>1.2943119473684213</v>
      </c>
      <c r="AR80" s="271">
        <f>+CoachNAqtrSalesOld!$AG104</f>
        <v>1.3567773684210527</v>
      </c>
      <c r="AS80" s="271">
        <f>+CoachNAqtrSalesOld!$AG105</f>
        <v>1.3833833684210526</v>
      </c>
      <c r="AT80" s="271">
        <f>+CoachNAqtrSalesOld!$AG106</f>
        <v>1.4686079999999999</v>
      </c>
      <c r="AU80" s="271"/>
      <c r="AV80" s="271">
        <f>+CoachNAqtrSalesOld!$AG110</f>
        <v>1.5511079999999999</v>
      </c>
      <c r="AW80" s="271">
        <f>+CoachNAqtrSalesOld!$AG111</f>
        <v>1.5858939999999999</v>
      </c>
      <c r="AX80" s="271">
        <f>+CoachNAqtrSalesOld!$AG112</f>
        <v>1.6058959999999998</v>
      </c>
      <c r="AY80" s="271">
        <f>+CoachNAqtrSalesOld!$AG113</f>
        <v>1.7038599999999999</v>
      </c>
      <c r="AZ80" s="271"/>
      <c r="BA80" s="271">
        <f>+CoachNAqtrSalesOld!$AG117</f>
        <v>1.7863189999999998</v>
      </c>
      <c r="BB80" s="271">
        <f>+CoachNAqtrSalesOld!$AG118</f>
        <v>1.8187010000000001</v>
      </c>
      <c r="BC80" s="271">
        <f>+CoachNAqtrSalesOld!$AG119</f>
        <v>1.829812</v>
      </c>
      <c r="BD80" s="271">
        <f>+CoachNAqtrSalesOld!$AG120</f>
        <v>1.850705</v>
      </c>
      <c r="BE80" s="271"/>
      <c r="BF80" s="271">
        <f>+CoachNAqtrSalesOld!$AG124</f>
        <v>1.9168759999999998</v>
      </c>
      <c r="BG80" s="271">
        <f>+CoachNAqtrSalesOld!$AG125</f>
        <v>1.9374879999999997</v>
      </c>
      <c r="BH80" s="271">
        <f>+CoachNAqtrSalesOld!$AG126</f>
        <v>1.9616709999999997</v>
      </c>
      <c r="BI80" s="271">
        <f>+CoachNAqtrSalesOld!$AG127</f>
        <v>2.0168460000000001</v>
      </c>
      <c r="BJ80" s="271"/>
      <c r="BK80" s="271">
        <f>+CoachNAqtrSalesOld!$AG131</f>
        <v>1.6233759999999999</v>
      </c>
      <c r="BL80" s="271">
        <f>+CoachNAqtrSalesOld!$AG132</f>
        <v>1.6623159999999999</v>
      </c>
      <c r="BM80" s="271">
        <f>+CoachNAqtrSalesOld!$AG133</f>
        <v>1.6892400000000001</v>
      </c>
      <c r="BN80" s="271">
        <f>+CoachNAqtrSalesOld!$AG134</f>
        <v>1.7487980000000001</v>
      </c>
      <c r="BO80" s="271"/>
      <c r="BP80" s="271">
        <f>CoachNAqtrSalesOld!AG138</f>
        <v>1.7877879999999999</v>
      </c>
      <c r="BQ80" s="271">
        <f>CoachNAqtrSalesOld!AG139</f>
        <v>1.906593</v>
      </c>
      <c r="BR80" s="271">
        <f>CoachNAqtrSalesOld!AG140</f>
        <v>1.907994</v>
      </c>
      <c r="BS80" s="271">
        <f>CoachNAqtrSalesOld!AG141</f>
        <v>1.9346239999999999</v>
      </c>
      <c r="BT80" s="271"/>
      <c r="BU80" s="271">
        <f>+CoachNAqtrSalesOld!$AG145</f>
        <v>1.969981</v>
      </c>
      <c r="BV80" s="271">
        <f>+CoachNAqtrSalesOld!$AG146</f>
        <v>2.0424009999999999</v>
      </c>
      <c r="BW80" s="271">
        <f>+CoachNAqtrSalesOld!$AG147</f>
        <v>2.0131209999999999</v>
      </c>
      <c r="BX80" s="271">
        <f>+CoachNAqtrSalesOld!$AG148</f>
        <v>2.0427170000000001</v>
      </c>
      <c r="BY80" s="271"/>
      <c r="BZ80" s="271">
        <f>CoachNAqtrSalesOld!AG152</f>
        <v>2.076044</v>
      </c>
      <c r="CA80" s="271">
        <f>CoachNAqtrSalesOld!AG153</f>
        <v>2.0702389999999999</v>
      </c>
      <c r="CB80" s="271">
        <f>CoachNAqtrSalesOld!AG154</f>
        <v>1.933362</v>
      </c>
      <c r="CC80" s="271">
        <f>CoachNAqtrSalesOld!AG155</f>
        <v>1.9185570000000001</v>
      </c>
      <c r="CD80" s="271"/>
      <c r="CE80" s="271">
        <f>CoachNAqtrSalesOld!AG159</f>
        <v>1.931222</v>
      </c>
      <c r="CF80" s="271">
        <f>CoachNAqtrSalesOld!AG160</f>
        <v>1.93774</v>
      </c>
      <c r="CG80" s="535">
        <f>CoachNAqtrSalesOld!AG161</f>
        <v>1.9129510000000001</v>
      </c>
      <c r="CH80" s="535">
        <f>CoachNAqtrSalesOld!AG162</f>
        <v>1.892852</v>
      </c>
      <c r="CJ80" s="535">
        <f>CoachNAqtrSalesOld!AG166</f>
        <v>1.8905970000000001</v>
      </c>
      <c r="CK80" s="535">
        <f>CoachNAqtrSalesOld!AG167</f>
        <v>1.9192910000000001</v>
      </c>
      <c r="CL80" s="535">
        <f>CoachNAqtrSalesOld!AG168</f>
        <v>1.894479</v>
      </c>
      <c r="CM80" s="535">
        <f>CoachNAqtrSalesOld!AG169</f>
        <v>1.884204</v>
      </c>
      <c r="CW80" s="535">
        <f t="shared" ref="CW80:DC80" si="66">+CW65</f>
        <v>0.37208200000000002</v>
      </c>
      <c r="CX80" s="535">
        <f t="shared" si="66"/>
        <v>0.44771099999999997</v>
      </c>
      <c r="CY80" s="535">
        <f t="shared" si="66"/>
        <v>0.51343099999999997</v>
      </c>
      <c r="CZ80" s="535">
        <f t="shared" si="66"/>
        <v>0.59798300000000004</v>
      </c>
      <c r="DA80" s="535">
        <f t="shared" si="66"/>
        <v>0.69845000000000002</v>
      </c>
      <c r="DB80" s="535">
        <f t="shared" si="66"/>
        <v>0.78226300000000004</v>
      </c>
      <c r="DC80" s="535">
        <f t="shared" si="66"/>
        <v>0.90483599999999997</v>
      </c>
      <c r="DD80" s="535">
        <f t="shared" ref="DD80:DN80" si="67">DD65</f>
        <v>1.0387150000000001</v>
      </c>
      <c r="DE80" s="535">
        <f t="shared" si="67"/>
        <v>1.2239710000000001</v>
      </c>
      <c r="DF80" s="535">
        <f t="shared" si="67"/>
        <v>1.4686079999999999</v>
      </c>
      <c r="DG80" s="535">
        <f t="shared" si="67"/>
        <v>1.7038599999999999</v>
      </c>
      <c r="DH80" s="535">
        <f t="shared" si="67"/>
        <v>1.850705</v>
      </c>
      <c r="DI80" s="535">
        <f t="shared" si="67"/>
        <v>2.0168460000000001</v>
      </c>
      <c r="DJ80" s="535">
        <f t="shared" si="67"/>
        <v>2.4141939999999997</v>
      </c>
      <c r="DK80" s="535">
        <f t="shared" si="67"/>
        <v>2.7031909999999999</v>
      </c>
      <c r="DL80" s="535">
        <f t="shared" si="67"/>
        <v>2.9617120000000003</v>
      </c>
      <c r="DM80" s="535">
        <f t="shared" si="67"/>
        <v>3.0396469999999995</v>
      </c>
      <c r="DN80" s="535">
        <f t="shared" si="67"/>
        <v>3.0962809999999998</v>
      </c>
      <c r="DO80" s="535">
        <f t="shared" ref="DO80:DT80" si="68">+DO65</f>
        <v>2.9697659999999999</v>
      </c>
      <c r="DP80" s="535">
        <f t="shared" si="68"/>
        <v>2.9795159999999998</v>
      </c>
      <c r="DQ80" s="535">
        <f t="shared" si="68"/>
        <v>2.9907659999999998</v>
      </c>
      <c r="DR80" s="271">
        <f t="shared" si="68"/>
        <v>3.0020159999999998</v>
      </c>
      <c r="DS80" s="271">
        <f t="shared" si="68"/>
        <v>3.0132659999999998</v>
      </c>
      <c r="DT80" s="271">
        <f t="shared" si="68"/>
        <v>3.0245159999999998</v>
      </c>
    </row>
    <row r="81" spans="1:124" hidden="1" outlineLevel="1">
      <c r="A81" s="271" t="s">
        <v>499</v>
      </c>
      <c r="B81" s="1865"/>
      <c r="C81" s="271">
        <f>+CoachNAqtrSalesOld!$J47</f>
        <v>0</v>
      </c>
      <c r="D81" s="271">
        <f>+CoachNAqtrSalesOld!$J48</f>
        <v>0</v>
      </c>
      <c r="E81" s="271">
        <f>+CoachNAqtrSalesOld!$J49</f>
        <v>0</v>
      </c>
      <c r="F81" s="271">
        <f>+CoachNAqtrSalesOld!$J50</f>
        <v>169</v>
      </c>
      <c r="G81" s="271"/>
      <c r="H81" s="271">
        <f>+CoachNAqtrSalesOld!$J54</f>
        <v>0</v>
      </c>
      <c r="I81" s="271">
        <f>+CoachNAqtrSalesOld!$J55</f>
        <v>179</v>
      </c>
      <c r="J81" s="271">
        <f>+CoachNAqtrSalesOld!$J56</f>
        <v>180</v>
      </c>
      <c r="K81" s="271">
        <f>+CoachNAqtrSalesOld!$J57</f>
        <v>189</v>
      </c>
      <c r="L81" s="271"/>
      <c r="M81" s="271">
        <f>+CoachNAqtrSalesOld!$J61</f>
        <v>194</v>
      </c>
      <c r="N81" s="271">
        <f>+CoachNAqtrSalesOld!$J62</f>
        <v>204</v>
      </c>
      <c r="O81" s="271">
        <f>+CoachNAqtrSalesOld!$J63</f>
        <v>205</v>
      </c>
      <c r="P81" s="271">
        <f>+CoachNAqtrSalesOld!$J64</f>
        <v>212</v>
      </c>
      <c r="Q81" s="271"/>
      <c r="R81" s="271">
        <f>+CoachNAqtrSalesOld!$J68</f>
        <v>220</v>
      </c>
      <c r="S81" s="271">
        <f>+CoachNAqtrSalesOld!$J69</f>
        <v>226</v>
      </c>
      <c r="T81" s="271">
        <f>+CoachNAqtrSalesOld!$J70</f>
        <v>225</v>
      </c>
      <c r="U81" s="271">
        <f>+CoachNAqtrSalesOld!$J71</f>
        <v>232</v>
      </c>
      <c r="V81" s="271"/>
      <c r="W81" s="271">
        <f>+CoachNAqtrSalesOld!$J75</f>
        <v>239</v>
      </c>
      <c r="X81" s="271">
        <f>+CoachNAqtrSalesOld!$J76</f>
        <v>242</v>
      </c>
      <c r="Y81" s="271">
        <f>+CoachNAqtrSalesOld!$J77</f>
        <v>244</v>
      </c>
      <c r="Z81" s="271">
        <f>+CoachNAqtrSalesOld!$J78</f>
        <v>250</v>
      </c>
      <c r="AA81" s="271"/>
      <c r="AB81" s="271">
        <f>+CoachNAqtrSalesOld!$J82</f>
        <v>260</v>
      </c>
      <c r="AC81" s="271">
        <f>+CoachNAqtrSalesOld!$J83</f>
        <v>266</v>
      </c>
      <c r="AD81" s="271">
        <f>+CoachNAqtrSalesOld!$J84</f>
        <v>266</v>
      </c>
      <c r="AE81" s="271">
        <f>+CoachNAqtrSalesOld!$J85</f>
        <v>275</v>
      </c>
      <c r="AF81" s="271"/>
      <c r="AG81" s="271">
        <f>+CoachNAqtrSalesOld!$J89</f>
        <v>284</v>
      </c>
      <c r="AH81" s="271">
        <f>+CoachNAqtrSalesOld!$J90</f>
        <v>287</v>
      </c>
      <c r="AI81" s="271">
        <f>+CoachNAqtrSalesOld!$J91</f>
        <v>290</v>
      </c>
      <c r="AJ81" s="271">
        <f>+CoachNAqtrSalesOld!$J92</f>
        <v>304</v>
      </c>
      <c r="AK81" s="271"/>
      <c r="AL81" s="271">
        <f>+CoachNAqtrSalesOld!$J96</f>
        <v>317</v>
      </c>
      <c r="AM81" s="271">
        <f>+CoachNAqtrSalesOld!$J97</f>
        <v>327</v>
      </c>
      <c r="AN81" s="271">
        <f>+CoachNAqtrSalesOld!$J98</f>
        <v>334</v>
      </c>
      <c r="AO81" s="271">
        <f>+CoachNAqtrSalesOld!$J99</f>
        <v>352</v>
      </c>
      <c r="AP81" s="271"/>
      <c r="AQ81" s="271">
        <f>+CoachNAqtrSalesOld!$J103</f>
        <v>368</v>
      </c>
      <c r="AR81" s="271">
        <f>+CoachNAqtrSalesOld!$J104</f>
        <v>381</v>
      </c>
      <c r="AS81" s="271">
        <f>+CoachNAqtrSalesOld!$J105</f>
        <v>388</v>
      </c>
      <c r="AT81" s="271">
        <f>+CoachNAqtrSalesOld!$J106</f>
        <v>399</v>
      </c>
      <c r="AU81" s="271"/>
      <c r="AV81" s="271">
        <f>+CoachNAqtrSalesOld!$J110</f>
        <v>421</v>
      </c>
      <c r="AW81" s="271">
        <f>+CoachNAqtrSalesOld!$J111</f>
        <v>430</v>
      </c>
      <c r="AX81" s="271">
        <f>+CoachNAqtrSalesOld!$J112</f>
        <v>433</v>
      </c>
      <c r="AY81" s="271">
        <f>+CoachNAqtrSalesOld!$J113</f>
        <v>441</v>
      </c>
      <c r="AZ81" s="271"/>
      <c r="BA81" s="271">
        <f>+CoachNAqtrSalesOld!$J117</f>
        <v>456</v>
      </c>
      <c r="BB81" s="271">
        <f>+CoachNAqtrSalesOld!$J118</f>
        <v>461</v>
      </c>
      <c r="BC81" s="271">
        <f>+CoachNAqtrSalesOld!$J119</f>
        <v>462</v>
      </c>
      <c r="BD81" s="271">
        <f>+CoachNAqtrSalesOld!$J120</f>
        <v>462</v>
      </c>
      <c r="BE81" s="271"/>
      <c r="BF81" s="271">
        <f>+CoachNAqtrSalesOld!$J124</f>
        <v>473</v>
      </c>
      <c r="BG81" s="271">
        <f>+CoachNAqtrSalesOld!$J125</f>
        <v>476</v>
      </c>
      <c r="BH81" s="271">
        <f>+CoachNAqtrSalesOld!$J126</f>
        <v>478</v>
      </c>
      <c r="BI81" s="271">
        <f>+CoachNAqtrSalesOld!$J127</f>
        <v>488</v>
      </c>
      <c r="BJ81" s="271"/>
      <c r="BK81" s="271">
        <f>+CoachNAqtrSalesOld!$J131</f>
        <v>497</v>
      </c>
      <c r="BL81" s="271">
        <f>+CoachNAqtrSalesOld!$J132</f>
        <v>507</v>
      </c>
      <c r="BM81" s="271">
        <f>+CoachNAqtrSalesOld!$J133</f>
        <v>512</v>
      </c>
      <c r="BN81" s="271">
        <f>+CoachNAqtrSalesOld!$J134</f>
        <v>523</v>
      </c>
      <c r="BO81" s="271"/>
      <c r="BP81" s="271">
        <f>CoachNAqtrSalesOld!L138</f>
        <v>912</v>
      </c>
      <c r="BQ81" s="271">
        <f>CoachNAqtrSalesOld!L139</f>
        <v>947</v>
      </c>
      <c r="BR81" s="271">
        <f>CoachNAqtrSalesOld!L140</f>
        <v>945</v>
      </c>
      <c r="BS81" s="271">
        <f>CoachNAqtrSalesOld!L141</f>
        <v>960</v>
      </c>
      <c r="BT81" s="271"/>
      <c r="BU81" s="271">
        <f>CoachNAqtrSalesOld!L145</f>
        <v>990</v>
      </c>
      <c r="BV81" s="271">
        <f>CoachNAqtrSalesOld!L146</f>
        <v>1016</v>
      </c>
      <c r="BW81" s="271">
        <f>CoachNAqtrSalesOld!L147</f>
        <v>1011</v>
      </c>
      <c r="BX81" s="271">
        <f>CoachNAqtrSalesOld!L148</f>
        <v>1014</v>
      </c>
      <c r="BY81" s="271"/>
      <c r="BZ81" s="271">
        <f>CoachNAqtrSalesOld!L152</f>
        <v>1019</v>
      </c>
      <c r="CA81" s="271">
        <f>CoachNAqtrSalesOld!L153</f>
        <v>1021</v>
      </c>
      <c r="CB81" s="271">
        <f>CoachNAqtrSalesOld!L154</f>
        <v>973</v>
      </c>
      <c r="CC81" s="271">
        <f>CoachNAqtrSalesOld!L155</f>
        <v>965</v>
      </c>
      <c r="CD81" s="271"/>
      <c r="CE81" s="271">
        <f>CoachNAqtrSalesOld!L159</f>
        <v>973</v>
      </c>
      <c r="CF81" s="271">
        <f>CoachNAqtrSalesOld!L160</f>
        <v>974</v>
      </c>
      <c r="CG81" s="535">
        <f>CoachNAqtrSalesOld!L161</f>
        <v>965</v>
      </c>
      <c r="CH81" s="535">
        <f>CoachNAqtrSalesOld!L162</f>
        <v>955</v>
      </c>
      <c r="CJ81" s="535" t="str">
        <f>CoachNAqtrSalesOld!Q159</f>
        <v>%</v>
      </c>
      <c r="CK81" s="535">
        <f>CoachNAqtrSalesOld!Q160</f>
        <v>0</v>
      </c>
      <c r="CL81" s="535">
        <f>CoachNAqtrSalesOld!Q161</f>
        <v>0</v>
      </c>
      <c r="CM81" s="535">
        <f>CoachNAqtrSalesOld!Q162</f>
        <v>0</v>
      </c>
      <c r="CW81" s="535">
        <f t="shared" ref="CW81:DS81" si="69">+CW59</f>
        <v>233</v>
      </c>
      <c r="CX81" s="535">
        <f t="shared" si="69"/>
        <v>239</v>
      </c>
      <c r="CY81" s="535">
        <f t="shared" si="69"/>
        <v>265</v>
      </c>
      <c r="CZ81" s="535">
        <f t="shared" si="69"/>
        <v>295</v>
      </c>
      <c r="DA81" s="535">
        <f t="shared" si="69"/>
        <v>325</v>
      </c>
      <c r="DB81" s="535">
        <f t="shared" si="69"/>
        <v>350</v>
      </c>
      <c r="DC81" s="535">
        <f t="shared" si="69"/>
        <v>378</v>
      </c>
      <c r="DD81" s="535">
        <f t="shared" si="69"/>
        <v>422</v>
      </c>
      <c r="DE81" s="535">
        <f t="shared" si="69"/>
        <v>489</v>
      </c>
      <c r="DF81" s="535">
        <f t="shared" si="69"/>
        <v>548</v>
      </c>
      <c r="DG81" s="535">
        <f t="shared" si="69"/>
        <v>624</v>
      </c>
      <c r="DH81" s="535">
        <f t="shared" si="69"/>
        <v>665</v>
      </c>
      <c r="DI81" s="535">
        <f t="shared" si="69"/>
        <v>723</v>
      </c>
      <c r="DJ81" s="535">
        <f t="shared" si="69"/>
        <v>832</v>
      </c>
      <c r="DK81" s="535">
        <f t="shared" si="69"/>
        <v>953</v>
      </c>
      <c r="DL81" s="535">
        <f t="shared" si="69"/>
        <v>1014</v>
      </c>
      <c r="DM81" s="535">
        <f t="shared" si="69"/>
        <v>965</v>
      </c>
      <c r="DN81" s="535">
        <f t="shared" si="69"/>
        <v>955</v>
      </c>
      <c r="DO81" s="535">
        <f t="shared" si="69"/>
        <v>964</v>
      </c>
      <c r="DP81" s="535">
        <f t="shared" si="69"/>
        <v>969</v>
      </c>
      <c r="DQ81" s="535">
        <f t="shared" si="69"/>
        <v>961</v>
      </c>
      <c r="DR81" s="1867">
        <f t="shared" si="69"/>
        <v>953</v>
      </c>
      <c r="DS81" s="1867">
        <f t="shared" si="69"/>
        <v>945</v>
      </c>
      <c r="DT81" s="1867">
        <f>+DT59</f>
        <v>937</v>
      </c>
    </row>
    <row r="82" spans="1:124" hidden="1" outlineLevel="1">
      <c r="A82" s="727" t="s">
        <v>642</v>
      </c>
      <c r="B82" s="1868"/>
      <c r="C82" s="1869">
        <f>+SUM(C83:C84)</f>
        <v>0.38400000000000001</v>
      </c>
      <c r="D82" s="1869">
        <f>+SUM(D83:D84)</f>
        <v>0.38400000000000001</v>
      </c>
      <c r="E82" s="1869">
        <f>+SUM(E83:E84)</f>
        <v>0.38400000000000001</v>
      </c>
      <c r="F82" s="1869">
        <f>+SUM(F83:F84)</f>
        <v>0.38400000000000001</v>
      </c>
      <c r="G82" s="236"/>
      <c r="H82" s="1869">
        <f>+SUM(H83:H84)</f>
        <v>0.38500000000000001</v>
      </c>
      <c r="I82" s="1869">
        <f>+SUM(I83:I84)</f>
        <v>0.38500000000000001</v>
      </c>
      <c r="J82" s="1869">
        <f>+SUM(J83:J84)</f>
        <v>0.38500000000000001</v>
      </c>
      <c r="K82" s="1869">
        <f>+SUM(K83:K84)</f>
        <v>0.38500000000000001</v>
      </c>
      <c r="L82" s="236"/>
      <c r="M82" s="1869">
        <f>+SUM(M83:M84)</f>
        <v>0.379</v>
      </c>
      <c r="N82" s="1869">
        <f>+SUM(N83:N84)</f>
        <v>0.379</v>
      </c>
      <c r="O82" s="1869">
        <f>+SUM(O83:O84)</f>
        <v>0.379</v>
      </c>
      <c r="P82" s="1869">
        <f>+SUM(P83:P84)</f>
        <v>0.379</v>
      </c>
      <c r="Q82" s="236"/>
      <c r="R82" s="1869">
        <f>+SUM(R83:R84)</f>
        <v>0.39199999999999996</v>
      </c>
      <c r="S82" s="1869">
        <f>+SUM(S83:S84)</f>
        <v>0.39199999999999996</v>
      </c>
      <c r="T82" s="1869">
        <f>+SUM(T83:T84)</f>
        <v>0.39199999999999996</v>
      </c>
      <c r="U82" s="1869">
        <f>+SUM(U83:U84)</f>
        <v>0.39199999999999996</v>
      </c>
      <c r="V82" s="236"/>
      <c r="W82" s="1869">
        <f>+SUM(W83:W84)</f>
        <v>0.38599999999999995</v>
      </c>
      <c r="X82" s="1869">
        <f>+SUM(X83:X84)</f>
        <v>0.38599999999999995</v>
      </c>
      <c r="Y82" s="1869">
        <f>+SUM(Y83:Y84)</f>
        <v>0.38599999999999995</v>
      </c>
      <c r="Z82" s="1869">
        <f>+SUM(Z83:Z84)</f>
        <v>0.38599999999999995</v>
      </c>
      <c r="AA82" s="236"/>
      <c r="AB82" s="1869">
        <f>+SUM(AB83:AB84)</f>
        <v>0.40299999999999997</v>
      </c>
      <c r="AC82" s="1869">
        <f>+SUM(AC83:AC84)</f>
        <v>0.40299999999999997</v>
      </c>
      <c r="AD82" s="1869">
        <f>+SUM(AD83:AD84)</f>
        <v>0.40299999999999997</v>
      </c>
      <c r="AE82" s="1869">
        <f>+SUM(AE83:AE84)</f>
        <v>0.40299999999999997</v>
      </c>
      <c r="AF82" s="236"/>
      <c r="AG82" s="1869">
        <f>+SUM(AG83:AG84)</f>
        <v>0.38799999999999996</v>
      </c>
      <c r="AH82" s="1869">
        <f>+SUM(AH83:AH84)</f>
        <v>0.38799999999999996</v>
      </c>
      <c r="AI82" s="1869">
        <f>+SUM(AI83:AI84)</f>
        <v>0.38799999999999996</v>
      </c>
      <c r="AJ82" s="1869">
        <f>+SUM(AJ83:AJ84)</f>
        <v>0.38799999999999996</v>
      </c>
      <c r="AK82" s="236"/>
      <c r="AL82" s="1869">
        <f>+SUM(AL83:AL84)</f>
        <v>0.38799999999999996</v>
      </c>
      <c r="AM82" s="1869">
        <f>+SUM(AM83:AM84)</f>
        <v>0.38799999999999996</v>
      </c>
      <c r="AN82" s="1869">
        <f>+SUM(AN83:AN84)</f>
        <v>0.38799999999999996</v>
      </c>
      <c r="AO82" s="1869">
        <f>+SUM(AO83:AO84)</f>
        <v>0.38799999999999996</v>
      </c>
      <c r="AP82" s="236"/>
      <c r="AQ82" s="1869">
        <f>+SUM(AQ83:AQ84)</f>
        <v>0.38699999999999996</v>
      </c>
      <c r="AR82" s="1869">
        <f>+SUM(AR83:AR84)</f>
        <v>0.38699999999999996</v>
      </c>
      <c r="AS82" s="1869">
        <f>+SUM(AS83:AS84)</f>
        <v>0.38699999999999996</v>
      </c>
      <c r="AT82" s="1869">
        <f>+SUM(AT83:AT84)</f>
        <v>0.38699999999999996</v>
      </c>
      <c r="AU82" s="236"/>
      <c r="AV82" s="1869">
        <f>+SUM(AV83:AV84)</f>
        <v>0.38599999999999995</v>
      </c>
      <c r="AW82" s="1869">
        <f>+SUM(AW83:AW84)</f>
        <v>0.38599999999999995</v>
      </c>
      <c r="AX82" s="1869">
        <f>+SUM(AX83:AX84)</f>
        <v>0.38599999999999995</v>
      </c>
      <c r="AY82" s="1869">
        <f>+SUM(AY83:AY84)</f>
        <v>0.38599999999999995</v>
      </c>
      <c r="AZ82" s="236"/>
      <c r="BA82" s="1869">
        <f>+SUM(BA83:BA84)</f>
        <v>0.38100000000000001</v>
      </c>
      <c r="BB82" s="1869">
        <f>+SUM(BB83:BB84)</f>
        <v>0.38100000000000001</v>
      </c>
      <c r="BC82" s="1869">
        <f>+SUM(BC83:BC84)</f>
        <v>0.38100000000000001</v>
      </c>
      <c r="BD82" s="1869">
        <f>+SUM(BD83:BD84)</f>
        <v>0.38100000000000001</v>
      </c>
      <c r="BE82" s="236"/>
      <c r="BF82" s="1869">
        <f>+$DI$82</f>
        <v>0.33619565045365229</v>
      </c>
      <c r="BG82" s="1869">
        <f>+$DI$82</f>
        <v>0.33619565045365229</v>
      </c>
      <c r="BH82" s="1869">
        <f>+$DI$82</f>
        <v>0.33619565045365229</v>
      </c>
      <c r="BI82" s="1869">
        <f>+$DI$82</f>
        <v>0.33619565045365229</v>
      </c>
      <c r="BJ82" s="236"/>
      <c r="BK82" s="1869">
        <f>+$DJ$82</f>
        <v>0.32751062871228176</v>
      </c>
      <c r="BL82" s="1869">
        <f>+$DJ$82</f>
        <v>0.32751062871228176</v>
      </c>
      <c r="BM82" s="1869">
        <f>+$DJ$82</f>
        <v>0.32751062871228176</v>
      </c>
      <c r="BN82" s="1869">
        <f>+$DJ$82</f>
        <v>0.32751062871228176</v>
      </c>
      <c r="BO82" s="236"/>
      <c r="BP82" s="1869">
        <f t="shared" ref="BP82:BS83" si="70">+$DK$82</f>
        <v>0.32199973565952961</v>
      </c>
      <c r="BQ82" s="1869">
        <f t="shared" si="70"/>
        <v>0.32199973565952961</v>
      </c>
      <c r="BR82" s="1869">
        <f t="shared" si="70"/>
        <v>0.32199973565952961</v>
      </c>
      <c r="BS82" s="1869">
        <f t="shared" si="70"/>
        <v>0.32199973565952961</v>
      </c>
      <c r="BT82" s="271"/>
      <c r="BU82" s="1869">
        <f>+$DK$82</f>
        <v>0.32199973565952961</v>
      </c>
      <c r="BV82" s="1869">
        <f>+$DK$82</f>
        <v>0.32199973565952961</v>
      </c>
      <c r="BW82" s="1869">
        <f>+$DK$82</f>
        <v>0.32199973565952961</v>
      </c>
      <c r="BX82" s="1869">
        <f>+$DK$82</f>
        <v>0.32199973565952961</v>
      </c>
      <c r="BY82" s="1869"/>
      <c r="BZ82" s="1869">
        <f>BZ44</f>
        <v>0.3299632352941177</v>
      </c>
      <c r="CA82" s="1869">
        <f>CA44</f>
        <v>0.33132932531730119</v>
      </c>
      <c r="CB82" s="1869">
        <f>CB44</f>
        <v>0.31039229181004818</v>
      </c>
      <c r="CC82" s="1869">
        <f>CC44</f>
        <v>0.29048414023372249</v>
      </c>
      <c r="CD82" s="1869"/>
      <c r="CE82" s="1869">
        <f>CE44</f>
        <v>0.28553379658875572</v>
      </c>
      <c r="CF82" s="1869">
        <f>CF44</f>
        <v>0.32400430570505934</v>
      </c>
      <c r="CG82" s="535">
        <f>CG44</f>
        <v>0.14590502408809386</v>
      </c>
      <c r="CH82" s="535">
        <f>CH44</f>
        <v>0.24671445639187597</v>
      </c>
      <c r="CJ82" s="535">
        <f>CJ44</f>
        <v>0.26358854471069554</v>
      </c>
      <c r="CK82" s="535">
        <f>CK44</f>
        <v>0.2697095435684646</v>
      </c>
      <c r="CL82" s="535">
        <f>CL44</f>
        <v>0.17531645569620252</v>
      </c>
      <c r="CM82" s="535">
        <f>CM44</f>
        <v>0.19211036369855208</v>
      </c>
      <c r="CS82" s="236"/>
      <c r="CT82" s="236"/>
      <c r="CU82" s="236"/>
      <c r="CV82" s="236"/>
      <c r="CW82" s="535">
        <f>+SUM(CW83:CW84)</f>
        <v>0.39699999999999996</v>
      </c>
      <c r="CX82" s="535">
        <f t="shared" ref="CX82:DG82" si="71">+SUM(CX83:CX84)</f>
        <v>0.38400000000000001</v>
      </c>
      <c r="CY82" s="535">
        <f t="shared" si="71"/>
        <v>0.38500000000000001</v>
      </c>
      <c r="CZ82" s="535">
        <f t="shared" si="71"/>
        <v>0.379</v>
      </c>
      <c r="DA82" s="535">
        <f t="shared" si="71"/>
        <v>0.39199999999999996</v>
      </c>
      <c r="DB82" s="535">
        <f t="shared" si="71"/>
        <v>0.38599999999999995</v>
      </c>
      <c r="DC82" s="535">
        <f t="shared" si="71"/>
        <v>0.40299999999999997</v>
      </c>
      <c r="DD82" s="535">
        <f>+SUM(DD83:DD84)</f>
        <v>0.38799999999999996</v>
      </c>
      <c r="DE82" s="535">
        <f t="shared" si="71"/>
        <v>0.38799999999999996</v>
      </c>
      <c r="DF82" s="535">
        <f t="shared" si="71"/>
        <v>0.38699999999999996</v>
      </c>
      <c r="DG82" s="535">
        <f t="shared" si="71"/>
        <v>0.38599999999999995</v>
      </c>
      <c r="DH82" s="535">
        <f>+SUM(DH83:DH84)</f>
        <v>0.38100000000000001</v>
      </c>
      <c r="DI82" s="535">
        <f>+'yrP&amp;L'!R71</f>
        <v>0.33619565045365229</v>
      </c>
      <c r="DJ82" s="535">
        <f>+'yrP&amp;L'!S71</f>
        <v>0.32751062871228176</v>
      </c>
      <c r="DK82" s="535">
        <f>+'yrP&amp;L'!T71</f>
        <v>0.32199973565952961</v>
      </c>
      <c r="DL82" s="535">
        <f>+'yrP&amp;L'!U71</f>
        <v>0.30639387698781717</v>
      </c>
      <c r="DM82" s="535">
        <f>+'yrP&amp;L'!V71</f>
        <v>0.3208029663725866</v>
      </c>
      <c r="DN82" s="535">
        <f>+'yrP&amp;L'!W71</f>
        <v>0.26410564225690308</v>
      </c>
      <c r="DO82" s="535">
        <f>+'yrP&amp;L'!X71</f>
        <v>0.23244973038351033</v>
      </c>
      <c r="DP82" s="535">
        <f>+'yrP&amp;L'!Y71</f>
        <v>0.20032058087780233</v>
      </c>
      <c r="DQ82" s="535">
        <f>+'yrP&amp;L'!Z71</f>
        <v>0.215</v>
      </c>
      <c r="DR82" s="1869">
        <f>+'yrP&amp;L'!AA71</f>
        <v>0.215</v>
      </c>
      <c r="DS82" s="1869">
        <f>+'yrP&amp;L'!AB71</f>
        <v>0.215</v>
      </c>
      <c r="DT82" s="1869">
        <f>+'yrP&amp;L'!AC71</f>
        <v>0.215</v>
      </c>
    </row>
    <row r="83" spans="1:124" hidden="1" outlineLevel="1">
      <c r="A83" s="727" t="s">
        <v>643</v>
      </c>
      <c r="B83" s="236"/>
      <c r="C83" s="1869">
        <f>+$CX$83</f>
        <v>0.35</v>
      </c>
      <c r="D83" s="1869">
        <f>+$CX$83</f>
        <v>0.35</v>
      </c>
      <c r="E83" s="1869">
        <f>+$CX$83</f>
        <v>0.35</v>
      </c>
      <c r="F83" s="1869">
        <f>+$CX$83</f>
        <v>0.35</v>
      </c>
      <c r="G83" s="236"/>
      <c r="H83" s="1869">
        <f>+$CY$83</f>
        <v>0.35</v>
      </c>
      <c r="I83" s="1869">
        <f>+$CY$83</f>
        <v>0.35</v>
      </c>
      <c r="J83" s="1869">
        <f>+$CY$83</f>
        <v>0.35</v>
      </c>
      <c r="K83" s="1869">
        <f>+$CY$83</f>
        <v>0.35</v>
      </c>
      <c r="L83" s="236"/>
      <c r="M83" s="1869">
        <f>+$CZ$83</f>
        <v>0.35</v>
      </c>
      <c r="N83" s="1869">
        <f>+$CZ$83</f>
        <v>0.35</v>
      </c>
      <c r="O83" s="1869">
        <f>+$CZ$83</f>
        <v>0.35</v>
      </c>
      <c r="P83" s="1869">
        <f>+$CZ$83</f>
        <v>0.35</v>
      </c>
      <c r="Q83" s="236"/>
      <c r="R83" s="1869">
        <f>+$DA$83</f>
        <v>0.35</v>
      </c>
      <c r="S83" s="1869">
        <f>+$DA$83</f>
        <v>0.35</v>
      </c>
      <c r="T83" s="1869">
        <f>+$DA$83</f>
        <v>0.35</v>
      </c>
      <c r="U83" s="1869">
        <f>+$DA$83</f>
        <v>0.35</v>
      </c>
      <c r="V83" s="236"/>
      <c r="W83" s="1869">
        <f>+$DB$83</f>
        <v>0.35</v>
      </c>
      <c r="X83" s="1869">
        <f>+$DB$83</f>
        <v>0.35</v>
      </c>
      <c r="Y83" s="1869">
        <f>+$DB$83</f>
        <v>0.35</v>
      </c>
      <c r="Z83" s="1869">
        <f>+$DB$83</f>
        <v>0.35</v>
      </c>
      <c r="AA83" s="236"/>
      <c r="AB83" s="1869">
        <f>+$DC$83</f>
        <v>0.35</v>
      </c>
      <c r="AC83" s="1869">
        <f>+$DC$83</f>
        <v>0.35</v>
      </c>
      <c r="AD83" s="1869">
        <f>+$DC$83</f>
        <v>0.35</v>
      </c>
      <c r="AE83" s="1869">
        <f>+$DC$83</f>
        <v>0.35</v>
      </c>
      <c r="AF83" s="236"/>
      <c r="AG83" s="1869">
        <f>+$DD$83</f>
        <v>0.35</v>
      </c>
      <c r="AH83" s="1869">
        <f>+$DD$83</f>
        <v>0.35</v>
      </c>
      <c r="AI83" s="1869">
        <f>+$DD$83</f>
        <v>0.35</v>
      </c>
      <c r="AJ83" s="1869">
        <f>+$DD$83</f>
        <v>0.35</v>
      </c>
      <c r="AK83" s="236"/>
      <c r="AL83" s="1869">
        <f>+$DE$83</f>
        <v>0.35</v>
      </c>
      <c r="AM83" s="1869">
        <f>+$DE$83</f>
        <v>0.35</v>
      </c>
      <c r="AN83" s="1869">
        <f>+$DE$83</f>
        <v>0.35</v>
      </c>
      <c r="AO83" s="1869">
        <f>+$DE$83</f>
        <v>0.35</v>
      </c>
      <c r="AP83" s="236"/>
      <c r="AQ83" s="1869">
        <f>+$DF$83</f>
        <v>0.35</v>
      </c>
      <c r="AR83" s="1869">
        <f>+$DF$83</f>
        <v>0.35</v>
      </c>
      <c r="AS83" s="1869">
        <f>+$DF$83</f>
        <v>0.35</v>
      </c>
      <c r="AT83" s="1869">
        <f>+$DF$83</f>
        <v>0.35</v>
      </c>
      <c r="AU83" s="236"/>
      <c r="AV83" s="1869">
        <f>+$DG$83</f>
        <v>0.35</v>
      </c>
      <c r="AW83" s="1869">
        <f>+$DG$83</f>
        <v>0.35</v>
      </c>
      <c r="AX83" s="1869">
        <f>+$DG$83</f>
        <v>0.35</v>
      </c>
      <c r="AY83" s="1869">
        <f>+$DG$83</f>
        <v>0.35</v>
      </c>
      <c r="AZ83" s="236"/>
      <c r="BA83" s="1869">
        <f>+$DH$83</f>
        <v>0.35</v>
      </c>
      <c r="BB83" s="1869">
        <f>+$DH$83</f>
        <v>0.35</v>
      </c>
      <c r="BC83" s="1869">
        <f>+$DH$83</f>
        <v>0.35</v>
      </c>
      <c r="BD83" s="1869">
        <f>+$DH$83</f>
        <v>0.35</v>
      </c>
      <c r="BE83" s="236"/>
      <c r="BF83" s="1869">
        <f>+$DH$83</f>
        <v>0.35</v>
      </c>
      <c r="BG83" s="1869">
        <f>+$DH$83</f>
        <v>0.35</v>
      </c>
      <c r="BH83" s="1869">
        <f>+$DH$83</f>
        <v>0.35</v>
      </c>
      <c r="BI83" s="1869">
        <f>+$DH$83</f>
        <v>0.35</v>
      </c>
      <c r="BJ83" s="236"/>
      <c r="BK83" s="1869">
        <v>0.33</v>
      </c>
      <c r="BL83" s="1869">
        <v>0.33</v>
      </c>
      <c r="BM83" s="1869">
        <v>0.33</v>
      </c>
      <c r="BN83" s="1869">
        <v>0.33</v>
      </c>
      <c r="BO83" s="236"/>
      <c r="BP83" s="1869">
        <f t="shared" si="70"/>
        <v>0.32199973565952961</v>
      </c>
      <c r="BQ83" s="1869">
        <f t="shared" si="70"/>
        <v>0.32199973565952961</v>
      </c>
      <c r="BR83" s="1869">
        <f t="shared" si="70"/>
        <v>0.32199973565952961</v>
      </c>
      <c r="BS83" s="1869">
        <f t="shared" si="70"/>
        <v>0.32199973565952961</v>
      </c>
      <c r="BT83" s="236"/>
      <c r="BU83" s="236"/>
      <c r="BV83" s="236"/>
      <c r="BW83" s="236"/>
      <c r="BX83" s="236"/>
      <c r="BY83" s="236"/>
      <c r="BZ83" s="236"/>
      <c r="CA83" s="236"/>
      <c r="CB83" s="236"/>
      <c r="CC83" s="236"/>
      <c r="CD83" s="236"/>
      <c r="CE83" s="236"/>
      <c r="CF83" s="236"/>
      <c r="CG83" s="236"/>
      <c r="CH83" s="236"/>
      <c r="CI83" s="236"/>
      <c r="CJ83" s="236"/>
      <c r="CK83" s="236"/>
      <c r="CL83" s="236"/>
      <c r="CM83" s="236"/>
      <c r="CN83" s="236"/>
      <c r="CO83" s="236"/>
      <c r="CP83" s="236"/>
      <c r="CQ83" s="236"/>
      <c r="CR83" s="236"/>
      <c r="CS83" s="236"/>
      <c r="CT83" s="236"/>
      <c r="CU83" s="236"/>
      <c r="CV83" s="236"/>
      <c r="CW83" s="535">
        <v>0.35</v>
      </c>
      <c r="CX83" s="535">
        <v>0.35</v>
      </c>
      <c r="CY83" s="535">
        <v>0.35</v>
      </c>
      <c r="CZ83" s="535">
        <v>0.35</v>
      </c>
      <c r="DA83" s="535">
        <v>0.35</v>
      </c>
      <c r="DB83" s="535">
        <v>0.35</v>
      </c>
      <c r="DC83" s="535">
        <v>0.35</v>
      </c>
      <c r="DD83" s="535">
        <v>0.35</v>
      </c>
      <c r="DE83" s="535">
        <v>0.35</v>
      </c>
      <c r="DF83" s="535">
        <v>0.35</v>
      </c>
      <c r="DG83" s="535">
        <v>0.35</v>
      </c>
      <c r="DH83" s="535">
        <v>0.35</v>
      </c>
      <c r="DI83" s="236"/>
      <c r="DJ83" s="236"/>
      <c r="DK83" s="236"/>
      <c r="DL83" s="236"/>
      <c r="DM83" s="535">
        <f>+'yrP&amp;L'!V71</f>
        <v>0.3208029663725866</v>
      </c>
      <c r="DN83" s="535">
        <f>+'yrP&amp;L'!W71</f>
        <v>0.26410564225690308</v>
      </c>
      <c r="DO83" s="236"/>
      <c r="DP83" s="236"/>
      <c r="DQ83" s="236"/>
      <c r="DR83" s="236"/>
      <c r="DS83" s="236"/>
      <c r="DT83" s="236"/>
    </row>
    <row r="84" spans="1:124" hidden="1" outlineLevel="1">
      <c r="A84" s="727" t="s">
        <v>644</v>
      </c>
      <c r="B84" s="236"/>
      <c r="C84" s="1869">
        <f>+$CX$84</f>
        <v>3.4000000000000002E-2</v>
      </c>
      <c r="D84" s="1869">
        <f>+$CX$84</f>
        <v>3.4000000000000002E-2</v>
      </c>
      <c r="E84" s="1869">
        <f>+$CX$84</f>
        <v>3.4000000000000002E-2</v>
      </c>
      <c r="F84" s="1869">
        <f>+$CX$84</f>
        <v>3.4000000000000002E-2</v>
      </c>
      <c r="G84" s="236"/>
      <c r="H84" s="1869">
        <f>+$CY$84</f>
        <v>3.5000000000000003E-2</v>
      </c>
      <c r="I84" s="1869">
        <f>+$CY$84</f>
        <v>3.5000000000000003E-2</v>
      </c>
      <c r="J84" s="1869">
        <f>+$CY$84</f>
        <v>3.5000000000000003E-2</v>
      </c>
      <c r="K84" s="1869">
        <f>+$CY$84</f>
        <v>3.5000000000000003E-2</v>
      </c>
      <c r="L84" s="236"/>
      <c r="M84" s="1869">
        <f>+$CZ$84</f>
        <v>2.9000000000000001E-2</v>
      </c>
      <c r="N84" s="1869">
        <f>+$CZ$84</f>
        <v>2.9000000000000001E-2</v>
      </c>
      <c r="O84" s="1869">
        <f>+$CZ$84</f>
        <v>2.9000000000000001E-2</v>
      </c>
      <c r="P84" s="1869">
        <f>+$CZ$84</f>
        <v>2.9000000000000001E-2</v>
      </c>
      <c r="Q84" s="236"/>
      <c r="R84" s="1869">
        <f>+$DA$84</f>
        <v>4.2000000000000003E-2</v>
      </c>
      <c r="S84" s="1869">
        <f>+$DA$84</f>
        <v>4.2000000000000003E-2</v>
      </c>
      <c r="T84" s="1869">
        <f>+$DA$84</f>
        <v>4.2000000000000003E-2</v>
      </c>
      <c r="U84" s="1869">
        <f>+$DA$84</f>
        <v>4.2000000000000003E-2</v>
      </c>
      <c r="V84" s="236"/>
      <c r="W84" s="1869">
        <f>+$DB$84</f>
        <v>3.5999999999999997E-2</v>
      </c>
      <c r="X84" s="1869">
        <f>+$DB$84</f>
        <v>3.5999999999999997E-2</v>
      </c>
      <c r="Y84" s="1869">
        <f>+$DB$84</f>
        <v>3.5999999999999997E-2</v>
      </c>
      <c r="Z84" s="1869">
        <f>+$DB$84</f>
        <v>3.5999999999999997E-2</v>
      </c>
      <c r="AA84" s="236"/>
      <c r="AB84" s="1869">
        <f>+$DC$84</f>
        <v>5.2999999999999999E-2</v>
      </c>
      <c r="AC84" s="1869">
        <f>+$DC$84</f>
        <v>5.2999999999999999E-2</v>
      </c>
      <c r="AD84" s="1869">
        <f>+$DC$84</f>
        <v>5.2999999999999999E-2</v>
      </c>
      <c r="AE84" s="1869">
        <f>+$DC$84</f>
        <v>5.2999999999999999E-2</v>
      </c>
      <c r="AF84" s="236"/>
      <c r="AG84" s="1869">
        <f>+$DD$84</f>
        <v>3.7999999999999999E-2</v>
      </c>
      <c r="AH84" s="1869">
        <f>+$DD$84</f>
        <v>3.7999999999999999E-2</v>
      </c>
      <c r="AI84" s="1869">
        <f>+$DD$84</f>
        <v>3.7999999999999999E-2</v>
      </c>
      <c r="AJ84" s="1869">
        <f>+$DD$84</f>
        <v>3.7999999999999999E-2</v>
      </c>
      <c r="AK84" s="236"/>
      <c r="AL84" s="1869">
        <f>+$DE$84</f>
        <v>3.7999999999999999E-2</v>
      </c>
      <c r="AM84" s="1869">
        <f>+$DE$84</f>
        <v>3.7999999999999999E-2</v>
      </c>
      <c r="AN84" s="1869">
        <f>+$DE$84</f>
        <v>3.7999999999999999E-2</v>
      </c>
      <c r="AO84" s="1869">
        <f>+$DE$84</f>
        <v>3.7999999999999999E-2</v>
      </c>
      <c r="AP84" s="236"/>
      <c r="AQ84" s="1869">
        <f>+$DF$84</f>
        <v>3.6999999999999998E-2</v>
      </c>
      <c r="AR84" s="1869">
        <f>+$DF$84</f>
        <v>3.6999999999999998E-2</v>
      </c>
      <c r="AS84" s="1869">
        <f>+$DF$84</f>
        <v>3.6999999999999998E-2</v>
      </c>
      <c r="AT84" s="1869">
        <f>+$DF$84</f>
        <v>3.6999999999999998E-2</v>
      </c>
      <c r="AU84" s="236"/>
      <c r="AV84" s="1869">
        <f>+$DG$84</f>
        <v>3.5999999999999997E-2</v>
      </c>
      <c r="AW84" s="1869">
        <f>+$DG$84</f>
        <v>3.5999999999999997E-2</v>
      </c>
      <c r="AX84" s="1869">
        <f>+$DG$84</f>
        <v>3.5999999999999997E-2</v>
      </c>
      <c r="AY84" s="1869">
        <f>+$DG$84</f>
        <v>3.5999999999999997E-2</v>
      </c>
      <c r="AZ84" s="236"/>
      <c r="BA84" s="1869">
        <f>+$DH$84</f>
        <v>3.1E-2</v>
      </c>
      <c r="BB84" s="1869">
        <f>+$DH$84</f>
        <v>3.1E-2</v>
      </c>
      <c r="BC84" s="1869">
        <f>+$DH$84</f>
        <v>3.1E-2</v>
      </c>
      <c r="BD84" s="1869">
        <f>+$DH$84</f>
        <v>3.1E-2</v>
      </c>
      <c r="BE84" s="236"/>
      <c r="BF84" s="236"/>
      <c r="BG84" s="236"/>
      <c r="BH84" s="236"/>
      <c r="BI84" s="236"/>
      <c r="BJ84" s="236"/>
      <c r="BK84" s="236"/>
      <c r="BL84" s="236"/>
      <c r="BM84" s="236"/>
      <c r="BN84" s="236"/>
      <c r="BO84" s="236"/>
      <c r="BP84" s="236"/>
      <c r="BQ84" s="236"/>
      <c r="BR84" s="236"/>
      <c r="BS84" s="236"/>
      <c r="BT84" s="236"/>
      <c r="BU84" s="236"/>
      <c r="BV84" s="236"/>
      <c r="BW84" s="236"/>
      <c r="BX84" s="236"/>
      <c r="BY84" s="236"/>
      <c r="BZ84" s="236"/>
      <c r="CA84" s="236"/>
      <c r="CB84" s="236"/>
      <c r="CC84" s="236"/>
      <c r="CD84" s="236"/>
      <c r="CE84" s="236"/>
      <c r="CF84" s="236"/>
      <c r="CG84" s="236"/>
      <c r="CH84" s="236"/>
      <c r="CI84" s="236"/>
      <c r="CJ84" s="236"/>
      <c r="CK84" s="236"/>
      <c r="CL84" s="236"/>
      <c r="CM84" s="236"/>
      <c r="CN84" s="236"/>
      <c r="CO84" s="236"/>
      <c r="CP84" s="236"/>
      <c r="CQ84" s="236"/>
      <c r="CR84" s="236"/>
      <c r="CS84" s="236"/>
      <c r="CT84" s="236"/>
      <c r="CU84" s="236"/>
      <c r="CV84" s="236"/>
      <c r="CW84" s="535">
        <v>4.7E-2</v>
      </c>
      <c r="CX84" s="535">
        <v>3.4000000000000002E-2</v>
      </c>
      <c r="CY84" s="535">
        <v>3.5000000000000003E-2</v>
      </c>
      <c r="CZ84" s="535">
        <v>2.9000000000000001E-2</v>
      </c>
      <c r="DA84" s="535">
        <v>4.2000000000000003E-2</v>
      </c>
      <c r="DB84" s="535">
        <v>3.5999999999999997E-2</v>
      </c>
      <c r="DC84" s="535">
        <v>5.2999999999999999E-2</v>
      </c>
      <c r="DD84" s="535">
        <v>3.7999999999999999E-2</v>
      </c>
      <c r="DE84" s="535">
        <v>3.7999999999999999E-2</v>
      </c>
      <c r="DF84" s="535">
        <v>3.6999999999999998E-2</v>
      </c>
      <c r="DG84" s="535">
        <v>3.5999999999999997E-2</v>
      </c>
      <c r="DH84" s="535">
        <v>3.1E-2</v>
      </c>
      <c r="DI84" s="236"/>
      <c r="DJ84" s="236"/>
      <c r="DK84" s="236"/>
      <c r="DL84" s="236"/>
      <c r="DM84" s="236"/>
      <c r="DN84" s="236"/>
      <c r="DO84" s="236"/>
      <c r="DP84" s="236"/>
      <c r="DQ84" s="236"/>
      <c r="DR84" s="236"/>
      <c r="DS84" s="236"/>
      <c r="DT84" s="236"/>
    </row>
    <row r="85" spans="1:124" hidden="1" outlineLevel="1">
      <c r="A85" s="727"/>
      <c r="B85" s="236"/>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c r="AE85" s="236"/>
      <c r="AF85" s="236"/>
      <c r="AG85" s="236"/>
      <c r="AH85" s="236"/>
      <c r="AI85" s="236"/>
      <c r="AJ85" s="236"/>
      <c r="AK85" s="236"/>
      <c r="AL85" s="236"/>
      <c r="AM85" s="236"/>
      <c r="AN85" s="236"/>
      <c r="AO85" s="236"/>
      <c r="AP85" s="236"/>
      <c r="AQ85" s="236"/>
      <c r="AR85" s="236"/>
      <c r="AS85" s="236"/>
      <c r="AT85" s="236"/>
      <c r="AU85" s="236"/>
      <c r="AV85" s="236"/>
      <c r="AW85" s="236"/>
      <c r="AX85" s="236"/>
      <c r="AY85" s="236"/>
      <c r="AZ85" s="236"/>
      <c r="BA85" s="236"/>
      <c r="BB85" s="236"/>
      <c r="BC85" s="236"/>
      <c r="BD85" s="236"/>
      <c r="BE85" s="236"/>
      <c r="BF85" s="236"/>
      <c r="BG85" s="236"/>
      <c r="BH85" s="236"/>
      <c r="BI85" s="236"/>
      <c r="BJ85" s="236"/>
      <c r="BK85" s="236"/>
      <c r="BL85" s="236"/>
      <c r="BM85" s="236"/>
      <c r="BN85" s="236"/>
      <c r="BO85" s="236"/>
      <c r="BP85" s="236"/>
      <c r="BQ85" s="236"/>
      <c r="BR85" s="236"/>
      <c r="BS85" s="236"/>
      <c r="BT85" s="236"/>
      <c r="BU85" s="236"/>
      <c r="BV85" s="236"/>
      <c r="BW85" s="236"/>
      <c r="BX85" s="236"/>
      <c r="BY85" s="236"/>
      <c r="BZ85" s="236"/>
      <c r="CA85" s="236"/>
      <c r="CB85" s="236"/>
      <c r="CC85" s="236"/>
      <c r="CD85" s="236"/>
      <c r="CI85" s="236"/>
      <c r="DP85" s="236"/>
      <c r="DQ85" s="236"/>
      <c r="DR85" s="236"/>
      <c r="DS85" s="236"/>
      <c r="DT85" s="236"/>
    </row>
    <row r="86" spans="1:124" collapsed="1">
      <c r="A86" s="727"/>
      <c r="B86" s="236"/>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c r="AE86" s="236"/>
      <c r="AF86" s="236"/>
      <c r="AG86" s="236"/>
      <c r="AH86" s="236"/>
      <c r="AI86" s="236"/>
      <c r="AJ86" s="236"/>
      <c r="AK86" s="236"/>
      <c r="AL86" s="236"/>
      <c r="AM86" s="236"/>
      <c r="AN86" s="236"/>
      <c r="AO86" s="236"/>
      <c r="AP86" s="236"/>
      <c r="AQ86" s="236"/>
      <c r="AR86" s="236"/>
      <c r="AS86" s="236"/>
      <c r="AT86" s="236"/>
      <c r="AU86" s="236"/>
      <c r="AV86" s="236"/>
      <c r="AW86" s="236"/>
      <c r="AX86" s="236"/>
      <c r="AY86" s="236"/>
      <c r="AZ86" s="236"/>
      <c r="BA86" s="236"/>
      <c r="BB86" s="236"/>
      <c r="BC86" s="236"/>
      <c r="BD86" s="236"/>
      <c r="BE86" s="236"/>
      <c r="BF86" s="236"/>
      <c r="BG86" s="236"/>
      <c r="BH86" s="236"/>
      <c r="BI86" s="236"/>
      <c r="BJ86" s="236"/>
      <c r="BK86" s="236"/>
      <c r="BL86" s="236"/>
      <c r="BM86" s="236"/>
      <c r="BN86" s="236"/>
      <c r="BO86" s="236"/>
      <c r="BP86" s="236"/>
      <c r="BQ86" s="236"/>
      <c r="BR86" s="236"/>
      <c r="BS86" s="236"/>
      <c r="BT86" s="236"/>
      <c r="BU86" s="236"/>
      <c r="BV86" s="236"/>
      <c r="BW86" s="236"/>
      <c r="BX86" s="236"/>
      <c r="BY86" s="236"/>
      <c r="BZ86" s="236"/>
      <c r="CA86" s="236"/>
      <c r="CB86" s="236"/>
      <c r="CC86" s="236"/>
      <c r="CD86" s="236"/>
      <c r="CE86" s="236"/>
      <c r="CF86" s="236"/>
      <c r="CG86" s="236"/>
      <c r="CH86" s="236"/>
      <c r="CI86" s="236"/>
      <c r="CJ86" s="236"/>
      <c r="CK86" s="236"/>
      <c r="CL86" s="236"/>
      <c r="CM86" s="236"/>
      <c r="CN86" s="236"/>
      <c r="CO86" s="236"/>
      <c r="CP86" s="236"/>
      <c r="CQ86" s="236"/>
      <c r="CR86" s="236"/>
      <c r="CS86" s="236"/>
      <c r="CT86" s="236"/>
      <c r="CU86" s="236"/>
      <c r="CV86" s="236"/>
      <c r="CW86" s="236"/>
      <c r="CX86" s="236"/>
      <c r="CY86" s="236"/>
      <c r="CZ86" s="236"/>
      <c r="DA86" s="236"/>
      <c r="DB86" s="236"/>
      <c r="DC86" s="236"/>
      <c r="DD86" s="236"/>
      <c r="DE86" s="236"/>
      <c r="DF86" s="236"/>
      <c r="DG86" s="236"/>
      <c r="DH86" s="236"/>
      <c r="DI86" s="236"/>
      <c r="DJ86" s="236"/>
      <c r="DK86" s="236"/>
      <c r="DL86" s="236"/>
      <c r="DM86" s="236"/>
      <c r="DN86" s="236"/>
      <c r="DO86" s="236"/>
      <c r="DP86" s="236"/>
      <c r="DQ86" s="236"/>
      <c r="DR86" s="236"/>
      <c r="DS86" s="236"/>
      <c r="DT86" s="236"/>
    </row>
    <row r="87" spans="1:124">
      <c r="A87" s="1870" t="s">
        <v>34</v>
      </c>
      <c r="B87" s="236"/>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c r="AE87" s="236"/>
      <c r="AF87" s="236"/>
      <c r="AG87" s="236"/>
      <c r="AH87" s="236"/>
      <c r="AI87" s="236"/>
      <c r="AJ87" s="236"/>
      <c r="AK87" s="236"/>
      <c r="AL87" s="236"/>
      <c r="AM87" s="236"/>
      <c r="AN87" s="236"/>
      <c r="AO87" s="236"/>
      <c r="AP87" s="236"/>
      <c r="AQ87" s="236"/>
      <c r="AR87" s="236"/>
      <c r="AS87" s="236"/>
      <c r="AT87" s="236"/>
      <c r="AU87" s="236"/>
      <c r="AV87" s="236"/>
      <c r="AW87" s="236"/>
      <c r="AX87" s="236"/>
      <c r="AY87" s="236"/>
      <c r="AZ87" s="236"/>
      <c r="BA87" s="236"/>
      <c r="BB87" s="236"/>
      <c r="BC87" s="236"/>
      <c r="BD87" s="236"/>
      <c r="BE87" s="236"/>
      <c r="BF87" s="236"/>
      <c r="BG87" s="236"/>
      <c r="BH87" s="236"/>
      <c r="BI87" s="236"/>
      <c r="BJ87" s="236"/>
      <c r="BK87" s="236"/>
      <c r="BL87" s="236"/>
      <c r="BM87" s="236"/>
      <c r="BN87" s="236"/>
      <c r="BO87" s="236"/>
      <c r="BP87" s="236"/>
      <c r="BQ87" s="236"/>
      <c r="BR87" s="236"/>
      <c r="BS87" s="236"/>
      <c r="BT87" s="236"/>
      <c r="BU87" s="236"/>
      <c r="BV87" s="236"/>
      <c r="BW87" s="236"/>
      <c r="BX87" s="236"/>
      <c r="BY87" s="236"/>
      <c r="BZ87" s="236"/>
      <c r="CA87" s="236"/>
      <c r="CB87" s="236"/>
      <c r="CC87" s="236"/>
      <c r="CD87" s="236"/>
      <c r="CE87" s="236"/>
      <c r="CF87" s="236"/>
      <c r="CG87" s="236"/>
      <c r="CH87" s="236"/>
      <c r="CI87" s="236"/>
      <c r="CJ87" s="236"/>
      <c r="CK87" s="236"/>
      <c r="CL87" s="236"/>
      <c r="CM87" s="236"/>
      <c r="CN87" s="236"/>
      <c r="CO87" s="236"/>
      <c r="CP87" s="236"/>
      <c r="CQ87" s="236"/>
      <c r="CR87" s="236"/>
      <c r="CS87" s="236"/>
      <c r="CT87" s="236"/>
      <c r="CU87" s="236"/>
      <c r="CV87" s="236"/>
      <c r="CW87" s="236"/>
      <c r="CX87" s="236"/>
      <c r="CY87" s="236"/>
      <c r="CZ87" s="236"/>
      <c r="DA87" s="236"/>
      <c r="DB87" s="236"/>
      <c r="DC87" s="236"/>
      <c r="DD87" s="236"/>
      <c r="DE87" s="236"/>
      <c r="DF87" s="236"/>
      <c r="DG87" s="236"/>
      <c r="DH87" s="236"/>
      <c r="DI87" s="236"/>
      <c r="DJ87" s="236"/>
      <c r="DK87" s="236"/>
      <c r="DL87" s="236"/>
      <c r="DM87" s="236"/>
      <c r="DN87" s="236"/>
      <c r="DO87" s="236"/>
      <c r="DP87" s="236"/>
      <c r="DQ87" s="236"/>
      <c r="DR87" s="236"/>
      <c r="DS87" s="236"/>
      <c r="DT87" s="236"/>
    </row>
    <row r="88" spans="1:124">
      <c r="A88" s="236"/>
      <c r="B88" s="236"/>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c r="AE88" s="236"/>
      <c r="AF88" s="236"/>
      <c r="AG88" s="236"/>
      <c r="AH88" s="236"/>
      <c r="AI88" s="236"/>
      <c r="AJ88" s="236"/>
      <c r="AK88" s="236"/>
      <c r="AL88" s="236"/>
      <c r="AM88" s="236"/>
      <c r="AN88" s="236"/>
      <c r="AO88" s="236"/>
      <c r="AP88" s="236"/>
      <c r="AQ88" s="236"/>
      <c r="AR88" s="236"/>
      <c r="AS88" s="236"/>
      <c r="AT88" s="236"/>
      <c r="AU88" s="236"/>
      <c r="AV88" s="236"/>
      <c r="AW88" s="236"/>
      <c r="AX88" s="236"/>
      <c r="AY88" s="236"/>
      <c r="AZ88" s="236"/>
      <c r="BA88" s="236"/>
      <c r="BB88" s="236"/>
      <c r="BC88" s="236"/>
      <c r="BD88" s="236"/>
      <c r="BE88" s="236"/>
      <c r="BF88" s="236"/>
      <c r="BG88" s="236"/>
      <c r="BH88" s="236"/>
      <c r="BI88" s="236"/>
      <c r="BJ88" s="236"/>
      <c r="BK88" s="236"/>
      <c r="BL88" s="236"/>
      <c r="BM88" s="236"/>
      <c r="BN88" s="236"/>
      <c r="BO88" s="236"/>
      <c r="BP88" s="236"/>
      <c r="BQ88" s="236"/>
      <c r="BR88" s="236"/>
      <c r="BS88" s="236"/>
      <c r="BT88" s="236"/>
      <c r="BU88" s="236"/>
      <c r="BV88" s="236"/>
      <c r="BW88" s="236"/>
      <c r="BX88" s="236"/>
      <c r="BY88" s="236"/>
      <c r="BZ88" s="236"/>
      <c r="CA88" s="236"/>
      <c r="CB88" s="236"/>
      <c r="CC88" s="236"/>
      <c r="CD88" s="236"/>
      <c r="CE88" s="236"/>
      <c r="CF88" s="236"/>
      <c r="CG88" s="236"/>
      <c r="CH88" s="236"/>
      <c r="CI88" s="236"/>
      <c r="CJ88" s="236"/>
      <c r="CK88" s="236"/>
      <c r="CL88" s="236"/>
      <c r="CM88" s="236"/>
      <c r="CN88" s="236"/>
      <c r="CO88" s="236"/>
      <c r="CP88" s="236"/>
      <c r="CQ88" s="236"/>
      <c r="CR88" s="236"/>
      <c r="CS88" s="236"/>
      <c r="CT88" s="236"/>
      <c r="CU88" s="236"/>
      <c r="CV88" s="236"/>
      <c r="CW88" s="236"/>
      <c r="CX88" s="236"/>
      <c r="CY88" s="236"/>
      <c r="CZ88" s="236"/>
      <c r="DA88" s="236"/>
      <c r="DB88" s="236"/>
      <c r="DC88" s="236"/>
      <c r="DD88" s="236"/>
      <c r="DE88" s="236"/>
      <c r="DF88" s="236"/>
      <c r="DG88" s="236"/>
      <c r="DH88" s="236"/>
      <c r="DI88" s="236"/>
      <c r="DJ88" s="236"/>
      <c r="DK88" s="236"/>
      <c r="DL88" s="236"/>
      <c r="DM88" s="236"/>
      <c r="DN88" s="236"/>
      <c r="DO88" s="236"/>
      <c r="DP88" s="236"/>
      <c r="DQ88" s="236"/>
      <c r="DR88" s="236"/>
      <c r="DS88" s="236"/>
      <c r="DT88" s="236"/>
    </row>
    <row r="89" spans="1:124">
      <c r="A89" s="236" t="s">
        <v>282</v>
      </c>
      <c r="B89" s="1807"/>
      <c r="C89" s="1702"/>
      <c r="D89" s="1702"/>
      <c r="E89" s="1702"/>
      <c r="F89" s="1702"/>
      <c r="G89" s="1686"/>
      <c r="H89" s="1702"/>
      <c r="I89" s="1702"/>
      <c r="J89" s="1702"/>
      <c r="K89" s="1702"/>
      <c r="L89" s="1686"/>
      <c r="M89" s="1702"/>
      <c r="N89" s="1702"/>
      <c r="O89" s="236"/>
      <c r="P89" s="236"/>
      <c r="Q89" s="236"/>
      <c r="R89" s="236"/>
      <c r="S89" s="236"/>
      <c r="T89" s="236"/>
      <c r="U89" s="236"/>
      <c r="V89" s="236"/>
      <c r="W89" s="236"/>
      <c r="X89" s="236"/>
      <c r="Y89" s="236"/>
      <c r="Z89" s="236"/>
      <c r="AA89" s="236"/>
      <c r="AB89" s="236"/>
      <c r="AC89" s="236"/>
      <c r="AD89" s="236"/>
      <c r="AE89" s="236"/>
      <c r="AF89" s="236"/>
      <c r="AG89" s="236"/>
      <c r="AH89" s="236"/>
      <c r="AI89" s="236"/>
      <c r="AJ89" s="236"/>
      <c r="AK89" s="236"/>
      <c r="AL89" s="236"/>
      <c r="AM89" s="236"/>
      <c r="AN89" s="236"/>
      <c r="AO89" s="236"/>
      <c r="AP89" s="236"/>
      <c r="AQ89" s="236"/>
      <c r="AR89" s="236"/>
      <c r="AS89" s="236"/>
      <c r="AT89" s="236"/>
      <c r="AU89" s="236"/>
      <c r="AV89" s="236"/>
      <c r="AW89" s="236"/>
      <c r="AX89" s="236"/>
      <c r="AY89" s="236"/>
      <c r="AZ89" s="236"/>
      <c r="BA89" s="236"/>
      <c r="BB89" s="236"/>
      <c r="BC89" s="236"/>
      <c r="BD89" s="236"/>
      <c r="BE89" s="236"/>
      <c r="BF89" s="236"/>
      <c r="BG89" s="236"/>
      <c r="BH89" s="236"/>
      <c r="BI89" s="236"/>
      <c r="BJ89" s="236"/>
      <c r="BK89" s="236"/>
      <c r="BL89" s="236"/>
      <c r="BM89" s="236"/>
      <c r="BN89" s="236"/>
      <c r="BO89" s="236"/>
      <c r="BP89" s="236"/>
      <c r="BQ89" s="236"/>
      <c r="BR89" s="236"/>
      <c r="BS89" s="236"/>
      <c r="BT89" s="236"/>
      <c r="BU89" s="236"/>
      <c r="BV89" s="236"/>
      <c r="BW89" s="236"/>
      <c r="BX89" s="236"/>
      <c r="BY89" s="236"/>
      <c r="BZ89" s="236"/>
      <c r="CA89" s="236"/>
      <c r="CB89" s="236"/>
      <c r="CC89" s="236"/>
      <c r="CD89" s="236"/>
      <c r="CE89" s="236"/>
      <c r="CF89" s="236"/>
      <c r="CG89" s="236"/>
      <c r="CH89" s="236"/>
      <c r="CI89" s="236"/>
      <c r="CJ89" s="236"/>
      <c r="CK89" s="236"/>
      <c r="CL89" s="236"/>
      <c r="CM89" s="236"/>
      <c r="CN89" s="236"/>
      <c r="CO89" s="236"/>
      <c r="CP89" s="236"/>
      <c r="CQ89" s="236"/>
      <c r="CR89" s="236"/>
      <c r="CS89" s="236"/>
      <c r="CT89" s="236"/>
      <c r="CU89" s="236"/>
      <c r="CV89" s="236"/>
      <c r="CW89" s="236"/>
      <c r="CX89" s="236"/>
      <c r="CY89" s="236"/>
      <c r="CZ89" s="236"/>
      <c r="DA89" s="236"/>
      <c r="DB89" s="236"/>
      <c r="DC89" s="236"/>
      <c r="DD89" s="236"/>
      <c r="DE89" s="236"/>
      <c r="DF89" s="236"/>
      <c r="DG89" s="236"/>
      <c r="DH89" s="236"/>
      <c r="DI89" s="236"/>
      <c r="DJ89" s="236"/>
      <c r="DK89" s="236"/>
      <c r="DL89" s="236"/>
      <c r="DM89" s="236"/>
      <c r="DN89" s="236"/>
      <c r="DO89" s="236"/>
      <c r="DP89" s="236"/>
      <c r="DQ89" s="236"/>
      <c r="DR89" s="236"/>
      <c r="DS89" s="236"/>
      <c r="DT89" s="236"/>
    </row>
    <row r="90" spans="1:124">
      <c r="A90" s="236" t="s">
        <v>331</v>
      </c>
      <c r="B90" s="1692"/>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c r="AE90" s="236"/>
      <c r="AF90" s="236"/>
      <c r="AG90" s="236"/>
      <c r="AH90" s="236"/>
      <c r="AI90" s="236"/>
      <c r="AJ90" s="236"/>
      <c r="AK90" s="236"/>
      <c r="AL90" s="236"/>
      <c r="AM90" s="236"/>
      <c r="AN90" s="236"/>
      <c r="AO90" s="236"/>
      <c r="AP90" s="236"/>
      <c r="AQ90" s="236"/>
      <c r="AR90" s="236"/>
      <c r="AS90" s="236"/>
      <c r="AT90" s="236"/>
      <c r="AU90" s="236"/>
      <c r="AV90" s="236"/>
      <c r="AW90" s="236"/>
      <c r="AX90" s="236"/>
      <c r="AY90" s="236"/>
      <c r="AZ90" s="236"/>
      <c r="BA90" s="236"/>
      <c r="BB90" s="236"/>
      <c r="BC90" s="236"/>
      <c r="BD90" s="236"/>
      <c r="BE90" s="236"/>
      <c r="BF90" s="236"/>
      <c r="BG90" s="236"/>
      <c r="BH90" s="236"/>
      <c r="BI90" s="236"/>
      <c r="BJ90" s="236"/>
      <c r="BK90" s="236"/>
      <c r="BL90" s="236"/>
      <c r="BM90" s="236"/>
      <c r="BN90" s="236"/>
      <c r="BO90" s="236"/>
      <c r="BP90" s="236"/>
      <c r="BQ90" s="236"/>
      <c r="BR90" s="236"/>
      <c r="BS90" s="236"/>
      <c r="BT90" s="236"/>
      <c r="BU90" s="236"/>
      <c r="BV90" s="236"/>
      <c r="BW90" s="236"/>
      <c r="BX90" s="236"/>
      <c r="BY90" s="236"/>
      <c r="BZ90" s="236"/>
      <c r="CA90" s="236"/>
      <c r="CB90" s="236"/>
      <c r="CC90" s="236"/>
      <c r="CD90" s="236"/>
      <c r="CE90" s="236"/>
      <c r="CF90" s="236"/>
      <c r="CG90" s="236"/>
      <c r="CH90" s="236"/>
      <c r="CI90" s="236"/>
      <c r="CJ90" s="236"/>
      <c r="CK90" s="236"/>
      <c r="CL90" s="236"/>
      <c r="CM90" s="236"/>
      <c r="CN90" s="236"/>
      <c r="CO90" s="236"/>
      <c r="CP90" s="236"/>
      <c r="CQ90" s="236"/>
      <c r="CR90" s="236"/>
      <c r="CS90" s="236"/>
      <c r="CT90" s="236"/>
      <c r="CU90" s="236"/>
      <c r="CV90" s="236"/>
      <c r="CW90" s="236"/>
      <c r="CX90" s="236"/>
      <c r="CY90" s="236"/>
      <c r="CZ90" s="236"/>
      <c r="DA90" s="236"/>
      <c r="DB90" s="236"/>
      <c r="DC90" s="236"/>
      <c r="DD90" s="236"/>
      <c r="DE90" s="236"/>
      <c r="DF90" s="236"/>
      <c r="DG90" s="236"/>
      <c r="DH90" s="236"/>
      <c r="DI90" s="236"/>
      <c r="DJ90" s="236"/>
      <c r="DK90" s="236"/>
      <c r="DL90" s="236"/>
      <c r="DM90" s="236"/>
      <c r="DN90" s="236"/>
      <c r="DO90" s="236"/>
      <c r="DP90" s="236"/>
      <c r="DQ90" s="236"/>
      <c r="DR90" s="236"/>
      <c r="DS90" s="236"/>
      <c r="DT90" s="236"/>
    </row>
    <row r="91" spans="1:124">
      <c r="A91" s="236" t="s">
        <v>332</v>
      </c>
      <c r="B91" s="1812"/>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c r="AE91" s="236"/>
      <c r="AF91" s="236"/>
      <c r="AG91" s="236"/>
      <c r="AH91" s="236"/>
      <c r="AI91" s="236"/>
      <c r="AJ91" s="236"/>
      <c r="AK91" s="236"/>
      <c r="AL91" s="236"/>
      <c r="AM91" s="236"/>
      <c r="AN91" s="236"/>
      <c r="AO91" s="236"/>
      <c r="AP91" s="236"/>
      <c r="AQ91" s="236"/>
      <c r="AR91" s="236"/>
      <c r="AS91" s="236"/>
      <c r="AT91" s="236"/>
      <c r="AU91" s="236"/>
      <c r="AV91" s="236"/>
      <c r="AW91" s="236"/>
      <c r="AX91" s="236"/>
      <c r="AY91" s="236"/>
      <c r="AZ91" s="236"/>
      <c r="BA91" s="236"/>
      <c r="BB91" s="236"/>
      <c r="BC91" s="236"/>
      <c r="BD91" s="236"/>
      <c r="BE91" s="236"/>
      <c r="BF91" s="236"/>
      <c r="BG91" s="236"/>
      <c r="BH91" s="236"/>
      <c r="BI91" s="236"/>
      <c r="BJ91" s="236"/>
      <c r="BK91" s="236"/>
      <c r="BL91" s="236"/>
      <c r="BM91" s="236"/>
      <c r="BN91" s="236"/>
      <c r="BO91" s="236"/>
      <c r="BP91" s="236"/>
      <c r="BQ91" s="236"/>
      <c r="BR91" s="236"/>
      <c r="BS91" s="236"/>
      <c r="BT91" s="236"/>
      <c r="BU91" s="236"/>
      <c r="BV91" s="236"/>
      <c r="BW91" s="236"/>
      <c r="BX91" s="236"/>
      <c r="BY91" s="236"/>
      <c r="BZ91" s="236"/>
      <c r="CA91" s="236"/>
      <c r="CB91" s="236"/>
      <c r="CC91" s="236"/>
      <c r="CD91" s="236"/>
      <c r="CE91" s="236"/>
      <c r="CF91" s="236"/>
      <c r="CG91" s="236"/>
      <c r="CH91" s="236"/>
      <c r="CI91" s="236"/>
      <c r="CJ91" s="236"/>
      <c r="CK91" s="236"/>
      <c r="CL91" s="236"/>
      <c r="CM91" s="236"/>
      <c r="CN91" s="236"/>
      <c r="CO91" s="236"/>
      <c r="CP91" s="236"/>
      <c r="CQ91" s="236"/>
      <c r="CR91" s="236"/>
      <c r="CS91" s="236"/>
      <c r="CT91" s="236"/>
      <c r="CU91" s="236"/>
      <c r="CV91" s="236"/>
      <c r="CW91" s="236"/>
      <c r="CX91" s="236"/>
      <c r="CY91" s="236"/>
      <c r="CZ91" s="236"/>
      <c r="DA91" s="236"/>
      <c r="DB91" s="236"/>
      <c r="DC91" s="236"/>
      <c r="DD91" s="236"/>
      <c r="DE91" s="236"/>
      <c r="DF91" s="236"/>
      <c r="DG91" s="236"/>
      <c r="DH91" s="236"/>
      <c r="DI91" s="236"/>
      <c r="DJ91" s="236"/>
      <c r="DK91" s="236"/>
      <c r="DL91" s="236"/>
      <c r="DM91" s="236"/>
      <c r="DN91" s="236"/>
      <c r="DO91" s="236"/>
      <c r="DP91" s="236"/>
      <c r="DQ91" s="236"/>
      <c r="DR91" s="236"/>
      <c r="DS91" s="236"/>
      <c r="DT91" s="236"/>
    </row>
    <row r="92" spans="1:124">
      <c r="A92" s="236"/>
      <c r="B92" s="1816"/>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c r="AE92" s="236"/>
      <c r="AF92" s="236"/>
      <c r="AG92" s="236"/>
      <c r="AH92" s="236"/>
      <c r="AI92" s="236"/>
      <c r="AJ92" s="236"/>
      <c r="AK92" s="236"/>
      <c r="AL92" s="236"/>
      <c r="AM92" s="236"/>
      <c r="AN92" s="236"/>
      <c r="AO92" s="236"/>
      <c r="AP92" s="236"/>
      <c r="AQ92" s="236"/>
      <c r="AR92" s="236"/>
      <c r="AS92" s="236"/>
      <c r="AT92" s="236"/>
      <c r="AU92" s="236"/>
      <c r="AV92" s="236"/>
      <c r="AW92" s="236"/>
      <c r="AX92" s="236"/>
      <c r="AY92" s="236"/>
      <c r="AZ92" s="236"/>
      <c r="BA92" s="236"/>
      <c r="BB92" s="236"/>
      <c r="BC92" s="236"/>
      <c r="BD92" s="236"/>
      <c r="BE92" s="236"/>
      <c r="BF92" s="236"/>
      <c r="BG92" s="236"/>
      <c r="BH92" s="236"/>
      <c r="BI92" s="236"/>
      <c r="BJ92" s="236"/>
      <c r="BK92" s="236"/>
      <c r="BL92" s="236"/>
      <c r="BM92" s="236"/>
      <c r="BN92" s="236"/>
      <c r="BO92" s="236"/>
      <c r="BP92" s="236"/>
      <c r="BQ92" s="236"/>
      <c r="BR92" s="236"/>
      <c r="BS92" s="236"/>
      <c r="BT92" s="236"/>
      <c r="BU92" s="236"/>
      <c r="BV92" s="236"/>
      <c r="BW92" s="236"/>
      <c r="BX92" s="236"/>
      <c r="BY92" s="236"/>
      <c r="BZ92" s="236"/>
      <c r="CA92" s="236"/>
      <c r="CB92" s="236"/>
      <c r="CC92" s="236"/>
      <c r="CD92" s="236"/>
      <c r="CE92" s="236"/>
      <c r="CF92" s="236"/>
      <c r="CG92" s="236"/>
      <c r="CH92" s="236"/>
      <c r="CI92" s="236"/>
      <c r="CJ92" s="236"/>
      <c r="CK92" s="236"/>
      <c r="CL92" s="236"/>
      <c r="CM92" s="236"/>
      <c r="CN92" s="236"/>
      <c r="CO92" s="236"/>
      <c r="CP92" s="236"/>
      <c r="CQ92" s="236"/>
      <c r="CR92" s="236"/>
      <c r="CS92" s="236"/>
      <c r="CT92" s="236"/>
      <c r="CU92" s="236"/>
      <c r="CV92" s="236"/>
      <c r="CW92" s="236"/>
      <c r="CX92" s="236"/>
      <c r="CY92" s="236"/>
      <c r="CZ92" s="236"/>
      <c r="DA92" s="236"/>
      <c r="DB92" s="236"/>
      <c r="DC92" s="236"/>
      <c r="DD92" s="236"/>
      <c r="DE92" s="236"/>
      <c r="DF92" s="236"/>
      <c r="DG92" s="236"/>
      <c r="DH92" s="236"/>
      <c r="DI92" s="236"/>
      <c r="DJ92" s="236"/>
      <c r="DK92" s="236"/>
      <c r="DL92" s="236"/>
      <c r="DM92" s="236"/>
      <c r="DN92" s="236"/>
      <c r="DO92" s="236"/>
      <c r="DP92" s="236"/>
      <c r="DQ92" s="236"/>
      <c r="DR92" s="236"/>
      <c r="DS92" s="236"/>
      <c r="DT92" s="236"/>
    </row>
    <row r="93" spans="1:124">
      <c r="A93" s="1871" t="s">
        <v>114</v>
      </c>
      <c r="B93" s="1826"/>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c r="AE93" s="236"/>
      <c r="AF93" s="236"/>
      <c r="AG93" s="236"/>
      <c r="AH93" s="236"/>
      <c r="AI93" s="236"/>
      <c r="AJ93" s="236"/>
      <c r="AK93" s="236"/>
      <c r="AL93" s="236"/>
      <c r="AM93" s="236"/>
      <c r="AN93" s="236"/>
      <c r="AO93" s="236"/>
      <c r="AP93" s="236"/>
      <c r="AQ93" s="236"/>
      <c r="AR93" s="236"/>
      <c r="AS93" s="236"/>
      <c r="AT93" s="236"/>
      <c r="AU93" s="236"/>
      <c r="AV93" s="236"/>
      <c r="AW93" s="236"/>
      <c r="AX93" s="236"/>
      <c r="AY93" s="236"/>
      <c r="AZ93" s="236"/>
      <c r="BA93" s="236"/>
      <c r="BB93" s="236"/>
      <c r="BC93" s="236"/>
      <c r="BD93" s="236"/>
      <c r="BE93" s="236"/>
      <c r="BF93" s="236"/>
      <c r="BG93" s="236"/>
      <c r="BH93" s="236"/>
      <c r="BI93" s="236"/>
      <c r="BJ93" s="236"/>
      <c r="BK93" s="236"/>
      <c r="BL93" s="236"/>
      <c r="BM93" s="236"/>
      <c r="BN93" s="236"/>
      <c r="BO93" s="236"/>
      <c r="BP93" s="236"/>
      <c r="BQ93" s="236"/>
      <c r="BR93" s="236"/>
      <c r="BS93" s="236"/>
      <c r="BT93" s="236"/>
      <c r="BU93" s="236"/>
      <c r="BV93" s="236"/>
      <c r="BW93" s="236"/>
      <c r="BX93" s="236"/>
      <c r="BY93" s="236"/>
      <c r="BZ93" s="236"/>
      <c r="CA93" s="236"/>
      <c r="CB93" s="236"/>
      <c r="CC93" s="236"/>
      <c r="CD93" s="236"/>
      <c r="CE93" s="236"/>
      <c r="CF93" s="236"/>
      <c r="CG93" s="236"/>
      <c r="CH93" s="236"/>
      <c r="CI93" s="236"/>
      <c r="CJ93" s="236"/>
      <c r="CK93" s="236"/>
      <c r="CL93" s="236"/>
      <c r="CM93" s="236"/>
      <c r="CN93" s="236"/>
      <c r="CO93" s="236"/>
      <c r="CP93" s="236"/>
      <c r="CQ93" s="236"/>
      <c r="CR93" s="236"/>
      <c r="CS93" s="236"/>
      <c r="CT93" s="236"/>
      <c r="CU93" s="236"/>
      <c r="CV93" s="236"/>
      <c r="CW93" s="236"/>
      <c r="CX93" s="236"/>
      <c r="CY93" s="236"/>
      <c r="CZ93" s="236"/>
      <c r="DA93" s="236"/>
      <c r="DB93" s="236"/>
      <c r="DC93" s="236"/>
      <c r="DD93" s="236"/>
      <c r="DE93" s="236"/>
      <c r="DF93" s="236"/>
      <c r="DG93" s="236"/>
      <c r="DH93" s="236"/>
      <c r="DI93" s="236"/>
      <c r="DJ93" s="236"/>
      <c r="DK93" s="236"/>
      <c r="DL93" s="236"/>
      <c r="DM93" s="236"/>
      <c r="DN93" s="236"/>
      <c r="DO93" s="236"/>
      <c r="DP93" s="236"/>
      <c r="DQ93" s="236"/>
      <c r="DR93" s="236"/>
      <c r="DS93" s="236"/>
      <c r="DT93" s="236"/>
    </row>
    <row r="94" spans="1:124">
      <c r="A94" s="236"/>
      <c r="B94" s="236"/>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c r="AE94" s="236"/>
      <c r="AF94" s="236"/>
      <c r="AG94" s="236"/>
      <c r="AH94" s="236"/>
      <c r="AI94" s="236"/>
      <c r="AJ94" s="236"/>
      <c r="AK94" s="236"/>
      <c r="AL94" s="236"/>
      <c r="AM94" s="236"/>
      <c r="AN94" s="236"/>
      <c r="AO94" s="236"/>
      <c r="AP94" s="236"/>
      <c r="AQ94" s="236"/>
      <c r="AR94" s="236"/>
      <c r="AS94" s="236"/>
      <c r="AT94" s="236"/>
      <c r="AU94" s="236"/>
      <c r="AV94" s="236"/>
      <c r="AW94" s="236"/>
      <c r="AX94" s="236"/>
      <c r="AY94" s="236"/>
      <c r="AZ94" s="236"/>
      <c r="BA94" s="236"/>
      <c r="BB94" s="236"/>
      <c r="BC94" s="236"/>
      <c r="BD94" s="236"/>
      <c r="BE94" s="236"/>
      <c r="BF94" s="236"/>
      <c r="BG94" s="236"/>
      <c r="BH94" s="236"/>
      <c r="BI94" s="236"/>
      <c r="BJ94" s="236"/>
      <c r="BK94" s="236"/>
      <c r="BL94" s="236"/>
      <c r="BM94" s="236"/>
      <c r="BN94" s="236"/>
      <c r="BO94" s="236"/>
      <c r="BP94" s="236"/>
      <c r="BQ94" s="236"/>
      <c r="BR94" s="236"/>
      <c r="BS94" s="236"/>
      <c r="BT94" s="236"/>
      <c r="BU94" s="236"/>
      <c r="BV94" s="236"/>
      <c r="BW94" s="236"/>
      <c r="BX94" s="236"/>
      <c r="BY94" s="236"/>
      <c r="BZ94" s="236"/>
      <c r="CA94" s="236"/>
      <c r="CB94" s="236"/>
      <c r="CC94" s="236"/>
      <c r="CD94" s="236"/>
      <c r="CE94" s="236"/>
      <c r="CF94" s="236"/>
      <c r="CG94" s="236"/>
      <c r="CH94" s="236"/>
      <c r="CI94" s="236"/>
      <c r="CJ94" s="236"/>
      <c r="CK94" s="236"/>
      <c r="CL94" s="236"/>
      <c r="CM94" s="236"/>
      <c r="CN94" s="236"/>
      <c r="CO94" s="236"/>
      <c r="CP94" s="236"/>
      <c r="CQ94" s="236"/>
      <c r="CR94" s="236"/>
      <c r="CS94" s="236"/>
      <c r="CT94" s="236"/>
      <c r="CU94" s="236"/>
      <c r="CV94" s="236"/>
      <c r="CW94" s="236"/>
      <c r="CX94" s="236"/>
      <c r="CY94" s="236"/>
      <c r="CZ94" s="236"/>
      <c r="DA94" s="236"/>
      <c r="DB94" s="236"/>
      <c r="DC94" s="236"/>
      <c r="DD94" s="236"/>
      <c r="DE94" s="236"/>
      <c r="DF94" s="236"/>
      <c r="DG94" s="236"/>
      <c r="DH94" s="236"/>
      <c r="DI94" s="236"/>
      <c r="DJ94" s="236"/>
      <c r="DK94" s="236"/>
      <c r="DL94" s="236"/>
      <c r="DM94" s="236"/>
      <c r="DN94" s="236"/>
      <c r="DO94" s="236"/>
      <c r="DP94" s="236"/>
      <c r="DQ94" s="236"/>
      <c r="DR94" s="236"/>
      <c r="DS94" s="236"/>
      <c r="DT94" s="236"/>
    </row>
    <row r="95" spans="1:124">
      <c r="A95" s="236"/>
      <c r="B95" s="236"/>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c r="AE95" s="236"/>
      <c r="AF95" s="236"/>
      <c r="AG95" s="236"/>
      <c r="AH95" s="236"/>
      <c r="AI95" s="236"/>
      <c r="AJ95" s="236"/>
      <c r="AK95" s="236"/>
      <c r="AL95" s="236"/>
      <c r="AM95" s="236"/>
      <c r="AN95" s="236"/>
      <c r="AO95" s="236"/>
      <c r="AP95" s="236"/>
      <c r="AQ95" s="236"/>
      <c r="AR95" s="236"/>
      <c r="AS95" s="236"/>
      <c r="AT95" s="236"/>
      <c r="AU95" s="236"/>
      <c r="AV95" s="236"/>
      <c r="AW95" s="236"/>
      <c r="AX95" s="236"/>
      <c r="AY95" s="236"/>
      <c r="AZ95" s="236"/>
      <c r="BA95" s="236"/>
      <c r="BB95" s="236"/>
      <c r="BC95" s="236"/>
      <c r="BD95" s="236"/>
      <c r="BE95" s="236"/>
      <c r="BF95" s="236"/>
      <c r="BG95" s="236"/>
      <c r="BH95" s="236"/>
      <c r="BI95" s="236"/>
      <c r="BJ95" s="236"/>
      <c r="BK95" s="236"/>
      <c r="BL95" s="236"/>
      <c r="BM95" s="236"/>
      <c r="BN95" s="236"/>
      <c r="BO95" s="236"/>
      <c r="BP95" s="236"/>
      <c r="BQ95" s="236"/>
      <c r="BR95" s="236"/>
      <c r="BS95" s="236"/>
      <c r="BT95" s="236"/>
      <c r="BU95" s="236"/>
      <c r="BV95" s="236"/>
      <c r="BW95" s="236"/>
      <c r="BX95" s="236"/>
      <c r="BY95" s="236"/>
      <c r="BZ95" s="236"/>
      <c r="CA95" s="236"/>
      <c r="CB95" s="236"/>
      <c r="CC95" s="236"/>
      <c r="CD95" s="236"/>
      <c r="CE95" s="236"/>
      <c r="CF95" s="236"/>
      <c r="CG95" s="236"/>
      <c r="CH95" s="236"/>
      <c r="CI95" s="236"/>
      <c r="CJ95" s="236"/>
      <c r="CK95" s="236"/>
      <c r="CL95" s="236"/>
      <c r="CM95" s="236"/>
      <c r="CN95" s="236"/>
      <c r="CO95" s="236"/>
      <c r="CP95" s="236"/>
      <c r="CQ95" s="236"/>
      <c r="CR95" s="236"/>
      <c r="CS95" s="236"/>
      <c r="CT95" s="236"/>
      <c r="CU95" s="236"/>
      <c r="CV95" s="236"/>
      <c r="CW95" s="236"/>
      <c r="CX95" s="236"/>
      <c r="CY95" s="236"/>
      <c r="CZ95" s="236"/>
      <c r="DA95" s="236"/>
      <c r="DB95" s="236"/>
      <c r="DC95" s="236"/>
      <c r="DD95" s="236"/>
      <c r="DE95" s="236"/>
      <c r="DF95" s="236"/>
      <c r="DG95" s="236"/>
      <c r="DH95" s="236"/>
      <c r="DI95" s="236"/>
      <c r="DJ95" s="236"/>
      <c r="DK95" s="236"/>
      <c r="DL95" s="236"/>
      <c r="DM95" s="236"/>
      <c r="DN95" s="236"/>
      <c r="DO95" s="236"/>
      <c r="DP95" s="236"/>
      <c r="DQ95" s="236"/>
      <c r="DR95" s="236"/>
      <c r="DS95" s="236"/>
      <c r="DT95" s="236"/>
    </row>
    <row r="96" spans="1:124">
      <c r="A96" s="236"/>
      <c r="B96" s="23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c r="AE96" s="236"/>
      <c r="AF96" s="236"/>
      <c r="AG96" s="236"/>
      <c r="AH96" s="236"/>
      <c r="AI96" s="236"/>
      <c r="AJ96" s="236"/>
      <c r="AK96" s="236"/>
      <c r="AL96" s="236"/>
      <c r="AM96" s="236"/>
      <c r="AN96" s="236"/>
      <c r="AO96" s="236"/>
      <c r="AP96" s="236"/>
      <c r="AQ96" s="236"/>
      <c r="AR96" s="236"/>
      <c r="AS96" s="236"/>
      <c r="AT96" s="236"/>
      <c r="AU96" s="236"/>
      <c r="AV96" s="236"/>
      <c r="AW96" s="236"/>
      <c r="AX96" s="236"/>
      <c r="AY96" s="236"/>
      <c r="AZ96" s="236"/>
      <c r="BA96" s="236"/>
      <c r="BB96" s="236"/>
      <c r="BC96" s="236"/>
      <c r="BD96" s="236"/>
      <c r="BE96" s="236"/>
      <c r="BF96" s="236"/>
      <c r="BG96" s="236"/>
      <c r="BH96" s="236"/>
      <c r="BI96" s="236"/>
      <c r="BJ96" s="236"/>
      <c r="BK96" s="236"/>
      <c r="BL96" s="236"/>
      <c r="BM96" s="236"/>
      <c r="BN96" s="236"/>
      <c r="BO96" s="236"/>
      <c r="BP96" s="236"/>
      <c r="BQ96" s="236"/>
      <c r="BR96" s="236"/>
      <c r="BS96" s="236"/>
      <c r="BT96" s="236"/>
      <c r="BU96" s="236"/>
      <c r="BV96" s="236"/>
      <c r="BW96" s="236"/>
      <c r="BX96" s="236"/>
      <c r="BY96" s="236"/>
      <c r="BZ96" s="236"/>
      <c r="CA96" s="236"/>
      <c r="CB96" s="236"/>
      <c r="CC96" s="236"/>
      <c r="CD96" s="236"/>
      <c r="CE96" s="236"/>
      <c r="CF96" s="236"/>
      <c r="CG96" s="236"/>
      <c r="CH96" s="236"/>
      <c r="CI96" s="236"/>
      <c r="CJ96" s="236"/>
      <c r="CK96" s="236"/>
      <c r="CL96" s="236"/>
      <c r="CM96" s="236"/>
      <c r="CN96" s="236"/>
      <c r="CO96" s="236"/>
      <c r="CP96" s="236"/>
      <c r="CQ96" s="236"/>
      <c r="CR96" s="236"/>
      <c r="CS96" s="236"/>
      <c r="CT96" s="236"/>
      <c r="CU96" s="236"/>
      <c r="CV96" s="236"/>
      <c r="CW96" s="236"/>
      <c r="CX96" s="236"/>
      <c r="CY96" s="236"/>
      <c r="CZ96" s="236"/>
      <c r="DA96" s="236"/>
      <c r="DB96" s="236"/>
      <c r="DC96" s="236"/>
      <c r="DD96" s="236"/>
      <c r="DE96" s="236"/>
      <c r="DF96" s="236"/>
      <c r="DG96" s="236"/>
      <c r="DH96" s="236"/>
      <c r="DI96" s="236"/>
      <c r="DJ96" s="236"/>
      <c r="DK96" s="236"/>
      <c r="DL96" s="236"/>
      <c r="DM96" s="236"/>
      <c r="DN96" s="236"/>
      <c r="DO96" s="236"/>
      <c r="DP96" s="236"/>
      <c r="DQ96" s="236"/>
      <c r="DR96" s="236"/>
      <c r="DS96" s="236"/>
      <c r="DT96" s="236"/>
    </row>
    <row r="97" spans="1:124">
      <c r="A97" s="236"/>
      <c r="B97" s="236"/>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c r="AE97" s="236"/>
      <c r="AF97" s="236"/>
      <c r="AG97" s="236"/>
      <c r="AH97" s="236"/>
      <c r="AI97" s="236"/>
      <c r="AJ97" s="236"/>
      <c r="AK97" s="236"/>
      <c r="AL97" s="236"/>
      <c r="AM97" s="236"/>
      <c r="AN97" s="236"/>
      <c r="AO97" s="236"/>
      <c r="AP97" s="236"/>
      <c r="AQ97" s="236"/>
      <c r="AR97" s="236"/>
      <c r="AS97" s="236"/>
      <c r="AT97" s="236"/>
      <c r="AU97" s="236"/>
      <c r="AV97" s="236"/>
      <c r="AW97" s="236"/>
      <c r="AX97" s="236"/>
      <c r="AY97" s="236"/>
      <c r="AZ97" s="236"/>
      <c r="BA97" s="236"/>
      <c r="BB97" s="236"/>
      <c r="BC97" s="236"/>
      <c r="BD97" s="236"/>
      <c r="BE97" s="236"/>
      <c r="BF97" s="236"/>
      <c r="BG97" s="236"/>
      <c r="BH97" s="236"/>
      <c r="BI97" s="236"/>
      <c r="BJ97" s="236"/>
      <c r="BK97" s="236"/>
      <c r="BL97" s="236"/>
      <c r="BM97" s="236"/>
      <c r="BN97" s="236"/>
      <c r="BO97" s="236"/>
      <c r="BP97" s="236"/>
      <c r="BQ97" s="236"/>
      <c r="BR97" s="236"/>
      <c r="BS97" s="236"/>
      <c r="BT97" s="236"/>
      <c r="BU97" s="236"/>
      <c r="BV97" s="236"/>
      <c r="BW97" s="236"/>
      <c r="BX97" s="236"/>
      <c r="BY97" s="236"/>
      <c r="BZ97" s="236"/>
      <c r="CA97" s="236"/>
      <c r="CB97" s="236"/>
      <c r="CC97" s="236"/>
      <c r="CD97" s="236"/>
      <c r="CE97" s="236"/>
      <c r="CF97" s="236"/>
      <c r="CG97" s="236"/>
      <c r="CH97" s="236"/>
      <c r="CI97" s="236"/>
      <c r="CJ97" s="236"/>
      <c r="CK97" s="236"/>
      <c r="CL97" s="236"/>
      <c r="CM97" s="236"/>
      <c r="CN97" s="236"/>
      <c r="CO97" s="236"/>
      <c r="CP97" s="236"/>
      <c r="CQ97" s="236"/>
      <c r="CR97" s="236"/>
      <c r="CS97" s="236"/>
      <c r="CT97" s="236"/>
      <c r="CU97" s="236"/>
      <c r="CV97" s="236"/>
      <c r="CW97" s="236"/>
      <c r="CX97" s="236"/>
      <c r="CY97" s="236"/>
      <c r="CZ97" s="236"/>
      <c r="DA97" s="236"/>
      <c r="DB97" s="236"/>
      <c r="DC97" s="236"/>
      <c r="DD97" s="236"/>
      <c r="DE97" s="236"/>
      <c r="DF97" s="236"/>
      <c r="DG97" s="236"/>
      <c r="DH97" s="236"/>
      <c r="DI97" s="236"/>
      <c r="DJ97" s="236"/>
      <c r="DK97" s="236"/>
      <c r="DL97" s="236"/>
      <c r="DM97" s="236"/>
      <c r="DN97" s="236"/>
      <c r="DO97" s="236"/>
      <c r="DP97" s="236"/>
      <c r="DQ97" s="236"/>
      <c r="DR97" s="236"/>
      <c r="DS97" s="236"/>
      <c r="DT97" s="236"/>
    </row>
    <row r="98" spans="1:124">
      <c r="A98" s="236"/>
      <c r="B98" s="236"/>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c r="AE98" s="236"/>
      <c r="AF98" s="236"/>
      <c r="AG98" s="236"/>
      <c r="AH98" s="236"/>
      <c r="AI98" s="236"/>
      <c r="AJ98" s="236"/>
      <c r="AK98" s="236"/>
      <c r="AL98" s="236"/>
      <c r="AM98" s="236"/>
      <c r="AN98" s="236"/>
      <c r="AO98" s="236"/>
      <c r="AP98" s="236"/>
      <c r="AQ98" s="236"/>
      <c r="AR98" s="236"/>
      <c r="AS98" s="236"/>
      <c r="AT98" s="236"/>
      <c r="AU98" s="236"/>
      <c r="AV98" s="236"/>
      <c r="AW98" s="236"/>
      <c r="AX98" s="236"/>
      <c r="AY98" s="236"/>
      <c r="AZ98" s="236"/>
      <c r="BA98" s="236"/>
      <c r="BB98" s="236"/>
      <c r="BC98" s="236"/>
      <c r="BD98" s="236"/>
      <c r="BE98" s="236"/>
      <c r="BF98" s="236"/>
      <c r="BG98" s="236"/>
      <c r="BH98" s="236"/>
      <c r="BI98" s="236"/>
      <c r="BJ98" s="236"/>
      <c r="BK98" s="236"/>
      <c r="BL98" s="236"/>
      <c r="BM98" s="236"/>
      <c r="BN98" s="236"/>
      <c r="BO98" s="236"/>
      <c r="BP98" s="236"/>
      <c r="BQ98" s="236"/>
      <c r="BR98" s="236"/>
      <c r="BS98" s="236"/>
      <c r="BT98" s="236"/>
      <c r="BU98" s="236"/>
      <c r="BV98" s="236"/>
      <c r="BW98" s="236"/>
      <c r="BX98" s="236"/>
      <c r="BY98" s="236"/>
      <c r="BZ98" s="236"/>
      <c r="CA98" s="236"/>
      <c r="CB98" s="236"/>
      <c r="CC98" s="236"/>
      <c r="CD98" s="236"/>
      <c r="CE98" s="236"/>
      <c r="CF98" s="236"/>
      <c r="CG98" s="236"/>
      <c r="CH98" s="236"/>
      <c r="CI98" s="236"/>
      <c r="CJ98" s="236"/>
      <c r="CK98" s="236"/>
      <c r="CL98" s="236"/>
      <c r="CM98" s="236"/>
      <c r="CN98" s="236"/>
      <c r="CO98" s="236"/>
      <c r="CP98" s="236"/>
      <c r="CQ98" s="236"/>
      <c r="CR98" s="236"/>
      <c r="CS98" s="236"/>
      <c r="CT98" s="236"/>
      <c r="CU98" s="236"/>
      <c r="CV98" s="236"/>
      <c r="CW98" s="236"/>
      <c r="CX98" s="236"/>
      <c r="CY98" s="236"/>
      <c r="CZ98" s="236"/>
      <c r="DA98" s="236"/>
      <c r="DB98" s="236"/>
      <c r="DC98" s="236"/>
      <c r="DD98" s="236"/>
      <c r="DE98" s="236"/>
      <c r="DF98" s="236"/>
      <c r="DG98" s="236"/>
      <c r="DH98" s="236"/>
      <c r="DI98" s="236"/>
      <c r="DJ98" s="236"/>
      <c r="DK98" s="236"/>
      <c r="DL98" s="236"/>
      <c r="DM98" s="236"/>
      <c r="DN98" s="236"/>
      <c r="DO98" s="236"/>
      <c r="DP98" s="236"/>
      <c r="DQ98" s="236"/>
      <c r="DR98" s="236"/>
      <c r="DS98" s="236"/>
      <c r="DT98" s="236"/>
    </row>
    <row r="99" spans="1:124">
      <c r="A99" s="236"/>
      <c r="B99" s="236"/>
      <c r="C99" s="236"/>
      <c r="D99" s="236"/>
      <c r="E99" s="236"/>
      <c r="F99" s="236"/>
      <c r="G99" s="236"/>
      <c r="H99" s="236"/>
      <c r="I99" s="236"/>
      <c r="J99" s="236"/>
      <c r="K99" s="236"/>
      <c r="L99" s="236"/>
      <c r="M99" s="236"/>
      <c r="N99" s="236"/>
      <c r="O99" s="236"/>
      <c r="P99" s="236"/>
      <c r="Q99" s="236"/>
      <c r="R99" s="236"/>
      <c r="S99" s="236"/>
      <c r="T99" s="236"/>
      <c r="U99" s="236"/>
      <c r="V99" s="236"/>
      <c r="W99" s="236"/>
      <c r="X99" s="236"/>
      <c r="Y99" s="236"/>
      <c r="Z99" s="236"/>
      <c r="AA99" s="236"/>
      <c r="AB99" s="236"/>
      <c r="AC99" s="236"/>
      <c r="AD99" s="236"/>
      <c r="AE99" s="236"/>
      <c r="AF99" s="236"/>
      <c r="AG99" s="236"/>
      <c r="AH99" s="236"/>
      <c r="AI99" s="236"/>
      <c r="AJ99" s="236"/>
      <c r="AK99" s="236"/>
      <c r="AL99" s="236"/>
      <c r="AM99" s="236"/>
      <c r="AN99" s="236"/>
      <c r="AO99" s="236"/>
      <c r="AP99" s="236"/>
      <c r="AQ99" s="236"/>
      <c r="AR99" s="236"/>
      <c r="AS99" s="236"/>
      <c r="AT99" s="236"/>
      <c r="AU99" s="236"/>
      <c r="AV99" s="236"/>
      <c r="AW99" s="236"/>
      <c r="AX99" s="236"/>
      <c r="AY99" s="236"/>
      <c r="AZ99" s="236"/>
      <c r="BA99" s="236"/>
      <c r="BB99" s="236"/>
      <c r="BC99" s="236"/>
      <c r="BD99" s="236"/>
      <c r="BE99" s="236"/>
      <c r="BF99" s="236"/>
      <c r="BG99" s="236"/>
      <c r="BH99" s="236"/>
      <c r="BI99" s="236"/>
      <c r="BJ99" s="236"/>
      <c r="BK99" s="236"/>
      <c r="BL99" s="236"/>
      <c r="BM99" s="236"/>
      <c r="BN99" s="236"/>
      <c r="BO99" s="236"/>
      <c r="BP99" s="236"/>
      <c r="BQ99" s="236"/>
      <c r="BR99" s="236"/>
      <c r="BS99" s="236"/>
      <c r="BT99" s="236"/>
      <c r="BU99" s="236"/>
      <c r="BV99" s="236"/>
      <c r="BW99" s="236"/>
      <c r="BX99" s="236"/>
      <c r="BY99" s="236"/>
      <c r="BZ99" s="236"/>
      <c r="CA99" s="236"/>
      <c r="CB99" s="236"/>
      <c r="CC99" s="236"/>
      <c r="CD99" s="236"/>
      <c r="CE99" s="236"/>
      <c r="CF99" s="236"/>
      <c r="CG99" s="236"/>
      <c r="CH99" s="236"/>
      <c r="CI99" s="236"/>
      <c r="CJ99" s="236"/>
      <c r="CK99" s="236"/>
      <c r="CL99" s="236"/>
      <c r="CM99" s="236"/>
      <c r="CN99" s="236"/>
      <c r="CO99" s="236"/>
      <c r="CP99" s="236"/>
      <c r="CQ99" s="236"/>
      <c r="CR99" s="236"/>
      <c r="CS99" s="236"/>
      <c r="CT99" s="236"/>
      <c r="CU99" s="236"/>
      <c r="CV99" s="236"/>
      <c r="CW99" s="236"/>
      <c r="CX99" s="236"/>
      <c r="CY99" s="236"/>
      <c r="CZ99" s="236"/>
      <c r="DA99" s="236"/>
      <c r="DB99" s="236"/>
      <c r="DC99" s="236"/>
      <c r="DD99" s="236"/>
      <c r="DE99" s="236"/>
      <c r="DF99" s="236"/>
      <c r="DG99" s="236"/>
      <c r="DH99" s="236"/>
      <c r="DI99" s="236"/>
      <c r="DJ99" s="236"/>
      <c r="DK99" s="236"/>
      <c r="DL99" s="236"/>
      <c r="DM99" s="236"/>
      <c r="DN99" s="236"/>
      <c r="DO99" s="236"/>
      <c r="DP99" s="236"/>
      <c r="DQ99" s="236"/>
      <c r="DR99" s="236"/>
      <c r="DS99" s="236"/>
      <c r="DT99" s="236"/>
    </row>
    <row r="100" spans="1:124">
      <c r="A100" s="236"/>
      <c r="B100" s="236"/>
      <c r="C100" s="236"/>
      <c r="D100" s="236"/>
      <c r="E100" s="236"/>
      <c r="F100" s="236"/>
      <c r="G100" s="236"/>
      <c r="H100" s="236"/>
      <c r="I100" s="236"/>
      <c r="J100" s="236"/>
      <c r="K100" s="236"/>
      <c r="L100" s="236"/>
      <c r="M100" s="236"/>
      <c r="N100" s="236"/>
      <c r="O100" s="236"/>
      <c r="P100" s="236"/>
      <c r="Q100" s="236"/>
      <c r="R100" s="236"/>
      <c r="S100" s="236"/>
      <c r="T100" s="236"/>
      <c r="U100" s="236"/>
      <c r="V100" s="236"/>
      <c r="W100" s="236"/>
      <c r="X100" s="236"/>
      <c r="Y100" s="236"/>
      <c r="Z100" s="236"/>
      <c r="AA100" s="236"/>
      <c r="AB100" s="236"/>
      <c r="AC100" s="236"/>
      <c r="AD100" s="236"/>
      <c r="AE100" s="236"/>
      <c r="AF100" s="236"/>
      <c r="AG100" s="236"/>
      <c r="AH100" s="236"/>
      <c r="AI100" s="236"/>
      <c r="AJ100" s="236"/>
      <c r="AK100" s="236"/>
      <c r="AL100" s="236"/>
      <c r="AM100" s="236"/>
      <c r="AN100" s="236"/>
      <c r="AO100" s="236"/>
      <c r="AP100" s="236"/>
      <c r="AQ100" s="236"/>
      <c r="AR100" s="236"/>
      <c r="AS100" s="236"/>
      <c r="AT100" s="236"/>
      <c r="AU100" s="236"/>
      <c r="AV100" s="236"/>
      <c r="AW100" s="236"/>
      <c r="AX100" s="236"/>
      <c r="AY100" s="236"/>
      <c r="AZ100" s="236"/>
      <c r="BA100" s="236"/>
      <c r="BB100" s="236"/>
      <c r="BC100" s="236"/>
      <c r="BD100" s="236"/>
      <c r="BE100" s="236"/>
      <c r="BF100" s="236"/>
      <c r="BG100" s="236"/>
      <c r="BH100" s="236"/>
      <c r="BI100" s="236"/>
      <c r="BJ100" s="236"/>
      <c r="BK100" s="236"/>
      <c r="BL100" s="236"/>
      <c r="BM100" s="236"/>
      <c r="BN100" s="236"/>
      <c r="BO100" s="236"/>
      <c r="BP100" s="236"/>
      <c r="BQ100" s="236"/>
      <c r="BR100" s="236"/>
      <c r="BS100" s="236"/>
      <c r="BT100" s="236"/>
      <c r="BU100" s="236"/>
      <c r="BV100" s="236"/>
      <c r="BW100" s="236"/>
      <c r="BX100" s="236"/>
      <c r="BY100" s="236"/>
      <c r="BZ100" s="236"/>
      <c r="CA100" s="236"/>
      <c r="CB100" s="236"/>
      <c r="CC100" s="236"/>
      <c r="CD100" s="236"/>
      <c r="CE100" s="236"/>
      <c r="CF100" s="236"/>
      <c r="CG100" s="236"/>
      <c r="CH100" s="236"/>
      <c r="CI100" s="236"/>
      <c r="CJ100" s="236"/>
      <c r="CK100" s="236"/>
      <c r="CL100" s="236"/>
      <c r="CM100" s="236"/>
      <c r="CN100" s="236"/>
      <c r="CO100" s="236"/>
      <c r="CP100" s="236"/>
      <c r="CQ100" s="236"/>
      <c r="CR100" s="236"/>
      <c r="CS100" s="236"/>
      <c r="CT100" s="236"/>
      <c r="CU100" s="236"/>
      <c r="CV100" s="236"/>
      <c r="CW100" s="236"/>
      <c r="CX100" s="236"/>
      <c r="CY100" s="236"/>
      <c r="CZ100" s="236"/>
      <c r="DA100" s="236"/>
      <c r="DB100" s="236"/>
      <c r="DC100" s="236"/>
      <c r="DD100" s="236"/>
      <c r="DE100" s="236"/>
      <c r="DF100" s="236"/>
      <c r="DG100" s="236"/>
      <c r="DH100" s="236"/>
      <c r="DI100" s="236"/>
      <c r="DJ100" s="236"/>
      <c r="DK100" s="236"/>
      <c r="DL100" s="236"/>
      <c r="DM100" s="236"/>
      <c r="DN100" s="236"/>
      <c r="DO100" s="236"/>
      <c r="DP100" s="236"/>
      <c r="DQ100" s="236"/>
      <c r="DR100" s="236"/>
      <c r="DS100" s="236"/>
      <c r="DT100" s="236"/>
    </row>
    <row r="101" spans="1:124" customFormat="1"/>
    <row r="102" spans="1:124">
      <c r="BT102" s="236"/>
    </row>
  </sheetData>
  <mergeCells count="4">
    <mergeCell ref="BZ7:CC7"/>
    <mergeCell ref="CE7:CH7"/>
    <mergeCell ref="CJ7:CM7"/>
    <mergeCell ref="CO7:CR7"/>
  </mergeCells>
  <phoneticPr fontId="0" type="noConversion"/>
  <dataValidations disablePrompts="1" count="1">
    <dataValidation type="custom" allowBlank="1" showInputMessage="1" showErrorMessage="1" sqref="A30:A31">
      <formula1>-1</formula1>
    </dataValidation>
  </dataValidations>
  <printOptions horizontalCentered="1"/>
  <pageMargins left="0" right="0" top="0" bottom="0" header="0" footer="0"/>
  <pageSetup paperSize="5" scale="67"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AV65544"/>
  <sheetViews>
    <sheetView view="pageBreakPreview" zoomScale="80" zoomScaleNormal="100" zoomScaleSheetLayoutView="80" workbookViewId="0">
      <pane xSplit="3" ySplit="10" topLeftCell="D11" activePane="bottomRight" state="frozen"/>
      <selection pane="topRight" activeCell="D1" sqref="D1"/>
      <selection pane="bottomLeft" activeCell="A11" sqref="A11"/>
      <selection pane="bottomRight" activeCell="L145" sqref="L145"/>
    </sheetView>
  </sheetViews>
  <sheetFormatPr defaultRowHeight="12.75" outlineLevelRow="1" outlineLevelCol="1"/>
  <cols>
    <col min="1" max="1" width="3" style="3" customWidth="1"/>
    <col min="2" max="2" width="7" style="3" customWidth="1"/>
    <col min="3" max="3" width="1.85546875" style="3" customWidth="1"/>
    <col min="4" max="4" width="6.85546875" style="3" customWidth="1"/>
    <col min="5" max="5" width="7" style="3" customWidth="1"/>
    <col min="6" max="6" width="8.5703125" style="3" bestFit="1" customWidth="1"/>
    <col min="7" max="7" width="7.28515625" style="3" customWidth="1"/>
    <col min="8" max="8" width="10.140625" style="3" bestFit="1" customWidth="1"/>
    <col min="9" max="9" width="8.140625" style="3" customWidth="1"/>
    <col min="10" max="10" width="10.140625" style="3" bestFit="1" customWidth="1"/>
    <col min="11" max="11" width="8.140625" style="3" customWidth="1"/>
    <col min="12" max="12" width="9.42578125" style="3" bestFit="1" customWidth="1"/>
    <col min="13" max="13" width="7.5703125" style="3" customWidth="1"/>
    <col min="14" max="14" width="8.85546875" style="3" bestFit="1" customWidth="1"/>
    <col min="15" max="15" width="9.28515625" style="3" hidden="1" customWidth="1" outlineLevel="1"/>
    <col min="16" max="16" width="9.42578125" style="3" hidden="1" customWidth="1" outlineLevel="1"/>
    <col min="17" max="17" width="9.28515625" style="3" hidden="1" customWidth="1" outlineLevel="1"/>
    <col min="18" max="18" width="9.5703125" style="3" hidden="1" customWidth="1" outlineLevel="1"/>
    <col min="19" max="19" width="7.7109375" style="3" hidden="1" customWidth="1" outlineLevel="1"/>
    <col min="20" max="20" width="9.5703125" style="3" hidden="1" customWidth="1" outlineLevel="1"/>
    <col min="21" max="22" width="14.42578125" style="3" hidden="1" customWidth="1" outlineLevel="1"/>
    <col min="23" max="23" width="17.7109375" style="3" hidden="1" customWidth="1" outlineLevel="1"/>
    <col min="24" max="24" width="7.5703125" style="3" hidden="1" customWidth="1" outlineLevel="1"/>
    <col min="25" max="25" width="3.5703125" style="3" customWidth="1" collapsed="1"/>
    <col min="26" max="26" width="12.85546875" style="3" customWidth="1"/>
    <col min="27" max="27" width="6.7109375" style="3" customWidth="1"/>
    <col min="28" max="28" width="8.85546875" style="3" customWidth="1"/>
    <col min="29" max="29" width="5.85546875" style="3" customWidth="1"/>
    <col min="30" max="30" width="12.5703125" style="3" customWidth="1"/>
    <col min="31" max="31" width="6.7109375" style="3" bestFit="1" customWidth="1"/>
    <col min="32" max="32" width="7.28515625" style="3" bestFit="1" customWidth="1"/>
    <col min="33" max="33" width="5.7109375" style="3" customWidth="1"/>
    <col min="34" max="34" width="12.7109375" style="3" bestFit="1" customWidth="1"/>
    <col min="35" max="35" width="7.140625" style="3" bestFit="1" customWidth="1"/>
    <col min="36" max="36" width="6" style="3" bestFit="1" customWidth="1"/>
    <col min="37" max="37" width="0.85546875" style="3" customWidth="1"/>
    <col min="38" max="38" width="9.28515625" style="3" customWidth="1"/>
    <col min="39" max="39" width="6.42578125" style="3" bestFit="1" customWidth="1"/>
    <col min="40" max="40" width="7.28515625" style="3" customWidth="1"/>
    <col min="41" max="41" width="9.140625" style="3"/>
    <col min="42" max="42" width="9.42578125" style="3" bestFit="1" customWidth="1"/>
    <col min="43" max="43" width="1.5703125" style="3" customWidth="1"/>
    <col min="44" max="44" width="9.42578125" style="3" bestFit="1" customWidth="1"/>
    <col min="45" max="16384" width="9.140625" style="3"/>
  </cols>
  <sheetData>
    <row r="1" spans="1:44">
      <c r="A1" s="93" t="s">
        <v>342</v>
      </c>
      <c r="B1" s="41"/>
      <c r="C1" s="41"/>
      <c r="D1" s="41"/>
      <c r="E1" s="41"/>
      <c r="F1" s="5"/>
      <c r="G1" s="5"/>
      <c r="H1" s="5"/>
      <c r="I1" s="5"/>
      <c r="J1" s="5"/>
      <c r="K1" s="5"/>
      <c r="L1" s="25"/>
      <c r="M1" s="5"/>
      <c r="N1" s="22"/>
      <c r="O1" s="22"/>
      <c r="P1" s="22"/>
      <c r="Q1" s="22"/>
      <c r="R1" s="22"/>
      <c r="S1" s="22"/>
      <c r="T1" s="22"/>
      <c r="U1" s="22"/>
      <c r="V1" s="22"/>
      <c r="W1" s="22"/>
      <c r="X1" s="22"/>
      <c r="Y1" s="25"/>
      <c r="Z1" s="25"/>
      <c r="AA1" s="5"/>
      <c r="AB1" s="22"/>
      <c r="AC1" s="25"/>
      <c r="AD1" s="22"/>
      <c r="AE1" s="5"/>
      <c r="AF1" s="22"/>
      <c r="AG1" s="25"/>
      <c r="AH1" s="22"/>
      <c r="AI1" s="5"/>
      <c r="AJ1" s="22"/>
      <c r="AK1" s="25"/>
      <c r="AL1" s="22"/>
      <c r="AM1" s="5"/>
      <c r="AN1" s="22"/>
      <c r="AO1" s="25"/>
      <c r="AP1" s="25"/>
      <c r="AQ1" s="25"/>
      <c r="AR1" s="26"/>
    </row>
    <row r="2" spans="1:44">
      <c r="A2" s="119" t="s">
        <v>416</v>
      </c>
      <c r="B2" s="42"/>
      <c r="C2" s="42"/>
      <c r="D2" s="42"/>
      <c r="E2" s="42"/>
      <c r="F2" s="7"/>
      <c r="G2" s="7"/>
      <c r="H2" s="7"/>
      <c r="I2" s="7"/>
      <c r="J2" s="7"/>
      <c r="K2" s="7"/>
      <c r="L2" s="7"/>
      <c r="M2" s="7"/>
      <c r="N2" s="23"/>
      <c r="O2" s="23"/>
      <c r="P2" s="23"/>
      <c r="Q2" s="23"/>
      <c r="R2" s="23"/>
      <c r="S2" s="23"/>
      <c r="T2" s="23"/>
      <c r="U2" s="23"/>
      <c r="V2" s="23"/>
      <c r="W2" s="23"/>
      <c r="X2" s="23"/>
      <c r="Y2" s="7"/>
      <c r="Z2" s="7"/>
      <c r="AA2" s="7"/>
      <c r="AB2" s="23"/>
      <c r="AC2" s="7"/>
      <c r="AD2" s="23"/>
      <c r="AE2" s="7"/>
      <c r="AF2" s="23"/>
      <c r="AG2" s="7"/>
      <c r="AH2" s="23"/>
      <c r="AI2" s="7"/>
      <c r="AJ2" s="23"/>
      <c r="AK2" s="7"/>
      <c r="AL2" s="23"/>
      <c r="AM2" s="7"/>
      <c r="AN2" s="23"/>
      <c r="AO2" s="7"/>
      <c r="AP2" s="7"/>
      <c r="AQ2" s="7"/>
      <c r="AR2" s="23"/>
    </row>
    <row r="3" spans="1:44">
      <c r="A3" s="125" t="s">
        <v>634</v>
      </c>
      <c r="B3" s="97"/>
      <c r="C3" s="97"/>
      <c r="D3" s="97"/>
      <c r="E3" s="97"/>
      <c r="F3" s="25"/>
      <c r="G3" s="25"/>
      <c r="H3" s="25"/>
      <c r="I3" s="25"/>
      <c r="J3" s="25"/>
      <c r="K3" s="25"/>
      <c r="L3" s="25"/>
      <c r="M3" s="25"/>
      <c r="N3" s="26"/>
      <c r="O3" s="26"/>
      <c r="P3" s="26"/>
      <c r="Q3" s="26"/>
      <c r="R3" s="26"/>
      <c r="S3" s="26"/>
      <c r="T3" s="26"/>
      <c r="U3" s="26"/>
      <c r="V3" s="26"/>
      <c r="W3" s="26"/>
      <c r="X3" s="26"/>
      <c r="Y3" s="25"/>
      <c r="Z3" s="25"/>
      <c r="AA3" s="25"/>
      <c r="AB3" s="26"/>
      <c r="AC3" s="25"/>
      <c r="AD3" s="26"/>
      <c r="AE3" s="25"/>
      <c r="AF3" s="26"/>
      <c r="AG3" s="25"/>
      <c r="AH3" s="26"/>
      <c r="AI3" s="25"/>
      <c r="AJ3" s="26"/>
      <c r="AK3" s="25"/>
      <c r="AL3" s="26"/>
      <c r="AM3" s="25"/>
      <c r="AN3" s="26"/>
      <c r="AO3" s="25"/>
      <c r="AP3" s="25"/>
      <c r="AQ3" s="25"/>
      <c r="AR3" s="26"/>
    </row>
    <row r="4" spans="1:44">
      <c r="A4" s="125" t="s">
        <v>468</v>
      </c>
      <c r="B4" s="97"/>
      <c r="C4" s="97"/>
      <c r="D4" s="97"/>
      <c r="E4" s="97"/>
      <c r="F4" s="25"/>
      <c r="G4" s="25"/>
      <c r="H4" s="25"/>
      <c r="I4" s="25"/>
      <c r="J4" s="25"/>
      <c r="K4" s="25"/>
      <c r="L4" s="25"/>
      <c r="M4" s="25"/>
      <c r="N4" s="26"/>
      <c r="O4" s="26"/>
      <c r="P4" s="26"/>
      <c r="Q4" s="26"/>
      <c r="R4" s="26"/>
      <c r="S4" s="26"/>
      <c r="T4" s="26"/>
      <c r="U4" s="26"/>
      <c r="V4" s="26"/>
      <c r="W4" s="26"/>
      <c r="X4" s="26"/>
      <c r="Y4" s="25"/>
      <c r="Z4" s="25"/>
      <c r="AA4" s="25"/>
      <c r="AB4" s="26"/>
      <c r="AC4" s="25"/>
      <c r="AD4" s="26"/>
      <c r="AE4" s="25"/>
      <c r="AF4" s="26"/>
      <c r="AG4" s="25"/>
      <c r="AH4" s="26"/>
      <c r="AI4" s="25"/>
      <c r="AJ4" s="26"/>
      <c r="AK4" s="25"/>
      <c r="AL4" s="26"/>
      <c r="AM4" s="25"/>
      <c r="AN4" s="26"/>
      <c r="AO4" s="25"/>
      <c r="AP4" s="25"/>
      <c r="AQ4" s="25"/>
      <c r="AR4" s="26"/>
    </row>
    <row r="5" spans="1:44">
      <c r="A5" s="61"/>
      <c r="B5" s="61"/>
      <c r="C5" s="61"/>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56"/>
      <c r="AP5" s="56"/>
      <c r="AQ5" s="56"/>
      <c r="AR5" s="56"/>
    </row>
    <row r="6" spans="1:44">
      <c r="A6" s="61"/>
      <c r="B6" s="61"/>
      <c r="C6" s="61"/>
      <c r="D6" s="61"/>
      <c r="E6" s="61"/>
      <c r="F6" s="154"/>
      <c r="G6" s="154"/>
      <c r="H6" s="154"/>
      <c r="I6" s="154"/>
      <c r="J6" s="154"/>
      <c r="K6" s="154"/>
      <c r="L6" s="953" t="s">
        <v>577</v>
      </c>
      <c r="M6" s="954"/>
      <c r="N6" s="954"/>
      <c r="O6" s="954"/>
      <c r="P6" s="954"/>
      <c r="Q6" s="954"/>
      <c r="R6" s="954"/>
      <c r="S6" s="954"/>
      <c r="T6" s="954"/>
      <c r="U6" s="954"/>
      <c r="V6" s="954"/>
      <c r="W6" s="954"/>
      <c r="X6" s="954"/>
      <c r="Y6" s="954"/>
      <c r="Z6" s="954"/>
      <c r="AA6" s="954"/>
      <c r="AB6" s="954"/>
      <c r="AC6" s="954"/>
      <c r="AD6" s="954"/>
      <c r="AE6" s="954"/>
      <c r="AF6" s="954"/>
      <c r="AG6" s="954"/>
      <c r="AH6" s="954"/>
      <c r="AI6" s="954"/>
      <c r="AJ6" s="954"/>
      <c r="AK6" s="954"/>
      <c r="AL6" s="954"/>
      <c r="AM6" s="954"/>
      <c r="AN6" s="955"/>
      <c r="AO6" s="56"/>
      <c r="AP6" s="56"/>
      <c r="AQ6" s="56"/>
      <c r="AR6" s="56"/>
    </row>
    <row r="7" spans="1:44">
      <c r="A7" s="956"/>
      <c r="B7" s="61"/>
      <c r="C7" s="61"/>
      <c r="D7" s="61"/>
      <c r="E7" s="61"/>
      <c r="F7" s="61"/>
      <c r="G7" s="61"/>
      <c r="H7" s="61"/>
      <c r="I7" s="61"/>
      <c r="J7" s="61"/>
      <c r="K7" s="61"/>
      <c r="L7" s="61"/>
      <c r="M7" s="61"/>
      <c r="N7" s="61"/>
      <c r="O7" s="61"/>
      <c r="P7" s="61"/>
      <c r="Q7" s="61"/>
      <c r="R7" s="61"/>
      <c r="S7" s="61"/>
      <c r="T7" s="61"/>
      <c r="U7" s="61"/>
      <c r="V7" s="61"/>
      <c r="W7" s="61"/>
      <c r="X7" s="61"/>
      <c r="Y7" s="61"/>
      <c r="Z7" s="61"/>
      <c r="AA7" s="61"/>
      <c r="AB7" s="61"/>
      <c r="AC7" s="61"/>
      <c r="AD7" s="61"/>
      <c r="AE7" s="61"/>
      <c r="AF7" s="61"/>
      <c r="AG7" s="61"/>
      <c r="AH7" s="61"/>
      <c r="AI7" s="61"/>
      <c r="AJ7" s="61"/>
      <c r="AK7" s="61"/>
      <c r="AL7" s="61"/>
      <c r="AM7" s="61"/>
      <c r="AN7" s="61"/>
      <c r="AO7" s="56"/>
      <c r="AP7" s="56"/>
      <c r="AQ7" s="56"/>
      <c r="AR7" s="56"/>
    </row>
    <row r="8" spans="1:44">
      <c r="A8" s="956"/>
      <c r="B8" s="61"/>
      <c r="C8" s="61"/>
      <c r="D8" s="61"/>
      <c r="E8" s="61"/>
      <c r="F8" s="61"/>
      <c r="G8" s="61"/>
      <c r="H8" s="61"/>
      <c r="I8" s="61"/>
      <c r="J8" s="61"/>
      <c r="K8" s="61"/>
      <c r="L8" s="957"/>
      <c r="M8" s="958"/>
      <c r="N8" s="958"/>
      <c r="O8" s="958"/>
      <c r="P8" s="958"/>
      <c r="Q8" s="958"/>
      <c r="R8" s="958"/>
      <c r="S8" s="958"/>
      <c r="T8" s="958"/>
      <c r="U8" s="958"/>
      <c r="V8" s="958"/>
      <c r="W8" s="958"/>
      <c r="X8" s="958"/>
      <c r="Y8" s="61"/>
      <c r="Z8" s="957"/>
      <c r="AA8" s="958"/>
      <c r="AB8" s="958"/>
      <c r="AC8" s="61"/>
      <c r="AD8" s="61"/>
      <c r="AE8" s="958"/>
      <c r="AF8" s="958"/>
      <c r="AG8" s="61"/>
      <c r="AH8" s="957"/>
      <c r="AI8" s="958"/>
      <c r="AJ8" s="958"/>
      <c r="AK8" s="61"/>
      <c r="AL8" s="957"/>
      <c r="AM8" s="958"/>
      <c r="AN8" s="958"/>
      <c r="AO8" s="56"/>
      <c r="AP8" s="56"/>
      <c r="AQ8" s="56"/>
      <c r="AR8" s="56"/>
    </row>
    <row r="9" spans="1:44">
      <c r="A9" s="956"/>
      <c r="B9" s="61"/>
      <c r="C9" s="61"/>
      <c r="D9" s="61"/>
      <c r="E9" s="61"/>
      <c r="F9" s="61"/>
      <c r="G9" s="959" t="s">
        <v>428</v>
      </c>
      <c r="H9" s="98" t="s">
        <v>392</v>
      </c>
      <c r="I9" s="959" t="s">
        <v>428</v>
      </c>
      <c r="J9" s="957" t="s">
        <v>578</v>
      </c>
      <c r="K9" s="959" t="s">
        <v>428</v>
      </c>
      <c r="L9" s="957"/>
      <c r="M9" s="959" t="s">
        <v>428</v>
      </c>
      <c r="N9" s="959" t="s">
        <v>428</v>
      </c>
      <c r="O9" s="959"/>
      <c r="P9" s="959" t="s">
        <v>399</v>
      </c>
      <c r="Q9" s="959" t="s">
        <v>512</v>
      </c>
      <c r="R9" s="957" t="s">
        <v>383</v>
      </c>
      <c r="S9" s="957" t="s">
        <v>385</v>
      </c>
      <c r="T9" s="957" t="s">
        <v>380</v>
      </c>
      <c r="U9" s="957" t="s">
        <v>382</v>
      </c>
      <c r="V9" s="957" t="s">
        <v>397</v>
      </c>
      <c r="W9" s="957" t="s">
        <v>397</v>
      </c>
      <c r="X9" s="959" t="s">
        <v>428</v>
      </c>
      <c r="Y9" s="61"/>
      <c r="Z9" s="957" t="s">
        <v>579</v>
      </c>
      <c r="AA9" s="959" t="s">
        <v>428</v>
      </c>
      <c r="AB9" s="959" t="s">
        <v>428</v>
      </c>
      <c r="AC9" s="61"/>
      <c r="AD9" s="957" t="s">
        <v>585</v>
      </c>
      <c r="AE9" s="959" t="s">
        <v>428</v>
      </c>
      <c r="AF9" s="959" t="s">
        <v>428</v>
      </c>
      <c r="AG9" s="61"/>
      <c r="AH9" s="957"/>
      <c r="AI9" s="959" t="s">
        <v>428</v>
      </c>
      <c r="AJ9" s="959" t="s">
        <v>428</v>
      </c>
      <c r="AK9" s="61"/>
      <c r="AL9" s="957" t="s">
        <v>369</v>
      </c>
      <c r="AM9" s="959" t="s">
        <v>428</v>
      </c>
      <c r="AN9" s="959" t="s">
        <v>428</v>
      </c>
      <c r="AR9" s="957" t="s">
        <v>542</v>
      </c>
    </row>
    <row r="10" spans="1:44">
      <c r="A10" s="956"/>
      <c r="B10" s="61"/>
      <c r="C10" s="61"/>
      <c r="D10" s="98" t="s">
        <v>601</v>
      </c>
      <c r="E10" s="61"/>
      <c r="F10" s="98" t="s">
        <v>383</v>
      </c>
      <c r="G10" s="960" t="s">
        <v>515</v>
      </c>
      <c r="H10" s="98" t="s">
        <v>578</v>
      </c>
      <c r="I10" s="960" t="s">
        <v>515</v>
      </c>
      <c r="J10" s="961" t="s">
        <v>395</v>
      </c>
      <c r="K10" s="960" t="s">
        <v>515</v>
      </c>
      <c r="L10" s="962" t="s">
        <v>578</v>
      </c>
      <c r="M10" s="960" t="s">
        <v>515</v>
      </c>
      <c r="N10" s="963" t="s">
        <v>576</v>
      </c>
      <c r="O10" s="963"/>
      <c r="P10" s="963" t="s">
        <v>400</v>
      </c>
      <c r="Q10" s="963" t="s">
        <v>499</v>
      </c>
      <c r="R10" s="964" t="s">
        <v>384</v>
      </c>
      <c r="S10" s="964" t="s">
        <v>386</v>
      </c>
      <c r="T10" s="964" t="s">
        <v>525</v>
      </c>
      <c r="U10" s="964" t="s">
        <v>525</v>
      </c>
      <c r="V10" s="964" t="s">
        <v>525</v>
      </c>
      <c r="W10" s="964" t="s">
        <v>398</v>
      </c>
      <c r="X10" s="960" t="s">
        <v>515</v>
      </c>
      <c r="Y10" s="61"/>
      <c r="Z10" s="962" t="s">
        <v>583</v>
      </c>
      <c r="AA10" s="960" t="s">
        <v>515</v>
      </c>
      <c r="AB10" s="963" t="s">
        <v>576</v>
      </c>
      <c r="AC10" s="61"/>
      <c r="AD10" s="962" t="s">
        <v>584</v>
      </c>
      <c r="AE10" s="960" t="s">
        <v>515</v>
      </c>
      <c r="AF10" s="963" t="s">
        <v>576</v>
      </c>
      <c r="AG10" s="61"/>
      <c r="AH10" s="962" t="s">
        <v>586</v>
      </c>
      <c r="AI10" s="960" t="s">
        <v>515</v>
      </c>
      <c r="AJ10" s="963" t="s">
        <v>576</v>
      </c>
      <c r="AK10" s="61"/>
      <c r="AL10" s="962" t="s">
        <v>484</v>
      </c>
      <c r="AM10" s="960" t="s">
        <v>515</v>
      </c>
      <c r="AN10" s="963" t="s">
        <v>576</v>
      </c>
      <c r="AR10" s="962" t="s">
        <v>482</v>
      </c>
    </row>
    <row r="11" spans="1:44" hidden="1" outlineLevel="1">
      <c r="A11" s="956"/>
      <c r="B11" s="965" t="s">
        <v>285</v>
      </c>
      <c r="C11" s="965"/>
      <c r="D11" s="965"/>
      <c r="E11" s="965"/>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row>
    <row r="12" spans="1:44" ht="10.5" hidden="1" customHeight="1" outlineLevel="1">
      <c r="A12" s="956" t="s">
        <v>457</v>
      </c>
      <c r="B12" s="3" t="s">
        <v>63</v>
      </c>
      <c r="F12" s="61"/>
      <c r="G12" s="61"/>
      <c r="H12" s="61"/>
      <c r="I12" s="61"/>
      <c r="J12" s="61"/>
      <c r="K12" s="61"/>
      <c r="L12" s="966"/>
      <c r="M12" s="967"/>
      <c r="N12" s="968"/>
      <c r="O12" s="968"/>
      <c r="P12" s="968"/>
      <c r="Q12" s="968"/>
      <c r="R12" s="968"/>
      <c r="S12" s="968"/>
      <c r="T12" s="968"/>
      <c r="U12" s="968"/>
      <c r="V12" s="968"/>
      <c r="W12" s="968"/>
      <c r="X12" s="968"/>
      <c r="Y12" s="61"/>
      <c r="Z12" s="966"/>
      <c r="AA12" s="967"/>
      <c r="AB12" s="968"/>
      <c r="AC12" s="61"/>
      <c r="AD12" s="966"/>
      <c r="AE12" s="967"/>
      <c r="AF12" s="968"/>
      <c r="AG12" s="61"/>
      <c r="AH12" s="969"/>
      <c r="AI12" s="61"/>
      <c r="AJ12" s="968"/>
      <c r="AK12" s="61"/>
      <c r="AL12" s="970">
        <f>AH12+AD12+Z12+L12</f>
        <v>0</v>
      </c>
      <c r="AM12" s="61"/>
      <c r="AN12" s="968"/>
      <c r="AO12" s="3" t="str">
        <f>IF(AL12=AP12," ","no")</f>
        <v xml:space="preserve"> </v>
      </c>
      <c r="AP12" s="139">
        <f>AH12+AD12+Z12+L12</f>
        <v>0</v>
      </c>
    </row>
    <row r="13" spans="1:44" ht="10.5" hidden="1" customHeight="1" outlineLevel="1">
      <c r="A13" s="956" t="s">
        <v>458</v>
      </c>
      <c r="B13" s="3" t="s">
        <v>167</v>
      </c>
      <c r="F13" s="61"/>
      <c r="G13" s="61"/>
      <c r="H13" s="61"/>
      <c r="I13" s="61"/>
      <c r="J13" s="61"/>
      <c r="K13" s="61"/>
      <c r="L13" s="90"/>
      <c r="M13" s="967"/>
      <c r="N13" s="968"/>
      <c r="O13" s="968"/>
      <c r="P13" s="968"/>
      <c r="Q13" s="968"/>
      <c r="R13" s="968"/>
      <c r="S13" s="968"/>
      <c r="T13" s="968"/>
      <c r="U13" s="968"/>
      <c r="V13" s="968"/>
      <c r="W13" s="968"/>
      <c r="X13" s="968"/>
      <c r="Y13" s="61"/>
      <c r="Z13" s="90"/>
      <c r="AA13" s="967"/>
      <c r="AB13" s="968"/>
      <c r="AC13" s="61"/>
      <c r="AD13" s="90"/>
      <c r="AE13" s="967"/>
      <c r="AF13" s="968"/>
      <c r="AG13" s="61"/>
      <c r="AH13" s="136"/>
      <c r="AI13" s="61"/>
      <c r="AJ13" s="968"/>
      <c r="AK13" s="61"/>
      <c r="AL13" s="971">
        <f>AH13+AD13+Z13+L13</f>
        <v>0</v>
      </c>
      <c r="AM13" s="61"/>
      <c r="AN13" s="968"/>
      <c r="AO13" s="3" t="str">
        <f>IF(AL13=AP13," ","no")</f>
        <v xml:space="preserve"> </v>
      </c>
      <c r="AP13" s="145">
        <f>AH13+AD13+Z13+L13</f>
        <v>0</v>
      </c>
    </row>
    <row r="14" spans="1:44" ht="10.5" hidden="1" customHeight="1" outlineLevel="1">
      <c r="A14" s="956" t="s">
        <v>459</v>
      </c>
      <c r="B14" s="3" t="s">
        <v>166</v>
      </c>
      <c r="F14" s="61"/>
      <c r="G14" s="61"/>
      <c r="H14" s="61"/>
      <c r="I14" s="61"/>
      <c r="J14" s="61"/>
      <c r="K14" s="61"/>
      <c r="L14" s="90"/>
      <c r="M14" s="967"/>
      <c r="N14" s="968"/>
      <c r="O14" s="968"/>
      <c r="P14" s="968"/>
      <c r="Q14" s="968"/>
      <c r="R14" s="968"/>
      <c r="S14" s="968"/>
      <c r="T14" s="968"/>
      <c r="U14" s="968"/>
      <c r="V14" s="968"/>
      <c r="W14" s="968"/>
      <c r="X14" s="968"/>
      <c r="Y14" s="61"/>
      <c r="Z14" s="90"/>
      <c r="AA14" s="967"/>
      <c r="AB14" s="968"/>
      <c r="AC14" s="61"/>
      <c r="AD14" s="90"/>
      <c r="AE14" s="967"/>
      <c r="AF14" s="968"/>
      <c r="AG14" s="61"/>
      <c r="AH14" s="136"/>
      <c r="AI14" s="61"/>
      <c r="AJ14" s="968"/>
      <c r="AK14" s="61"/>
      <c r="AL14" s="971">
        <f>AH14+AD14+Z14+L14</f>
        <v>0</v>
      </c>
      <c r="AM14" s="61"/>
      <c r="AN14" s="968"/>
      <c r="AO14" s="3" t="str">
        <f>IF(AL14=AP14," ","no")</f>
        <v xml:space="preserve"> </v>
      </c>
      <c r="AP14" s="145">
        <f>AH14+AD14+Z14+L14</f>
        <v>0</v>
      </c>
    </row>
    <row r="15" spans="1:44" ht="10.5" hidden="1" customHeight="1" outlineLevel="1">
      <c r="A15" s="956" t="s">
        <v>460</v>
      </c>
      <c r="B15" s="3" t="s">
        <v>62</v>
      </c>
      <c r="F15" s="61"/>
      <c r="G15" s="61"/>
      <c r="H15" s="61"/>
      <c r="I15" s="61"/>
      <c r="J15" s="61"/>
      <c r="K15" s="61"/>
      <c r="L15" s="972"/>
      <c r="M15" s="967"/>
      <c r="N15" s="968"/>
      <c r="O15" s="968"/>
      <c r="P15" s="968"/>
      <c r="Q15" s="968"/>
      <c r="R15" s="968"/>
      <c r="S15" s="968"/>
      <c r="T15" s="968"/>
      <c r="U15" s="968"/>
      <c r="V15" s="968"/>
      <c r="W15" s="968"/>
      <c r="X15" s="968"/>
      <c r="Y15" s="61"/>
      <c r="Z15" s="972"/>
      <c r="AA15" s="967"/>
      <c r="AB15" s="968"/>
      <c r="AC15" s="61"/>
      <c r="AD15" s="972"/>
      <c r="AE15" s="967"/>
      <c r="AF15" s="968"/>
      <c r="AG15" s="61"/>
      <c r="AH15" s="972"/>
      <c r="AI15" s="61"/>
      <c r="AJ15" s="968"/>
      <c r="AK15" s="61"/>
      <c r="AL15" s="973">
        <f>AH15+AD15+Z15+L15</f>
        <v>0</v>
      </c>
      <c r="AM15" s="61"/>
      <c r="AN15" s="968"/>
      <c r="AO15" s="3" t="str">
        <f>IF(AL15=AP15," ","no")</f>
        <v xml:space="preserve"> </v>
      </c>
      <c r="AP15" s="145">
        <f>AH15+AD15+Z15+L15</f>
        <v>0</v>
      </c>
    </row>
    <row r="16" spans="1:44" ht="10.5" hidden="1" customHeight="1" outlineLevel="1">
      <c r="A16" s="956"/>
      <c r="B16" s="61" t="s">
        <v>461</v>
      </c>
      <c r="C16" s="61"/>
      <c r="D16" s="61"/>
      <c r="E16" s="61"/>
      <c r="F16" s="61"/>
      <c r="G16" s="61"/>
      <c r="H16" s="61"/>
      <c r="I16" s="61"/>
      <c r="J16" s="61"/>
      <c r="K16" s="61"/>
      <c r="L16" s="969"/>
      <c r="M16" s="956"/>
      <c r="N16" s="968"/>
      <c r="O16" s="968"/>
      <c r="P16" s="968"/>
      <c r="Q16" s="968"/>
      <c r="R16" s="968"/>
      <c r="S16" s="968"/>
      <c r="T16" s="968"/>
      <c r="U16" s="968"/>
      <c r="V16" s="968"/>
      <c r="W16" s="968"/>
      <c r="X16" s="968"/>
      <c r="Y16" s="61"/>
      <c r="Z16" s="969"/>
      <c r="AA16" s="956"/>
      <c r="AB16" s="968"/>
      <c r="AC16" s="61"/>
      <c r="AD16" s="969"/>
      <c r="AE16" s="956"/>
      <c r="AF16" s="968"/>
      <c r="AG16" s="61"/>
      <c r="AH16" s="969"/>
      <c r="AI16" s="61"/>
      <c r="AJ16" s="968"/>
      <c r="AK16" s="61"/>
      <c r="AL16" s="145">
        <f>AH16+AD16+Z16+L16</f>
        <v>0</v>
      </c>
      <c r="AM16" s="61"/>
      <c r="AN16" s="968"/>
      <c r="AO16" s="3" t="str">
        <f>IF(AL16=AP16," ","no")</f>
        <v xml:space="preserve"> </v>
      </c>
      <c r="AP16" s="139">
        <f>AH16+AD16+Z16+L16</f>
        <v>0</v>
      </c>
    </row>
    <row r="17" spans="1:44" ht="6" hidden="1" customHeight="1" outlineLevel="1" collapsed="1">
      <c r="A17" s="956"/>
      <c r="B17" s="61"/>
      <c r="C17" s="61"/>
      <c r="D17" s="61"/>
      <c r="E17" s="61"/>
      <c r="F17" s="61"/>
      <c r="G17" s="61"/>
      <c r="H17" s="61"/>
      <c r="I17" s="61"/>
      <c r="J17" s="61"/>
      <c r="K17" s="61"/>
      <c r="L17" s="61"/>
      <c r="M17" s="61"/>
      <c r="N17" s="61"/>
      <c r="O17" s="61"/>
      <c r="P17" s="359"/>
      <c r="Q17" s="359"/>
      <c r="R17" s="61"/>
      <c r="S17" s="61"/>
      <c r="T17" s="61"/>
      <c r="U17" s="61"/>
      <c r="V17" s="61"/>
      <c r="W17" s="61"/>
      <c r="X17" s="61"/>
      <c r="Y17" s="61"/>
      <c r="Z17" s="61"/>
      <c r="AA17" s="61"/>
      <c r="AB17" s="61"/>
      <c r="AC17" s="61"/>
      <c r="AD17" s="61"/>
      <c r="AE17" s="956"/>
      <c r="AF17" s="61"/>
      <c r="AG17" s="61"/>
      <c r="AH17" s="61"/>
      <c r="AI17" s="61"/>
      <c r="AJ17" s="61"/>
      <c r="AK17" s="61"/>
      <c r="AL17" s="61"/>
      <c r="AM17" s="61"/>
      <c r="AN17" s="61"/>
      <c r="AP17" s="139"/>
    </row>
    <row r="18" spans="1:44" hidden="1" outlineLevel="1">
      <c r="A18" s="956"/>
      <c r="B18" s="965" t="s">
        <v>518</v>
      </c>
      <c r="C18" s="965"/>
      <c r="D18" s="965"/>
      <c r="E18" s="965"/>
      <c r="F18" s="61"/>
      <c r="G18" s="61"/>
      <c r="H18" s="61"/>
      <c r="I18" s="61"/>
      <c r="J18" s="61"/>
      <c r="K18" s="61"/>
      <c r="L18" s="61"/>
      <c r="M18" s="61"/>
      <c r="N18" s="61"/>
      <c r="O18" s="61"/>
      <c r="P18" s="359"/>
      <c r="Q18" s="359"/>
      <c r="R18" s="61"/>
      <c r="S18" s="61"/>
      <c r="T18" s="61"/>
      <c r="U18" s="61"/>
      <c r="V18" s="61"/>
      <c r="W18" s="61"/>
      <c r="X18" s="61"/>
      <c r="Y18" s="61"/>
      <c r="Z18" s="61"/>
      <c r="AA18" s="61"/>
      <c r="AB18" s="61"/>
      <c r="AC18" s="61"/>
      <c r="AD18" s="61"/>
      <c r="AE18" s="956"/>
      <c r="AF18" s="61"/>
      <c r="AG18" s="61"/>
      <c r="AH18" s="61"/>
      <c r="AI18" s="61"/>
      <c r="AJ18" s="61"/>
      <c r="AK18" s="61"/>
      <c r="AL18" s="61"/>
      <c r="AM18" s="61"/>
      <c r="AN18" s="61"/>
      <c r="AP18" s="139"/>
    </row>
    <row r="19" spans="1:44" ht="10.5" hidden="1" customHeight="1" outlineLevel="1">
      <c r="A19" s="956" t="s">
        <v>457</v>
      </c>
      <c r="B19" s="3" t="s">
        <v>63</v>
      </c>
      <c r="F19" s="61"/>
      <c r="G19" s="61"/>
      <c r="H19" s="61"/>
      <c r="I19" s="61"/>
      <c r="J19" s="61"/>
      <c r="K19" s="61"/>
      <c r="L19" s="969">
        <v>36.9</v>
      </c>
      <c r="M19" s="974" t="s">
        <v>147</v>
      </c>
      <c r="N19" s="975">
        <f>L19/$AR19*100</f>
        <v>31.262708418056118</v>
      </c>
      <c r="O19" s="975"/>
      <c r="P19" s="359"/>
      <c r="Q19" s="359"/>
      <c r="R19" s="975"/>
      <c r="S19" s="975"/>
      <c r="T19" s="975"/>
      <c r="U19" s="975"/>
      <c r="V19" s="975"/>
      <c r="W19" s="975"/>
      <c r="X19" s="975"/>
      <c r="Y19" s="61"/>
      <c r="Z19" s="969">
        <v>9.1999999999999993</v>
      </c>
      <c r="AA19" s="974" t="s">
        <v>147</v>
      </c>
      <c r="AB19" s="975">
        <f>Z19/$AR19*100</f>
        <v>7.7944964077538286</v>
      </c>
      <c r="AC19" s="61"/>
      <c r="AD19" s="969">
        <v>6.6</v>
      </c>
      <c r="AE19" s="974" t="s">
        <v>147</v>
      </c>
      <c r="AF19" s="975">
        <f>AD19/$AR19*100</f>
        <v>5.5917039446929646</v>
      </c>
      <c r="AG19" s="61"/>
      <c r="AH19" s="969">
        <v>7.6</v>
      </c>
      <c r="AI19" s="974" t="s">
        <v>147</v>
      </c>
      <c r="AJ19" s="975">
        <f>AH19/$AR19*100</f>
        <v>6.4389318151009896</v>
      </c>
      <c r="AK19" s="61"/>
      <c r="AL19" s="970">
        <f>AH19+AD19+Z19+L19</f>
        <v>60.3</v>
      </c>
      <c r="AM19" s="974" t="s">
        <v>147</v>
      </c>
      <c r="AN19" s="975">
        <f>AL19/$AR19*100</f>
        <v>51.087840585603907</v>
      </c>
      <c r="AO19" s="976" t="str">
        <f>IF(AP19=AL19," ","no")</f>
        <v xml:space="preserve"> </v>
      </c>
      <c r="AP19" s="977">
        <f>ROUND('qtrP&amp;L'!X30,1)</f>
        <v>60.3</v>
      </c>
      <c r="AR19" s="161">
        <f>'qtrP&amp;L'!X10</f>
        <v>118.032</v>
      </c>
    </row>
    <row r="20" spans="1:44" ht="10.5" hidden="1" customHeight="1" outlineLevel="1">
      <c r="A20" s="956" t="s">
        <v>458</v>
      </c>
      <c r="B20" s="3" t="s">
        <v>167</v>
      </c>
      <c r="F20" s="61"/>
      <c r="G20" s="61"/>
      <c r="H20" s="61"/>
      <c r="I20" s="61"/>
      <c r="J20" s="61"/>
      <c r="K20" s="61"/>
      <c r="L20" s="136">
        <v>42.7</v>
      </c>
      <c r="M20" s="974" t="s">
        <v>147</v>
      </c>
      <c r="N20" s="975">
        <f>L20/$AR20*100</f>
        <v>21.995796587818351</v>
      </c>
      <c r="O20" s="975"/>
      <c r="P20" s="359"/>
      <c r="Q20" s="359"/>
      <c r="R20" s="975"/>
      <c r="S20" s="975"/>
      <c r="T20" s="975"/>
      <c r="U20" s="975"/>
      <c r="V20" s="975"/>
      <c r="W20" s="975"/>
      <c r="X20" s="975"/>
      <c r="Y20" s="61"/>
      <c r="Z20" s="136">
        <v>19.2</v>
      </c>
      <c r="AA20" s="974" t="s">
        <v>147</v>
      </c>
      <c r="AB20" s="975">
        <f>Z20/$AR20*100</f>
        <v>9.8903816038902157</v>
      </c>
      <c r="AC20" s="61"/>
      <c r="AD20" s="136">
        <v>6.7</v>
      </c>
      <c r="AE20" s="974" t="s">
        <v>147</v>
      </c>
      <c r="AF20" s="975">
        <f>AD20/$AR20*100</f>
        <v>3.4513310805241906</v>
      </c>
      <c r="AG20" s="61"/>
      <c r="AH20" s="136">
        <v>11</v>
      </c>
      <c r="AI20" s="974" t="s">
        <v>147</v>
      </c>
      <c r="AJ20" s="975">
        <f>AH20/$AR20*100</f>
        <v>5.6663644605621037</v>
      </c>
      <c r="AK20" s="61"/>
      <c r="AL20" s="971">
        <f>AH20+AD20+Z20+L20+0.1</f>
        <v>79.699999999999989</v>
      </c>
      <c r="AM20" s="974" t="s">
        <v>147</v>
      </c>
      <c r="AN20" s="975">
        <f>AL20/$AR20*100</f>
        <v>41.055386136981781</v>
      </c>
      <c r="AO20" s="976" t="str">
        <f>IF(AP20=AL20," ","no")</f>
        <v xml:space="preserve"> </v>
      </c>
      <c r="AP20" s="978">
        <f>ROUND('qtrP&amp;L'!X31,1)</f>
        <v>79.7</v>
      </c>
      <c r="AR20" s="144">
        <f>'qtrP&amp;L'!X11</f>
        <v>194.12799999999999</v>
      </c>
    </row>
    <row r="21" spans="1:44" ht="10.5" hidden="1" customHeight="1" outlineLevel="1">
      <c r="A21" s="956" t="s">
        <v>459</v>
      </c>
      <c r="B21" s="3" t="s">
        <v>166</v>
      </c>
      <c r="F21" s="61"/>
      <c r="G21" s="61"/>
      <c r="H21" s="61"/>
      <c r="I21" s="61"/>
      <c r="J21" s="61"/>
      <c r="K21" s="61"/>
      <c r="L21" s="136">
        <v>37.1</v>
      </c>
      <c r="M21" s="974" t="s">
        <v>147</v>
      </c>
      <c r="N21" s="975">
        <f>L21/$AR21*100</f>
        <v>32.240684093437153</v>
      </c>
      <c r="O21" s="975"/>
      <c r="P21" s="359"/>
      <c r="Q21" s="359"/>
      <c r="R21" s="975"/>
      <c r="S21" s="975"/>
      <c r="T21" s="975"/>
      <c r="U21" s="975"/>
      <c r="V21" s="975"/>
      <c r="W21" s="975"/>
      <c r="X21" s="975"/>
      <c r="Y21" s="61"/>
      <c r="Z21" s="136">
        <v>9.1999999999999993</v>
      </c>
      <c r="AA21" s="974" t="s">
        <v>147</v>
      </c>
      <c r="AB21" s="975">
        <f>Z21/$AR21*100</f>
        <v>7.9949944382647384</v>
      </c>
      <c r="AC21" s="61"/>
      <c r="AD21" s="136">
        <v>6.4</v>
      </c>
      <c r="AE21" s="974" t="s">
        <v>147</v>
      </c>
      <c r="AF21" s="975">
        <f>AD21/$AR21*100</f>
        <v>5.5617352614015578</v>
      </c>
      <c r="AG21" s="61"/>
      <c r="AH21" s="136">
        <v>13.2</v>
      </c>
      <c r="AI21" s="974" t="s">
        <v>147</v>
      </c>
      <c r="AJ21" s="975">
        <f>AH21/$AR21*100</f>
        <v>11.471078976640712</v>
      </c>
      <c r="AK21" s="61"/>
      <c r="AL21" s="971">
        <f>AH21+AD21+Z21+L21-0.1</f>
        <v>65.800000000000011</v>
      </c>
      <c r="AM21" s="974" t="s">
        <v>147</v>
      </c>
      <c r="AN21" s="975">
        <f>AL21/$AR21*100</f>
        <v>57.181590656284762</v>
      </c>
      <c r="AO21" s="976" t="str">
        <f>IF(AP21=AL21," ","no")</f>
        <v xml:space="preserve"> </v>
      </c>
      <c r="AP21" s="978">
        <f>ROUND('qtrP&amp;L'!X32,1)</f>
        <v>65.8</v>
      </c>
      <c r="AR21" s="144">
        <f>'qtrP&amp;L'!X12</f>
        <v>115.072</v>
      </c>
    </row>
    <row r="22" spans="1:44" ht="10.5" hidden="1" customHeight="1" outlineLevel="1">
      <c r="A22" s="956" t="s">
        <v>460</v>
      </c>
      <c r="B22" s="3" t="s">
        <v>62</v>
      </c>
      <c r="F22" s="61"/>
      <c r="G22" s="61"/>
      <c r="H22" s="61"/>
      <c r="I22" s="61"/>
      <c r="J22" s="61"/>
      <c r="K22" s="61"/>
      <c r="L22" s="972">
        <f>L23-SUM(L19:L21)</f>
        <v>38.700000000000017</v>
      </c>
      <c r="M22" s="974" t="s">
        <v>147</v>
      </c>
      <c r="N22" s="975">
        <f>L22/$AR22*100</f>
        <v>31.803165524382436</v>
      </c>
      <c r="O22" s="975"/>
      <c r="P22" s="359"/>
      <c r="Q22" s="359"/>
      <c r="R22" s="975"/>
      <c r="S22" s="975"/>
      <c r="T22" s="975"/>
      <c r="U22" s="975"/>
      <c r="V22" s="975"/>
      <c r="W22" s="975"/>
      <c r="X22" s="975"/>
      <c r="Y22" s="61"/>
      <c r="Z22" s="972">
        <f>Z23-SUM(Z19:Z21)</f>
        <v>12.600000000000009</v>
      </c>
      <c r="AA22" s="974" t="s">
        <v>147</v>
      </c>
      <c r="AB22" s="975">
        <f>Z22/$AR22*100</f>
        <v>10.354519007938471</v>
      </c>
      <c r="AC22" s="61"/>
      <c r="AD22" s="972">
        <f>AD23-SUM(AD19:AD21)</f>
        <v>5.5999999999999979</v>
      </c>
      <c r="AE22" s="974" t="s">
        <v>147</v>
      </c>
      <c r="AF22" s="975">
        <f>AD22/$AR22*100</f>
        <v>4.6020084479726489</v>
      </c>
      <c r="AG22" s="61"/>
      <c r="AH22" s="972">
        <f>AH23-SUM(AH19:AH21)</f>
        <v>10.099999999999998</v>
      </c>
      <c r="AI22" s="974" t="s">
        <v>147</v>
      </c>
      <c r="AJ22" s="975">
        <f>AH22/$AR22*100</f>
        <v>8.3000509508078153</v>
      </c>
      <c r="AK22" s="61"/>
      <c r="AL22" s="973">
        <f>AH22+AD22+Z22+L22+0.1</f>
        <v>67.100000000000023</v>
      </c>
      <c r="AM22" s="974" t="s">
        <v>147</v>
      </c>
      <c r="AN22" s="975">
        <f>AL22/$AR22*100</f>
        <v>55.141922653386601</v>
      </c>
      <c r="AO22" s="976" t="str">
        <f>IF(AP22=AL22," ","no")</f>
        <v xml:space="preserve"> </v>
      </c>
      <c r="AP22" s="978">
        <f>ROUND('qtrP&amp;L'!X33,1)</f>
        <v>67.099999999999994</v>
      </c>
      <c r="AR22" s="144">
        <f>'qtrP&amp;L'!X13</f>
        <v>121.68600000000001</v>
      </c>
    </row>
    <row r="23" spans="1:44" ht="10.5" hidden="1" customHeight="1" outlineLevel="1">
      <c r="A23" s="956"/>
      <c r="B23" s="61" t="s">
        <v>461</v>
      </c>
      <c r="C23" s="61"/>
      <c r="D23" s="61"/>
      <c r="E23" s="61"/>
      <c r="F23" s="61"/>
      <c r="G23" s="61"/>
      <c r="H23" s="61"/>
      <c r="I23" s="61"/>
      <c r="J23" s="61"/>
      <c r="K23" s="61"/>
      <c r="L23" s="969">
        <v>155.4</v>
      </c>
      <c r="M23" s="974" t="s">
        <v>147</v>
      </c>
      <c r="N23" s="975">
        <f>L23/$AR23*100</f>
        <v>28.310239416452003</v>
      </c>
      <c r="O23" s="975"/>
      <c r="P23" s="359"/>
      <c r="Q23" s="359"/>
      <c r="R23" s="975"/>
      <c r="S23" s="975"/>
      <c r="T23" s="975"/>
      <c r="U23" s="975"/>
      <c r="V23" s="975"/>
      <c r="W23" s="975"/>
      <c r="X23" s="975"/>
      <c r="Y23" s="61"/>
      <c r="Z23" s="969">
        <v>50.2</v>
      </c>
      <c r="AA23" s="974" t="s">
        <v>147</v>
      </c>
      <c r="AB23" s="975">
        <f>Z23/$AR23*100</f>
        <v>9.1452639556363611</v>
      </c>
      <c r="AC23" s="61"/>
      <c r="AD23" s="969">
        <v>25.3</v>
      </c>
      <c r="AE23" s="974" t="s">
        <v>147</v>
      </c>
      <c r="AF23" s="975">
        <f>AD23/$AR23*100</f>
        <v>4.6090672923824689</v>
      </c>
      <c r="AG23" s="61"/>
      <c r="AH23" s="969">
        <v>41.9</v>
      </c>
      <c r="AI23" s="974" t="s">
        <v>147</v>
      </c>
      <c r="AJ23" s="975">
        <f>AH23/$AR23*100</f>
        <v>7.6331984012183964</v>
      </c>
      <c r="AK23" s="61"/>
      <c r="AL23" s="145">
        <f>AH23+AD23+Z23+L23</f>
        <v>272.8</v>
      </c>
      <c r="AM23" s="974" t="s">
        <v>147</v>
      </c>
      <c r="AN23" s="975">
        <f>AL23/$AR23*100</f>
        <v>49.697769065689229</v>
      </c>
      <c r="AO23" s="976" t="str">
        <f>IF(AP23=AL23," ","no")</f>
        <v xml:space="preserve"> </v>
      </c>
      <c r="AP23" s="977">
        <f>ROUND('qtrP&amp;L'!X34,1)</f>
        <v>272.8</v>
      </c>
      <c r="AR23" s="161">
        <f>'qtrP&amp;L'!X14</f>
        <v>548.91800000000001</v>
      </c>
    </row>
    <row r="24" spans="1:44" hidden="1" outlineLevel="1" collapsed="1">
      <c r="A24" s="956"/>
      <c r="B24" s="61"/>
      <c r="C24" s="61"/>
      <c r="D24" s="61"/>
      <c r="E24" s="61"/>
      <c r="F24" s="61"/>
      <c r="G24" s="61"/>
      <c r="H24" s="61"/>
      <c r="I24" s="61"/>
      <c r="J24" s="61"/>
      <c r="K24" s="61"/>
      <c r="L24" s="61"/>
      <c r="M24" s="61"/>
      <c r="N24" s="61"/>
      <c r="O24" s="61"/>
      <c r="P24" s="359"/>
      <c r="Q24" s="359"/>
      <c r="R24" s="61"/>
      <c r="S24" s="61"/>
      <c r="T24" s="61"/>
      <c r="U24" s="61"/>
      <c r="V24" s="61"/>
      <c r="W24" s="61"/>
      <c r="X24" s="61"/>
      <c r="Y24" s="61"/>
      <c r="Z24" s="61"/>
      <c r="AA24" s="61"/>
      <c r="AB24" s="61"/>
      <c r="AC24" s="61"/>
      <c r="AD24" s="61"/>
      <c r="AE24" s="61"/>
      <c r="AF24" s="61"/>
      <c r="AG24" s="61"/>
      <c r="AH24" s="61"/>
      <c r="AI24" s="61"/>
      <c r="AJ24" s="61"/>
      <c r="AK24" s="61"/>
      <c r="AM24" s="61"/>
      <c r="AN24" s="61"/>
      <c r="AO24" s="976"/>
      <c r="AP24" s="154"/>
    </row>
    <row r="25" spans="1:44" hidden="1" outlineLevel="1">
      <c r="A25" s="956"/>
      <c r="B25" s="965" t="s">
        <v>517</v>
      </c>
      <c r="C25" s="965"/>
      <c r="D25" s="965"/>
      <c r="E25" s="965"/>
      <c r="F25" s="61"/>
      <c r="G25" s="61"/>
      <c r="H25" s="61"/>
      <c r="I25" s="61"/>
      <c r="J25" s="61"/>
      <c r="K25" s="61"/>
      <c r="L25" s="61"/>
      <c r="M25" s="61"/>
      <c r="N25" s="61"/>
      <c r="O25" s="61"/>
      <c r="P25" s="359"/>
      <c r="Q25" s="359"/>
      <c r="R25" s="61"/>
      <c r="S25" s="61"/>
      <c r="T25" s="61"/>
      <c r="U25" s="61"/>
      <c r="V25" s="61"/>
      <c r="W25" s="61"/>
      <c r="X25" s="61"/>
      <c r="Y25" s="61"/>
      <c r="Z25" s="61"/>
      <c r="AA25" s="61"/>
      <c r="AB25" s="61"/>
      <c r="AC25" s="61"/>
      <c r="AD25" s="61"/>
      <c r="AE25" s="61"/>
      <c r="AF25" s="61"/>
      <c r="AG25" s="61"/>
      <c r="AH25" s="61"/>
      <c r="AI25" s="61"/>
      <c r="AJ25" s="61"/>
      <c r="AK25" s="61"/>
      <c r="AM25" s="61"/>
      <c r="AN25" s="61"/>
      <c r="AO25" s="976"/>
      <c r="AP25" s="154"/>
    </row>
    <row r="26" spans="1:44" ht="10.5" hidden="1" customHeight="1" outlineLevel="1">
      <c r="A26" s="956" t="s">
        <v>457</v>
      </c>
      <c r="B26" s="3" t="s">
        <v>63</v>
      </c>
      <c r="F26" s="979"/>
      <c r="G26" s="61"/>
      <c r="H26" s="61"/>
      <c r="I26" s="61"/>
      <c r="J26" s="61"/>
      <c r="K26" s="61"/>
      <c r="L26" s="969">
        <v>38.4</v>
      </c>
      <c r="M26" s="974">
        <f>(L26/L19-1)*100</f>
        <v>4.0650406504065151</v>
      </c>
      <c r="N26" s="975">
        <f>L26/AR26*100</f>
        <v>29.202631278755842</v>
      </c>
      <c r="O26" s="975"/>
      <c r="P26" s="359"/>
      <c r="Q26" s="359"/>
      <c r="R26" s="975"/>
      <c r="S26" s="975"/>
      <c r="T26" s="975"/>
      <c r="U26" s="975"/>
      <c r="V26" s="975"/>
      <c r="W26" s="975"/>
      <c r="X26" s="975"/>
      <c r="Y26" s="61"/>
      <c r="Z26" s="969">
        <v>10</v>
      </c>
      <c r="AA26" s="974">
        <f>(Z26/Z19-1)*100</f>
        <v>8.6956521739130608</v>
      </c>
      <c r="AB26" s="975">
        <f>Z26/$AR26*100</f>
        <v>7.6048518955093343</v>
      </c>
      <c r="AC26" s="61"/>
      <c r="AD26" s="969">
        <v>6.4</v>
      </c>
      <c r="AE26" s="974">
        <f>(AD26/AD19-1)*100</f>
        <v>-3.0303030303030165</v>
      </c>
      <c r="AF26" s="975">
        <f>AD26/$AR26*100</f>
        <v>4.8671052131259742</v>
      </c>
      <c r="AG26" s="61"/>
      <c r="AH26" s="969">
        <v>10.3</v>
      </c>
      <c r="AI26" s="974">
        <f>(AH26/AH19-1)*100</f>
        <v>35.526315789473692</v>
      </c>
      <c r="AJ26" s="975">
        <f>AH26/$AR26*100</f>
        <v>7.8329974523746158</v>
      </c>
      <c r="AK26" s="61"/>
      <c r="AL26" s="970">
        <f>AH26+AD26+Z26+L26+0.1</f>
        <v>65.199999999999989</v>
      </c>
      <c r="AM26" s="974">
        <f>(AL26/AL19-1)*100</f>
        <v>8.1260364842454358</v>
      </c>
      <c r="AN26" s="975">
        <f>AL26/$AR26*100</f>
        <v>49.58363435872085</v>
      </c>
      <c r="AO26" s="976" t="str">
        <f>IF(AP26=AL26," ","no")</f>
        <v xml:space="preserve"> </v>
      </c>
      <c r="AP26" s="977">
        <f>ROUND('qtrP&amp;L'!AB30,1)</f>
        <v>65.2</v>
      </c>
      <c r="AR26" s="161">
        <f>'qtrP&amp;L'!AB10</f>
        <v>131.495</v>
      </c>
    </row>
    <row r="27" spans="1:44" ht="10.5" hidden="1" customHeight="1" outlineLevel="1">
      <c r="A27" s="956" t="s">
        <v>458</v>
      </c>
      <c r="B27" s="3" t="s">
        <v>167</v>
      </c>
      <c r="F27" s="718"/>
      <c r="G27" s="61"/>
      <c r="H27" s="61"/>
      <c r="I27" s="61"/>
      <c r="J27" s="61"/>
      <c r="K27" s="61"/>
      <c r="L27" s="136">
        <v>45.5</v>
      </c>
      <c r="M27" s="974">
        <f>(L27/L20-1)*100</f>
        <v>6.5573770491803129</v>
      </c>
      <c r="N27" s="975">
        <f>L27/AR27*100</f>
        <v>21.561119851394128</v>
      </c>
      <c r="O27" s="975"/>
      <c r="P27" s="359"/>
      <c r="Q27" s="359"/>
      <c r="R27" s="975"/>
      <c r="S27" s="975"/>
      <c r="T27" s="975"/>
      <c r="U27" s="975"/>
      <c r="V27" s="975"/>
      <c r="W27" s="975"/>
      <c r="X27" s="975"/>
      <c r="Y27" s="61"/>
      <c r="Z27" s="136">
        <v>17.100000000000001</v>
      </c>
      <c r="AA27" s="974">
        <f>(Z27/Z20-1)*100</f>
        <v>-10.937499999999989</v>
      </c>
      <c r="AB27" s="975">
        <f>Z27/$AR27*100</f>
        <v>8.1031900979964746</v>
      </c>
      <c r="AC27" s="61"/>
      <c r="AD27" s="136">
        <v>7.2</v>
      </c>
      <c r="AE27" s="974">
        <f>(AD27/AD20-1)*100</f>
        <v>7.4626865671641784</v>
      </c>
      <c r="AF27" s="975">
        <f>AD27/$AR27*100</f>
        <v>3.411869514945884</v>
      </c>
      <c r="AG27" s="61"/>
      <c r="AH27" s="136">
        <v>5.4</v>
      </c>
      <c r="AI27" s="974">
        <f>(AH27/AH20-1)*100</f>
        <v>-50.909090909090907</v>
      </c>
      <c r="AJ27" s="975">
        <f>AH27/$AR27*100</f>
        <v>2.5589021362094133</v>
      </c>
      <c r="AK27" s="61"/>
      <c r="AL27" s="971">
        <f>AH27+AD27+Z27+L27</f>
        <v>75.2</v>
      </c>
      <c r="AM27" s="974">
        <f>(AL27/AL20-1)*100</f>
        <v>-5.646173149309897</v>
      </c>
      <c r="AN27" s="975">
        <f>AL27/$AR27*100</f>
        <v>35.635081600545902</v>
      </c>
      <c r="AO27" s="976" t="str">
        <f>IF(AP27=AL27," ","no")</f>
        <v xml:space="preserve"> </v>
      </c>
      <c r="AP27" s="978">
        <f>ROUND('qtrP&amp;L'!AB31,1)</f>
        <v>75.2</v>
      </c>
      <c r="AR27" s="144">
        <f>'qtrP&amp;L'!AB11</f>
        <v>211.02799999999999</v>
      </c>
    </row>
    <row r="28" spans="1:44" ht="10.5" hidden="1" customHeight="1" outlineLevel="1">
      <c r="A28" s="956" t="s">
        <v>459</v>
      </c>
      <c r="B28" s="3" t="s">
        <v>166</v>
      </c>
      <c r="F28" s="718"/>
      <c r="G28" s="61"/>
      <c r="H28" s="61"/>
      <c r="I28" s="61"/>
      <c r="J28" s="61"/>
      <c r="K28" s="61"/>
      <c r="L28" s="136">
        <v>39.1</v>
      </c>
      <c r="M28" s="974">
        <f>(L28/L21-1)*100</f>
        <v>5.3908355795148299</v>
      </c>
      <c r="N28" s="975">
        <f>L28/AR28*100</f>
        <v>31.10234341441685</v>
      </c>
      <c r="O28" s="975"/>
      <c r="P28" s="359"/>
      <c r="Q28" s="359"/>
      <c r="R28" s="975"/>
      <c r="S28" s="975"/>
      <c r="T28" s="975"/>
      <c r="U28" s="975"/>
      <c r="V28" s="975"/>
      <c r="W28" s="975"/>
      <c r="X28" s="975"/>
      <c r="Y28" s="61"/>
      <c r="Z28" s="136">
        <v>11.5</v>
      </c>
      <c r="AA28" s="974">
        <f>(Z28/Z21-1)*100</f>
        <v>25</v>
      </c>
      <c r="AB28" s="975">
        <f>Z28/$AR28*100</f>
        <v>9.14774806306378</v>
      </c>
      <c r="AC28" s="61"/>
      <c r="AD28" s="136">
        <v>6.2</v>
      </c>
      <c r="AE28" s="974">
        <f>(AD28/AD21-1)*100</f>
        <v>-3.125</v>
      </c>
      <c r="AF28" s="975">
        <f>AD28/$AR28*100</f>
        <v>4.9318293905213428</v>
      </c>
      <c r="AG28" s="61"/>
      <c r="AH28" s="136">
        <v>11.3</v>
      </c>
      <c r="AI28" s="974">
        <f>(AH28/AH21-1)*100</f>
        <v>-14.39393939393938</v>
      </c>
      <c r="AJ28" s="975">
        <f>AH28/$AR28*100</f>
        <v>8.9886567924018017</v>
      </c>
      <c r="AK28" s="61"/>
      <c r="AL28" s="971">
        <f>AH28+AD28+Z28+L28</f>
        <v>68.099999999999994</v>
      </c>
      <c r="AM28" s="974">
        <f>(AL28/AL21-1)*100</f>
        <v>3.4954407294832457</v>
      </c>
      <c r="AN28" s="975">
        <f>AL28/$AR28*100</f>
        <v>54.170577660403772</v>
      </c>
      <c r="AO28" s="976" t="str">
        <f>IF(AP28=AL28," ","no")</f>
        <v xml:space="preserve"> </v>
      </c>
      <c r="AP28" s="978">
        <f>ROUND('qtrP&amp;L'!AB32,1)</f>
        <v>68.099999999999994</v>
      </c>
      <c r="AR28" s="144">
        <f>'qtrP&amp;L'!AB12</f>
        <v>125.714</v>
      </c>
    </row>
    <row r="29" spans="1:44" ht="10.5" hidden="1" customHeight="1" outlineLevel="1">
      <c r="A29" s="956" t="s">
        <v>460</v>
      </c>
      <c r="B29" s="3" t="s">
        <v>62</v>
      </c>
      <c r="F29" s="718"/>
      <c r="G29" s="61"/>
      <c r="H29" s="61"/>
      <c r="I29" s="61"/>
      <c r="J29" s="61"/>
      <c r="K29" s="61"/>
      <c r="L29" s="972">
        <f>L30-SUM(L26:L28)</f>
        <v>39.699999999999989</v>
      </c>
      <c r="M29" s="974">
        <f>(L29/L22-1)*100</f>
        <v>2.5839793281652979</v>
      </c>
      <c r="N29" s="975">
        <f>L29/AR29*100</f>
        <v>30.017995674989027</v>
      </c>
      <c r="O29" s="975"/>
      <c r="P29" s="359"/>
      <c r="Q29" s="359"/>
      <c r="R29" s="975"/>
      <c r="S29" s="975"/>
      <c r="T29" s="975"/>
      <c r="U29" s="975"/>
      <c r="V29" s="975"/>
      <c r="W29" s="975"/>
      <c r="X29" s="975"/>
      <c r="Y29" s="61"/>
      <c r="Z29" s="972">
        <f>Z30-SUM(Z26:Z28)</f>
        <v>13.600000000000001</v>
      </c>
      <c r="AA29" s="974">
        <f>(Z29/Z22-1)*100</f>
        <v>7.9365079365078639</v>
      </c>
      <c r="AB29" s="975">
        <f>Z29/$AR29*100</f>
        <v>10.283242850877858</v>
      </c>
      <c r="AC29" s="61"/>
      <c r="AD29" s="972">
        <f>AD30-SUM(AD26:AD28)</f>
        <v>6</v>
      </c>
      <c r="AE29" s="974">
        <f>(AD29/AD22-1)*100</f>
        <v>7.1428571428571841</v>
      </c>
      <c r="AF29" s="975">
        <f>AD29/$AR29*100</f>
        <v>4.5367247871519956</v>
      </c>
      <c r="AG29" s="61"/>
      <c r="AH29" s="972">
        <f>AH30-SUM(AH26:AH28)</f>
        <v>8</v>
      </c>
      <c r="AI29" s="974">
        <f>(AH29/AH22-1)*100</f>
        <v>-20.792079207920779</v>
      </c>
      <c r="AJ29" s="975">
        <f>AH29/$AR29*100</f>
        <v>6.0489663828693283</v>
      </c>
      <c r="AK29" s="61"/>
      <c r="AL29" s="973">
        <f>AH29+AD29+Z29+L29</f>
        <v>67.299999999999983</v>
      </c>
      <c r="AM29" s="974">
        <f>(AL29/AL22-1)*100</f>
        <v>0.29806259314451022</v>
      </c>
      <c r="AN29" s="975">
        <f>AL29/$AR29*100</f>
        <v>50.886929695888206</v>
      </c>
      <c r="AO29" s="976" t="str">
        <f>IF(AP29=AL29," ","no")</f>
        <v xml:space="preserve"> </v>
      </c>
      <c r="AP29" s="978">
        <f>ROUND('qtrP&amp;L'!AB33,1)</f>
        <v>67.3</v>
      </c>
      <c r="AR29" s="144">
        <f>'qtrP&amp;L'!AB13</f>
        <v>132.25399999999999</v>
      </c>
    </row>
    <row r="30" spans="1:44" ht="10.5" hidden="1" customHeight="1" outlineLevel="1">
      <c r="A30" s="956"/>
      <c r="B30" s="61" t="s">
        <v>461</v>
      </c>
      <c r="C30" s="61"/>
      <c r="D30" s="61"/>
      <c r="E30" s="61"/>
      <c r="F30" s="979"/>
      <c r="G30" s="61"/>
      <c r="H30" s="61"/>
      <c r="I30" s="61"/>
      <c r="J30" s="61"/>
      <c r="K30" s="61"/>
      <c r="L30" s="969">
        <v>162.69999999999999</v>
      </c>
      <c r="M30" s="974">
        <f>(L30/L23-1)*100</f>
        <v>4.6975546975546845</v>
      </c>
      <c r="N30" s="975">
        <f>L30/AR30*100</f>
        <v>27.094494338799414</v>
      </c>
      <c r="O30" s="975"/>
      <c r="P30" s="359"/>
      <c r="Q30" s="359"/>
      <c r="R30" s="975"/>
      <c r="S30" s="975"/>
      <c r="T30" s="975"/>
      <c r="U30" s="975"/>
      <c r="V30" s="975"/>
      <c r="W30" s="975"/>
      <c r="X30" s="975"/>
      <c r="Y30" s="61"/>
      <c r="Z30" s="969">
        <v>52.2</v>
      </c>
      <c r="AA30" s="974">
        <f>(Z30/Z23-1)*100</f>
        <v>3.9840637450199168</v>
      </c>
      <c r="AB30" s="975">
        <f>Z30/$AR30*100</f>
        <v>8.6928863213603549</v>
      </c>
      <c r="AC30" s="61"/>
      <c r="AD30" s="969">
        <v>25.8</v>
      </c>
      <c r="AE30" s="974">
        <f>(AD30/AD23-1)*100</f>
        <v>1.9762845849802479</v>
      </c>
      <c r="AF30" s="975">
        <f>AD30/$AR30*100</f>
        <v>4.2964840438907501</v>
      </c>
      <c r="AG30" s="61"/>
      <c r="AH30" s="969">
        <v>35</v>
      </c>
      <c r="AI30" s="974">
        <f>(AH30/AH23-1)*100</f>
        <v>-16.467780429594271</v>
      </c>
      <c r="AJ30" s="975">
        <f>AH30/$AR30*100</f>
        <v>5.828563625433187</v>
      </c>
      <c r="AK30" s="61"/>
      <c r="AL30" s="145">
        <f>AH30+AD30+Z30+L30</f>
        <v>275.7</v>
      </c>
      <c r="AM30" s="974">
        <f>(AL30/AL23-1)*100</f>
        <v>1.063049853372422</v>
      </c>
      <c r="AN30" s="975">
        <f>AL30/$AR30*100</f>
        <v>45.91242832948371</v>
      </c>
      <c r="AO30" s="976" t="str">
        <f>IF(AP30=AL30," ","no")</f>
        <v xml:space="preserve"> </v>
      </c>
      <c r="AP30" s="977">
        <f>ROUND('qtrP&amp;L'!AB34,1)</f>
        <v>275.7</v>
      </c>
      <c r="AR30" s="161">
        <f>'qtrP&amp;L'!AB14</f>
        <v>600.49099999999999</v>
      </c>
    </row>
    <row r="31" spans="1:44" ht="10.5" hidden="1" customHeight="1" outlineLevel="1">
      <c r="A31" s="956"/>
      <c r="B31" s="61"/>
      <c r="C31" s="61"/>
      <c r="D31" s="61"/>
      <c r="E31" s="61"/>
      <c r="F31" s="61"/>
      <c r="G31" s="61"/>
      <c r="H31" s="61"/>
      <c r="I31" s="61"/>
      <c r="J31" s="61"/>
      <c r="K31" s="61"/>
      <c r="L31" s="61"/>
      <c r="M31" s="61"/>
      <c r="N31" s="61"/>
      <c r="O31" s="61"/>
      <c r="P31" s="359"/>
      <c r="Q31" s="359"/>
      <c r="R31" s="61"/>
      <c r="S31" s="61"/>
      <c r="T31" s="61"/>
      <c r="U31" s="61"/>
      <c r="V31" s="61"/>
      <c r="W31" s="61"/>
      <c r="X31" s="61"/>
      <c r="Y31" s="61"/>
      <c r="Z31" s="61"/>
      <c r="AA31" s="61"/>
      <c r="AB31" s="61"/>
      <c r="AC31" s="61"/>
      <c r="AD31" s="61"/>
      <c r="AE31" s="61"/>
      <c r="AF31" s="61"/>
      <c r="AG31" s="61"/>
      <c r="AH31" s="61"/>
      <c r="AI31" s="61"/>
      <c r="AJ31" s="61"/>
      <c r="AK31" s="61"/>
      <c r="AM31" s="61"/>
      <c r="AN31" s="61"/>
      <c r="AO31" s="976"/>
      <c r="AP31" s="154"/>
    </row>
    <row r="32" spans="1:44" hidden="1" outlineLevel="1">
      <c r="A32" s="956"/>
      <c r="B32" s="965" t="s">
        <v>275</v>
      </c>
      <c r="C32" s="965"/>
      <c r="D32" s="965"/>
      <c r="E32" s="965"/>
      <c r="F32" s="61"/>
      <c r="G32" s="61"/>
      <c r="H32" s="61"/>
      <c r="I32" s="61"/>
      <c r="J32" s="61"/>
      <c r="K32" s="61"/>
      <c r="L32" s="61"/>
      <c r="M32" s="61"/>
      <c r="N32" s="61"/>
      <c r="O32" s="61"/>
      <c r="P32" s="359"/>
      <c r="Q32" s="359"/>
      <c r="R32" s="61"/>
      <c r="S32" s="61"/>
      <c r="T32" s="61"/>
      <c r="U32" s="61"/>
      <c r="V32" s="61"/>
      <c r="W32" s="61"/>
      <c r="X32" s="61"/>
      <c r="Y32" s="61"/>
      <c r="Z32" s="61"/>
      <c r="AA32" s="61"/>
      <c r="AB32" s="61"/>
      <c r="AC32" s="61"/>
      <c r="AD32" s="61"/>
      <c r="AE32" s="61"/>
      <c r="AF32" s="61"/>
      <c r="AG32" s="61"/>
      <c r="AH32" s="61"/>
      <c r="AI32" s="61"/>
      <c r="AJ32" s="61"/>
      <c r="AK32" s="61"/>
      <c r="AM32" s="61"/>
      <c r="AN32" s="61"/>
      <c r="AO32" s="976"/>
      <c r="AP32" s="154"/>
    </row>
    <row r="33" spans="1:44" ht="10.5" hidden="1" customHeight="1" outlineLevel="1">
      <c r="A33" s="956" t="s">
        <v>457</v>
      </c>
      <c r="B33" s="3" t="s">
        <v>63</v>
      </c>
      <c r="D33" s="980">
        <f>D37/4</f>
        <v>6.3734999999999999</v>
      </c>
      <c r="F33" s="979">
        <f>R37/4</f>
        <v>10.064249999999999</v>
      </c>
      <c r="G33" s="61"/>
      <c r="H33" s="979">
        <f>L33-F33</f>
        <v>38.235749999999996</v>
      </c>
      <c r="I33" s="61"/>
      <c r="J33" s="981">
        <f>L33-F33-D33</f>
        <v>31.862249999999996</v>
      </c>
      <c r="K33" s="61"/>
      <c r="L33" s="969">
        <v>48.3</v>
      </c>
      <c r="M33" s="974">
        <f>(L33/L26-1)*100</f>
        <v>25.78125</v>
      </c>
      <c r="N33" s="975">
        <f>L33/AR33*100</f>
        <v>32.050005972050798</v>
      </c>
      <c r="O33" s="975"/>
      <c r="P33" s="359"/>
      <c r="Q33" s="359"/>
      <c r="R33" s="975"/>
      <c r="S33" s="975"/>
      <c r="T33" s="975"/>
      <c r="U33" s="975"/>
      <c r="V33" s="975"/>
      <c r="W33" s="975"/>
      <c r="X33" s="975"/>
      <c r="Y33" s="61"/>
      <c r="Z33" s="969">
        <v>11.2</v>
      </c>
      <c r="AA33" s="974">
        <f>(Z33/Z26-1)*100</f>
        <v>11.999999999999989</v>
      </c>
      <c r="AB33" s="975">
        <f>Z33/$AR33*100</f>
        <v>7.431885442794389</v>
      </c>
      <c r="AC33" s="61"/>
      <c r="AD33" s="969">
        <v>6.4</v>
      </c>
      <c r="AE33" s="974">
        <f>(AD33/AD26-1)*100</f>
        <v>0</v>
      </c>
      <c r="AF33" s="975">
        <f>AD33/$AR33*100</f>
        <v>4.2467916815967941</v>
      </c>
      <c r="AG33" s="61"/>
      <c r="AH33" s="969">
        <v>11.2</v>
      </c>
      <c r="AI33" s="974">
        <f>(AH33/AH26-1)*100</f>
        <v>8.737864077669899</v>
      </c>
      <c r="AJ33" s="975">
        <f>AH33/$AR33*100</f>
        <v>7.431885442794389</v>
      </c>
      <c r="AK33" s="61"/>
      <c r="AL33" s="970">
        <f>AH33+AD33+Z33+L33</f>
        <v>77.099999999999994</v>
      </c>
      <c r="AM33" s="974">
        <f>(AL33/AL26-1)*100</f>
        <v>18.251533742331304</v>
      </c>
      <c r="AN33" s="975">
        <f>AL33/$AR33*100</f>
        <v>51.160568539236372</v>
      </c>
      <c r="AO33" s="976" t="str">
        <f>IF(AP33=AL33," ","no")</f>
        <v xml:space="preserve"> </v>
      </c>
      <c r="AP33" s="977">
        <f>ROUND('qtrP&amp;L'!AF30,1)</f>
        <v>77.099999999999994</v>
      </c>
      <c r="AR33" s="161">
        <f>'qtrP&amp;L'!AF10</f>
        <v>150.702</v>
      </c>
    </row>
    <row r="34" spans="1:44" ht="10.5" hidden="1" customHeight="1" outlineLevel="1">
      <c r="A34" s="956" t="s">
        <v>458</v>
      </c>
      <c r="B34" s="3" t="s">
        <v>167</v>
      </c>
      <c r="D34" s="980">
        <f>D37/4</f>
        <v>6.3734999999999999</v>
      </c>
      <c r="F34" s="718">
        <f>R37/4</f>
        <v>10.064249999999999</v>
      </c>
      <c r="G34" s="61"/>
      <c r="H34" s="718">
        <f>L34-F34</f>
        <v>50.865749999999998</v>
      </c>
      <c r="I34" s="61"/>
      <c r="J34" s="981">
        <f>L34-F34-D34</f>
        <v>44.492249999999999</v>
      </c>
      <c r="K34" s="61"/>
      <c r="L34" s="136">
        <v>60.93</v>
      </c>
      <c r="M34" s="974">
        <f>(L34/L27-1)*100</f>
        <v>33.912087912087905</v>
      </c>
      <c r="N34" s="975">
        <f>L34/AR34*100</f>
        <v>25.845174973488866</v>
      </c>
      <c r="O34" s="975"/>
      <c r="P34" s="359"/>
      <c r="Q34" s="359"/>
      <c r="R34" s="975"/>
      <c r="S34" s="975"/>
      <c r="T34" s="975"/>
      <c r="U34" s="975"/>
      <c r="V34" s="975"/>
      <c r="W34" s="975"/>
      <c r="X34" s="975"/>
      <c r="Y34" s="61"/>
      <c r="Z34" s="136">
        <v>16.603999999999999</v>
      </c>
      <c r="AA34" s="974">
        <f>(Z34/Z27-1)*100</f>
        <v>-2.9005847953216479</v>
      </c>
      <c r="AB34" s="975">
        <f>Z34/$AR34*100</f>
        <v>7.0430540827147396</v>
      </c>
      <c r="AC34" s="61"/>
      <c r="AD34" s="136">
        <v>7.2480000000000002</v>
      </c>
      <c r="AE34" s="974">
        <f>(AD34/AD27-1)*100</f>
        <v>0.66666666666665986</v>
      </c>
      <c r="AF34" s="975">
        <f>AD34/$AR34*100</f>
        <v>3.0744432661717922</v>
      </c>
      <c r="AG34" s="61"/>
      <c r="AH34" s="136">
        <v>6.8949999999999996</v>
      </c>
      <c r="AI34" s="974">
        <f>(AH34/AH27-1)*100</f>
        <v>27.685185185185169</v>
      </c>
      <c r="AJ34" s="975">
        <f>AH34/$AR34*100</f>
        <v>2.9247083775185576</v>
      </c>
      <c r="AK34" s="61"/>
      <c r="AL34" s="971">
        <f>AH34+AD34+Z34+L34</f>
        <v>91.676999999999992</v>
      </c>
      <c r="AM34" s="974">
        <f>(AL34/AL27-1)*100</f>
        <v>21.910904255319142</v>
      </c>
      <c r="AN34" s="975">
        <f>AL34/$AR34*100</f>
        <v>38.887380699893953</v>
      </c>
      <c r="AO34" s="976" t="str">
        <f>IF(AP34=AL34," ","no")</f>
        <v xml:space="preserve"> </v>
      </c>
      <c r="AP34" s="978">
        <f>'qtrP&amp;L'!AF31</f>
        <v>91.677000000000007</v>
      </c>
      <c r="AR34" s="144">
        <f>'qtrP&amp;L'!AF11</f>
        <v>235.75</v>
      </c>
    </row>
    <row r="35" spans="1:44" ht="10.5" hidden="1" customHeight="1" outlineLevel="1">
      <c r="A35" s="956" t="s">
        <v>459</v>
      </c>
      <c r="B35" s="3" t="s">
        <v>166</v>
      </c>
      <c r="D35" s="980">
        <f>D37/4</f>
        <v>6.3734999999999999</v>
      </c>
      <c r="F35" s="718">
        <f>R37/4</f>
        <v>10.064249999999999</v>
      </c>
      <c r="G35" s="61"/>
      <c r="H35" s="718">
        <f>L35-F35</f>
        <v>46.235749999999996</v>
      </c>
      <c r="I35" s="61"/>
      <c r="J35" s="981">
        <f>L35-F35-D35</f>
        <v>39.862249999999996</v>
      </c>
      <c r="K35" s="61"/>
      <c r="L35" s="136">
        <v>56.3</v>
      </c>
      <c r="M35" s="974">
        <f>(L35/L28-1)*100</f>
        <v>43.989769820971844</v>
      </c>
      <c r="N35" s="975">
        <f>L35/AR35*100</f>
        <v>34.845362100872066</v>
      </c>
      <c r="O35" s="975"/>
      <c r="P35" s="359"/>
      <c r="Q35" s="982"/>
      <c r="R35" s="975"/>
      <c r="S35" s="975"/>
      <c r="T35" s="975"/>
      <c r="U35" s="975"/>
      <c r="V35" s="975"/>
      <c r="W35" s="975"/>
      <c r="X35" s="975"/>
      <c r="Y35" s="61"/>
      <c r="Z35" s="136">
        <v>11.6</v>
      </c>
      <c r="AA35" s="974">
        <f>(Z35/Z28-1)*100</f>
        <v>0.86956521739129933</v>
      </c>
      <c r="AB35" s="975">
        <f>Z35/$AR35*100</f>
        <v>7.1795062232702653</v>
      </c>
      <c r="AC35" s="61"/>
      <c r="AD35" s="136">
        <v>6.6</v>
      </c>
      <c r="AE35" s="974">
        <f>(AD35/AD28-1)*100</f>
        <v>6.4516129032258007</v>
      </c>
      <c r="AF35" s="975">
        <f>AD35/$AR35*100</f>
        <v>4.0848914718606677</v>
      </c>
      <c r="AG35" s="61"/>
      <c r="AH35" s="136">
        <v>12.9</v>
      </c>
      <c r="AI35" s="974">
        <f>(AH35/AH28-1)*100</f>
        <v>14.159292035398231</v>
      </c>
      <c r="AJ35" s="975">
        <f>AH35/$AR35*100</f>
        <v>7.9841060586367609</v>
      </c>
      <c r="AK35" s="61"/>
      <c r="AL35" s="971">
        <f>AH35+AD35+Z35+L35</f>
        <v>87.4</v>
      </c>
      <c r="AM35" s="974">
        <f>(AL35/AL28-1)*100</f>
        <v>28.340675477239373</v>
      </c>
      <c r="AN35" s="975">
        <f>AL35/$AR35*100</f>
        <v>54.093865854639759</v>
      </c>
      <c r="AO35" s="976" t="str">
        <f>IF(AP35=AL35," ","no")</f>
        <v xml:space="preserve"> </v>
      </c>
      <c r="AP35" s="978">
        <f>ROUND('qtrP&amp;L'!AF32,1)</f>
        <v>87.4</v>
      </c>
      <c r="AR35" s="144">
        <f>'qtrP&amp;L'!AF12</f>
        <v>161.571</v>
      </c>
    </row>
    <row r="36" spans="1:44" ht="10.5" hidden="1" customHeight="1" outlineLevel="1">
      <c r="A36" s="956" t="s">
        <v>460</v>
      </c>
      <c r="B36" s="3" t="s">
        <v>62</v>
      </c>
      <c r="D36" s="980">
        <f>D37/4</f>
        <v>6.3734999999999999</v>
      </c>
      <c r="F36" s="718">
        <f>R37/4</f>
        <v>10.064249999999999</v>
      </c>
      <c r="G36" s="61"/>
      <c r="H36" s="718">
        <f>L36-F36</f>
        <v>53.705750000000037</v>
      </c>
      <c r="I36" s="61"/>
      <c r="J36" s="981">
        <f>L36-F36-D36</f>
        <v>47.332250000000037</v>
      </c>
      <c r="K36" s="61"/>
      <c r="L36" s="972">
        <f>L37-SUM(L33:L35)</f>
        <v>63.770000000000039</v>
      </c>
      <c r="M36" s="974">
        <f>(L36/L29-1)*100</f>
        <v>60.629722921914507</v>
      </c>
      <c r="N36" s="975">
        <f>L36/AR36*100</f>
        <v>37.209709417668364</v>
      </c>
      <c r="O36" s="975"/>
      <c r="P36" s="359"/>
      <c r="Q36" s="982"/>
      <c r="R36" s="975"/>
      <c r="S36" s="975"/>
      <c r="T36" s="975"/>
      <c r="U36" s="975"/>
      <c r="V36" s="975"/>
      <c r="W36" s="975"/>
      <c r="X36" s="975"/>
      <c r="Y36" s="61"/>
      <c r="Z36" s="972">
        <f>Z37-SUM(Z33:Z35)</f>
        <v>12.296000000000006</v>
      </c>
      <c r="AA36" s="974">
        <f>(Z36/Z29-1)*100</f>
        <v>-9.5882352941176094</v>
      </c>
      <c r="AB36" s="975">
        <f>Z36/$AR36*100</f>
        <v>7.1746994981911589</v>
      </c>
      <c r="AC36" s="61"/>
      <c r="AD36" s="972">
        <f>AD37-SUM(AD33:AD35)</f>
        <v>6.652000000000001</v>
      </c>
      <c r="AE36" s="974">
        <f>(AD36/AD29-1)*100</f>
        <v>10.866666666666692</v>
      </c>
      <c r="AF36" s="975">
        <f>AD36/$AR36*100</f>
        <v>3.8814330727039335</v>
      </c>
      <c r="AG36" s="61"/>
      <c r="AH36" s="972">
        <f>AH37-SUM(AH33:AH35)</f>
        <v>7.5050000000000026</v>
      </c>
      <c r="AI36" s="974">
        <f>(AH36/AH29-1)*100</f>
        <v>-6.187499999999968</v>
      </c>
      <c r="AJ36" s="975">
        <f>AH36/$AR36*100</f>
        <v>4.3791574279379173</v>
      </c>
      <c r="AK36" s="61"/>
      <c r="AL36" s="973">
        <f>ROUND(AH36+AD36+Z36+L36,1)</f>
        <v>90.2</v>
      </c>
      <c r="AM36" s="974">
        <f>(AL36/AL29-1)*100</f>
        <v>34.026745913818758</v>
      </c>
      <c r="AN36" s="975">
        <f>AL36/$AR36*100</f>
        <v>52.631578947368432</v>
      </c>
      <c r="AO36" s="976" t="str">
        <f>IF(AP36=AL36," ","no")</f>
        <v xml:space="preserve"> </v>
      </c>
      <c r="AP36" s="978">
        <f>ROUND('qtrP&amp;L'!AF33,1)</f>
        <v>90.2</v>
      </c>
      <c r="AR36" s="144">
        <f>'qtrP&amp;L'!AF13</f>
        <v>171.38</v>
      </c>
    </row>
    <row r="37" spans="1:44" ht="10.5" hidden="1" customHeight="1" outlineLevel="1">
      <c r="A37" s="956"/>
      <c r="B37" s="61" t="s">
        <v>461</v>
      </c>
      <c r="C37" s="61"/>
      <c r="D37" s="981">
        <f>'yrP&amp;L'!I48</f>
        <v>25.494</v>
      </c>
      <c r="E37" s="61"/>
      <c r="F37" s="979">
        <f>SUM(F33:F36)</f>
        <v>40.256999999999998</v>
      </c>
      <c r="G37" s="61"/>
      <c r="H37" s="979">
        <f>L37-F37</f>
        <v>189.04300000000001</v>
      </c>
      <c r="I37" s="61"/>
      <c r="J37" s="983">
        <f>L37-F37-D37</f>
        <v>163.54900000000001</v>
      </c>
      <c r="K37" s="61"/>
      <c r="L37" s="969">
        <v>229.3</v>
      </c>
      <c r="M37" s="974">
        <f>(L37/L30-1)*100</f>
        <v>40.934234787953308</v>
      </c>
      <c r="N37" s="975">
        <f>L37/AR37*100</f>
        <v>31.873650791003094</v>
      </c>
      <c r="O37" s="975"/>
      <c r="P37" s="359">
        <f>yrSales!I85</f>
        <v>0.55570699999999995</v>
      </c>
      <c r="Q37" s="982">
        <f>(AVERAGE(yrSales!I61,yrSales!H61))</f>
        <v>280</v>
      </c>
      <c r="R37" s="178">
        <f>'yrP&amp;L'!I18</f>
        <v>40.256999999999998</v>
      </c>
      <c r="S37" s="2">
        <f>R37/L37</f>
        <v>0.17556476232010465</v>
      </c>
      <c r="T37" s="178">
        <f>L37/(AVERAGE(yrSales!I61,yrSales!H61))</f>
        <v>0.81892857142857145</v>
      </c>
      <c r="U37" s="178">
        <f>(L37-'yrP&amp;L'!$I$18)/Q37</f>
        <v>0.67515357142857146</v>
      </c>
      <c r="V37" s="178">
        <f>J37/Q37</f>
        <v>0.5841035714285715</v>
      </c>
      <c r="W37" s="984">
        <f>J37/P37</f>
        <v>294.3079716469291</v>
      </c>
      <c r="X37" s="975"/>
      <c r="Y37" s="61"/>
      <c r="Z37" s="969">
        <v>51.7</v>
      </c>
      <c r="AA37" s="974">
        <f>(Z37/Z30-1)*100</f>
        <v>-0.95785440613026518</v>
      </c>
      <c r="AB37" s="975">
        <f>Z37/$AR37*100</f>
        <v>7.1865143737237682</v>
      </c>
      <c r="AC37" s="61"/>
      <c r="AD37" s="969">
        <v>26.9</v>
      </c>
      <c r="AE37" s="974">
        <f>(AD37/AD30-1)*100</f>
        <v>4.2635658914728536</v>
      </c>
      <c r="AF37" s="975">
        <f>AD37/$AR37*100</f>
        <v>3.739211540680258</v>
      </c>
      <c r="AG37" s="61"/>
      <c r="AH37" s="969">
        <v>38.5</v>
      </c>
      <c r="AI37" s="974">
        <f>(AH37/AH30-1)*100</f>
        <v>10.000000000000009</v>
      </c>
      <c r="AJ37" s="975">
        <f>AH37/$AR37*100</f>
        <v>5.3516596400070613</v>
      </c>
      <c r="AK37" s="61"/>
      <c r="AL37" s="145">
        <f>AH37+AD37+Z37+L37</f>
        <v>346.40000000000003</v>
      </c>
      <c r="AM37" s="974">
        <f>(AL37/AL30-1)*100</f>
        <v>25.643815741748298</v>
      </c>
      <c r="AN37" s="975">
        <f>AL37/$AR37*100</f>
        <v>48.151036345414191</v>
      </c>
      <c r="AO37" s="976" t="str">
        <f>IF(AP37=AL37," ","no")</f>
        <v xml:space="preserve"> </v>
      </c>
      <c r="AP37" s="977">
        <f>ROUND('qtrP&amp;L'!AF34,1)</f>
        <v>346.4</v>
      </c>
      <c r="AR37" s="161">
        <f>'qtrP&amp;L'!AF14</f>
        <v>719.40300000000002</v>
      </c>
    </row>
    <row r="38" spans="1:44" ht="10.5" hidden="1" customHeight="1" outlineLevel="1">
      <c r="A38" s="956"/>
      <c r="B38" s="61"/>
      <c r="C38" s="61"/>
      <c r="D38" s="981"/>
      <c r="E38" s="61"/>
      <c r="F38" s="61"/>
      <c r="G38" s="61"/>
      <c r="H38" s="61"/>
      <c r="I38" s="61"/>
      <c r="J38" s="61"/>
      <c r="K38" s="61"/>
      <c r="L38" s="61"/>
      <c r="M38" s="61"/>
      <c r="N38" s="61"/>
      <c r="O38" s="61"/>
      <c r="P38" s="359"/>
      <c r="Q38" s="982"/>
      <c r="R38" s="178"/>
      <c r="S38" s="178"/>
      <c r="T38" s="985"/>
      <c r="U38" s="985"/>
      <c r="V38" s="985"/>
      <c r="W38" s="985"/>
      <c r="X38" s="61"/>
      <c r="Y38" s="61"/>
      <c r="Z38" s="61"/>
      <c r="AA38" s="61"/>
      <c r="AB38" s="61"/>
      <c r="AC38" s="61"/>
      <c r="AD38" s="61"/>
      <c r="AE38" s="61"/>
      <c r="AF38" s="61"/>
      <c r="AG38" s="61"/>
      <c r="AH38" s="61"/>
      <c r="AI38" s="61"/>
      <c r="AJ38" s="61"/>
      <c r="AK38" s="61"/>
      <c r="AM38" s="61"/>
      <c r="AN38" s="61"/>
      <c r="AO38" s="976"/>
      <c r="AP38" s="154"/>
    </row>
    <row r="39" spans="1:44" hidden="1" outlineLevel="1">
      <c r="A39" s="956"/>
      <c r="B39" s="965" t="s">
        <v>276</v>
      </c>
      <c r="C39" s="965"/>
      <c r="D39" s="986"/>
      <c r="E39" s="965"/>
      <c r="F39" s="61"/>
      <c r="G39" s="61"/>
      <c r="H39" s="61"/>
      <c r="I39" s="61"/>
      <c r="J39" s="61"/>
      <c r="K39" s="61"/>
      <c r="L39" s="61"/>
      <c r="M39" s="61"/>
      <c r="N39" s="61"/>
      <c r="O39" s="61"/>
      <c r="P39" s="359"/>
      <c r="Q39" s="982"/>
      <c r="R39" s="178"/>
      <c r="S39" s="178"/>
      <c r="T39" s="985"/>
      <c r="U39" s="985"/>
      <c r="V39" s="985"/>
      <c r="W39" s="985"/>
      <c r="X39" s="61"/>
      <c r="Y39" s="61"/>
      <c r="Z39" s="61"/>
      <c r="AA39" s="61"/>
      <c r="AB39" s="61"/>
      <c r="AC39" s="61"/>
      <c r="AD39" s="61"/>
      <c r="AE39" s="61"/>
      <c r="AF39" s="61"/>
      <c r="AG39" s="61"/>
      <c r="AH39" s="61"/>
      <c r="AI39" s="61"/>
      <c r="AJ39" s="61"/>
      <c r="AK39" s="61"/>
      <c r="AM39" s="61"/>
      <c r="AN39" s="61"/>
      <c r="AO39" s="976"/>
      <c r="AP39" s="154"/>
    </row>
    <row r="40" spans="1:44" ht="10.5" hidden="1" customHeight="1" outlineLevel="1">
      <c r="A40" s="956" t="s">
        <v>457</v>
      </c>
      <c r="B40" s="3" t="s">
        <v>63</v>
      </c>
      <c r="D40" s="980">
        <f>D44/4</f>
        <v>7.5577500000000004</v>
      </c>
      <c r="F40" s="979">
        <f>R44/4</f>
        <v>12.995749999999999</v>
      </c>
      <c r="G40" s="974">
        <f>(F40/F33-1)*100</f>
        <v>29.12785354099907</v>
      </c>
      <c r="H40" s="979">
        <f>L40-F40</f>
        <v>49.10425</v>
      </c>
      <c r="I40" s="974">
        <f>(H40/H33-1)*100</f>
        <v>28.424968779218407</v>
      </c>
      <c r="J40" s="981">
        <f>L40-F40-D40</f>
        <v>41.546500000000002</v>
      </c>
      <c r="K40" s="974">
        <f>(J40/J33-1)*100</f>
        <v>30.394118431686422</v>
      </c>
      <c r="L40" s="969">
        <v>62.1</v>
      </c>
      <c r="M40" s="974">
        <f>(L40/L33-1)*100</f>
        <v>28.57142857142858</v>
      </c>
      <c r="N40" s="975">
        <f>L40/AR40*100</f>
        <v>32.211047196186541</v>
      </c>
      <c r="O40" s="975"/>
      <c r="P40" s="359"/>
      <c r="Q40" s="982">
        <f>AVERAGE(CoachNAqtrSalesOld!L64,CoachNAqtrSalesOld!L68)</f>
        <v>216</v>
      </c>
      <c r="R40" s="178"/>
      <c r="S40" s="178"/>
      <c r="T40" s="178">
        <f>L40/Q40</f>
        <v>0.28750000000000003</v>
      </c>
      <c r="U40" s="178"/>
      <c r="V40" s="178"/>
      <c r="W40" s="178"/>
      <c r="X40" s="975"/>
      <c r="Y40" s="61"/>
      <c r="Z40" s="969">
        <v>12.3</v>
      </c>
      <c r="AA40" s="974">
        <f>(Z40/Z33-1)*100</f>
        <v>9.8214285714285801</v>
      </c>
      <c r="AB40" s="975">
        <f>Z40/$AR40*100</f>
        <v>6.379965869776079</v>
      </c>
      <c r="AC40" s="61"/>
      <c r="AD40" s="969">
        <v>7</v>
      </c>
      <c r="AE40" s="974">
        <f>(AD40/AD33-1)*100</f>
        <v>9.375</v>
      </c>
      <c r="AF40" s="975">
        <f>AD40/$AR40*100</f>
        <v>3.6308748852384185</v>
      </c>
      <c r="AG40" s="61"/>
      <c r="AH40" s="969">
        <v>12.2</v>
      </c>
      <c r="AI40" s="974">
        <f>(AH40/AH33-1)*100</f>
        <v>8.9285714285714199</v>
      </c>
      <c r="AJ40" s="975">
        <f>AH40/$AR40*100</f>
        <v>6.3280962285583868</v>
      </c>
      <c r="AK40" s="61"/>
      <c r="AL40" s="970">
        <f>AH40+AD40+Z40+L40</f>
        <v>93.6</v>
      </c>
      <c r="AM40" s="974">
        <f>(AL40/AL33-1)*100</f>
        <v>21.400778210116723</v>
      </c>
      <c r="AN40" s="975">
        <f>AL40/$AR40*100</f>
        <v>48.549984179759427</v>
      </c>
      <c r="AO40" s="976" t="str">
        <f>IF(AP40=AL40," ","no")</f>
        <v xml:space="preserve"> </v>
      </c>
      <c r="AP40" s="977">
        <f>ROUND('qtrP&amp;L'!AJ30,1)</f>
        <v>93.6</v>
      </c>
      <c r="AR40" s="161">
        <f>'qtrP&amp;L'!AJ10</f>
        <v>192.791</v>
      </c>
    </row>
    <row r="41" spans="1:44" ht="10.5" hidden="1" customHeight="1" outlineLevel="1">
      <c r="A41" s="956" t="s">
        <v>458</v>
      </c>
      <c r="B41" s="3" t="s">
        <v>167</v>
      </c>
      <c r="D41" s="980">
        <f>D44/4</f>
        <v>7.5577500000000004</v>
      </c>
      <c r="F41" s="718">
        <f>R44/4</f>
        <v>12.995749999999999</v>
      </c>
      <c r="G41" s="974">
        <f>(F41/F34-1)*100</f>
        <v>29.12785354099907</v>
      </c>
      <c r="H41" s="718">
        <f>L41-F41</f>
        <v>64.304249999999996</v>
      </c>
      <c r="I41" s="974">
        <f>(H41/H34-1)*100</f>
        <v>26.419545568481738</v>
      </c>
      <c r="J41" s="981">
        <f>L41-F41-D41</f>
        <v>56.746499999999997</v>
      </c>
      <c r="K41" s="974">
        <f>(J41/J34-1)*100</f>
        <v>27.542437166023291</v>
      </c>
      <c r="L41" s="136">
        <v>77.3</v>
      </c>
      <c r="M41" s="974">
        <f>(L41/L34-1)*100</f>
        <v>26.866896438536013</v>
      </c>
      <c r="N41" s="975">
        <f>L41/AR41*100</f>
        <v>25.054858146718395</v>
      </c>
      <c r="O41" s="975"/>
      <c r="P41" s="359"/>
      <c r="Q41" s="982">
        <f>AVERAGE(CoachNAqtrSalesOld!L65,CoachNAqtrSalesOld!L69)</f>
        <v>226</v>
      </c>
      <c r="R41" s="178"/>
      <c r="S41" s="178"/>
      <c r="T41" s="359">
        <f>L41/Q41</f>
        <v>0.34203539823008849</v>
      </c>
      <c r="U41" s="178"/>
      <c r="V41" s="178"/>
      <c r="W41" s="178"/>
      <c r="X41" s="975"/>
      <c r="Y41" s="61"/>
      <c r="Z41" s="136">
        <v>18.2</v>
      </c>
      <c r="AA41" s="974">
        <f>(Z41/Z34-1)*100</f>
        <v>9.6121416526138361</v>
      </c>
      <c r="AB41" s="975">
        <f>Z41/$AR41*100</f>
        <v>5.899073975035896</v>
      </c>
      <c r="AC41" s="61"/>
      <c r="AD41" s="136">
        <v>8.3000000000000007</v>
      </c>
      <c r="AE41" s="974">
        <f>(AD41/AD34-1)*100</f>
        <v>14.514348785871967</v>
      </c>
      <c r="AF41" s="975">
        <f>AD41/$AR41*100</f>
        <v>2.6902370325713156</v>
      </c>
      <c r="AG41" s="61"/>
      <c r="AH41" s="136">
        <v>10.4</v>
      </c>
      <c r="AI41" s="974">
        <f>(AH41/AH34-1)*100</f>
        <v>50.833937635968105</v>
      </c>
      <c r="AJ41" s="975">
        <f>AH41/$AR41*100</f>
        <v>3.3708994143062267</v>
      </c>
      <c r="AK41" s="61"/>
      <c r="AL41" s="971">
        <f>AH41+AD41+Z41+L41</f>
        <v>114.2</v>
      </c>
      <c r="AM41" s="974">
        <f>(AL41/AL34-1)*100</f>
        <v>24.567775996160446</v>
      </c>
      <c r="AN41" s="975">
        <f>AL41/$AR41*100</f>
        <v>37.015068568631833</v>
      </c>
      <c r="AO41" s="976" t="str">
        <f>IF(AP41=AL41," ","no")</f>
        <v xml:space="preserve"> </v>
      </c>
      <c r="AP41" s="978">
        <f>ROUND('qtrP&amp;L'!AJ31,1)</f>
        <v>114.2</v>
      </c>
      <c r="AR41" s="144">
        <f>'qtrP&amp;L'!AJ11</f>
        <v>308.52300000000002</v>
      </c>
    </row>
    <row r="42" spans="1:44" ht="10.5" hidden="1" customHeight="1" outlineLevel="1">
      <c r="A42" s="956" t="s">
        <v>459</v>
      </c>
      <c r="B42" s="3" t="s">
        <v>166</v>
      </c>
      <c r="D42" s="980">
        <f>D44/4</f>
        <v>7.5577500000000004</v>
      </c>
      <c r="F42" s="718">
        <f>R44/4</f>
        <v>12.995749999999999</v>
      </c>
      <c r="G42" s="974">
        <f>(F42/F35-1)*100</f>
        <v>29.12785354099907</v>
      </c>
      <c r="H42" s="718">
        <f>L42-F42</f>
        <v>60.904250000000005</v>
      </c>
      <c r="I42" s="974">
        <f>(H42/H35-1)*100</f>
        <v>31.725450544221758</v>
      </c>
      <c r="J42" s="981">
        <f>L42-F42-D42</f>
        <v>53.346500000000006</v>
      </c>
      <c r="K42" s="974">
        <f>(J42/J35-1)*100</f>
        <v>33.827117134632424</v>
      </c>
      <c r="L42" s="136">
        <v>73.900000000000006</v>
      </c>
      <c r="M42" s="974">
        <f>(L42/L35-1)*100</f>
        <v>31.261101243339272</v>
      </c>
      <c r="N42" s="975">
        <f>L42/AR42*100</f>
        <v>33.530554093540722</v>
      </c>
      <c r="O42" s="975"/>
      <c r="P42" s="359"/>
      <c r="Q42" s="982">
        <f>AVERAGE(CoachNAqtrSalesOld!L66,CoachNAqtrSalesOld!L70)</f>
        <v>225</v>
      </c>
      <c r="R42" s="178"/>
      <c r="S42" s="178"/>
      <c r="T42" s="359">
        <f>L42/Q42</f>
        <v>0.32844444444444448</v>
      </c>
      <c r="U42" s="178"/>
      <c r="V42" s="178"/>
      <c r="W42" s="178"/>
      <c r="X42" s="975"/>
      <c r="Y42" s="61"/>
      <c r="Z42" s="136">
        <v>12.9</v>
      </c>
      <c r="AA42" s="974">
        <f>(Z42/Z35-1)*100</f>
        <v>11.206896551724155</v>
      </c>
      <c r="AB42" s="975">
        <f>Z42/$AR42*100</f>
        <v>5.8531007822283527</v>
      </c>
      <c r="AC42" s="61"/>
      <c r="AD42" s="136">
        <v>7.4</v>
      </c>
      <c r="AE42" s="974">
        <f>(AD42/AD35-1)*100</f>
        <v>12.121212121212132</v>
      </c>
      <c r="AF42" s="975">
        <f>AD42/$AR42*100</f>
        <v>3.3575926967821559</v>
      </c>
      <c r="AG42" s="61"/>
      <c r="AH42" s="136">
        <v>12.9</v>
      </c>
      <c r="AI42" s="974">
        <f>(AH42/AH35-1)*100</f>
        <v>0</v>
      </c>
      <c r="AJ42" s="975">
        <f>AH42/$AR42*100</f>
        <v>5.8531007822283527</v>
      </c>
      <c r="AK42" s="61"/>
      <c r="AL42" s="971">
        <f>AH42+AD42+Z42+L42</f>
        <v>107.10000000000001</v>
      </c>
      <c r="AM42" s="974">
        <f>(AL42/AL35-1)*100</f>
        <v>22.540045766590389</v>
      </c>
      <c r="AN42" s="975">
        <f>AL42/$AR42*100</f>
        <v>48.594348354779591</v>
      </c>
      <c r="AO42" s="976" t="str">
        <f>IF(AP42=AL42," ","no")</f>
        <v xml:space="preserve"> </v>
      </c>
      <c r="AP42" s="978">
        <f>ROUND('qtrP&amp;L'!AJ32,1)</f>
        <v>107.1</v>
      </c>
      <c r="AR42" s="144">
        <f>'qtrP&amp;L'!AJ12</f>
        <v>220.39599999999999</v>
      </c>
    </row>
    <row r="43" spans="1:44" ht="10.5" hidden="1" customHeight="1" outlineLevel="1">
      <c r="A43" s="956" t="s">
        <v>460</v>
      </c>
      <c r="B43" s="3" t="s">
        <v>62</v>
      </c>
      <c r="D43" s="980">
        <f>D44/4</f>
        <v>7.5577500000000004</v>
      </c>
      <c r="F43" s="718">
        <f>R44/4</f>
        <v>12.995749999999999</v>
      </c>
      <c r="G43" s="974">
        <f>(F43/F36-1)*100</f>
        <v>29.12785354099907</v>
      </c>
      <c r="H43" s="718">
        <f>L43-F43</f>
        <v>68.604249999999965</v>
      </c>
      <c r="I43" s="974">
        <f>(H43/H36-1)*100</f>
        <v>27.740977455858861</v>
      </c>
      <c r="J43" s="981">
        <f>L43-F43-D43</f>
        <v>61.046499999999966</v>
      </c>
      <c r="K43" s="974">
        <f>(J43/J36-1)*100</f>
        <v>28.97443075281636</v>
      </c>
      <c r="L43" s="972">
        <f>L44-SUM(L40:L42)</f>
        <v>81.599999999999966</v>
      </c>
      <c r="M43" s="974">
        <f>(L43/L36-1)*100</f>
        <v>27.959855731535079</v>
      </c>
      <c r="N43" s="975">
        <f>L43/AR43*100</f>
        <v>35.245944124812098</v>
      </c>
      <c r="O43" s="975"/>
      <c r="P43" s="359"/>
      <c r="Q43" s="982">
        <f>AVERAGE(CoachNAqtrSalesOld!L67,CoachNAqtrSalesOld!L71)</f>
        <v>232</v>
      </c>
      <c r="R43" s="178"/>
      <c r="S43" s="178"/>
      <c r="T43" s="359">
        <f>L43/Q43</f>
        <v>0.35172413793103435</v>
      </c>
      <c r="U43" s="178"/>
      <c r="V43" s="178"/>
      <c r="W43" s="178"/>
      <c r="X43" s="975"/>
      <c r="Y43" s="61"/>
      <c r="Z43" s="972">
        <f>Z44-SUM(Z40:Z42)</f>
        <v>13.899999999999999</v>
      </c>
      <c r="AA43" s="974">
        <f>(Z43/Z36-1)*100</f>
        <v>13.044892648015537</v>
      </c>
      <c r="AB43" s="975">
        <f>Z43/$AR43*100</f>
        <v>6.0039046977314738</v>
      </c>
      <c r="AC43" s="61"/>
      <c r="AD43" s="972">
        <f>AD44-SUM(AD40:AD42)</f>
        <v>6.9999999999999964</v>
      </c>
      <c r="AE43" s="974">
        <f>(AD43/AD36-1)*100</f>
        <v>5.2315093205050456</v>
      </c>
      <c r="AF43" s="975">
        <f>AD43/$AR43*100</f>
        <v>3.0235491283539786</v>
      </c>
      <c r="AG43" s="61"/>
      <c r="AH43" s="972">
        <f>AH44-SUM(AH40:AH42)</f>
        <v>16.299999999999997</v>
      </c>
      <c r="AI43" s="974">
        <f>(AH43/AH36-1)*100</f>
        <v>117.18854097268476</v>
      </c>
      <c r="AJ43" s="975">
        <f>AH43/$AR43*100</f>
        <v>7.0405501131671242</v>
      </c>
      <c r="AK43" s="61"/>
      <c r="AL43" s="973">
        <f>AH43+AD43+Z43+L43-0.1</f>
        <v>118.69999999999996</v>
      </c>
      <c r="AM43" s="974">
        <f>(AL43/AL36-1)*100</f>
        <v>31.596452328159597</v>
      </c>
      <c r="AN43" s="975">
        <f>AL43/$AR43*100</f>
        <v>51.270754505088192</v>
      </c>
      <c r="AO43" s="976" t="str">
        <f>IF(AP43=AL43," ","no")</f>
        <v xml:space="preserve"> </v>
      </c>
      <c r="AP43" s="978">
        <f>ROUND('qtrP&amp;L'!AJ33,1)</f>
        <v>118.7</v>
      </c>
      <c r="AR43" s="144">
        <f>'qtrP&amp;L'!AJ13</f>
        <v>231.51599999999999</v>
      </c>
    </row>
    <row r="44" spans="1:44" ht="10.5" hidden="1" customHeight="1" outlineLevel="1">
      <c r="A44" s="956"/>
      <c r="B44" s="61" t="s">
        <v>461</v>
      </c>
      <c r="C44" s="61"/>
      <c r="D44" s="981">
        <f>'yrP&amp;L'!J48</f>
        <v>30.231000000000002</v>
      </c>
      <c r="E44" s="61"/>
      <c r="F44" s="979">
        <f>SUM(F40:F43)</f>
        <v>51.982999999999997</v>
      </c>
      <c r="G44" s="974">
        <f>(F44/F37-1)*100</f>
        <v>29.12785354099907</v>
      </c>
      <c r="H44" s="979">
        <f>L44-F44</f>
        <v>242.91699999999997</v>
      </c>
      <c r="I44" s="974">
        <f>(H44/H37-1)*100</f>
        <v>28.498278169516979</v>
      </c>
      <c r="J44" s="983">
        <f>L44-F44-D44</f>
        <v>212.68599999999998</v>
      </c>
      <c r="K44" s="974">
        <f>(J44/J37-1)*100</f>
        <v>30.044206934924688</v>
      </c>
      <c r="L44" s="969">
        <v>294.89999999999998</v>
      </c>
      <c r="M44" s="974">
        <f>(L44/L37-1)*100</f>
        <v>28.608809419973813</v>
      </c>
      <c r="N44" s="975">
        <f>L44/AR44*100</f>
        <v>30.937049555929018</v>
      </c>
      <c r="O44" s="975"/>
      <c r="P44" s="359">
        <f>yrSales!J85</f>
        <v>0.64821649999999997</v>
      </c>
      <c r="Q44" s="982">
        <f>AVERAGE(yrSales!J61,yrSales!I61)</f>
        <v>310</v>
      </c>
      <c r="R44" s="178">
        <f>'yrP&amp;L'!J18</f>
        <v>51.982999999999997</v>
      </c>
      <c r="S44" s="2">
        <f>R44/L44</f>
        <v>0.17627331298745338</v>
      </c>
      <c r="T44" s="178">
        <f>L44/AVERAGE(yrSales!J61,yrSales!I61)</f>
        <v>0.95129032258064505</v>
      </c>
      <c r="U44" s="178">
        <f>(L44-'yrP&amp;L'!$J$18)/Q44</f>
        <v>0.78360322580645148</v>
      </c>
      <c r="V44" s="178">
        <f>J44/Q44</f>
        <v>0.68608387096774182</v>
      </c>
      <c r="W44" s="984">
        <f>J44/P44</f>
        <v>328.10951279395078</v>
      </c>
      <c r="X44" s="975"/>
      <c r="Y44" s="61"/>
      <c r="Z44" s="969">
        <v>57.3</v>
      </c>
      <c r="AA44" s="974">
        <f>(Z44/Z37-1)*100</f>
        <v>10.831721470019339</v>
      </c>
      <c r="AB44" s="975">
        <f>Z44/$AR44*100</f>
        <v>6.0111662921489755</v>
      </c>
      <c r="AC44" s="61"/>
      <c r="AD44" s="969">
        <v>29.7</v>
      </c>
      <c r="AE44" s="974">
        <f>(AD44/AD37-1)*100</f>
        <v>10.408921933085512</v>
      </c>
      <c r="AF44" s="975">
        <f>AD44/$AR44*100</f>
        <v>3.1157354079725059</v>
      </c>
      <c r="AG44" s="61"/>
      <c r="AH44" s="969">
        <v>51.8</v>
      </c>
      <c r="AI44" s="974">
        <f>(AH44/AH37-1)*100</f>
        <v>34.545454545454547</v>
      </c>
      <c r="AJ44" s="975">
        <f>AH44/$AR44*100</f>
        <v>5.4341782536355483</v>
      </c>
      <c r="AK44" s="61"/>
      <c r="AL44" s="145">
        <f>AH44+AD44+Z44+L44</f>
        <v>433.7</v>
      </c>
      <c r="AM44" s="974">
        <f>(AL44/AL37-1)*100</f>
        <v>25.202078521939942</v>
      </c>
      <c r="AN44" s="975">
        <f>AL44/$AR44*100</f>
        <v>45.498129509686052</v>
      </c>
      <c r="AO44" s="976" t="str">
        <f>IF(AP44=AL44," ","no")</f>
        <v xml:space="preserve"> </v>
      </c>
      <c r="AP44" s="977">
        <f>ROUND('qtrP&amp;L'!AJ34,1)</f>
        <v>433.7</v>
      </c>
      <c r="AR44" s="161">
        <f>'qtrP&amp;L'!AJ14</f>
        <v>953.226</v>
      </c>
    </row>
    <row r="45" spans="1:44" hidden="1" outlineLevel="1">
      <c r="A45" s="956"/>
      <c r="B45" s="61"/>
      <c r="C45" s="61"/>
      <c r="D45" s="981"/>
      <c r="E45" s="61"/>
      <c r="F45" s="61"/>
      <c r="G45" s="61"/>
      <c r="H45" s="61"/>
      <c r="I45" s="61"/>
      <c r="J45" s="61"/>
      <c r="K45" s="61"/>
      <c r="L45" s="61"/>
      <c r="M45" s="61"/>
      <c r="N45" s="975"/>
      <c r="O45" s="975"/>
      <c r="P45" s="359"/>
      <c r="Q45" s="982"/>
      <c r="R45" s="178"/>
      <c r="S45" s="178"/>
      <c r="T45" s="178"/>
      <c r="U45" s="178"/>
      <c r="V45" s="178"/>
      <c r="W45" s="178"/>
      <c r="X45" s="975"/>
      <c r="Y45" s="61"/>
      <c r="Z45" s="61"/>
      <c r="AA45" s="61"/>
      <c r="AB45" s="61"/>
      <c r="AC45" s="61"/>
      <c r="AD45" s="61"/>
      <c r="AE45" s="61"/>
      <c r="AF45" s="61"/>
      <c r="AG45" s="61"/>
      <c r="AH45" s="61"/>
      <c r="AI45" s="61"/>
      <c r="AJ45" s="61"/>
      <c r="AK45" s="61"/>
      <c r="AM45" s="61"/>
      <c r="AN45" s="61"/>
      <c r="AO45" s="976"/>
      <c r="AP45" s="154"/>
    </row>
    <row r="46" spans="1:44" hidden="1" outlineLevel="1">
      <c r="A46" s="956"/>
      <c r="B46" s="965" t="s">
        <v>621</v>
      </c>
      <c r="C46" s="965"/>
      <c r="D46" s="986"/>
      <c r="E46" s="965"/>
      <c r="F46" s="61"/>
      <c r="G46" s="61"/>
      <c r="H46" s="61"/>
      <c r="I46" s="61"/>
      <c r="J46" s="61"/>
      <c r="K46" s="61"/>
      <c r="L46" s="61"/>
      <c r="M46" s="61"/>
      <c r="N46" s="61"/>
      <c r="O46" s="61"/>
      <c r="P46" s="359"/>
      <c r="Q46" s="982"/>
      <c r="R46" s="178"/>
      <c r="S46" s="178"/>
      <c r="T46" s="985"/>
      <c r="U46" s="985"/>
      <c r="V46" s="985"/>
      <c r="W46" s="985"/>
      <c r="X46" s="61"/>
      <c r="Y46" s="61"/>
      <c r="Z46" s="61"/>
      <c r="AA46" s="61"/>
      <c r="AB46" s="61"/>
      <c r="AC46" s="61"/>
      <c r="AD46" s="61"/>
      <c r="AE46" s="61"/>
      <c r="AF46" s="61"/>
      <c r="AG46" s="61"/>
      <c r="AH46" s="61"/>
      <c r="AI46" s="61"/>
      <c r="AJ46" s="61"/>
      <c r="AK46" s="61"/>
      <c r="AM46" s="61"/>
      <c r="AN46" s="61"/>
      <c r="AO46" s="976"/>
      <c r="AP46" s="154"/>
    </row>
    <row r="47" spans="1:44" ht="10.5" hidden="1" customHeight="1" outlineLevel="1">
      <c r="A47" s="956" t="s">
        <v>457</v>
      </c>
      <c r="B47" s="3" t="s">
        <v>63</v>
      </c>
      <c r="D47" s="980">
        <f>D51/4</f>
        <v>10.025</v>
      </c>
      <c r="F47" s="979">
        <f>R51/4</f>
        <v>15.726749999999999</v>
      </c>
      <c r="G47" s="974">
        <f>(F47/F40-1)*100</f>
        <v>21.014562453109665</v>
      </c>
      <c r="H47" s="979">
        <f>L47-F47</f>
        <v>64.67325000000001</v>
      </c>
      <c r="I47" s="974">
        <f>(H47/H40-1)*100</f>
        <v>31.706013226961026</v>
      </c>
      <c r="J47" s="981">
        <f>L47-F47-D47</f>
        <v>54.648250000000012</v>
      </c>
      <c r="K47" s="974">
        <f>(J47/J40-1)*100</f>
        <v>31.535147365000693</v>
      </c>
      <c r="L47" s="969">
        <v>80.400000000000006</v>
      </c>
      <c r="M47" s="974">
        <f>(L47/L40-1)*100</f>
        <v>29.468599033816425</v>
      </c>
      <c r="N47" s="975">
        <f>L47/AR47*100</f>
        <v>31.117561683599419</v>
      </c>
      <c r="O47" s="975"/>
      <c r="P47" s="359"/>
      <c r="Q47" s="982">
        <f>AVERAGE(CoachNAqtrSalesOld!L71,CoachNAqtrSalesOld!L75)</f>
        <v>235.5</v>
      </c>
      <c r="R47" s="178"/>
      <c r="S47" s="178"/>
      <c r="T47" s="178">
        <f>L47/Q47</f>
        <v>0.34140127388535035</v>
      </c>
      <c r="U47" s="178"/>
      <c r="V47" s="178"/>
      <c r="W47" s="178"/>
      <c r="X47" s="975"/>
      <c r="Y47" s="61"/>
      <c r="Z47" s="969">
        <v>13.4</v>
      </c>
      <c r="AA47" s="974">
        <f>(Z47/Z40-1)*100</f>
        <v>8.9430894308943021</v>
      </c>
      <c r="AB47" s="975">
        <f>Z47/$AR47*100</f>
        <v>5.1862602805999032</v>
      </c>
      <c r="AC47" s="61"/>
      <c r="AD47" s="969">
        <v>7.4</v>
      </c>
      <c r="AE47" s="974">
        <f>(AD47/AD40-1)*100</f>
        <v>5.7142857142857162</v>
      </c>
      <c r="AF47" s="975">
        <f>AD47/$AR47*100</f>
        <v>2.8640541848089018</v>
      </c>
      <c r="AG47" s="61"/>
      <c r="AH47" s="969">
        <v>15.1</v>
      </c>
      <c r="AI47" s="974">
        <f>(AH47/AH40-1)*100</f>
        <v>23.770491803278702</v>
      </c>
      <c r="AJ47" s="975">
        <f>AH47/$AR47*100</f>
        <v>5.8442186744073528</v>
      </c>
      <c r="AK47" s="61"/>
      <c r="AL47" s="970">
        <f>AH47+AD47+Z47+L47</f>
        <v>116.30000000000001</v>
      </c>
      <c r="AM47" s="974">
        <f>(AL47/AL40-1)*100</f>
        <v>24.252136752136778</v>
      </c>
      <c r="AN47" s="975">
        <f>AL47/$AR47*100</f>
        <v>45.01209482341558</v>
      </c>
      <c r="AO47" s="976" t="str">
        <f>IF(AP47=AL47," ","no")</f>
        <v xml:space="preserve"> </v>
      </c>
      <c r="AP47" s="977">
        <f>ROUND('qtrP&amp;L'!AN30,1)</f>
        <v>116.3</v>
      </c>
      <c r="AR47" s="161">
        <f>'qtrP&amp;L'!AN10</f>
        <v>258.375</v>
      </c>
    </row>
    <row r="48" spans="1:44" ht="10.5" hidden="1" customHeight="1" outlineLevel="1">
      <c r="A48" s="956" t="s">
        <v>458</v>
      </c>
      <c r="B48" s="3" t="s">
        <v>167</v>
      </c>
      <c r="D48" s="980">
        <f>D51/4</f>
        <v>10.025</v>
      </c>
      <c r="F48" s="718">
        <f>R51/4</f>
        <v>15.726749999999999</v>
      </c>
      <c r="G48" s="974">
        <f>(F48/F41-1)*100</f>
        <v>21.014562453109665</v>
      </c>
      <c r="H48" s="718">
        <f>L48-F48</f>
        <v>87.67325000000001</v>
      </c>
      <c r="I48" s="974">
        <f>(H48/H41-1)*100</f>
        <v>36.341299369792843</v>
      </c>
      <c r="J48" s="981">
        <f>L48-F48-D48</f>
        <v>77.648250000000004</v>
      </c>
      <c r="K48" s="974">
        <f>(J48/J41-1)*100</f>
        <v>36.833549205677897</v>
      </c>
      <c r="L48" s="136">
        <v>103.4</v>
      </c>
      <c r="M48" s="974">
        <f>(L48/L41-1)*100</f>
        <v>33.764553686934029</v>
      </c>
      <c r="N48" s="975">
        <f>L48/AR48*100</f>
        <v>25.126788218112189</v>
      </c>
      <c r="O48" s="975"/>
      <c r="P48" s="359"/>
      <c r="Q48" s="982">
        <f>AVERAGE(CoachNAqtrSalesOld!L72,CoachNAqtrSalesOld!L76)</f>
        <v>242</v>
      </c>
      <c r="R48" s="178"/>
      <c r="S48" s="178"/>
      <c r="T48" s="359">
        <f>L48/Q48</f>
        <v>0.4272727272727273</v>
      </c>
      <c r="U48" s="178"/>
      <c r="V48" s="178"/>
      <c r="W48" s="178"/>
      <c r="X48" s="975"/>
      <c r="Y48" s="61"/>
      <c r="Z48" s="136">
        <v>19</v>
      </c>
      <c r="AA48" s="974">
        <f>(Z48/Z41-1)*100</f>
        <v>4.3956043956044022</v>
      </c>
      <c r="AB48" s="975">
        <f>Z48/$AR48*100</f>
        <v>4.6171080865003056</v>
      </c>
      <c r="AC48" s="61"/>
      <c r="AD48" s="136">
        <v>8.8000000000000007</v>
      </c>
      <c r="AE48" s="974">
        <f>(AD48/AD41-1)*100</f>
        <v>6.024096385542177</v>
      </c>
      <c r="AF48" s="975">
        <f>AD48/$AR48*100</f>
        <v>2.1384500611159312</v>
      </c>
      <c r="AG48" s="61"/>
      <c r="AH48" s="136">
        <v>13.2</v>
      </c>
      <c r="AI48" s="974">
        <f>(AH48/AH41-1)*100</f>
        <v>26.923076923076916</v>
      </c>
      <c r="AJ48" s="975">
        <f>AH48/$AR48*100</f>
        <v>3.2076750916738965</v>
      </c>
      <c r="AK48" s="61"/>
      <c r="AL48" s="971">
        <f>AH48+AD48+Z48+L48</f>
        <v>144.4</v>
      </c>
      <c r="AM48" s="974">
        <f>(AL48/AL41-1)*100</f>
        <v>26.444833625218923</v>
      </c>
      <c r="AN48" s="975">
        <f>AL48/$AR48*100</f>
        <v>35.090021457402322</v>
      </c>
      <c r="AO48" s="976" t="str">
        <f>IF(AP48=AL48," ","no")</f>
        <v xml:space="preserve"> </v>
      </c>
      <c r="AP48" s="978">
        <f>ROUND('qtrP&amp;L'!AN31,1)</f>
        <v>144.4</v>
      </c>
      <c r="AR48" s="144">
        <f>'qtrP&amp;L'!AN11</f>
        <v>411.51299999999998</v>
      </c>
    </row>
    <row r="49" spans="1:44" ht="10.5" hidden="1" customHeight="1" outlineLevel="1">
      <c r="A49" s="956" t="s">
        <v>459</v>
      </c>
      <c r="B49" s="3" t="s">
        <v>166</v>
      </c>
      <c r="D49" s="980">
        <f>D51/4</f>
        <v>10.025</v>
      </c>
      <c r="F49" s="718">
        <f>R51/4</f>
        <v>15.726749999999999</v>
      </c>
      <c r="G49" s="974">
        <f>(F49/F42-1)*100</f>
        <v>21.014562453109665</v>
      </c>
      <c r="H49" s="718">
        <f>L49-F49</f>
        <v>79.473250000000007</v>
      </c>
      <c r="I49" s="974">
        <f>(H49/H42-1)*100</f>
        <v>30.488841090728492</v>
      </c>
      <c r="J49" s="981">
        <f>L49-F49-D49</f>
        <v>69.448250000000002</v>
      </c>
      <c r="K49" s="974">
        <f>(J49/J42-1)*100</f>
        <v>30.18332974047031</v>
      </c>
      <c r="L49" s="136">
        <v>95.2</v>
      </c>
      <c r="M49" s="974">
        <f>(L49/L42-1)*100</f>
        <v>28.822733423545333</v>
      </c>
      <c r="N49" s="975">
        <f>L49/AR49*100</f>
        <v>30.408243444819583</v>
      </c>
      <c r="O49" s="975"/>
      <c r="P49" s="359"/>
      <c r="Q49" s="982">
        <f>AVERAGE(CoachNAqtrSalesOld!L73,CoachNAqtrSalesOld!L77)</f>
        <v>244</v>
      </c>
      <c r="R49" s="178"/>
      <c r="S49" s="178"/>
      <c r="T49" s="359">
        <f>L49/Q49</f>
        <v>0.39016393442622954</v>
      </c>
      <c r="U49" s="178"/>
      <c r="V49" s="178"/>
      <c r="W49" s="178"/>
      <c r="X49" s="975"/>
      <c r="Y49" s="61"/>
      <c r="Z49" s="136">
        <v>14.9</v>
      </c>
      <c r="AA49" s="974">
        <f>(Z49/Z42-1)*100</f>
        <v>15.503875968992254</v>
      </c>
      <c r="AB49" s="975">
        <f>Z49/$AR49*100</f>
        <v>4.7592733963005438</v>
      </c>
      <c r="AC49" s="61"/>
      <c r="AD49" s="136">
        <v>8.1</v>
      </c>
      <c r="AE49" s="974">
        <f>(AD49/AD42-1)*100</f>
        <v>9.4594594594594525</v>
      </c>
      <c r="AF49" s="975">
        <f>AD49/$AR49*100</f>
        <v>2.5872560073848594</v>
      </c>
      <c r="AG49" s="61"/>
      <c r="AH49" s="136">
        <v>18.399999999999999</v>
      </c>
      <c r="AI49" s="974">
        <f>(AH49/AH42-1)*100</f>
        <v>42.635658914728666</v>
      </c>
      <c r="AJ49" s="975">
        <f>AH49/$AR49*100</f>
        <v>5.8772235229483218</v>
      </c>
      <c r="AK49" s="61"/>
      <c r="AL49" s="971">
        <f>AH49+AD49+Z49+L49</f>
        <v>136.6</v>
      </c>
      <c r="AM49" s="974">
        <f>(AL49/AL42-1)*100</f>
        <v>27.544351073762829</v>
      </c>
      <c r="AN49" s="975">
        <f>AL49/$AR49*100</f>
        <v>43.631996371453305</v>
      </c>
      <c r="AO49" s="976" t="str">
        <f>IF(AP49=AL49," ","no")</f>
        <v xml:space="preserve"> </v>
      </c>
      <c r="AP49" s="978">
        <f>ROUND('qtrP&amp;L'!AN32,1)</f>
        <v>136.6</v>
      </c>
      <c r="AR49" s="144">
        <f>'qtrP&amp;L'!AN12</f>
        <v>313.07299999999998</v>
      </c>
    </row>
    <row r="50" spans="1:44" ht="10.5" hidden="1" customHeight="1" outlineLevel="1">
      <c r="A50" s="956" t="s">
        <v>460</v>
      </c>
      <c r="B50" s="3" t="s">
        <v>62</v>
      </c>
      <c r="D50" s="980">
        <f>D51/4</f>
        <v>10.025</v>
      </c>
      <c r="F50" s="718">
        <f>R51/4</f>
        <v>15.726749999999999</v>
      </c>
      <c r="G50" s="974">
        <f>(F50/F43-1)*100</f>
        <v>21.014562453109665</v>
      </c>
      <c r="H50" s="718">
        <f>L50-F50</f>
        <v>91.473249999999993</v>
      </c>
      <c r="I50" s="974">
        <f>(H50/H43-1)*100</f>
        <v>33.334669499338652</v>
      </c>
      <c r="J50" s="981">
        <f>L50-F50-D50</f>
        <v>81.448249999999987</v>
      </c>
      <c r="K50" s="974">
        <f>(J50/J43-1)*100</f>
        <v>33.420015889526901</v>
      </c>
      <c r="L50" s="972">
        <f>L51-SUM(L47:L49)</f>
        <v>107.19999999999999</v>
      </c>
      <c r="M50" s="974">
        <f>(L50/L43-1)*100</f>
        <v>31.372549019607888</v>
      </c>
      <c r="N50" s="975">
        <f>L50/AR50*100</f>
        <v>31.702376199559357</v>
      </c>
      <c r="O50" s="975"/>
      <c r="P50" s="359"/>
      <c r="Q50" s="982">
        <f>AVERAGE(CoachNAqtrSalesOld!L74,CoachNAqtrSalesOld!L78)</f>
        <v>250</v>
      </c>
      <c r="R50" s="178"/>
      <c r="S50" s="178"/>
      <c r="T50" s="359">
        <f>L50/Q50</f>
        <v>0.42879999999999996</v>
      </c>
      <c r="U50" s="178"/>
      <c r="V50" s="178"/>
      <c r="W50" s="178"/>
      <c r="X50" s="975"/>
      <c r="Y50" s="61"/>
      <c r="Z50" s="972">
        <f>Z51-SUM(Z47:Z49)</f>
        <v>16.200000000000003</v>
      </c>
      <c r="AA50" s="974">
        <f>(Z50/Z43-1)*100</f>
        <v>16.546762589928086</v>
      </c>
      <c r="AB50" s="975">
        <f>Z50/$AR50*100</f>
        <v>4.7908441644856508</v>
      </c>
      <c r="AC50" s="61"/>
      <c r="AD50" s="972">
        <f>AD51-SUM(AD47:AD49)</f>
        <v>8.0999999999999943</v>
      </c>
      <c r="AE50" s="974">
        <f>(AD50/AD43-1)*100</f>
        <v>15.714285714285703</v>
      </c>
      <c r="AF50" s="975">
        <f>AD50/$AR50*100</f>
        <v>2.3954220822428232</v>
      </c>
      <c r="AG50" s="61"/>
      <c r="AH50" s="972">
        <f>AH51-SUM(AH47:AH49)</f>
        <v>16.800000000000004</v>
      </c>
      <c r="AI50" s="974">
        <f>(AH50/AH43-1)*100</f>
        <v>3.067484662576736</v>
      </c>
      <c r="AJ50" s="975">
        <f>AH50/$AR50*100</f>
        <v>4.968282837244379</v>
      </c>
      <c r="AK50" s="61"/>
      <c r="AL50" s="973">
        <f>AH50+AD50+Z50+L50-0.1</f>
        <v>148.19999999999999</v>
      </c>
      <c r="AM50" s="974">
        <f>(AL50/AL43-1)*100</f>
        <v>24.852569502948651</v>
      </c>
      <c r="AN50" s="975">
        <f>AL50/$AR50*100</f>
        <v>43.827352171405757</v>
      </c>
      <c r="AO50" s="976" t="str">
        <f>IF(AP50=AL50," ","no")</f>
        <v xml:space="preserve"> </v>
      </c>
      <c r="AP50" s="978">
        <f>ROUND('qtrP&amp;L'!AN33,1)</f>
        <v>148.19999999999999</v>
      </c>
      <c r="AR50" s="144">
        <f>'qtrP&amp;L'!AN13</f>
        <v>338.14499999999998</v>
      </c>
    </row>
    <row r="51" spans="1:44" ht="10.5" hidden="1" customHeight="1" outlineLevel="1">
      <c r="A51" s="956"/>
      <c r="B51" s="61" t="s">
        <v>461</v>
      </c>
      <c r="C51" s="61"/>
      <c r="D51" s="981">
        <f>'yrP&amp;L'!K48</f>
        <v>40.1</v>
      </c>
      <c r="E51" s="61"/>
      <c r="F51" s="979">
        <f>SUM(F47:F50)</f>
        <v>62.906999999999996</v>
      </c>
      <c r="G51" s="974">
        <f>(F51/F44-1)*100</f>
        <v>21.014562453109665</v>
      </c>
      <c r="H51" s="979">
        <f>L51-F51</f>
        <v>323.29300000000001</v>
      </c>
      <c r="I51" s="974">
        <f>(H51/H44-1)*100</f>
        <v>33.087844819423928</v>
      </c>
      <c r="J51" s="983">
        <f>L51-F51-D51</f>
        <v>283.19299999999998</v>
      </c>
      <c r="K51" s="974">
        <f>(J51/J44-1)*100</f>
        <v>33.150748051117617</v>
      </c>
      <c r="L51" s="969">
        <v>386.2</v>
      </c>
      <c r="M51" s="974">
        <f>(L51/L44-1)*100</f>
        <v>30.959647338080721</v>
      </c>
      <c r="N51" s="975">
        <f>L51/AR51*100</f>
        <v>29.233081978281838</v>
      </c>
      <c r="O51" s="975"/>
      <c r="P51" s="359">
        <f>yrSales!K85</f>
        <v>0.74035650000000008</v>
      </c>
      <c r="Q51" s="982">
        <f>AVERAGE(yrSales!K61,yrSales!J61)</f>
        <v>337.5</v>
      </c>
      <c r="R51" s="178">
        <f>'yrP&amp;L'!K18</f>
        <v>62.906999999999996</v>
      </c>
      <c r="S51" s="2">
        <f>R51/L51</f>
        <v>0.16288710512687726</v>
      </c>
      <c r="T51" s="178">
        <f>L51/AVERAGE(yrSales!K61,yrSales!J61)</f>
        <v>1.1442962962962964</v>
      </c>
      <c r="U51" s="178">
        <f>(L51-'yrP&amp;L'!K18)/Q51</f>
        <v>0.95790518518518519</v>
      </c>
      <c r="V51" s="178">
        <f>J51/Q51</f>
        <v>0.83909037037037038</v>
      </c>
      <c r="W51" s="984">
        <f>J51/P51</f>
        <v>382.50896696388827</v>
      </c>
      <c r="X51" s="975"/>
      <c r="Y51" s="61"/>
      <c r="Z51" s="969">
        <v>63.5</v>
      </c>
      <c r="AA51" s="974">
        <f>(Z51/Z44-1)*100</f>
        <v>10.82024432809774</v>
      </c>
      <c r="AB51" s="975">
        <f>Z51/$AR51*100</f>
        <v>4.806578730245719</v>
      </c>
      <c r="AC51" s="61"/>
      <c r="AD51" s="969">
        <v>32.4</v>
      </c>
      <c r="AE51" s="974">
        <f>(AD51/AD44-1)*100</f>
        <v>9.0909090909090828</v>
      </c>
      <c r="AF51" s="975">
        <f>AD51/$AR51*100</f>
        <v>2.4524905647237998</v>
      </c>
      <c r="AG51" s="61"/>
      <c r="AH51" s="969">
        <v>63.5</v>
      </c>
      <c r="AI51" s="974">
        <f>(AH51/AH44-1)*100</f>
        <v>22.586872586872598</v>
      </c>
      <c r="AJ51" s="975">
        <f>AH51/$AR51*100</f>
        <v>4.806578730245719</v>
      </c>
      <c r="AK51" s="61"/>
      <c r="AL51" s="145">
        <f>AH51+AD51+Z51+L51</f>
        <v>545.6</v>
      </c>
      <c r="AM51" s="974">
        <f>(AL51/AL44-1)*100</f>
        <v>25.801245100299752</v>
      </c>
      <c r="AN51" s="975">
        <f>AL51/$AR51*100</f>
        <v>41.298730003497077</v>
      </c>
      <c r="AO51" s="976" t="str">
        <f>IF(AP51=AL51," ","no")</f>
        <v xml:space="preserve"> </v>
      </c>
      <c r="AP51" s="977">
        <f>ROUND('qtrP&amp;L'!AN34,1)</f>
        <v>545.6</v>
      </c>
      <c r="AR51" s="161">
        <f>'qtrP&amp;L'!AN14</f>
        <v>1321.1059999999998</v>
      </c>
    </row>
    <row r="52" spans="1:44" hidden="1" outlineLevel="1">
      <c r="A52" s="956"/>
      <c r="B52" s="61"/>
      <c r="C52" s="61"/>
      <c r="D52" s="981"/>
      <c r="E52" s="61"/>
      <c r="F52" s="61"/>
      <c r="G52" s="61"/>
      <c r="H52" s="61"/>
      <c r="I52" s="61"/>
      <c r="J52" s="61"/>
      <c r="K52" s="61"/>
      <c r="L52" s="61"/>
      <c r="M52" s="61"/>
      <c r="N52" s="61"/>
      <c r="O52" s="61"/>
      <c r="P52" s="359"/>
      <c r="Q52" s="982"/>
      <c r="R52" s="178"/>
      <c r="S52" s="178"/>
      <c r="T52" s="985"/>
      <c r="U52" s="985"/>
      <c r="V52" s="985"/>
      <c r="W52" s="985"/>
      <c r="X52" s="61"/>
      <c r="Y52" s="61"/>
      <c r="Z52" s="61"/>
      <c r="AA52" s="61"/>
      <c r="AB52" s="61"/>
      <c r="AC52" s="61"/>
      <c r="AD52" s="61"/>
      <c r="AE52" s="61"/>
      <c r="AF52" s="61"/>
      <c r="AG52" s="61"/>
      <c r="AH52" s="61"/>
      <c r="AI52" s="61"/>
      <c r="AJ52" s="61"/>
      <c r="AK52" s="61"/>
      <c r="AM52" s="61"/>
      <c r="AN52" s="61"/>
      <c r="AO52" s="976"/>
      <c r="AP52" s="154"/>
    </row>
    <row r="53" spans="1:44" hidden="1" outlineLevel="1">
      <c r="A53" s="956"/>
      <c r="B53" s="965" t="s">
        <v>343</v>
      </c>
      <c r="C53" s="965"/>
      <c r="D53" s="986"/>
      <c r="E53" s="965"/>
      <c r="F53" s="61"/>
      <c r="G53" s="61"/>
      <c r="H53" s="61"/>
      <c r="I53" s="61"/>
      <c r="J53" s="61"/>
      <c r="K53" s="61"/>
      <c r="L53" s="61"/>
      <c r="M53" s="61"/>
      <c r="N53" s="61"/>
      <c r="O53" s="61"/>
      <c r="P53" s="359"/>
      <c r="Q53" s="982"/>
      <c r="R53" s="178"/>
      <c r="S53" s="178"/>
      <c r="T53" s="985"/>
      <c r="U53" s="985"/>
      <c r="V53" s="985"/>
      <c r="W53" s="985"/>
      <c r="X53" s="61"/>
      <c r="Y53" s="61"/>
      <c r="Z53" s="61"/>
      <c r="AA53" s="61"/>
      <c r="AB53" s="61"/>
      <c r="AC53" s="61"/>
      <c r="AD53" s="61"/>
      <c r="AE53" s="61"/>
      <c r="AF53" s="61"/>
      <c r="AG53" s="61"/>
      <c r="AH53" s="61"/>
      <c r="AI53" s="61"/>
      <c r="AJ53" s="61"/>
      <c r="AK53" s="61"/>
      <c r="AM53" s="61"/>
      <c r="AN53" s="61"/>
      <c r="AO53" s="976"/>
      <c r="AP53" s="154"/>
    </row>
    <row r="54" spans="1:44" ht="10.5" hidden="1" customHeight="1" outlineLevel="1">
      <c r="A54" s="956" t="s">
        <v>457</v>
      </c>
      <c r="B54" s="3" t="s">
        <v>63</v>
      </c>
      <c r="D54" s="980">
        <f>D58/4</f>
        <v>12.6</v>
      </c>
      <c r="F54" s="979">
        <f>R58/4</f>
        <v>21.346</v>
      </c>
      <c r="G54" s="974">
        <f>(F54/F47-1)*100</f>
        <v>35.730522835296561</v>
      </c>
      <c r="H54" s="979">
        <f>L54-F54</f>
        <v>83.054000000000002</v>
      </c>
      <c r="I54" s="974">
        <f>(H54/H47-1)*100</f>
        <v>28.420946836597793</v>
      </c>
      <c r="J54" s="981">
        <f>L54-F54-D54</f>
        <v>70.454000000000008</v>
      </c>
      <c r="K54" s="974">
        <f>(J54/J47-1)*100</f>
        <v>28.922701092898649</v>
      </c>
      <c r="L54" s="969">
        <v>104.4</v>
      </c>
      <c r="M54" s="974">
        <f>(L54/L47-1)*100</f>
        <v>29.850746268656714</v>
      </c>
      <c r="N54" s="975">
        <f>L54/AR54*100</f>
        <v>30.343103773996194</v>
      </c>
      <c r="O54" s="975"/>
      <c r="P54" s="359"/>
      <c r="Q54" s="982">
        <f>AVERAGE(CoachNAqtrSalesOld!L78,CoachNAqtrSalesOld!L82)</f>
        <v>307</v>
      </c>
      <c r="R54" s="178"/>
      <c r="S54" s="178"/>
      <c r="T54" s="178">
        <f>L54/Q54</f>
        <v>0.34006514657980458</v>
      </c>
      <c r="U54" s="178"/>
      <c r="V54" s="178"/>
      <c r="W54" s="178"/>
      <c r="X54" s="975"/>
      <c r="Y54" s="61"/>
      <c r="Z54" s="969">
        <v>16.899999999999999</v>
      </c>
      <c r="AA54" s="974">
        <f>(Z54/Z47-1)*100</f>
        <v>26.119402985074601</v>
      </c>
      <c r="AB54" s="975">
        <f>Z54/$AR54*100</f>
        <v>4.911862584104747</v>
      </c>
      <c r="AC54" s="61"/>
      <c r="AD54" s="969">
        <v>8.4</v>
      </c>
      <c r="AE54" s="974">
        <f>(AD54/AD47-1)*100</f>
        <v>13.513513513513509</v>
      </c>
      <c r="AF54" s="975">
        <f>AD54/$AR54*100</f>
        <v>2.441399154229579</v>
      </c>
      <c r="AG54" s="61"/>
      <c r="AH54" s="969">
        <v>27.9</v>
      </c>
      <c r="AI54" s="974">
        <f>(AH54/AH47-1)*100</f>
        <v>84.768211920529794</v>
      </c>
      <c r="AJ54" s="975">
        <f>AH54/$AR54*100</f>
        <v>8.108932905119671</v>
      </c>
      <c r="AK54" s="61"/>
      <c r="AL54" s="970">
        <f>AH54+AD54+Z54+L54</f>
        <v>157.6</v>
      </c>
      <c r="AM54" s="974">
        <f>(AL54/AL47-1)*100</f>
        <v>35.511607910576082</v>
      </c>
      <c r="AN54" s="975">
        <f>AL54/$AR54*100</f>
        <v>45.805298417450189</v>
      </c>
      <c r="AO54" s="976" t="str">
        <f>IF(AP54=AL54," ","no")</f>
        <v xml:space="preserve"> </v>
      </c>
      <c r="AP54" s="977">
        <f>ROUND('qtrP&amp;L'!AR30,1)</f>
        <v>157.6</v>
      </c>
      <c r="AR54" s="161">
        <f>'qtrP&amp;L'!AR10</f>
        <v>344.065</v>
      </c>
    </row>
    <row r="55" spans="1:44" ht="10.5" hidden="1" customHeight="1" outlineLevel="1">
      <c r="A55" s="956" t="s">
        <v>458</v>
      </c>
      <c r="B55" s="3" t="s">
        <v>167</v>
      </c>
      <c r="D55" s="980">
        <f>D58/4</f>
        <v>12.6</v>
      </c>
      <c r="F55" s="718">
        <f>R58/4</f>
        <v>21.346</v>
      </c>
      <c r="G55" s="974">
        <f>(F55/F48-1)*100</f>
        <v>35.730522835296561</v>
      </c>
      <c r="H55" s="718">
        <f>L55-F55</f>
        <v>108.35399999999998</v>
      </c>
      <c r="I55" s="974">
        <f>(H55/H48-1)*100</f>
        <v>23.588437750397027</v>
      </c>
      <c r="J55" s="981">
        <f>L55-F55-D55</f>
        <v>95.753999999999991</v>
      </c>
      <c r="K55" s="974">
        <f>(J55/J48-1)*100</f>
        <v>23.317653649631499</v>
      </c>
      <c r="L55" s="136">
        <v>129.69999999999999</v>
      </c>
      <c r="M55" s="974">
        <f>(L55/L48-1)*100</f>
        <v>25.435203094777535</v>
      </c>
      <c r="N55" s="975">
        <f>L55/AR55*100</f>
        <v>24.390748440552954</v>
      </c>
      <c r="O55" s="975"/>
      <c r="P55" s="359"/>
      <c r="Q55" s="982">
        <f>AVERAGE(CoachNAqtrSalesOld!L79,CoachNAqtrSalesOld!L83)</f>
        <v>374</v>
      </c>
      <c r="R55" s="178"/>
      <c r="S55" s="178"/>
      <c r="T55" s="359">
        <f>L55/Q55</f>
        <v>0.34679144385026733</v>
      </c>
      <c r="U55" s="178"/>
      <c r="V55" s="178"/>
      <c r="W55" s="178"/>
      <c r="X55" s="975"/>
      <c r="Y55" s="61"/>
      <c r="Z55" s="136">
        <v>23.9</v>
      </c>
      <c r="AA55" s="974">
        <f>(Z55/Z48-1)*100</f>
        <v>25.789473684210517</v>
      </c>
      <c r="AB55" s="975">
        <f>Z55/$AR55*100</f>
        <v>4.4945172531165429</v>
      </c>
      <c r="AC55" s="61"/>
      <c r="AD55" s="136">
        <v>9.9</v>
      </c>
      <c r="AE55" s="974">
        <f>(AD55/AD48-1)*100</f>
        <v>12.5</v>
      </c>
      <c r="AF55" s="975">
        <f>AD55/$AR55*100</f>
        <v>1.8617456404122921</v>
      </c>
      <c r="AG55" s="61"/>
      <c r="AH55" s="136">
        <v>28</v>
      </c>
      <c r="AI55" s="974">
        <f>(AH55/AH48-1)*100</f>
        <v>112.12121212121211</v>
      </c>
      <c r="AJ55" s="975">
        <f>AH55/$AR55*100</f>
        <v>5.2655432254085026</v>
      </c>
      <c r="AK55" s="61"/>
      <c r="AL55" s="971">
        <f>AH55+AD55+Z55+L55</f>
        <v>191.5</v>
      </c>
      <c r="AM55" s="974">
        <f>(AL55/AL48-1)*100</f>
        <v>32.61772853185596</v>
      </c>
      <c r="AN55" s="975">
        <f>AL55/$AR55*100</f>
        <v>36.012554559490297</v>
      </c>
      <c r="AO55" s="976" t="str">
        <f>IF(AP55=AL55," ","no")</f>
        <v xml:space="preserve"> </v>
      </c>
      <c r="AP55" s="978">
        <f>ROUND('qtrP&amp;L'!AR31,1)</f>
        <v>191.5</v>
      </c>
      <c r="AR55" s="144">
        <f>'qtrP&amp;L'!AR11</f>
        <v>531.75900000000001</v>
      </c>
    </row>
    <row r="56" spans="1:44" ht="10.5" hidden="1" customHeight="1" outlineLevel="1">
      <c r="A56" s="956" t="s">
        <v>459</v>
      </c>
      <c r="B56" s="3" t="s">
        <v>166</v>
      </c>
      <c r="D56" s="980">
        <f>D58/4</f>
        <v>12.6</v>
      </c>
      <c r="F56" s="718">
        <f>R58/4</f>
        <v>21.346</v>
      </c>
      <c r="G56" s="974">
        <f>(F56/F49-1)*100</f>
        <v>35.730522835296561</v>
      </c>
      <c r="H56" s="718">
        <f>L56-F56</f>
        <v>106.154</v>
      </c>
      <c r="I56" s="974">
        <f>(H56/H49-1)*100</f>
        <v>33.571988058875135</v>
      </c>
      <c r="J56" s="981">
        <f>L56-F56-D56</f>
        <v>93.554000000000002</v>
      </c>
      <c r="K56" s="974">
        <f>(J56/J49-1)*100</f>
        <v>34.71037787129265</v>
      </c>
      <c r="L56" s="136">
        <v>127.5</v>
      </c>
      <c r="M56" s="974">
        <f>(L56/L49-1)*100</f>
        <v>33.928571428571416</v>
      </c>
      <c r="N56" s="975">
        <f>L56/AR56*100</f>
        <v>30.653533330608575</v>
      </c>
      <c r="O56" s="975"/>
      <c r="P56" s="359"/>
      <c r="Q56" s="982">
        <f>AVERAGE(CoachNAqtrSalesOld!L80,CoachNAqtrSalesOld!L84)</f>
        <v>372</v>
      </c>
      <c r="R56" s="178"/>
      <c r="S56" s="178"/>
      <c r="T56" s="359">
        <f>L56/Q56</f>
        <v>0.34274193548387094</v>
      </c>
      <c r="U56" s="178"/>
      <c r="V56" s="178"/>
      <c r="W56" s="178"/>
      <c r="X56" s="975"/>
      <c r="Y56" s="61"/>
      <c r="Z56" s="136">
        <v>18.100000000000001</v>
      </c>
      <c r="AA56" s="974">
        <f>(Z56/Z49-1)*100</f>
        <v>21.476510067114106</v>
      </c>
      <c r="AB56" s="975">
        <f>Z56/$AR56*100</f>
        <v>4.3515996336001193</v>
      </c>
      <c r="AC56" s="61"/>
      <c r="AD56" s="136">
        <v>9.6</v>
      </c>
      <c r="AE56" s="974">
        <f>(AD56/AD49-1)*100</f>
        <v>18.518518518518512</v>
      </c>
      <c r="AF56" s="975">
        <f>AD56/$AR56*100</f>
        <v>2.3080307448928807</v>
      </c>
      <c r="AG56" s="61"/>
      <c r="AH56" s="135">
        <v>37.1</v>
      </c>
      <c r="AI56" s="974">
        <f>(AH56/AH49-1)*100</f>
        <v>101.63043478260873</v>
      </c>
      <c r="AJ56" s="975">
        <f>AH56/$AR56*100</f>
        <v>8.9195771495339464</v>
      </c>
      <c r="AK56" s="61"/>
      <c r="AL56" s="971">
        <f>AH56+AD56+Z56+L56</f>
        <v>192.3</v>
      </c>
      <c r="AM56" s="974">
        <f>(AL56/AL49-1)*100</f>
        <v>40.775988286969266</v>
      </c>
      <c r="AN56" s="975">
        <f>AL56/$AR56*100</f>
        <v>46.232740858635523</v>
      </c>
      <c r="AO56" s="976" t="str">
        <f>IF(AP56=AL56," ","no")</f>
        <v xml:space="preserve"> </v>
      </c>
      <c r="AP56" s="978">
        <f>ROUND('qtrP&amp;L'!AR32,1)</f>
        <v>192.3</v>
      </c>
      <c r="AR56" s="144">
        <f>'qtrP&amp;L'!AR12</f>
        <v>415.93900000000002</v>
      </c>
    </row>
    <row r="57" spans="1:44" ht="10.5" hidden="1" customHeight="1" outlineLevel="1">
      <c r="A57" s="956" t="s">
        <v>460</v>
      </c>
      <c r="B57" s="3" t="s">
        <v>62</v>
      </c>
      <c r="D57" s="980">
        <f>D58/4</f>
        <v>12.6</v>
      </c>
      <c r="F57" s="718">
        <f>R58/4</f>
        <v>21.346</v>
      </c>
      <c r="G57" s="974">
        <f>(F57/F50-1)*100</f>
        <v>35.730522835296561</v>
      </c>
      <c r="H57" s="718">
        <f>L57-F57</f>
        <v>114.35399999999998</v>
      </c>
      <c r="I57" s="974">
        <f>(H57/H50-1)*100</f>
        <v>25.01359687121645</v>
      </c>
      <c r="J57" s="981">
        <f>L57-F57-D57</f>
        <v>101.75399999999999</v>
      </c>
      <c r="K57" s="974">
        <f>(J57/J50-1)*100</f>
        <v>24.930861006835634</v>
      </c>
      <c r="L57" s="972">
        <f>L58-SUM(L54:L56)</f>
        <v>135.69999999999999</v>
      </c>
      <c r="M57" s="974">
        <f>(L57/L50-1)*100</f>
        <v>26.585820895522396</v>
      </c>
      <c r="N57" s="975">
        <f>L57/AR57*100</f>
        <v>32.412936511727892</v>
      </c>
      <c r="O57" s="975"/>
      <c r="P57" s="359"/>
      <c r="Q57" s="982">
        <f>AVERAGE(CoachNAqtrSalesOld!L81,CoachNAqtrSalesOld!L85)</f>
        <v>378</v>
      </c>
      <c r="R57" s="178"/>
      <c r="S57" s="178"/>
      <c r="T57" s="359">
        <f>L57/Q57</f>
        <v>0.35899470899470898</v>
      </c>
      <c r="U57" s="178"/>
      <c r="V57" s="178"/>
      <c r="W57" s="178"/>
      <c r="X57" s="975"/>
      <c r="Y57" s="61"/>
      <c r="Z57" s="972">
        <f>Z58-SUM(Z54:Z56)</f>
        <v>19.899999999999999</v>
      </c>
      <c r="AA57" s="974">
        <f>(Z57/Z50-1)*100</f>
        <v>22.839506172839474</v>
      </c>
      <c r="AB57" s="975">
        <f>Z57/$AR57*100</f>
        <v>4.7532604022357035</v>
      </c>
      <c r="AC57" s="61"/>
      <c r="AD57" s="972">
        <f>AD58-SUM(AD54:AD56)</f>
        <v>9</v>
      </c>
      <c r="AE57" s="974">
        <f>(AD57/AD50-1)*100</f>
        <v>11.111111111111182</v>
      </c>
      <c r="AF57" s="975">
        <f>AD57/$AR57*100</f>
        <v>2.1497157598050922</v>
      </c>
      <c r="AG57" s="61"/>
      <c r="AH57" s="972">
        <f>AH58-SUM(AH54:AH56)</f>
        <v>32.200000000000003</v>
      </c>
      <c r="AI57" s="974">
        <f>(AH57/AH50-1)*100</f>
        <v>91.666666666666629</v>
      </c>
      <c r="AJ57" s="975">
        <f>AH57/$AR57*100</f>
        <v>7.6912052739693317</v>
      </c>
      <c r="AK57" s="61"/>
      <c r="AL57" s="973">
        <f>AH57+AD57+Z57+L57</f>
        <v>196.79999999999998</v>
      </c>
      <c r="AM57" s="974">
        <f>(AL57/AL50-1)*100</f>
        <v>32.793522267206484</v>
      </c>
      <c r="AN57" s="975">
        <f>AL57/$AR57*100</f>
        <v>47.007117947738017</v>
      </c>
      <c r="AO57" s="976" t="str">
        <f>IF(AP57=AL57," ","no")</f>
        <v xml:space="preserve"> </v>
      </c>
      <c r="AP57" s="978">
        <f>ROUND('qtrP&amp;L'!AR33,1)</f>
        <v>196.8</v>
      </c>
      <c r="AR57" s="144">
        <f>'qtrP&amp;L'!AR13</f>
        <v>418.66</v>
      </c>
    </row>
    <row r="58" spans="1:44" ht="10.5" hidden="1" customHeight="1" outlineLevel="1">
      <c r="A58" s="956"/>
      <c r="B58" s="61" t="s">
        <v>461</v>
      </c>
      <c r="C58" s="61"/>
      <c r="D58" s="981">
        <f>'yrP&amp;L'!L48</f>
        <v>50.4</v>
      </c>
      <c r="E58" s="61"/>
      <c r="F58" s="979">
        <f>SUM(F54:F57)</f>
        <v>85.384</v>
      </c>
      <c r="G58" s="974">
        <f>(F58/F51-1)*100</f>
        <v>35.730522835296561</v>
      </c>
      <c r="H58" s="979">
        <f>L58-F58</f>
        <v>411.916</v>
      </c>
      <c r="I58" s="974">
        <f>(H58/H51-1)*100</f>
        <v>27.412594766976085</v>
      </c>
      <c r="J58" s="983">
        <f>L58-F58-D58</f>
        <v>361.51600000000002</v>
      </c>
      <c r="K58" s="974">
        <f>(J58/J51-1)*100</f>
        <v>27.657110168683552</v>
      </c>
      <c r="L58" s="969">
        <v>497.3</v>
      </c>
      <c r="M58" s="974">
        <f>(L58/L51-1)*100</f>
        <v>28.767477990678401</v>
      </c>
      <c r="N58" s="975">
        <f>L58/AR58*100</f>
        <v>29.074679187546003</v>
      </c>
      <c r="O58" s="975"/>
      <c r="P58" s="359">
        <f>yrSales!L85</f>
        <v>0.84354949999999995</v>
      </c>
      <c r="Q58" s="982">
        <f>AVERAGE(yrSales!L61,yrSales!K61)</f>
        <v>364</v>
      </c>
      <c r="R58" s="178">
        <f>'yrP&amp;L'!L18</f>
        <v>85.384</v>
      </c>
      <c r="S58" s="2">
        <f>R58/L58</f>
        <v>0.1716951538306857</v>
      </c>
      <c r="T58" s="178">
        <f>L58/AVERAGE(yrSales!L61,yrSales!K61)</f>
        <v>1.3662087912087912</v>
      </c>
      <c r="U58" s="178">
        <f>(L58-'yrP&amp;L'!L18)/Q58</f>
        <v>1.1316373626373626</v>
      </c>
      <c r="V58" s="178">
        <f>J58/Q58</f>
        <v>0.99317582417582428</v>
      </c>
      <c r="W58" s="984">
        <f>J58/P58</f>
        <v>428.56524720837371</v>
      </c>
      <c r="X58" s="975"/>
      <c r="Y58" s="61"/>
      <c r="Z58" s="969">
        <v>78.8</v>
      </c>
      <c r="AA58" s="974">
        <f>(Z58/Z51-1)*100</f>
        <v>24.094488188976371</v>
      </c>
      <c r="AB58" s="975">
        <f>Z58/$AR58*100</f>
        <v>4.6070474964380148</v>
      </c>
      <c r="AC58" s="61"/>
      <c r="AD58" s="969">
        <v>36.9</v>
      </c>
      <c r="AE58" s="974">
        <f>(AD58/AD51-1)*100</f>
        <v>13.888888888888884</v>
      </c>
      <c r="AF58" s="975">
        <f>AD58/$AR58*100</f>
        <v>2.1573610738396289</v>
      </c>
      <c r="AG58" s="61"/>
      <c r="AH58" s="969">
        <v>125.2</v>
      </c>
      <c r="AI58" s="974">
        <f>(AH58/AH51-1)*100</f>
        <v>97.165354330708681</v>
      </c>
      <c r="AJ58" s="975">
        <f>AH58/$AR58*100</f>
        <v>7.3198267329192825</v>
      </c>
      <c r="AK58" s="61"/>
      <c r="AL58" s="145">
        <f>AH58+AD58+Z58+L58</f>
        <v>738.2</v>
      </c>
      <c r="AM58" s="974">
        <f>(AL58/AL51-1)*100</f>
        <v>35.300586510263933</v>
      </c>
      <c r="AN58" s="975">
        <f>AL58/$AR58*100</f>
        <v>43.15891449074293</v>
      </c>
      <c r="AO58" s="976" t="str">
        <f>IF(AP58=AL58," ","no")</f>
        <v xml:space="preserve"> </v>
      </c>
      <c r="AP58" s="977">
        <f>ROUND('qtrP&amp;L'!AR34,1)</f>
        <v>738.2</v>
      </c>
      <c r="AR58" s="161">
        <f>'qtrP&amp;L'!AR14</f>
        <v>1710.4230000000002</v>
      </c>
    </row>
    <row r="59" spans="1:44" hidden="1" outlineLevel="1">
      <c r="A59" s="956"/>
      <c r="B59" s="61"/>
      <c r="C59" s="61"/>
      <c r="D59" s="981"/>
      <c r="E59" s="61"/>
      <c r="F59" s="61"/>
      <c r="G59" s="61"/>
      <c r="H59" s="61"/>
      <c r="I59" s="61"/>
      <c r="J59" s="61"/>
      <c r="K59" s="61"/>
      <c r="L59" s="61"/>
      <c r="M59" s="61"/>
      <c r="N59" s="61"/>
      <c r="O59" s="61"/>
      <c r="P59" s="987"/>
      <c r="Q59" s="982"/>
      <c r="R59" s="178"/>
      <c r="S59" s="178"/>
      <c r="T59" s="985"/>
      <c r="U59" s="985"/>
      <c r="V59" s="985"/>
      <c r="W59" s="985"/>
      <c r="X59" s="61"/>
      <c r="Y59" s="61"/>
      <c r="Z59" s="61"/>
      <c r="AA59" s="61"/>
      <c r="AB59" s="61"/>
      <c r="AC59" s="61"/>
      <c r="AD59" s="61"/>
      <c r="AE59" s="61"/>
      <c r="AF59" s="61"/>
      <c r="AG59" s="61"/>
      <c r="AH59" s="61"/>
      <c r="AI59" s="61"/>
      <c r="AJ59" s="61"/>
      <c r="AK59" s="61"/>
      <c r="AM59" s="61"/>
      <c r="AN59" s="61"/>
      <c r="AO59" s="976"/>
      <c r="AP59" s="154"/>
    </row>
    <row r="60" spans="1:44" hidden="1" outlineLevel="1">
      <c r="A60" s="956"/>
      <c r="B60" s="965" t="s">
        <v>623</v>
      </c>
      <c r="C60" s="965"/>
      <c r="D60" s="986"/>
      <c r="E60" s="965"/>
      <c r="F60" s="61"/>
      <c r="G60" s="61"/>
      <c r="H60" s="61"/>
      <c r="I60" s="61"/>
      <c r="J60" s="61"/>
      <c r="K60" s="61"/>
      <c r="L60" s="61"/>
      <c r="M60" s="61"/>
      <c r="N60" s="61"/>
      <c r="O60" s="61"/>
      <c r="P60" s="987"/>
      <c r="Q60" s="982"/>
      <c r="R60" s="178"/>
      <c r="S60" s="178"/>
      <c r="T60" s="985"/>
      <c r="U60" s="985"/>
      <c r="V60" s="985"/>
      <c r="W60" s="985"/>
      <c r="X60" s="61"/>
      <c r="Y60" s="61"/>
      <c r="Z60" s="61"/>
      <c r="AA60" s="61"/>
      <c r="AB60" s="61"/>
      <c r="AC60" s="61"/>
      <c r="AD60" s="61"/>
      <c r="AE60" s="61"/>
      <c r="AF60" s="61"/>
      <c r="AG60" s="61"/>
      <c r="AH60" s="61"/>
      <c r="AI60" s="61"/>
      <c r="AJ60" s="61"/>
      <c r="AK60" s="61"/>
      <c r="AM60" s="61"/>
      <c r="AN60" s="61"/>
      <c r="AO60" s="976"/>
      <c r="AP60" s="154"/>
    </row>
    <row r="61" spans="1:44" ht="10.5" hidden="1" customHeight="1" outlineLevel="1">
      <c r="A61" s="956" t="s">
        <v>457</v>
      </c>
      <c r="B61" s="3" t="s">
        <v>63</v>
      </c>
      <c r="D61" s="980">
        <f>D65/4</f>
        <v>16.278749999999999</v>
      </c>
      <c r="F61" s="979">
        <f>R65/4</f>
        <v>23.439</v>
      </c>
      <c r="G61" s="974">
        <f>(F61/F54-1)*100</f>
        <v>9.8051157125456747</v>
      </c>
      <c r="H61" s="979">
        <f>L61-F61</f>
        <v>105.161</v>
      </c>
      <c r="I61" s="974">
        <f>(H61/H54-1)*100</f>
        <v>26.617622269848539</v>
      </c>
      <c r="J61" s="981">
        <f>L61-F61-D61</f>
        <v>88.882249999999999</v>
      </c>
      <c r="K61" s="974">
        <f>(J61/J54-1)*100</f>
        <v>26.156428307832048</v>
      </c>
      <c r="L61" s="988">
        <f>130.4-1.8</f>
        <v>128.6</v>
      </c>
      <c r="M61" s="974">
        <f>(L61/L54-1)*100</f>
        <v>23.180076628352488</v>
      </c>
      <c r="N61" s="975">
        <f>L61/AR61*100</f>
        <v>29.63133640552995</v>
      </c>
      <c r="O61" s="975"/>
      <c r="P61" s="359"/>
      <c r="Q61" s="982">
        <f>AVERAGE(CoachNAqtrSalesOld!L85,CoachNAqtrSalesOld!L89)</f>
        <v>384.5</v>
      </c>
      <c r="R61" s="178"/>
      <c r="S61" s="178"/>
      <c r="T61" s="178">
        <f>L61/Q61</f>
        <v>0.33446033810143039</v>
      </c>
      <c r="U61" s="178"/>
      <c r="V61" s="178"/>
      <c r="W61" s="178"/>
      <c r="X61" s="975"/>
      <c r="Y61" s="61"/>
      <c r="Z61" s="969">
        <v>21.9</v>
      </c>
      <c r="AA61" s="974">
        <f>(Z61/Z54-1)*100</f>
        <v>29.585798816568044</v>
      </c>
      <c r="AB61" s="975">
        <f>Z61/$AR61*100</f>
        <v>5.0460829493087553</v>
      </c>
      <c r="AC61" s="61"/>
      <c r="AD61" s="969">
        <v>9.9</v>
      </c>
      <c r="AE61" s="974">
        <f>(AD61/AD54-1)*100</f>
        <v>17.857142857142861</v>
      </c>
      <c r="AF61" s="975">
        <f>AD61/$AR61*100</f>
        <v>2.2811059907834101</v>
      </c>
      <c r="AG61" s="61"/>
      <c r="AH61" s="969">
        <v>34.1</v>
      </c>
      <c r="AI61" s="974">
        <f>(AH61/AH54-1)*100</f>
        <v>22.222222222222232</v>
      </c>
      <c r="AJ61" s="975">
        <f>AH61/$AR61*100</f>
        <v>7.8571428571428568</v>
      </c>
      <c r="AK61" s="61"/>
      <c r="AL61" s="989">
        <f>AH61+AD61+Z61+L61</f>
        <v>194.5</v>
      </c>
      <c r="AM61" s="974">
        <f>(AL61/AL54-1)*100</f>
        <v>23.41370558375635</v>
      </c>
      <c r="AN61" s="975">
        <f>AL61/$AR61*100</f>
        <v>44.815668202764975</v>
      </c>
      <c r="AO61" s="976" t="str">
        <f>IF(AP61=AL61," ","no")</f>
        <v xml:space="preserve"> </v>
      </c>
      <c r="AP61" s="977">
        <f>ROUND('qtrP&amp;L'!AV30,1)</f>
        <v>194.5</v>
      </c>
      <c r="AR61" s="161">
        <f>'qtrP&amp;L'!AV10</f>
        <v>434</v>
      </c>
    </row>
    <row r="62" spans="1:44" ht="10.5" hidden="1" customHeight="1" outlineLevel="1">
      <c r="A62" s="956" t="s">
        <v>458</v>
      </c>
      <c r="B62" s="3" t="s">
        <v>167</v>
      </c>
      <c r="D62" s="980">
        <f>D65/4</f>
        <v>16.278749999999999</v>
      </c>
      <c r="F62" s="718">
        <f>R65/4</f>
        <v>23.439</v>
      </c>
      <c r="G62" s="974">
        <f>(F62/F55-1)*100</f>
        <v>9.8051157125456747</v>
      </c>
      <c r="H62" s="718">
        <f>L62-F62</f>
        <v>133.06100000000001</v>
      </c>
      <c r="I62" s="974">
        <f>(H62/H55-1)*100</f>
        <v>22.802111597172249</v>
      </c>
      <c r="J62" s="981">
        <f>L62-F62-D62</f>
        <v>116.78225</v>
      </c>
      <c r="K62" s="974">
        <f>(J62/J55-1)*100</f>
        <v>21.960701380621185</v>
      </c>
      <c r="L62" s="990">
        <f>158.7-2.2</f>
        <v>156.5</v>
      </c>
      <c r="M62" s="974">
        <f>(L62/L55-1)*100</f>
        <v>20.663068619892066</v>
      </c>
      <c r="N62" s="975">
        <f>L62/AR62*100</f>
        <v>25.250080671184254</v>
      </c>
      <c r="O62" s="975"/>
      <c r="P62" s="359"/>
      <c r="Q62" s="982">
        <f>AVERAGE(CoachNAqtrSalesOld!L86,CoachNAqtrSalesOld!L90)</f>
        <v>396</v>
      </c>
      <c r="R62" s="178"/>
      <c r="S62" s="178"/>
      <c r="T62" s="359">
        <f>L62/Q62</f>
        <v>0.39520202020202022</v>
      </c>
      <c r="U62" s="178"/>
      <c r="V62" s="178"/>
      <c r="W62" s="178"/>
      <c r="X62" s="975"/>
      <c r="Y62" s="61"/>
      <c r="Z62" s="136">
        <v>28.5</v>
      </c>
      <c r="AA62" s="974">
        <f>(Z62/Z55-1)*100</f>
        <v>19.246861924686208</v>
      </c>
      <c r="AB62" s="975">
        <f>Z62/$AR62*100</f>
        <v>4.598257502420136</v>
      </c>
      <c r="AC62" s="61"/>
      <c r="AD62" s="136">
        <v>11.9</v>
      </c>
      <c r="AE62" s="974">
        <f>(AD62/AD55-1)*100</f>
        <v>20.202020202020201</v>
      </c>
      <c r="AF62" s="975">
        <f>AD62/$AR62*100</f>
        <v>1.9199741852210392</v>
      </c>
      <c r="AG62" s="61"/>
      <c r="AH62" s="136">
        <v>31.6</v>
      </c>
      <c r="AI62" s="974">
        <f>(AH62/AH55-1)*100</f>
        <v>12.857142857142856</v>
      </c>
      <c r="AJ62" s="975">
        <f>AH62/$AR62*100</f>
        <v>5.0984188447886423</v>
      </c>
      <c r="AK62" s="61"/>
      <c r="AL62" s="991">
        <f>AH62+AD62+Z62+L62</f>
        <v>228.5</v>
      </c>
      <c r="AM62" s="974">
        <f>(AL62/AL55-1)*100</f>
        <v>19.321148825065283</v>
      </c>
      <c r="AN62" s="975">
        <f>AL62/$AR62*100</f>
        <v>36.866731203614073</v>
      </c>
      <c r="AO62" s="976" t="str">
        <f>IF(AP62=AL62," ","no")</f>
        <v xml:space="preserve"> </v>
      </c>
      <c r="AP62" s="978">
        <f>ROUND('qtrP&amp;L'!AV31,1)</f>
        <v>228.5</v>
      </c>
      <c r="AR62" s="144">
        <f>'qtrP&amp;L'!AV11</f>
        <v>619.79999999999995</v>
      </c>
    </row>
    <row r="63" spans="1:44" ht="10.5" hidden="1" customHeight="1" outlineLevel="1">
      <c r="A63" s="956" t="s">
        <v>459</v>
      </c>
      <c r="B63" s="3" t="s">
        <v>166</v>
      </c>
      <c r="D63" s="980">
        <f>D65/4</f>
        <v>16.278749999999999</v>
      </c>
      <c r="F63" s="718">
        <f>R65/4</f>
        <v>23.439</v>
      </c>
      <c r="G63" s="974">
        <f>(F63/F56-1)*100</f>
        <v>9.8051157125456747</v>
      </c>
      <c r="H63" s="718">
        <f>L63-F63</f>
        <v>116.261</v>
      </c>
      <c r="I63" s="974">
        <f>(H63/H56-1)*100</f>
        <v>9.5210731578649899</v>
      </c>
      <c r="J63" s="981">
        <f>L63-F63-D63</f>
        <v>99.982249999999993</v>
      </c>
      <c r="K63" s="974">
        <f>(J63/J56-1)*100</f>
        <v>6.8711653162879083</v>
      </c>
      <c r="L63" s="136">
        <v>139.69999999999999</v>
      </c>
      <c r="M63" s="974">
        <f>(L63/L56-1)*100</f>
        <v>9.5686274509803937</v>
      </c>
      <c r="N63" s="975">
        <f>L63/AR63*100</f>
        <v>29.121275415973546</v>
      </c>
      <c r="O63" s="975"/>
      <c r="P63" s="359"/>
      <c r="Q63" s="982">
        <f>AVERAGE(CoachNAqtrSalesOld!L87,CoachNAqtrSalesOld!L91)</f>
        <v>402</v>
      </c>
      <c r="R63" s="178"/>
      <c r="S63" s="178"/>
      <c r="T63" s="359">
        <f>L63/Q63</f>
        <v>0.34751243781094526</v>
      </c>
      <c r="U63" s="178"/>
      <c r="V63" s="178"/>
      <c r="W63" s="178"/>
      <c r="X63" s="975"/>
      <c r="Y63" s="61"/>
      <c r="Z63" s="136">
        <v>25.2</v>
      </c>
      <c r="AA63" s="974">
        <f>(Z63/Z56-1)*100</f>
        <v>39.226519337016555</v>
      </c>
      <c r="AB63" s="975">
        <f>Z63/$AR63*100</f>
        <v>5.2530861881355291</v>
      </c>
      <c r="AC63" s="61"/>
      <c r="AD63" s="136">
        <v>10.3</v>
      </c>
      <c r="AE63" s="974">
        <f>(AD63/AD56-1)*100</f>
        <v>7.2916666666666741</v>
      </c>
      <c r="AF63" s="975">
        <f>AD63/$AR63*100</f>
        <v>2.1470947514998393</v>
      </c>
      <c r="AG63" s="61"/>
      <c r="AH63" s="136">
        <v>47.4</v>
      </c>
      <c r="AI63" s="974">
        <f>(AH63/AH56-1)*100</f>
        <v>27.762803234501334</v>
      </c>
      <c r="AJ63" s="975">
        <f>AH63/$AR63*100</f>
        <v>9.8808049729215899</v>
      </c>
      <c r="AK63" s="61"/>
      <c r="AL63" s="991">
        <f>AH63+AD63+Z63+L63-0.1</f>
        <v>222.5</v>
      </c>
      <c r="AM63" s="974">
        <f>(AL63/AL56-1)*100</f>
        <v>15.70462818512739</v>
      </c>
      <c r="AN63" s="975">
        <f>AL63/$AR63*100</f>
        <v>46.38141574841886</v>
      </c>
      <c r="AO63" s="976" t="str">
        <f>IF(AP63=AL63," ","no")</f>
        <v xml:space="preserve"> </v>
      </c>
      <c r="AP63" s="978">
        <f>ROUND('qtrP&amp;L'!AV32,1)</f>
        <v>222.5</v>
      </c>
      <c r="AR63" s="144">
        <f>'qtrP&amp;L'!AV12</f>
        <v>479.71800000000002</v>
      </c>
    </row>
    <row r="64" spans="1:44" ht="10.5" hidden="1" customHeight="1" outlineLevel="1">
      <c r="A64" s="956" t="s">
        <v>460</v>
      </c>
      <c r="B64" s="3" t="s">
        <v>62</v>
      </c>
      <c r="D64" s="980">
        <f>D65/4</f>
        <v>16.278749999999999</v>
      </c>
      <c r="F64" s="718">
        <f>R65/4</f>
        <v>23.439</v>
      </c>
      <c r="G64" s="974">
        <f>(F64/F57-1)*100</f>
        <v>9.8051157125456747</v>
      </c>
      <c r="H64" s="718">
        <f>L64-F64</f>
        <v>128.36100000000002</v>
      </c>
      <c r="I64" s="974">
        <f>(H64/H57-1)*100</f>
        <v>12.248806338212948</v>
      </c>
      <c r="J64" s="981">
        <f>L64-F64-D64</f>
        <v>112.08225000000002</v>
      </c>
      <c r="K64" s="974">
        <f>(J64/J57-1)*100</f>
        <v>10.150215224954318</v>
      </c>
      <c r="L64" s="972">
        <f>L65-SUM(L61:L63)</f>
        <v>151.80000000000001</v>
      </c>
      <c r="M64" s="974">
        <f>(L64/L57-1)*100</f>
        <v>11.86440677966103</v>
      </c>
      <c r="N64" s="975">
        <f>L64/AR64*100</f>
        <v>30.264786980160419</v>
      </c>
      <c r="O64" s="975"/>
      <c r="P64" s="359"/>
      <c r="Q64" s="982">
        <f>AVERAGE(CoachNAqtrSalesOld!L88,CoachNAqtrSalesOld!L92)</f>
        <v>422</v>
      </c>
      <c r="R64" s="178"/>
      <c r="S64" s="178"/>
      <c r="T64" s="359">
        <f>L64/Q64</f>
        <v>0.35971563981042659</v>
      </c>
      <c r="U64" s="178"/>
      <c r="V64" s="178"/>
      <c r="W64" s="178"/>
      <c r="X64" s="975"/>
      <c r="Y64" s="61"/>
      <c r="Z64" s="972">
        <f>Z65-SUM(Z61:Z63)</f>
        <v>25</v>
      </c>
      <c r="AA64" s="974">
        <f>(Z64/Z57-1)*100</f>
        <v>25.628140703517598</v>
      </c>
      <c r="AB64" s="975">
        <f>Z64/$AR64*100</f>
        <v>4.9843193313834684</v>
      </c>
      <c r="AC64" s="61"/>
      <c r="AD64" s="972">
        <f>AD65-SUM(AD61:AD63)</f>
        <v>10.100000000000001</v>
      </c>
      <c r="AE64" s="974">
        <f>(AD64/AD57-1)*100</f>
        <v>12.222222222222246</v>
      </c>
      <c r="AF64" s="975">
        <f>AD64/$AR64*100</f>
        <v>2.0136650098789213</v>
      </c>
      <c r="AG64" s="61"/>
      <c r="AH64" s="972">
        <f>AH65-SUM(AH61:AH63)</f>
        <v>34.400000000000006</v>
      </c>
      <c r="AI64" s="974">
        <f>(AH64/AH57-1)*100</f>
        <v>6.8322981366459645</v>
      </c>
      <c r="AJ64" s="975">
        <f>AH64/$AR64*100</f>
        <v>6.8584233999836526</v>
      </c>
      <c r="AK64" s="61"/>
      <c r="AL64" s="973">
        <f>AH64+AD64+Z64+L64</f>
        <v>221.3</v>
      </c>
      <c r="AM64" s="974">
        <f>(AL64/AL57-1)*100</f>
        <v>12.449186991869944</v>
      </c>
      <c r="AN64" s="975">
        <f>AL64/$AR64*100</f>
        <v>44.121194721406461</v>
      </c>
      <c r="AO64" s="976" t="str">
        <f>IF(AP64=AL64," ","no")</f>
        <v xml:space="preserve"> </v>
      </c>
      <c r="AP64" s="978">
        <f>ROUND('qtrP&amp;L'!AV33,1)</f>
        <v>221.3</v>
      </c>
      <c r="AR64" s="144">
        <f>'qtrP&amp;L'!AV13</f>
        <v>501.57299999999998</v>
      </c>
    </row>
    <row r="65" spans="1:44" ht="10.5" hidden="1" customHeight="1" outlineLevel="1">
      <c r="A65" s="956"/>
      <c r="B65" s="61" t="s">
        <v>461</v>
      </c>
      <c r="C65" s="61"/>
      <c r="D65" s="981">
        <f>'yrP&amp;L'!M48</f>
        <v>65.114999999999995</v>
      </c>
      <c r="E65" s="61"/>
      <c r="F65" s="979">
        <f>SUM(F61:F64)</f>
        <v>93.756</v>
      </c>
      <c r="G65" s="974">
        <f>(F65/F58-1)*100</f>
        <v>9.8051157125456747</v>
      </c>
      <c r="H65" s="979">
        <f>L65-F65</f>
        <v>482.84400000000005</v>
      </c>
      <c r="I65" s="974">
        <f>(H65/H58-1)*100</f>
        <v>17.219044659590811</v>
      </c>
      <c r="J65" s="983">
        <f>L65-F65-D65</f>
        <v>417.72900000000004</v>
      </c>
      <c r="K65" s="974">
        <f>(J65/J58-1)*100</f>
        <v>15.549242633797689</v>
      </c>
      <c r="L65" s="969">
        <v>576.6</v>
      </c>
      <c r="M65" s="974">
        <f>(L65/L58-1)*100</f>
        <v>15.9461089885381</v>
      </c>
      <c r="N65" s="975">
        <f>L65/AR65*100</f>
        <v>28.332885359917569</v>
      </c>
      <c r="O65" s="975"/>
      <c r="P65" s="359">
        <f>yrSales!M85</f>
        <v>0.97177550000000001</v>
      </c>
      <c r="Q65" s="982">
        <f>AVERAGE(yrSales!M61,yrSales!L61)</f>
        <v>400</v>
      </c>
      <c r="R65" s="178">
        <f>'yrP&amp;L'!M18</f>
        <v>93.756</v>
      </c>
      <c r="S65" s="2">
        <f>R65/L65</f>
        <v>0.16260145681581686</v>
      </c>
      <c r="T65" s="178">
        <f>L65/AVERAGE(yrSales!M61,yrSales!L61)</f>
        <v>1.4415</v>
      </c>
      <c r="U65" s="178">
        <f>(L65-'yrP&amp;L'!M18)/Q65</f>
        <v>1.2071100000000001</v>
      </c>
      <c r="V65" s="178">
        <f>J65/Q65</f>
        <v>1.0443225</v>
      </c>
      <c r="W65" s="984">
        <f>J65/P65</f>
        <v>429.86162956361841</v>
      </c>
      <c r="X65" s="974">
        <f>(W65/W58-1)*100</f>
        <v>0.30249357914324815</v>
      </c>
      <c r="Y65" s="61"/>
      <c r="Z65" s="969">
        <v>100.6</v>
      </c>
      <c r="AA65" s="974">
        <f>(Z65/Z58-1)*100</f>
        <v>27.664974619289339</v>
      </c>
      <c r="AB65" s="975">
        <f>Z65/$AR65*100</f>
        <v>4.9432678931802068</v>
      </c>
      <c r="AC65" s="61"/>
      <c r="AD65" s="969">
        <v>42.2</v>
      </c>
      <c r="AE65" s="974">
        <f>(AD65/AD58-1)*100</f>
        <v>14.363143631436337</v>
      </c>
      <c r="AF65" s="975">
        <f>AD65/$AR65*100</f>
        <v>2.0736173468410017</v>
      </c>
      <c r="AG65" s="61"/>
      <c r="AH65" s="969">
        <v>147.5</v>
      </c>
      <c r="AI65" s="974">
        <f>(AH65/AH58-1)*100</f>
        <v>17.811501597444092</v>
      </c>
      <c r="AJ65" s="975">
        <f>AH65/$AR65*100</f>
        <v>7.2478331435793297</v>
      </c>
      <c r="AK65" s="61"/>
      <c r="AL65" s="145">
        <f>AH65+AD65+Z65+L65</f>
        <v>866.9</v>
      </c>
      <c r="AM65" s="974">
        <f>(AL65/AL58-1)*100</f>
        <v>17.434299647791907</v>
      </c>
      <c r="AN65" s="975">
        <f>AL65/$AR65*100</f>
        <v>42.5976037435181</v>
      </c>
      <c r="AO65" s="976" t="str">
        <f>IF(AP65=AL65," ","no")</f>
        <v xml:space="preserve"> </v>
      </c>
      <c r="AP65" s="977">
        <f>ROUND('qtrP&amp;L'!AV34,1)</f>
        <v>866.9</v>
      </c>
      <c r="AR65" s="161">
        <f>'qtrP&amp;L'!AV14</f>
        <v>2035.0909999999999</v>
      </c>
    </row>
    <row r="66" spans="1:44" hidden="1" outlineLevel="1">
      <c r="A66" s="956"/>
      <c r="B66" s="61"/>
      <c r="C66" s="61"/>
      <c r="D66" s="981"/>
      <c r="E66" s="61"/>
      <c r="F66" s="61"/>
      <c r="G66" s="61"/>
      <c r="H66" s="61"/>
      <c r="I66" s="61"/>
      <c r="J66" s="61"/>
      <c r="K66" s="61"/>
      <c r="L66" s="61"/>
      <c r="M66" s="61"/>
      <c r="N66" s="61"/>
      <c r="O66" s="61"/>
      <c r="P66" s="987"/>
      <c r="Q66" s="982"/>
      <c r="R66" s="178"/>
      <c r="S66" s="178"/>
      <c r="T66" s="985"/>
      <c r="U66" s="985"/>
      <c r="V66" s="985"/>
      <c r="W66" s="985"/>
      <c r="X66" s="61"/>
      <c r="Y66" s="61"/>
      <c r="Z66" s="983"/>
      <c r="AA66" s="61"/>
      <c r="AB66" s="61"/>
      <c r="AC66" s="61"/>
      <c r="AD66" s="61"/>
      <c r="AE66" s="61"/>
      <c r="AF66" s="61"/>
      <c r="AG66" s="61"/>
      <c r="AH66" s="61"/>
      <c r="AI66" s="61"/>
      <c r="AJ66" s="61"/>
      <c r="AK66" s="61"/>
      <c r="AM66" s="61"/>
      <c r="AN66" s="61"/>
      <c r="AO66" s="976"/>
      <c r="AP66" s="154"/>
    </row>
    <row r="67" spans="1:44" hidden="1" outlineLevel="1">
      <c r="A67" s="956"/>
      <c r="B67" s="965" t="s">
        <v>145</v>
      </c>
      <c r="C67" s="965"/>
      <c r="D67" s="986"/>
      <c r="E67" s="965"/>
      <c r="F67" s="61"/>
      <c r="G67" s="61"/>
      <c r="H67" s="61"/>
      <c r="I67" s="61"/>
      <c r="J67" s="61"/>
      <c r="K67" s="61"/>
      <c r="L67" s="61"/>
      <c r="M67" s="61"/>
      <c r="N67" s="61"/>
      <c r="O67" s="61"/>
      <c r="P67" s="987"/>
      <c r="Q67" s="982"/>
      <c r="R67" s="178"/>
      <c r="S67" s="178"/>
      <c r="T67" s="985"/>
      <c r="U67" s="985"/>
      <c r="V67" s="985"/>
      <c r="W67" s="985"/>
      <c r="X67" s="61"/>
      <c r="Y67" s="61"/>
      <c r="Z67" s="61"/>
      <c r="AA67" s="61"/>
      <c r="AB67" s="61"/>
      <c r="AC67" s="61"/>
      <c r="AD67" s="61"/>
      <c r="AE67" s="61"/>
      <c r="AF67" s="61"/>
      <c r="AG67" s="61"/>
      <c r="AH67" s="61"/>
      <c r="AI67" s="61"/>
      <c r="AJ67" s="61"/>
      <c r="AK67" s="61"/>
      <c r="AM67" s="61"/>
      <c r="AN67" s="61"/>
      <c r="AO67" s="976"/>
      <c r="AP67" s="154"/>
    </row>
    <row r="68" spans="1:44" ht="10.5" hidden="1" customHeight="1" outlineLevel="1">
      <c r="A68" s="956" t="s">
        <v>457</v>
      </c>
      <c r="B68" s="3" t="s">
        <v>63</v>
      </c>
      <c r="D68" s="980">
        <f>D72/4</f>
        <v>20.207999999999998</v>
      </c>
      <c r="F68" s="979">
        <f>R72/4</f>
        <v>26.8645</v>
      </c>
      <c r="G68" s="974">
        <f>(F68/F61-1)*100</f>
        <v>14.614531336661107</v>
      </c>
      <c r="H68" s="979">
        <f>L68-F68</f>
        <v>130.2355</v>
      </c>
      <c r="I68" s="974">
        <f>(H68/H61-1)*100</f>
        <v>23.843915520012171</v>
      </c>
      <c r="J68" s="981">
        <f>L68-F68-D68</f>
        <v>110.0275</v>
      </c>
      <c r="K68" s="974">
        <f>(J68/J61-1)*100</f>
        <v>23.790183079298743</v>
      </c>
      <c r="L68" s="992">
        <v>157.1</v>
      </c>
      <c r="M68" s="974">
        <f>(L68/L61-1)*100</f>
        <v>22.16174183514774</v>
      </c>
      <c r="N68" s="975">
        <f>L68/AR68*100</f>
        <v>29.673926799276941</v>
      </c>
      <c r="O68" s="975"/>
      <c r="P68" s="359"/>
      <c r="Q68" s="982">
        <f>AVERAGE(CoachNAqtrSalesOld!L92,CoachNAqtrSalesOld!L96)</f>
        <v>432.5</v>
      </c>
      <c r="R68" s="178"/>
      <c r="S68" s="178"/>
      <c r="T68" s="178">
        <f>L68/Q68</f>
        <v>0.36323699421965316</v>
      </c>
      <c r="U68" s="178"/>
      <c r="V68" s="178"/>
      <c r="W68" s="178"/>
      <c r="X68" s="975"/>
      <c r="Y68" s="61"/>
      <c r="Z68" s="969">
        <v>27.9</v>
      </c>
      <c r="AA68" s="974">
        <f>(Z68/Z61-1)*100</f>
        <v>27.397260273972602</v>
      </c>
      <c r="AB68" s="975">
        <f>Z68/$AR68*100</f>
        <v>5.2699080693814553</v>
      </c>
      <c r="AC68" s="61"/>
      <c r="AD68" s="969">
        <v>11.6</v>
      </c>
      <c r="AE68" s="974">
        <f>(AD68/AD61-1)*100</f>
        <v>17.171717171717169</v>
      </c>
      <c r="AF68" s="975">
        <f>AD68/$AR68*100</f>
        <v>2.1910728890618238</v>
      </c>
      <c r="AG68" s="61"/>
      <c r="AH68" s="969">
        <v>28.8</v>
      </c>
      <c r="AI68" s="974">
        <f>(AH68/AH61-1)*100</f>
        <v>-15.542521994134894</v>
      </c>
      <c r="AJ68" s="975">
        <f>AH68/$AR68*100</f>
        <v>5.4399051038776323</v>
      </c>
      <c r="AK68" s="61"/>
      <c r="AL68" s="970">
        <f>AH68+AD68+Z68+L68</f>
        <v>225.39999999999998</v>
      </c>
      <c r="AM68" s="974">
        <f>(AL68/AL61-1)*100</f>
        <v>15.88688946015424</v>
      </c>
      <c r="AN68" s="975">
        <f>AL68/$AR68*100</f>
        <v>42.574812861597849</v>
      </c>
      <c r="AO68" s="976" t="str">
        <f>IF(AP68=AL68," ","no")</f>
        <v xml:space="preserve"> </v>
      </c>
      <c r="AP68" s="977">
        <f>ROUND('qtrP&amp;L'!AZ30,1)</f>
        <v>225.4</v>
      </c>
      <c r="AR68" s="161">
        <f>'qtrP&amp;L'!AZ10</f>
        <v>529.42100000000005</v>
      </c>
    </row>
    <row r="69" spans="1:44" ht="10.5" hidden="1" customHeight="1" outlineLevel="1">
      <c r="A69" s="956" t="s">
        <v>458</v>
      </c>
      <c r="B69" s="3" t="s">
        <v>167</v>
      </c>
      <c r="D69" s="980">
        <f>D72/4</f>
        <v>20.207999999999998</v>
      </c>
      <c r="F69" s="718">
        <f>R72/4</f>
        <v>26.8645</v>
      </c>
      <c r="G69" s="974">
        <f>(F69/F62-1)*100</f>
        <v>14.614531336661107</v>
      </c>
      <c r="H69" s="718">
        <f>L69-F69</f>
        <v>169.63550000000001</v>
      </c>
      <c r="I69" s="974">
        <f>(H69/H62-1)*100</f>
        <v>27.487017232697774</v>
      </c>
      <c r="J69" s="981">
        <f>L69-F69-D69</f>
        <v>149.42750000000001</v>
      </c>
      <c r="K69" s="974">
        <f>(J69/J62-1)*100</f>
        <v>27.95394848104058</v>
      </c>
      <c r="L69" s="136">
        <v>196.5</v>
      </c>
      <c r="M69" s="974">
        <f>(L69/L62-1)*100</f>
        <v>25.559105431309902</v>
      </c>
      <c r="N69" s="975">
        <f>L69/AR69*100</f>
        <v>24.391666863206819</v>
      </c>
      <c r="O69" s="975"/>
      <c r="P69" s="359"/>
      <c r="Q69" s="982">
        <f>AVERAGE(CoachNAqtrSalesOld!L93,CoachNAqtrSalesOld!L97)</f>
        <v>454</v>
      </c>
      <c r="R69" s="178"/>
      <c r="S69" s="178"/>
      <c r="T69" s="359">
        <f>L69/Q69</f>
        <v>0.43281938325991187</v>
      </c>
      <c r="U69" s="178"/>
      <c r="V69" s="178"/>
      <c r="W69" s="178"/>
      <c r="X69" s="975"/>
      <c r="Y69" s="61"/>
      <c r="Z69" s="136">
        <v>31.5</v>
      </c>
      <c r="AA69" s="974">
        <f>(Z69/Z62-1)*100</f>
        <v>10.526315789473696</v>
      </c>
      <c r="AB69" s="975">
        <f>Z69/$AR69*100</f>
        <v>3.9101145353232303</v>
      </c>
      <c r="AC69" s="61"/>
      <c r="AD69" s="136">
        <v>15.3</v>
      </c>
      <c r="AE69" s="974">
        <f>(AD69/AD62-1)*100</f>
        <v>28.57142857142858</v>
      </c>
      <c r="AF69" s="975">
        <f>AD69/$AR69*100</f>
        <v>1.8991984885855691</v>
      </c>
      <c r="AG69" s="61"/>
      <c r="AH69" s="136">
        <v>37.299999999999997</v>
      </c>
      <c r="AI69" s="974">
        <f>(AH69/AH62-1)*100</f>
        <v>18.037974683544288</v>
      </c>
      <c r="AJ69" s="975">
        <f>AH69/$AR69*100</f>
        <v>4.63007213230338</v>
      </c>
      <c r="AK69" s="61"/>
      <c r="AL69" s="991">
        <f>AH69+AD69+Z69+L69</f>
        <v>280.60000000000002</v>
      </c>
      <c r="AM69" s="974">
        <f>(AL69/AL62-1)*100</f>
        <v>22.80087527352299</v>
      </c>
      <c r="AN69" s="975">
        <f>AL69/$AR69*100</f>
        <v>34.831052019418998</v>
      </c>
      <c r="AO69" s="976" t="str">
        <f>IF(AP69=AL69," ","no")</f>
        <v xml:space="preserve"> </v>
      </c>
      <c r="AP69" s="978">
        <f>ROUND('qtrP&amp;L'!AZ31,1)</f>
        <v>280.60000000000002</v>
      </c>
      <c r="AR69" s="144">
        <f>'qtrP&amp;L'!AZ11</f>
        <v>805.60299999999995</v>
      </c>
    </row>
    <row r="70" spans="1:44" ht="10.5" hidden="1" customHeight="1" outlineLevel="1">
      <c r="A70" s="956" t="s">
        <v>459</v>
      </c>
      <c r="B70" s="3" t="s">
        <v>166</v>
      </c>
      <c r="D70" s="980">
        <f>D72/4</f>
        <v>20.207999999999998</v>
      </c>
      <c r="F70" s="718">
        <f>R72/4</f>
        <v>26.8645</v>
      </c>
      <c r="G70" s="974">
        <f>(F70/F63-1)*100</f>
        <v>14.614531336661107</v>
      </c>
      <c r="H70" s="718">
        <f>L70-F70</f>
        <v>151.8355</v>
      </c>
      <c r="I70" s="974">
        <f>(H70/H63-1)*100</f>
        <v>30.598825057413915</v>
      </c>
      <c r="J70" s="981">
        <f>L70-F70-D70</f>
        <v>131.6275</v>
      </c>
      <c r="K70" s="974">
        <f>(J70/J63-1)*100</f>
        <v>31.650868029075173</v>
      </c>
      <c r="L70" s="136">
        <v>178.7</v>
      </c>
      <c r="M70" s="974">
        <f>(L70/L63-1)*100</f>
        <v>27.91696492483895</v>
      </c>
      <c r="N70" s="975">
        <f>L70/AR70*100</f>
        <v>28.578145315151215</v>
      </c>
      <c r="O70" s="975"/>
      <c r="P70" s="359"/>
      <c r="Q70" s="982">
        <f>AVERAGE(CoachNAqtrSalesOld!L94,CoachNAqtrSalesOld!L98)</f>
        <v>470</v>
      </c>
      <c r="R70" s="178"/>
      <c r="S70" s="178"/>
      <c r="T70" s="359">
        <f>L70/Q70</f>
        <v>0.3802127659574468</v>
      </c>
      <c r="U70" s="178"/>
      <c r="V70" s="178"/>
      <c r="W70" s="178"/>
      <c r="X70" s="975"/>
      <c r="Y70" s="61"/>
      <c r="Z70" s="136">
        <v>30.9</v>
      </c>
      <c r="AA70" s="974">
        <f>(Z70/Z63-1)*100</f>
        <v>22.619047619047628</v>
      </c>
      <c r="AB70" s="975">
        <f>Z70/$AR70*100</f>
        <v>4.9416043102303995</v>
      </c>
      <c r="AC70" s="61"/>
      <c r="AD70" s="136">
        <v>13.4</v>
      </c>
      <c r="AE70" s="974">
        <f>(AD70/AD63-1)*100</f>
        <v>30.097087378640765</v>
      </c>
      <c r="AF70" s="975">
        <f>AD70/$AR70*100</f>
        <v>2.1429610924623743</v>
      </c>
      <c r="AG70" s="61"/>
      <c r="AH70" s="136">
        <v>36.799999999999997</v>
      </c>
      <c r="AI70" s="974">
        <f>(AH70/AH63-1)*100</f>
        <v>-22.362869198312239</v>
      </c>
      <c r="AJ70" s="975">
        <f>AH70/$AR70*100</f>
        <v>5.8851468807921918</v>
      </c>
      <c r="AK70" s="61"/>
      <c r="AL70" s="971">
        <f>AH70+AD70+Z70+L70</f>
        <v>259.79999999999995</v>
      </c>
      <c r="AM70" s="974">
        <f>(AL70/AL63-1)*100</f>
        <v>16.764044943820199</v>
      </c>
      <c r="AN70" s="975">
        <f>AL70/$AR70*100</f>
        <v>41.54785759863617</v>
      </c>
      <c r="AO70" s="976" t="str">
        <f>IF(AP70=AL70," ","no")</f>
        <v xml:space="preserve"> </v>
      </c>
      <c r="AP70" s="978">
        <f>ROUND('qtrP&amp;L'!AZ32,1)</f>
        <v>259.8</v>
      </c>
      <c r="AR70" s="144">
        <f>'qtrP&amp;L'!AZ12</f>
        <v>625.303</v>
      </c>
    </row>
    <row r="71" spans="1:44" ht="10.5" hidden="1" customHeight="1" outlineLevel="1">
      <c r="A71" s="956" t="s">
        <v>460</v>
      </c>
      <c r="B71" s="3" t="s">
        <v>62</v>
      </c>
      <c r="D71" s="980">
        <f>D72/4</f>
        <v>20.207999999999998</v>
      </c>
      <c r="F71" s="718">
        <f>R72/4</f>
        <v>26.8645</v>
      </c>
      <c r="G71" s="974">
        <f>(F71/F64-1)*100</f>
        <v>14.614531336661107</v>
      </c>
      <c r="H71" s="718">
        <f>L71-F71</f>
        <v>158.83550000000005</v>
      </c>
      <c r="I71" s="974">
        <f>(H71/H64-1)*100</f>
        <v>23.741245393850186</v>
      </c>
      <c r="J71" s="981">
        <f>L71-F71-D71</f>
        <v>138.62750000000005</v>
      </c>
      <c r="K71" s="974">
        <f>(J71/J64-1)*100</f>
        <v>23.683723337102911</v>
      </c>
      <c r="L71" s="972">
        <f>L72-SUM(L68:L70)</f>
        <v>185.70000000000005</v>
      </c>
      <c r="M71" s="974">
        <f>(L71/L64-1)*100</f>
        <v>22.332015810276708</v>
      </c>
      <c r="N71" s="975">
        <f>L71/AR71*100</f>
        <v>28.475961044517273</v>
      </c>
      <c r="O71" s="975"/>
      <c r="P71" s="359"/>
      <c r="Q71" s="982">
        <f>AVERAGE(CoachNAqtrSalesOld!L95,CoachNAqtrSalesOld!L99)</f>
        <v>489</v>
      </c>
      <c r="R71" s="178"/>
      <c r="S71" s="178"/>
      <c r="T71" s="359">
        <f>L71/Q71</f>
        <v>0.37975460122699395</v>
      </c>
      <c r="U71" s="178"/>
      <c r="V71" s="178"/>
      <c r="W71" s="178"/>
      <c r="X71" s="975"/>
      <c r="Y71" s="61"/>
      <c r="Z71" s="972">
        <f>Z72-SUM(Z68:Z70)</f>
        <v>29.5</v>
      </c>
      <c r="AA71" s="974">
        <f>(Z71/Z64-1)*100</f>
        <v>17.999999999999993</v>
      </c>
      <c r="AB71" s="975">
        <f>Z71/$AR71*100</f>
        <v>4.5236448616761402</v>
      </c>
      <c r="AC71" s="61"/>
      <c r="AD71" s="972">
        <f>AD72-SUM(AD68:AD70)</f>
        <v>12.900000000000006</v>
      </c>
      <c r="AE71" s="974">
        <f>(AD71/AD64-1)*100</f>
        <v>27.722772277227769</v>
      </c>
      <c r="AF71" s="975">
        <f>AD71/$AR71*100</f>
        <v>1.9781362276482115</v>
      </c>
      <c r="AG71" s="61"/>
      <c r="AH71" s="972">
        <f>AH72-SUM(AH68:AH70)</f>
        <v>35.700000000000003</v>
      </c>
      <c r="AI71" s="974">
        <f>(AH71/AH64-1)*100</f>
        <v>3.779069767441845</v>
      </c>
      <c r="AJ71" s="975">
        <f>AH71/$AR71*100</f>
        <v>5.4743770020962108</v>
      </c>
      <c r="AK71" s="61"/>
      <c r="AL71" s="973">
        <f>AH71+AD71+Z71+L71+0.1</f>
        <v>263.90000000000009</v>
      </c>
      <c r="AM71" s="974">
        <f>(AL71/AL64-1)*100</f>
        <v>19.249887031179426</v>
      </c>
      <c r="AN71" s="975">
        <f>AL71/$AR71*100</f>
        <v>40.467453525299454</v>
      </c>
      <c r="AO71" s="976" t="str">
        <f>IF(AP71=AL71," ","no")</f>
        <v xml:space="preserve"> </v>
      </c>
      <c r="AP71" s="978">
        <f>ROUND('qtrP&amp;L'!AZ33,1)</f>
        <v>263.89999999999998</v>
      </c>
      <c r="AR71" s="144">
        <f>'qtrP&amp;L'!AZ13</f>
        <v>652.12900000000002</v>
      </c>
    </row>
    <row r="72" spans="1:44" ht="10.5" hidden="1" customHeight="1" outlineLevel="1">
      <c r="A72" s="956"/>
      <c r="B72" s="61" t="s">
        <v>461</v>
      </c>
      <c r="C72" s="61"/>
      <c r="D72" s="981">
        <f>'yrP&amp;L'!N48</f>
        <v>80.831999999999994</v>
      </c>
      <c r="E72" s="61"/>
      <c r="F72" s="979">
        <f>SUM(F68:F71)</f>
        <v>107.458</v>
      </c>
      <c r="G72" s="974">
        <f>(F72/F65-1)*100</f>
        <v>14.614531336661107</v>
      </c>
      <c r="H72" s="979">
        <f>L72-F72</f>
        <v>610.54200000000003</v>
      </c>
      <c r="I72" s="974">
        <f>(H72/H65-1)*100</f>
        <v>26.447051221512542</v>
      </c>
      <c r="J72" s="983">
        <f>L72-F72-D72</f>
        <v>529.71</v>
      </c>
      <c r="K72" s="974">
        <f>(J72/J65-1)*100</f>
        <v>26.807092636613696</v>
      </c>
      <c r="L72" s="969">
        <v>718</v>
      </c>
      <c r="M72" s="974">
        <f>(L72/L65-1)*100</f>
        <v>24.523066250433565</v>
      </c>
      <c r="N72" s="975">
        <f>L72/AR72*100</f>
        <v>27.483716472162595</v>
      </c>
      <c r="O72" s="975"/>
      <c r="P72" s="359">
        <f>yrSales!N85</f>
        <v>1.1313430000000002</v>
      </c>
      <c r="Q72" s="982">
        <f>AVERAGE(yrSales!N61,yrSales!M61)</f>
        <v>455.5</v>
      </c>
      <c r="R72" s="178">
        <f>'yrP&amp;L'!N18</f>
        <v>107.458</v>
      </c>
      <c r="S72" s="2">
        <f>R72/L72</f>
        <v>0.14966295264623955</v>
      </c>
      <c r="T72" s="178">
        <f>L72/AVERAGE(yrSales!N61,yrSales!M61)</f>
        <v>1.5762897914379803</v>
      </c>
      <c r="U72" s="178">
        <f>(L72-'yrP&amp;L'!N18)/Q72</f>
        <v>1.3403776070252471</v>
      </c>
      <c r="V72" s="178">
        <f>J72/Q72</f>
        <v>1.1629198682766191</v>
      </c>
      <c r="W72" s="984">
        <f>J72/P72</f>
        <v>468.21344190046693</v>
      </c>
      <c r="X72" s="974">
        <f>(W72/W65-1)*100</f>
        <v>8.9218971174007891</v>
      </c>
      <c r="Y72" s="61"/>
      <c r="Z72" s="969">
        <v>119.8</v>
      </c>
      <c r="AA72" s="974">
        <f>(Z72/Z65-1)*100</f>
        <v>19.08548707753479</v>
      </c>
      <c r="AB72" s="975">
        <f>Z72/$AR72*100</f>
        <v>4.5857231662466278</v>
      </c>
      <c r="AC72" s="61"/>
      <c r="AD72" s="969">
        <v>53.2</v>
      </c>
      <c r="AE72" s="974">
        <f>(AD72/AD65-1)*100</f>
        <v>26.066350710900466</v>
      </c>
      <c r="AF72" s="975">
        <f>AD72/$AR72*100</f>
        <v>2.0363979335919922</v>
      </c>
      <c r="AG72" s="61"/>
      <c r="AH72" s="969">
        <v>138.6</v>
      </c>
      <c r="AI72" s="974">
        <f>(AH72/AH65-1)*100</f>
        <v>-6.033898305084751</v>
      </c>
      <c r="AJ72" s="975">
        <f>AH72/$AR72*100</f>
        <v>5.3053525112001889</v>
      </c>
      <c r="AK72" s="61"/>
      <c r="AL72" s="145">
        <f>AH72+AD72+Z72+L72</f>
        <v>1029.5999999999999</v>
      </c>
      <c r="AM72" s="974">
        <f>(AL72/AL65-1)*100</f>
        <v>18.768023993540183</v>
      </c>
      <c r="AN72" s="975">
        <f>AL72/$AR72*100</f>
        <v>39.411190083201404</v>
      </c>
      <c r="AO72" s="976" t="str">
        <f>IF(AP72=AL72," ","no")</f>
        <v xml:space="preserve"> </v>
      </c>
      <c r="AP72" s="977">
        <f>ROUND('qtrP&amp;L'!AZ34,1)</f>
        <v>1029.5999999999999</v>
      </c>
      <c r="AR72" s="161">
        <f>'qtrP&amp;L'!AZ14</f>
        <v>2612.4559999999997</v>
      </c>
    </row>
    <row r="73" spans="1:44" hidden="1" outlineLevel="1">
      <c r="A73" s="956"/>
      <c r="B73" s="61"/>
      <c r="C73" s="61"/>
      <c r="D73" s="981"/>
      <c r="E73" s="61"/>
      <c r="F73" s="61"/>
      <c r="G73" s="61"/>
      <c r="H73" s="61"/>
      <c r="I73" s="61"/>
      <c r="J73" s="61"/>
      <c r="K73" s="61"/>
      <c r="L73" s="61"/>
      <c r="M73" s="61"/>
      <c r="N73" s="61"/>
      <c r="O73" s="61"/>
      <c r="P73" s="987"/>
      <c r="Q73" s="982"/>
      <c r="R73" s="178"/>
      <c r="S73" s="178"/>
      <c r="T73" s="985"/>
      <c r="U73" s="985"/>
      <c r="V73" s="985"/>
      <c r="W73" s="985"/>
      <c r="X73" s="61"/>
      <c r="Y73" s="61"/>
      <c r="Z73" s="61"/>
      <c r="AA73" s="61"/>
      <c r="AB73" s="61"/>
      <c r="AC73" s="61"/>
      <c r="AD73" s="61"/>
      <c r="AE73" s="61"/>
      <c r="AF73" s="61"/>
      <c r="AG73" s="61"/>
      <c r="AH73" s="61"/>
      <c r="AI73" s="61"/>
      <c r="AJ73" s="61"/>
      <c r="AK73" s="61"/>
      <c r="AM73" s="61"/>
      <c r="AN73" s="61"/>
      <c r="AO73" s="976"/>
      <c r="AP73" s="154"/>
    </row>
    <row r="74" spans="1:44" hidden="1" outlineLevel="1">
      <c r="A74" s="956"/>
      <c r="B74" s="965" t="s">
        <v>636</v>
      </c>
      <c r="C74" s="965"/>
      <c r="D74" s="986"/>
      <c r="E74" s="965"/>
      <c r="F74" s="61"/>
      <c r="G74" s="61"/>
      <c r="H74" s="61"/>
      <c r="I74" s="61"/>
      <c r="J74" s="61"/>
      <c r="K74" s="61"/>
      <c r="L74" s="61"/>
      <c r="M74" s="61"/>
      <c r="N74" s="61"/>
      <c r="O74" s="61"/>
      <c r="P74" s="987"/>
      <c r="Q74" s="982"/>
      <c r="R74" s="178"/>
      <c r="S74" s="178"/>
      <c r="T74" s="985"/>
      <c r="U74" s="985"/>
      <c r="V74" s="985"/>
      <c r="W74" s="985"/>
      <c r="X74" s="61"/>
      <c r="Y74" s="61"/>
      <c r="Z74" s="61"/>
      <c r="AA74" s="61"/>
      <c r="AB74" s="61"/>
      <c r="AC74" s="61"/>
      <c r="AD74" s="61"/>
      <c r="AE74" s="61"/>
      <c r="AF74" s="61"/>
      <c r="AG74" s="61"/>
      <c r="AH74" s="61"/>
      <c r="AI74" s="61"/>
      <c r="AJ74" s="61"/>
      <c r="AK74" s="61"/>
      <c r="AM74" s="61"/>
      <c r="AN74" s="61"/>
      <c r="AO74" s="976"/>
      <c r="AP74" s="154"/>
    </row>
    <row r="75" spans="1:44" ht="10.5" hidden="1" customHeight="1" outlineLevel="1">
      <c r="A75" s="956" t="s">
        <v>457</v>
      </c>
      <c r="B75" s="3" t="s">
        <v>63</v>
      </c>
      <c r="D75" s="980">
        <f>D79/4</f>
        <v>25.175999999999998</v>
      </c>
      <c r="F75" s="979">
        <f>R79/4</f>
        <v>33.242249999999999</v>
      </c>
      <c r="G75" s="974">
        <f>(F75/F68-1)*100</f>
        <v>23.740438124662667</v>
      </c>
      <c r="H75" s="979">
        <f>L75-F75</f>
        <v>158.65775000000002</v>
      </c>
      <c r="I75" s="974">
        <f>(H75/H68-1)*100</f>
        <v>21.823734695993036</v>
      </c>
      <c r="J75" s="981">
        <f>L75-F75-D75</f>
        <v>133.48175000000003</v>
      </c>
      <c r="K75" s="974">
        <f>(J75/J68-1)*100</f>
        <v>21.316716275476622</v>
      </c>
      <c r="L75" s="969">
        <v>191.9</v>
      </c>
      <c r="M75" s="974">
        <f>(L75/L68-1)*100</f>
        <v>22.151495862507975</v>
      </c>
      <c r="N75" s="975">
        <f>L75/$AR75*100</f>
        <v>28.35745465614924</v>
      </c>
      <c r="O75" s="975"/>
      <c r="P75" s="359"/>
      <c r="Q75" s="982">
        <f>AVERAGE(CoachNAqtrSalesOld!L99,CoachNAqtrSalesOld!L103)</f>
        <v>499</v>
      </c>
      <c r="R75" s="178"/>
      <c r="S75" s="178"/>
      <c r="T75" s="178">
        <f>L75/Q75</f>
        <v>0.38456913827655309</v>
      </c>
      <c r="U75" s="178"/>
      <c r="V75" s="178"/>
      <c r="W75" s="178"/>
      <c r="X75" s="975"/>
      <c r="Y75" s="61"/>
      <c r="Z75" s="969">
        <v>32.1</v>
      </c>
      <c r="AA75" s="974">
        <f>(Z75/Z68-1)*100</f>
        <v>15.053763440860223</v>
      </c>
      <c r="AB75" s="975">
        <f>Z75/$AR75*100</f>
        <v>4.7434825141343966</v>
      </c>
      <c r="AC75" s="61"/>
      <c r="AD75" s="969">
        <v>11.6</v>
      </c>
      <c r="AE75" s="974">
        <f>(AD75/AD68-1)*100</f>
        <v>0</v>
      </c>
      <c r="AF75" s="975">
        <f>AD75/$AR75*100</f>
        <v>1.714155674889688</v>
      </c>
      <c r="AG75" s="61"/>
      <c r="AH75" s="969">
        <v>43.9</v>
      </c>
      <c r="AI75" s="974">
        <f>(AH75/AH68-1)*100</f>
        <v>52.430555555555536</v>
      </c>
      <c r="AJ75" s="975">
        <f>AH75/$AR75*100</f>
        <v>6.4871925972118367</v>
      </c>
      <c r="AK75" s="61"/>
      <c r="AL75" s="970">
        <f>AH75+AD75+Z75+L75</f>
        <v>279.5</v>
      </c>
      <c r="AM75" s="974">
        <f>(AL75/AL68-1)*100</f>
        <v>24.001774622892658</v>
      </c>
      <c r="AN75" s="975">
        <f>AL75/$AR75*100</f>
        <v>41.302285442385163</v>
      </c>
      <c r="AO75" s="976" t="str">
        <f>IF(AP75=AL75," ","no")</f>
        <v xml:space="preserve"> </v>
      </c>
      <c r="AP75" s="977">
        <f>ROUND('qtrP&amp;L'!BD30,1)</f>
        <v>279.5</v>
      </c>
      <c r="AR75" s="161">
        <f>'qtrP&amp;L'!BD10</f>
        <v>676.71799999999996</v>
      </c>
    </row>
    <row r="76" spans="1:44" ht="10.5" hidden="1" customHeight="1" outlineLevel="1">
      <c r="A76" s="956" t="s">
        <v>458</v>
      </c>
      <c r="B76" s="3" t="s">
        <v>167</v>
      </c>
      <c r="D76" s="980">
        <f>D79/4</f>
        <v>25.175999999999998</v>
      </c>
      <c r="F76" s="718">
        <f>R79/4</f>
        <v>33.242249999999999</v>
      </c>
      <c r="G76" s="974">
        <f>(F76/F69-1)*100</f>
        <v>23.740438124662667</v>
      </c>
      <c r="H76" s="718">
        <f>L76-F76</f>
        <v>200.85775000000001</v>
      </c>
      <c r="I76" s="974">
        <f>(H76/H69-1)*100</f>
        <v>18.405492954010217</v>
      </c>
      <c r="J76" s="981">
        <f>L76-F76-D76</f>
        <v>175.68175000000002</v>
      </c>
      <c r="K76" s="974">
        <f>(J76/J69-1)*100</f>
        <v>17.569891753525969</v>
      </c>
      <c r="L76" s="136">
        <v>234.1</v>
      </c>
      <c r="M76" s="974">
        <f>(L76/L69-1)*100</f>
        <v>19.13486005089058</v>
      </c>
      <c r="N76" s="975">
        <f>L76/$AR76*100</f>
        <v>23.936189248244151</v>
      </c>
      <c r="O76" s="975"/>
      <c r="P76" s="359"/>
      <c r="Q76" s="982">
        <f>AVERAGE(CoachNAqtrSalesOld!L100,CoachNAqtrSalesOld!L104)</f>
        <v>528</v>
      </c>
      <c r="R76" s="178"/>
      <c r="S76" s="178"/>
      <c r="T76" s="359">
        <f>L76/Q76</f>
        <v>0.44337121212121211</v>
      </c>
      <c r="U76" s="178"/>
      <c r="V76" s="178"/>
      <c r="W76" s="178"/>
      <c r="X76" s="975"/>
      <c r="Y76" s="61"/>
      <c r="Z76" s="136">
        <v>41</v>
      </c>
      <c r="AA76" s="974">
        <f>(Z76/Z69-1)*100</f>
        <v>30.158730158730162</v>
      </c>
      <c r="AB76" s="975">
        <f>Z76/$AR76*100</f>
        <v>4.1921561690645452</v>
      </c>
      <c r="AC76" s="61"/>
      <c r="AD76" s="136">
        <v>12.9</v>
      </c>
      <c r="AE76" s="974">
        <f>(AD76/AD69-1)*100</f>
        <v>-15.686274509803921</v>
      </c>
      <c r="AF76" s="975">
        <f>AD76/$AR76*100</f>
        <v>1.3189954775837229</v>
      </c>
      <c r="AG76" s="61"/>
      <c r="AH76" s="136">
        <v>46.2</v>
      </c>
      <c r="AI76" s="974">
        <f>(AH76/AH69-1)*100</f>
        <v>23.860589812332456</v>
      </c>
      <c r="AJ76" s="975">
        <f>AH76/$AR76*100</f>
        <v>4.7238442685556592</v>
      </c>
      <c r="AK76" s="61"/>
      <c r="AL76" s="991">
        <f>AH76+AD76+Z76+L76</f>
        <v>334.2</v>
      </c>
      <c r="AM76" s="974">
        <f>(AL76/AL69-1)*100</f>
        <v>19.101924447612252</v>
      </c>
      <c r="AN76" s="975">
        <f>AL76/$AR76*100</f>
        <v>34.171185163448072</v>
      </c>
      <c r="AO76" s="976" t="str">
        <f>IF(AP76=AL76," ","no")</f>
        <v xml:space="preserve"> </v>
      </c>
      <c r="AP76" s="978">
        <f>ROUND('qtrP&amp;L'!BD31,1)</f>
        <v>334.2</v>
      </c>
      <c r="AR76" s="144">
        <f>'qtrP&amp;L'!BD11</f>
        <v>978.01700000000005</v>
      </c>
    </row>
    <row r="77" spans="1:44" ht="10.5" hidden="1" customHeight="1" outlineLevel="1">
      <c r="A77" s="956" t="s">
        <v>459</v>
      </c>
      <c r="B77" s="3" t="s">
        <v>166</v>
      </c>
      <c r="D77" s="980">
        <f>D79/4</f>
        <v>25.175999999999998</v>
      </c>
      <c r="F77" s="718">
        <f>R79/4</f>
        <v>33.242249999999999</v>
      </c>
      <c r="G77" s="974">
        <f>(F77/F70-1)*100</f>
        <v>23.740438124662667</v>
      </c>
      <c r="H77" s="718">
        <f>L77-F77</f>
        <v>175.35775000000001</v>
      </c>
      <c r="I77" s="974">
        <f>(H77/H70-1)*100</f>
        <v>15.49193041153092</v>
      </c>
      <c r="J77" s="981">
        <f>L77-F77-D77</f>
        <v>150.18175000000002</v>
      </c>
      <c r="K77" s="974">
        <f>(J77/J70-1)*100</f>
        <v>14.096028565459374</v>
      </c>
      <c r="L77" s="136">
        <v>208.6</v>
      </c>
      <c r="M77" s="974">
        <f>(L77/L70-1)*100</f>
        <v>16.731952993844445</v>
      </c>
      <c r="N77" s="975">
        <f>L77/$AR77*100</f>
        <v>28.01797663467298</v>
      </c>
      <c r="O77" s="975"/>
      <c r="P77" s="359"/>
      <c r="Q77" s="982">
        <f>AVERAGE(CoachNAqtrSalesOld!L101,CoachNAqtrSalesOld!L105)</f>
        <v>535</v>
      </c>
      <c r="R77" s="178"/>
      <c r="S77" s="178"/>
      <c r="T77" s="359">
        <f>L77/Q77</f>
        <v>0.38990654205607478</v>
      </c>
      <c r="U77" s="178"/>
      <c r="V77" s="178"/>
      <c r="W77" s="178"/>
      <c r="X77" s="975"/>
      <c r="Y77" s="61"/>
      <c r="Z77" s="136">
        <v>37.200000000000003</v>
      </c>
      <c r="AA77" s="974">
        <f>(Z77/Z70-1)*100</f>
        <v>20.388349514563121</v>
      </c>
      <c r="AB77" s="975">
        <f>Z77/$AR77*100</f>
        <v>4.9964943950615295</v>
      </c>
      <c r="AC77" s="61"/>
      <c r="AD77" s="136">
        <v>11.7</v>
      </c>
      <c r="AE77" s="974">
        <f>(AD77/AD70-1)*100</f>
        <v>-12.686567164179108</v>
      </c>
      <c r="AF77" s="975">
        <f>AD77/$AR77*100</f>
        <v>1.571478075866126</v>
      </c>
      <c r="AG77" s="61"/>
      <c r="AH77" s="136">
        <v>44.1</v>
      </c>
      <c r="AI77" s="974">
        <f>(AH77/AH70-1)*100</f>
        <v>19.836956521739136</v>
      </c>
      <c r="AJ77" s="975">
        <f>AH77/$AR77*100</f>
        <v>5.9232635167261671</v>
      </c>
      <c r="AK77" s="61"/>
      <c r="AL77" s="991">
        <f>AH77+AD77+Z77+L77</f>
        <v>301.60000000000002</v>
      </c>
      <c r="AM77" s="974">
        <f>(AL77/AL70-1)*100</f>
        <v>16.089299461123964</v>
      </c>
      <c r="AN77" s="975">
        <f>AL77/$AR77*100</f>
        <v>40.509212622326807</v>
      </c>
      <c r="AO77" s="976" t="str">
        <f>IF(AP77=AL77," ","no")</f>
        <v xml:space="preserve"> </v>
      </c>
      <c r="AP77" s="978">
        <f>ROUND('qtrP&amp;L'!BD32,1)</f>
        <v>301.60000000000002</v>
      </c>
      <c r="AR77" s="144">
        <f>'qtrP&amp;L'!BD12</f>
        <v>744.52200000000005</v>
      </c>
    </row>
    <row r="78" spans="1:44" ht="10.5" hidden="1" customHeight="1" outlineLevel="1">
      <c r="A78" s="956" t="s">
        <v>460</v>
      </c>
      <c r="B78" s="3" t="s">
        <v>62</v>
      </c>
      <c r="D78" s="980">
        <f>D79/4</f>
        <v>25.175999999999998</v>
      </c>
      <c r="F78" s="718">
        <f>R79/4</f>
        <v>33.242249999999999</v>
      </c>
      <c r="G78" s="974">
        <f>(F78/F71-1)*100</f>
        <v>23.740438124662667</v>
      </c>
      <c r="H78" s="718">
        <f>L78-F78</f>
        <v>197.35775000000001</v>
      </c>
      <c r="I78" s="974">
        <f>(H78/H71-1)*100</f>
        <v>24.25292204828262</v>
      </c>
      <c r="J78" s="981">
        <f>L78-F78-D78</f>
        <v>172.18175000000002</v>
      </c>
      <c r="K78" s="974">
        <f>(J78/J71-1)*100</f>
        <v>24.204613081819957</v>
      </c>
      <c r="L78" s="972">
        <f>L79-SUM(L75:L77)</f>
        <v>230.60000000000002</v>
      </c>
      <c r="M78" s="974">
        <f>(L78/L71-1)*100</f>
        <v>24.17878298330638</v>
      </c>
      <c r="N78" s="975">
        <f>L78/$AR78*100</f>
        <v>29.507357645553427</v>
      </c>
      <c r="O78" s="975"/>
      <c r="P78" s="359"/>
      <c r="Q78" s="982">
        <f>AVERAGE(CoachNAqtrSalesOld!L102,CoachNAqtrSalesOld!L106)</f>
        <v>548</v>
      </c>
      <c r="R78" s="178"/>
      <c r="S78" s="178"/>
      <c r="T78" s="359">
        <f>L78/Q78</f>
        <v>0.42080291970802924</v>
      </c>
      <c r="U78" s="178"/>
      <c r="V78" s="178"/>
      <c r="W78" s="178"/>
      <c r="X78" s="975"/>
      <c r="Y78" s="61"/>
      <c r="Z78" s="972">
        <f>Z79-SUM(Z75:Z77)</f>
        <v>37.399999999999991</v>
      </c>
      <c r="AA78" s="974">
        <f>(Z78/Z71-1)*100</f>
        <v>26.779661016949131</v>
      </c>
      <c r="AB78" s="975">
        <f>Z78/$AR78*100</f>
        <v>4.7856685860524619</v>
      </c>
      <c r="AC78" s="61"/>
      <c r="AD78" s="972">
        <f>AD79-SUM(AD75:AD77)</f>
        <v>11.399999999999999</v>
      </c>
      <c r="AE78" s="974">
        <f>(AD78/AD71-1)*100</f>
        <v>-11.62790697674424</v>
      </c>
      <c r="AF78" s="975">
        <f>AD78/$AR78*100</f>
        <v>1.4587332053742801</v>
      </c>
      <c r="AG78" s="61"/>
      <c r="AH78" s="972">
        <f>AH79-SUM(AH75:AH77)</f>
        <v>33.200000000000017</v>
      </c>
      <c r="AI78" s="974">
        <f>(AH78/AH71-1)*100</f>
        <v>-7.0028011204481437</v>
      </c>
      <c r="AJ78" s="975">
        <f>AH78/$AR78*100</f>
        <v>4.2482405630198361</v>
      </c>
      <c r="AK78" s="61"/>
      <c r="AL78" s="993">
        <f>AH78+AD78+Z78+L78</f>
        <v>312.60000000000002</v>
      </c>
      <c r="AM78" s="974">
        <f>(AL78/AL71-1)*100</f>
        <v>18.45395983327014</v>
      </c>
      <c r="AN78" s="975">
        <f>AL78/$AR78*100</f>
        <v>40</v>
      </c>
      <c r="AO78" s="976" t="str">
        <f>IF(AP78=AL78," ","no")</f>
        <v xml:space="preserve"> </v>
      </c>
      <c r="AP78" s="978">
        <f>ROUND('qtrP&amp;L'!BD33,1)</f>
        <v>312.60000000000002</v>
      </c>
      <c r="AR78" s="144">
        <f>'qtrP&amp;L'!BD13</f>
        <v>781.5</v>
      </c>
    </row>
    <row r="79" spans="1:44" ht="10.5" hidden="1" customHeight="1" outlineLevel="1">
      <c r="A79" s="956"/>
      <c r="B79" s="61" t="s">
        <v>461</v>
      </c>
      <c r="C79" s="61"/>
      <c r="D79" s="981">
        <f>'yrP&amp;L'!O48</f>
        <v>100.70399999999999</v>
      </c>
      <c r="E79" s="61"/>
      <c r="F79" s="979">
        <f>SUM(F75:F78)</f>
        <v>132.96899999999999</v>
      </c>
      <c r="G79" s="974">
        <f>(F79/F72-1)*100</f>
        <v>23.740438124662667</v>
      </c>
      <c r="H79" s="979">
        <f>L79-F79</f>
        <v>732.23099999999999</v>
      </c>
      <c r="I79" s="974">
        <f>(H79/H72-1)*100</f>
        <v>19.93130693711489</v>
      </c>
      <c r="J79" s="983">
        <f>L79-F79-D79</f>
        <v>631.52700000000004</v>
      </c>
      <c r="K79" s="974">
        <f>(J79/J72-1)*100</f>
        <v>19.221272016763891</v>
      </c>
      <c r="L79" s="969">
        <v>865.2</v>
      </c>
      <c r="M79" s="974">
        <f>(L79/L72-1)*100</f>
        <v>20.501392757660163</v>
      </c>
      <c r="N79" s="975">
        <f>L79/$AR79*100</f>
        <v>27.201071946080763</v>
      </c>
      <c r="O79" s="975"/>
      <c r="P79" s="359">
        <f>yrSales!O85</f>
        <v>1.3462895000000001</v>
      </c>
      <c r="Q79" s="982">
        <f>AVERAGE(yrSales!O61,yrSales!N61)</f>
        <v>518.5</v>
      </c>
      <c r="R79" s="178">
        <f>'yrP&amp;L'!O18</f>
        <v>132.96899999999999</v>
      </c>
      <c r="S79" s="2">
        <f>R79/L79</f>
        <v>0.15368585298196946</v>
      </c>
      <c r="T79" s="178">
        <f>L79/AVERAGE(yrSales!O61,yrSales!N61)</f>
        <v>1.6686595949855352</v>
      </c>
      <c r="U79" s="178">
        <f>(L79-'yrP&amp;L'!O18)/Q79</f>
        <v>1.4122102217936354</v>
      </c>
      <c r="V79" s="178">
        <f>J79/Q79</f>
        <v>1.2179884281581486</v>
      </c>
      <c r="W79" s="984">
        <f>J79/P79</f>
        <v>469.08707228274454</v>
      </c>
      <c r="X79" s="974">
        <f>(W79/W72-1)*100</f>
        <v>0.18658806093467817</v>
      </c>
      <c r="Y79" s="61"/>
      <c r="Z79" s="969">
        <v>147.69999999999999</v>
      </c>
      <c r="AA79" s="974">
        <f>(Z79/Z72-1)*100</f>
        <v>23.288814691151916</v>
      </c>
      <c r="AB79" s="975">
        <f>Z79/$AR79*100</f>
        <v>4.643548689824466</v>
      </c>
      <c r="AC79" s="61"/>
      <c r="AD79" s="969">
        <v>47.6</v>
      </c>
      <c r="AE79" s="974">
        <f>(AD79/AD72-1)*100</f>
        <v>-10.526315789473683</v>
      </c>
      <c r="AF79" s="975">
        <f>AD79/$AR79*100</f>
        <v>1.496499103829686</v>
      </c>
      <c r="AG79" s="61"/>
      <c r="AH79" s="969">
        <f>199.5-32.1</f>
        <v>167.4</v>
      </c>
      <c r="AI79" s="974">
        <f>(AH79/AH72-1)*100</f>
        <v>20.779220779220786</v>
      </c>
      <c r="AJ79" s="975">
        <f>AH79/$AR79*100</f>
        <v>5.2628981088464162</v>
      </c>
      <c r="AK79" s="61"/>
      <c r="AL79" s="966">
        <f>SUM(AL75:AL78)</f>
        <v>1227.9000000000001</v>
      </c>
      <c r="AM79" s="974">
        <f>(AL79/AL72-1)*100</f>
        <v>19.259906759906787</v>
      </c>
      <c r="AN79" s="975">
        <f>AL79/$AR79*100</f>
        <v>38.604017848581329</v>
      </c>
      <c r="AO79" s="976" t="str">
        <f>IF(AP79=AL79," ","no")</f>
        <v xml:space="preserve"> </v>
      </c>
      <c r="AP79" s="977">
        <f>ROUND('qtrP&amp;L'!BD34,1)</f>
        <v>1227.9000000000001</v>
      </c>
      <c r="AR79" s="161">
        <f>'qtrP&amp;L'!BD14</f>
        <v>3180.7570000000001</v>
      </c>
    </row>
    <row r="80" spans="1:44" ht="10.5" hidden="1" customHeight="1" outlineLevel="1">
      <c r="A80" s="956"/>
      <c r="B80" s="61"/>
      <c r="C80" s="61"/>
      <c r="D80" s="981"/>
      <c r="E80" s="61"/>
      <c r="F80" s="61"/>
      <c r="G80" s="61"/>
      <c r="H80" s="61"/>
      <c r="I80" s="61"/>
      <c r="J80" s="61"/>
      <c r="K80" s="61"/>
      <c r="L80" s="966"/>
      <c r="M80" s="974"/>
      <c r="N80" s="975"/>
      <c r="O80" s="975"/>
      <c r="P80" s="359"/>
      <c r="Q80" s="982"/>
      <c r="R80" s="178"/>
      <c r="S80" s="178"/>
      <c r="T80" s="178"/>
      <c r="U80" s="178"/>
      <c r="V80" s="178"/>
      <c r="W80" s="178"/>
      <c r="X80" s="975"/>
      <c r="Y80" s="61"/>
      <c r="Z80" s="966"/>
      <c r="AA80" s="974"/>
      <c r="AB80" s="975"/>
      <c r="AC80" s="61"/>
      <c r="AD80" s="966"/>
      <c r="AE80" s="974"/>
      <c r="AF80" s="975"/>
      <c r="AG80" s="61"/>
      <c r="AH80" s="966"/>
      <c r="AI80" s="974"/>
      <c r="AJ80" s="975"/>
      <c r="AK80" s="61"/>
      <c r="AL80" s="966"/>
      <c r="AM80" s="974"/>
      <c r="AN80" s="975"/>
      <c r="AO80" s="976"/>
      <c r="AP80" s="977"/>
      <c r="AR80" s="161"/>
    </row>
    <row r="81" spans="1:44" hidden="1" outlineLevel="1">
      <c r="A81" s="956"/>
      <c r="B81" s="965" t="s">
        <v>422</v>
      </c>
      <c r="C81" s="965"/>
      <c r="D81" s="986"/>
      <c r="E81" s="965"/>
      <c r="F81" s="61"/>
      <c r="G81" s="61"/>
      <c r="H81" s="61"/>
      <c r="I81" s="61"/>
      <c r="J81" s="61"/>
      <c r="K81" s="61"/>
      <c r="L81" s="61"/>
      <c r="M81" s="61"/>
      <c r="N81" s="61"/>
      <c r="O81" s="61"/>
      <c r="P81" s="987"/>
      <c r="Q81" s="982"/>
      <c r="R81" s="178"/>
      <c r="S81" s="178"/>
      <c r="T81" s="985"/>
      <c r="U81" s="985"/>
      <c r="V81" s="985"/>
      <c r="W81" s="985"/>
      <c r="X81" s="61"/>
      <c r="Y81" s="61"/>
      <c r="Z81" s="61"/>
      <c r="AA81" s="61"/>
      <c r="AB81" s="61"/>
      <c r="AC81" s="61"/>
      <c r="AD81" s="61"/>
      <c r="AE81" s="61"/>
      <c r="AF81" s="61"/>
      <c r="AG81" s="61"/>
      <c r="AH81" s="61"/>
      <c r="AI81" s="61"/>
      <c r="AJ81" s="61"/>
      <c r="AK81" s="61"/>
      <c r="AM81" s="61"/>
      <c r="AN81" s="61"/>
      <c r="AO81" s="976"/>
      <c r="AP81" s="154"/>
    </row>
    <row r="82" spans="1:44" ht="10.5" hidden="1" customHeight="1" outlineLevel="1">
      <c r="A82" s="956" t="s">
        <v>457</v>
      </c>
      <c r="B82" s="3" t="s">
        <v>63</v>
      </c>
      <c r="D82" s="980">
        <f>D86/4</f>
        <v>30.753499999999999</v>
      </c>
      <c r="F82" s="979">
        <f>R86/4</f>
        <v>37.816749999999999</v>
      </c>
      <c r="G82" s="974">
        <f>(F82/F75-1)*100</f>
        <v>13.76110221179372</v>
      </c>
      <c r="H82" s="979">
        <f>L82-F82</f>
        <v>194.48325</v>
      </c>
      <c r="I82" s="974">
        <f>(H82/H75-1)*100</f>
        <v>22.580365598276785</v>
      </c>
      <c r="J82" s="981">
        <f>L82-F82-D82</f>
        <v>163.72975</v>
      </c>
      <c r="K82" s="974">
        <f>(J82/J75-1)*100</f>
        <v>22.660775724022166</v>
      </c>
      <c r="L82" s="969">
        <v>232.3</v>
      </c>
      <c r="M82" s="974">
        <f>(L82/L75-1)*100</f>
        <v>21.052631578947366</v>
      </c>
      <c r="N82" s="975">
        <f>L82/$AR82*100</f>
        <v>30.86924224847149</v>
      </c>
      <c r="O82" s="975"/>
      <c r="P82" s="359"/>
      <c r="Q82" s="982">
        <f>AVERAGE(CoachNAqtrSalesOld!L106,CoachNAqtrSalesOld!L110)</f>
        <v>563.5</v>
      </c>
      <c r="R82" s="178"/>
      <c r="S82" s="178"/>
      <c r="T82" s="178">
        <f>L82/Q82</f>
        <v>0.41224489795918368</v>
      </c>
      <c r="U82" s="178"/>
      <c r="V82" s="178"/>
      <c r="W82" s="178"/>
      <c r="X82" s="975"/>
      <c r="Y82" s="61"/>
      <c r="Z82" s="969">
        <v>41.5</v>
      </c>
      <c r="AA82" s="974">
        <f>(Z82/Z75-1)*100</f>
        <v>29.283489096573213</v>
      </c>
      <c r="AB82" s="975">
        <f>Z82/$AR82*100</f>
        <v>5.5147376380179374</v>
      </c>
      <c r="AC82" s="61"/>
      <c r="AD82" s="969">
        <v>12.8</v>
      </c>
      <c r="AE82" s="974">
        <f>(AD82/AD75-1)*100</f>
        <v>10.344827586206895</v>
      </c>
      <c r="AF82" s="975">
        <f>AD82/$AR82*100</f>
        <v>1.7009311269067371</v>
      </c>
      <c r="AG82" s="61"/>
      <c r="AH82" s="969">
        <v>38.1</v>
      </c>
      <c r="AI82" s="974">
        <f>(AH82/AH75-1)*100</f>
        <v>-13.211845102505693</v>
      </c>
      <c r="AJ82" s="975">
        <f>AH82/$AR82*100</f>
        <v>5.0629278074333355</v>
      </c>
      <c r="AK82" s="61"/>
      <c r="AL82" s="970">
        <f>AH82+AD82+Z82+L82</f>
        <v>324.70000000000005</v>
      </c>
      <c r="AM82" s="974">
        <f>(AL82/AL75-1)*100</f>
        <v>16.171735241502706</v>
      </c>
      <c r="AN82" s="975">
        <f>AL82/$AR82*100</f>
        <v>43.147838820829506</v>
      </c>
      <c r="AO82" s="976" t="str">
        <f>IF(AP82=AL82," ","no")</f>
        <v xml:space="preserve"> </v>
      </c>
      <c r="AP82" s="977">
        <f>ROUND('qtrP&amp;L'!BH30,1)</f>
        <v>324.7</v>
      </c>
      <c r="AR82" s="161">
        <f>'qtrP&amp;L'!BH10</f>
        <v>752.529</v>
      </c>
    </row>
    <row r="83" spans="1:44" ht="10.5" hidden="1" customHeight="1" outlineLevel="1">
      <c r="A83" s="956" t="s">
        <v>458</v>
      </c>
      <c r="B83" s="3" t="s">
        <v>167</v>
      </c>
      <c r="D83" s="980">
        <f>D86/4</f>
        <v>30.753499999999999</v>
      </c>
      <c r="F83" s="718">
        <f>R86/4</f>
        <v>37.816749999999999</v>
      </c>
      <c r="G83" s="974">
        <f>(F83/F76-1)*100</f>
        <v>13.76110221179372</v>
      </c>
      <c r="H83" s="718">
        <f>L83-F83</f>
        <v>227.18324999999999</v>
      </c>
      <c r="I83" s="974">
        <f>(H83/H76-1)*100</f>
        <v>13.106539329450806</v>
      </c>
      <c r="J83" s="981">
        <f>L83-F83-D83</f>
        <v>196.42974999999998</v>
      </c>
      <c r="K83" s="974">
        <f>(J83/J76-1)*100</f>
        <v>11.809991646827257</v>
      </c>
      <c r="L83" s="136">
        <v>265</v>
      </c>
      <c r="M83" s="974">
        <f>(L83/L76-1)*100</f>
        <v>13.199487398547639</v>
      </c>
      <c r="N83" s="975">
        <f>L83/$AR83*100</f>
        <v>27.596807517995202</v>
      </c>
      <c r="O83" s="975"/>
      <c r="P83" s="359"/>
      <c r="Q83" s="982">
        <f>AVERAGE(CoachNAqtrSalesOld!L107,CoachNAqtrSalesOld!L111)</f>
        <v>585</v>
      </c>
      <c r="R83" s="178"/>
      <c r="S83" s="178"/>
      <c r="T83" s="359">
        <f>L83/Q83</f>
        <v>0.45299145299145299</v>
      </c>
      <c r="U83" s="178"/>
      <c r="V83" s="178"/>
      <c r="W83" s="178"/>
      <c r="X83" s="975"/>
      <c r="Y83" s="61"/>
      <c r="Z83" s="136">
        <v>44</v>
      </c>
      <c r="AA83" s="974">
        <f>(Z83/Z76-1)*100</f>
        <v>7.3170731707317138</v>
      </c>
      <c r="AB83" s="975">
        <f>Z83/$AR83*100</f>
        <v>4.5821114369501466</v>
      </c>
      <c r="AC83" s="61"/>
      <c r="AD83" s="136">
        <v>14.4</v>
      </c>
      <c r="AE83" s="974">
        <f>(AD83/AD76-1)*100</f>
        <v>11.627906976744185</v>
      </c>
      <c r="AF83" s="975">
        <f>AD83/$AR83*100</f>
        <v>1.4996001066382298</v>
      </c>
      <c r="AG83" s="61"/>
      <c r="AH83" s="136">
        <v>20.3</v>
      </c>
      <c r="AI83" s="974">
        <f>(AH83/AH76-1)*100</f>
        <v>-56.060606060606055</v>
      </c>
      <c r="AJ83" s="975">
        <f>AH83/$AR83*100</f>
        <v>2.1140195947747271</v>
      </c>
      <c r="AK83" s="61"/>
      <c r="AL83" s="994">
        <f>AH83+AD83+Z83+L83</f>
        <v>343.7</v>
      </c>
      <c r="AM83" s="974">
        <f>(AL83/AL76-1)*100</f>
        <v>2.8426092160382943</v>
      </c>
      <c r="AN83" s="975">
        <f>AL83/$AR83*100</f>
        <v>35.792538656358303</v>
      </c>
      <c r="AO83" s="976" t="str">
        <f>IF(AP83=AL83," ","no")</f>
        <v xml:space="preserve"> </v>
      </c>
      <c r="AP83" s="978">
        <f>ROUND('qtrP&amp;L'!BH31,1)</f>
        <v>343.7</v>
      </c>
      <c r="AR83" s="144">
        <f>'qtrP&amp;L'!BH11</f>
        <v>960.25599999999997</v>
      </c>
    </row>
    <row r="84" spans="1:44" ht="10.5" hidden="1" customHeight="1" outlineLevel="1">
      <c r="A84" s="956" t="s">
        <v>459</v>
      </c>
      <c r="B84" s="3" t="s">
        <v>166</v>
      </c>
      <c r="D84" s="980">
        <f>D86/4</f>
        <v>30.753499999999999</v>
      </c>
      <c r="F84" s="718">
        <f>R86/4</f>
        <v>37.816749999999999</v>
      </c>
      <c r="G84" s="974">
        <f>(F84/F77-1)*100</f>
        <v>13.76110221179372</v>
      </c>
      <c r="H84" s="718">
        <f>L84-F84</f>
        <v>202.38324999999998</v>
      </c>
      <c r="I84" s="974">
        <f>(H84/H77-1)*100</f>
        <v>15.411637067651673</v>
      </c>
      <c r="J84" s="981">
        <f>L84-F84-D84</f>
        <v>171.62974999999997</v>
      </c>
      <c r="K84" s="974">
        <f>(J84/J77-1)*100</f>
        <v>14.281362415872723</v>
      </c>
      <c r="L84" s="136">
        <v>240.2</v>
      </c>
      <c r="M84" s="974">
        <f>(L84/L77-1)*100</f>
        <v>15.148609779482269</v>
      </c>
      <c r="N84" s="975">
        <f>L84/$AR84*100</f>
        <v>32.462135392241791</v>
      </c>
      <c r="O84" s="975"/>
      <c r="P84" s="359"/>
      <c r="Q84" s="982">
        <f>AVERAGE(CoachNAqtrSalesOld!L108,CoachNAqtrSalesOld!L112)</f>
        <v>589</v>
      </c>
      <c r="R84" s="178"/>
      <c r="S84" s="178"/>
      <c r="T84" s="359">
        <f>L84/Q84</f>
        <v>0.40780984719864177</v>
      </c>
      <c r="U84" s="178"/>
      <c r="V84" s="178"/>
      <c r="W84" s="178"/>
      <c r="X84" s="975"/>
      <c r="Y84" s="61"/>
      <c r="Z84" s="136">
        <v>40.5</v>
      </c>
      <c r="AA84" s="974">
        <f>(Z84/Z77-1)*100</f>
        <v>8.8709677419354769</v>
      </c>
      <c r="AB84" s="975">
        <f>Z84/$AR84*100</f>
        <v>5.4734241606402696</v>
      </c>
      <c r="AC84" s="61"/>
      <c r="AD84" s="136">
        <v>13.1</v>
      </c>
      <c r="AE84" s="974">
        <f>(AD84/AD77-1)*100</f>
        <v>11.965811965811968</v>
      </c>
      <c r="AF84" s="975">
        <f>AD84/$AR84*100</f>
        <v>1.770416209984877</v>
      </c>
      <c r="AG84" s="61"/>
      <c r="AH84" s="136">
        <v>32.5</v>
      </c>
      <c r="AI84" s="974">
        <f>(AH84/AH77-1)*100</f>
        <v>-26.303854875283449</v>
      </c>
      <c r="AJ84" s="975">
        <f>AH84/$AR84*100</f>
        <v>4.3922539560693519</v>
      </c>
      <c r="AK84" s="61"/>
      <c r="AL84" s="994">
        <f>AH84+AD84+Z84+L84</f>
        <v>326.29999999999995</v>
      </c>
      <c r="AM84" s="974">
        <f>(AL84/AL77-1)*100</f>
        <v>8.1896551724137687</v>
      </c>
      <c r="AN84" s="975">
        <f>AL84/$AR84*100</f>
        <v>44.098229718936288</v>
      </c>
      <c r="AO84" s="976" t="str">
        <f>IF(AP84=AL84," ","no")</f>
        <v xml:space="preserve"> </v>
      </c>
      <c r="AP84" s="978">
        <f>ROUND('qtrP&amp;L'!BH32,1)</f>
        <v>326.3</v>
      </c>
      <c r="AR84" s="144">
        <f>'qtrP&amp;L'!BH12</f>
        <v>739.93899999999996</v>
      </c>
    </row>
    <row r="85" spans="1:44" ht="10.5" hidden="1" customHeight="1" outlineLevel="1">
      <c r="A85" s="956" t="s">
        <v>460</v>
      </c>
      <c r="B85" s="3" t="s">
        <v>62</v>
      </c>
      <c r="D85" s="980">
        <f>D86/4</f>
        <v>30.753499999999999</v>
      </c>
      <c r="F85" s="718">
        <f>R86/4</f>
        <v>37.816749999999999</v>
      </c>
      <c r="G85" s="974">
        <f>(F85/F78-1)*100</f>
        <v>13.76110221179372</v>
      </c>
      <c r="H85" s="718">
        <f>L85-F85</f>
        <v>201.18324999999999</v>
      </c>
      <c r="I85" s="974">
        <f>(H85/H78-1)*100</f>
        <v>1.9383581338964229</v>
      </c>
      <c r="J85" s="981">
        <f>L85-F85-D85</f>
        <v>170.42974999999998</v>
      </c>
      <c r="K85" s="974">
        <f>(J85/J78-1)*100</f>
        <v>-1.0175294419995318</v>
      </c>
      <c r="L85" s="972">
        <f>L86-SUM(L82:L84)</f>
        <v>239</v>
      </c>
      <c r="M85" s="974">
        <f>(L85/L78-1)*100</f>
        <v>3.6426712922809967</v>
      </c>
      <c r="N85" s="975">
        <f>L85/$AR85*100</f>
        <v>30.729905984488472</v>
      </c>
      <c r="O85" s="975"/>
      <c r="P85" s="359"/>
      <c r="Q85" s="982">
        <f>AVERAGE(CoachNAqtrSalesOld!L109,CoachNAqtrSalesOld!L113)</f>
        <v>624</v>
      </c>
      <c r="R85" s="178"/>
      <c r="S85" s="178"/>
      <c r="T85" s="359">
        <f>L85/Q85</f>
        <v>0.38301282051282054</v>
      </c>
      <c r="U85" s="178"/>
      <c r="V85" s="178"/>
      <c r="W85" s="178"/>
      <c r="X85" s="975"/>
      <c r="Y85" s="61"/>
      <c r="Z85" s="972">
        <f>Z86-SUM(Z82:Z84)</f>
        <v>37.599999999999994</v>
      </c>
      <c r="AA85" s="974">
        <f>(Z85/Z78-1)*100</f>
        <v>0.53475935828877219</v>
      </c>
      <c r="AB85" s="975">
        <f>Z85/$AR85*100</f>
        <v>4.834495669526218</v>
      </c>
      <c r="AC85" s="61"/>
      <c r="AD85" s="972">
        <f>AD86-SUM(AD82:AD84)</f>
        <v>11.899999999999999</v>
      </c>
      <c r="AE85" s="974">
        <f>(AD85/AD78-1)*100</f>
        <v>4.3859649122806932</v>
      </c>
      <c r="AF85" s="975">
        <f>AD85/$AR85*100</f>
        <v>1.5300664486000533</v>
      </c>
      <c r="AG85" s="61"/>
      <c r="AH85" s="972">
        <f>AH86-SUM(AH82:AH84)</f>
        <v>39.099999999999994</v>
      </c>
      <c r="AI85" s="974">
        <f>(AH85/AH78-1)*100</f>
        <v>17.771084337349329</v>
      </c>
      <c r="AJ85" s="975">
        <f>AH85/$AR85*100</f>
        <v>5.0273611882573181</v>
      </c>
      <c r="AK85" s="61"/>
      <c r="AL85" s="995">
        <f>AH85+AD85+Z85+L85</f>
        <v>327.60000000000002</v>
      </c>
      <c r="AM85" s="974">
        <f>(AL85/AL78-1)*100</f>
        <v>4.7984644913627639</v>
      </c>
      <c r="AN85" s="975">
        <f>AL85/$AR85*100</f>
        <v>42.121829290872064</v>
      </c>
      <c r="AO85" s="976" t="str">
        <f>IF(AP85=AL85," ","no")</f>
        <v xml:space="preserve"> </v>
      </c>
      <c r="AP85" s="978">
        <f>ROUND('qtrP&amp;L'!BH33,1)</f>
        <v>327.60000000000002</v>
      </c>
      <c r="AR85" s="144">
        <f>'qtrP&amp;L'!BH13</f>
        <v>777.74400000000003</v>
      </c>
    </row>
    <row r="86" spans="1:44" ht="10.5" hidden="1" customHeight="1" outlineLevel="1">
      <c r="A86" s="956"/>
      <c r="B86" s="61" t="s">
        <v>461</v>
      </c>
      <c r="C86" s="61"/>
      <c r="D86" s="981">
        <f>'yrP&amp;L'!P48</f>
        <v>123.014</v>
      </c>
      <c r="E86" s="61"/>
      <c r="F86" s="979">
        <f>SUM(F82:F85)</f>
        <v>151.267</v>
      </c>
      <c r="G86" s="974">
        <f>(F86/F79-1)*100</f>
        <v>13.76110221179372</v>
      </c>
      <c r="H86" s="979">
        <f>L86-F86</f>
        <v>825.23299999999995</v>
      </c>
      <c r="I86" s="974">
        <f>(H86/H79-1)*100</f>
        <v>12.701183096591095</v>
      </c>
      <c r="J86" s="983">
        <f>L86-F86-D86</f>
        <v>702.21899999999994</v>
      </c>
      <c r="K86" s="974">
        <f>(J86/J79-1)*100</f>
        <v>11.193820691751878</v>
      </c>
      <c r="L86" s="969">
        <v>976.5</v>
      </c>
      <c r="M86" s="974">
        <f>(L86/L79-1)*100</f>
        <v>12.864077669902896</v>
      </c>
      <c r="N86" s="975">
        <f>L86/$AR86*100</f>
        <v>30.22781838420935</v>
      </c>
      <c r="O86" s="975"/>
      <c r="P86" s="359">
        <f>yrSales!P85</f>
        <v>1.5862339999999999</v>
      </c>
      <c r="Q86" s="982">
        <f>AVERAGE(yrSales!P61,yrSales!O61)</f>
        <v>586</v>
      </c>
      <c r="R86" s="178">
        <f>'yrP&amp;L'!P18</f>
        <v>151.267</v>
      </c>
      <c r="S86" s="2">
        <f>R86/L86</f>
        <v>0.15490732206861238</v>
      </c>
      <c r="T86" s="178">
        <f>L86/AVERAGE(yrSales!P61,yrSales!O61)</f>
        <v>1.6663822525597269</v>
      </c>
      <c r="U86" s="178">
        <f>(L86-'yrP&amp;L'!P18)/Q86</f>
        <v>1.4082474402730374</v>
      </c>
      <c r="V86" s="178">
        <f>J86/Q86</f>
        <v>1.1983259385665528</v>
      </c>
      <c r="W86" s="984">
        <f>J86/P86</f>
        <v>442.69571828620491</v>
      </c>
      <c r="X86" s="974">
        <f>(W86/W79-1)*100</f>
        <v>-5.626109853786831</v>
      </c>
      <c r="Y86" s="61"/>
      <c r="Z86" s="969">
        <v>163.6</v>
      </c>
      <c r="AA86" s="974">
        <f>(Z86/Z79-1)*100</f>
        <v>10.765064319566697</v>
      </c>
      <c r="AB86" s="975">
        <f>Z86/$AR86*100</f>
        <v>5.0642817077897071</v>
      </c>
      <c r="AC86" s="61"/>
      <c r="AD86" s="969">
        <v>52.2</v>
      </c>
      <c r="AE86" s="974">
        <f>(AD86/AD79-1)*100</f>
        <v>9.6638655462184975</v>
      </c>
      <c r="AF86" s="975">
        <f>AD86/$AR86*100</f>
        <v>1.6158649458840022</v>
      </c>
      <c r="AG86" s="61"/>
      <c r="AH86" s="969">
        <v>130</v>
      </c>
      <c r="AI86" s="974">
        <f>(AH86/AH79-1)*100</f>
        <v>-22.341696535244925</v>
      </c>
      <c r="AJ86" s="975">
        <f>AH86/$AR86*100</f>
        <v>4.0241847311287406</v>
      </c>
      <c r="AK86" s="61"/>
      <c r="AL86" s="966">
        <f>SUM(AL82:AL85)</f>
        <v>1322.3000000000002</v>
      </c>
      <c r="AM86" s="974">
        <f>(AL86/AL79-1)*100</f>
        <v>7.6879224692564696</v>
      </c>
      <c r="AN86" s="975">
        <f>AL86/$AR86*100</f>
        <v>40.932149769011808</v>
      </c>
      <c r="AO86" s="976" t="str">
        <f>IF(AP86=AL86," ","no")</f>
        <v xml:space="preserve"> </v>
      </c>
      <c r="AP86" s="977">
        <f>ROUND('qtrP&amp;L'!BH34,1)</f>
        <v>1322.3</v>
      </c>
      <c r="AR86" s="161">
        <f>'qtrP&amp;L'!BH14</f>
        <v>3230.4679999999998</v>
      </c>
    </row>
    <row r="87" spans="1:44" ht="10.5" hidden="1" customHeight="1" outlineLevel="1">
      <c r="A87" s="956"/>
      <c r="B87" s="61"/>
      <c r="C87" s="61"/>
      <c r="D87" s="981"/>
      <c r="E87" s="61"/>
      <c r="F87" s="61"/>
      <c r="G87" s="61"/>
      <c r="H87" s="61"/>
      <c r="I87" s="61"/>
      <c r="J87" s="61"/>
      <c r="K87" s="61"/>
      <c r="L87" s="969"/>
      <c r="M87" s="974"/>
      <c r="N87" s="975"/>
      <c r="O87" s="975"/>
      <c r="P87" s="359"/>
      <c r="Q87" s="982"/>
      <c r="R87" s="178"/>
      <c r="S87" s="178"/>
      <c r="T87" s="178"/>
      <c r="U87" s="178"/>
      <c r="V87" s="178"/>
      <c r="W87" s="178"/>
      <c r="X87" s="975"/>
      <c r="Y87" s="61"/>
      <c r="Z87" s="969"/>
      <c r="AA87" s="974"/>
      <c r="AB87" s="975"/>
      <c r="AC87" s="61"/>
      <c r="AD87" s="969"/>
      <c r="AE87" s="974"/>
      <c r="AF87" s="975"/>
      <c r="AG87" s="61"/>
      <c r="AH87" s="969"/>
      <c r="AI87" s="974"/>
      <c r="AJ87" s="975"/>
      <c r="AK87" s="61"/>
      <c r="AL87" s="966"/>
      <c r="AM87" s="974"/>
      <c r="AN87" s="975"/>
      <c r="AO87" s="976"/>
      <c r="AP87" s="977"/>
      <c r="AR87" s="161"/>
    </row>
    <row r="88" spans="1:44" hidden="1" outlineLevel="1">
      <c r="A88" s="956"/>
      <c r="B88" s="965" t="str">
        <f>CoachNAqtrSalesOld!B116</f>
        <v>2010A</v>
      </c>
      <c r="C88" s="965"/>
      <c r="D88" s="986"/>
      <c r="E88" s="965"/>
      <c r="F88" s="61"/>
      <c r="G88" s="61"/>
      <c r="H88" s="61"/>
      <c r="I88" s="61"/>
      <c r="J88" s="61"/>
      <c r="K88" s="61"/>
      <c r="L88" s="61"/>
      <c r="M88" s="61"/>
      <c r="N88" s="61"/>
      <c r="O88" s="61"/>
      <c r="P88" s="987"/>
      <c r="Q88" s="982"/>
      <c r="R88" s="178"/>
      <c r="S88" s="178"/>
      <c r="T88" s="985"/>
      <c r="U88" s="985"/>
      <c r="V88" s="985"/>
      <c r="W88" s="985"/>
      <c r="X88" s="61"/>
      <c r="Y88" s="61"/>
      <c r="Z88" s="61"/>
      <c r="AA88" s="61"/>
      <c r="AB88" s="61"/>
      <c r="AC88" s="61"/>
      <c r="AD88" s="61"/>
      <c r="AE88" s="61"/>
      <c r="AF88" s="61"/>
      <c r="AG88" s="61"/>
      <c r="AH88" s="61"/>
      <c r="AI88" s="61"/>
      <c r="AJ88" s="61"/>
      <c r="AK88" s="61"/>
      <c r="AM88" s="61"/>
      <c r="AN88" s="61"/>
      <c r="AO88" s="976"/>
      <c r="AP88" s="154"/>
    </row>
    <row r="89" spans="1:44" ht="10.5" hidden="1" customHeight="1" outlineLevel="1">
      <c r="A89" s="956" t="s">
        <v>457</v>
      </c>
      <c r="B89" s="3" t="s">
        <v>63</v>
      </c>
      <c r="D89" s="980">
        <f>D93/4</f>
        <v>31.686</v>
      </c>
      <c r="F89" s="979">
        <f>R93/4</f>
        <v>45.34225</v>
      </c>
      <c r="G89" s="974">
        <f>(F89/F82-1)*100</f>
        <v>19.899912075998081</v>
      </c>
      <c r="H89" s="979">
        <f>L89-F89</f>
        <v>187.55775</v>
      </c>
      <c r="I89" s="974">
        <f>(H89/H82-1)*100</f>
        <v>-3.5609750454087985</v>
      </c>
      <c r="J89" s="981">
        <f>L89-F89-D89</f>
        <v>155.87174999999999</v>
      </c>
      <c r="K89" s="974">
        <f>(J89/J82-1)*100</f>
        <v>-4.7993721360962249</v>
      </c>
      <c r="L89" s="969">
        <v>232.9</v>
      </c>
      <c r="M89" s="974">
        <f>(L89/L82-1)*100</f>
        <v>0.25828669823504402</v>
      </c>
      <c r="N89" s="975">
        <f>L89/$AR89*100</f>
        <v>30.586903447035013</v>
      </c>
      <c r="O89" s="975"/>
      <c r="P89" s="359"/>
      <c r="Q89" s="982">
        <f>AVERAGE(CoachNAqtrSalesOld!L113,CoachNAqtrSalesOld!L117)</f>
        <v>635</v>
      </c>
      <c r="R89" s="178"/>
      <c r="S89" s="178"/>
      <c r="T89" s="178">
        <f>L89/Q89</f>
        <v>0.3667716535433071</v>
      </c>
      <c r="U89" s="178"/>
      <c r="V89" s="178"/>
      <c r="W89" s="178"/>
      <c r="X89" s="975"/>
      <c r="Y89" s="61"/>
      <c r="Z89" s="969">
        <v>34.6</v>
      </c>
      <c r="AA89" s="974">
        <f>(Z89/Z82-1)*100</f>
        <v>-16.626506024096376</v>
      </c>
      <c r="AB89" s="975">
        <f>Z89/$AR89*100</f>
        <v>4.5440397564079502</v>
      </c>
      <c r="AC89" s="61"/>
      <c r="AD89" s="969">
        <v>11.3</v>
      </c>
      <c r="AE89" s="974">
        <f>(AD89/AD82-1)*100</f>
        <v>-11.71875</v>
      </c>
      <c r="AF89" s="975">
        <f>AD89/$AR89*100</f>
        <v>1.4840361054164692</v>
      </c>
      <c r="AG89" s="61"/>
      <c r="AH89" s="969">
        <v>48.1</v>
      </c>
      <c r="AI89" s="974">
        <f>(AH89/AH82-1)*100</f>
        <v>26.246719160104991</v>
      </c>
      <c r="AJ89" s="975">
        <f>AH89/$AR89*100</f>
        <v>6.3170032451798379</v>
      </c>
      <c r="AK89" s="61"/>
      <c r="AL89" s="970">
        <f>ROUND((AH89+AD89+Z89+L89),1)</f>
        <v>326.89999999999998</v>
      </c>
      <c r="AM89" s="974">
        <f>(AL89/AL82-1)*100</f>
        <v>0.67754850631349672</v>
      </c>
      <c r="AN89" s="975">
        <f>AL89/$AR89*100</f>
        <v>42.931982554039266</v>
      </c>
      <c r="AO89" s="976" t="str">
        <f>IF(AP89=AL89," ","no")</f>
        <v xml:space="preserve"> </v>
      </c>
      <c r="AP89" s="977">
        <f>ROUND('qtrP&amp;L'!BL30,1)</f>
        <v>326.89999999999998</v>
      </c>
      <c r="AR89" s="161">
        <f>'qtrP&amp;L'!BL10</f>
        <v>761.43700000000001</v>
      </c>
    </row>
    <row r="90" spans="1:44" ht="10.5" hidden="1" customHeight="1" outlineLevel="1">
      <c r="A90" s="956" t="s">
        <v>458</v>
      </c>
      <c r="B90" s="3" t="s">
        <v>167</v>
      </c>
      <c r="D90" s="980">
        <f>D93/4</f>
        <v>31.686</v>
      </c>
      <c r="F90" s="718">
        <f>R93/4</f>
        <v>45.34225</v>
      </c>
      <c r="G90" s="974">
        <f>(F90/F83-1)*100</f>
        <v>19.899912075998081</v>
      </c>
      <c r="H90" s="718">
        <f>L90-F90</f>
        <v>236.75775000000002</v>
      </c>
      <c r="I90" s="974">
        <f>(H90/H83-1)*100</f>
        <v>4.2144392247227769</v>
      </c>
      <c r="J90" s="981">
        <f>L90-F90-D90</f>
        <v>205.07175000000001</v>
      </c>
      <c r="K90" s="974">
        <f>(J90/J83-1)*100</f>
        <v>4.3995372391402165</v>
      </c>
      <c r="L90" s="136">
        <v>282.10000000000002</v>
      </c>
      <c r="M90" s="974">
        <f>(L90/L83-1)*100</f>
        <v>6.4528301886792594</v>
      </c>
      <c r="N90" s="975">
        <f>L90/$AR90*100</f>
        <v>26.488138553340125</v>
      </c>
      <c r="O90" s="975"/>
      <c r="P90" s="359"/>
      <c r="Q90" s="982">
        <f>AVERAGE(CoachNAqtrSalesOld!L114,CoachNAqtrSalesOld!L118)</f>
        <v>656</v>
      </c>
      <c r="R90" s="178"/>
      <c r="S90" s="178"/>
      <c r="T90" s="359">
        <f>L90/Q90</f>
        <v>0.43003048780487807</v>
      </c>
      <c r="U90" s="178"/>
      <c r="V90" s="178"/>
      <c r="W90" s="178"/>
      <c r="X90" s="975"/>
      <c r="Y90" s="61"/>
      <c r="Z90" s="136">
        <v>47.3</v>
      </c>
      <c r="AA90" s="974">
        <f>(Z90/Z83-1)*100</f>
        <v>7.4999999999999956</v>
      </c>
      <c r="AB90" s="975">
        <f>Z90/$AR90*100</f>
        <v>4.4412937028464645</v>
      </c>
      <c r="AC90" s="61"/>
      <c r="AD90" s="136">
        <v>12.2</v>
      </c>
      <c r="AE90" s="974">
        <f>(AD90/AD83-1)*100</f>
        <v>-15.277777777777789</v>
      </c>
      <c r="AF90" s="975">
        <f>AD90/$AR90*100</f>
        <v>1.1455345280069105</v>
      </c>
      <c r="AG90" s="61"/>
      <c r="AH90" s="136">
        <v>48.5</v>
      </c>
      <c r="AI90" s="974">
        <f>(AH90/AH83-1)*100</f>
        <v>138.91625615763544</v>
      </c>
      <c r="AJ90" s="975">
        <f>AH90/$AR90*100</f>
        <v>4.5539692301914068</v>
      </c>
      <c r="AK90" s="61"/>
      <c r="AL90" s="994">
        <f>ROUND((AH90+AD90+Z90+L90),1)</f>
        <v>390.1</v>
      </c>
      <c r="AM90" s="974">
        <f>(AL90/AL83-1)*100</f>
        <v>13.500145475705573</v>
      </c>
      <c r="AN90" s="975">
        <f>AL90/$AR90*100</f>
        <v>36.628936014384905</v>
      </c>
      <c r="AO90" s="976" t="str">
        <f>IF(AP90=AL90," ","no")</f>
        <v xml:space="preserve"> </v>
      </c>
      <c r="AP90" s="978">
        <f>ROUND('qtrP&amp;L'!BL31,1)</f>
        <v>390.1</v>
      </c>
      <c r="AR90" s="144">
        <f>'qtrP&amp;L'!BL11</f>
        <v>1065.0050000000001</v>
      </c>
    </row>
    <row r="91" spans="1:44" ht="10.5" hidden="1" customHeight="1" outlineLevel="1">
      <c r="A91" s="956" t="s">
        <v>459</v>
      </c>
      <c r="B91" s="3" t="s">
        <v>166</v>
      </c>
      <c r="D91" s="980">
        <f>D93/4</f>
        <v>31.686</v>
      </c>
      <c r="F91" s="718">
        <f>R93/4</f>
        <v>45.34225</v>
      </c>
      <c r="G91" s="974">
        <f>(F91/F84-1)*100</f>
        <v>19.899912075998081</v>
      </c>
      <c r="H91" s="718">
        <f>L91-F91</f>
        <v>210.45775</v>
      </c>
      <c r="I91" s="974">
        <f>(H91/H84-1)*100</f>
        <v>3.9897076462602765</v>
      </c>
      <c r="J91" s="981">
        <f>L91-F91-D91</f>
        <v>178.77175</v>
      </c>
      <c r="K91" s="974">
        <f>(J91/J84-1)*100</f>
        <v>4.1612832274125156</v>
      </c>
      <c r="L91" s="136">
        <v>255.8</v>
      </c>
      <c r="M91" s="974">
        <f>(L91/L84-1)*100</f>
        <v>6.4945878434637949</v>
      </c>
      <c r="N91" s="975">
        <f>L91/$AR91*100</f>
        <v>30.794456034834578</v>
      </c>
      <c r="O91" s="975"/>
      <c r="P91" s="359"/>
      <c r="Q91" s="982">
        <f>AVERAGE(CoachNAqtrSalesOld!L115,CoachNAqtrSalesOld!L119)</f>
        <v>660</v>
      </c>
      <c r="R91" s="178"/>
      <c r="S91" s="178"/>
      <c r="T91" s="359">
        <f>L91/Q91</f>
        <v>0.38757575757575757</v>
      </c>
      <c r="U91" s="178"/>
      <c r="V91" s="178"/>
      <c r="W91" s="178"/>
      <c r="X91" s="975"/>
      <c r="Y91" s="61"/>
      <c r="Z91" s="136">
        <v>44.8</v>
      </c>
      <c r="AA91" s="974">
        <f>(Z91/Z84-1)*100</f>
        <v>10.617283950617274</v>
      </c>
      <c r="AB91" s="975">
        <f>Z91/$AR91*100</f>
        <v>5.3932432774065235</v>
      </c>
      <c r="AC91" s="61"/>
      <c r="AD91" s="136">
        <v>11.7</v>
      </c>
      <c r="AE91" s="974">
        <f>(AD91/AD84-1)*100</f>
        <v>-10.687022900763365</v>
      </c>
      <c r="AF91" s="975">
        <f>AD91/$AR91*100</f>
        <v>1.4085032666441144</v>
      </c>
      <c r="AG91" s="61"/>
      <c r="AH91" s="136">
        <v>54.2</v>
      </c>
      <c r="AI91" s="974">
        <f>(AH91/AH84-1)*100</f>
        <v>66.769230769230774</v>
      </c>
      <c r="AJ91" s="975">
        <f>AH91/$AR91*100</f>
        <v>6.5248612865052156</v>
      </c>
      <c r="AK91" s="61"/>
      <c r="AL91" s="994">
        <f>ROUND((AH91+AD91+Z91+L91),1)</f>
        <v>366.5</v>
      </c>
      <c r="AM91" s="974">
        <f>(AL91/AL84-1)*100</f>
        <v>12.319950965369308</v>
      </c>
      <c r="AN91" s="975">
        <f>AL91/$AR91*100</f>
        <v>44.121063865390425</v>
      </c>
      <c r="AO91" s="976" t="str">
        <f>IF(AP91=AL91," ","no")</f>
        <v xml:space="preserve"> </v>
      </c>
      <c r="AP91" s="978">
        <f>ROUND('qtrP&amp;L'!BL32,1)</f>
        <v>366.5</v>
      </c>
      <c r="AR91" s="144">
        <f>'qtrP&amp;L'!BL12</f>
        <v>830.66899999999998</v>
      </c>
    </row>
    <row r="92" spans="1:44" ht="10.5" hidden="1" customHeight="1" outlineLevel="1">
      <c r="A92" s="956" t="s">
        <v>460</v>
      </c>
      <c r="B92" s="3" t="s">
        <v>62</v>
      </c>
      <c r="D92" s="980">
        <f>D93/4</f>
        <v>31.686</v>
      </c>
      <c r="F92" s="718">
        <f>R93/4</f>
        <v>45.34225</v>
      </c>
      <c r="G92" s="974">
        <f>(F92/F85-1)*100</f>
        <v>19.899912075998081</v>
      </c>
      <c r="H92" s="718">
        <f>L92-F92</f>
        <v>235.97774999999993</v>
      </c>
      <c r="I92" s="974">
        <f>(H92/H85-1)*100</f>
        <v>17.294928877031236</v>
      </c>
      <c r="J92" s="981">
        <f>L92-F92-D92</f>
        <v>204.29174999999992</v>
      </c>
      <c r="K92" s="974">
        <f>(J92/J85-1)*100</f>
        <v>19.868596885226864</v>
      </c>
      <c r="L92" s="972">
        <f>L93-SUM(L89:L91)</f>
        <v>281.31999999999994</v>
      </c>
      <c r="M92" s="974">
        <f>(L92/L85-1)*100</f>
        <v>17.707112970711279</v>
      </c>
      <c r="N92" s="975">
        <f>L92/$AR92*100</f>
        <v>29.596275742352908</v>
      </c>
      <c r="O92" s="975"/>
      <c r="P92" s="359"/>
      <c r="Q92" s="982">
        <f>AVERAGE(CoachNAqtrSalesOld!L116,CoachNAqtrSalesOld!L120)</f>
        <v>665</v>
      </c>
      <c r="R92" s="178"/>
      <c r="S92" s="178"/>
      <c r="T92" s="359">
        <f>L92/Q92</f>
        <v>0.42303759398496232</v>
      </c>
      <c r="U92" s="178"/>
      <c r="V92" s="178"/>
      <c r="W92" s="178"/>
      <c r="X92" s="975"/>
      <c r="Y92" s="61"/>
      <c r="Z92" s="972">
        <f>Z93-SUM(Z89:Z91)</f>
        <v>52.7</v>
      </c>
      <c r="AA92" s="974">
        <f>(Z92/Z85-1)*100</f>
        <v>40.159574468085133</v>
      </c>
      <c r="AB92" s="975">
        <f>Z92/$AR92*100</f>
        <v>5.5443044633229004</v>
      </c>
      <c r="AC92" s="61"/>
      <c r="AD92" s="972">
        <f>AD93-SUM(AD89:AD91)</f>
        <v>12.799999999999997</v>
      </c>
      <c r="AE92" s="974">
        <f>(AD92/AD85-1)*100</f>
        <v>7.5630252100840289</v>
      </c>
      <c r="AF92" s="975">
        <f>AD92/$AR92*100</f>
        <v>1.3466242339759604</v>
      </c>
      <c r="AG92" s="61"/>
      <c r="AH92" s="972">
        <f>AH93-SUM(AH89:AH91)</f>
        <v>53.199999999999989</v>
      </c>
      <c r="AI92" s="974">
        <f>(AH92/AH85-1)*100</f>
        <v>36.061381074168786</v>
      </c>
      <c r="AJ92" s="975">
        <f>AH92/$AR92*100</f>
        <v>5.5969069724625857</v>
      </c>
      <c r="AK92" s="61"/>
      <c r="AL92" s="995">
        <f>ROUND((AH92+AD92+Z92+L92),1)</f>
        <v>400</v>
      </c>
      <c r="AM92" s="974">
        <f>(AL92/AL85-1)*100</f>
        <v>22.100122100122089</v>
      </c>
      <c r="AN92" s="975">
        <f>AL92/$AR92*100</f>
        <v>42.082007311748768</v>
      </c>
      <c r="AO92" s="976" t="str">
        <f>IF(AP92=AL92," ","no")</f>
        <v xml:space="preserve"> </v>
      </c>
      <c r="AP92" s="978">
        <f>ROUND('qtrP&amp;L'!BL33,1)</f>
        <v>400</v>
      </c>
      <c r="AR92" s="144">
        <f>'qtrP&amp;L'!BL13</f>
        <v>950.52499999999998</v>
      </c>
    </row>
    <row r="93" spans="1:44" ht="10.5" hidden="1" customHeight="1" outlineLevel="1">
      <c r="A93" s="956"/>
      <c r="B93" s="61" t="s">
        <v>461</v>
      </c>
      <c r="C93" s="61"/>
      <c r="D93" s="981">
        <f>'yrP&amp;L'!Q48</f>
        <v>126.744</v>
      </c>
      <c r="E93" s="61"/>
      <c r="F93" s="979">
        <f>SUM(F89:F92)</f>
        <v>181.369</v>
      </c>
      <c r="G93" s="974">
        <f>(F93/F86-1)*100</f>
        <v>19.899912075998081</v>
      </c>
      <c r="H93" s="979">
        <f>L93-F93</f>
        <v>870.75099999999986</v>
      </c>
      <c r="I93" s="974">
        <f>(H93/H86-1)*100</f>
        <v>5.5157755446037626</v>
      </c>
      <c r="J93" s="983">
        <f>L93-F93-D93</f>
        <v>744.00699999999983</v>
      </c>
      <c r="K93" s="974">
        <f>(J93/J86-1)*100</f>
        <v>5.9508500909260409</v>
      </c>
      <c r="L93" s="969">
        <v>1052.1199999999999</v>
      </c>
      <c r="M93" s="974">
        <f>(L93/L86-1)*100</f>
        <v>7.7439836149513441</v>
      </c>
      <c r="N93" s="975">
        <f>L93/$AR93*100</f>
        <v>29.163696115683507</v>
      </c>
      <c r="O93" s="975"/>
      <c r="P93" s="359">
        <f>yrSales!Q85</f>
        <v>1.7772825000000001</v>
      </c>
      <c r="Q93" s="982">
        <f>AVERAGE(yrSales!Q61,yrSales!P61)</f>
        <v>644.5</v>
      </c>
      <c r="R93" s="178">
        <f>'yrP&amp;L'!Q18</f>
        <v>181.369</v>
      </c>
      <c r="S93" s="2">
        <f>R93/L93</f>
        <v>0.17238432878378893</v>
      </c>
      <c r="T93" s="178">
        <f>L93/AVERAGE(yrSales!Q61,yrSales!P61)</f>
        <v>1.6324592707525212</v>
      </c>
      <c r="U93" s="178">
        <f>(L93-'yrP&amp;L'!Q18)/Q93</f>
        <v>1.3510488750969742</v>
      </c>
      <c r="V93" s="178">
        <f>J93/Q93</f>
        <v>1.1543941039565553</v>
      </c>
      <c r="W93" s="984">
        <f>J93/P93</f>
        <v>418.620562572354</v>
      </c>
      <c r="X93" s="974">
        <f>(W93/W86-1)*100</f>
        <v>-5.4383077855490347</v>
      </c>
      <c r="Y93" s="61"/>
      <c r="Z93" s="969">
        <v>179.4</v>
      </c>
      <c r="AA93" s="974">
        <f>(Z93/Z86-1)*100</f>
        <v>9.6577017114914518</v>
      </c>
      <c r="AB93" s="975">
        <f>Z93/$AR93*100</f>
        <v>4.9727855027502779</v>
      </c>
      <c r="AC93" s="61"/>
      <c r="AD93" s="969">
        <v>48</v>
      </c>
      <c r="AE93" s="974">
        <f>(AD93/AD86-1)*100</f>
        <v>-8.045977011494255</v>
      </c>
      <c r="AF93" s="975">
        <f>AD93/$AR93*100</f>
        <v>1.330511171304422</v>
      </c>
      <c r="AG93" s="61"/>
      <c r="AH93" s="969">
        <v>204</v>
      </c>
      <c r="AI93" s="974">
        <f>(AH93/AH86-1)*100</f>
        <v>56.92307692307692</v>
      </c>
      <c r="AJ93" s="975">
        <f>AH93/$AR93*100</f>
        <v>5.6546724780437936</v>
      </c>
      <c r="AK93" s="61"/>
      <c r="AL93" s="966">
        <f>ROUND((AH93+AD93+Z93+L93),1)</f>
        <v>1483.5</v>
      </c>
      <c r="AM93" s="974">
        <f>(AL93/AL86-1)*100</f>
        <v>12.190879528094968</v>
      </c>
      <c r="AN93" s="975">
        <f>AL93/$AR93*100</f>
        <v>41.121110888127291</v>
      </c>
      <c r="AO93" s="976" t="str">
        <f>IF(AP93=AL93," ","no")</f>
        <v xml:space="preserve"> </v>
      </c>
      <c r="AP93" s="977">
        <f>ROUND('qtrP&amp;L'!BL34,1)</f>
        <v>1483.5</v>
      </c>
      <c r="AR93" s="161">
        <f>'qtrP&amp;L'!BL14</f>
        <v>3607.636</v>
      </c>
    </row>
    <row r="94" spans="1:44" hidden="1" outlineLevel="1">
      <c r="D94" s="980"/>
      <c r="P94" s="359"/>
      <c r="Q94" s="982"/>
      <c r="R94" s="178"/>
      <c r="S94" s="178"/>
      <c r="T94" s="178"/>
      <c r="U94" s="178"/>
      <c r="V94" s="178"/>
      <c r="W94" s="178"/>
      <c r="AL94" s="996"/>
    </row>
    <row r="95" spans="1:44" hidden="1" outlineLevel="1">
      <c r="A95" s="956"/>
      <c r="B95" s="965" t="str">
        <f>CoachNAqtrSalesOld!B123</f>
        <v>2011A</v>
      </c>
      <c r="C95" s="997"/>
      <c r="D95" s="998"/>
      <c r="E95" s="997"/>
      <c r="F95" s="61"/>
      <c r="G95" s="61"/>
      <c r="H95" s="61"/>
      <c r="I95" s="61"/>
      <c r="J95" s="61"/>
      <c r="K95" s="61"/>
      <c r="L95" s="61"/>
      <c r="M95" s="61"/>
      <c r="N95" s="61"/>
      <c r="O95" s="61"/>
      <c r="P95" s="987"/>
      <c r="Q95" s="982"/>
      <c r="R95" s="178"/>
      <c r="S95" s="178"/>
      <c r="T95" s="985"/>
      <c r="U95" s="985"/>
      <c r="V95" s="985"/>
      <c r="W95" s="985"/>
      <c r="X95" s="61"/>
      <c r="Y95" s="61"/>
      <c r="Z95" s="61"/>
      <c r="AA95" s="61"/>
      <c r="AB95" s="61"/>
      <c r="AC95" s="61"/>
      <c r="AD95" s="61"/>
      <c r="AE95" s="61"/>
      <c r="AF95" s="61"/>
      <c r="AG95" s="61"/>
      <c r="AH95" s="61"/>
      <c r="AI95" s="61"/>
      <c r="AJ95" s="61"/>
      <c r="AK95" s="61"/>
      <c r="AM95" s="61"/>
      <c r="AN95" s="61"/>
      <c r="AO95" s="976"/>
      <c r="AP95" s="154"/>
    </row>
    <row r="96" spans="1:44" ht="10.5" hidden="1" customHeight="1" outlineLevel="1">
      <c r="A96" s="956" t="s">
        <v>457</v>
      </c>
      <c r="B96" s="3" t="s">
        <v>63</v>
      </c>
      <c r="D96" s="980">
        <f>D100/4</f>
        <v>31.276499999999999</v>
      </c>
      <c r="F96" s="979">
        <f>R100/4</f>
        <v>51.726250000000007</v>
      </c>
      <c r="G96" s="974">
        <f>(F96/F89-1)*100</f>
        <v>14.079583611311763</v>
      </c>
      <c r="H96" s="979">
        <f>L96-F96</f>
        <v>217.37375000000003</v>
      </c>
      <c r="I96" s="974">
        <f>(H96/H89-1)*100</f>
        <v>15.89697039978355</v>
      </c>
      <c r="J96" s="981">
        <f>L96-F96-D96</f>
        <v>186.09725000000003</v>
      </c>
      <c r="K96" s="974">
        <f>(J96/J89-1)*100</f>
        <v>19.391262367940332</v>
      </c>
      <c r="L96" s="969">
        <v>269.10000000000002</v>
      </c>
      <c r="M96" s="974">
        <f>(L96/L89-1)*100</f>
        <v>15.543151567196233</v>
      </c>
      <c r="N96" s="975">
        <f>L96/$AR96*100</f>
        <v>29.51729191186714</v>
      </c>
      <c r="O96" s="975"/>
      <c r="P96" s="359"/>
      <c r="Q96" s="982">
        <f>AVERAGE(CoachNAqtrSalesOld!L120,CoachNAqtrSalesOld!L124)</f>
        <v>675</v>
      </c>
      <c r="R96" s="178"/>
      <c r="S96" s="178"/>
      <c r="T96" s="178">
        <f>L96/Q96</f>
        <v>0.39866666666666672</v>
      </c>
      <c r="U96" s="178"/>
      <c r="V96" s="178"/>
      <c r="W96" s="178"/>
      <c r="X96" s="975"/>
      <c r="Y96" s="61"/>
      <c r="Z96" s="969">
        <v>51</v>
      </c>
      <c r="AA96" s="974">
        <f>(Z96/Z89-1)*100</f>
        <v>47.398843930635827</v>
      </c>
      <c r="AB96" s="975">
        <f>Z96/$AR96*100</f>
        <v>5.594135590877829</v>
      </c>
      <c r="AC96" s="61"/>
      <c r="AD96" s="969">
        <v>12.9</v>
      </c>
      <c r="AE96" s="974">
        <f>(AD96/AD89-1)*100</f>
        <v>14.159292035398231</v>
      </c>
      <c r="AF96" s="975">
        <f>AD96/$AR96*100</f>
        <v>1.4149872376926276</v>
      </c>
      <c r="AG96" s="61"/>
      <c r="AH96" s="969">
        <v>57.5</v>
      </c>
      <c r="AI96" s="974">
        <f>(AH96/AH89-1)*100</f>
        <v>19.542619542619533</v>
      </c>
      <c r="AJ96" s="975">
        <f>AH96/$AR96*100</f>
        <v>6.3071136563818673</v>
      </c>
      <c r="AK96" s="61"/>
      <c r="AL96" s="970">
        <f>ROUND((AH96+AD96+Z96+L96),1)</f>
        <v>390.5</v>
      </c>
      <c r="AM96" s="974">
        <f>(AL96/AL89-1)*100</f>
        <v>19.455490975833591</v>
      </c>
      <c r="AN96" s="975">
        <f>AL96/$AR96*100</f>
        <v>42.83352839681946</v>
      </c>
      <c r="AO96" s="976" t="str">
        <f>IF(AP96=AL96," ","no")</f>
        <v xml:space="preserve"> </v>
      </c>
      <c r="AP96" s="978">
        <f>ROUND('qtrP&amp;L'!BP30,1)</f>
        <v>390.5</v>
      </c>
      <c r="AR96" s="144">
        <f>'qtrP&amp;L'!BP10</f>
        <v>911.66899999999998</v>
      </c>
    </row>
    <row r="97" spans="1:44" ht="10.5" hidden="1" customHeight="1" outlineLevel="1">
      <c r="A97" s="956" t="s">
        <v>458</v>
      </c>
      <c r="B97" s="3" t="s">
        <v>167</v>
      </c>
      <c r="D97" s="980">
        <f>D100/4</f>
        <v>31.276499999999999</v>
      </c>
      <c r="F97" s="718">
        <f>R100/4</f>
        <v>51.726250000000007</v>
      </c>
      <c r="G97" s="974">
        <f>(F97/F90-1)*100</f>
        <v>14.079583611311763</v>
      </c>
      <c r="H97" s="718">
        <f>L97-F97</f>
        <v>273.97375</v>
      </c>
      <c r="I97" s="974">
        <f>(H97/H90-1)*100</f>
        <v>15.71902081346861</v>
      </c>
      <c r="J97" s="981">
        <f>L97-F97-D97</f>
        <v>242.69725</v>
      </c>
      <c r="K97" s="974">
        <f>(J97/J90-1)*100</f>
        <v>18.347480820737118</v>
      </c>
      <c r="L97" s="136">
        <v>325.7</v>
      </c>
      <c r="M97" s="974">
        <f>(L97/L90-1)*100</f>
        <v>15.455512229705759</v>
      </c>
      <c r="N97" s="975">
        <f>L97/$AR97*100</f>
        <v>25.758092208750472</v>
      </c>
      <c r="O97" s="975"/>
      <c r="P97" s="359"/>
      <c r="Q97" s="982">
        <f>AVERAGE(CoachNAqtrSalesOld!L121,CoachNAqtrSalesOld!L125)</f>
        <v>692</v>
      </c>
      <c r="R97" s="178"/>
      <c r="S97" s="178"/>
      <c r="T97" s="359">
        <f>L97/Q97</f>
        <v>0.47066473988439306</v>
      </c>
      <c r="U97" s="178"/>
      <c r="V97" s="178"/>
      <c r="W97" s="178"/>
      <c r="X97" s="975"/>
      <c r="Y97" s="61"/>
      <c r="Z97" s="136">
        <v>59.8</v>
      </c>
      <c r="AA97" s="974">
        <f>(Z97/Z90-1)*100</f>
        <v>26.42706131078225</v>
      </c>
      <c r="AB97" s="975">
        <f>Z97/$AR97*100</f>
        <v>4.7293027758160218</v>
      </c>
      <c r="AC97" s="61"/>
      <c r="AD97" s="136">
        <v>16.2</v>
      </c>
      <c r="AE97" s="974">
        <f>(AD97/AD90-1)*100</f>
        <v>32.78688524590163</v>
      </c>
      <c r="AF97" s="975">
        <f>AD97/$AR97*100</f>
        <v>1.2811823573280863</v>
      </c>
      <c r="AG97" s="61"/>
      <c r="AH97" s="136">
        <v>60.1</v>
      </c>
      <c r="AI97" s="974">
        <f>(AH97/AH90-1)*100</f>
        <v>23.91752577319588</v>
      </c>
      <c r="AJ97" s="975">
        <f>AH97/$AR97*100</f>
        <v>4.7530283750258011</v>
      </c>
      <c r="AK97" s="61"/>
      <c r="AL97" s="994">
        <f>ROUND((AH97+AD97+Z97+L97),1)</f>
        <v>461.8</v>
      </c>
      <c r="AM97" s="974">
        <f>(AL97/AL90-1)*100</f>
        <v>18.379902589079713</v>
      </c>
      <c r="AN97" s="975">
        <f>AL97/$AR97*100</f>
        <v>36.521605716920384</v>
      </c>
      <c r="AO97" s="976" t="str">
        <f>IF(AP97=AL97," ","no")</f>
        <v xml:space="preserve"> </v>
      </c>
      <c r="AP97" s="978">
        <f>ROUND('qtrP&amp;L'!BP31,1)</f>
        <v>461.8</v>
      </c>
      <c r="AR97" s="144">
        <f>'qtrP&amp;L'!BP11</f>
        <v>1264.4570000000001</v>
      </c>
    </row>
    <row r="98" spans="1:44" ht="10.5" hidden="1" customHeight="1" outlineLevel="1">
      <c r="A98" s="956" t="s">
        <v>459</v>
      </c>
      <c r="B98" s="3" t="s">
        <v>166</v>
      </c>
      <c r="D98" s="980">
        <f>D100/4</f>
        <v>31.276499999999999</v>
      </c>
      <c r="F98" s="718">
        <f>R100/4</f>
        <v>51.726250000000007</v>
      </c>
      <c r="G98" s="974">
        <f>(F98/F91-1)*100</f>
        <v>14.079583611311763</v>
      </c>
      <c r="H98" s="718">
        <f>L98-F98</f>
        <v>228.37375000000003</v>
      </c>
      <c r="I98" s="974">
        <f>(H98/H91-1)*100</f>
        <v>8.5128725361741431</v>
      </c>
      <c r="J98" s="981">
        <f>L98-F98-D98</f>
        <v>197.09725000000003</v>
      </c>
      <c r="K98" s="974">
        <f>(J98/J91-1)*100</f>
        <v>10.250780674239657</v>
      </c>
      <c r="L98" s="136">
        <v>280.10000000000002</v>
      </c>
      <c r="M98" s="974">
        <f>(L98/L91-1)*100</f>
        <v>9.4996090695856239</v>
      </c>
      <c r="N98" s="975">
        <f>L98/$AR98*100</f>
        <v>29.462315374048341</v>
      </c>
      <c r="O98" s="975"/>
      <c r="P98" s="359"/>
      <c r="Q98" s="982">
        <f>AVERAGE(CoachNAqtrSalesOld!L122,CoachNAqtrSalesOld!L126)</f>
        <v>700</v>
      </c>
      <c r="R98" s="178"/>
      <c r="S98" s="178"/>
      <c r="T98" s="359">
        <f>L98/Q98</f>
        <v>0.40014285714285719</v>
      </c>
      <c r="U98" s="178"/>
      <c r="V98" s="178"/>
      <c r="W98" s="178"/>
      <c r="X98" s="975"/>
      <c r="Y98" s="61"/>
      <c r="Z98" s="136">
        <v>56.1</v>
      </c>
      <c r="AA98" s="974">
        <f>(Z98/Z91-1)*100</f>
        <v>25.223214285714302</v>
      </c>
      <c r="AB98" s="975">
        <f>Z98/$AR98*100</f>
        <v>5.9008778739168575</v>
      </c>
      <c r="AC98" s="61"/>
      <c r="AD98" s="136">
        <v>14.6</v>
      </c>
      <c r="AE98" s="974">
        <f>(AD98/AD91-1)*100</f>
        <v>24.786324786324787</v>
      </c>
      <c r="AF98" s="975">
        <f>AD98/$AR98*100</f>
        <v>1.535700837062141</v>
      </c>
      <c r="AG98" s="61"/>
      <c r="AH98" s="136">
        <f>87-25.7</f>
        <v>61.3</v>
      </c>
      <c r="AI98" s="974">
        <f>(AH98/AH91-1)*100</f>
        <v>13.099630996309951</v>
      </c>
      <c r="AJ98" s="975">
        <f>AH98/$AR98*100</f>
        <v>6.447839815884195</v>
      </c>
      <c r="AK98" s="61"/>
      <c r="AL98" s="994">
        <f>ROUND((AH98+AD98+Z98+L98),1)</f>
        <v>412.1</v>
      </c>
      <c r="AM98" s="974">
        <f>(AL98/AL91-1)*100</f>
        <v>12.442019099590729</v>
      </c>
      <c r="AN98" s="975">
        <f>AL98/$AR98*100</f>
        <v>43.346733900911531</v>
      </c>
      <c r="AO98" s="976" t="str">
        <f>IF(AP98=AL98," ","no")</f>
        <v xml:space="preserve"> </v>
      </c>
      <c r="AP98" s="978">
        <f>ROUND('qtrP&amp;L'!BP32,1)</f>
        <v>412.1</v>
      </c>
      <c r="AR98" s="144">
        <f>'qtrP&amp;L'!BP12</f>
        <v>950.70600000000002</v>
      </c>
    </row>
    <row r="99" spans="1:44" ht="10.5" hidden="1" customHeight="1" outlineLevel="1">
      <c r="A99" s="956" t="s">
        <v>460</v>
      </c>
      <c r="B99" s="3" t="s">
        <v>62</v>
      </c>
      <c r="D99" s="980">
        <f>D100/4</f>
        <v>31.276499999999999</v>
      </c>
      <c r="F99" s="718">
        <f>R100/4</f>
        <v>51.726250000000007</v>
      </c>
      <c r="G99" s="974">
        <f>(F99/F92-1)*100</f>
        <v>14.079583611311763</v>
      </c>
      <c r="H99" s="718">
        <f>L99-F99</f>
        <v>256.87375000000003</v>
      </c>
      <c r="I99" s="974">
        <f>(H99/H92-1)*100</f>
        <v>8.8550721413354072</v>
      </c>
      <c r="J99" s="981">
        <f>L99-F99-D99</f>
        <v>225.59725000000003</v>
      </c>
      <c r="K99" s="974">
        <f>(J99/J92-1)*100</f>
        <v>10.428957605972888</v>
      </c>
      <c r="L99" s="972">
        <f>L100-SUM(L96:L98)</f>
        <v>308.60000000000002</v>
      </c>
      <c r="M99" s="974">
        <f>(L99/L92-1)*100</f>
        <v>9.6971420446466894</v>
      </c>
      <c r="N99" s="975">
        <f>L99/$AR99*100</f>
        <v>29.912520900477386</v>
      </c>
      <c r="O99" s="975"/>
      <c r="P99" s="359"/>
      <c r="Q99" s="982">
        <f>AVERAGE(CoachNAqtrSalesOld!L123,CoachNAqtrSalesOld!L127)</f>
        <v>723</v>
      </c>
      <c r="R99" s="178"/>
      <c r="S99" s="178"/>
      <c r="T99" s="359">
        <f>L99/Q99</f>
        <v>0.42683264177040114</v>
      </c>
      <c r="U99" s="178"/>
      <c r="V99" s="178"/>
      <c r="W99" s="178"/>
      <c r="X99" s="975"/>
      <c r="Y99" s="61"/>
      <c r="Z99" s="972">
        <f>Z100-SUM(Z96:Z98)</f>
        <v>57.5</v>
      </c>
      <c r="AA99" s="974">
        <f>(Z99/Z92-1)*100</f>
        <v>9.1081593927893714</v>
      </c>
      <c r="AB99" s="975">
        <f>Z99/$AR99*100</f>
        <v>5.5734606344052153</v>
      </c>
      <c r="AC99" s="61"/>
      <c r="AD99" s="972">
        <f>AD100-SUM(AD96:AD98)</f>
        <v>14.5</v>
      </c>
      <c r="AE99" s="974">
        <f>(AD99/AD92-1)*100</f>
        <v>13.281250000000021</v>
      </c>
      <c r="AF99" s="975">
        <f>AD99/$AR99*100</f>
        <v>1.4054813773717498</v>
      </c>
      <c r="AG99" s="61"/>
      <c r="AH99" s="972">
        <f>AH100-SUM(AH96:AH98)</f>
        <v>47.80000000000004</v>
      </c>
      <c r="AI99" s="974">
        <f>(AH99/AH92-1)*100</f>
        <v>-10.150375939849532</v>
      </c>
      <c r="AJ99" s="975">
        <f>AH99/$AR99*100</f>
        <v>4.6332420578185998</v>
      </c>
      <c r="AK99" s="61"/>
      <c r="AL99" s="995">
        <f>ROUND((AH99+AD99+Z99+L99),1)</f>
        <v>428.4</v>
      </c>
      <c r="AM99" s="974">
        <f>(AL99/AL92-1)*100</f>
        <v>7.0999999999999952</v>
      </c>
      <c r="AN99" s="975">
        <f>AL99/$AR99*100</f>
        <v>41.524704970072939</v>
      </c>
      <c r="AO99" s="976" t="str">
        <f>IF(AP99=AL99," ","no")</f>
        <v xml:space="preserve"> </v>
      </c>
      <c r="AP99" s="978">
        <f>ROUND('qtrP&amp;L'!BP33,1)</f>
        <v>428.4</v>
      </c>
      <c r="AR99" s="144">
        <f>'qtrP&amp;L'!BP13</f>
        <v>1031.675</v>
      </c>
    </row>
    <row r="100" spans="1:44" ht="10.5" hidden="1" customHeight="1" outlineLevel="1">
      <c r="A100" s="956"/>
      <c r="B100" s="61" t="s">
        <v>461</v>
      </c>
      <c r="C100" s="61"/>
      <c r="D100" s="981">
        <f>'yrP&amp;L'!R48</f>
        <v>125.10599999999999</v>
      </c>
      <c r="E100" s="61"/>
      <c r="F100" s="979">
        <f>SUM(F96:F99)</f>
        <v>206.90500000000003</v>
      </c>
      <c r="G100" s="974">
        <f>(F100/F93-1)*100</f>
        <v>14.079583611311763</v>
      </c>
      <c r="H100" s="979">
        <f>L100-F100</f>
        <v>976.59500000000003</v>
      </c>
      <c r="I100" s="974">
        <f>(H100/H93-1)*100</f>
        <v>12.155484174006137</v>
      </c>
      <c r="J100" s="983">
        <f>L100-F100-D100</f>
        <v>851.48900000000003</v>
      </c>
      <c r="K100" s="974">
        <f>(J100/J93-1)*100</f>
        <v>14.446369456201392</v>
      </c>
      <c r="L100" s="969">
        <v>1183.5</v>
      </c>
      <c r="M100" s="974">
        <f>(L100/L93-1)*100</f>
        <v>12.487168764019319</v>
      </c>
      <c r="N100" s="975">
        <f>L100/$AR100*100</f>
        <v>28.459733264847216</v>
      </c>
      <c r="O100" s="975"/>
      <c r="P100" s="359">
        <f>yrSales!R85</f>
        <v>1.9337755000000001</v>
      </c>
      <c r="Q100" s="982">
        <f>AVERAGE(yrSales!R61,yrSales!Q61)</f>
        <v>694</v>
      </c>
      <c r="R100" s="178">
        <f>'yrP&amp;L'!R18</f>
        <v>206.90500000000003</v>
      </c>
      <c r="S100" s="2">
        <f>R100/L100</f>
        <v>0.17482467258132661</v>
      </c>
      <c r="T100" s="178">
        <f>L100/AVERAGE(yrSales!R61,yrSales!Q61)</f>
        <v>1.7053314121037464</v>
      </c>
      <c r="U100" s="178">
        <f>(L100-'yrP&amp;L'!R18)/Q100</f>
        <v>1.4071974063400576</v>
      </c>
      <c r="V100" s="178">
        <f>J100/Q100</f>
        <v>1.2269293948126803</v>
      </c>
      <c r="W100" s="984">
        <f>J100/P100</f>
        <v>440.32463954580044</v>
      </c>
      <c r="X100" s="974">
        <f>(W100/W93-1)*100</f>
        <v>5.1846657603435542</v>
      </c>
      <c r="Y100" s="61"/>
      <c r="Z100" s="969">
        <v>224.4</v>
      </c>
      <c r="AA100" s="974">
        <f>(Z100/Z93-1)*100</f>
        <v>25.083612040133787</v>
      </c>
      <c r="AB100" s="975">
        <f>Z100/$AR100*100</f>
        <v>5.3961674225869993</v>
      </c>
      <c r="AC100" s="61"/>
      <c r="AD100" s="969">
        <v>58.2</v>
      </c>
      <c r="AE100" s="974">
        <f>(AD100/AD93-1)*100</f>
        <v>21.250000000000014</v>
      </c>
      <c r="AF100" s="975">
        <f>AD100/$AR100*100</f>
        <v>1.3995407486388742</v>
      </c>
      <c r="AG100" s="61"/>
      <c r="AH100" s="969">
        <f>252.4-25.7</f>
        <v>226.70000000000002</v>
      </c>
      <c r="AI100" s="974">
        <f>(AH100/AH93-1)*100</f>
        <v>11.127450980392162</v>
      </c>
      <c r="AJ100" s="975">
        <f>AH100/$AR100*100</f>
        <v>5.4514757339593265</v>
      </c>
      <c r="AK100" s="61"/>
      <c r="AL100" s="966">
        <f>ROUND((AH100+AD100+Z100+L100),1)</f>
        <v>1692.8</v>
      </c>
      <c r="AM100" s="974">
        <f>(AL100/AL93-1)*100</f>
        <v>14.108527131782944</v>
      </c>
      <c r="AN100" s="975">
        <f>AL100/$AR100*100</f>
        <v>40.706917170032412</v>
      </c>
      <c r="AO100" s="976"/>
      <c r="AP100" s="978">
        <f>ROUND('qtrP&amp;L'!BP34,1)</f>
        <v>1692.9</v>
      </c>
      <c r="AR100" s="144">
        <f>'qtrP&amp;L'!BP14</f>
        <v>4158.5070000000005</v>
      </c>
    </row>
    <row r="101" spans="1:44" ht="10.5" customHeight="1" collapsed="1">
      <c r="A101" s="956"/>
      <c r="D101" s="980"/>
      <c r="F101" s="61"/>
      <c r="G101" s="61"/>
      <c r="H101" s="61"/>
      <c r="I101" s="61"/>
      <c r="J101" s="61"/>
      <c r="K101" s="61"/>
      <c r="L101" s="999"/>
      <c r="M101" s="974"/>
      <c r="N101" s="1000"/>
      <c r="O101" s="1000"/>
      <c r="P101" s="1001"/>
      <c r="Q101" s="982"/>
      <c r="R101" s="178"/>
      <c r="S101" s="178"/>
      <c r="T101" s="1002"/>
      <c r="U101" s="1002"/>
      <c r="V101" s="1002"/>
      <c r="W101" s="1002"/>
      <c r="X101" s="1000"/>
      <c r="Y101" s="61"/>
      <c r="Z101" s="999"/>
      <c r="AA101" s="974"/>
      <c r="AB101" s="1000"/>
      <c r="AC101" s="61"/>
      <c r="AO101" s="976"/>
      <c r="AP101" s="978"/>
      <c r="AR101" s="144"/>
    </row>
    <row r="102" spans="1:44" ht="10.5" customHeight="1">
      <c r="A102" s="956"/>
      <c r="B102" s="965">
        <f>CoachNAqtrSalesOld!B130</f>
        <v>2012</v>
      </c>
      <c r="C102" s="965"/>
      <c r="D102" s="986"/>
      <c r="E102" s="965"/>
      <c r="F102" s="61"/>
      <c r="G102" s="61"/>
      <c r="H102" s="61"/>
      <c r="I102" s="61"/>
      <c r="J102" s="61"/>
      <c r="K102" s="61"/>
      <c r="L102" s="61"/>
      <c r="M102" s="61"/>
      <c r="N102" s="61"/>
      <c r="O102" s="61"/>
      <c r="P102" s="987"/>
      <c r="Q102" s="982"/>
      <c r="R102" s="178"/>
      <c r="S102" s="178"/>
      <c r="T102" s="985"/>
      <c r="U102" s="985"/>
      <c r="V102" s="985"/>
      <c r="W102" s="985"/>
      <c r="X102" s="61"/>
      <c r="Y102" s="61"/>
      <c r="Z102" s="61"/>
      <c r="AA102" s="61"/>
      <c r="AB102" s="61"/>
      <c r="AC102" s="61"/>
      <c r="AD102" s="61"/>
      <c r="AE102" s="61"/>
      <c r="AF102" s="61"/>
      <c r="AG102" s="61"/>
      <c r="AH102" s="61"/>
      <c r="AI102" s="61"/>
      <c r="AJ102" s="61"/>
      <c r="AK102" s="61"/>
      <c r="AM102" s="61"/>
      <c r="AN102" s="61"/>
      <c r="AO102" s="976"/>
      <c r="AP102" s="978"/>
      <c r="AR102" s="144"/>
    </row>
    <row r="103" spans="1:44" ht="10.5" customHeight="1">
      <c r="A103" s="956" t="s">
        <v>457</v>
      </c>
      <c r="B103" s="3" t="s">
        <v>63</v>
      </c>
      <c r="D103" s="980">
        <f>D107/4</f>
        <v>33.227249999999998</v>
      </c>
      <c r="F103" s="979">
        <f>R107/4</f>
        <v>62.039000000000001</v>
      </c>
      <c r="G103" s="974">
        <f>(F103/F96-1)*100</f>
        <v>19.937169232256323</v>
      </c>
      <c r="H103" s="979">
        <f>L103-F103</f>
        <v>241.46100000000001</v>
      </c>
      <c r="I103" s="974">
        <f>(H103/H96-1)*100</f>
        <v>11.081029793155794</v>
      </c>
      <c r="J103" s="981">
        <f>L103-F103-D103</f>
        <v>208.23375000000001</v>
      </c>
      <c r="K103" s="974">
        <f>(J103/J96-1)*100</f>
        <v>11.895124726453489</v>
      </c>
      <c r="L103" s="992">
        <v>303.5</v>
      </c>
      <c r="M103" s="974">
        <f>(L103/L96-1)*100</f>
        <v>12.783351913786678</v>
      </c>
      <c r="N103" s="975">
        <f>L103/$AR103*100</f>
        <v>28.894882606803961</v>
      </c>
      <c r="O103" s="975"/>
      <c r="P103" s="359"/>
      <c r="Q103" s="982">
        <f>AVERAGE(CoachNAqtrSalesOld!L127,CoachNAqtrSalesOld!L131)</f>
        <v>734</v>
      </c>
      <c r="R103" s="178"/>
      <c r="S103" s="178"/>
      <c r="T103" s="178">
        <f>L103/Q103</f>
        <v>0.41348773841961856</v>
      </c>
      <c r="U103" s="178"/>
      <c r="V103" s="178"/>
      <c r="W103" s="178"/>
      <c r="X103" s="975"/>
      <c r="Y103" s="61"/>
      <c r="Z103" s="992">
        <v>57.8</v>
      </c>
      <c r="AA103" s="974">
        <f>(Z103/Z96-1)*100</f>
        <v>13.33333333333333</v>
      </c>
      <c r="AB103" s="975">
        <f>Z103/$AR103*100</f>
        <v>5.502880443734</v>
      </c>
      <c r="AC103" s="61"/>
      <c r="AD103" s="992">
        <v>15.4</v>
      </c>
      <c r="AE103" s="974">
        <f>(AD103/AD96-1)*100</f>
        <v>19.379844961240302</v>
      </c>
      <c r="AF103" s="975">
        <f>AD103/$AR103*100</f>
        <v>1.466165377742277</v>
      </c>
      <c r="AG103" s="61"/>
      <c r="AH103" s="992">
        <v>66</v>
      </c>
      <c r="AI103" s="974">
        <f>(AH103/AH96-1)*100</f>
        <v>14.782608695652177</v>
      </c>
      <c r="AJ103" s="975">
        <f>AH103/$AR103*100</f>
        <v>6.2835659046097572</v>
      </c>
      <c r="AK103" s="61"/>
      <c r="AL103" s="970">
        <f>ROUND((AH103+AD103+Z103+L103),1)</f>
        <v>442.7</v>
      </c>
      <c r="AM103" s="974">
        <f>(AL103/AL96-1)*100</f>
        <v>13.367477592829701</v>
      </c>
      <c r="AN103" s="975">
        <f>AL103/$AR103*100</f>
        <v>42.147494332889998</v>
      </c>
      <c r="AO103" s="976"/>
      <c r="AP103" s="978">
        <f>ROUND('qtrP&amp;L'!BT30,1)</f>
        <v>442.7</v>
      </c>
      <c r="AR103" s="144">
        <f>'qtrP&amp;L'!BT10</f>
        <v>1050.3589999999999</v>
      </c>
    </row>
    <row r="104" spans="1:44" ht="10.5" customHeight="1">
      <c r="A104" s="956" t="s">
        <v>458</v>
      </c>
      <c r="B104" s="3" t="s">
        <v>167</v>
      </c>
      <c r="D104" s="980">
        <f>D107/4</f>
        <v>33.227249999999998</v>
      </c>
      <c r="F104" s="718">
        <f>R107/4</f>
        <v>62.039000000000001</v>
      </c>
      <c r="G104" s="974">
        <f>(F104/F97-1)*100</f>
        <v>19.937169232256323</v>
      </c>
      <c r="H104" s="718">
        <f>L104-F104</f>
        <v>308.96100000000001</v>
      </c>
      <c r="I104" s="974">
        <f>(H104/H97-1)*100</f>
        <v>12.770292774399007</v>
      </c>
      <c r="J104" s="981">
        <f>L104-F104-D104</f>
        <v>275.73374999999999</v>
      </c>
      <c r="K104" s="974">
        <f>(J104/J97-1)*100</f>
        <v>13.612226755762569</v>
      </c>
      <c r="L104" s="148">
        <f>371</f>
        <v>371</v>
      </c>
      <c r="M104" s="974">
        <f>(L104/L97-1)*100</f>
        <v>13.908504758980666</v>
      </c>
      <c r="N104" s="975">
        <f>L104/$AR104*100</f>
        <v>25.610068415468483</v>
      </c>
      <c r="O104" s="975"/>
      <c r="P104" s="359"/>
      <c r="Q104" s="982">
        <f>AVERAGE(CoachNAqtrSalesOld!L128,CoachNAqtrSalesOld!L132)</f>
        <v>770</v>
      </c>
      <c r="R104" s="178"/>
      <c r="S104" s="178"/>
      <c r="T104" s="359">
        <f>L104/Q104</f>
        <v>0.48181818181818181</v>
      </c>
      <c r="U104" s="178"/>
      <c r="V104" s="178"/>
      <c r="W104" s="178"/>
      <c r="X104" s="975"/>
      <c r="Y104" s="61"/>
      <c r="Z104" s="148">
        <v>69.599999999999994</v>
      </c>
      <c r="AA104" s="974">
        <f>(Z104/Z97-1)*100</f>
        <v>16.387959866220726</v>
      </c>
      <c r="AB104" s="975">
        <f>Z104/$AR104*100</f>
        <v>4.8044764466754888</v>
      </c>
      <c r="AC104" s="61"/>
      <c r="AD104" s="148">
        <v>18.5</v>
      </c>
      <c r="AE104" s="974">
        <f>(AD104/AD97-1)*100</f>
        <v>14.197530864197528</v>
      </c>
      <c r="AF104" s="975">
        <f>AD104/$AR104*100</f>
        <v>1.2770519290732263</v>
      </c>
      <c r="AG104" s="61"/>
      <c r="AH104" s="148">
        <f>85.2-20.27</f>
        <v>64.930000000000007</v>
      </c>
      <c r="AI104" s="974">
        <f>(AH104/AH97-1)*100</f>
        <v>8.0366056572379385</v>
      </c>
      <c r="AJ104" s="975">
        <f>AH104/$AR104*100</f>
        <v>4.4821071218770046</v>
      </c>
      <c r="AK104" s="61"/>
      <c r="AL104" s="1003">
        <f>ROUND((AH104+AD104+Z104+L104),1)</f>
        <v>524</v>
      </c>
      <c r="AM104" s="974">
        <f>(AL104/AL97-1)*100</f>
        <v>13.469034213945431</v>
      </c>
      <c r="AN104" s="975">
        <f>AL104/$AR104*100</f>
        <v>36.171633018074083</v>
      </c>
      <c r="AO104" s="976"/>
      <c r="AP104" s="978">
        <f>ROUND('qtrP&amp;L'!BT31,1)</f>
        <v>524</v>
      </c>
      <c r="AR104" s="144">
        <f>'qtrP&amp;L'!BT11</f>
        <v>1448.6489999999999</v>
      </c>
    </row>
    <row r="105" spans="1:44" ht="10.5" customHeight="1">
      <c r="A105" s="956" t="s">
        <v>459</v>
      </c>
      <c r="B105" s="3" t="s">
        <v>166</v>
      </c>
      <c r="D105" s="980">
        <f>D107/4</f>
        <v>33.227249999999998</v>
      </c>
      <c r="F105" s="718">
        <f>R107/4</f>
        <v>62.039000000000001</v>
      </c>
      <c r="G105" s="974">
        <f>(F105/F98-1)*100</f>
        <v>19.937169232256323</v>
      </c>
      <c r="H105" s="718">
        <f>L105-F105</f>
        <v>266.161</v>
      </c>
      <c r="I105" s="974">
        <f>(H105/H98-1)*100</f>
        <v>16.546231780141095</v>
      </c>
      <c r="J105" s="981">
        <f>L105-F105-D105</f>
        <v>232.93375</v>
      </c>
      <c r="K105" s="974">
        <f>(J105/J98-1)*100</f>
        <v>18.182141049659471</v>
      </c>
      <c r="L105" s="136">
        <v>328.2</v>
      </c>
      <c r="M105" s="974">
        <f>(L105/L98-1)*100</f>
        <v>17.172438414851833</v>
      </c>
      <c r="N105" s="975">
        <f>L105/$AR105*100</f>
        <v>29.594736068516951</v>
      </c>
      <c r="O105" s="975"/>
      <c r="P105" s="359"/>
      <c r="Q105" s="982">
        <f>AVERAGE(CoachNAqtrSalesOld!L129,CoachNAqtrSalesOld!L133)</f>
        <v>806</v>
      </c>
      <c r="R105" s="178"/>
      <c r="S105" s="178"/>
      <c r="T105" s="359">
        <f>L105/Q105</f>
        <v>0.40719602977667491</v>
      </c>
      <c r="U105" s="178"/>
      <c r="V105" s="178"/>
      <c r="W105" s="178"/>
      <c r="X105" s="975"/>
      <c r="Y105" s="61"/>
      <c r="Z105" s="136">
        <v>58.8</v>
      </c>
      <c r="AA105" s="974">
        <f>(Z105/Z98-1)*100</f>
        <v>4.8128342245989275</v>
      </c>
      <c r="AB105" s="975">
        <f>Z105/$AR105*100</f>
        <v>5.302164780099929</v>
      </c>
      <c r="AC105" s="61"/>
      <c r="AD105" s="136">
        <v>17</v>
      </c>
      <c r="AE105" s="974">
        <f>(AD105/AD98-1)*100</f>
        <v>16.43835616438356</v>
      </c>
      <c r="AF105" s="975">
        <f>AD105/$AR105*100</f>
        <v>1.5329387969676667</v>
      </c>
      <c r="AG105" s="61"/>
      <c r="AH105" s="136">
        <v>76.5</v>
      </c>
      <c r="AI105" s="974">
        <f>(AH105/AH98-1)*100</f>
        <v>24.796084828711251</v>
      </c>
      <c r="AJ105" s="975">
        <f>AH105/$AR105*100</f>
        <v>6.8982245863545</v>
      </c>
      <c r="AK105" s="61"/>
      <c r="AL105" s="994">
        <f>ROUND((AH105+AD105+Z105+L105),1)</f>
        <v>480.5</v>
      </c>
      <c r="AM105" s="974">
        <f>(AL105/AL98-1)*100</f>
        <v>16.597913127881569</v>
      </c>
      <c r="AN105" s="975">
        <f>AL105/$AR105*100</f>
        <v>43.328064231939052</v>
      </c>
      <c r="AO105" s="976" t="str">
        <f>IF(AP105=AL105," ","no")</f>
        <v>no</v>
      </c>
      <c r="AP105" s="978">
        <f>ROUND('qtrP&amp;L'!BT32,1)</f>
        <v>480.6</v>
      </c>
      <c r="AR105" s="144">
        <f>'qtrP&amp;L'!BT12</f>
        <v>1108.981</v>
      </c>
    </row>
    <row r="106" spans="1:44" ht="10.5" customHeight="1">
      <c r="A106" s="956" t="s">
        <v>460</v>
      </c>
      <c r="B106" s="3" t="s">
        <v>62</v>
      </c>
      <c r="D106" s="980">
        <f>D107/4</f>
        <v>33.227249999999998</v>
      </c>
      <c r="F106" s="718">
        <f>R107/4</f>
        <v>62.039000000000001</v>
      </c>
      <c r="G106" s="974">
        <f>(F106/F99-1)*100</f>
        <v>19.937169232256323</v>
      </c>
      <c r="H106" s="718">
        <f>L106-F106</f>
        <v>295.26099999999997</v>
      </c>
      <c r="I106" s="974">
        <f>(H106/H99-1)*100</f>
        <v>14.944014326103749</v>
      </c>
      <c r="J106" s="981">
        <f>L106-F106-D106</f>
        <v>262.03374999999994</v>
      </c>
      <c r="K106" s="974">
        <f>(J106/J99-1)*100</f>
        <v>16.15112772872893</v>
      </c>
      <c r="L106" s="972">
        <f>L107-SUM(L103:L105)</f>
        <v>357.29999999999995</v>
      </c>
      <c r="M106" s="974">
        <f>(L106/L99-1)*100</f>
        <v>15.780946208684355</v>
      </c>
      <c r="N106" s="975">
        <f>L106/$AR106*100</f>
        <v>30.929950112145953</v>
      </c>
      <c r="O106" s="975"/>
      <c r="P106" s="359"/>
      <c r="Q106" s="982">
        <f>AVERAGE(CoachNAqtrSalesOld!L130,CoachNAqtrSalesOld!L134)</f>
        <v>832</v>
      </c>
      <c r="R106" s="178"/>
      <c r="S106" s="178"/>
      <c r="T106" s="359">
        <f>L106/Q106</f>
        <v>0.42944711538461533</v>
      </c>
      <c r="U106" s="178"/>
      <c r="V106" s="178"/>
      <c r="W106" s="178"/>
      <c r="X106" s="975"/>
      <c r="Y106" s="61"/>
      <c r="Z106" s="972">
        <f>Z107-SUM(Z103:Z105)</f>
        <v>59</v>
      </c>
      <c r="AA106" s="974">
        <f>(Z106/Z99-1)*100</f>
        <v>2.6086956521739202</v>
      </c>
      <c r="AB106" s="975">
        <f>Z106/$AR106*100</f>
        <v>5.1073805111016268</v>
      </c>
      <c r="AC106" s="61"/>
      <c r="AD106" s="972">
        <f>AD107-SUM(AD103:AD105)</f>
        <v>18.000000000000007</v>
      </c>
      <c r="AE106" s="974">
        <f>(AD106/AD99-1)*100</f>
        <v>24.137931034482808</v>
      </c>
      <c r="AF106" s="975">
        <f>AD106/$AR106*100</f>
        <v>1.55818388474287</v>
      </c>
      <c r="AG106" s="61"/>
      <c r="AH106" s="972">
        <f>AH107-SUM(AH103:AH105)</f>
        <v>74.769999999999982</v>
      </c>
      <c r="AI106" s="974">
        <f>(AH106/AH99-1)*100</f>
        <v>56.42259414225925</v>
      </c>
      <c r="AJ106" s="975">
        <f>AH106/$AR106*100</f>
        <v>6.472522725679128</v>
      </c>
      <c r="AK106" s="61"/>
      <c r="AL106" s="995">
        <f>ROUND((AH106+AD106+Z106+L106),1)</f>
        <v>509.1</v>
      </c>
      <c r="AM106" s="974">
        <f>(AL106/AL99-1)*100</f>
        <v>18.837535014005624</v>
      </c>
      <c r="AN106" s="975">
        <f>AL106/$AR106*100</f>
        <v>44.070634206810823</v>
      </c>
      <c r="AO106" s="976"/>
      <c r="AP106" s="978">
        <f>ROUND('qtrP&amp;L'!BT33,1)</f>
        <v>467.6</v>
      </c>
      <c r="AR106" s="144">
        <f>'qtrP&amp;L'!BT13</f>
        <v>1155.191</v>
      </c>
    </row>
    <row r="107" spans="1:44" ht="10.5" customHeight="1">
      <c r="A107" s="956"/>
      <c r="B107" s="61" t="s">
        <v>461</v>
      </c>
      <c r="C107" s="61"/>
      <c r="D107" s="981">
        <f>'yrP&amp;L'!S48</f>
        <v>132.90899999999999</v>
      </c>
      <c r="E107" s="61"/>
      <c r="F107" s="979">
        <f>SUM(F103:F106)</f>
        <v>248.15600000000001</v>
      </c>
      <c r="G107" s="974">
        <f>(F107/F100-1)*100</f>
        <v>19.937169232256323</v>
      </c>
      <c r="H107" s="979">
        <f>L107-F107</f>
        <v>1111.8440000000001</v>
      </c>
      <c r="I107" s="974">
        <f>(H107/H100-1)*100</f>
        <v>13.849036704058481</v>
      </c>
      <c r="J107" s="983">
        <f>L107-F107-D107</f>
        <v>978.93500000000006</v>
      </c>
      <c r="K107" s="974">
        <f>(J107/J100-1)*100</f>
        <v>14.967427647333075</v>
      </c>
      <c r="L107" s="969">
        <v>1360</v>
      </c>
      <c r="M107" s="974">
        <f>(L107/L100-1)*100</f>
        <v>14.913392479932398</v>
      </c>
      <c r="N107" s="975">
        <f>L107/$AR107*100</f>
        <v>28.552353679684582</v>
      </c>
      <c r="O107" s="975"/>
      <c r="P107" s="359">
        <f>yrSales!S85</f>
        <v>2.2155199999999997</v>
      </c>
      <c r="Q107" s="982">
        <f>AVERAGE(yrSales!S61,yrSales!R61)</f>
        <v>777.5</v>
      </c>
      <c r="R107" s="178">
        <f>'yrP&amp;L'!S18</f>
        <v>248.15600000000001</v>
      </c>
      <c r="S107" s="2">
        <f>R107/L107</f>
        <v>0.18246764705882354</v>
      </c>
      <c r="T107" s="178">
        <f>L107/AVERAGE(yrSales!S61,yrSales!R61)</f>
        <v>1.7491961414790997</v>
      </c>
      <c r="U107" s="178">
        <f>(L107-'yrP&amp;L'!S18)/Q107</f>
        <v>1.4300244372990354</v>
      </c>
      <c r="V107" s="178">
        <f>J107/Q107</f>
        <v>1.25908038585209</v>
      </c>
      <c r="W107" s="984">
        <f>J107/P107</f>
        <v>441.85337979345712</v>
      </c>
      <c r="X107" s="974">
        <f>(W107/W100-1)*100</f>
        <v>0.34718480647224492</v>
      </c>
      <c r="Y107" s="61"/>
      <c r="Z107" s="969">
        <v>245.2</v>
      </c>
      <c r="AA107" s="974">
        <f>(Z107/Z100-1)*100</f>
        <v>9.2691622103386671</v>
      </c>
      <c r="AB107" s="975">
        <f>Z107/$AR107*100</f>
        <v>5.1478214134254854</v>
      </c>
      <c r="AC107" s="61"/>
      <c r="AD107" s="969">
        <v>68.900000000000006</v>
      </c>
      <c r="AE107" s="974">
        <f>(AD107/AD100-1)*100</f>
        <v>18.384879725085913</v>
      </c>
      <c r="AF107" s="975">
        <f>AD107/$AR107*100</f>
        <v>1.4465126239193149</v>
      </c>
      <c r="AG107" s="61"/>
      <c r="AH107" s="969">
        <v>282.2</v>
      </c>
      <c r="AI107" s="974">
        <f>(AH107/AH100-1)*100</f>
        <v>24.481693868548724</v>
      </c>
      <c r="AJ107" s="975">
        <f>AH107/$AR107*100</f>
        <v>5.9246133885345511</v>
      </c>
      <c r="AK107" s="61"/>
      <c r="AL107" s="90">
        <f>SUM(AL103:AL106)</f>
        <v>1956.3000000000002</v>
      </c>
      <c r="AM107" s="974">
        <f>(AL107/AL100-1)*100</f>
        <v>15.565926275992448</v>
      </c>
      <c r="AN107" s="975">
        <f>AL107/$AR107*100</f>
        <v>41.07130110556394</v>
      </c>
      <c r="AO107" s="976"/>
      <c r="AP107" s="978">
        <f>ROUND('qtrP&amp;L'!BT34,1)</f>
        <v>1914.9</v>
      </c>
      <c r="AR107" s="144">
        <f>'qtrP&amp;L'!BT14</f>
        <v>4763.1799999999994</v>
      </c>
    </row>
    <row r="108" spans="1:44" ht="10.5" customHeight="1">
      <c r="A108" s="956"/>
      <c r="D108" s="980"/>
      <c r="F108" s="61"/>
      <c r="G108" s="61"/>
      <c r="H108" s="61"/>
      <c r="I108" s="61"/>
      <c r="J108" s="61"/>
      <c r="K108" s="61"/>
      <c r="L108" s="136"/>
      <c r="M108" s="974"/>
      <c r="N108" s="975"/>
      <c r="O108" s="975"/>
      <c r="P108" s="359"/>
      <c r="Q108" s="982"/>
      <c r="R108" s="178"/>
      <c r="S108" s="178"/>
      <c r="T108" s="178"/>
      <c r="U108" s="178"/>
      <c r="V108" s="178"/>
      <c r="W108" s="178"/>
      <c r="X108" s="975"/>
      <c r="Y108" s="61"/>
      <c r="Z108" s="136"/>
      <c r="AA108" s="974"/>
      <c r="AB108" s="975"/>
      <c r="AC108" s="61"/>
      <c r="AD108" s="136"/>
      <c r="AE108" s="974"/>
      <c r="AF108" s="975"/>
      <c r="AG108" s="61"/>
      <c r="AH108" s="136"/>
      <c r="AI108" s="974"/>
      <c r="AJ108" s="975"/>
      <c r="AK108" s="61"/>
      <c r="AL108" s="994"/>
      <c r="AM108" s="974"/>
      <c r="AN108" s="975"/>
      <c r="AO108" s="976"/>
      <c r="AP108" s="978"/>
      <c r="AR108" s="144"/>
    </row>
    <row r="109" spans="1:44" ht="10.5" customHeight="1">
      <c r="A109" s="956"/>
      <c r="B109" s="965">
        <v>2013</v>
      </c>
      <c r="C109" s="997"/>
      <c r="D109" s="998"/>
      <c r="E109" s="997"/>
      <c r="F109" s="61"/>
      <c r="G109" s="61"/>
      <c r="H109" s="61"/>
      <c r="I109" s="61"/>
      <c r="J109" s="61"/>
      <c r="K109" s="61"/>
      <c r="L109" s="61"/>
      <c r="M109" s="61"/>
      <c r="N109" s="61"/>
      <c r="O109" s="61"/>
      <c r="P109" s="987"/>
      <c r="Q109" s="982"/>
      <c r="R109" s="178"/>
      <c r="S109" s="178"/>
      <c r="T109" s="985"/>
      <c r="U109" s="985"/>
      <c r="V109" s="985"/>
      <c r="W109" s="985"/>
      <c r="X109" s="61"/>
      <c r="Y109" s="61"/>
      <c r="Z109" s="61"/>
      <c r="AA109" s="61"/>
      <c r="AB109" s="61"/>
      <c r="AC109" s="61"/>
      <c r="AD109" s="61"/>
      <c r="AE109" s="61"/>
      <c r="AF109" s="61"/>
      <c r="AG109" s="61"/>
      <c r="AH109" s="61"/>
      <c r="AI109" s="61"/>
      <c r="AJ109" s="61"/>
      <c r="AK109" s="61"/>
      <c r="AM109" s="61"/>
      <c r="AN109" s="61"/>
      <c r="AO109" s="976"/>
      <c r="AP109" s="978"/>
      <c r="AR109" s="144"/>
    </row>
    <row r="110" spans="1:44" ht="10.5" customHeight="1">
      <c r="A110" s="956" t="s">
        <v>457</v>
      </c>
      <c r="B110" s="3" t="s">
        <v>63</v>
      </c>
      <c r="D110" s="980">
        <f>D114/4</f>
        <v>40.746749999999999</v>
      </c>
      <c r="F110" s="979">
        <f>R114/4</f>
        <v>70.576250000000002</v>
      </c>
      <c r="G110" s="974">
        <f>(F110/F103-1)*100</f>
        <v>13.761101887522376</v>
      </c>
      <c r="H110" s="979">
        <f>L110-F110</f>
        <v>279.52374999999995</v>
      </c>
      <c r="I110" s="974">
        <f>(H110/H103-1)*100</f>
        <v>15.763518746298555</v>
      </c>
      <c r="J110" s="981">
        <f>L110-F110-D110</f>
        <v>238.77699999999996</v>
      </c>
      <c r="K110" s="974">
        <f>(J110/J103-1)*100</f>
        <v>14.667771194631008</v>
      </c>
      <c r="L110" s="992">
        <f>1130-L111-L112</f>
        <v>350.09999999999997</v>
      </c>
      <c r="M110" s="974">
        <f>(L110/L103-1)*100</f>
        <v>15.35420098846787</v>
      </c>
      <c r="N110" s="975">
        <f>L110/$AR110*100</f>
        <v>30.145950833082185</v>
      </c>
      <c r="O110" s="975"/>
      <c r="P110" s="359"/>
      <c r="Q110" s="982">
        <f>AVERAGE(CoachNAqtrSalesOld!L134,CoachNAqtrSalesOld!L138)</f>
        <v>872</v>
      </c>
      <c r="R110" s="178"/>
      <c r="S110" s="178"/>
      <c r="T110" s="178">
        <f>L110/Q110</f>
        <v>0.40149082568807337</v>
      </c>
      <c r="U110" s="178"/>
      <c r="V110" s="178"/>
      <c r="W110" s="178"/>
      <c r="X110" s="975"/>
      <c r="Y110" s="61"/>
      <c r="Z110" s="992">
        <f>200.9-Z111-Z112</f>
        <v>70.100000000000023</v>
      </c>
      <c r="AA110" s="974">
        <f>(Z110/Z103-1)*100</f>
        <v>21.280276816609046</v>
      </c>
      <c r="AB110" s="975">
        <f>Z110/$AR110*100</f>
        <v>6.0360787015111743</v>
      </c>
      <c r="AC110" s="61"/>
      <c r="AD110" s="992">
        <f>64.7-AD111-AD112</f>
        <v>19.600000000000005</v>
      </c>
      <c r="AE110" s="974">
        <f>(AD110/AD103-1)*100</f>
        <v>27.272727272727295</v>
      </c>
      <c r="AF110" s="975">
        <f>AD110/$AR110*100</f>
        <v>1.6876910492099717</v>
      </c>
      <c r="AG110" s="61"/>
      <c r="AH110" s="992">
        <f>205.4-AH111-AH112</f>
        <v>70.700000000000017</v>
      </c>
      <c r="AI110" s="974">
        <f>(AH110/AH103-1)*100</f>
        <v>7.1212121212121504</v>
      </c>
      <c r="AJ110" s="975">
        <f>AH110/$AR110*100</f>
        <v>6.0877427132216839</v>
      </c>
      <c r="AK110" s="61"/>
      <c r="AL110" s="970">
        <f>ROUND((AH110+AD110+Z110+L110),1)</f>
        <v>510.5</v>
      </c>
      <c r="AM110" s="974">
        <f>(AL110/AL103-1)*100</f>
        <v>15.315111813869443</v>
      </c>
      <c r="AN110" s="975">
        <f>AL110/$AR110*100</f>
        <v>43.957463297025015</v>
      </c>
      <c r="AO110" s="976"/>
      <c r="AP110" s="978">
        <f>ROUND('qtrP&amp;L'!BX30,1)</f>
        <v>513.5</v>
      </c>
      <c r="AR110" s="144">
        <f>'qtrP&amp;L'!BX10</f>
        <v>1161.3499999999999</v>
      </c>
    </row>
    <row r="111" spans="1:44" ht="10.5" customHeight="1">
      <c r="A111" s="956" t="s">
        <v>458</v>
      </c>
      <c r="B111" s="3" t="s">
        <v>167</v>
      </c>
      <c r="D111" s="980">
        <f>D114/4</f>
        <v>40.746749999999999</v>
      </c>
      <c r="F111" s="718">
        <f>R114/4</f>
        <v>70.576250000000002</v>
      </c>
      <c r="G111" s="974">
        <f>(F111/F104-1)*100</f>
        <v>13.761101887522376</v>
      </c>
      <c r="H111" s="718">
        <f>L111-F111</f>
        <v>346.52375000000001</v>
      </c>
      <c r="I111" s="974">
        <f>(H111/H104-1)*100</f>
        <v>12.15776424856212</v>
      </c>
      <c r="J111" s="981">
        <f>L111-F111-D111</f>
        <v>305.77699999999999</v>
      </c>
      <c r="K111" s="974">
        <f>(J111/J104-1)*100</f>
        <v>10.895746349512891</v>
      </c>
      <c r="L111" s="148">
        <v>417.1</v>
      </c>
      <c r="M111" s="974">
        <f>(L111/L104-1)*100</f>
        <v>12.425876010781668</v>
      </c>
      <c r="N111" s="975">
        <f>L111/$AR111*100</f>
        <v>27.736880674888653</v>
      </c>
      <c r="O111" s="975"/>
      <c r="P111" s="359"/>
      <c r="Q111" s="982">
        <f>AVERAGE(CoachNAqtrSalesOld!L135,CoachNAqtrSalesOld!L139)</f>
        <v>947</v>
      </c>
      <c r="R111" s="178"/>
      <c r="S111" s="178"/>
      <c r="T111" s="359">
        <f>L111/Q111</f>
        <v>0.44044350580781416</v>
      </c>
      <c r="U111" s="178"/>
      <c r="V111" s="178"/>
      <c r="W111" s="178"/>
      <c r="X111" s="975"/>
      <c r="Y111" s="61"/>
      <c r="Z111" s="148">
        <v>65.3</v>
      </c>
      <c r="AA111" s="974">
        <f>(Z111/Z104-1)*100</f>
        <v>-6.178160919540221</v>
      </c>
      <c r="AB111" s="975">
        <f>Z111/$AR111*100</f>
        <v>4.3424078352199196</v>
      </c>
      <c r="AC111" s="61"/>
      <c r="AD111" s="148">
        <v>24.3</v>
      </c>
      <c r="AE111" s="974">
        <f>(AD111/AD104-1)*100</f>
        <v>31.351351351351365</v>
      </c>
      <c r="AF111" s="975">
        <f>AD111/$AR111*100</f>
        <v>1.6159343092778569</v>
      </c>
      <c r="AG111" s="61"/>
      <c r="AH111" s="148">
        <v>52.1</v>
      </c>
      <c r="AI111" s="974">
        <f>(AH111/AH104-1)*100</f>
        <v>-19.759741259818277</v>
      </c>
      <c r="AJ111" s="975">
        <f>AH111/$AR111*100</f>
        <v>3.4646163585751588</v>
      </c>
      <c r="AK111" s="61"/>
      <c r="AL111" s="1003">
        <f>ROUND((AH111+AD111+Z111+L111),1)</f>
        <v>558.79999999999995</v>
      </c>
      <c r="AM111" s="974">
        <f>(AL111/AL104-1)*100</f>
        <v>6.6412213740457915</v>
      </c>
      <c r="AN111" s="975">
        <f>AL111/$AR111*100</f>
        <v>37.159839177961587</v>
      </c>
      <c r="AO111" s="976"/>
      <c r="AP111" s="978">
        <f>ROUND('qtrP&amp;L'!BX31,1)</f>
        <v>558.79999999999995</v>
      </c>
      <c r="AR111" s="144">
        <f>'qtrP&amp;L'!BX11</f>
        <v>1503.7739999999999</v>
      </c>
    </row>
    <row r="112" spans="1:44" ht="10.5" customHeight="1">
      <c r="A112" s="956" t="s">
        <v>459</v>
      </c>
      <c r="B112" s="3" t="s">
        <v>166</v>
      </c>
      <c r="D112" s="980">
        <f>D114/4</f>
        <v>40.746749999999999</v>
      </c>
      <c r="F112" s="718">
        <f>R114/4</f>
        <v>70.576250000000002</v>
      </c>
      <c r="G112" s="974">
        <f>(F112/F105-1)*100</f>
        <v>13.761101887522376</v>
      </c>
      <c r="H112" s="718">
        <f>L112-F112</f>
        <v>292.22375</v>
      </c>
      <c r="I112" s="974">
        <f>(H112/H105-1)*100</f>
        <v>9.7920995187123605</v>
      </c>
      <c r="J112" s="981">
        <f>L112-F112-D112</f>
        <v>251.477</v>
      </c>
      <c r="K112" s="974">
        <f>(J112/J105-1)*100</f>
        <v>7.9607399099529408</v>
      </c>
      <c r="L112" s="136">
        <v>362.8</v>
      </c>
      <c r="M112" s="974">
        <f>(L112/L105-1)*100</f>
        <v>10.542352224253504</v>
      </c>
      <c r="N112" s="975">
        <f>L112/$AR112*100</f>
        <v>30.549572322828482</v>
      </c>
      <c r="O112" s="975"/>
      <c r="P112" s="359"/>
      <c r="Q112" s="982">
        <f>AVERAGE(CoachNAqtrSalesOld!L136,CoachNAqtrSalesOld!L140)</f>
        <v>945</v>
      </c>
      <c r="R112" s="178"/>
      <c r="S112" s="178"/>
      <c r="T112" s="359">
        <f>L112/Q112</f>
        <v>0.38391534391534393</v>
      </c>
      <c r="U112" s="178"/>
      <c r="V112" s="178"/>
      <c r="W112" s="178"/>
      <c r="X112" s="975"/>
      <c r="Y112" s="61"/>
      <c r="Z112" s="136">
        <v>65.5</v>
      </c>
      <c r="AA112" s="974">
        <f>(Z112/Z105-1)*100</f>
        <v>11.394557823129258</v>
      </c>
      <c r="AB112" s="975">
        <f>Z112/$AR112*100</f>
        <v>5.5154271972030466</v>
      </c>
      <c r="AC112" s="61"/>
      <c r="AD112" s="136">
        <v>20.8</v>
      </c>
      <c r="AE112" s="974">
        <f>(AD112/AD105-1)*100</f>
        <v>22.352941176470598</v>
      </c>
      <c r="AF112" s="975">
        <f>AD112/$AR112*100</f>
        <v>1.7514639038446318</v>
      </c>
      <c r="AG112" s="61"/>
      <c r="AH112" s="136">
        <v>82.6</v>
      </c>
      <c r="AI112" s="974">
        <f>(AH112/AH105-1)*100</f>
        <v>7.9738562091503207</v>
      </c>
      <c r="AJ112" s="975">
        <f>AH112/$AR112*100</f>
        <v>6.955332618152239</v>
      </c>
      <c r="AK112" s="61"/>
      <c r="AL112" s="994">
        <f>ROUND((AH112+AD112+Z112+L112),1)</f>
        <v>531.70000000000005</v>
      </c>
      <c r="AM112" s="974">
        <f>(AL112/AL105-1)*100</f>
        <v>10.655567117585862</v>
      </c>
      <c r="AN112" s="975">
        <f>AL112/$AR112*100</f>
        <v>44.771796042028399</v>
      </c>
      <c r="AO112" s="976"/>
      <c r="AP112" s="978">
        <f>ROUND('qtrP&amp;L'!BX32,1)</f>
        <v>531.70000000000005</v>
      </c>
      <c r="AR112" s="144">
        <f>'qtrP&amp;L'!BX12</f>
        <v>1187.578</v>
      </c>
    </row>
    <row r="113" spans="1:48" ht="10.5" customHeight="1">
      <c r="A113" s="956" t="s">
        <v>460</v>
      </c>
      <c r="B113" s="3" t="s">
        <v>62</v>
      </c>
      <c r="D113" s="980">
        <f>D114/4</f>
        <v>40.746749999999999</v>
      </c>
      <c r="F113" s="718">
        <f>R114/4</f>
        <v>70.576250000000002</v>
      </c>
      <c r="G113" s="974">
        <f>(F113/F106-1)*100</f>
        <v>13.761101887522376</v>
      </c>
      <c r="H113" s="718">
        <f>L113-F113</f>
        <v>309.42374999999998</v>
      </c>
      <c r="I113" s="974">
        <f>(H113/H106-1)*100</f>
        <v>4.7966883536938676</v>
      </c>
      <c r="J113" s="981">
        <f>L113-F113-D113</f>
        <v>268.67699999999996</v>
      </c>
      <c r="K113" s="974">
        <f>(J113/J106-1)*100</f>
        <v>2.5352650183421144</v>
      </c>
      <c r="L113" s="972">
        <f>L114-SUM(L110:L112)</f>
        <v>380</v>
      </c>
      <c r="M113" s="974">
        <f>(L113/L106-1)*100</f>
        <v>6.3532045899804324</v>
      </c>
      <c r="N113" s="975">
        <f>L113/$AR113*100</f>
        <v>31.079065141720534</v>
      </c>
      <c r="O113" s="975"/>
      <c r="P113" s="359"/>
      <c r="Q113" s="982">
        <f>AVERAGE(CoachNAqtrSalesOld!L137,CoachNAqtrSalesOld!L141)</f>
        <v>960</v>
      </c>
      <c r="R113" s="178"/>
      <c r="S113" s="178"/>
      <c r="T113" s="359">
        <f>L113/Q113</f>
        <v>0.39583333333333331</v>
      </c>
      <c r="U113" s="178"/>
      <c r="V113" s="178"/>
      <c r="W113" s="178"/>
      <c r="X113" s="975"/>
      <c r="Y113" s="61"/>
      <c r="Z113" s="972">
        <f>Z114-SUM(Z110:Z112)</f>
        <v>64.499999999999943</v>
      </c>
      <c r="AA113" s="974">
        <f>(Z113/Z106-1)*100</f>
        <v>9.3220338983049942</v>
      </c>
      <c r="AB113" s="975">
        <f>Z113/$AR113*100</f>
        <v>5.2752623727394017</v>
      </c>
      <c r="AC113" s="61"/>
      <c r="AD113" s="972">
        <f>AD114-SUM(AD110:AD112)</f>
        <v>21.399999999999991</v>
      </c>
      <c r="AE113" s="974">
        <f>(AD113/AD106-1)*100</f>
        <v>18.8888888888888</v>
      </c>
      <c r="AF113" s="975">
        <f>AD113/$AR113*100</f>
        <v>1.7502420895600506</v>
      </c>
      <c r="AG113" s="61"/>
      <c r="AH113" s="972">
        <f>AH114-SUM(AH110:AH112)</f>
        <v>53.299999999999983</v>
      </c>
      <c r="AI113" s="974">
        <f>(AH113/AH106-1)*100</f>
        <v>-28.714725157148592</v>
      </c>
      <c r="AJ113" s="975">
        <f>AH113/$AR113*100</f>
        <v>4.359247821193958</v>
      </c>
      <c r="AK113" s="61"/>
      <c r="AL113" s="995">
        <f>ROUND((AH113+AD113+Z113+L113),1)</f>
        <v>519.20000000000005</v>
      </c>
      <c r="AM113" s="974">
        <f>(AL113/AL106-1)*100</f>
        <v>1.9838931447652808</v>
      </c>
      <c r="AN113" s="975">
        <f>AL113/$AR113*100</f>
        <v>42.463817425213954</v>
      </c>
      <c r="AO113" s="976"/>
      <c r="AP113" s="978">
        <f>ROUND('qtrP&amp;L'!BX33,1)</f>
        <v>521.29999999999995</v>
      </c>
      <c r="AR113" s="144">
        <f>'qtrP&amp;L'!BX13</f>
        <v>1222.6880000000001</v>
      </c>
    </row>
    <row r="114" spans="1:48" ht="10.5" customHeight="1">
      <c r="A114" s="61"/>
      <c r="B114" s="61" t="s">
        <v>461</v>
      </c>
      <c r="C114" s="61"/>
      <c r="D114" s="981">
        <f>'yrP&amp;L'!T48</f>
        <v>162.98699999999999</v>
      </c>
      <c r="E114" s="61"/>
      <c r="F114" s="979">
        <f>SUM(F110:F113)</f>
        <v>282.30500000000001</v>
      </c>
      <c r="G114" s="974">
        <f>(F114/F107-1)*100</f>
        <v>13.761101887522376</v>
      </c>
      <c r="H114" s="979">
        <f>L114-F114</f>
        <v>1227.6949999999999</v>
      </c>
      <c r="I114" s="974">
        <f>(H114/H107-1)*100</f>
        <v>10.419717154564845</v>
      </c>
      <c r="J114" s="983">
        <f>L114-F114-D114</f>
        <v>1064.7079999999999</v>
      </c>
      <c r="K114" s="974">
        <f>(J114/J107-1)*100</f>
        <v>8.7618687655462111</v>
      </c>
      <c r="L114" s="969">
        <v>1510</v>
      </c>
      <c r="M114" s="974">
        <f>(L114/L107-1)*100</f>
        <v>11.029411764705888</v>
      </c>
      <c r="N114" s="975">
        <f>L114/$AR114*100</f>
        <v>29.751408266162798</v>
      </c>
      <c r="O114" s="975"/>
      <c r="P114" s="359">
        <f>yrSales!T85</f>
        <v>2.5586924999999998</v>
      </c>
      <c r="Q114" s="982">
        <f>AVERAGE(yrSales!T61,yrSales!S61)</f>
        <v>892.5</v>
      </c>
      <c r="R114" s="178">
        <f>'yrP&amp;L'!T18</f>
        <v>282.30500000000001</v>
      </c>
      <c r="S114" s="2">
        <f>R114/L114</f>
        <v>0.1869569536423841</v>
      </c>
      <c r="T114" s="178">
        <f>L114/AVERAGE(yrSales!T61,yrSales!S61)</f>
        <v>1.6918767507002801</v>
      </c>
      <c r="U114" s="178">
        <f>(L114-'yrP&amp;L'!T18)/Q114</f>
        <v>1.3755686274509804</v>
      </c>
      <c r="V114" s="178">
        <f>J114/Q114</f>
        <v>1.1929501400560223</v>
      </c>
      <c r="W114" s="984">
        <f>J114/P114</f>
        <v>416.11408952033116</v>
      </c>
      <c r="X114" s="974">
        <f>(W114/W107-1)*100</f>
        <v>-5.8253012085497051</v>
      </c>
      <c r="Y114" s="61"/>
      <c r="Z114" s="969">
        <v>265.39999999999998</v>
      </c>
      <c r="AA114" s="974">
        <f>(Z114/Z107-1)*100</f>
        <v>8.2381729200652565</v>
      </c>
      <c r="AB114" s="975">
        <f>Z114/$AR114*100</f>
        <v>5.2291548038672895</v>
      </c>
      <c r="AC114" s="61"/>
      <c r="AD114" s="969">
        <v>86.1</v>
      </c>
      <c r="AE114" s="974">
        <f>(AD114/AD107-1)*100</f>
        <v>24.963715529753252</v>
      </c>
      <c r="AF114" s="975">
        <f>AD114/$AR114*100</f>
        <v>1.6964213587527266</v>
      </c>
      <c r="AG114" s="61"/>
      <c r="AH114" s="969">
        <v>258.7</v>
      </c>
      <c r="AI114" s="974">
        <f>(AH114/AH107-1)*100</f>
        <v>-8.3274273564847618</v>
      </c>
      <c r="AJ114" s="975">
        <f>AH114/$AR114*100</f>
        <v>5.0971452440108056</v>
      </c>
      <c r="AK114" s="61"/>
      <c r="AL114" s="90">
        <f>SUM(AL110:AL113)</f>
        <v>2120.1999999999998</v>
      </c>
      <c r="AM114" s="974">
        <f>(AL114/AL107-1)*100</f>
        <v>8.3780606246485423</v>
      </c>
      <c r="AN114" s="975">
        <f>AL114/$AR114*100</f>
        <v>41.77412967279362</v>
      </c>
      <c r="AO114" s="976"/>
      <c r="AP114" s="978">
        <f>ROUND('qtrP&amp;L'!BX34,1)</f>
        <v>2125.1999999999998</v>
      </c>
      <c r="AR114" s="144">
        <f>'qtrP&amp;L'!BX14</f>
        <v>5075.3899999999994</v>
      </c>
      <c r="AV114" s="3" t="s">
        <v>805</v>
      </c>
    </row>
    <row r="115" spans="1:48" ht="10.5" customHeight="1">
      <c r="A115" s="61"/>
      <c r="B115" s="61"/>
      <c r="C115" s="61"/>
      <c r="D115" s="981"/>
      <c r="E115" s="61"/>
      <c r="F115" s="61"/>
      <c r="G115" s="61"/>
      <c r="H115" s="61"/>
      <c r="I115" s="61"/>
      <c r="J115" s="61"/>
      <c r="K115" s="61"/>
      <c r="L115" s="61"/>
      <c r="M115" s="61"/>
      <c r="N115" s="316"/>
      <c r="O115" s="316"/>
      <c r="P115" s="987"/>
      <c r="Q115" s="982"/>
      <c r="R115" s="178"/>
      <c r="S115" s="178"/>
      <c r="T115" s="985"/>
      <c r="U115" s="985"/>
      <c r="V115" s="985"/>
      <c r="W115" s="985"/>
      <c r="X115" s="316"/>
      <c r="Y115" s="61"/>
      <c r="Z115" s="61"/>
      <c r="AA115" s="61"/>
      <c r="AB115" s="316"/>
      <c r="AC115" s="61"/>
      <c r="AD115" s="61"/>
      <c r="AE115" s="61"/>
      <c r="AF115" s="316"/>
      <c r="AG115" s="61"/>
      <c r="AH115" s="61"/>
      <c r="AI115" s="61"/>
      <c r="AJ115" s="316"/>
      <c r="AK115" s="61"/>
      <c r="AL115" s="61"/>
      <c r="AM115" s="61"/>
      <c r="AN115" s="61"/>
      <c r="AO115" s="976"/>
      <c r="AP115" s="978"/>
      <c r="AR115" s="144"/>
    </row>
    <row r="116" spans="1:48" ht="10.5" customHeight="1">
      <c r="A116" s="956"/>
      <c r="B116" s="965">
        <f>CoachNAqtrSalesOld!B144</f>
        <v>2014</v>
      </c>
      <c r="C116" s="997"/>
      <c r="D116" s="998"/>
      <c r="E116" s="997"/>
      <c r="F116" s="61"/>
      <c r="G116" s="61"/>
      <c r="H116" s="61"/>
      <c r="I116" s="61"/>
      <c r="J116" s="61"/>
      <c r="K116" s="61"/>
      <c r="L116" s="999"/>
      <c r="M116" s="974"/>
      <c r="N116" s="975"/>
      <c r="O116" s="975"/>
      <c r="P116" s="359"/>
      <c r="Q116" s="982"/>
      <c r="R116" s="178"/>
      <c r="S116" s="178"/>
      <c r="T116" s="178"/>
      <c r="U116" s="178"/>
      <c r="V116" s="178"/>
      <c r="W116" s="178"/>
      <c r="X116" s="975"/>
      <c r="Y116" s="61"/>
      <c r="Z116" s="999"/>
      <c r="AA116" s="974"/>
      <c r="AB116" s="975"/>
      <c r="AC116" s="61"/>
      <c r="AD116" s="999"/>
      <c r="AE116" s="974"/>
      <c r="AF116" s="975"/>
      <c r="AG116" s="61"/>
      <c r="AH116" s="999"/>
      <c r="AI116" s="974"/>
      <c r="AJ116" s="975"/>
      <c r="AK116" s="61"/>
      <c r="AL116" s="999"/>
      <c r="AM116" s="974"/>
      <c r="AN116" s="975"/>
      <c r="AO116" s="976"/>
      <c r="AP116" s="978"/>
      <c r="AR116" s="144"/>
    </row>
    <row r="117" spans="1:48" ht="10.5" customHeight="1">
      <c r="A117" s="956" t="s">
        <v>457</v>
      </c>
      <c r="B117" s="3" t="s">
        <v>63</v>
      </c>
      <c r="D117" s="980">
        <f>'qtrP&amp;L'!CB207</f>
        <v>44.963999999999999</v>
      </c>
      <c r="F117" s="979">
        <f>R121/4</f>
        <v>79.301749999999998</v>
      </c>
      <c r="G117" s="974">
        <f>(F117/F110-1)*100</f>
        <v>12.363224172437604</v>
      </c>
      <c r="H117" s="979">
        <f>L117-F117</f>
        <v>288.79825000000005</v>
      </c>
      <c r="I117" s="974">
        <f>(H117/H110-1)*100</f>
        <v>3.3179649314235782</v>
      </c>
      <c r="J117" s="981">
        <f>L117-F117-D117</f>
        <v>243.83425000000005</v>
      </c>
      <c r="K117" s="974">
        <f>(J117/J110-1)*100</f>
        <v>2.1179803749942883</v>
      </c>
      <c r="L117" s="992">
        <f>1150-L118-L119</f>
        <v>368.1</v>
      </c>
      <c r="M117" s="974">
        <f>(L117/L110-1)*100</f>
        <v>5.1413881748072043</v>
      </c>
      <c r="N117" s="975">
        <f>L117/$AR117*100</f>
        <v>31.98755604991484</v>
      </c>
      <c r="O117" s="975"/>
      <c r="P117" s="359"/>
      <c r="Q117" s="982">
        <f>AVERAGE(CoachNAqtrSalesOld!L141,CoachNAqtrSalesOld!L145)</f>
        <v>975</v>
      </c>
      <c r="R117" s="178"/>
      <c r="S117" s="178"/>
      <c r="T117" s="1004">
        <f>L117/Q117</f>
        <v>0.37753846153846154</v>
      </c>
      <c r="U117" s="178"/>
      <c r="V117" s="178"/>
      <c r="W117" s="178"/>
      <c r="X117" s="975"/>
      <c r="Y117" s="61"/>
      <c r="Z117" s="992">
        <f>183.1-Z118-Z119</f>
        <v>57.599999999999994</v>
      </c>
      <c r="AA117" s="974">
        <f>(Z117/Z110-1)*100</f>
        <v>-17.831669044222576</v>
      </c>
      <c r="AB117" s="975">
        <f>Z117/$AR117*100</f>
        <v>5.0053877437519549</v>
      </c>
      <c r="AC117" s="61"/>
      <c r="AD117" s="992">
        <f>66.9-AD118-AD119</f>
        <v>21.500000000000007</v>
      </c>
      <c r="AE117" s="974">
        <f>(AD117/AD110-1)*100</f>
        <v>9.6938775510204245</v>
      </c>
      <c r="AF117" s="975">
        <f>AD117/$AR117*100</f>
        <v>1.8683304946296366</v>
      </c>
      <c r="AG117" s="61"/>
      <c r="AH117" s="992">
        <f>173.3-AH118-AH119</f>
        <v>60.800000000000011</v>
      </c>
      <c r="AI117" s="974">
        <f>(AH117/AH110-1)*100</f>
        <v>-14.002828854314009</v>
      </c>
      <c r="AJ117" s="975">
        <f>AH117/$AR117*100</f>
        <v>5.2834648406270643</v>
      </c>
      <c r="AK117" s="61"/>
      <c r="AL117" s="970">
        <f>ROUND((AH117+AD117+Z117+L117),1)</f>
        <v>508</v>
      </c>
      <c r="AM117" s="974">
        <f>(AL117/AL110-1)*100</f>
        <v>-0.48971596474045587</v>
      </c>
      <c r="AN117" s="975">
        <f>AL117/$AR117*100</f>
        <v>44.14473912892349</v>
      </c>
      <c r="AO117" s="976"/>
      <c r="AP117" s="978">
        <f>ROUND('qtrP&amp;L'!CB30,1)</f>
        <v>504.9</v>
      </c>
      <c r="AR117" s="144">
        <f>'qtrP&amp;L'!CB10</f>
        <v>1150.76</v>
      </c>
    </row>
    <row r="118" spans="1:48" ht="10.5" customHeight="1">
      <c r="A118" s="956" t="s">
        <v>458</v>
      </c>
      <c r="B118" s="3" t="s">
        <v>167</v>
      </c>
      <c r="D118" s="980">
        <f>'qtrP&amp;L'!CB208</f>
        <v>47.974999999999994</v>
      </c>
      <c r="F118" s="718">
        <f>R121/4</f>
        <v>79.301749999999998</v>
      </c>
      <c r="G118" s="974">
        <f>(F118/F111-1)*100</f>
        <v>12.363224172437604</v>
      </c>
      <c r="H118" s="718">
        <f>L118-F118</f>
        <v>331.19825000000003</v>
      </c>
      <c r="I118" s="974">
        <f>(H118/H111-1)*100</f>
        <v>-4.4226405837983656</v>
      </c>
      <c r="J118" s="981">
        <f>L118-F118-D118</f>
        <v>283.22325000000001</v>
      </c>
      <c r="K118" s="974">
        <f>(J118/J111-1)*100</f>
        <v>-7.3758817700480979</v>
      </c>
      <c r="L118" s="148">
        <v>410.5</v>
      </c>
      <c r="M118" s="974">
        <f>(L118/L111-1)*100</f>
        <v>-1.5823543514744687</v>
      </c>
      <c r="N118" s="975">
        <f>L118/$AR118*100</f>
        <v>28.916107363639949</v>
      </c>
      <c r="O118" s="975"/>
      <c r="P118" s="359"/>
      <c r="Q118" s="982">
        <f>AVERAGE(CoachNAqtrSalesOld!L145,CoachNAqtrSalesOld!L146)</f>
        <v>1003</v>
      </c>
      <c r="R118" s="178"/>
      <c r="S118" s="178"/>
      <c r="T118" s="359">
        <f>L118/Q118</f>
        <v>0.40927218344965105</v>
      </c>
      <c r="U118" s="178"/>
      <c r="V118" s="178"/>
      <c r="W118" s="178"/>
      <c r="X118" s="975"/>
      <c r="Y118" s="61"/>
      <c r="Z118" s="148">
        <v>64.5</v>
      </c>
      <c r="AA118" s="974">
        <f>(Z118/Z111-1)*100</f>
        <v>-1.225114854517606</v>
      </c>
      <c r="AB118" s="975">
        <f>Z118/$AR118*100</f>
        <v>4.5434565772345348</v>
      </c>
      <c r="AC118" s="61"/>
      <c r="AD118" s="148">
        <v>25</v>
      </c>
      <c r="AE118" s="974">
        <f>(AD118/AD111-1)*100</f>
        <v>2.8806584362139898</v>
      </c>
      <c r="AF118" s="975">
        <f>AD118/$AR118*100</f>
        <v>1.761029681098657</v>
      </c>
      <c r="AG118" s="61"/>
      <c r="AH118" s="148">
        <v>46.7</v>
      </c>
      <c r="AI118" s="974">
        <f>(AH118/AH111-1)*100</f>
        <v>-10.364683301343568</v>
      </c>
      <c r="AJ118" s="975">
        <f>AH118/$AR118*100</f>
        <v>3.2896034442922919</v>
      </c>
      <c r="AK118" s="61"/>
      <c r="AL118" s="1003">
        <f>ROUND((AH118+AD118+Z118+L118),1)</f>
        <v>546.70000000000005</v>
      </c>
      <c r="AM118" s="974">
        <f>(AL118/AL111-1)*100</f>
        <v>-2.1653543307086465</v>
      </c>
      <c r="AN118" s="975">
        <f>AL118/$AR118*100</f>
        <v>38.510197066265434</v>
      </c>
      <c r="AO118" s="976"/>
      <c r="AP118" s="978">
        <f>ROUND('qtrP&amp;L'!CB31,1)</f>
        <v>546.70000000000005</v>
      </c>
      <c r="AR118" s="144">
        <f>'qtrP&amp;L'!CB11</f>
        <v>1419.624</v>
      </c>
    </row>
    <row r="119" spans="1:48" ht="10.5" customHeight="1">
      <c r="A119" s="956" t="s">
        <v>459</v>
      </c>
      <c r="B119" s="3" t="s">
        <v>166</v>
      </c>
      <c r="D119" s="980">
        <f>'qtrP&amp;L'!CB209</f>
        <v>48</v>
      </c>
      <c r="F119" s="718">
        <f>R121/4</f>
        <v>79.301749999999998</v>
      </c>
      <c r="G119" s="974">
        <f>(F119/F112-1)*100</f>
        <v>12.363224172437604</v>
      </c>
      <c r="H119" s="718">
        <f>L119-F119</f>
        <v>292.09825000000001</v>
      </c>
      <c r="I119" s="974">
        <f>(H119/H112-1)*100</f>
        <v>-4.2946543530419934E-2</v>
      </c>
      <c r="J119" s="981">
        <f>L119-F119-D119</f>
        <v>244.09825000000001</v>
      </c>
      <c r="K119" s="974">
        <f>(J119/J112-1)*100</f>
        <v>-2.9341649534549874</v>
      </c>
      <c r="L119" s="136">
        <v>371.4</v>
      </c>
      <c r="M119" s="974">
        <f>(L119/L112-1)*100</f>
        <v>2.3704520396912843</v>
      </c>
      <c r="N119" s="975">
        <f>L119/$AR119*100</f>
        <v>33.775119904403859</v>
      </c>
      <c r="O119" s="975"/>
      <c r="P119" s="359"/>
      <c r="Q119" s="982">
        <f>AVERAGE(CoachNAqtrSalesOld!L146,CoachNAqtrSalesOld!L147)</f>
        <v>1013.5</v>
      </c>
      <c r="R119" s="178"/>
      <c r="S119" s="178"/>
      <c r="T119" s="359">
        <f>L119/Q119</f>
        <v>0.36645288603848047</v>
      </c>
      <c r="U119" s="178"/>
      <c r="V119" s="178"/>
      <c r="W119" s="178"/>
      <c r="X119" s="975"/>
      <c r="Y119" s="61"/>
      <c r="Z119" s="136">
        <v>61</v>
      </c>
      <c r="AA119" s="974">
        <f>(Z119/Z112-1)*100</f>
        <v>-6.8702290076335881</v>
      </c>
      <c r="AB119" s="975">
        <f>Z119/$AR119*100</f>
        <v>5.5473406412725783</v>
      </c>
      <c r="AC119" s="61"/>
      <c r="AD119" s="136">
        <v>20.399999999999999</v>
      </c>
      <c r="AE119" s="974">
        <f>(AD119/AD112-1)*100</f>
        <v>-1.9230769230769384</v>
      </c>
      <c r="AF119" s="975">
        <f>AD119/$AR119*100</f>
        <v>1.8551762144583701</v>
      </c>
      <c r="AG119" s="61"/>
      <c r="AH119" s="136">
        <v>65.8</v>
      </c>
      <c r="AI119" s="974">
        <f>(AH119/AH112-1)*100</f>
        <v>-20.33898305084746</v>
      </c>
      <c r="AJ119" s="975">
        <f>AH119/$AR119*100</f>
        <v>5.9838526917333716</v>
      </c>
      <c r="AK119" s="61"/>
      <c r="AL119" s="994">
        <f>ROUND((AH119+AD119+Z119+L119),1)</f>
        <v>518.6</v>
      </c>
      <c r="AM119" s="974">
        <f>(AL119/AL112-1)*100</f>
        <v>-2.4637953733308349</v>
      </c>
      <c r="AN119" s="975">
        <f>AL119/$AR119*100</f>
        <v>47.161489451868185</v>
      </c>
      <c r="AO119" s="976"/>
      <c r="AP119" s="978">
        <f>ROUND('qtrP&amp;L'!CB32,1)</f>
        <v>518.6</v>
      </c>
      <c r="AR119" s="144">
        <f>'qtrP&amp;L'!CB12</f>
        <v>1099.626</v>
      </c>
    </row>
    <row r="120" spans="1:48" ht="10.5" customHeight="1">
      <c r="A120" s="956" t="s">
        <v>460</v>
      </c>
      <c r="B120" s="3" t="s">
        <v>62</v>
      </c>
      <c r="D120" s="980">
        <f>'qtrP&amp;L'!CB210</f>
        <v>48.421000000000021</v>
      </c>
      <c r="F120" s="718">
        <f>R121/4</f>
        <v>79.301749999999998</v>
      </c>
      <c r="G120" s="974">
        <f>(F120/F113-1)*100</f>
        <v>12.363224172437604</v>
      </c>
      <c r="H120" s="718">
        <f>L120-F120</f>
        <v>320.69825000000003</v>
      </c>
      <c r="I120" s="974">
        <f>(H120/H113-1)*100</f>
        <v>3.6437086681290864</v>
      </c>
      <c r="J120" s="981">
        <f>L120-F120-D120</f>
        <v>272.27724999999998</v>
      </c>
      <c r="K120" s="974">
        <f>(J120/J113-1)*100</f>
        <v>1.339991886168157</v>
      </c>
      <c r="L120" s="1005">
        <f>L121-SUM(L117:L119)</f>
        <v>400</v>
      </c>
      <c r="M120" s="974">
        <f>(L120/L113-1)*100</f>
        <v>5.2631578947368363</v>
      </c>
      <c r="N120" s="975">
        <f>L120/$AR120*100</f>
        <v>35.204573778225267</v>
      </c>
      <c r="O120" s="975"/>
      <c r="P120" s="359"/>
      <c r="Q120" s="982">
        <f>AVERAGE(CoachNAqtrSalesOld!L147,CoachNAqtrSalesOld!L148)</f>
        <v>1012.5</v>
      </c>
      <c r="R120" s="178"/>
      <c r="S120" s="178"/>
      <c r="T120" s="359">
        <f>L120/Q120</f>
        <v>0.39506172839506171</v>
      </c>
      <c r="U120" s="178"/>
      <c r="V120" s="178"/>
      <c r="W120" s="178"/>
      <c r="X120" s="975"/>
      <c r="Y120" s="61"/>
      <c r="Z120" s="972">
        <f>Z121-SUM(Z117:Z119)</f>
        <v>59.200000000000017</v>
      </c>
      <c r="AA120" s="974">
        <f>(Z120/Z113-1)*100</f>
        <v>-8.2170542635657817</v>
      </c>
      <c r="AB120" s="975">
        <f>Z120/$AR120*100</f>
        <v>5.2102769191773417</v>
      </c>
      <c r="AC120" s="61"/>
      <c r="AD120" s="972">
        <f>AD121-SUM(AD117:AD119)</f>
        <v>20.299999999999997</v>
      </c>
      <c r="AE120" s="974">
        <f>(AD120/AD113-1)*100</f>
        <v>-5.1401869158878233</v>
      </c>
      <c r="AF120" s="975">
        <f>AD120/$AR120*100</f>
        <v>1.7866321192449321</v>
      </c>
      <c r="AG120" s="61"/>
      <c r="AH120" s="972">
        <f>AH121-SUM(AH117:AH119)</f>
        <v>77.899999999999977</v>
      </c>
      <c r="AI120" s="974">
        <f>(AH120/AH113-1)*100</f>
        <v>46.153846153846168</v>
      </c>
      <c r="AJ120" s="975">
        <f>AH120/$AR120*100</f>
        <v>6.8560907433093687</v>
      </c>
      <c r="AK120" s="61"/>
      <c r="AL120" s="995">
        <f>ROUND((AH120+AD120+Z120+L120),1)</f>
        <v>557.4</v>
      </c>
      <c r="AM120" s="974">
        <f>(AL120/AL113-1)*100</f>
        <v>7.3574730354391216</v>
      </c>
      <c r="AN120" s="975">
        <f>AL120/$AR120*100</f>
        <v>49.057573559956914</v>
      </c>
      <c r="AO120" s="976"/>
      <c r="AP120" s="978">
        <f>ROUND('qtrP&amp;L'!CB33,1)</f>
        <v>557.29999999999995</v>
      </c>
      <c r="AR120" s="144">
        <f>'qtrP&amp;L'!CB13</f>
        <v>1136.2159999999999</v>
      </c>
    </row>
    <row r="121" spans="1:48" ht="10.5" customHeight="1">
      <c r="A121" s="956"/>
      <c r="B121" s="3" t="s">
        <v>461</v>
      </c>
      <c r="D121" s="980">
        <f>'yrP&amp;L'!U48</f>
        <v>189.36</v>
      </c>
      <c r="F121" s="979">
        <f>SUM(F117:F120)</f>
        <v>317.20699999999999</v>
      </c>
      <c r="G121" s="974">
        <f>(F121/F114-1)*100</f>
        <v>12.363224172437604</v>
      </c>
      <c r="H121" s="979">
        <f>L121-F121</f>
        <v>1232.7930000000001</v>
      </c>
      <c r="I121" s="974">
        <f>(H121/H114-1)*100</f>
        <v>0.41524971593109861</v>
      </c>
      <c r="J121" s="983">
        <f>L121-F121-D121</f>
        <v>1043.433</v>
      </c>
      <c r="K121" s="974">
        <f>(J121/J114-1)*100</f>
        <v>-1.9982004455681657</v>
      </c>
      <c r="L121" s="969">
        <v>1550</v>
      </c>
      <c r="M121" s="974">
        <f>(L121/L114-1)*100</f>
        <v>2.6490066225165476</v>
      </c>
      <c r="N121" s="975">
        <f>L121/$AR121*100</f>
        <v>32.249835941963603</v>
      </c>
      <c r="O121" s="975"/>
      <c r="P121" s="359">
        <f>yrSales!U85</f>
        <v>2.8324515000000003</v>
      </c>
      <c r="Q121" s="982">
        <f>AVERAGE(yrSales!U61,yrSales!T61)</f>
        <v>983.5</v>
      </c>
      <c r="R121" s="178">
        <f>'yrP&amp;L'!U18</f>
        <v>317.20699999999999</v>
      </c>
      <c r="S121" s="2">
        <f>R121/L121</f>
        <v>0.20464967741935483</v>
      </c>
      <c r="T121" s="178">
        <f>L121/AVERAGE(yrSales!U61,yrSales!T61)</f>
        <v>1.5760040671072699</v>
      </c>
      <c r="U121" s="178">
        <f>(L121-'yrP&amp;L'!U18)/Q121</f>
        <v>1.2534753431621761</v>
      </c>
      <c r="V121" s="178">
        <f>J121/Q121</f>
        <v>1.0609384850025418</v>
      </c>
      <c r="W121" s="984">
        <f>J121/P121</f>
        <v>368.38512504097594</v>
      </c>
      <c r="X121" s="974">
        <f>(W121/W114-1)*100</f>
        <v>-11.470163034944104</v>
      </c>
      <c r="Y121" s="61"/>
      <c r="Z121" s="1379">
        <v>242.3</v>
      </c>
      <c r="AA121" s="974">
        <f>(Z121/Z114-1)*100</f>
        <v>-8.7038432554634397</v>
      </c>
      <c r="AB121" s="975">
        <f>Z121/$AR121*100</f>
        <v>5.0413775798308276</v>
      </c>
      <c r="AC121" s="61"/>
      <c r="AD121" s="1379">
        <v>87.2</v>
      </c>
      <c r="AE121" s="974">
        <f>(AD121/AD114-1)*100</f>
        <v>1.2775842044134844</v>
      </c>
      <c r="AF121" s="975">
        <f>AD121/$AR121*100</f>
        <v>1.8143133510575657</v>
      </c>
      <c r="AG121" s="61"/>
      <c r="AH121" s="1379">
        <v>251.2</v>
      </c>
      <c r="AI121" s="974">
        <f>(AH121/AH114-1)*100</f>
        <v>-2.8991109393119441</v>
      </c>
      <c r="AJ121" s="975">
        <f>AH121/$AR121*100</f>
        <v>5.2265540571750053</v>
      </c>
      <c r="AK121" s="61"/>
      <c r="AL121" s="999">
        <f>SUM(AL117:AL120)</f>
        <v>2130.7000000000003</v>
      </c>
      <c r="AM121" s="974">
        <f>(AL121/AL114-1)*100</f>
        <v>0.49523629846242034</v>
      </c>
      <c r="AN121" s="975">
        <f>AL121/$AR121*100</f>
        <v>44.332080930027011</v>
      </c>
      <c r="AO121" s="976"/>
      <c r="AP121" s="978">
        <f>ROUND('qtrP&amp;L'!CB34,1)</f>
        <v>2127.6</v>
      </c>
      <c r="AR121" s="144">
        <f>'qtrP&amp;L'!CB14</f>
        <v>4806.2260000000006</v>
      </c>
    </row>
    <row r="122" spans="1:48" ht="10.5" customHeight="1">
      <c r="A122" s="956"/>
      <c r="D122" s="980"/>
      <c r="F122" s="61"/>
      <c r="G122" s="61"/>
      <c r="H122" s="61"/>
      <c r="I122" s="61"/>
      <c r="J122" s="61"/>
      <c r="K122" s="61"/>
      <c r="L122" s="999"/>
      <c r="M122" s="974"/>
      <c r="N122" s="975"/>
      <c r="O122" s="975"/>
      <c r="P122" s="359"/>
      <c r="Q122" s="982"/>
      <c r="R122" s="178"/>
      <c r="S122" s="178"/>
      <c r="T122" s="975"/>
      <c r="U122" s="975"/>
      <c r="V122" s="975"/>
      <c r="W122" s="975"/>
      <c r="X122" s="975"/>
      <c r="Y122" s="61"/>
      <c r="Z122" s="999"/>
      <c r="AA122" s="974"/>
      <c r="AB122" s="975"/>
      <c r="AC122" s="61"/>
      <c r="AD122" s="999"/>
      <c r="AE122" s="974"/>
      <c r="AF122" s="975"/>
      <c r="AG122" s="61"/>
      <c r="AH122" s="999">
        <f>AH114-AH121</f>
        <v>7.5</v>
      </c>
      <c r="AI122" s="974"/>
      <c r="AJ122" s="975"/>
      <c r="AK122" s="61"/>
      <c r="AL122" s="90"/>
      <c r="AM122" s="974"/>
      <c r="AN122" s="975"/>
      <c r="AO122" s="976"/>
      <c r="AP122" s="1006">
        <f>1383/AP121</f>
        <v>0.65002820078962209</v>
      </c>
      <c r="AR122" s="144"/>
    </row>
    <row r="123" spans="1:48" ht="10.5" customHeight="1">
      <c r="A123" s="956"/>
      <c r="B123" s="965">
        <f>CoachNAqtrSalesOld!B151</f>
        <v>2015</v>
      </c>
      <c r="C123" s="997"/>
      <c r="D123" s="998"/>
      <c r="E123" s="997"/>
      <c r="F123" s="61"/>
      <c r="G123" s="61"/>
      <c r="H123" s="61"/>
      <c r="I123" s="61"/>
      <c r="J123" s="61"/>
      <c r="K123" s="61"/>
      <c r="L123" s="999"/>
      <c r="M123" s="974"/>
      <c r="N123" s="975"/>
      <c r="O123" s="975"/>
      <c r="P123" s="359"/>
      <c r="Q123" s="982"/>
      <c r="R123" s="178"/>
      <c r="S123" s="178"/>
      <c r="T123" s="178"/>
      <c r="U123" s="89"/>
      <c r="V123" s="178"/>
      <c r="W123" s="178"/>
      <c r="X123" s="975"/>
      <c r="Y123" s="61"/>
      <c r="Z123" s="999"/>
      <c r="AA123" s="974"/>
      <c r="AB123" s="975"/>
      <c r="AC123" s="61"/>
      <c r="AD123" s="999"/>
      <c r="AE123" s="974"/>
      <c r="AF123" s="975"/>
      <c r="AG123" s="61"/>
      <c r="AH123" s="999"/>
      <c r="AI123" s="974"/>
      <c r="AJ123" s="975"/>
      <c r="AK123" s="61"/>
      <c r="AL123" s="999"/>
      <c r="AM123" s="974"/>
      <c r="AN123" s="975"/>
      <c r="AO123" s="976"/>
      <c r="AP123" s="978"/>
      <c r="AR123" s="144"/>
    </row>
    <row r="124" spans="1:48" ht="10.5" customHeight="1">
      <c r="A124" s="956" t="s">
        <v>457</v>
      </c>
      <c r="B124" s="3" t="s">
        <v>63</v>
      </c>
      <c r="D124" s="980">
        <f>'qtrP&amp;L'!CF207</f>
        <v>43.3</v>
      </c>
      <c r="F124" s="979">
        <f>R$128/4</f>
        <v>89.15</v>
      </c>
      <c r="G124" s="974">
        <f>(F124/F117-1)*100</f>
        <v>12.418704505259992</v>
      </c>
      <c r="H124" s="979">
        <f>L124-F124</f>
        <v>272.04999999999995</v>
      </c>
      <c r="I124" s="974">
        <f>(H124/H117-1)*100</f>
        <v>-5.7992906812974425</v>
      </c>
      <c r="J124" s="981">
        <f>L124-F124-D124</f>
        <v>228.74999999999994</v>
      </c>
      <c r="K124" s="974">
        <f>(J124/J117-1)*100</f>
        <v>-6.1862720270019933</v>
      </c>
      <c r="L124" s="992">
        <v>361.2</v>
      </c>
      <c r="M124" s="974">
        <f>(L124/L117-1)*100</f>
        <v>-1.8744906275468765</v>
      </c>
      <c r="N124" s="975">
        <f>L124/$AR124*100</f>
        <v>34.770889487870619</v>
      </c>
      <c r="O124" s="975"/>
      <c r="P124" s="359"/>
      <c r="Q124" s="982">
        <f>AVERAGE(CoachNAqtrSalesOld!L148,CoachNAqtrSalesOld!L152)</f>
        <v>1016.5</v>
      </c>
      <c r="R124" s="178"/>
      <c r="S124" s="178"/>
      <c r="T124" s="1004">
        <f>L124/Q124</f>
        <v>0.35533694048204623</v>
      </c>
      <c r="U124" s="2"/>
      <c r="V124" s="178">
        <f>AVERAGE(T124,T117,T110,T103,T96)</f>
        <v>0.38930412655897328</v>
      </c>
      <c r="W124" s="178"/>
      <c r="X124" s="975"/>
      <c r="Y124" s="61"/>
      <c r="Z124" s="992">
        <v>53.9</v>
      </c>
      <c r="AA124" s="974">
        <f>(Z124/Z117-1)*100</f>
        <v>-6.4236111111111054</v>
      </c>
      <c r="AB124" s="975">
        <f>Z124/$AR124*100</f>
        <v>5.1886792452830193</v>
      </c>
      <c r="AC124" s="61"/>
      <c r="AD124" s="1377">
        <v>17.7</v>
      </c>
      <c r="AE124" s="974">
        <f>(AD124/AD117-1)*100</f>
        <v>-17.674418604651198</v>
      </c>
      <c r="AF124" s="975">
        <f>AD124/$AR124*100</f>
        <v>1.7038891028109355</v>
      </c>
      <c r="AG124" s="61"/>
      <c r="AH124" s="1377">
        <v>69.7</v>
      </c>
      <c r="AI124" s="974">
        <f>(AH124/AH117-1)*100</f>
        <v>14.638157894736835</v>
      </c>
      <c r="AJ124" s="975">
        <f>AH124/$AR124*100</f>
        <v>6.7096649980747021</v>
      </c>
      <c r="AK124" s="61"/>
      <c r="AL124" s="970">
        <f>ROUND((AH124+AD124+Z124+L124),1)</f>
        <v>502.5</v>
      </c>
      <c r="AM124" s="974">
        <f>(AL124/AL117-1)*100</f>
        <v>-1.0826771653543288</v>
      </c>
      <c r="AN124" s="975">
        <f>AL124/$AR124*100</f>
        <v>48.373122834039279</v>
      </c>
      <c r="AO124" s="976"/>
      <c r="AP124" s="978">
        <f>ROUND('qtrP&amp;L'!CF30,1)</f>
        <v>502.5</v>
      </c>
      <c r="AR124" s="144">
        <f>'qtrP&amp;L'!CF10</f>
        <v>1038.8</v>
      </c>
    </row>
    <row r="125" spans="1:48" ht="10.5" customHeight="1">
      <c r="A125" s="956" t="s">
        <v>458</v>
      </c>
      <c r="B125" s="3" t="s">
        <v>167</v>
      </c>
      <c r="D125" s="980">
        <f>'qtrP&amp;L'!CF208</f>
        <v>46.5</v>
      </c>
      <c r="F125" s="718">
        <f>R$128/4</f>
        <v>89.15</v>
      </c>
      <c r="G125" s="974">
        <f>(F125/F118-1)*100</f>
        <v>12.418704505259992</v>
      </c>
      <c r="H125" s="718">
        <f>L125-F125</f>
        <v>308.25</v>
      </c>
      <c r="I125" s="974">
        <f>(H125/H118-1)*100</f>
        <v>-6.9288560552478895</v>
      </c>
      <c r="J125" s="981">
        <f>L125-F125-D125</f>
        <v>261.75</v>
      </c>
      <c r="K125" s="974">
        <f>(J125/J118-1)*100</f>
        <v>-7.5817398465698016</v>
      </c>
      <c r="L125" s="148">
        <v>397.4</v>
      </c>
      <c r="M125" s="974">
        <f>(L125/L118-1)*100</f>
        <v>-3.1912302070645659</v>
      </c>
      <c r="N125" s="975">
        <f>L125/$AR125*100</f>
        <v>32.589798261440052</v>
      </c>
      <c r="O125" s="975"/>
      <c r="P125" s="359"/>
      <c r="Q125" s="982">
        <f>AVERAGE(CoachNAqtrSalesOld!L152,CoachNAqtrSalesOld!L153)</f>
        <v>1020</v>
      </c>
      <c r="R125" s="178"/>
      <c r="S125" s="178"/>
      <c r="T125" s="359">
        <f>L125/Q125</f>
        <v>0.38960784313725488</v>
      </c>
      <c r="U125" s="89"/>
      <c r="V125" s="2"/>
      <c r="W125" s="178"/>
      <c r="X125" s="975"/>
      <c r="Y125" s="61"/>
      <c r="Z125" s="1378">
        <v>63.6</v>
      </c>
      <c r="AA125" s="974">
        <f>(Z125/Z118-1)*100</f>
        <v>-1.3953488372092981</v>
      </c>
      <c r="AB125" s="975">
        <f>Z125/$AR125*100</f>
        <v>5.215679842545514</v>
      </c>
      <c r="AC125" s="61"/>
      <c r="AD125" s="1378">
        <v>18.899999999999999</v>
      </c>
      <c r="AE125" s="974">
        <f>(AD125/AD118-1)*100</f>
        <v>-24.400000000000009</v>
      </c>
      <c r="AF125" s="975">
        <f>AD125/$AR125*100</f>
        <v>1.5499425947187138</v>
      </c>
      <c r="AG125" s="61"/>
      <c r="AH125" s="1378">
        <v>62.1</v>
      </c>
      <c r="AI125" s="974">
        <f>(AH125/AH118-1)*100</f>
        <v>32.976445396145614</v>
      </c>
      <c r="AJ125" s="975">
        <f>AH125/$AR125*100</f>
        <v>5.0926685255043465</v>
      </c>
      <c r="AK125" s="61"/>
      <c r="AL125" s="1003">
        <f>ROUND((AH125+AD125+Z125+L125),1)</f>
        <v>542</v>
      </c>
      <c r="AM125" s="974">
        <f>(AL125/AL118-1)*100</f>
        <v>-0.85970367660509472</v>
      </c>
      <c r="AN125" s="975">
        <f>AL125/$AR125*100</f>
        <v>44.448089224208623</v>
      </c>
      <c r="AO125" s="976"/>
      <c r="AP125" s="978">
        <f>ROUND('qtrP&amp;L'!CF31,1)</f>
        <v>542</v>
      </c>
      <c r="AR125" s="144">
        <f>'qtrP&amp;L'!CF11</f>
        <v>1219.4000000000001</v>
      </c>
    </row>
    <row r="126" spans="1:48" ht="10.5" customHeight="1">
      <c r="A126" s="956" t="s">
        <v>459</v>
      </c>
      <c r="B126" s="3" t="s">
        <v>166</v>
      </c>
      <c r="D126" s="980">
        <f>'qtrP&amp;L'!CF209</f>
        <v>47.399999999999991</v>
      </c>
      <c r="F126" s="718">
        <f>R$128/4</f>
        <v>89.15</v>
      </c>
      <c r="G126" s="974">
        <f>(F126/F119-1)*100</f>
        <v>12.418704505259992</v>
      </c>
      <c r="H126" s="718">
        <f>L126-F126</f>
        <v>275.95000000000005</v>
      </c>
      <c r="I126" s="974">
        <f>(H126/H119-1)*100</f>
        <v>-5.5283624602338266</v>
      </c>
      <c r="J126" s="981">
        <f>L126-F126-D126</f>
        <v>228.55000000000007</v>
      </c>
      <c r="K126" s="974">
        <f>(J126/J119-1)*100</f>
        <v>-6.3696687706691568</v>
      </c>
      <c r="L126" s="148">
        <v>365.1</v>
      </c>
      <c r="M126" s="974">
        <f>(L126/L119-1)*100</f>
        <v>-1.6962843295638019</v>
      </c>
      <c r="N126" s="975">
        <f>L126/$AR126*100</f>
        <v>39.287635854944583</v>
      </c>
      <c r="O126" s="975"/>
      <c r="P126" s="359"/>
      <c r="Q126" s="982">
        <f>AVERAGE(CoachNAqtrSalesOld!L153,CoachNAqtrSalesOld!L154)</f>
        <v>997</v>
      </c>
      <c r="R126" s="178"/>
      <c r="S126" s="178"/>
      <c r="T126" s="359">
        <f>L126/Q126</f>
        <v>0.36619859578736214</v>
      </c>
      <c r="U126" s="178"/>
      <c r="V126" s="178"/>
      <c r="W126" s="178"/>
      <c r="X126" s="975"/>
      <c r="Y126" s="61"/>
      <c r="Z126" s="1378">
        <v>62.1</v>
      </c>
      <c r="AA126" s="974">
        <f>(Z126/Z119-1)*100</f>
        <v>1.8032786885245899</v>
      </c>
      <c r="AB126" s="975">
        <f>Z126/$AR126*100</f>
        <v>6.6824491552781664</v>
      </c>
      <c r="AC126" s="61"/>
      <c r="AD126" s="1378">
        <v>16.399999999999999</v>
      </c>
      <c r="AE126" s="974">
        <f>(AD126/AD119-1)*100</f>
        <v>-19.6078431372549</v>
      </c>
      <c r="AF126" s="975">
        <f>AD126/$AR126*100</f>
        <v>1.7647691811040569</v>
      </c>
      <c r="AG126" s="61"/>
      <c r="AH126" s="1378">
        <v>75.400000000000006</v>
      </c>
      <c r="AI126" s="974">
        <f>(AH126/AH119-1)*100</f>
        <v>14.589665653495466</v>
      </c>
      <c r="AJ126" s="975">
        <f>AH126/$AR126*100</f>
        <v>8.1136339180027992</v>
      </c>
      <c r="AK126" s="61"/>
      <c r="AL126" s="994">
        <f>ROUND((AH126+AD126+Z126+L126),1)</f>
        <v>519</v>
      </c>
      <c r="AM126" s="974">
        <f>(AL126/AL119-1)*100</f>
        <v>7.713073659854075E-2</v>
      </c>
      <c r="AN126" s="975">
        <f>AL126/$AR126*100</f>
        <v>55.848488109329608</v>
      </c>
      <c r="AO126" s="976"/>
      <c r="AP126" s="978">
        <f>ROUND('qtrP&amp;L'!CF32,1)</f>
        <v>519</v>
      </c>
      <c r="AR126" s="144">
        <f>'qtrP&amp;L'!CF12</f>
        <v>929.3</v>
      </c>
    </row>
    <row r="127" spans="1:48" ht="10.5" customHeight="1">
      <c r="A127" s="956" t="s">
        <v>460</v>
      </c>
      <c r="B127" s="3" t="s">
        <v>62</v>
      </c>
      <c r="D127" s="980">
        <f>'qtrP&amp;L'!CF210</f>
        <v>54.600000000000023</v>
      </c>
      <c r="F127" s="718">
        <f>R$128/4</f>
        <v>89.15</v>
      </c>
      <c r="G127" s="974">
        <f>(F127/F120-1)*100</f>
        <v>12.418704505259992</v>
      </c>
      <c r="H127" s="718">
        <f>L127-F127</f>
        <v>316.0500000000003</v>
      </c>
      <c r="I127" s="974">
        <f>(H127/H120-1)*100</f>
        <v>-1.4494154551824789</v>
      </c>
      <c r="J127" s="981">
        <f>L127-F127-D127</f>
        <v>261.45000000000027</v>
      </c>
      <c r="K127" s="974">
        <f>(J127/J120-1)*100</f>
        <v>-3.9765533110091678</v>
      </c>
      <c r="L127" s="1005">
        <f>L128-SUM(L124:L126)</f>
        <v>405.20000000000027</v>
      </c>
      <c r="M127" s="974">
        <f>(L127/L120-1)*100</f>
        <v>1.3000000000000789</v>
      </c>
      <c r="N127" s="975">
        <f>L127/$AR127*100</f>
        <v>40.354546359924335</v>
      </c>
      <c r="O127" s="975"/>
      <c r="P127" s="359"/>
      <c r="Q127" s="982">
        <f>AVERAGE(CoachNAqtrSalesOld!L154,CoachNAqtrSalesOld!L155)</f>
        <v>969</v>
      </c>
      <c r="R127" s="178"/>
      <c r="S127" s="178"/>
      <c r="T127" s="359">
        <f>L127/Q127</f>
        <v>0.4181630546955627</v>
      </c>
      <c r="U127" s="178"/>
      <c r="V127" s="178"/>
      <c r="W127" s="178"/>
      <c r="X127" s="975"/>
      <c r="Y127" s="61"/>
      <c r="Z127" s="972">
        <f>Z128-SUM(Z124:Z126)</f>
        <v>67.200000000000017</v>
      </c>
      <c r="AA127" s="974">
        <f>(Z127/Z120-1)*100</f>
        <v>13.513513513513509</v>
      </c>
      <c r="AB127" s="975">
        <f>Z127/$AR127*100</f>
        <v>6.6925605019420393</v>
      </c>
      <c r="AC127" s="61"/>
      <c r="AD127" s="972">
        <f>AD128-SUM(AD124:AD126)</f>
        <v>16.600000000000001</v>
      </c>
      <c r="AE127" s="974">
        <f>(AD127/AD120-1)*100</f>
        <v>-18.226600985221651</v>
      </c>
      <c r="AF127" s="975">
        <f>AD127/$AR127*100</f>
        <v>1.6532217906583011</v>
      </c>
      <c r="AG127" s="61"/>
      <c r="AH127" s="1005">
        <f>AH128-SUM(AH124:AH126)</f>
        <v>77.599999999999994</v>
      </c>
      <c r="AI127" s="974">
        <f>(AH127/AH120-1)*100</f>
        <v>-0.38510911424901595</v>
      </c>
      <c r="AJ127" s="975">
        <f>AH127/$AR127*100</f>
        <v>7.7283139129568763</v>
      </c>
      <c r="AK127" s="61"/>
      <c r="AL127" s="995">
        <f>ROUND((AH127+AD127+Z127+L127),1)</f>
        <v>566.6</v>
      </c>
      <c r="AM127" s="974">
        <f>(AL127/AL120-1)*100</f>
        <v>1.6505202726946555</v>
      </c>
      <c r="AN127" s="975">
        <f>AL127/$AR127*100</f>
        <v>56.428642565481525</v>
      </c>
      <c r="AO127" s="976"/>
      <c r="AP127" s="978">
        <f>ROUND('qtrP&amp;L'!CF33,1)</f>
        <v>566.29999999999995</v>
      </c>
      <c r="AR127" s="144">
        <f>'qtrP&amp;L'!CF13</f>
        <v>1004.1</v>
      </c>
    </row>
    <row r="128" spans="1:48" ht="10.5" customHeight="1">
      <c r="A128" s="956"/>
      <c r="B128" s="3" t="s">
        <v>461</v>
      </c>
      <c r="D128" s="980">
        <f>'yrP&amp;L'!V48</f>
        <v>191.8</v>
      </c>
      <c r="F128" s="979">
        <f>SUM(F124:F127)</f>
        <v>356.6</v>
      </c>
      <c r="G128" s="974">
        <f>(F128/F121-1)*100</f>
        <v>12.418704505259992</v>
      </c>
      <c r="H128" s="979">
        <f>L128-F128</f>
        <v>1172.3000000000002</v>
      </c>
      <c r="I128" s="974">
        <f>(H128/H121-1)*100</f>
        <v>-4.9069876289044467</v>
      </c>
      <c r="J128" s="983">
        <f>L128-F128-D128</f>
        <v>980.50000000000023</v>
      </c>
      <c r="K128" s="974">
        <f>(J128/J121-1)*100</f>
        <v>-6.0313407760728026</v>
      </c>
      <c r="L128" s="969">
        <f>1533-4.1</f>
        <v>1528.9</v>
      </c>
      <c r="M128" s="974">
        <f>(L128/L121-1)*100</f>
        <v>-1.3612903225806439</v>
      </c>
      <c r="N128" s="975">
        <f>L128/$AR128*100</f>
        <v>36.475331615612177</v>
      </c>
      <c r="O128" s="975"/>
      <c r="P128" s="359">
        <f>yrSales!V85</f>
        <v>3.0006794999999999</v>
      </c>
      <c r="Q128" s="982">
        <f>AVERAGE(yrSales!U61,yrSales!V61)</f>
        <v>989.5</v>
      </c>
      <c r="R128" s="178">
        <f>'yrP&amp;L'!V18</f>
        <v>356.6</v>
      </c>
      <c r="S128" s="2">
        <f>R128/L128</f>
        <v>0.23323958401465106</v>
      </c>
      <c r="T128" s="178">
        <f>L128/AVERAGE(yrSales!V61,yrSales!U61)</f>
        <v>1.5451237998989389</v>
      </c>
      <c r="U128" s="178">
        <f>(L128-R128)/Q128</f>
        <v>1.1847397675593736</v>
      </c>
      <c r="V128" s="178">
        <f>J128/Q128</f>
        <v>0.99090449722081886</v>
      </c>
      <c r="W128" s="984">
        <f>J128/P128</f>
        <v>326.75932234682188</v>
      </c>
      <c r="X128" s="974">
        <f>(W128/W121-1)*100</f>
        <v>-11.299534064933802</v>
      </c>
      <c r="Y128" s="61"/>
      <c r="Z128" s="1601">
        <v>246.8</v>
      </c>
      <c r="AA128" s="974">
        <f>(Z128/Z121-1)*100</f>
        <v>1.8572018159306536</v>
      </c>
      <c r="AB128" s="975">
        <f>Z128/$AR128*100</f>
        <v>5.8879664090084933</v>
      </c>
      <c r="AC128" s="61"/>
      <c r="AD128" s="1601">
        <v>69.599999999999994</v>
      </c>
      <c r="AE128" s="974">
        <f>(AD128/AD121-1)*100</f>
        <v>-20.183486238532122</v>
      </c>
      <c r="AF128" s="975">
        <f>AD128/$AR128*100</f>
        <v>1.6604637847122814</v>
      </c>
      <c r="AG128" s="61"/>
      <c r="AH128" s="1601">
        <v>284.8</v>
      </c>
      <c r="AI128" s="974">
        <f>(AH128/AH121-1)*100</f>
        <v>13.375796178343968</v>
      </c>
      <c r="AJ128" s="975">
        <f>AH128/$AR128*100</f>
        <v>6.7945414638801411</v>
      </c>
      <c r="AK128" s="61"/>
      <c r="AL128" s="999">
        <f>SUM(AL124:AL127)</f>
        <v>2130.1</v>
      </c>
      <c r="AM128" s="974">
        <f>(AL128/AL121-1)*100</f>
        <v>-2.8159759703405562E-2</v>
      </c>
      <c r="AN128" s="975">
        <f>AL128/$AR128*100</f>
        <v>50.818303273213083</v>
      </c>
      <c r="AO128" s="976"/>
      <c r="AP128" s="978">
        <f>ROUND('qtrP&amp;L'!CF34,1)</f>
        <v>2129.8000000000002</v>
      </c>
      <c r="AR128" s="144">
        <f>'qtrP&amp;L'!CF14</f>
        <v>4191.6000000000004</v>
      </c>
    </row>
    <row r="129" spans="1:44" ht="10.5" customHeight="1">
      <c r="A129" s="956"/>
      <c r="F129" s="61"/>
      <c r="G129" s="61"/>
      <c r="H129" s="61"/>
      <c r="I129" s="61"/>
      <c r="J129" s="61"/>
      <c r="K129" s="61"/>
      <c r="L129" s="999">
        <f>L128-L121</f>
        <v>-21.099999999999909</v>
      </c>
      <c r="M129" s="974"/>
      <c r="N129" s="975"/>
      <c r="O129" s="975"/>
      <c r="P129" s="975"/>
      <c r="Q129" s="975"/>
      <c r="R129" s="178"/>
      <c r="S129" s="178"/>
      <c r="T129" s="1008"/>
      <c r="U129" s="975"/>
      <c r="V129" s="975"/>
      <c r="W129" s="89">
        <f>W128/W114-1</f>
        <v>-0.21473622120440949</v>
      </c>
      <c r="X129" s="975"/>
      <c r="Y129" s="61"/>
      <c r="Z129" s="999">
        <f>Z128-Z121</f>
        <v>4.5</v>
      </c>
      <c r="AA129" s="974"/>
      <c r="AB129" s="975"/>
      <c r="AC129" s="61"/>
      <c r="AD129" s="999"/>
      <c r="AE129" s="974"/>
      <c r="AF129" s="975"/>
      <c r="AG129" s="61"/>
      <c r="AH129" s="999">
        <f>AH128-AH121</f>
        <v>33.600000000000023</v>
      </c>
      <c r="AI129" s="974"/>
      <c r="AJ129" s="975"/>
      <c r="AK129" s="61"/>
      <c r="AL129" s="90"/>
      <c r="AM129" s="974"/>
      <c r="AN129" s="975"/>
      <c r="AO129" s="976"/>
      <c r="AP129" s="978"/>
      <c r="AR129" s="144"/>
    </row>
    <row r="130" spans="1:44" ht="10.5" customHeight="1">
      <c r="A130" s="956"/>
      <c r="B130" s="965">
        <f>CoachNAqtrSalesOld!B158</f>
        <v>2016</v>
      </c>
      <c r="C130" s="997"/>
      <c r="D130" s="998"/>
      <c r="E130" s="997"/>
      <c r="F130" s="61"/>
      <c r="G130" s="61"/>
      <c r="H130" s="61"/>
      <c r="I130" s="61"/>
      <c r="J130" s="61"/>
      <c r="K130" s="61"/>
      <c r="L130" s="999"/>
      <c r="M130" s="974"/>
      <c r="N130" s="975"/>
      <c r="O130" s="975"/>
      <c r="P130" s="359"/>
      <c r="Q130" s="982"/>
      <c r="R130" s="178"/>
      <c r="S130" s="178"/>
      <c r="T130" s="178"/>
      <c r="U130" s="89"/>
      <c r="V130" s="178"/>
      <c r="W130" s="178"/>
      <c r="X130" s="975"/>
      <c r="Y130" s="61"/>
      <c r="Z130" s="999"/>
      <c r="AA130" s="974"/>
      <c r="AB130" s="975"/>
      <c r="AC130" s="61"/>
      <c r="AD130" s="999"/>
      <c r="AE130" s="974"/>
      <c r="AF130" s="975"/>
      <c r="AG130" s="61"/>
      <c r="AH130" s="999"/>
      <c r="AI130" s="974"/>
      <c r="AJ130" s="975"/>
      <c r="AK130" s="61"/>
      <c r="AL130" s="999"/>
      <c r="AM130" s="974"/>
      <c r="AN130" s="975"/>
      <c r="AO130" s="976"/>
      <c r="AP130" s="978"/>
      <c r="AR130" s="144"/>
    </row>
    <row r="131" spans="1:44" ht="10.5" customHeight="1">
      <c r="A131" s="956" t="s">
        <v>457</v>
      </c>
      <c r="B131" s="3" t="s">
        <v>63</v>
      </c>
      <c r="D131" s="980">
        <f>'qtrP&amp;L'!CJ207</f>
        <v>54.4</v>
      </c>
      <c r="F131" s="979">
        <f>R$135/4</f>
        <v>91.174999999999997</v>
      </c>
      <c r="G131" s="974">
        <f>(F131/F124-1)*100</f>
        <v>2.2714526079640862</v>
      </c>
      <c r="H131" s="979">
        <f>L131-F131</f>
        <v>276.02499999999998</v>
      </c>
      <c r="I131" s="974">
        <f>(H131/H124-1)*100</f>
        <v>1.4611284690314363</v>
      </c>
      <c r="J131" s="981">
        <f>L131-F131-D131</f>
        <v>221.62499999999997</v>
      </c>
      <c r="K131" s="974">
        <f>(J131/J124-1)*100</f>
        <v>-3.1147540983606392</v>
      </c>
      <c r="L131" s="1632">
        <v>367.2</v>
      </c>
      <c r="M131" s="974">
        <f>(L131/L124-1)*100</f>
        <v>1.6611295681063121</v>
      </c>
      <c r="N131" s="975">
        <f>L131/$AR131*100</f>
        <v>35.640104823837717</v>
      </c>
      <c r="O131" s="975"/>
      <c r="P131" s="359"/>
      <c r="Q131" s="982">
        <f>AVERAGE(CoachNAqtrSalesOld!L155,CoachNAqtrSalesOld!L159)</f>
        <v>969</v>
      </c>
      <c r="R131" s="178"/>
      <c r="S131" s="178"/>
      <c r="T131" s="1004">
        <f>L131/Q131</f>
        <v>0.37894736842105264</v>
      </c>
      <c r="U131" s="2"/>
      <c r="V131" s="178">
        <f>AVERAGE(T131,T124,T117,T110,T103)</f>
        <v>0.38536026690985048</v>
      </c>
      <c r="W131" s="178"/>
      <c r="X131" s="975"/>
      <c r="Y131" s="61"/>
      <c r="Z131" s="1628">
        <v>69.099999999999994</v>
      </c>
      <c r="AA131" s="974">
        <f>(Z131/Z124-1)*100</f>
        <v>28.200371057513919</v>
      </c>
      <c r="AB131" s="975">
        <f>Z131/$AR131*100</f>
        <v>6.7067844317189165</v>
      </c>
      <c r="AC131" s="61"/>
      <c r="AD131" s="1628">
        <v>16.5</v>
      </c>
      <c r="AE131" s="974">
        <f>(AD131/AD124-1)*100</f>
        <v>-6.7796610169491451</v>
      </c>
      <c r="AF131" s="975">
        <f>AD131/$AR131*100</f>
        <v>1.6014752984567602</v>
      </c>
      <c r="AG131" s="61"/>
      <c r="AH131" s="1628">
        <v>79.599999999999994</v>
      </c>
      <c r="AI131" s="974">
        <f>(AH131/AH124-1)*100</f>
        <v>14.203730272596825</v>
      </c>
      <c r="AJ131" s="975">
        <f>AH131/$AR131*100</f>
        <v>7.7259050761913999</v>
      </c>
      <c r="AK131" s="61"/>
      <c r="AL131" s="970">
        <f>ROUND((AH131+AD131+Z131+L131),1)</f>
        <v>532.4</v>
      </c>
      <c r="AM131" s="974">
        <f>(AL131/AL124-1)*100</f>
        <v>5.950248756218901</v>
      </c>
      <c r="AN131" s="975">
        <f>AL131/$AR131*100</f>
        <v>51.674269630204797</v>
      </c>
      <c r="AO131" s="976"/>
      <c r="AP131" s="978">
        <f>ROUND('qtrP&amp;L'!CJ30,1)</f>
        <v>532.4</v>
      </c>
      <c r="AR131" s="144">
        <f>'qtrP&amp;L'!CJ10</f>
        <v>1030.3</v>
      </c>
    </row>
    <row r="132" spans="1:44" ht="10.5" customHeight="1">
      <c r="A132" s="956" t="s">
        <v>458</v>
      </c>
      <c r="B132" s="3" t="s">
        <v>167</v>
      </c>
      <c r="D132" s="980">
        <f>'qtrP&amp;L'!CJ208</f>
        <v>52.699999999999996</v>
      </c>
      <c r="F132" s="718">
        <f>R$135/4</f>
        <v>91.174999999999997</v>
      </c>
      <c r="G132" s="974">
        <f>(F132/F125-1)*100</f>
        <v>2.2714526079640862</v>
      </c>
      <c r="H132" s="718">
        <f>L132-F132</f>
        <v>321.42500000000001</v>
      </c>
      <c r="I132" s="974">
        <f>(H132/H125-1)*100</f>
        <v>4.2741281427412847</v>
      </c>
      <c r="J132" s="981">
        <f>L132-F132-D132</f>
        <v>268.72500000000002</v>
      </c>
      <c r="K132" s="974">
        <f>(J132/J125-1)*100</f>
        <v>2.6647564469914231</v>
      </c>
      <c r="L132" s="1641">
        <v>412.6</v>
      </c>
      <c r="M132" s="974">
        <f>(L132/L125-1)*100</f>
        <v>3.8248616004026292</v>
      </c>
      <c r="N132" s="975">
        <f>L132/$AR132*100</f>
        <v>32.39127021510442</v>
      </c>
      <c r="O132" s="975"/>
      <c r="P132" s="359"/>
      <c r="Q132" s="982">
        <f>AVERAGE(CoachNAqtrSalesOld!L159,CoachNAqtrSalesOld!L160)</f>
        <v>973.5</v>
      </c>
      <c r="R132" s="178"/>
      <c r="S132" s="178"/>
      <c r="T132" s="359">
        <f>L132/Q132</f>
        <v>0.42383153569594251</v>
      </c>
      <c r="U132" s="89"/>
      <c r="V132" s="2"/>
      <c r="W132" s="178"/>
      <c r="X132" s="975"/>
      <c r="Y132" s="61"/>
      <c r="Z132" s="1641">
        <v>67.8</v>
      </c>
      <c r="AA132" s="974">
        <f>(Z132/Z125-1)*100</f>
        <v>6.6037735849056478</v>
      </c>
      <c r="AB132" s="975">
        <f>Z132/$AR132*100</f>
        <v>5.3226566179934061</v>
      </c>
      <c r="AC132" s="61"/>
      <c r="AD132" s="1641">
        <v>18.5</v>
      </c>
      <c r="AE132" s="974">
        <f>(AD132/AD125-1)*100</f>
        <v>-2.1164021164021052</v>
      </c>
      <c r="AF132" s="975">
        <f>AD132/$AR132*100</f>
        <v>1.4523473072695869</v>
      </c>
      <c r="AG132" s="61"/>
      <c r="AH132" s="1641">
        <v>75.2</v>
      </c>
      <c r="AI132" s="974">
        <f>(AH132/AH125-1)*100</f>
        <v>21.095008051529796</v>
      </c>
      <c r="AJ132" s="975">
        <f>AH132/$AR132*100</f>
        <v>5.9035955409012413</v>
      </c>
      <c r="AK132" s="61"/>
      <c r="AL132" s="1003">
        <f>ROUND((AH132+AD132+Z132+L132),1)</f>
        <v>574.1</v>
      </c>
      <c r="AM132" s="974">
        <f>(AL132/AL125-1)*100</f>
        <v>5.922509225092254</v>
      </c>
      <c r="AN132" s="975">
        <f>AL132/$AR132*100</f>
        <v>45.069869681268649</v>
      </c>
      <c r="AO132" s="976"/>
      <c r="AP132" s="978">
        <f>ROUND('qtrP&amp;L'!CJ31,1)</f>
        <v>574.1</v>
      </c>
      <c r="AR132" s="144">
        <f>'qtrP&amp;L'!CJ11</f>
        <v>1273.8</v>
      </c>
    </row>
    <row r="133" spans="1:44" ht="10.5" customHeight="1">
      <c r="A133" s="956" t="s">
        <v>459</v>
      </c>
      <c r="B133" s="61" t="s">
        <v>166</v>
      </c>
      <c r="C133" s="61"/>
      <c r="D133" s="980">
        <f>'qtrP&amp;L'!CJ209</f>
        <v>49.500000000000007</v>
      </c>
      <c r="E133" s="61"/>
      <c r="F133" s="718">
        <f>R$135/4</f>
        <v>91.174999999999997</v>
      </c>
      <c r="G133" s="1653">
        <f>(F133/F126-1)*100</f>
        <v>2.2714526079640862</v>
      </c>
      <c r="H133" s="718">
        <f>L133-F133</f>
        <v>283.92500000000001</v>
      </c>
      <c r="I133" s="1653">
        <f>(H133/H126-1)*100</f>
        <v>2.8900163073020346</v>
      </c>
      <c r="J133" s="981">
        <f>L133-F133-D133</f>
        <v>234.42500000000001</v>
      </c>
      <c r="K133" s="1653">
        <f>(J133/J126-1)*100</f>
        <v>2.5705534893896154</v>
      </c>
      <c r="L133" s="1641">
        <v>375.1</v>
      </c>
      <c r="M133" s="974">
        <f>(L133/L126-1)*100</f>
        <v>2.7389756231169571</v>
      </c>
      <c r="N133" s="967">
        <f>L133/$AR133*100</f>
        <v>36.308198625496082</v>
      </c>
      <c r="O133" s="975"/>
      <c r="P133" s="359"/>
      <c r="Q133" s="982">
        <f>AVERAGE(CoachNAqtrSalesOld!L160,CoachNAqtrSalesOld!L161)</f>
        <v>969.5</v>
      </c>
      <c r="R133" s="178"/>
      <c r="S133" s="178"/>
      <c r="T133" s="359">
        <f>L133/Q133</f>
        <v>0.38690046415678186</v>
      </c>
      <c r="U133" s="178"/>
      <c r="V133" s="178"/>
      <c r="W133" s="178"/>
      <c r="X133" s="975"/>
      <c r="Y133" s="61"/>
      <c r="Z133" s="1641">
        <v>70.5</v>
      </c>
      <c r="AA133" s="974">
        <f>(Z133/Z126-1)*100</f>
        <v>13.526570048309171</v>
      </c>
      <c r="AB133" s="975">
        <f>Z133/$AR133*100</f>
        <v>6.8241215758397065</v>
      </c>
      <c r="AC133" s="61"/>
      <c r="AD133" s="1641">
        <v>15.9</v>
      </c>
      <c r="AE133" s="974">
        <f>(AD133/AD126-1)*100</f>
        <v>-3.0487804878048697</v>
      </c>
      <c r="AF133" s="975">
        <f>AD133/$AR133*100</f>
        <v>1.5390572064659764</v>
      </c>
      <c r="AG133" s="61"/>
      <c r="AH133" s="1641">
        <v>99.7</v>
      </c>
      <c r="AI133" s="974">
        <f>(AH133/AH126-1)*100</f>
        <v>32.228116710875334</v>
      </c>
      <c r="AJ133" s="975">
        <f>AH133/$AR133*100</f>
        <v>9.6505662568967203</v>
      </c>
      <c r="AK133" s="61"/>
      <c r="AL133" s="994">
        <f>ROUND((AH133+AD133+Z133+L133),1)</f>
        <v>561.20000000000005</v>
      </c>
      <c r="AM133" s="974">
        <f>(AL133/AL126-1)*100</f>
        <v>8.1310211946050259</v>
      </c>
      <c r="AN133" s="975">
        <f>AL133/$AR133*100</f>
        <v>54.321943664698495</v>
      </c>
      <c r="AO133" s="976"/>
      <c r="AP133" s="978">
        <f>ROUND('qtrP&amp;L'!CJ32,1)</f>
        <v>561.20000000000005</v>
      </c>
      <c r="AR133" s="144">
        <f>'qtrP&amp;L'!CJ12</f>
        <v>1033.0999999999999</v>
      </c>
    </row>
    <row r="134" spans="1:44" ht="10.5" customHeight="1">
      <c r="A134" s="956" t="s">
        <v>460</v>
      </c>
      <c r="B134" s="3" t="s">
        <v>62</v>
      </c>
      <c r="D134" s="980">
        <f>'qtrP&amp;L'!CJ210</f>
        <v>54</v>
      </c>
      <c r="F134" s="718">
        <f>R$135/4</f>
        <v>91.174999999999997</v>
      </c>
      <c r="G134" s="974">
        <f>(F134/F127-1)*100</f>
        <v>2.2714526079640862</v>
      </c>
      <c r="H134" s="718">
        <f>L134-F134</f>
        <v>328.4249999999999</v>
      </c>
      <c r="I134" s="974">
        <f>(H134/H127-1)*100</f>
        <v>3.9155196962504579</v>
      </c>
      <c r="J134" s="981">
        <f>L134-F134-D134</f>
        <v>274.4249999999999</v>
      </c>
      <c r="K134" s="974">
        <f>(J134/J127-1)*100</f>
        <v>4.9627079747560199</v>
      </c>
      <c r="L134" s="1005">
        <f>L135-SUM(L131:L133)</f>
        <v>419.59999999999991</v>
      </c>
      <c r="M134" s="974">
        <f>(L134/L127-1)*100</f>
        <v>3.553800592300016</v>
      </c>
      <c r="N134" s="975">
        <f>L134/$AR134*100</f>
        <v>36.341590161094743</v>
      </c>
      <c r="O134" s="975"/>
      <c r="P134" s="359"/>
      <c r="Q134" s="982">
        <f>AVERAGE(CoachNAqtrSalesOld!L161,CoachNAqtrSalesOld!L162)</f>
        <v>960</v>
      </c>
      <c r="R134" s="178"/>
      <c r="S134" s="178"/>
      <c r="T134" s="359">
        <f>L134/Q134</f>
        <v>0.43708333333333321</v>
      </c>
      <c r="U134" s="178"/>
      <c r="V134" s="178"/>
      <c r="W134" s="178"/>
      <c r="X134" s="975"/>
      <c r="Y134" s="61"/>
      <c r="Z134" s="972">
        <f>Z135-SUM(Z131:Z133)</f>
        <v>78.300000000000011</v>
      </c>
      <c r="AA134" s="974">
        <f>(Z134/Z127-1)*100</f>
        <v>16.517857142857139</v>
      </c>
      <c r="AB134" s="975">
        <f>Z134/$AR134*100</f>
        <v>6.7815693746752146</v>
      </c>
      <c r="AC134" s="61"/>
      <c r="AD134" s="972">
        <f>AD135-SUM(AD131:AD133)</f>
        <v>16.800000000000004</v>
      </c>
      <c r="AE134" s="974">
        <f>(AD134/AD127-1)*100</f>
        <v>1.2048192771084487</v>
      </c>
      <c r="AF134" s="975">
        <f>AD134/$AR134*100</f>
        <v>1.4550493677464063</v>
      </c>
      <c r="AG134" s="61"/>
      <c r="AH134" s="1005">
        <f>AH135-SUM(AH131:AH133)</f>
        <v>93.399999999999977</v>
      </c>
      <c r="AI134" s="974">
        <f>(AH134/AH127-1)*100</f>
        <v>20.360824742268015</v>
      </c>
      <c r="AJ134" s="975">
        <f>AH134/$AR134*100</f>
        <v>8.0893816040187065</v>
      </c>
      <c r="AK134" s="61"/>
      <c r="AL134" s="995">
        <f>ROUND((AH134+AD134+Z134+L134),1)</f>
        <v>608.1</v>
      </c>
      <c r="AM134" s="974">
        <f>(AL134/AL127-1)*100</f>
        <v>7.3243911048358701</v>
      </c>
      <c r="AN134" s="975">
        <f>AL134/$AR134*100</f>
        <v>52.667590507535081</v>
      </c>
      <c r="AO134" s="976"/>
      <c r="AP134" s="978">
        <f>ROUND('qtrP&amp;L'!CJ33,1)</f>
        <v>608.1</v>
      </c>
      <c r="AR134" s="144">
        <f>'qtrP&amp;L'!CJ13</f>
        <v>1154.5999999999999</v>
      </c>
    </row>
    <row r="135" spans="1:44" ht="10.5" customHeight="1">
      <c r="A135" s="956"/>
      <c r="B135" s="3" t="s">
        <v>461</v>
      </c>
      <c r="D135" s="980">
        <f>'yrP&amp;L'!W48</f>
        <v>210.6</v>
      </c>
      <c r="F135" s="979">
        <f>SUM(F131:F134)</f>
        <v>364.7</v>
      </c>
      <c r="G135" s="974">
        <f>(F135/F128-1)*100</f>
        <v>2.2714526079640862</v>
      </c>
      <c r="H135" s="979">
        <f>L135-F135</f>
        <v>1209.8</v>
      </c>
      <c r="I135" s="974">
        <f>(H135/H128-1)*100</f>
        <v>3.1988398874008173</v>
      </c>
      <c r="J135" s="983">
        <f>L135-F135-D135</f>
        <v>999.19999999999993</v>
      </c>
      <c r="K135" s="974">
        <f>(J135/J128-1)*100</f>
        <v>1.9071902090769699</v>
      </c>
      <c r="L135" s="1601">
        <v>1574.5</v>
      </c>
      <c r="M135" s="974">
        <f>(L135/L128-1)*100</f>
        <v>2.9825364641245189</v>
      </c>
      <c r="N135" s="975">
        <f>L135/$AR135*100</f>
        <v>35.052762812235635</v>
      </c>
      <c r="O135" s="975"/>
      <c r="P135" s="359">
        <f>yrSales!W85</f>
        <v>3.0679639999999999</v>
      </c>
      <c r="Q135" s="982">
        <f>AVERAGE(yrSales!V61,yrSales!W61)</f>
        <v>960</v>
      </c>
      <c r="R135" s="178">
        <f>'yrP&amp;L'!W18</f>
        <v>364.7</v>
      </c>
      <c r="S135" s="2">
        <f>R135/L135</f>
        <v>0.23162908859955542</v>
      </c>
      <c r="T135" s="178">
        <f>L135/AVERAGE(yrSales!W61,yrSales!V61)</f>
        <v>1.6401041666666667</v>
      </c>
      <c r="U135" s="178">
        <f>(L135-R135)/Q135</f>
        <v>1.2602083333333334</v>
      </c>
      <c r="V135" s="178">
        <f>J135/Q135</f>
        <v>1.0408333333333333</v>
      </c>
      <c r="W135" s="984">
        <f>J135/P135</f>
        <v>325.68830664245081</v>
      </c>
      <c r="X135" s="974">
        <f>(W135/W128-1)*100</f>
        <v>-0.32776898197698356</v>
      </c>
      <c r="Y135" s="61"/>
      <c r="Z135" s="1601">
        <v>285.7</v>
      </c>
      <c r="AA135" s="974">
        <f>(Z135/Z128-1)*100</f>
        <v>15.761750405186369</v>
      </c>
      <c r="AB135" s="975">
        <f>Z135/$AR135*100</f>
        <v>6.3604790952402164</v>
      </c>
      <c r="AC135" s="61"/>
      <c r="AD135" s="1601">
        <v>67.7</v>
      </c>
      <c r="AE135" s="974">
        <f>(AD135/AD128-1)*100</f>
        <v>-2.7298850574712485</v>
      </c>
      <c r="AF135" s="975">
        <f>AD135/$AR135*100</f>
        <v>1.5071908811612273</v>
      </c>
      <c r="AG135" s="61"/>
      <c r="AH135" s="1601">
        <v>347.9</v>
      </c>
      <c r="AI135" s="974">
        <f>(AH135/AH128-1)*100</f>
        <v>22.155898876404478</v>
      </c>
      <c r="AJ135" s="975">
        <f>AH135/$AR135*100</f>
        <v>7.7452246315508262</v>
      </c>
      <c r="AK135" s="61"/>
      <c r="AL135" s="999">
        <f>SUM(AL131:AL134)</f>
        <v>2275.8000000000002</v>
      </c>
      <c r="AM135" s="974">
        <f>(AL135/AL128-1)*100</f>
        <v>6.8400544575372146</v>
      </c>
      <c r="AN135" s="975">
        <f>AL135/$AR135*100</f>
        <v>50.665657420187912</v>
      </c>
      <c r="AO135" s="976"/>
      <c r="AP135" s="978">
        <f>ROUND('qtrP&amp;L'!CJ34,1)</f>
        <v>2275.8000000000002</v>
      </c>
      <c r="AR135" s="144">
        <f>'qtrP&amp;L'!CJ14</f>
        <v>4491.7999999999993</v>
      </c>
    </row>
    <row r="136" spans="1:44" ht="10.5" customHeight="1">
      <c r="A136" s="956"/>
      <c r="E136" s="61"/>
      <c r="F136" s="61"/>
      <c r="G136" s="61"/>
      <c r="H136" s="61"/>
      <c r="I136" s="61"/>
      <c r="J136" s="61"/>
      <c r="K136" s="61"/>
      <c r="L136" s="999">
        <f>L135-L128</f>
        <v>45.599999999999909</v>
      </c>
      <c r="M136" s="974"/>
      <c r="N136" s="975"/>
      <c r="O136" s="975"/>
      <c r="P136" s="975"/>
      <c r="Q136" s="975"/>
      <c r="R136" s="178"/>
      <c r="S136" s="178"/>
      <c r="T136" s="1008"/>
      <c r="U136" s="975"/>
      <c r="V136" s="975"/>
      <c r="W136" s="89">
        <f>W135/W121-1</f>
        <v>-0.11590266679138006</v>
      </c>
      <c r="X136" s="975"/>
      <c r="Y136" s="61"/>
      <c r="Z136" s="999">
        <f>Z135-Z128</f>
        <v>38.899999999999977</v>
      </c>
      <c r="AA136" s="974"/>
      <c r="AB136" s="975"/>
      <c r="AC136" s="61"/>
      <c r="AD136" s="999"/>
      <c r="AE136" s="974"/>
      <c r="AF136" s="975"/>
      <c r="AG136" s="61"/>
      <c r="AH136" s="999">
        <f>AH135-AH128</f>
        <v>63.099999999999966</v>
      </c>
      <c r="AI136" s="974"/>
      <c r="AJ136" s="975"/>
      <c r="AK136" s="61"/>
      <c r="AL136" s="90"/>
      <c r="AM136" s="974"/>
      <c r="AN136" s="975"/>
      <c r="AO136" s="976"/>
      <c r="AP136" s="978"/>
      <c r="AR136" s="144"/>
    </row>
    <row r="137" spans="1:44" ht="10.5" customHeight="1">
      <c r="A137" s="956"/>
      <c r="B137" s="965">
        <v>2017</v>
      </c>
      <c r="C137" s="997"/>
      <c r="D137" s="998"/>
      <c r="E137" s="997"/>
      <c r="F137" s="61"/>
      <c r="G137" s="61"/>
      <c r="H137" s="61"/>
      <c r="I137" s="61"/>
      <c r="J137" s="61"/>
      <c r="K137" s="61"/>
      <c r="L137" s="999"/>
      <c r="M137" s="974"/>
      <c r="N137" s="975"/>
      <c r="O137" s="975"/>
      <c r="P137" s="359"/>
      <c r="Q137" s="982"/>
      <c r="R137" s="178"/>
      <c r="S137" s="178"/>
      <c r="T137" s="178"/>
      <c r="U137" s="89"/>
      <c r="V137" s="178"/>
      <c r="W137" s="178"/>
      <c r="X137" s="975"/>
      <c r="Y137" s="61"/>
      <c r="Z137" s="999"/>
      <c r="AA137" s="974"/>
      <c r="AB137" s="975"/>
      <c r="AC137" s="61"/>
      <c r="AD137" s="999"/>
      <c r="AE137" s="974"/>
      <c r="AF137" s="975"/>
      <c r="AG137" s="61"/>
      <c r="AH137" s="999"/>
      <c r="AI137" s="974"/>
      <c r="AJ137" s="975"/>
      <c r="AK137" s="61"/>
      <c r="AL137" s="999"/>
      <c r="AM137" s="974"/>
      <c r="AN137" s="975"/>
      <c r="AO137" s="976"/>
      <c r="AP137" s="978"/>
      <c r="AR137" s="144"/>
    </row>
    <row r="138" spans="1:44" ht="10.5" customHeight="1">
      <c r="A138" s="956" t="s">
        <v>457</v>
      </c>
      <c r="B138" s="61" t="s">
        <v>63</v>
      </c>
      <c r="C138" s="61"/>
      <c r="D138" s="981">
        <f>'qtrP&amp;L'!CN207</f>
        <v>52.3</v>
      </c>
      <c r="E138" s="61"/>
      <c r="F138" s="979">
        <f>R$142/4</f>
        <v>94.098749999999995</v>
      </c>
      <c r="G138" s="1653">
        <f>(F138/F131-1)*100</f>
        <v>3.2067452700849985</v>
      </c>
      <c r="H138" s="979">
        <f>L138-F138</f>
        <v>286.90125</v>
      </c>
      <c r="I138" s="974">
        <f>(H138/H131-1)*100</f>
        <v>3.9403133774114751</v>
      </c>
      <c r="J138" s="981">
        <f>L138-F138-D138</f>
        <v>234.60124999999999</v>
      </c>
      <c r="K138" s="974">
        <f>(J138/J131-1)*100</f>
        <v>5.8550479413423728</v>
      </c>
      <c r="L138" s="1632">
        <v>381</v>
      </c>
      <c r="M138" s="974">
        <f>(L138/L131-1)*100</f>
        <v>3.7581699346405317</v>
      </c>
      <c r="N138" s="975">
        <f>L138/$AR138*100</f>
        <v>36.719352351580575</v>
      </c>
      <c r="O138" s="975"/>
      <c r="P138" s="359"/>
      <c r="Q138" s="982">
        <f>AVERAGE(CoachNAqtrSalesOld!L162,CoachNAqtrSalesOld!L166)</f>
        <v>953.5</v>
      </c>
      <c r="R138" s="178"/>
      <c r="S138" s="178"/>
      <c r="T138" s="1004">
        <f>L138/Q138</f>
        <v>0.39958049292081804</v>
      </c>
      <c r="U138" s="2"/>
      <c r="V138" s="178">
        <f>AVERAGE(T138,T131,T124,T117,T110)</f>
        <v>0.3825788178100904</v>
      </c>
      <c r="W138" s="178"/>
      <c r="X138" s="975"/>
      <c r="Y138" s="61"/>
      <c r="Z138" s="1641">
        <v>62.8</v>
      </c>
      <c r="AA138" s="974">
        <f>(Z138/Z131-1)*100</f>
        <v>-9.1172214182344451</v>
      </c>
      <c r="AB138" s="975">
        <f>Z138/$AR138*100</f>
        <v>6.0524286815728603</v>
      </c>
      <c r="AC138" s="61"/>
      <c r="AD138" s="1641">
        <v>15.2</v>
      </c>
      <c r="AE138" s="974">
        <f>(AD138/AD131-1)*100</f>
        <v>-7.8787878787878851</v>
      </c>
      <c r="AF138" s="975">
        <f>AD138/$AR138*100</f>
        <v>1.4649190439475714</v>
      </c>
      <c r="AG138" s="61"/>
      <c r="AH138" s="1641">
        <v>79.3</v>
      </c>
      <c r="AI138" s="974">
        <f>(AH138/AH131-1)*100</f>
        <v>-0.37688442211054607</v>
      </c>
      <c r="AJ138" s="975">
        <f>AH138/$AR138*100</f>
        <v>7.6426368542791057</v>
      </c>
      <c r="AK138" s="61"/>
      <c r="AL138" s="970">
        <f>ROUND((AH138+AD138+Z138+L138),1)</f>
        <v>538.29999999999995</v>
      </c>
      <c r="AM138" s="974">
        <f>(AL138/AL131-1)*100</f>
        <v>1.1081893313298119</v>
      </c>
      <c r="AN138" s="975">
        <f>AL138/$AR138*100</f>
        <v>51.879336931380102</v>
      </c>
      <c r="AO138" s="976"/>
      <c r="AP138" s="978">
        <f>ROUND('qtrP&amp;L'!CN30,1)</f>
        <v>538.29999999999995</v>
      </c>
      <c r="AR138" s="144">
        <f>'qtrP&amp;L'!CN10</f>
        <v>1037.5999999999999</v>
      </c>
    </row>
    <row r="139" spans="1:44" ht="10.5" customHeight="1">
      <c r="A139" s="956" t="s">
        <v>458</v>
      </c>
      <c r="B139" s="61" t="s">
        <v>167</v>
      </c>
      <c r="C139" s="61"/>
      <c r="D139" s="981">
        <f>'qtrP&amp;L'!CN208</f>
        <v>47.900000000000006</v>
      </c>
      <c r="E139" s="61"/>
      <c r="F139" s="718">
        <f>R$142/4</f>
        <v>94.098749999999995</v>
      </c>
      <c r="G139" s="1653">
        <f>(F139/F132-1)*100</f>
        <v>3.2067452700849985</v>
      </c>
      <c r="H139" s="718">
        <f>L139-F139</f>
        <v>336.40125</v>
      </c>
      <c r="I139" s="974">
        <f>(H139/H132-1)*100</f>
        <v>4.6593295481060837</v>
      </c>
      <c r="J139" s="981">
        <f>L139-F139-D139</f>
        <v>288.50125000000003</v>
      </c>
      <c r="K139" s="974">
        <f>(J139/J132-1)*100</f>
        <v>7.3592892362080109</v>
      </c>
      <c r="L139" s="1641">
        <v>430.5</v>
      </c>
      <c r="M139" s="974">
        <f>(L139/L132-1)*100</f>
        <v>4.338342220067859</v>
      </c>
      <c r="N139" s="975">
        <f>L139/$AR139*100</f>
        <v>32.571687977604597</v>
      </c>
      <c r="O139" s="975"/>
      <c r="P139" s="359"/>
      <c r="Q139" s="982">
        <f>AVERAGE(CoachNAqtrSalesOld!L166,CoachNAqtrSalesOld!L167)</f>
        <v>956</v>
      </c>
      <c r="R139" s="178"/>
      <c r="S139" s="178"/>
      <c r="T139" s="359">
        <f>L139/Q139</f>
        <v>0.45031380753138073</v>
      </c>
      <c r="U139" s="89"/>
      <c r="V139" s="2"/>
      <c r="W139" s="178"/>
      <c r="X139" s="975"/>
      <c r="Y139" s="61"/>
      <c r="Z139" s="1641">
        <v>75.599999999999994</v>
      </c>
      <c r="AA139" s="974">
        <f>(Z139/Z132-1)*100</f>
        <v>11.504424778761058</v>
      </c>
      <c r="AB139" s="975">
        <f>Z139/$AR139*100</f>
        <v>5.7199061814330019</v>
      </c>
      <c r="AC139" s="61"/>
      <c r="AD139" s="1641">
        <v>15.5</v>
      </c>
      <c r="AE139" s="974">
        <f>(AD139/AD132-1)*100</f>
        <v>-16.216216216216218</v>
      </c>
      <c r="AF139" s="975">
        <f>AD139/$AR139*100</f>
        <v>1.1727320874631157</v>
      </c>
      <c r="AG139" s="61"/>
      <c r="AH139" s="1641">
        <v>90.5</v>
      </c>
      <c r="AI139" s="974">
        <f>(AH139/AH132-1)*100</f>
        <v>20.345744680851062</v>
      </c>
      <c r="AJ139" s="975">
        <f>AH139/$AR139*100</f>
        <v>6.8472421880910943</v>
      </c>
      <c r="AK139" s="61"/>
      <c r="AL139" s="1003">
        <f>ROUND((AH139+AD139+Z139+L139),1)</f>
        <v>612.1</v>
      </c>
      <c r="AM139" s="974">
        <f>(AL139/AL132-1)*100</f>
        <v>6.6190559136038996</v>
      </c>
      <c r="AN139" s="975">
        <f>AL139/$AR139*100</f>
        <v>46.311568434591813</v>
      </c>
      <c r="AO139" s="976"/>
      <c r="AP139" s="978">
        <f>ROUND('qtrP&amp;L'!CN31,1)</f>
        <v>612.1</v>
      </c>
      <c r="AR139" s="144">
        <f>'qtrP&amp;L'!CN11</f>
        <v>1321.7</v>
      </c>
    </row>
    <row r="140" spans="1:44" ht="10.5" customHeight="1">
      <c r="A140" s="956" t="s">
        <v>459</v>
      </c>
      <c r="B140" s="61" t="s">
        <v>166</v>
      </c>
      <c r="C140" s="61"/>
      <c r="D140" s="981">
        <f>'qtrP&amp;L'!CN209</f>
        <v>48.499999999999986</v>
      </c>
      <c r="E140" s="61"/>
      <c r="F140" s="718">
        <f>R$142/4</f>
        <v>94.098749999999995</v>
      </c>
      <c r="G140" s="1653">
        <f>(F140/F133-1)*100</f>
        <v>3.2067452700849985</v>
      </c>
      <c r="H140" s="718">
        <f>L140-F140</f>
        <v>286.30124999999998</v>
      </c>
      <c r="I140" s="974">
        <f>(H140/H133-1)*100</f>
        <v>0.83692876639955838</v>
      </c>
      <c r="J140" s="981">
        <f>L140-F140-D140</f>
        <v>237.80124999999998</v>
      </c>
      <c r="K140" s="974">
        <f>(J140/J133-1)*100</f>
        <v>1.4402260851018367</v>
      </c>
      <c r="L140" s="1935">
        <v>380.4</v>
      </c>
      <c r="M140" s="974">
        <f>(L140/L133-1)*100</f>
        <v>1.412956544921351</v>
      </c>
      <c r="N140" s="975">
        <f>L140/$AR140*100</f>
        <v>38.223472668810288</v>
      </c>
      <c r="O140" s="975"/>
      <c r="P140" s="359"/>
      <c r="Q140" s="982" t="e">
        <f>AVERAGE(#REF!,#REF!)</f>
        <v>#REF!</v>
      </c>
      <c r="R140" s="178"/>
      <c r="S140" s="178"/>
      <c r="T140" s="359" t="e">
        <f>L140/Q140</f>
        <v>#REF!</v>
      </c>
      <c r="U140" s="178"/>
      <c r="V140" s="178"/>
      <c r="W140" s="178"/>
      <c r="X140" s="975"/>
      <c r="Y140" s="61"/>
      <c r="Z140" s="1935">
        <v>63.2</v>
      </c>
      <c r="AA140" s="974">
        <f>(Z140/Z133-1)*100</f>
        <v>-10.354609929078007</v>
      </c>
      <c r="AB140" s="975">
        <f>Z140/$AR140*100</f>
        <v>6.3504823151125409</v>
      </c>
      <c r="AC140" s="61"/>
      <c r="AD140" s="1935">
        <v>14.3</v>
      </c>
      <c r="AE140" s="974">
        <f>(AD140/AD133-1)*100</f>
        <v>-10.062893081761004</v>
      </c>
      <c r="AF140" s="975">
        <f>AD140/$AR140*100</f>
        <v>1.4368971061093248</v>
      </c>
      <c r="AG140" s="61"/>
      <c r="AH140" s="1935">
        <v>85.8</v>
      </c>
      <c r="AI140" s="974">
        <f>(AH140/AH133-1)*100</f>
        <v>-13.941825476429292</v>
      </c>
      <c r="AJ140" s="975">
        <f>AH140/$AR140*100</f>
        <v>8.6213826366559481</v>
      </c>
      <c r="AK140" s="61"/>
      <c r="AL140" s="994">
        <f>ROUND((AH140+AD140+Z140+L140),1)</f>
        <v>543.70000000000005</v>
      </c>
      <c r="AM140" s="974">
        <f>(AL140/AL133-1)*100</f>
        <v>-3.1183178902352116</v>
      </c>
      <c r="AN140" s="975">
        <f>AL140/$AR140*100</f>
        <v>54.632234726688097</v>
      </c>
      <c r="AO140" s="976"/>
      <c r="AP140" s="978">
        <f>ROUND('qtrP&amp;L'!CN32,1)</f>
        <v>543.70000000000005</v>
      </c>
      <c r="AR140" s="144">
        <f>'qtrP&amp;L'!CN12</f>
        <v>995.2</v>
      </c>
    </row>
    <row r="141" spans="1:44" ht="10.5" customHeight="1">
      <c r="A141" s="956" t="s">
        <v>460</v>
      </c>
      <c r="B141" s="61" t="s">
        <v>62</v>
      </c>
      <c r="C141" s="61"/>
      <c r="D141" s="981">
        <f>'qtrP&amp;L'!CN210</f>
        <v>64.100000000000023</v>
      </c>
      <c r="E141" s="61"/>
      <c r="F141" s="718">
        <f>R$142/4</f>
        <v>94.098749999999995</v>
      </c>
      <c r="G141" s="1653">
        <f>(F141/F134-1)*100</f>
        <v>3.2067452700849985</v>
      </c>
      <c r="H141" s="718">
        <f>L141-F141</f>
        <v>318.10124999999982</v>
      </c>
      <c r="I141" s="974">
        <f>(H141/H134-1)*100</f>
        <v>-3.1434117378397186</v>
      </c>
      <c r="J141" s="981">
        <f>L141-F141-D141</f>
        <v>254.0012499999998</v>
      </c>
      <c r="K141" s="974">
        <f>(J141/J134-1)*100</f>
        <v>-7.4423795208162886</v>
      </c>
      <c r="L141" s="1005">
        <f>L142-SUM(L138:L140)</f>
        <v>412.19999999999982</v>
      </c>
      <c r="M141" s="974">
        <f>(L141/L134-1)*100</f>
        <v>-1.7635843660629424</v>
      </c>
      <c r="N141" s="975">
        <f>L141/$AR141*100</f>
        <v>36.355618274827997</v>
      </c>
      <c r="O141" s="975"/>
      <c r="P141" s="359"/>
      <c r="Q141" s="982">
        <f>AVERAGE(CoachNAqtrSalesOld!L168,CoachNAqtrSalesOld!L169)</f>
        <v>959.5</v>
      </c>
      <c r="R141" s="178"/>
      <c r="S141" s="178"/>
      <c r="T141" s="359">
        <f>L141/Q141</f>
        <v>0.42959874934861886</v>
      </c>
      <c r="U141" s="178"/>
      <c r="V141" s="178"/>
      <c r="W141" s="178"/>
      <c r="X141" s="975"/>
      <c r="Y141" s="61"/>
      <c r="Z141" s="972">
        <f>Z142-SUM(Z138:Z140)</f>
        <v>60.000000000000057</v>
      </c>
      <c r="AA141" s="974">
        <f>(Z141/Z134-1)*100</f>
        <v>-23.371647509578487</v>
      </c>
      <c r="AB141" s="975">
        <f>Z141/$AR141*100</f>
        <v>5.2919386135120883</v>
      </c>
      <c r="AC141" s="61"/>
      <c r="AD141" s="972">
        <f>AD142-SUM(AD138:AD140)</f>
        <v>15.200000000000003</v>
      </c>
      <c r="AE141" s="974">
        <f>(AD141/AD134-1)*100</f>
        <v>-9.5238095238095344</v>
      </c>
      <c r="AF141" s="975">
        <f>AD141/$AR141*100</f>
        <v>1.3406244487563947</v>
      </c>
      <c r="AG141" s="61"/>
      <c r="AH141" s="1005">
        <f>AH142-SUM(AH138:AH140)</f>
        <v>90</v>
      </c>
      <c r="AI141" s="974">
        <f>(AH141/AH134-1)*100</f>
        <v>-3.6402569593147471</v>
      </c>
      <c r="AJ141" s="975">
        <f>AH141/$AR141*100</f>
        <v>7.9379079202681249</v>
      </c>
      <c r="AK141" s="61"/>
      <c r="AL141" s="995">
        <f>ROUND((AH141+AD141+Z141+L141),1)</f>
        <v>577.4</v>
      </c>
      <c r="AM141" s="974">
        <f>(AL141/AL134-1)*100</f>
        <v>-5.0485117579345591</v>
      </c>
      <c r="AN141" s="975">
        <f>AL141/$AR141*100</f>
        <v>50.926089257364616</v>
      </c>
      <c r="AO141" s="976"/>
      <c r="AP141" s="978">
        <f>ROUND('qtrP&amp;L'!CN33,1)</f>
        <v>577.29999999999995</v>
      </c>
      <c r="AR141" s="144">
        <f>'qtrP&amp;L'!CN13</f>
        <v>1133.8</v>
      </c>
    </row>
    <row r="142" spans="1:44" ht="10.5" customHeight="1">
      <c r="A142" s="956"/>
      <c r="B142" s="61" t="s">
        <v>461</v>
      </c>
      <c r="C142" s="61"/>
      <c r="D142" s="981">
        <f>'yrP&amp;L'!X48</f>
        <v>213.6</v>
      </c>
      <c r="F142" s="979">
        <f>SUM(F138:F141)</f>
        <v>376.39499999999998</v>
      </c>
      <c r="G142" s="1653">
        <f>(F142/F135-1)*100</f>
        <v>3.2067452700849985</v>
      </c>
      <c r="H142" s="979">
        <f>L142-F142</f>
        <v>1227.7049999999999</v>
      </c>
      <c r="I142" s="974">
        <f>(H142/H135-1)*100</f>
        <v>1.4799966936683617</v>
      </c>
      <c r="J142" s="983">
        <f>L142-F142-D142</f>
        <v>1014.1049999999999</v>
      </c>
      <c r="K142" s="974">
        <f>(J142/J135-1)*100</f>
        <v>1.4916933546837541</v>
      </c>
      <c r="L142" s="2083">
        <v>1604.1</v>
      </c>
      <c r="M142" s="974">
        <f>(L142/L135-1)*100</f>
        <v>1.879961892664328</v>
      </c>
      <c r="N142" s="975">
        <f>L142/$AR142*100</f>
        <v>35.739589599625688</v>
      </c>
      <c r="O142" s="975"/>
      <c r="P142" s="359">
        <f>yrSales!X85</f>
        <v>3.0330234999999997</v>
      </c>
      <c r="Q142" s="982">
        <f>AVERAGE(yrSales!X61,yrSales!W61)</f>
        <v>959.5</v>
      </c>
      <c r="R142" s="178">
        <f>'yrP&amp;L'!X18</f>
        <v>376.39499999999998</v>
      </c>
      <c r="S142" s="2">
        <f>R142/L142</f>
        <v>0.23464559566111839</v>
      </c>
      <c r="T142" s="178">
        <f>L142/AVERAGE(yrSales!W61,yrSales!X61)</f>
        <v>1.6718082334549242</v>
      </c>
      <c r="U142" s="178">
        <f>(L142-R142)/Q142</f>
        <v>1.2795257946847316</v>
      </c>
      <c r="V142" s="178">
        <f>J142/Q142</f>
        <v>1.0569098488796247</v>
      </c>
      <c r="W142" s="984">
        <f>J142/P142</f>
        <v>334.35448159237802</v>
      </c>
      <c r="X142" s="974">
        <f>(W142/W135-1)*100</f>
        <v>2.6608799803921723</v>
      </c>
      <c r="Y142" s="61"/>
      <c r="Z142" s="2083">
        <v>261.60000000000002</v>
      </c>
      <c r="AA142" s="974">
        <f>(Z142/Z135-1)*100</f>
        <v>-8.4354217710885475</v>
      </c>
      <c r="AB142" s="975">
        <f>Z142/$AR142*100</f>
        <v>5.8284874005748284</v>
      </c>
      <c r="AC142" s="61"/>
      <c r="AD142" s="2083">
        <v>60.2</v>
      </c>
      <c r="AE142" s="974">
        <f>(AD142/AD135-1)*100</f>
        <v>-11.07828655834564</v>
      </c>
      <c r="AF142" s="975">
        <f>AD142/$AR142*100</f>
        <v>1.3412650669518527</v>
      </c>
      <c r="AG142" s="61"/>
      <c r="AH142" s="2083">
        <v>345.6</v>
      </c>
      <c r="AI142" s="974">
        <f>(AH142/AH135-1)*100</f>
        <v>-0.66110951422820863</v>
      </c>
      <c r="AJ142" s="975">
        <f>AH142/$AR142*100</f>
        <v>7.7000200521355531</v>
      </c>
      <c r="AK142" s="61"/>
      <c r="AL142" s="999">
        <f>SUM(AL138:AL141)</f>
        <v>2271.5</v>
      </c>
      <c r="AM142" s="974">
        <f>(AL142/AL135-1)*100</f>
        <v>-0.18894454697250262</v>
      </c>
      <c r="AN142" s="975">
        <f>AL142/$AR142*100</f>
        <v>50.609362119287923</v>
      </c>
      <c r="AO142" s="976"/>
      <c r="AP142" s="978">
        <f>ROUND('qtrP&amp;L'!CN34,1)</f>
        <v>2271.4</v>
      </c>
      <c r="AR142" s="144">
        <f>'qtrP&amp;L'!CN14</f>
        <v>4488.3</v>
      </c>
    </row>
    <row r="143" spans="1:44">
      <c r="A143" s="61"/>
      <c r="B143" s="61"/>
      <c r="C143" s="61"/>
      <c r="D143" s="61"/>
      <c r="E143" s="61"/>
      <c r="F143" s="61"/>
      <c r="G143" s="61"/>
      <c r="H143" s="61"/>
      <c r="I143" s="61"/>
      <c r="J143" s="61"/>
      <c r="K143" s="61"/>
      <c r="L143" s="999">
        <f>L142-L135</f>
        <v>29.599999999999909</v>
      </c>
      <c r="M143" s="61"/>
      <c r="N143" s="316"/>
      <c r="O143" s="316"/>
      <c r="P143" s="316"/>
      <c r="Q143" s="316"/>
      <c r="R143" s="178"/>
      <c r="S143" s="178"/>
      <c r="T143" s="316"/>
      <c r="U143" s="316"/>
      <c r="V143" s="316"/>
      <c r="W143" s="316"/>
      <c r="X143" s="316"/>
      <c r="Y143" s="61"/>
      <c r="Z143" s="999">
        <f>Z142-Z135</f>
        <v>-24.099999999999966</v>
      </c>
      <c r="AA143" s="61"/>
      <c r="AB143" s="316"/>
      <c r="AC143" s="61"/>
      <c r="AD143" s="61"/>
      <c r="AE143" s="61"/>
      <c r="AF143" s="316"/>
      <c r="AG143" s="61"/>
      <c r="AH143" s="61"/>
      <c r="AI143" s="61"/>
      <c r="AJ143" s="316"/>
      <c r="AK143" s="61"/>
      <c r="AL143" s="61"/>
      <c r="AM143" s="61"/>
      <c r="AN143" s="61"/>
      <c r="AO143" s="61"/>
      <c r="AP143" s="61"/>
      <c r="AQ143" s="61"/>
      <c r="AR143" s="61"/>
    </row>
    <row r="144" spans="1:44" ht="10.5" customHeight="1" outlineLevel="1">
      <c r="A144" s="956"/>
      <c r="B144" s="997" t="s">
        <v>12</v>
      </c>
      <c r="C144" s="997"/>
      <c r="D144" s="998"/>
      <c r="E144" s="997"/>
      <c r="F144" s="61"/>
      <c r="G144" s="61"/>
      <c r="H144" s="61"/>
      <c r="I144" s="61"/>
      <c r="J144" s="61"/>
      <c r="K144" s="61"/>
      <c r="L144" s="999"/>
      <c r="M144" s="974"/>
      <c r="N144" s="975"/>
      <c r="O144" s="975"/>
      <c r="P144" s="359"/>
      <c r="Q144" s="982"/>
      <c r="R144" s="178"/>
      <c r="S144" s="178"/>
      <c r="T144" s="178"/>
      <c r="U144" s="89"/>
      <c r="V144" s="178"/>
      <c r="W144" s="178"/>
      <c r="X144" s="975"/>
      <c r="Y144" s="61"/>
      <c r="Z144" s="999"/>
      <c r="AA144" s="974"/>
      <c r="AB144" s="975"/>
      <c r="AC144" s="61"/>
      <c r="AD144" s="999"/>
      <c r="AE144" s="974"/>
      <c r="AF144" s="975"/>
      <c r="AG144" s="61"/>
      <c r="AH144" s="999"/>
      <c r="AI144" s="974"/>
      <c r="AJ144" s="975"/>
      <c r="AK144" s="61"/>
      <c r="AL144" s="999"/>
      <c r="AM144" s="974"/>
      <c r="AN144" s="975"/>
      <c r="AO144" s="976"/>
      <c r="AP144" s="978"/>
      <c r="AR144" s="144"/>
    </row>
    <row r="145" spans="1:44" ht="10.5" customHeight="1" outlineLevel="1">
      <c r="A145" s="956" t="s">
        <v>457</v>
      </c>
      <c r="B145" s="61" t="s">
        <v>63</v>
      </c>
      <c r="C145" s="61"/>
      <c r="D145" s="981">
        <f>'qtrP&amp;L'!CR207</f>
        <v>65</v>
      </c>
      <c r="E145" s="61"/>
      <c r="F145" s="979">
        <f>R$149/4</f>
        <v>125.36427762118086</v>
      </c>
      <c r="G145" s="1653">
        <f>(F145/F138-1)*100</f>
        <v>33.226294314409976</v>
      </c>
      <c r="H145" s="979">
        <f>L145-F145</f>
        <v>267.06572237881915</v>
      </c>
      <c r="I145" s="974">
        <f>(H145/H138-1)*100</f>
        <v>-6.9137125129921433</v>
      </c>
      <c r="J145" s="981">
        <f>L145-F145-D145</f>
        <v>202.06572237881915</v>
      </c>
      <c r="K145" s="974">
        <f>(J145/J138-1)*100</f>
        <v>-13.86843745341546</v>
      </c>
      <c r="L145" s="1007">
        <f>L138*(1+M145/100)</f>
        <v>392.43</v>
      </c>
      <c r="M145" s="1602">
        <v>3</v>
      </c>
      <c r="N145" s="975">
        <f>L145/$AR145*100</f>
        <v>30.446892699200866</v>
      </c>
      <c r="O145" s="975"/>
      <c r="P145" s="359"/>
      <c r="Q145" s="982">
        <f>AVERAGE(CoachNAqtrSalesOld!L169,CoachNAqtrSalesOld!L173)</f>
        <v>962</v>
      </c>
      <c r="R145" s="178"/>
      <c r="S145" s="178"/>
      <c r="T145" s="1004">
        <f>L145/Q145</f>
        <v>0.40793139293139291</v>
      </c>
      <c r="U145" s="2"/>
      <c r="V145" s="178">
        <f>AVERAGE(T145,T138,T131,T124,T117)</f>
        <v>0.38386693125875426</v>
      </c>
      <c r="W145" s="178"/>
      <c r="X145" s="975"/>
      <c r="Y145" s="61"/>
      <c r="Z145" s="718">
        <f>Z138*(1+AA145/100)</f>
        <v>62.8</v>
      </c>
      <c r="AA145" s="1602">
        <v>0</v>
      </c>
      <c r="AB145" s="975">
        <f>Z145/$AR145*100</f>
        <v>4.8723717898983621</v>
      </c>
      <c r="AC145" s="61"/>
      <c r="AD145" s="718">
        <f>AD138*(1+AE145/100)</f>
        <v>13.68</v>
      </c>
      <c r="AE145" s="1602">
        <v>-10</v>
      </c>
      <c r="AF145" s="975">
        <f>AD145/$AR145*100</f>
        <v>1.0613701606020636</v>
      </c>
      <c r="AG145" s="61"/>
      <c r="AH145" s="718">
        <f>AH138*(1+AI145/100)</f>
        <v>83.265000000000001</v>
      </c>
      <c r="AI145" s="1602">
        <v>5</v>
      </c>
      <c r="AJ145" s="975">
        <f>AH145/$AR145*100</f>
        <v>6.460159826208395</v>
      </c>
      <c r="AK145" s="61"/>
      <c r="AL145" s="970">
        <f>ROUND((AH145+AD145+Z145+L145),1)</f>
        <v>552.20000000000005</v>
      </c>
      <c r="AM145" s="974">
        <f>(AL145/AL138-1)*100</f>
        <v>2.5822032323983057</v>
      </c>
      <c r="AN145" s="975">
        <f>AL145/$AR145*100</f>
        <v>42.842734114361086</v>
      </c>
      <c r="AO145" s="976"/>
      <c r="AP145" s="978">
        <f>ROUND('qtrP&amp;L'!CR30,1)</f>
        <v>684</v>
      </c>
      <c r="AR145" s="144">
        <f>'qtrP&amp;L'!CR10</f>
        <v>1288.9000000000001</v>
      </c>
    </row>
    <row r="146" spans="1:44" ht="10.5" customHeight="1" outlineLevel="1">
      <c r="A146" s="956" t="s">
        <v>458</v>
      </c>
      <c r="B146" s="61" t="s">
        <v>167</v>
      </c>
      <c r="C146" s="61"/>
      <c r="D146" s="981">
        <f>'qtrP&amp;L'!CR208</f>
        <v>65</v>
      </c>
      <c r="E146" s="61"/>
      <c r="F146" s="718">
        <f>R$149/4</f>
        <v>125.36427762118086</v>
      </c>
      <c r="G146" s="1653">
        <f>(F146/F139-1)*100</f>
        <v>33.226294314409976</v>
      </c>
      <c r="H146" s="718">
        <f>L146-F146</f>
        <v>318.05072237881916</v>
      </c>
      <c r="I146" s="974">
        <f>(H146/H139-1)*100</f>
        <v>-5.454952269404723</v>
      </c>
      <c r="J146" s="981">
        <f>L146-F146-D146</f>
        <v>253.05072237881916</v>
      </c>
      <c r="K146" s="974">
        <f>(J146/J139-1)*100</f>
        <v>-12.287824618153598</v>
      </c>
      <c r="L146" s="718">
        <f>L139*(1+M146/100)</f>
        <v>443.41500000000002</v>
      </c>
      <c r="M146" s="1602">
        <v>3</v>
      </c>
      <c r="N146" s="975">
        <f>L146/$AR146*100</f>
        <v>24.841176470588238</v>
      </c>
      <c r="O146" s="975"/>
      <c r="P146" s="359"/>
      <c r="Q146" s="982">
        <f>AVERAGE(CoachNAqtrSalesOld!L173,CoachNAqtrSalesOld!L174)</f>
        <v>963.5</v>
      </c>
      <c r="R146" s="178"/>
      <c r="S146" s="178"/>
      <c r="T146" s="359">
        <f>L146/Q146</f>
        <v>0.46021276595744681</v>
      </c>
      <c r="U146" s="89"/>
      <c r="V146" s="2"/>
      <c r="W146" s="178"/>
      <c r="X146" s="975"/>
      <c r="Y146" s="61"/>
      <c r="Z146" s="718">
        <f>Z139*(1+AA146/100)</f>
        <v>75.599999999999994</v>
      </c>
      <c r="AA146" s="1602">
        <v>0</v>
      </c>
      <c r="AB146" s="975">
        <f>Z146/$AR146*100</f>
        <v>4.2352941176470589</v>
      </c>
      <c r="AC146" s="61"/>
      <c r="AD146" s="718">
        <f>AD139*(1+AE146/100)</f>
        <v>14.725</v>
      </c>
      <c r="AE146" s="1602">
        <v>-5</v>
      </c>
      <c r="AF146" s="975">
        <f>AD146/$AR146*100</f>
        <v>0.82492997198879547</v>
      </c>
      <c r="AG146" s="61"/>
      <c r="AH146" s="718">
        <f>AH139*(1+AI146/100)</f>
        <v>95.025000000000006</v>
      </c>
      <c r="AI146" s="1602">
        <v>5</v>
      </c>
      <c r="AJ146" s="975">
        <f>AH146/$AR146*100</f>
        <v>5.3235294117647065</v>
      </c>
      <c r="AK146" s="61"/>
      <c r="AL146" s="1003">
        <f>ROUND((AH146+AD146+Z146+L146),1)</f>
        <v>628.79999999999995</v>
      </c>
      <c r="AM146" s="974">
        <f>(AL146/AL139-1)*100</f>
        <v>2.7283123672602327</v>
      </c>
      <c r="AN146" s="975">
        <f>AL146/$AR146*100</f>
        <v>35.226890756302524</v>
      </c>
      <c r="AO146" s="976"/>
      <c r="AP146" s="978">
        <f>ROUND('qtrP&amp;L'!CR31,1)</f>
        <v>784.5</v>
      </c>
      <c r="AR146" s="144">
        <f>'qtrP&amp;L'!CR11</f>
        <v>1785</v>
      </c>
    </row>
    <row r="147" spans="1:44" ht="10.5" customHeight="1" outlineLevel="1">
      <c r="A147" s="956" t="s">
        <v>459</v>
      </c>
      <c r="B147" s="61" t="s">
        <v>166</v>
      </c>
      <c r="C147" s="61"/>
      <c r="D147" s="981">
        <f>'qtrP&amp;L'!CR209</f>
        <v>65</v>
      </c>
      <c r="E147" s="61"/>
      <c r="F147" s="718">
        <f>R$149/4</f>
        <v>125.36427762118086</v>
      </c>
      <c r="G147" s="1653">
        <f>(F147/F140-1)*100</f>
        <v>33.226294314409976</v>
      </c>
      <c r="H147" s="718">
        <f>L147-F147</f>
        <v>266.44772237881915</v>
      </c>
      <c r="I147" s="974">
        <f>(H147/H140-1)*100</f>
        <v>-6.9344886273394968</v>
      </c>
      <c r="J147" s="981">
        <f>L147-F147-D147</f>
        <v>201.44772237881915</v>
      </c>
      <c r="K147" s="974">
        <f>(J147/J140-1)*100</f>
        <v>-15.28735766577376</v>
      </c>
      <c r="L147" s="718">
        <f>L140*(1+M147/100)</f>
        <v>391.81200000000001</v>
      </c>
      <c r="M147" s="1602">
        <v>3</v>
      </c>
      <c r="N147" s="975">
        <f>L147/$AR147*100</f>
        <v>30.010085408196957</v>
      </c>
      <c r="O147" s="975"/>
      <c r="P147" s="359"/>
      <c r="Q147" s="982">
        <f>AVERAGE(CoachNAqtrSalesOld!L174,CoachNAqtrSalesOld!L175)</f>
        <v>973.5</v>
      </c>
      <c r="R147" s="178"/>
      <c r="S147" s="178"/>
      <c r="T147" s="359">
        <f>L147/Q147</f>
        <v>0.40247765793528506</v>
      </c>
      <c r="U147" s="178"/>
      <c r="V147" s="178"/>
      <c r="W147" s="178"/>
      <c r="X147" s="975"/>
      <c r="Y147" s="61"/>
      <c r="Z147" s="718">
        <f>Z140*(1+AA147/100)</f>
        <v>63.2</v>
      </c>
      <c r="AA147" s="1602">
        <v>0</v>
      </c>
      <c r="AB147" s="975">
        <f>Z147/$AR147*100</f>
        <v>4.8406822603647868</v>
      </c>
      <c r="AC147" s="61"/>
      <c r="AD147" s="718">
        <f>AD140*(1+AE147/100)</f>
        <v>13.585000000000001</v>
      </c>
      <c r="AE147" s="1602">
        <v>-5</v>
      </c>
      <c r="AF147" s="975">
        <f>AD147/$AR147*100</f>
        <v>1.0405169067572093</v>
      </c>
      <c r="AG147" s="61"/>
      <c r="AH147" s="718">
        <f>AH140*(1+AI147/100)</f>
        <v>90.09</v>
      </c>
      <c r="AI147" s="1602">
        <v>5</v>
      </c>
      <c r="AJ147" s="975">
        <f>AH147/$AR147*100</f>
        <v>6.9002700132320198</v>
      </c>
      <c r="AK147" s="61"/>
      <c r="AL147" s="994">
        <f>ROUND((AH147+AD147+Z147+L147),1)</f>
        <v>558.70000000000005</v>
      </c>
      <c r="AM147" s="974">
        <f>(AL147/AL140-1)*100</f>
        <v>2.7588743792532622</v>
      </c>
      <c r="AN147" s="975">
        <f>AL147/$AR147*100</f>
        <v>42.792550298509596</v>
      </c>
      <c r="AO147" s="976"/>
      <c r="AP147" s="978">
        <f>ROUND('qtrP&amp;L'!CR32,1)</f>
        <v>727.9</v>
      </c>
      <c r="AR147" s="144">
        <f>'qtrP&amp;L'!CR12</f>
        <v>1305.6010826712957</v>
      </c>
    </row>
    <row r="148" spans="1:44" ht="10.5" customHeight="1" outlineLevel="1">
      <c r="A148" s="956" t="s">
        <v>460</v>
      </c>
      <c r="B148" s="61" t="s">
        <v>62</v>
      </c>
      <c r="C148" s="61"/>
      <c r="D148" s="981">
        <f>'qtrP&amp;L'!CR210</f>
        <v>82.49471312631681</v>
      </c>
      <c r="E148" s="61"/>
      <c r="F148" s="718">
        <f>R$149/4</f>
        <v>125.36427762118086</v>
      </c>
      <c r="G148" s="1653">
        <f>(F148/F141-1)*100</f>
        <v>33.226294314409976</v>
      </c>
      <c r="H148" s="718">
        <f>L148-F148</f>
        <v>299.20172237881894</v>
      </c>
      <c r="I148" s="974">
        <f>(H148/H141-1)*100</f>
        <v>-5.9413559742946269</v>
      </c>
      <c r="J148" s="981">
        <f>L148-F148-D148</f>
        <v>216.70700925250213</v>
      </c>
      <c r="K148" s="974">
        <f>(J148/J141-1)*100</f>
        <v>-14.682699690453372</v>
      </c>
      <c r="L148" s="1005">
        <f>L141*(1+M148/100)</f>
        <v>424.5659999999998</v>
      </c>
      <c r="M148" s="1602">
        <v>3</v>
      </c>
      <c r="N148" s="975">
        <f>L148/$AR148*100</f>
        <v>29.252259988320901</v>
      </c>
      <c r="O148" s="975"/>
      <c r="P148" s="359"/>
      <c r="Q148" s="982">
        <f>AVERAGE(CoachNAqtrSalesOld!L175,CoachNAqtrSalesOld!L176)</f>
        <v>974.5</v>
      </c>
      <c r="R148" s="178"/>
      <c r="S148" s="178"/>
      <c r="T148" s="359">
        <f>L148/Q148</f>
        <v>0.43567573114417629</v>
      </c>
      <c r="U148" s="178"/>
      <c r="V148" s="178"/>
      <c r="W148" s="178"/>
      <c r="X148" s="975"/>
      <c r="Y148" s="61"/>
      <c r="Z148" s="1005">
        <f>Z141*(1+AA148/100)</f>
        <v>60.000000000000057</v>
      </c>
      <c r="AA148" s="1602">
        <v>0</v>
      </c>
      <c r="AB148" s="975">
        <f>Z148/$AR148*100</f>
        <v>4.1339523167169681</v>
      </c>
      <c r="AC148" s="61"/>
      <c r="AD148" s="1005">
        <f>AD141*(1+AE148/100)</f>
        <v>14.440000000000001</v>
      </c>
      <c r="AE148" s="1602">
        <v>-5</v>
      </c>
      <c r="AF148" s="975">
        <f>AD148/$AR148*100</f>
        <v>0.99490452422321629</v>
      </c>
      <c r="AG148" s="61"/>
      <c r="AH148" s="1005">
        <f>AH141*(1+AI148/100)</f>
        <v>94.5</v>
      </c>
      <c r="AI148" s="1602">
        <v>5</v>
      </c>
      <c r="AJ148" s="975">
        <f>AH148/$AR148*100</f>
        <v>6.5109748988292191</v>
      </c>
      <c r="AK148" s="61"/>
      <c r="AL148" s="995">
        <f>ROUND((AH148+AD148+Z148+L148),1)</f>
        <v>593.5</v>
      </c>
      <c r="AM148" s="974">
        <f>(AL148/AL141-1)*100</f>
        <v>2.7883616210599316</v>
      </c>
      <c r="AN148" s="975">
        <f>AL148/$AR148*100</f>
        <v>40.891678332858646</v>
      </c>
      <c r="AO148" s="976"/>
      <c r="AP148" s="978">
        <f>ROUND('qtrP&amp;L'!CR33,1)</f>
        <v>743.1</v>
      </c>
      <c r="AR148" s="144">
        <f>'qtrP&amp;L'!CR13</f>
        <v>1451.3955508720001</v>
      </c>
    </row>
    <row r="149" spans="1:44" ht="10.5" customHeight="1" outlineLevel="1">
      <c r="A149" s="956"/>
      <c r="B149" s="61" t="s">
        <v>461</v>
      </c>
      <c r="C149" s="61"/>
      <c r="D149" s="981">
        <f>'qtrP&amp;L'!CR211</f>
        <v>277.49471312631681</v>
      </c>
      <c r="F149" s="979">
        <f>SUM(F145:F148)</f>
        <v>501.45711048472344</v>
      </c>
      <c r="G149" s="1653">
        <f>(F149/F142-1)*100</f>
        <v>33.226294314409976</v>
      </c>
      <c r="H149" s="979">
        <f>L149-F149</f>
        <v>1150.7658895152765</v>
      </c>
      <c r="I149" s="974">
        <f>(H149/H142-1)*100</f>
        <v>-6.2669053628293003</v>
      </c>
      <c r="J149" s="983">
        <f>L149-F149-D149</f>
        <v>873.2711763889597</v>
      </c>
      <c r="K149" s="974">
        <f>(J149/J142-1)*100</f>
        <v>-13.887499185098207</v>
      </c>
      <c r="L149" s="999">
        <f>SUM(L145:L148)</f>
        <v>1652.223</v>
      </c>
      <c r="M149" s="974">
        <f>(L149/L142-1)*100</f>
        <v>3.0000000000000027</v>
      </c>
      <c r="N149" s="975">
        <f>L149/$AR149*100</f>
        <v>28.335659227695547</v>
      </c>
      <c r="O149" s="975"/>
      <c r="P149" s="359">
        <f>yrSales!Y85</f>
        <v>2.9746410000000001</v>
      </c>
      <c r="Q149" s="982">
        <f>AVERAGE(yrSales!X61,yrSales!Y61)</f>
        <v>966.5</v>
      </c>
      <c r="R149" s="178">
        <f>'yrP&amp;L'!Y18</f>
        <v>501.45711048472344</v>
      </c>
      <c r="S149" s="2">
        <f>R149/L149</f>
        <v>0.30350449696240972</v>
      </c>
      <c r="T149" s="178">
        <f>L149/AVERAGE(yrSales!Y61,yrSales!X61)</f>
        <v>1.7094909467149508</v>
      </c>
      <c r="U149" s="178">
        <f>(L149-R149)/Q149</f>
        <v>1.1906527568704361</v>
      </c>
      <c r="V149" s="178">
        <f>J149/Q149</f>
        <v>0.90353975829173272</v>
      </c>
      <c r="W149" s="984">
        <f>J149/P149</f>
        <v>293.57195587264471</v>
      </c>
      <c r="X149" s="974">
        <f>(W149/W142-1)*100</f>
        <v>-12.19739168008298</v>
      </c>
      <c r="Y149" s="61"/>
      <c r="Z149" s="999">
        <f>SUM(Z145:Z148)</f>
        <v>261.60000000000002</v>
      </c>
      <c r="AA149" s="974">
        <f>(Z149/Z142-1)*100</f>
        <v>0</v>
      </c>
      <c r="AB149" s="975">
        <f>Z149/$AR149*100</f>
        <v>4.4864455064268904</v>
      </c>
      <c r="AC149" s="61"/>
      <c r="AD149" s="999">
        <f>SUM(AD145:AD148)</f>
        <v>56.430000000000007</v>
      </c>
      <c r="AE149" s="974">
        <f>(AD149/AD142-1)*100</f>
        <v>-6.2624584717607901</v>
      </c>
      <c r="AF149" s="975">
        <f>AD149/$AR149*100</f>
        <v>0.96777568779690148</v>
      </c>
      <c r="AG149" s="61"/>
      <c r="AH149" s="999">
        <f>SUM(AH145:AH148)</f>
        <v>362.88</v>
      </c>
      <c r="AI149" s="974">
        <f>(AH149/AH142-1)*100</f>
        <v>4.9999999999999822</v>
      </c>
      <c r="AJ149" s="975">
        <f>AH149/$AR149*100</f>
        <v>6.2233996382728964</v>
      </c>
      <c r="AK149" s="61"/>
      <c r="AL149" s="999">
        <f>SUM(AL145:AL148)</f>
        <v>2333.1999999999998</v>
      </c>
      <c r="AM149" s="974">
        <f>(AL149/AL142-1)*100</f>
        <v>2.7162667840633814</v>
      </c>
      <c r="AN149" s="975">
        <f>AL149/$AR149*100</f>
        <v>40.014429111602517</v>
      </c>
      <c r="AO149" s="976"/>
      <c r="AP149" s="978">
        <f>ROUND('qtrP&amp;L'!CR34,1)</f>
        <v>2939.5</v>
      </c>
      <c r="AR149" s="144">
        <f>'qtrP&amp;L'!CR14</f>
        <v>5830.896633543296</v>
      </c>
    </row>
    <row r="150" spans="1:44" outlineLevel="1">
      <c r="A150" s="61"/>
      <c r="B150" s="61"/>
      <c r="C150" s="61"/>
      <c r="D150" s="61"/>
      <c r="E150" s="61"/>
      <c r="F150" s="61"/>
      <c r="G150" s="61"/>
      <c r="H150" s="61"/>
      <c r="I150" s="61"/>
      <c r="J150" s="61"/>
      <c r="K150" s="61"/>
      <c r="L150" s="999">
        <f>L149-L142</f>
        <v>48.123000000000047</v>
      </c>
      <c r="M150" s="61"/>
      <c r="N150" s="316"/>
      <c r="O150" s="316"/>
      <c r="P150" s="316"/>
      <c r="Q150" s="316"/>
      <c r="R150" s="178"/>
      <c r="S150" s="178"/>
      <c r="T150" s="316"/>
      <c r="U150" s="316"/>
      <c r="V150" s="316"/>
      <c r="W150" s="316"/>
      <c r="X150" s="316"/>
      <c r="Y150" s="61"/>
      <c r="Z150" s="999">
        <f>Z149-Z142</f>
        <v>0</v>
      </c>
      <c r="AA150" s="61"/>
      <c r="AB150" s="316"/>
      <c r="AC150" s="61"/>
      <c r="AD150" s="61"/>
      <c r="AE150" s="61"/>
      <c r="AF150" s="316"/>
      <c r="AG150" s="61"/>
      <c r="AH150" s="61"/>
      <c r="AI150" s="61"/>
      <c r="AJ150" s="316"/>
      <c r="AK150" s="61"/>
      <c r="AL150" s="61"/>
      <c r="AM150" s="61"/>
      <c r="AN150" s="61"/>
      <c r="AO150" s="61"/>
      <c r="AP150" s="61"/>
      <c r="AQ150" s="61"/>
      <c r="AR150" s="61"/>
    </row>
    <row r="151" spans="1:44">
      <c r="D151" s="61"/>
      <c r="E151" s="61"/>
      <c r="F151" s="61"/>
      <c r="G151" s="61"/>
      <c r="H151" s="61"/>
      <c r="I151" s="61"/>
      <c r="J151" s="61"/>
      <c r="K151" s="61"/>
      <c r="L151" s="999"/>
      <c r="M151" s="61"/>
      <c r="N151" s="316"/>
      <c r="O151" s="316"/>
      <c r="P151" s="316"/>
      <c r="Q151" s="316"/>
      <c r="R151" s="178"/>
      <c r="S151" s="178"/>
      <c r="T151" s="316"/>
      <c r="U151" s="316"/>
      <c r="V151" s="316"/>
      <c r="W151" s="316"/>
      <c r="X151" s="316"/>
      <c r="Y151" s="61"/>
      <c r="Z151" s="999"/>
      <c r="AA151" s="61"/>
      <c r="AB151" s="316"/>
      <c r="AC151" s="61"/>
      <c r="AD151" s="61"/>
      <c r="AE151" s="61"/>
      <c r="AF151" s="316"/>
      <c r="AG151" s="61"/>
      <c r="AH151" s="61"/>
      <c r="AI151" s="61"/>
      <c r="AJ151" s="316"/>
      <c r="AK151" s="61"/>
      <c r="AL151" s="61"/>
      <c r="AM151" s="61"/>
      <c r="AN151" s="61"/>
      <c r="AO151" s="61"/>
      <c r="AP151" s="61"/>
      <c r="AQ151" s="61"/>
      <c r="AR151" s="61"/>
    </row>
    <row r="152" spans="1:44">
      <c r="D152" s="61"/>
      <c r="E152" s="61"/>
      <c r="F152" s="61"/>
      <c r="G152" s="61"/>
      <c r="H152" s="61"/>
      <c r="I152" s="61"/>
      <c r="J152" s="61"/>
      <c r="K152" s="61"/>
      <c r="L152" s="999"/>
      <c r="M152" s="61"/>
      <c r="N152" s="316"/>
      <c r="O152" s="316"/>
      <c r="P152" s="316"/>
      <c r="Q152" s="316"/>
      <c r="R152" s="178"/>
      <c r="S152" s="178"/>
      <c r="T152" s="316"/>
      <c r="U152" s="316"/>
      <c r="V152" s="316"/>
      <c r="W152" s="316"/>
      <c r="X152" s="316"/>
      <c r="Y152" s="61"/>
      <c r="Z152" s="999"/>
      <c r="AA152" s="61"/>
      <c r="AB152" s="316"/>
      <c r="AC152" s="61"/>
      <c r="AD152" s="61"/>
      <c r="AE152" s="61"/>
      <c r="AF152" s="316"/>
      <c r="AG152" s="61"/>
      <c r="AH152" s="61"/>
      <c r="AI152" s="61"/>
      <c r="AJ152" s="316"/>
      <c r="AK152" s="61"/>
      <c r="AL152" s="61"/>
      <c r="AM152" s="61"/>
      <c r="AN152" s="61"/>
      <c r="AO152" s="61"/>
      <c r="AP152" s="61"/>
      <c r="AQ152" s="61"/>
      <c r="AR152" s="61"/>
    </row>
    <row r="153" spans="1:44">
      <c r="D153" s="61"/>
      <c r="E153" s="61"/>
      <c r="F153" s="61"/>
      <c r="G153" s="61"/>
      <c r="H153" s="61"/>
      <c r="I153" s="61"/>
      <c r="J153" s="61"/>
      <c r="K153" s="61"/>
      <c r="L153" s="999"/>
      <c r="M153" s="61"/>
      <c r="N153" s="316"/>
      <c r="O153" s="316"/>
      <c r="P153" s="316"/>
      <c r="Q153" s="316"/>
      <c r="R153" s="178"/>
      <c r="S153" s="178"/>
      <c r="T153" s="316"/>
      <c r="U153" s="316"/>
      <c r="V153" s="316"/>
      <c r="W153" s="316"/>
      <c r="X153" s="316"/>
      <c r="Y153" s="61"/>
      <c r="Z153" s="999"/>
      <c r="AA153" s="61"/>
      <c r="AB153" s="316"/>
      <c r="AC153" s="61"/>
      <c r="AD153" s="61"/>
      <c r="AE153" s="61"/>
      <c r="AF153" s="316"/>
      <c r="AG153" s="61"/>
      <c r="AH153" s="61"/>
      <c r="AI153" s="61"/>
      <c r="AJ153" s="316"/>
      <c r="AK153" s="61"/>
      <c r="AL153" s="61"/>
      <c r="AM153" s="61"/>
      <c r="AN153" s="61"/>
      <c r="AO153" s="61"/>
      <c r="AP153" s="61"/>
      <c r="AQ153" s="61"/>
      <c r="AR153" s="61"/>
    </row>
    <row r="154" spans="1:44">
      <c r="D154" s="61"/>
      <c r="E154" s="61"/>
      <c r="F154" s="61"/>
      <c r="G154" s="61"/>
      <c r="H154" s="61"/>
      <c r="I154" s="61"/>
      <c r="J154" s="61"/>
      <c r="K154" s="61"/>
      <c r="L154" s="999"/>
      <c r="M154" s="61"/>
      <c r="N154" s="316"/>
      <c r="O154" s="316"/>
      <c r="P154" s="316"/>
      <c r="Q154" s="316"/>
      <c r="R154" s="178"/>
      <c r="S154" s="178"/>
      <c r="T154" s="316"/>
      <c r="U154" s="316"/>
      <c r="V154" s="316"/>
      <c r="W154" s="316"/>
      <c r="X154" s="316"/>
      <c r="Y154" s="61"/>
      <c r="Z154" s="999"/>
      <c r="AA154" s="61"/>
      <c r="AB154" s="316"/>
      <c r="AC154" s="61"/>
      <c r="AD154" s="61"/>
      <c r="AE154" s="61"/>
      <c r="AF154" s="316"/>
      <c r="AG154" s="61"/>
      <c r="AH154" s="61"/>
      <c r="AI154" s="61"/>
      <c r="AJ154" s="316"/>
      <c r="AK154" s="61"/>
      <c r="AL154" s="61"/>
      <c r="AM154" s="61"/>
      <c r="AN154" s="61"/>
      <c r="AO154" s="61"/>
      <c r="AP154" s="61"/>
      <c r="AQ154" s="61"/>
      <c r="AR154" s="61"/>
    </row>
    <row r="155" spans="1:44">
      <c r="D155" s="61"/>
      <c r="E155" s="61"/>
      <c r="F155" s="61"/>
      <c r="G155" s="61"/>
      <c r="H155" s="61"/>
      <c r="I155" s="61"/>
      <c r="J155" s="61"/>
      <c r="K155" s="61"/>
      <c r="L155" s="999"/>
      <c r="M155" s="61"/>
      <c r="N155" s="316"/>
      <c r="O155" s="316"/>
      <c r="P155" s="316"/>
      <c r="Q155" s="316"/>
      <c r="R155" s="178"/>
      <c r="S155" s="178"/>
      <c r="T155" s="316"/>
      <c r="U155" s="316"/>
      <c r="V155" s="316"/>
      <c r="W155" s="316"/>
      <c r="X155" s="316"/>
      <c r="Y155" s="61"/>
      <c r="Z155" s="999"/>
      <c r="AA155" s="61"/>
      <c r="AB155" s="316"/>
      <c r="AC155" s="61"/>
      <c r="AD155" s="61"/>
      <c r="AE155" s="61"/>
      <c r="AF155" s="316"/>
      <c r="AG155" s="61"/>
      <c r="AH155" s="61"/>
      <c r="AI155" s="61"/>
      <c r="AJ155" s="316"/>
      <c r="AK155" s="61"/>
      <c r="AL155" s="61"/>
      <c r="AM155" s="61"/>
      <c r="AN155" s="61"/>
      <c r="AO155" s="61"/>
      <c r="AP155" s="61"/>
      <c r="AQ155" s="61"/>
      <c r="AR155" s="61"/>
    </row>
    <row r="156" spans="1:44">
      <c r="D156" s="61"/>
      <c r="E156" s="61"/>
      <c r="F156" s="61"/>
      <c r="G156" s="61"/>
      <c r="H156" s="61"/>
      <c r="I156" s="61"/>
      <c r="J156" s="61"/>
      <c r="K156" s="61"/>
      <c r="L156" s="999"/>
      <c r="M156" s="61"/>
      <c r="N156" s="316"/>
      <c r="O156" s="316"/>
      <c r="P156" s="316"/>
      <c r="Q156" s="316"/>
      <c r="R156" s="178"/>
      <c r="S156" s="178"/>
      <c r="T156" s="316"/>
      <c r="U156" s="316"/>
      <c r="V156" s="316"/>
      <c r="W156" s="316"/>
      <c r="X156" s="316"/>
      <c r="Y156" s="61"/>
      <c r="Z156" s="999"/>
      <c r="AA156" s="61"/>
      <c r="AB156" s="316"/>
      <c r="AC156" s="61"/>
      <c r="AD156" s="61"/>
      <c r="AE156" s="61"/>
      <c r="AF156" s="316"/>
      <c r="AG156" s="61"/>
      <c r="AH156" s="61"/>
      <c r="AI156" s="61"/>
      <c r="AJ156" s="316"/>
      <c r="AK156" s="61"/>
      <c r="AL156" s="61"/>
      <c r="AM156" s="61"/>
      <c r="AN156" s="61"/>
      <c r="AO156" s="61"/>
      <c r="AP156" s="61"/>
      <c r="AQ156" s="61"/>
      <c r="AR156" s="61"/>
    </row>
    <row r="157" spans="1:44">
      <c r="D157" s="61"/>
      <c r="E157" s="61"/>
      <c r="F157" s="61"/>
      <c r="G157" s="61"/>
      <c r="H157" s="61"/>
      <c r="I157" s="61"/>
      <c r="J157" s="61"/>
      <c r="K157" s="61"/>
      <c r="L157" s="999"/>
      <c r="M157" s="61"/>
      <c r="N157" s="316"/>
      <c r="O157" s="316"/>
      <c r="P157" s="316"/>
      <c r="Q157" s="316"/>
      <c r="R157" s="178"/>
      <c r="S157" s="178"/>
      <c r="T157" s="316"/>
      <c r="U157" s="316"/>
      <c r="V157" s="316"/>
      <c r="W157" s="316"/>
      <c r="X157" s="316"/>
      <c r="Y157" s="61"/>
      <c r="Z157" s="999"/>
      <c r="AA157" s="61"/>
      <c r="AB157" s="316"/>
      <c r="AC157" s="61"/>
      <c r="AD157" s="61"/>
      <c r="AE157" s="61"/>
      <c r="AF157" s="316"/>
      <c r="AG157" s="61"/>
      <c r="AH157" s="61"/>
      <c r="AI157" s="61"/>
      <c r="AJ157" s="316"/>
      <c r="AK157" s="61"/>
      <c r="AL157" s="61"/>
      <c r="AM157" s="61"/>
      <c r="AN157" s="61"/>
      <c r="AO157" s="61"/>
      <c r="AP157" s="61"/>
      <c r="AQ157" s="61"/>
      <c r="AR157" s="61"/>
    </row>
    <row r="158" spans="1:44">
      <c r="D158" s="61"/>
      <c r="E158" s="61"/>
      <c r="F158" s="61"/>
      <c r="G158" s="61"/>
      <c r="H158" s="61"/>
      <c r="I158" s="61"/>
      <c r="J158" s="61"/>
      <c r="K158" s="61"/>
      <c r="L158" s="999"/>
      <c r="M158" s="61"/>
      <c r="N158" s="316"/>
      <c r="O158" s="316"/>
      <c r="P158" s="316"/>
      <c r="Q158" s="316"/>
      <c r="R158" s="178"/>
      <c r="S158" s="178"/>
      <c r="T158" s="316"/>
      <c r="U158" s="316"/>
      <c r="V158" s="316"/>
      <c r="W158" s="316"/>
      <c r="X158" s="316"/>
      <c r="Y158" s="61"/>
      <c r="Z158" s="999"/>
      <c r="AA158" s="61"/>
      <c r="AB158" s="316"/>
      <c r="AC158" s="61"/>
      <c r="AD158" s="61"/>
      <c r="AE158" s="61"/>
      <c r="AF158" s="316"/>
      <c r="AG158" s="61"/>
      <c r="AH158" s="61"/>
      <c r="AI158" s="61"/>
      <c r="AJ158" s="316"/>
      <c r="AK158" s="61"/>
      <c r="AL158" s="61"/>
      <c r="AM158" s="61"/>
      <c r="AN158" s="61"/>
      <c r="AO158" s="61"/>
      <c r="AP158" s="61"/>
      <c r="AQ158" s="61"/>
      <c r="AR158" s="61"/>
    </row>
    <row r="159" spans="1:44">
      <c r="D159" s="61"/>
      <c r="E159" s="61"/>
      <c r="F159" s="61"/>
      <c r="G159" s="61"/>
      <c r="H159" s="61"/>
      <c r="I159" s="61"/>
      <c r="J159" s="61"/>
      <c r="K159" s="61"/>
      <c r="L159" s="999"/>
      <c r="M159" s="61"/>
      <c r="N159" s="316"/>
      <c r="O159" s="316"/>
      <c r="P159" s="316"/>
      <c r="Q159" s="316"/>
      <c r="R159" s="178"/>
      <c r="S159" s="178"/>
      <c r="T159" s="316"/>
      <c r="U159" s="316"/>
      <c r="V159" s="316"/>
      <c r="W159" s="316"/>
      <c r="X159" s="316"/>
      <c r="Y159" s="61"/>
      <c r="Z159" s="999"/>
      <c r="AA159" s="61"/>
      <c r="AB159" s="316"/>
      <c r="AC159" s="61"/>
      <c r="AD159" s="61"/>
      <c r="AE159" s="61"/>
      <c r="AF159" s="316"/>
      <c r="AG159" s="61"/>
      <c r="AH159" s="61"/>
      <c r="AI159" s="61"/>
      <c r="AJ159" s="316"/>
      <c r="AK159" s="61"/>
      <c r="AL159" s="61"/>
      <c r="AM159" s="61"/>
      <c r="AN159" s="61"/>
      <c r="AO159" s="61"/>
      <c r="AP159" s="61"/>
      <c r="AQ159" s="61"/>
      <c r="AR159" s="61"/>
    </row>
    <row r="160" spans="1:44">
      <c r="D160" s="61"/>
      <c r="E160" s="61"/>
      <c r="F160" s="61"/>
      <c r="G160" s="61"/>
      <c r="H160" s="61"/>
      <c r="I160" s="61"/>
      <c r="J160" s="61"/>
      <c r="K160" s="61"/>
      <c r="L160" s="999"/>
      <c r="M160" s="61"/>
      <c r="N160" s="316"/>
      <c r="O160" s="316"/>
      <c r="P160" s="316"/>
      <c r="Q160" s="316"/>
      <c r="R160" s="178"/>
      <c r="S160" s="178"/>
      <c r="T160" s="316"/>
      <c r="U160" s="316"/>
      <c r="V160" s="316"/>
      <c r="W160" s="316"/>
      <c r="X160" s="316"/>
      <c r="Y160" s="61"/>
      <c r="Z160" s="999"/>
      <c r="AA160" s="61"/>
      <c r="AB160" s="316"/>
      <c r="AC160" s="61"/>
      <c r="AD160" s="61"/>
      <c r="AE160" s="61"/>
      <c r="AF160" s="316"/>
      <c r="AG160" s="61"/>
      <c r="AH160" s="61"/>
      <c r="AI160" s="61"/>
      <c r="AJ160" s="316"/>
      <c r="AK160" s="61"/>
      <c r="AL160" s="61"/>
      <c r="AM160" s="61"/>
      <c r="AN160" s="61"/>
      <c r="AO160" s="61"/>
      <c r="AP160" s="61"/>
      <c r="AQ160" s="61"/>
      <c r="AR160" s="61"/>
    </row>
    <row r="161" spans="7:35">
      <c r="J161" s="997"/>
      <c r="L161" s="997">
        <v>2006</v>
      </c>
      <c r="M161" s="997">
        <f t="shared" ref="M161:T161" si="0">L161+1</f>
        <v>2007</v>
      </c>
      <c r="N161" s="997">
        <f t="shared" si="0"/>
        <v>2008</v>
      </c>
      <c r="O161" s="997">
        <f t="shared" si="0"/>
        <v>2009</v>
      </c>
      <c r="P161" s="997">
        <f t="shared" si="0"/>
        <v>2010</v>
      </c>
      <c r="Q161" s="997"/>
      <c r="R161" s="997">
        <f>P161+1</f>
        <v>2011</v>
      </c>
      <c r="S161" s="997">
        <f t="shared" si="0"/>
        <v>2012</v>
      </c>
      <c r="T161" s="997">
        <f t="shared" si="0"/>
        <v>2013</v>
      </c>
      <c r="U161" s="997" t="s">
        <v>293</v>
      </c>
      <c r="V161" s="997" t="s">
        <v>355</v>
      </c>
      <c r="W161" s="997"/>
      <c r="Z161" s="997"/>
      <c r="AA161" s="997">
        <f>M161</f>
        <v>2007</v>
      </c>
      <c r="AB161" s="997">
        <f>N161</f>
        <v>2008</v>
      </c>
      <c r="AC161" s="997">
        <f>O161</f>
        <v>2009</v>
      </c>
      <c r="AD161" s="997">
        <f>P161</f>
        <v>2010</v>
      </c>
      <c r="AE161" s="997">
        <f>R161</f>
        <v>2011</v>
      </c>
      <c r="AF161" s="997">
        <f>S161</f>
        <v>2012</v>
      </c>
      <c r="AG161" s="997">
        <f>T161</f>
        <v>2013</v>
      </c>
      <c r="AH161" s="997" t="str">
        <f>U161</f>
        <v>2014E</v>
      </c>
      <c r="AI161" s="997" t="str">
        <f>V161</f>
        <v>2015E</v>
      </c>
    </row>
    <row r="162" spans="7:35">
      <c r="G162" s="3" t="s">
        <v>578</v>
      </c>
      <c r="J162" s="966"/>
      <c r="L162" s="966">
        <f>L65</f>
        <v>576.6</v>
      </c>
      <c r="M162" s="966">
        <f>L72</f>
        <v>718</v>
      </c>
      <c r="N162" s="966">
        <f>L79</f>
        <v>865.2</v>
      </c>
      <c r="O162" s="966">
        <f>L86</f>
        <v>976.5</v>
      </c>
      <c r="P162" s="966">
        <f>L93</f>
        <v>1052.1199999999999</v>
      </c>
      <c r="Q162" s="966"/>
      <c r="R162" s="1009">
        <f>L100</f>
        <v>1183.5</v>
      </c>
      <c r="S162" s="1009">
        <f>L107</f>
        <v>1360</v>
      </c>
      <c r="T162" s="966">
        <f>L114</f>
        <v>1510</v>
      </c>
      <c r="U162" s="90">
        <f>L121</f>
        <v>1550</v>
      </c>
      <c r="V162" s="90">
        <f>L128</f>
        <v>1528.9</v>
      </c>
      <c r="W162" s="90"/>
      <c r="AA162" s="89">
        <f t="shared" ref="AA162:AD167" si="1">M162/L162-1</f>
        <v>0.24523066250433567</v>
      </c>
      <c r="AB162" s="89">
        <f t="shared" si="1"/>
        <v>0.20501392757660164</v>
      </c>
      <c r="AC162" s="89">
        <f t="shared" si="1"/>
        <v>0.12864077669902896</v>
      </c>
      <c r="AD162" s="89">
        <f t="shared" si="1"/>
        <v>7.7439836149513441E-2</v>
      </c>
      <c r="AE162" s="89">
        <f t="shared" ref="AE162:AE167" si="2">R162/P162-1</f>
        <v>0.12487168764019319</v>
      </c>
      <c r="AF162" s="89">
        <f t="shared" ref="AF162:AI167" si="3">S162/R162-1</f>
        <v>0.14913392479932397</v>
      </c>
      <c r="AG162" s="89">
        <f t="shared" si="3"/>
        <v>0.11029411764705888</v>
      </c>
      <c r="AH162" s="89">
        <f t="shared" si="3"/>
        <v>2.6490066225165476E-2</v>
      </c>
      <c r="AI162" s="89">
        <f t="shared" si="3"/>
        <v>-1.3612903225806439E-2</v>
      </c>
    </row>
    <row r="163" spans="7:35">
      <c r="G163" s="3" t="s">
        <v>387</v>
      </c>
      <c r="J163" s="966"/>
      <c r="L163" s="966">
        <f>Z65</f>
        <v>100.6</v>
      </c>
      <c r="M163" s="966">
        <f>Z72</f>
        <v>119.8</v>
      </c>
      <c r="N163" s="966">
        <f>Z79</f>
        <v>147.69999999999999</v>
      </c>
      <c r="O163" s="966">
        <f>Z86</f>
        <v>163.6</v>
      </c>
      <c r="P163" s="966">
        <f>Z93</f>
        <v>179.4</v>
      </c>
      <c r="Q163" s="966"/>
      <c r="R163" s="1009">
        <f>Z100</f>
        <v>224.4</v>
      </c>
      <c r="S163" s="1009">
        <f>Z107</f>
        <v>245.2</v>
      </c>
      <c r="T163" s="966">
        <f>Z114</f>
        <v>265.39999999999998</v>
      </c>
      <c r="U163" s="90">
        <f>Z121</f>
        <v>242.3</v>
      </c>
      <c r="V163" s="90">
        <f>Z128</f>
        <v>246.8</v>
      </c>
      <c r="W163" s="90"/>
      <c r="AA163" s="89">
        <f t="shared" si="1"/>
        <v>0.19085487077534791</v>
      </c>
      <c r="AB163" s="89">
        <f t="shared" si="1"/>
        <v>0.23288814691151916</v>
      </c>
      <c r="AC163" s="89">
        <f t="shared" si="1"/>
        <v>0.10765064319566697</v>
      </c>
      <c r="AD163" s="89">
        <f t="shared" si="1"/>
        <v>9.657701711491451E-2</v>
      </c>
      <c r="AE163" s="89">
        <f t="shared" si="2"/>
        <v>0.25083612040133785</v>
      </c>
      <c r="AF163" s="89">
        <f t="shared" si="3"/>
        <v>9.2691622103386662E-2</v>
      </c>
      <c r="AG163" s="89">
        <f t="shared" si="3"/>
        <v>8.2381729200652565E-2</v>
      </c>
      <c r="AH163" s="89">
        <f t="shared" si="3"/>
        <v>-8.7038432554634393E-2</v>
      </c>
      <c r="AI163" s="89">
        <f t="shared" si="3"/>
        <v>1.8572018159306536E-2</v>
      </c>
    </row>
    <row r="164" spans="7:35">
      <c r="G164" s="3" t="s">
        <v>388</v>
      </c>
      <c r="J164" s="966"/>
      <c r="L164" s="966">
        <f>AD65</f>
        <v>42.2</v>
      </c>
      <c r="M164" s="966">
        <f>AD72</f>
        <v>53.2</v>
      </c>
      <c r="N164" s="966">
        <f>AD79</f>
        <v>47.6</v>
      </c>
      <c r="O164" s="966">
        <f>AD86</f>
        <v>52.2</v>
      </c>
      <c r="P164" s="966">
        <f>AD93</f>
        <v>48</v>
      </c>
      <c r="Q164" s="966"/>
      <c r="R164" s="1009">
        <f>AD100</f>
        <v>58.2</v>
      </c>
      <c r="S164" s="1009">
        <f>AD107</f>
        <v>68.900000000000006</v>
      </c>
      <c r="T164" s="966">
        <f>AD114</f>
        <v>86.1</v>
      </c>
      <c r="U164" s="90">
        <f>AD121</f>
        <v>87.2</v>
      </c>
      <c r="V164" s="90">
        <f>AD128</f>
        <v>69.599999999999994</v>
      </c>
      <c r="W164" s="90"/>
      <c r="AA164" s="89">
        <f t="shared" si="1"/>
        <v>0.26066350710900466</v>
      </c>
      <c r="AB164" s="89">
        <f t="shared" si="1"/>
        <v>-0.10526315789473684</v>
      </c>
      <c r="AC164" s="89">
        <f t="shared" si="1"/>
        <v>9.6638655462184975E-2</v>
      </c>
      <c r="AD164" s="89">
        <f t="shared" si="1"/>
        <v>-8.0459770114942541E-2</v>
      </c>
      <c r="AE164" s="89">
        <f t="shared" si="2"/>
        <v>0.21250000000000013</v>
      </c>
      <c r="AF164" s="89">
        <f t="shared" si="3"/>
        <v>0.18384879725085912</v>
      </c>
      <c r="AG164" s="89">
        <f t="shared" si="3"/>
        <v>0.2496371552975325</v>
      </c>
      <c r="AH164" s="89">
        <f t="shared" si="3"/>
        <v>1.2775842044134844E-2</v>
      </c>
      <c r="AI164" s="89">
        <f t="shared" si="3"/>
        <v>-0.20183486238532122</v>
      </c>
    </row>
    <row r="165" spans="7:35">
      <c r="G165" s="3" t="s">
        <v>586</v>
      </c>
      <c r="J165" s="966"/>
      <c r="L165" s="966">
        <f>AH65</f>
        <v>147.5</v>
      </c>
      <c r="M165" s="966">
        <f>AH72</f>
        <v>138.6</v>
      </c>
      <c r="N165" s="966">
        <f>AH79</f>
        <v>167.4</v>
      </c>
      <c r="O165" s="966">
        <f>AH86</f>
        <v>130</v>
      </c>
      <c r="P165" s="966">
        <f>AH93</f>
        <v>204</v>
      </c>
      <c r="Q165" s="966"/>
      <c r="R165" s="1009">
        <f>AH100</f>
        <v>226.70000000000002</v>
      </c>
      <c r="S165" s="1009">
        <f>AH107</f>
        <v>282.2</v>
      </c>
      <c r="T165" s="966">
        <f>AH114</f>
        <v>258.7</v>
      </c>
      <c r="U165" s="90">
        <f>AH121</f>
        <v>251.2</v>
      </c>
      <c r="V165" s="90">
        <f>AH128</f>
        <v>284.8</v>
      </c>
      <c r="W165" s="90"/>
      <c r="AA165" s="89">
        <f t="shared" si="1"/>
        <v>-6.0338983050847506E-2</v>
      </c>
      <c r="AB165" s="89">
        <f t="shared" si="1"/>
        <v>0.20779220779220786</v>
      </c>
      <c r="AC165" s="89">
        <f t="shared" si="1"/>
        <v>-0.22341696535244926</v>
      </c>
      <c r="AD165" s="89">
        <f t="shared" si="1"/>
        <v>0.56923076923076921</v>
      </c>
      <c r="AE165" s="89">
        <f t="shared" si="2"/>
        <v>0.11127450980392162</v>
      </c>
      <c r="AF165" s="89">
        <f t="shared" si="3"/>
        <v>0.24481693868548726</v>
      </c>
      <c r="AG165" s="89">
        <f t="shared" si="3"/>
        <v>-8.3274273564847623E-2</v>
      </c>
      <c r="AH165" s="89">
        <f t="shared" si="3"/>
        <v>-2.8991109393119441E-2</v>
      </c>
      <c r="AI165" s="89">
        <f t="shared" si="3"/>
        <v>0.13375796178343968</v>
      </c>
    </row>
    <row r="166" spans="7:35">
      <c r="G166" s="3" t="s">
        <v>381</v>
      </c>
      <c r="J166" s="1010"/>
      <c r="L166" s="1010">
        <f>H65</f>
        <v>482.84400000000005</v>
      </c>
      <c r="M166" s="1010">
        <f>H72</f>
        <v>610.54200000000003</v>
      </c>
      <c r="N166" s="1010">
        <f>H79</f>
        <v>732.23099999999999</v>
      </c>
      <c r="O166" s="1010">
        <f>H86</f>
        <v>825.23299999999995</v>
      </c>
      <c r="P166" s="1010">
        <f>H93</f>
        <v>870.75099999999986</v>
      </c>
      <c r="Q166" s="1010"/>
      <c r="R166" s="1009">
        <f>H100</f>
        <v>976.59500000000003</v>
      </c>
      <c r="S166" s="1009">
        <f>H107</f>
        <v>1111.8440000000001</v>
      </c>
      <c r="T166" s="966">
        <f>H114</f>
        <v>1227.6949999999999</v>
      </c>
      <c r="U166" s="90">
        <f>H121</f>
        <v>1232.7930000000001</v>
      </c>
      <c r="V166" s="90">
        <f>H128</f>
        <v>1172.3000000000002</v>
      </c>
      <c r="W166" s="90"/>
      <c r="AA166" s="89">
        <f t="shared" si="1"/>
        <v>0.26447051221512541</v>
      </c>
      <c r="AB166" s="89">
        <f t="shared" si="1"/>
        <v>0.1993130693711489</v>
      </c>
      <c r="AC166" s="89">
        <f t="shared" si="1"/>
        <v>0.12701183096591095</v>
      </c>
      <c r="AD166" s="89">
        <f t="shared" si="1"/>
        <v>5.5157755446037626E-2</v>
      </c>
      <c r="AE166" s="89">
        <f t="shared" si="2"/>
        <v>0.12155484174006137</v>
      </c>
      <c r="AF166" s="89">
        <f t="shared" si="3"/>
        <v>0.13849036704058482</v>
      </c>
      <c r="AG166" s="89">
        <f t="shared" si="3"/>
        <v>0.10419717154564845</v>
      </c>
      <c r="AH166" s="89">
        <f t="shared" si="3"/>
        <v>4.1524971593109861E-3</v>
      </c>
      <c r="AI166" s="89">
        <f t="shared" si="3"/>
        <v>-4.9069876289044467E-2</v>
      </c>
    </row>
    <row r="167" spans="7:35">
      <c r="G167" s="3" t="s">
        <v>603</v>
      </c>
      <c r="J167" s="1010"/>
      <c r="L167" s="1010">
        <f>F65</f>
        <v>93.756</v>
      </c>
      <c r="M167" s="1010">
        <f>F72</f>
        <v>107.458</v>
      </c>
      <c r="N167" s="1010">
        <f>F79</f>
        <v>132.96899999999999</v>
      </c>
      <c r="O167" s="1010">
        <f>F86</f>
        <v>151.267</v>
      </c>
      <c r="P167" s="1010">
        <f>F93</f>
        <v>181.369</v>
      </c>
      <c r="Q167" s="1010"/>
      <c r="R167" s="1009">
        <f>F100</f>
        <v>206.90500000000003</v>
      </c>
      <c r="S167" s="1009">
        <f>F107</f>
        <v>248.15600000000001</v>
      </c>
      <c r="T167" s="966">
        <f>F114</f>
        <v>282.30500000000001</v>
      </c>
      <c r="U167" s="90">
        <f>F121</f>
        <v>317.20699999999999</v>
      </c>
      <c r="V167" s="90">
        <f>F128</f>
        <v>356.6</v>
      </c>
      <c r="W167" s="90"/>
      <c r="AA167" s="89">
        <f t="shared" si="1"/>
        <v>0.14614531336661107</v>
      </c>
      <c r="AB167" s="89">
        <f t="shared" si="1"/>
        <v>0.23740438124662666</v>
      </c>
      <c r="AC167" s="89">
        <f t="shared" si="1"/>
        <v>0.13761102211793719</v>
      </c>
      <c r="AD167" s="89">
        <f t="shared" si="1"/>
        <v>0.19899912075998083</v>
      </c>
      <c r="AE167" s="89">
        <f t="shared" si="2"/>
        <v>0.14079583611311763</v>
      </c>
      <c r="AF167" s="89">
        <f t="shared" si="3"/>
        <v>0.19937169232256324</v>
      </c>
      <c r="AG167" s="89">
        <f t="shared" si="3"/>
        <v>0.13761101887522376</v>
      </c>
      <c r="AH167" s="89">
        <f>U167/T167-1</f>
        <v>0.12363224172437604</v>
      </c>
      <c r="AI167" s="89">
        <f t="shared" si="3"/>
        <v>0.12418704505259992</v>
      </c>
    </row>
    <row r="168" spans="7:35">
      <c r="J168" s="1010"/>
      <c r="L168" s="1010"/>
      <c r="M168" s="1010"/>
      <c r="N168" s="1010"/>
      <c r="O168" s="1010"/>
      <c r="P168" s="1010"/>
      <c r="Q168" s="1010"/>
      <c r="R168" s="1009"/>
      <c r="S168" s="1009"/>
      <c r="T168" s="966"/>
      <c r="U168" s="90"/>
      <c r="V168" s="90"/>
      <c r="W168" s="90"/>
      <c r="AA168" s="89"/>
      <c r="AB168" s="89"/>
      <c r="AC168" s="89"/>
      <c r="AD168" s="89"/>
      <c r="AE168" s="89"/>
      <c r="AF168" s="89"/>
      <c r="AG168" s="89"/>
      <c r="AH168" s="89"/>
      <c r="AI168" s="89"/>
    </row>
    <row r="169" spans="7:35">
      <c r="G169" s="3" t="s">
        <v>394</v>
      </c>
      <c r="J169" s="1011"/>
      <c r="L169" s="1011">
        <f>U65</f>
        <v>1.2071100000000001</v>
      </c>
      <c r="M169" s="1011">
        <f>U72</f>
        <v>1.3403776070252471</v>
      </c>
      <c r="N169" s="1011">
        <f>U79</f>
        <v>1.4122102217936354</v>
      </c>
      <c r="O169" s="1011">
        <f>U86</f>
        <v>1.4082474402730374</v>
      </c>
      <c r="P169" s="1011">
        <f>U93</f>
        <v>1.3510488750969742</v>
      </c>
      <c r="Q169" s="1011"/>
      <c r="R169" s="1012">
        <f>U100</f>
        <v>1.4071974063400576</v>
      </c>
      <c r="S169" s="1012">
        <f>U107</f>
        <v>1.4300244372990354</v>
      </c>
      <c r="T169" s="1011">
        <f>U114</f>
        <v>1.3755686274509804</v>
      </c>
      <c r="U169" s="1011">
        <f>U121</f>
        <v>1.2534753431621761</v>
      </c>
      <c r="V169" s="1011">
        <f>U128</f>
        <v>1.1847397675593736</v>
      </c>
      <c r="W169" s="1011"/>
      <c r="AA169" s="89">
        <f t="shared" ref="AA169:AD173" si="4">M169/L169-1</f>
        <v>0.11040220611646578</v>
      </c>
      <c r="AB169" s="89">
        <f t="shared" si="4"/>
        <v>5.3591327094615782E-2</v>
      </c>
      <c r="AC169" s="89">
        <f t="shared" si="4"/>
        <v>-2.8060847170224834E-3</v>
      </c>
      <c r="AD169" s="89">
        <f t="shared" si="4"/>
        <v>-4.061684299243129E-2</v>
      </c>
      <c r="AE169" s="89">
        <f>R169/P169-1</f>
        <v>4.1559215419984863E-2</v>
      </c>
      <c r="AF169" s="89">
        <f t="shared" ref="AF169:AI173" si="5">S169/R169-1</f>
        <v>1.6221626657448196E-2</v>
      </c>
      <c r="AG169" s="89">
        <f t="shared" si="5"/>
        <v>-3.8080335152110178E-2</v>
      </c>
      <c r="AH169" s="89">
        <f t="shared" si="5"/>
        <v>-8.8758410051159142E-2</v>
      </c>
      <c r="AI169" s="89">
        <f t="shared" si="5"/>
        <v>-5.4836001344391372E-2</v>
      </c>
    </row>
    <row r="170" spans="7:35">
      <c r="G170" s="3" t="s">
        <v>396</v>
      </c>
      <c r="I170" s="1011"/>
      <c r="J170" s="1011"/>
      <c r="L170" s="1013">
        <f>J65</f>
        <v>417.72900000000004</v>
      </c>
      <c r="M170" s="1013">
        <f>J72</f>
        <v>529.71</v>
      </c>
      <c r="N170" s="1013">
        <f>J79</f>
        <v>631.52700000000004</v>
      </c>
      <c r="O170" s="1013">
        <f>J86</f>
        <v>702.21899999999994</v>
      </c>
      <c r="P170" s="1013">
        <f>J93</f>
        <v>744.00699999999983</v>
      </c>
      <c r="Q170" s="1013"/>
      <c r="R170" s="1014">
        <f>J100</f>
        <v>851.48900000000003</v>
      </c>
      <c r="S170" s="1014">
        <f>J107</f>
        <v>978.93500000000006</v>
      </c>
      <c r="T170" s="1013">
        <f>J114</f>
        <v>1064.7079999999999</v>
      </c>
      <c r="U170" s="1013">
        <f>J121</f>
        <v>1043.433</v>
      </c>
      <c r="V170" s="1013">
        <f>J128</f>
        <v>980.50000000000023</v>
      </c>
      <c r="W170" s="966"/>
      <c r="AA170" s="89">
        <f t="shared" si="4"/>
        <v>0.26807092636613694</v>
      </c>
      <c r="AB170" s="89">
        <f t="shared" si="4"/>
        <v>0.19221272016763891</v>
      </c>
      <c r="AC170" s="89">
        <f t="shared" si="4"/>
        <v>0.11193820691751877</v>
      </c>
      <c r="AD170" s="89">
        <f t="shared" si="4"/>
        <v>5.9508500909260409E-2</v>
      </c>
      <c r="AE170" s="89">
        <f>R170/P170-1</f>
        <v>0.14446369456201391</v>
      </c>
      <c r="AF170" s="89">
        <f t="shared" si="5"/>
        <v>0.14967427647333076</v>
      </c>
      <c r="AG170" s="89">
        <f t="shared" si="5"/>
        <v>8.7618687655462102E-2</v>
      </c>
      <c r="AH170" s="89">
        <f t="shared" si="5"/>
        <v>-1.9982004455681657E-2</v>
      </c>
      <c r="AI170" s="89">
        <f t="shared" si="5"/>
        <v>-6.0313407760728022E-2</v>
      </c>
    </row>
    <row r="171" spans="7:35">
      <c r="G171" s="3" t="s">
        <v>402</v>
      </c>
      <c r="I171" s="1011"/>
      <c r="J171" s="1011"/>
      <c r="L171" s="1011">
        <f>V65</f>
        <v>1.0443225</v>
      </c>
      <c r="M171" s="1011">
        <f>V72</f>
        <v>1.1629198682766191</v>
      </c>
      <c r="N171" s="1011">
        <f>V79</f>
        <v>1.2179884281581486</v>
      </c>
      <c r="O171" s="1011">
        <f>V86</f>
        <v>1.1983259385665528</v>
      </c>
      <c r="P171" s="1011">
        <f>V93</f>
        <v>1.1543941039565553</v>
      </c>
      <c r="Q171" s="1011"/>
      <c r="R171" s="1012">
        <f>V100</f>
        <v>1.2269293948126803</v>
      </c>
      <c r="S171" s="1012">
        <f>V107</f>
        <v>1.25908038585209</v>
      </c>
      <c r="T171" s="1011">
        <f>V114</f>
        <v>1.1929501400560223</v>
      </c>
      <c r="U171" s="1011">
        <f>V121</f>
        <v>1.0609384850025418</v>
      </c>
      <c r="V171" s="1011">
        <f>V128</f>
        <v>0.99090449722081886</v>
      </c>
      <c r="W171" s="1011"/>
      <c r="AA171" s="89">
        <f t="shared" si="4"/>
        <v>0.11356393094721118</v>
      </c>
      <c r="AB171" s="89">
        <f t="shared" si="4"/>
        <v>4.7353701130876669E-2</v>
      </c>
      <c r="AC171" s="89">
        <f t="shared" si="4"/>
        <v>-1.6143412479976971E-2</v>
      </c>
      <c r="AD171" s="89">
        <f t="shared" si="4"/>
        <v>-3.6661006155428111E-2</v>
      </c>
      <c r="AE171" s="89">
        <f>R171/P171-1</f>
        <v>6.2834079459968217E-2</v>
      </c>
      <c r="AF171" s="89">
        <f t="shared" si="5"/>
        <v>2.6204434562689949E-2</v>
      </c>
      <c r="AG171" s="89">
        <f t="shared" si="5"/>
        <v>-5.2522655851964251E-2</v>
      </c>
      <c r="AH171" s="89">
        <f t="shared" si="5"/>
        <v>-0.11065982610746916</v>
      </c>
      <c r="AI171" s="89">
        <f t="shared" si="5"/>
        <v>-6.6011355768242463E-2</v>
      </c>
    </row>
    <row r="172" spans="7:35">
      <c r="G172" s="3" t="s">
        <v>401</v>
      </c>
      <c r="I172" s="1011"/>
      <c r="J172" s="1011"/>
      <c r="L172" s="1015">
        <f>W65</f>
        <v>429.86162956361841</v>
      </c>
      <c r="M172" s="1015">
        <f>W72</f>
        <v>468.21344190046693</v>
      </c>
      <c r="N172" s="1015">
        <f>W79</f>
        <v>469.08707228274454</v>
      </c>
      <c r="O172" s="1015">
        <f>W86</f>
        <v>442.69571828620491</v>
      </c>
      <c r="P172" s="1015">
        <f>W93</f>
        <v>418.620562572354</v>
      </c>
      <c r="Q172" s="1015"/>
      <c r="R172" s="1016">
        <f>W100</f>
        <v>440.32463954580044</v>
      </c>
      <c r="S172" s="1016">
        <f>W107</f>
        <v>441.85337979345712</v>
      </c>
      <c r="T172" s="1015">
        <f>W114</f>
        <v>416.11408952033116</v>
      </c>
      <c r="U172" s="1015">
        <f>W121</f>
        <v>368.38512504097594</v>
      </c>
      <c r="V172" s="1015">
        <f>W128</f>
        <v>326.75932234682188</v>
      </c>
      <c r="W172" s="221"/>
      <c r="AA172" s="89">
        <f t="shared" si="4"/>
        <v>8.9218971174007899E-2</v>
      </c>
      <c r="AB172" s="89">
        <f t="shared" si="4"/>
        <v>1.8658806093467817E-3</v>
      </c>
      <c r="AC172" s="89">
        <f t="shared" si="4"/>
        <v>-5.6261098537868315E-2</v>
      </c>
      <c r="AD172" s="89">
        <f t="shared" si="4"/>
        <v>-5.4383077855490347E-2</v>
      </c>
      <c r="AE172" s="89">
        <f>R172/P172-1</f>
        <v>5.1846657603435542E-2</v>
      </c>
      <c r="AF172" s="89">
        <f t="shared" si="5"/>
        <v>3.4718480647224492E-3</v>
      </c>
      <c r="AG172" s="89">
        <f t="shared" si="5"/>
        <v>-5.8253012085497047E-2</v>
      </c>
      <c r="AH172" s="89">
        <f t="shared" si="5"/>
        <v>-0.11470163034944103</v>
      </c>
      <c r="AI172" s="89">
        <f t="shared" si="5"/>
        <v>-0.11299534064933803</v>
      </c>
    </row>
    <row r="173" spans="7:35">
      <c r="G173" s="3" t="s">
        <v>403</v>
      </c>
      <c r="I173" s="1011"/>
      <c r="J173" s="1011"/>
      <c r="L173" s="359">
        <f>P65</f>
        <v>0.97177550000000001</v>
      </c>
      <c r="M173" s="359">
        <f>P72</f>
        <v>1.1313430000000002</v>
      </c>
      <c r="N173" s="359">
        <f>P79</f>
        <v>1.3462895000000001</v>
      </c>
      <c r="O173" s="359">
        <f>P86</f>
        <v>1.5862339999999999</v>
      </c>
      <c r="P173" s="359">
        <f>P93</f>
        <v>1.7772825000000001</v>
      </c>
      <c r="Q173" s="359"/>
      <c r="R173" s="359">
        <f>P100</f>
        <v>1.9337755000000001</v>
      </c>
      <c r="S173" s="359">
        <f>P107</f>
        <v>2.2155199999999997</v>
      </c>
      <c r="T173" s="359">
        <f>P114</f>
        <v>2.5586924999999998</v>
      </c>
      <c r="U173" s="359">
        <f>P121</f>
        <v>2.8324515000000003</v>
      </c>
      <c r="V173" s="359">
        <f>P128</f>
        <v>3.0006794999999999</v>
      </c>
      <c r="W173" s="1011"/>
      <c r="AA173" s="89">
        <f t="shared" si="4"/>
        <v>0.16420201991097749</v>
      </c>
      <c r="AB173" s="89">
        <f t="shared" si="4"/>
        <v>0.18999233654161451</v>
      </c>
      <c r="AC173" s="89">
        <f t="shared" si="4"/>
        <v>0.17822652557269425</v>
      </c>
      <c r="AD173" s="89">
        <f t="shared" si="4"/>
        <v>0.12044156158549124</v>
      </c>
      <c r="AE173" s="89">
        <f>R173/P173-1</f>
        <v>8.8051843193189594E-2</v>
      </c>
      <c r="AF173" s="89">
        <f t="shared" si="5"/>
        <v>0.14569659197771379</v>
      </c>
      <c r="AG173" s="89">
        <f t="shared" si="5"/>
        <v>0.15489478767964182</v>
      </c>
      <c r="AH173" s="89">
        <f t="shared" si="5"/>
        <v>0.10699175457777765</v>
      </c>
      <c r="AI173" s="89">
        <f t="shared" si="5"/>
        <v>5.939307345597955E-2</v>
      </c>
    </row>
    <row r="174" spans="7:35">
      <c r="R174" s="178"/>
      <c r="S174" s="178"/>
      <c r="V174" s="221"/>
    </row>
    <row r="175" spans="7:35">
      <c r="L175" s="3" t="s">
        <v>389</v>
      </c>
      <c r="R175" s="89">
        <f>L100/L93-1</f>
        <v>0.12487168764019319</v>
      </c>
      <c r="S175" s="89">
        <f>S162/R162-1</f>
        <v>0.14913392479932397</v>
      </c>
      <c r="T175" s="89">
        <f>T162/S162-1</f>
        <v>0.11029411764705888</v>
      </c>
      <c r="U175" s="89">
        <f>U162/T162-1</f>
        <v>2.6490066225165476E-2</v>
      </c>
      <c r="V175" s="89">
        <f>V162/U162-1</f>
        <v>-1.3612903225806439E-2</v>
      </c>
      <c r="W175" s="89"/>
    </row>
    <row r="176" spans="7:35">
      <c r="L176" s="3" t="s">
        <v>390</v>
      </c>
      <c r="R176" s="89">
        <f>(L100-R100)/(L93-R93)-1</f>
        <v>0.12155484174006137</v>
      </c>
      <c r="S176" s="89">
        <f>(L107-R107)/(L100-R100)-1</f>
        <v>0.13849036704058482</v>
      </c>
      <c r="T176" s="89">
        <f>(L114-R114)/(L107-R107)-1</f>
        <v>0.10419717154564845</v>
      </c>
      <c r="U176" s="89">
        <f>(L121-R121)/(L114-R114)-1</f>
        <v>4.1524971593109861E-3</v>
      </c>
      <c r="V176" s="89">
        <f>(L128-R128)/(L121-R121)-1</f>
        <v>-4.9069876289044467E-2</v>
      </c>
      <c r="W176" s="89"/>
    </row>
    <row r="177" spans="12:23">
      <c r="L177" s="3" t="s">
        <v>377</v>
      </c>
      <c r="R177" s="1017">
        <f>'yrP&amp;L'!R24</f>
        <v>8.8051843193189594E-2</v>
      </c>
      <c r="S177" s="1017">
        <f>'yrP&amp;L'!S24</f>
        <v>0.14569659197771379</v>
      </c>
      <c r="T177" s="221">
        <f>'yrP&amp;L'!T24</f>
        <v>0.15489478767964182</v>
      </c>
      <c r="U177" s="221">
        <f>'yrP&amp;L'!U24</f>
        <v>0.10699175457777765</v>
      </c>
      <c r="V177" s="221">
        <f>'yrP&amp;L'!V24</f>
        <v>5.939307345597955E-2</v>
      </c>
      <c r="W177" s="221"/>
    </row>
    <row r="178" spans="12:23">
      <c r="L178" s="3" t="s">
        <v>391</v>
      </c>
      <c r="R178" s="89">
        <f>R100/R93-1</f>
        <v>0.14079583611311763</v>
      </c>
      <c r="S178" s="89">
        <f>R107/R100-1</f>
        <v>0.19937169232256324</v>
      </c>
      <c r="T178" s="89">
        <f>R114/R107-1</f>
        <v>0.13761101887522376</v>
      </c>
      <c r="U178" s="89">
        <f>R121/R114-1</f>
        <v>0.12363224172437604</v>
      </c>
      <c r="V178" s="89">
        <f>R128/R121-1</f>
        <v>0.12418704505259992</v>
      </c>
      <c r="W178" s="89"/>
    </row>
    <row r="179" spans="12:23">
      <c r="L179" s="3" t="s">
        <v>393</v>
      </c>
      <c r="O179" s="89"/>
      <c r="P179" s="89"/>
      <c r="Q179" s="89"/>
      <c r="R179" s="89">
        <f>AH100/AH93-1</f>
        <v>0.11127450980392162</v>
      </c>
      <c r="S179" s="89">
        <f>AH107/AH100-1</f>
        <v>0.24481693868548726</v>
      </c>
      <c r="T179" s="89">
        <f>AH114/AH107-1</f>
        <v>-8.3274273564847623E-2</v>
      </c>
      <c r="U179" s="89">
        <f>AH121/AH114-1</f>
        <v>-2.8991109393119441E-2</v>
      </c>
      <c r="V179" s="89">
        <f>AH128/AH121-1</f>
        <v>0.13375796178343968</v>
      </c>
      <c r="W179" s="89"/>
    </row>
    <row r="180" spans="12:23">
      <c r="R180" s="178"/>
      <c r="S180" s="178"/>
    </row>
    <row r="181" spans="12:23">
      <c r="R181" s="178"/>
      <c r="S181" s="178"/>
    </row>
    <row r="182" spans="12:23">
      <c r="R182" s="178"/>
      <c r="S182" s="178"/>
    </row>
    <row r="183" spans="12:23">
      <c r="R183" s="178"/>
      <c r="S183" s="178"/>
    </row>
    <row r="184" spans="12:23">
      <c r="R184" s="178"/>
      <c r="S184" s="178"/>
    </row>
    <row r="185" spans="12:23">
      <c r="R185" s="178"/>
      <c r="S185" s="178"/>
    </row>
    <row r="186" spans="12:23">
      <c r="R186" s="178"/>
      <c r="S186" s="178"/>
    </row>
    <row r="187" spans="12:23">
      <c r="R187" s="178"/>
      <c r="S187" s="178"/>
    </row>
    <row r="188" spans="12:23">
      <c r="R188" s="178"/>
      <c r="S188" s="178"/>
    </row>
    <row r="189" spans="12:23">
      <c r="R189" s="178"/>
      <c r="S189" s="178"/>
    </row>
    <row r="190" spans="12:23">
      <c r="R190" s="178"/>
      <c r="S190" s="178"/>
    </row>
    <row r="191" spans="12:23">
      <c r="R191" s="178"/>
      <c r="S191" s="178"/>
    </row>
    <row r="192" spans="12:23">
      <c r="R192" s="178"/>
      <c r="S192" s="178"/>
    </row>
    <row r="193" spans="18:19">
      <c r="R193" s="178"/>
      <c r="S193" s="178"/>
    </row>
    <row r="194" spans="18:19">
      <c r="R194" s="178"/>
      <c r="S194" s="178"/>
    </row>
    <row r="195" spans="18:19">
      <c r="R195" s="178"/>
      <c r="S195" s="178"/>
    </row>
    <row r="196" spans="18:19">
      <c r="R196" s="178"/>
      <c r="S196" s="178"/>
    </row>
    <row r="197" spans="18:19">
      <c r="R197" s="178"/>
      <c r="S197" s="178"/>
    </row>
    <row r="198" spans="18:19">
      <c r="R198" s="178"/>
      <c r="S198" s="178"/>
    </row>
    <row r="199" spans="18:19">
      <c r="R199" s="178"/>
      <c r="S199" s="178"/>
    </row>
    <row r="200" spans="18:19">
      <c r="R200" s="178"/>
      <c r="S200" s="178"/>
    </row>
    <row r="201" spans="18:19">
      <c r="R201" s="178"/>
      <c r="S201" s="178"/>
    </row>
    <row r="202" spans="18:19">
      <c r="R202" s="178"/>
      <c r="S202" s="178"/>
    </row>
    <row r="203" spans="18:19">
      <c r="R203" s="178"/>
      <c r="S203" s="178"/>
    </row>
    <row r="204" spans="18:19">
      <c r="R204" s="178"/>
      <c r="S204" s="178"/>
    </row>
    <row r="205" spans="18:19">
      <c r="R205" s="178"/>
      <c r="S205" s="178"/>
    </row>
    <row r="206" spans="18:19">
      <c r="R206" s="178"/>
      <c r="S206" s="178"/>
    </row>
    <row r="207" spans="18:19">
      <c r="R207" s="178"/>
      <c r="S207" s="178"/>
    </row>
    <row r="208" spans="18:19">
      <c r="R208" s="178"/>
      <c r="S208" s="178"/>
    </row>
    <row r="209" spans="18:19">
      <c r="R209" s="178"/>
      <c r="S209" s="178"/>
    </row>
    <row r="210" spans="18:19">
      <c r="R210" s="178"/>
      <c r="S210" s="178"/>
    </row>
    <row r="211" spans="18:19">
      <c r="R211" s="178"/>
      <c r="S211" s="178"/>
    </row>
    <row r="212" spans="18:19">
      <c r="R212" s="178"/>
      <c r="S212" s="178"/>
    </row>
    <row r="213" spans="18:19">
      <c r="R213" s="178"/>
      <c r="S213" s="178"/>
    </row>
    <row r="214" spans="18:19">
      <c r="R214" s="178"/>
      <c r="S214" s="178"/>
    </row>
    <row r="215" spans="18:19">
      <c r="R215" s="178"/>
      <c r="S215" s="178"/>
    </row>
    <row r="216" spans="18:19">
      <c r="R216" s="178"/>
      <c r="S216" s="178"/>
    </row>
    <row r="217" spans="18:19">
      <c r="R217" s="178"/>
      <c r="S217" s="178"/>
    </row>
    <row r="218" spans="18:19">
      <c r="R218" s="178"/>
      <c r="S218" s="178"/>
    </row>
    <row r="219" spans="18:19">
      <c r="R219" s="178"/>
      <c r="S219" s="178"/>
    </row>
    <row r="220" spans="18:19">
      <c r="R220" s="178"/>
      <c r="S220" s="178"/>
    </row>
    <row r="221" spans="18:19">
      <c r="R221" s="178"/>
      <c r="S221" s="178"/>
    </row>
    <row r="222" spans="18:19">
      <c r="R222" s="178"/>
      <c r="S222" s="178"/>
    </row>
    <row r="223" spans="18:19">
      <c r="R223" s="178"/>
      <c r="S223" s="178"/>
    </row>
    <row r="224" spans="18:19">
      <c r="R224" s="178"/>
      <c r="S224" s="178"/>
    </row>
    <row r="225" spans="18:19">
      <c r="R225" s="178"/>
      <c r="S225" s="178"/>
    </row>
    <row r="226" spans="18:19">
      <c r="R226" s="178"/>
      <c r="S226" s="178"/>
    </row>
    <row r="227" spans="18:19">
      <c r="R227" s="178"/>
      <c r="S227" s="178"/>
    </row>
    <row r="228" spans="18:19">
      <c r="R228" s="178"/>
      <c r="S228" s="178"/>
    </row>
    <row r="229" spans="18:19">
      <c r="R229" s="178"/>
      <c r="S229" s="178"/>
    </row>
    <row r="230" spans="18:19">
      <c r="R230" s="178"/>
      <c r="S230" s="178"/>
    </row>
    <row r="231" spans="18:19">
      <c r="R231" s="178"/>
      <c r="S231" s="178"/>
    </row>
    <row r="232" spans="18:19">
      <c r="R232" s="178"/>
      <c r="S232" s="178"/>
    </row>
    <row r="233" spans="18:19">
      <c r="R233" s="178"/>
      <c r="S233" s="178"/>
    </row>
    <row r="234" spans="18:19">
      <c r="R234" s="178"/>
      <c r="S234" s="178"/>
    </row>
    <row r="235" spans="18:19">
      <c r="R235" s="178"/>
      <c r="S235" s="178"/>
    </row>
    <row r="236" spans="18:19">
      <c r="R236" s="178"/>
      <c r="S236" s="178"/>
    </row>
    <row r="237" spans="18:19">
      <c r="R237" s="178"/>
      <c r="S237" s="178"/>
    </row>
    <row r="238" spans="18:19">
      <c r="R238" s="178"/>
      <c r="S238" s="178"/>
    </row>
    <row r="239" spans="18:19">
      <c r="R239" s="178"/>
      <c r="S239" s="178"/>
    </row>
    <row r="240" spans="18:19">
      <c r="R240" s="178"/>
      <c r="S240" s="178"/>
    </row>
    <row r="241" spans="18:19">
      <c r="R241" s="178"/>
      <c r="S241" s="178"/>
    </row>
    <row r="242" spans="18:19">
      <c r="R242" s="178"/>
      <c r="S242" s="178"/>
    </row>
    <row r="243" spans="18:19">
      <c r="R243" s="178"/>
      <c r="S243" s="178"/>
    </row>
    <row r="244" spans="18:19">
      <c r="R244" s="178"/>
      <c r="S244" s="178"/>
    </row>
    <row r="245" spans="18:19">
      <c r="R245" s="178"/>
      <c r="S245" s="178"/>
    </row>
    <row r="246" spans="18:19">
      <c r="R246" s="178"/>
      <c r="S246" s="178"/>
    </row>
    <row r="247" spans="18:19">
      <c r="R247" s="178"/>
      <c r="S247" s="178"/>
    </row>
    <row r="248" spans="18:19">
      <c r="R248" s="178"/>
      <c r="S248" s="178"/>
    </row>
    <row r="249" spans="18:19">
      <c r="R249" s="178"/>
      <c r="S249" s="178"/>
    </row>
    <row r="250" spans="18:19">
      <c r="R250" s="178"/>
      <c r="S250" s="178"/>
    </row>
    <row r="251" spans="18:19">
      <c r="R251" s="178"/>
      <c r="S251" s="178"/>
    </row>
    <row r="252" spans="18:19">
      <c r="R252" s="178"/>
      <c r="S252" s="178"/>
    </row>
    <row r="253" spans="18:19">
      <c r="R253" s="178"/>
      <c r="S253" s="178"/>
    </row>
    <row r="254" spans="18:19">
      <c r="R254" s="178"/>
      <c r="S254" s="178"/>
    </row>
    <row r="255" spans="18:19">
      <c r="R255" s="178"/>
      <c r="S255" s="178"/>
    </row>
    <row r="256" spans="18:19">
      <c r="R256" s="178"/>
      <c r="S256" s="178"/>
    </row>
    <row r="257" spans="18:19">
      <c r="R257" s="178"/>
      <c r="S257" s="178"/>
    </row>
    <row r="258" spans="18:19">
      <c r="R258" s="178"/>
      <c r="S258" s="178"/>
    </row>
    <row r="259" spans="18:19">
      <c r="R259" s="178"/>
      <c r="S259" s="178"/>
    </row>
    <row r="260" spans="18:19">
      <c r="R260" s="178"/>
      <c r="S260" s="178"/>
    </row>
    <row r="261" spans="18:19">
      <c r="R261" s="178"/>
      <c r="S261" s="178"/>
    </row>
    <row r="262" spans="18:19">
      <c r="R262" s="178"/>
      <c r="S262" s="178"/>
    </row>
    <row r="263" spans="18:19">
      <c r="R263" s="178"/>
      <c r="S263" s="178"/>
    </row>
    <row r="264" spans="18:19">
      <c r="R264" s="178"/>
      <c r="S264" s="178"/>
    </row>
    <row r="265" spans="18:19">
      <c r="R265" s="178"/>
      <c r="S265" s="178"/>
    </row>
    <row r="266" spans="18:19">
      <c r="R266" s="178"/>
      <c r="S266" s="178"/>
    </row>
    <row r="267" spans="18:19">
      <c r="R267" s="178"/>
      <c r="S267" s="178"/>
    </row>
    <row r="268" spans="18:19">
      <c r="R268" s="178"/>
      <c r="S268" s="178"/>
    </row>
    <row r="269" spans="18:19">
      <c r="R269" s="178"/>
      <c r="S269" s="178"/>
    </row>
    <row r="270" spans="18:19">
      <c r="R270" s="178"/>
      <c r="S270" s="178"/>
    </row>
    <row r="271" spans="18:19">
      <c r="R271" s="178"/>
      <c r="S271" s="178"/>
    </row>
    <row r="272" spans="18:19">
      <c r="R272" s="178"/>
      <c r="S272" s="178"/>
    </row>
    <row r="273" spans="18:19">
      <c r="R273" s="178"/>
      <c r="S273" s="178"/>
    </row>
    <row r="274" spans="18:19">
      <c r="R274" s="178"/>
      <c r="S274" s="178"/>
    </row>
    <row r="275" spans="18:19">
      <c r="R275" s="178"/>
      <c r="S275" s="178"/>
    </row>
    <row r="276" spans="18:19">
      <c r="R276" s="178"/>
      <c r="S276" s="178"/>
    </row>
    <row r="277" spans="18:19">
      <c r="R277" s="178"/>
      <c r="S277" s="178"/>
    </row>
    <row r="278" spans="18:19">
      <c r="R278" s="178"/>
      <c r="S278" s="178"/>
    </row>
    <row r="279" spans="18:19">
      <c r="R279" s="178"/>
      <c r="S279" s="178"/>
    </row>
    <row r="280" spans="18:19">
      <c r="R280" s="178"/>
      <c r="S280" s="178"/>
    </row>
    <row r="281" spans="18:19">
      <c r="R281" s="178"/>
      <c r="S281" s="178"/>
    </row>
    <row r="282" spans="18:19">
      <c r="R282" s="178"/>
      <c r="S282" s="178"/>
    </row>
    <row r="283" spans="18:19">
      <c r="R283" s="178"/>
      <c r="S283" s="178"/>
    </row>
    <row r="284" spans="18:19">
      <c r="R284" s="178"/>
      <c r="S284" s="178"/>
    </row>
    <row r="285" spans="18:19">
      <c r="R285" s="178"/>
      <c r="S285" s="178"/>
    </row>
    <row r="286" spans="18:19">
      <c r="R286" s="178"/>
      <c r="S286" s="178"/>
    </row>
    <row r="287" spans="18:19">
      <c r="R287" s="178"/>
      <c r="S287" s="178"/>
    </row>
    <row r="288" spans="18:19">
      <c r="R288" s="178"/>
      <c r="S288" s="178"/>
    </row>
    <row r="289" spans="18:19">
      <c r="R289" s="178"/>
      <c r="S289" s="178"/>
    </row>
    <row r="290" spans="18:19">
      <c r="R290" s="178"/>
      <c r="S290" s="178"/>
    </row>
    <row r="291" spans="18:19">
      <c r="R291" s="178"/>
      <c r="S291" s="178"/>
    </row>
    <row r="292" spans="18:19">
      <c r="R292" s="178"/>
      <c r="S292" s="178"/>
    </row>
    <row r="293" spans="18:19">
      <c r="R293" s="178"/>
      <c r="S293" s="178"/>
    </row>
    <row r="294" spans="18:19">
      <c r="R294" s="178"/>
      <c r="S294" s="178"/>
    </row>
    <row r="295" spans="18:19">
      <c r="R295" s="178"/>
      <c r="S295" s="178"/>
    </row>
    <row r="296" spans="18:19">
      <c r="R296" s="178"/>
      <c r="S296" s="178"/>
    </row>
    <row r="297" spans="18:19">
      <c r="R297" s="178"/>
      <c r="S297" s="178"/>
    </row>
    <row r="298" spans="18:19">
      <c r="R298" s="178"/>
      <c r="S298" s="178"/>
    </row>
    <row r="299" spans="18:19">
      <c r="R299" s="178"/>
      <c r="S299" s="178"/>
    </row>
    <row r="300" spans="18:19">
      <c r="R300" s="178"/>
      <c r="S300" s="178"/>
    </row>
    <row r="301" spans="18:19">
      <c r="R301" s="178"/>
      <c r="S301" s="178"/>
    </row>
    <row r="302" spans="18:19">
      <c r="R302" s="178"/>
      <c r="S302" s="178"/>
    </row>
    <row r="303" spans="18:19">
      <c r="R303" s="178"/>
      <c r="S303" s="178"/>
    </row>
    <row r="304" spans="18:19">
      <c r="R304" s="178"/>
      <c r="S304" s="178"/>
    </row>
    <row r="305" spans="18:19">
      <c r="R305" s="178"/>
      <c r="S305" s="178"/>
    </row>
    <row r="306" spans="18:19">
      <c r="R306" s="178"/>
      <c r="S306" s="178"/>
    </row>
    <row r="307" spans="18:19">
      <c r="R307" s="178"/>
      <c r="S307" s="178"/>
    </row>
    <row r="308" spans="18:19">
      <c r="R308" s="178"/>
      <c r="S308" s="178"/>
    </row>
    <row r="309" spans="18:19">
      <c r="R309" s="178"/>
      <c r="S309" s="178"/>
    </row>
    <row r="310" spans="18:19">
      <c r="R310" s="178"/>
      <c r="S310" s="178"/>
    </row>
    <row r="311" spans="18:19">
      <c r="R311" s="178"/>
      <c r="S311" s="178"/>
    </row>
    <row r="312" spans="18:19">
      <c r="R312" s="178"/>
      <c r="S312" s="178"/>
    </row>
    <row r="313" spans="18:19">
      <c r="R313" s="178"/>
      <c r="S313" s="178"/>
    </row>
    <row r="314" spans="18:19">
      <c r="R314" s="178"/>
      <c r="S314" s="178"/>
    </row>
    <row r="315" spans="18:19">
      <c r="R315" s="178"/>
      <c r="S315" s="178"/>
    </row>
    <row r="316" spans="18:19">
      <c r="R316" s="178"/>
      <c r="S316" s="178"/>
    </row>
    <row r="317" spans="18:19">
      <c r="R317" s="178"/>
      <c r="S317" s="178"/>
    </row>
    <row r="318" spans="18:19">
      <c r="R318" s="178"/>
      <c r="S318" s="178"/>
    </row>
    <row r="319" spans="18:19">
      <c r="R319" s="178"/>
      <c r="S319" s="178"/>
    </row>
    <row r="320" spans="18:19">
      <c r="R320" s="178"/>
      <c r="S320" s="178"/>
    </row>
    <row r="321" spans="18:19">
      <c r="R321" s="178"/>
      <c r="S321" s="178"/>
    </row>
    <row r="322" spans="18:19">
      <c r="R322" s="178"/>
      <c r="S322" s="178"/>
    </row>
    <row r="323" spans="18:19">
      <c r="R323" s="178"/>
      <c r="S323" s="178"/>
    </row>
    <row r="324" spans="18:19">
      <c r="R324" s="178"/>
      <c r="S324" s="178"/>
    </row>
    <row r="325" spans="18:19">
      <c r="R325" s="178"/>
      <c r="S325" s="178"/>
    </row>
    <row r="326" spans="18:19">
      <c r="R326" s="178"/>
      <c r="S326" s="178"/>
    </row>
    <row r="327" spans="18:19">
      <c r="R327" s="178"/>
      <c r="S327" s="178"/>
    </row>
    <row r="328" spans="18:19">
      <c r="R328" s="178"/>
      <c r="S328" s="178"/>
    </row>
    <row r="329" spans="18:19">
      <c r="R329" s="178"/>
      <c r="S329" s="178"/>
    </row>
    <row r="330" spans="18:19">
      <c r="R330" s="178"/>
      <c r="S330" s="178"/>
    </row>
    <row r="331" spans="18:19">
      <c r="R331" s="178"/>
      <c r="S331" s="178"/>
    </row>
    <row r="332" spans="18:19">
      <c r="R332" s="178"/>
      <c r="S332" s="178"/>
    </row>
    <row r="333" spans="18:19">
      <c r="R333" s="178"/>
      <c r="S333" s="178"/>
    </row>
    <row r="334" spans="18:19">
      <c r="R334" s="178"/>
      <c r="S334" s="178"/>
    </row>
    <row r="335" spans="18:19">
      <c r="R335" s="178"/>
      <c r="S335" s="178"/>
    </row>
    <row r="336" spans="18:19">
      <c r="R336" s="178"/>
      <c r="S336" s="178"/>
    </row>
    <row r="337" spans="18:19">
      <c r="R337" s="178"/>
      <c r="S337" s="178"/>
    </row>
    <row r="338" spans="18:19">
      <c r="R338" s="178"/>
      <c r="S338" s="178"/>
    </row>
    <row r="339" spans="18:19">
      <c r="R339" s="178"/>
      <c r="S339" s="178"/>
    </row>
    <row r="340" spans="18:19">
      <c r="R340" s="178"/>
      <c r="S340" s="178"/>
    </row>
    <row r="341" spans="18:19">
      <c r="R341" s="178"/>
      <c r="S341" s="178"/>
    </row>
    <row r="342" spans="18:19">
      <c r="R342" s="178"/>
      <c r="S342" s="178"/>
    </row>
    <row r="343" spans="18:19">
      <c r="R343" s="178"/>
      <c r="S343" s="178"/>
    </row>
    <row r="344" spans="18:19">
      <c r="R344" s="178"/>
      <c r="S344" s="178"/>
    </row>
    <row r="345" spans="18:19">
      <c r="R345" s="178"/>
      <c r="S345" s="178"/>
    </row>
    <row r="346" spans="18:19">
      <c r="R346" s="178"/>
      <c r="S346" s="178"/>
    </row>
    <row r="347" spans="18:19">
      <c r="R347" s="178"/>
      <c r="S347" s="178"/>
    </row>
    <row r="348" spans="18:19">
      <c r="R348" s="178"/>
      <c r="S348" s="178"/>
    </row>
    <row r="349" spans="18:19">
      <c r="R349" s="178"/>
      <c r="S349" s="178"/>
    </row>
    <row r="350" spans="18:19">
      <c r="R350" s="178"/>
      <c r="S350" s="178"/>
    </row>
    <row r="351" spans="18:19">
      <c r="R351" s="178"/>
      <c r="S351" s="178"/>
    </row>
    <row r="352" spans="18:19">
      <c r="R352" s="178"/>
      <c r="S352" s="178"/>
    </row>
    <row r="353" spans="18:19">
      <c r="R353" s="178"/>
      <c r="S353" s="178"/>
    </row>
    <row r="354" spans="18:19">
      <c r="R354" s="178"/>
      <c r="S354" s="178"/>
    </row>
    <row r="355" spans="18:19">
      <c r="R355" s="178"/>
      <c r="S355" s="178"/>
    </row>
    <row r="356" spans="18:19">
      <c r="R356" s="178"/>
      <c r="S356" s="178"/>
    </row>
    <row r="357" spans="18:19">
      <c r="R357" s="178"/>
      <c r="S357" s="178"/>
    </row>
    <row r="358" spans="18:19">
      <c r="R358" s="178"/>
      <c r="S358" s="178"/>
    </row>
    <row r="359" spans="18:19">
      <c r="R359" s="178"/>
      <c r="S359" s="178"/>
    </row>
    <row r="360" spans="18:19">
      <c r="R360" s="178"/>
      <c r="S360" s="178"/>
    </row>
    <row r="361" spans="18:19">
      <c r="R361" s="178"/>
      <c r="S361" s="178"/>
    </row>
    <row r="362" spans="18:19">
      <c r="R362" s="178"/>
      <c r="S362" s="178"/>
    </row>
    <row r="363" spans="18:19">
      <c r="R363" s="178"/>
      <c r="S363" s="178"/>
    </row>
    <row r="364" spans="18:19">
      <c r="R364" s="178"/>
      <c r="S364" s="178"/>
    </row>
    <row r="365" spans="18:19">
      <c r="R365" s="178"/>
      <c r="S365" s="178"/>
    </row>
    <row r="366" spans="18:19">
      <c r="R366" s="178"/>
      <c r="S366" s="178"/>
    </row>
    <row r="367" spans="18:19">
      <c r="R367" s="178"/>
      <c r="S367" s="178"/>
    </row>
    <row r="368" spans="18:19">
      <c r="R368" s="178"/>
      <c r="S368" s="178"/>
    </row>
    <row r="369" spans="18:19">
      <c r="R369" s="178"/>
      <c r="S369" s="178"/>
    </row>
    <row r="370" spans="18:19">
      <c r="R370" s="178"/>
      <c r="S370" s="178"/>
    </row>
    <row r="371" spans="18:19">
      <c r="R371" s="178"/>
      <c r="S371" s="178"/>
    </row>
    <row r="372" spans="18:19">
      <c r="R372" s="178"/>
      <c r="S372" s="178"/>
    </row>
    <row r="373" spans="18:19">
      <c r="R373" s="178"/>
      <c r="S373" s="178"/>
    </row>
    <row r="374" spans="18:19">
      <c r="R374" s="178"/>
      <c r="S374" s="178"/>
    </row>
    <row r="375" spans="18:19">
      <c r="R375" s="178"/>
      <c r="S375" s="178"/>
    </row>
    <row r="376" spans="18:19">
      <c r="R376" s="178"/>
      <c r="S376" s="178"/>
    </row>
    <row r="377" spans="18:19">
      <c r="R377" s="178"/>
      <c r="S377" s="178"/>
    </row>
    <row r="378" spans="18:19">
      <c r="R378" s="178"/>
      <c r="S378" s="178"/>
    </row>
    <row r="379" spans="18:19">
      <c r="R379" s="178"/>
      <c r="S379" s="178"/>
    </row>
    <row r="380" spans="18:19">
      <c r="R380" s="178"/>
      <c r="S380" s="178"/>
    </row>
    <row r="381" spans="18:19">
      <c r="R381" s="178"/>
      <c r="S381" s="178"/>
    </row>
    <row r="382" spans="18:19">
      <c r="R382" s="178"/>
      <c r="S382" s="178"/>
    </row>
    <row r="383" spans="18:19">
      <c r="R383" s="178"/>
      <c r="S383" s="178"/>
    </row>
    <row r="384" spans="18:19">
      <c r="R384" s="178"/>
      <c r="S384" s="178"/>
    </row>
    <row r="385" spans="18:19">
      <c r="R385" s="178"/>
      <c r="S385" s="178"/>
    </row>
    <row r="386" spans="18:19">
      <c r="R386" s="178"/>
      <c r="S386" s="178"/>
    </row>
    <row r="387" spans="18:19">
      <c r="R387" s="178"/>
      <c r="S387" s="178"/>
    </row>
    <row r="388" spans="18:19">
      <c r="R388" s="178"/>
      <c r="S388" s="178"/>
    </row>
    <row r="389" spans="18:19">
      <c r="R389" s="178"/>
      <c r="S389" s="178"/>
    </row>
    <row r="390" spans="18:19">
      <c r="R390" s="178"/>
      <c r="S390" s="178"/>
    </row>
    <row r="391" spans="18:19">
      <c r="R391" s="178"/>
      <c r="S391" s="178"/>
    </row>
    <row r="392" spans="18:19">
      <c r="R392" s="178"/>
      <c r="S392" s="178"/>
    </row>
    <row r="393" spans="18:19">
      <c r="R393" s="178"/>
      <c r="S393" s="178"/>
    </row>
    <row r="394" spans="18:19">
      <c r="R394" s="178"/>
      <c r="S394" s="178"/>
    </row>
    <row r="395" spans="18:19">
      <c r="R395" s="178"/>
      <c r="S395" s="178"/>
    </row>
    <row r="396" spans="18:19">
      <c r="R396" s="178"/>
      <c r="S396" s="178"/>
    </row>
    <row r="397" spans="18:19">
      <c r="R397" s="178"/>
      <c r="S397" s="178"/>
    </row>
    <row r="398" spans="18:19">
      <c r="R398" s="178"/>
      <c r="S398" s="178"/>
    </row>
    <row r="399" spans="18:19">
      <c r="R399" s="178"/>
      <c r="S399" s="178"/>
    </row>
    <row r="400" spans="18:19">
      <c r="R400" s="178"/>
      <c r="S400" s="178"/>
    </row>
    <row r="401" spans="18:19">
      <c r="R401" s="178"/>
      <c r="S401" s="178"/>
    </row>
    <row r="402" spans="18:19">
      <c r="R402" s="178"/>
      <c r="S402" s="178"/>
    </row>
    <row r="403" spans="18:19">
      <c r="R403" s="178"/>
      <c r="S403" s="178"/>
    </row>
    <row r="404" spans="18:19">
      <c r="R404" s="178"/>
      <c r="S404" s="178"/>
    </row>
    <row r="405" spans="18:19">
      <c r="R405" s="178"/>
      <c r="S405" s="178"/>
    </row>
    <row r="406" spans="18:19">
      <c r="R406" s="178"/>
      <c r="S406" s="178"/>
    </row>
    <row r="407" spans="18:19">
      <c r="R407" s="178"/>
      <c r="S407" s="178"/>
    </row>
    <row r="408" spans="18:19">
      <c r="R408" s="178"/>
      <c r="S408" s="178"/>
    </row>
    <row r="409" spans="18:19">
      <c r="R409" s="178"/>
      <c r="S409" s="178"/>
    </row>
    <row r="410" spans="18:19">
      <c r="R410" s="178"/>
      <c r="S410" s="178"/>
    </row>
    <row r="411" spans="18:19">
      <c r="R411" s="178"/>
      <c r="S411" s="178"/>
    </row>
    <row r="412" spans="18:19">
      <c r="R412" s="178"/>
      <c r="S412" s="178"/>
    </row>
    <row r="413" spans="18:19">
      <c r="R413" s="178"/>
      <c r="S413" s="178"/>
    </row>
    <row r="414" spans="18:19">
      <c r="R414" s="178"/>
      <c r="S414" s="178"/>
    </row>
    <row r="415" spans="18:19">
      <c r="R415" s="178"/>
      <c r="S415" s="178"/>
    </row>
    <row r="416" spans="18:19">
      <c r="R416" s="178"/>
      <c r="S416" s="178"/>
    </row>
    <row r="417" spans="18:19">
      <c r="R417" s="178"/>
      <c r="S417" s="178"/>
    </row>
    <row r="418" spans="18:19">
      <c r="R418" s="178"/>
      <c r="S418" s="178"/>
    </row>
    <row r="419" spans="18:19">
      <c r="R419" s="178"/>
      <c r="S419" s="178"/>
    </row>
    <row r="420" spans="18:19">
      <c r="R420" s="178"/>
      <c r="S420" s="178"/>
    </row>
    <row r="421" spans="18:19">
      <c r="R421" s="178"/>
      <c r="S421" s="178"/>
    </row>
    <row r="422" spans="18:19">
      <c r="R422" s="178"/>
      <c r="S422" s="178"/>
    </row>
    <row r="423" spans="18:19">
      <c r="R423" s="178"/>
      <c r="S423" s="178"/>
    </row>
    <row r="424" spans="18:19">
      <c r="R424" s="178"/>
      <c r="S424" s="178"/>
    </row>
    <row r="425" spans="18:19">
      <c r="R425" s="178"/>
      <c r="S425" s="178"/>
    </row>
    <row r="426" spans="18:19">
      <c r="R426" s="178"/>
      <c r="S426" s="178"/>
    </row>
    <row r="427" spans="18:19">
      <c r="R427" s="178"/>
      <c r="S427" s="178"/>
    </row>
    <row r="428" spans="18:19">
      <c r="R428" s="178"/>
      <c r="S428" s="178"/>
    </row>
    <row r="429" spans="18:19">
      <c r="R429" s="178"/>
      <c r="S429" s="178"/>
    </row>
    <row r="430" spans="18:19">
      <c r="R430" s="178"/>
      <c r="S430" s="178"/>
    </row>
    <row r="431" spans="18:19">
      <c r="R431" s="178"/>
      <c r="S431" s="178"/>
    </row>
    <row r="432" spans="18:19">
      <c r="R432" s="178"/>
      <c r="S432" s="178"/>
    </row>
    <row r="433" spans="18:19">
      <c r="R433" s="178"/>
      <c r="S433" s="178"/>
    </row>
    <row r="434" spans="18:19">
      <c r="R434" s="178"/>
      <c r="S434" s="178"/>
    </row>
    <row r="435" spans="18:19">
      <c r="R435" s="178"/>
      <c r="S435" s="178"/>
    </row>
    <row r="436" spans="18:19">
      <c r="R436" s="178"/>
      <c r="S436" s="178"/>
    </row>
    <row r="437" spans="18:19">
      <c r="R437" s="178"/>
      <c r="S437" s="178"/>
    </row>
    <row r="438" spans="18:19">
      <c r="R438" s="178"/>
      <c r="S438" s="178"/>
    </row>
    <row r="439" spans="18:19">
      <c r="R439" s="178"/>
      <c r="S439" s="178"/>
    </row>
    <row r="440" spans="18:19">
      <c r="R440" s="178"/>
      <c r="S440" s="178"/>
    </row>
    <row r="441" spans="18:19">
      <c r="R441" s="178"/>
      <c r="S441" s="178"/>
    </row>
    <row r="442" spans="18:19">
      <c r="R442" s="178"/>
      <c r="S442" s="178"/>
    </row>
    <row r="443" spans="18:19">
      <c r="R443" s="178"/>
      <c r="S443" s="178"/>
    </row>
    <row r="444" spans="18:19">
      <c r="R444" s="178"/>
      <c r="S444" s="178"/>
    </row>
    <row r="445" spans="18:19">
      <c r="R445" s="178"/>
      <c r="S445" s="178"/>
    </row>
    <row r="446" spans="18:19">
      <c r="R446" s="178"/>
      <c r="S446" s="178"/>
    </row>
    <row r="447" spans="18:19">
      <c r="R447" s="178"/>
      <c r="S447" s="178"/>
    </row>
    <row r="448" spans="18:19">
      <c r="R448" s="178"/>
      <c r="S448" s="178"/>
    </row>
    <row r="449" spans="18:19">
      <c r="R449" s="178"/>
      <c r="S449" s="178"/>
    </row>
    <row r="450" spans="18:19">
      <c r="R450" s="178"/>
      <c r="S450" s="178"/>
    </row>
    <row r="451" spans="18:19">
      <c r="R451" s="178"/>
      <c r="S451" s="178"/>
    </row>
    <row r="452" spans="18:19">
      <c r="R452" s="178"/>
      <c r="S452" s="178"/>
    </row>
    <row r="453" spans="18:19">
      <c r="R453" s="178"/>
      <c r="S453" s="178"/>
    </row>
    <row r="454" spans="18:19">
      <c r="R454" s="178"/>
      <c r="S454" s="178"/>
    </row>
    <row r="455" spans="18:19">
      <c r="R455" s="178"/>
      <c r="S455" s="178"/>
    </row>
    <row r="456" spans="18:19">
      <c r="R456" s="178"/>
      <c r="S456" s="178"/>
    </row>
    <row r="457" spans="18:19">
      <c r="R457" s="178"/>
      <c r="S457" s="178"/>
    </row>
    <row r="458" spans="18:19">
      <c r="R458" s="178"/>
      <c r="S458" s="178"/>
    </row>
    <row r="459" spans="18:19">
      <c r="R459" s="178"/>
      <c r="S459" s="178"/>
    </row>
    <row r="460" spans="18:19">
      <c r="R460" s="178"/>
      <c r="S460" s="178"/>
    </row>
    <row r="461" spans="18:19">
      <c r="R461" s="178"/>
      <c r="S461" s="178"/>
    </row>
    <row r="462" spans="18:19">
      <c r="R462" s="178"/>
      <c r="S462" s="178"/>
    </row>
    <row r="463" spans="18:19">
      <c r="R463" s="178"/>
      <c r="S463" s="178"/>
    </row>
    <row r="464" spans="18:19">
      <c r="R464" s="178"/>
      <c r="S464" s="178"/>
    </row>
    <row r="465" spans="18:19">
      <c r="R465" s="178"/>
      <c r="S465" s="178"/>
    </row>
    <row r="466" spans="18:19">
      <c r="R466" s="178"/>
      <c r="S466" s="178"/>
    </row>
    <row r="467" spans="18:19">
      <c r="R467" s="178"/>
      <c r="S467" s="178"/>
    </row>
    <row r="468" spans="18:19">
      <c r="R468" s="178"/>
      <c r="S468" s="178"/>
    </row>
    <row r="469" spans="18:19">
      <c r="R469" s="178"/>
      <c r="S469" s="178"/>
    </row>
    <row r="470" spans="18:19">
      <c r="R470" s="178"/>
      <c r="S470" s="178"/>
    </row>
    <row r="471" spans="18:19">
      <c r="R471" s="178"/>
      <c r="S471" s="178"/>
    </row>
    <row r="472" spans="18:19">
      <c r="R472" s="178"/>
      <c r="S472" s="178"/>
    </row>
    <row r="473" spans="18:19">
      <c r="R473" s="178"/>
      <c r="S473" s="178"/>
    </row>
    <row r="474" spans="18:19">
      <c r="R474" s="178"/>
      <c r="S474" s="178"/>
    </row>
    <row r="475" spans="18:19">
      <c r="R475" s="178"/>
      <c r="S475" s="178"/>
    </row>
    <row r="476" spans="18:19">
      <c r="R476" s="178"/>
      <c r="S476" s="178"/>
    </row>
    <row r="477" spans="18:19">
      <c r="R477" s="178"/>
      <c r="S477" s="178"/>
    </row>
    <row r="478" spans="18:19">
      <c r="R478" s="178"/>
      <c r="S478" s="178"/>
    </row>
    <row r="479" spans="18:19">
      <c r="R479" s="178"/>
      <c r="S479" s="178"/>
    </row>
    <row r="480" spans="18:19">
      <c r="R480" s="178"/>
      <c r="S480" s="178"/>
    </row>
    <row r="481" spans="18:19">
      <c r="R481" s="178"/>
      <c r="S481" s="178"/>
    </row>
    <row r="482" spans="18:19">
      <c r="R482" s="178"/>
      <c r="S482" s="178"/>
    </row>
    <row r="483" spans="18:19">
      <c r="R483" s="178"/>
      <c r="S483" s="178"/>
    </row>
    <row r="484" spans="18:19">
      <c r="R484" s="178"/>
      <c r="S484" s="178"/>
    </row>
    <row r="485" spans="18:19">
      <c r="R485" s="178"/>
      <c r="S485" s="178"/>
    </row>
    <row r="486" spans="18:19">
      <c r="R486" s="178"/>
      <c r="S486" s="178"/>
    </row>
    <row r="487" spans="18:19">
      <c r="R487" s="178"/>
      <c r="S487" s="178"/>
    </row>
    <row r="488" spans="18:19">
      <c r="R488" s="178"/>
      <c r="S488" s="178"/>
    </row>
    <row r="489" spans="18:19">
      <c r="R489" s="178"/>
      <c r="S489" s="178"/>
    </row>
    <row r="490" spans="18:19">
      <c r="R490" s="178"/>
      <c r="S490" s="178"/>
    </row>
    <row r="491" spans="18:19">
      <c r="R491" s="178"/>
      <c r="S491" s="178"/>
    </row>
    <row r="492" spans="18:19">
      <c r="R492" s="178"/>
      <c r="S492" s="178"/>
    </row>
    <row r="493" spans="18:19">
      <c r="R493" s="178"/>
      <c r="S493" s="178"/>
    </row>
    <row r="494" spans="18:19">
      <c r="R494" s="178"/>
      <c r="S494" s="178"/>
    </row>
    <row r="495" spans="18:19">
      <c r="R495" s="178"/>
      <c r="S495" s="178"/>
    </row>
    <row r="496" spans="18:19">
      <c r="R496" s="178"/>
      <c r="S496" s="178"/>
    </row>
    <row r="497" spans="18:19">
      <c r="R497" s="178"/>
      <c r="S497" s="178"/>
    </row>
    <row r="498" spans="18:19">
      <c r="R498" s="178"/>
      <c r="S498" s="178"/>
    </row>
    <row r="499" spans="18:19">
      <c r="R499" s="178"/>
      <c r="S499" s="178"/>
    </row>
    <row r="500" spans="18:19">
      <c r="R500" s="178"/>
      <c r="S500" s="178"/>
    </row>
    <row r="501" spans="18:19">
      <c r="R501" s="178"/>
      <c r="S501" s="178"/>
    </row>
    <row r="502" spans="18:19">
      <c r="R502" s="178"/>
      <c r="S502" s="178"/>
    </row>
    <row r="503" spans="18:19">
      <c r="R503" s="178"/>
      <c r="S503" s="178"/>
    </row>
    <row r="504" spans="18:19">
      <c r="R504" s="178"/>
      <c r="S504" s="178"/>
    </row>
    <row r="505" spans="18:19">
      <c r="R505" s="178"/>
      <c r="S505" s="178"/>
    </row>
    <row r="506" spans="18:19">
      <c r="R506" s="178"/>
      <c r="S506" s="178"/>
    </row>
    <row r="507" spans="18:19">
      <c r="R507" s="178"/>
      <c r="S507" s="178"/>
    </row>
    <row r="508" spans="18:19">
      <c r="R508" s="178"/>
      <c r="S508" s="178"/>
    </row>
    <row r="509" spans="18:19">
      <c r="R509" s="178"/>
      <c r="S509" s="178"/>
    </row>
    <row r="510" spans="18:19">
      <c r="R510" s="178"/>
      <c r="S510" s="178"/>
    </row>
    <row r="511" spans="18:19">
      <c r="R511" s="178"/>
      <c r="S511" s="178"/>
    </row>
    <row r="512" spans="18:19">
      <c r="R512" s="178"/>
      <c r="S512" s="178"/>
    </row>
    <row r="513" spans="18:19">
      <c r="R513" s="178"/>
      <c r="S513" s="178"/>
    </row>
    <row r="514" spans="18:19">
      <c r="R514" s="178"/>
      <c r="S514" s="178"/>
    </row>
    <row r="515" spans="18:19">
      <c r="R515" s="178"/>
      <c r="S515" s="178"/>
    </row>
    <row r="516" spans="18:19">
      <c r="R516" s="178"/>
      <c r="S516" s="178"/>
    </row>
    <row r="517" spans="18:19">
      <c r="R517" s="178"/>
      <c r="S517" s="178"/>
    </row>
    <row r="518" spans="18:19">
      <c r="R518" s="178"/>
      <c r="S518" s="178"/>
    </row>
    <row r="519" spans="18:19">
      <c r="R519" s="178"/>
      <c r="S519" s="178"/>
    </row>
    <row r="520" spans="18:19">
      <c r="R520" s="178"/>
      <c r="S520" s="178"/>
    </row>
    <row r="521" spans="18:19">
      <c r="R521" s="178"/>
      <c r="S521" s="178"/>
    </row>
    <row r="522" spans="18:19">
      <c r="R522" s="178"/>
      <c r="S522" s="178"/>
    </row>
    <row r="523" spans="18:19">
      <c r="R523" s="178"/>
      <c r="S523" s="178"/>
    </row>
    <row r="524" spans="18:19">
      <c r="R524" s="178"/>
      <c r="S524" s="178"/>
    </row>
    <row r="525" spans="18:19">
      <c r="R525" s="178"/>
      <c r="S525" s="178"/>
    </row>
    <row r="526" spans="18:19">
      <c r="R526" s="178"/>
      <c r="S526" s="178"/>
    </row>
    <row r="527" spans="18:19">
      <c r="R527" s="178"/>
      <c r="S527" s="178"/>
    </row>
    <row r="528" spans="18:19">
      <c r="R528" s="178"/>
      <c r="S528" s="178"/>
    </row>
    <row r="529" spans="18:19">
      <c r="R529" s="178"/>
      <c r="S529" s="178"/>
    </row>
    <row r="530" spans="18:19">
      <c r="R530" s="178"/>
      <c r="S530" s="178"/>
    </row>
    <row r="531" spans="18:19">
      <c r="R531" s="178"/>
      <c r="S531" s="178"/>
    </row>
    <row r="532" spans="18:19">
      <c r="R532" s="178"/>
      <c r="S532" s="178"/>
    </row>
    <row r="533" spans="18:19">
      <c r="R533" s="178"/>
      <c r="S533" s="178"/>
    </row>
    <row r="534" spans="18:19">
      <c r="R534" s="178"/>
      <c r="S534" s="178"/>
    </row>
    <row r="535" spans="18:19">
      <c r="R535" s="178"/>
      <c r="S535" s="178"/>
    </row>
    <row r="536" spans="18:19">
      <c r="R536" s="178"/>
      <c r="S536" s="178"/>
    </row>
    <row r="537" spans="18:19">
      <c r="R537" s="178"/>
      <c r="S537" s="178"/>
    </row>
    <row r="538" spans="18:19">
      <c r="R538" s="178"/>
      <c r="S538" s="178"/>
    </row>
    <row r="539" spans="18:19">
      <c r="R539" s="178"/>
      <c r="S539" s="178"/>
    </row>
    <row r="540" spans="18:19">
      <c r="R540" s="178"/>
      <c r="S540" s="178"/>
    </row>
    <row r="541" spans="18:19">
      <c r="R541" s="178"/>
      <c r="S541" s="178"/>
    </row>
    <row r="542" spans="18:19">
      <c r="R542" s="178"/>
      <c r="S542" s="178"/>
    </row>
    <row r="543" spans="18:19">
      <c r="R543" s="178"/>
      <c r="S543" s="178"/>
    </row>
    <row r="544" spans="18:19">
      <c r="R544" s="178"/>
      <c r="S544" s="178"/>
    </row>
    <row r="545" spans="18:19">
      <c r="R545" s="178"/>
      <c r="S545" s="178"/>
    </row>
    <row r="546" spans="18:19">
      <c r="R546" s="178"/>
      <c r="S546" s="178"/>
    </row>
    <row r="547" spans="18:19">
      <c r="R547" s="178"/>
      <c r="S547" s="178"/>
    </row>
    <row r="548" spans="18:19">
      <c r="R548" s="178"/>
      <c r="S548" s="178"/>
    </row>
    <row r="549" spans="18:19">
      <c r="R549" s="178"/>
      <c r="S549" s="178"/>
    </row>
    <row r="550" spans="18:19">
      <c r="R550" s="178"/>
      <c r="S550" s="178"/>
    </row>
    <row r="551" spans="18:19">
      <c r="R551" s="178"/>
      <c r="S551" s="178"/>
    </row>
    <row r="552" spans="18:19">
      <c r="R552" s="178"/>
      <c r="S552" s="178"/>
    </row>
    <row r="553" spans="18:19">
      <c r="R553" s="178"/>
      <c r="S553" s="178"/>
    </row>
    <row r="554" spans="18:19">
      <c r="R554" s="178"/>
      <c r="S554" s="178"/>
    </row>
    <row r="555" spans="18:19">
      <c r="R555" s="178"/>
      <c r="S555" s="178"/>
    </row>
    <row r="556" spans="18:19">
      <c r="R556" s="178"/>
      <c r="S556" s="178"/>
    </row>
    <row r="557" spans="18:19">
      <c r="R557" s="178"/>
      <c r="S557" s="178"/>
    </row>
    <row r="558" spans="18:19">
      <c r="R558" s="178"/>
      <c r="S558" s="178"/>
    </row>
    <row r="559" spans="18:19">
      <c r="R559" s="178"/>
      <c r="S559" s="178"/>
    </row>
    <row r="560" spans="18:19">
      <c r="R560" s="178"/>
      <c r="S560" s="178"/>
    </row>
    <row r="561" spans="18:19">
      <c r="R561" s="178"/>
      <c r="S561" s="178"/>
    </row>
    <row r="562" spans="18:19">
      <c r="R562" s="178"/>
      <c r="S562" s="178"/>
    </row>
    <row r="563" spans="18:19">
      <c r="R563" s="178"/>
      <c r="S563" s="178"/>
    </row>
    <row r="564" spans="18:19">
      <c r="R564" s="178"/>
      <c r="S564" s="178"/>
    </row>
    <row r="565" spans="18:19">
      <c r="R565" s="178"/>
      <c r="S565" s="178"/>
    </row>
    <row r="566" spans="18:19">
      <c r="R566" s="178"/>
      <c r="S566" s="178"/>
    </row>
    <row r="567" spans="18:19">
      <c r="R567" s="178"/>
      <c r="S567" s="178"/>
    </row>
    <row r="568" spans="18:19">
      <c r="R568" s="178"/>
      <c r="S568" s="178"/>
    </row>
    <row r="569" spans="18:19">
      <c r="R569" s="178"/>
      <c r="S569" s="178"/>
    </row>
    <row r="570" spans="18:19">
      <c r="R570" s="178"/>
      <c r="S570" s="178"/>
    </row>
    <row r="571" spans="18:19">
      <c r="R571" s="178"/>
      <c r="S571" s="178"/>
    </row>
    <row r="572" spans="18:19">
      <c r="R572" s="178"/>
      <c r="S572" s="178"/>
    </row>
    <row r="573" spans="18:19">
      <c r="R573" s="178"/>
      <c r="S573" s="178"/>
    </row>
    <row r="574" spans="18:19">
      <c r="R574" s="178"/>
      <c r="S574" s="178"/>
    </row>
    <row r="575" spans="18:19">
      <c r="R575" s="178"/>
      <c r="S575" s="178"/>
    </row>
    <row r="576" spans="18:19">
      <c r="R576" s="178"/>
      <c r="S576" s="178"/>
    </row>
    <row r="577" spans="18:19">
      <c r="R577" s="178"/>
      <c r="S577" s="178"/>
    </row>
    <row r="578" spans="18:19">
      <c r="R578" s="178"/>
      <c r="S578" s="178"/>
    </row>
    <row r="579" spans="18:19">
      <c r="R579" s="178"/>
      <c r="S579" s="178"/>
    </row>
    <row r="580" spans="18:19">
      <c r="R580" s="178"/>
      <c r="S580" s="178"/>
    </row>
    <row r="581" spans="18:19">
      <c r="R581" s="178"/>
      <c r="S581" s="178"/>
    </row>
    <row r="582" spans="18:19">
      <c r="R582" s="178"/>
      <c r="S582" s="178"/>
    </row>
    <row r="583" spans="18:19">
      <c r="R583" s="178"/>
      <c r="S583" s="178"/>
    </row>
    <row r="584" spans="18:19">
      <c r="R584" s="178"/>
      <c r="S584" s="178"/>
    </row>
    <row r="585" spans="18:19">
      <c r="R585" s="178"/>
      <c r="S585" s="178"/>
    </row>
    <row r="586" spans="18:19">
      <c r="R586" s="178"/>
      <c r="S586" s="178"/>
    </row>
    <row r="587" spans="18:19">
      <c r="R587" s="178"/>
      <c r="S587" s="178"/>
    </row>
    <row r="588" spans="18:19">
      <c r="R588" s="178"/>
      <c r="S588" s="178"/>
    </row>
    <row r="589" spans="18:19">
      <c r="R589" s="178"/>
      <c r="S589" s="178"/>
    </row>
    <row r="590" spans="18:19">
      <c r="R590" s="178"/>
      <c r="S590" s="178"/>
    </row>
    <row r="591" spans="18:19">
      <c r="R591" s="178"/>
      <c r="S591" s="178"/>
    </row>
    <row r="592" spans="18:19">
      <c r="R592" s="178"/>
      <c r="S592" s="178"/>
    </row>
    <row r="593" spans="18:19">
      <c r="R593" s="178"/>
      <c r="S593" s="178"/>
    </row>
    <row r="594" spans="18:19">
      <c r="R594" s="178"/>
      <c r="S594" s="178"/>
    </row>
    <row r="595" spans="18:19">
      <c r="R595" s="178"/>
      <c r="S595" s="178"/>
    </row>
    <row r="596" spans="18:19">
      <c r="R596" s="178"/>
      <c r="S596" s="178"/>
    </row>
    <row r="597" spans="18:19">
      <c r="R597" s="178"/>
      <c r="S597" s="178"/>
    </row>
    <row r="598" spans="18:19">
      <c r="R598" s="178"/>
      <c r="S598" s="178"/>
    </row>
    <row r="599" spans="18:19">
      <c r="R599" s="178"/>
      <c r="S599" s="178"/>
    </row>
    <row r="600" spans="18:19">
      <c r="R600" s="178"/>
      <c r="S600" s="178"/>
    </row>
    <row r="601" spans="18:19">
      <c r="R601" s="178"/>
      <c r="S601" s="178"/>
    </row>
    <row r="602" spans="18:19">
      <c r="R602" s="178"/>
      <c r="S602" s="178"/>
    </row>
    <row r="603" spans="18:19">
      <c r="R603" s="178"/>
      <c r="S603" s="178"/>
    </row>
    <row r="604" spans="18:19">
      <c r="R604" s="178"/>
      <c r="S604" s="178"/>
    </row>
    <row r="605" spans="18:19">
      <c r="R605" s="178"/>
      <c r="S605" s="178"/>
    </row>
    <row r="606" spans="18:19">
      <c r="R606" s="178"/>
      <c r="S606" s="178"/>
    </row>
    <row r="607" spans="18:19">
      <c r="R607" s="178"/>
      <c r="S607" s="178"/>
    </row>
    <row r="608" spans="18:19">
      <c r="R608" s="178"/>
      <c r="S608" s="178"/>
    </row>
    <row r="609" spans="18:19">
      <c r="R609" s="178"/>
      <c r="S609" s="178"/>
    </row>
    <row r="610" spans="18:19">
      <c r="R610" s="178"/>
      <c r="S610" s="178"/>
    </row>
    <row r="611" spans="18:19">
      <c r="R611" s="178"/>
      <c r="S611" s="178"/>
    </row>
    <row r="612" spans="18:19">
      <c r="R612" s="178"/>
      <c r="S612" s="178"/>
    </row>
    <row r="613" spans="18:19">
      <c r="R613" s="178"/>
      <c r="S613" s="178"/>
    </row>
    <row r="614" spans="18:19">
      <c r="R614" s="178"/>
      <c r="S614" s="178"/>
    </row>
    <row r="615" spans="18:19">
      <c r="R615" s="178"/>
      <c r="S615" s="178"/>
    </row>
    <row r="616" spans="18:19">
      <c r="R616" s="178"/>
      <c r="S616" s="178"/>
    </row>
    <row r="617" spans="18:19">
      <c r="R617" s="178"/>
      <c r="S617" s="178"/>
    </row>
    <row r="618" spans="18:19">
      <c r="R618" s="178"/>
      <c r="S618" s="178"/>
    </row>
    <row r="619" spans="18:19">
      <c r="R619" s="178"/>
      <c r="S619" s="178"/>
    </row>
    <row r="620" spans="18:19">
      <c r="R620" s="178"/>
      <c r="S620" s="178"/>
    </row>
    <row r="621" spans="18:19">
      <c r="R621" s="178"/>
      <c r="S621" s="178"/>
    </row>
    <row r="622" spans="18:19">
      <c r="R622" s="178"/>
      <c r="S622" s="178"/>
    </row>
    <row r="623" spans="18:19">
      <c r="R623" s="178"/>
      <c r="S623" s="178"/>
    </row>
    <row r="624" spans="18:19">
      <c r="R624" s="178"/>
      <c r="S624" s="178"/>
    </row>
    <row r="625" spans="18:19">
      <c r="R625" s="178"/>
      <c r="S625" s="178"/>
    </row>
    <row r="626" spans="18:19">
      <c r="R626" s="178"/>
      <c r="S626" s="178"/>
    </row>
    <row r="627" spans="18:19">
      <c r="R627" s="178"/>
      <c r="S627" s="178"/>
    </row>
    <row r="628" spans="18:19">
      <c r="R628" s="178"/>
      <c r="S628" s="178"/>
    </row>
    <row r="629" spans="18:19">
      <c r="R629" s="178"/>
      <c r="S629" s="178"/>
    </row>
    <row r="630" spans="18:19">
      <c r="R630" s="178"/>
      <c r="S630" s="178"/>
    </row>
    <row r="631" spans="18:19">
      <c r="R631" s="178"/>
      <c r="S631" s="178"/>
    </row>
    <row r="632" spans="18:19">
      <c r="R632" s="178"/>
      <c r="S632" s="178"/>
    </row>
    <row r="633" spans="18:19">
      <c r="R633" s="178"/>
      <c r="S633" s="178"/>
    </row>
    <row r="634" spans="18:19">
      <c r="R634" s="178"/>
      <c r="S634" s="178"/>
    </row>
    <row r="635" spans="18:19">
      <c r="R635" s="178"/>
      <c r="S635" s="178"/>
    </row>
    <row r="636" spans="18:19">
      <c r="R636" s="178"/>
      <c r="S636" s="178"/>
    </row>
    <row r="637" spans="18:19">
      <c r="R637" s="178"/>
      <c r="S637" s="178"/>
    </row>
    <row r="638" spans="18:19">
      <c r="R638" s="178"/>
      <c r="S638" s="178"/>
    </row>
    <row r="639" spans="18:19">
      <c r="R639" s="178"/>
      <c r="S639" s="178"/>
    </row>
    <row r="640" spans="18:19">
      <c r="R640" s="178"/>
      <c r="S640" s="178"/>
    </row>
    <row r="641" spans="18:19">
      <c r="R641" s="178"/>
      <c r="S641" s="178"/>
    </row>
    <row r="642" spans="18:19">
      <c r="R642" s="178"/>
      <c r="S642" s="178"/>
    </row>
    <row r="643" spans="18:19">
      <c r="R643" s="178"/>
      <c r="S643" s="178"/>
    </row>
    <row r="644" spans="18:19">
      <c r="R644" s="178"/>
      <c r="S644" s="178"/>
    </row>
    <row r="645" spans="18:19">
      <c r="R645" s="178"/>
      <c r="S645" s="178"/>
    </row>
    <row r="646" spans="18:19">
      <c r="R646" s="178"/>
      <c r="S646" s="178"/>
    </row>
    <row r="647" spans="18:19">
      <c r="R647" s="178"/>
      <c r="S647" s="178"/>
    </row>
    <row r="648" spans="18:19">
      <c r="R648" s="178"/>
      <c r="S648" s="178"/>
    </row>
    <row r="649" spans="18:19">
      <c r="R649" s="178"/>
      <c r="S649" s="178"/>
    </row>
    <row r="650" spans="18:19">
      <c r="R650" s="178"/>
      <c r="S650" s="178"/>
    </row>
    <row r="651" spans="18:19">
      <c r="R651" s="178"/>
      <c r="S651" s="178"/>
    </row>
    <row r="652" spans="18:19">
      <c r="R652" s="178"/>
      <c r="S652" s="178"/>
    </row>
    <row r="653" spans="18:19">
      <c r="R653" s="178"/>
      <c r="S653" s="178"/>
    </row>
    <row r="654" spans="18:19">
      <c r="R654" s="178"/>
      <c r="S654" s="178"/>
    </row>
    <row r="655" spans="18:19">
      <c r="R655" s="178"/>
      <c r="S655" s="178"/>
    </row>
    <row r="656" spans="18:19">
      <c r="R656" s="178"/>
      <c r="S656" s="178"/>
    </row>
    <row r="657" spans="18:19">
      <c r="R657" s="178"/>
      <c r="S657" s="178"/>
    </row>
    <row r="658" spans="18:19">
      <c r="R658" s="178"/>
      <c r="S658" s="178"/>
    </row>
    <row r="659" spans="18:19">
      <c r="R659" s="178"/>
      <c r="S659" s="178"/>
    </row>
    <row r="660" spans="18:19">
      <c r="R660" s="178"/>
      <c r="S660" s="178"/>
    </row>
    <row r="661" spans="18:19">
      <c r="R661" s="178"/>
      <c r="S661" s="178"/>
    </row>
    <row r="662" spans="18:19">
      <c r="R662" s="178"/>
      <c r="S662" s="178"/>
    </row>
    <row r="663" spans="18:19">
      <c r="R663" s="178"/>
      <c r="S663" s="178"/>
    </row>
    <row r="664" spans="18:19">
      <c r="R664" s="178"/>
      <c r="S664" s="178"/>
    </row>
    <row r="665" spans="18:19">
      <c r="R665" s="178"/>
      <c r="S665" s="178"/>
    </row>
    <row r="666" spans="18:19">
      <c r="R666" s="178"/>
      <c r="S666" s="178"/>
    </row>
    <row r="667" spans="18:19">
      <c r="R667" s="178"/>
      <c r="S667" s="178"/>
    </row>
    <row r="668" spans="18:19">
      <c r="R668" s="178"/>
      <c r="S668" s="178"/>
    </row>
    <row r="669" spans="18:19">
      <c r="R669" s="178"/>
      <c r="S669" s="178"/>
    </row>
    <row r="670" spans="18:19">
      <c r="R670" s="178"/>
      <c r="S670" s="178"/>
    </row>
    <row r="671" spans="18:19">
      <c r="R671" s="178"/>
      <c r="S671" s="178"/>
    </row>
    <row r="672" spans="18:19">
      <c r="R672" s="178"/>
      <c r="S672" s="178"/>
    </row>
    <row r="673" spans="18:19">
      <c r="R673" s="178"/>
      <c r="S673" s="178"/>
    </row>
    <row r="674" spans="18:19">
      <c r="R674" s="178"/>
      <c r="S674" s="178"/>
    </row>
    <row r="675" spans="18:19">
      <c r="R675" s="178"/>
      <c r="S675" s="178"/>
    </row>
    <row r="676" spans="18:19">
      <c r="R676" s="178"/>
      <c r="S676" s="178"/>
    </row>
    <row r="677" spans="18:19">
      <c r="R677" s="178"/>
      <c r="S677" s="178"/>
    </row>
    <row r="678" spans="18:19">
      <c r="R678" s="178"/>
      <c r="S678" s="178"/>
    </row>
    <row r="679" spans="18:19">
      <c r="R679" s="178"/>
      <c r="S679" s="178"/>
    </row>
    <row r="680" spans="18:19">
      <c r="R680" s="178"/>
      <c r="S680" s="178"/>
    </row>
    <row r="681" spans="18:19">
      <c r="R681" s="178"/>
      <c r="S681" s="178"/>
    </row>
    <row r="682" spans="18:19">
      <c r="R682" s="178"/>
      <c r="S682" s="178"/>
    </row>
    <row r="683" spans="18:19">
      <c r="R683" s="178"/>
      <c r="S683" s="178"/>
    </row>
    <row r="684" spans="18:19">
      <c r="R684" s="178"/>
      <c r="S684" s="178"/>
    </row>
    <row r="685" spans="18:19">
      <c r="R685" s="178"/>
      <c r="S685" s="178"/>
    </row>
    <row r="686" spans="18:19">
      <c r="R686" s="178"/>
      <c r="S686" s="178"/>
    </row>
    <row r="687" spans="18:19">
      <c r="R687" s="178"/>
      <c r="S687" s="178"/>
    </row>
    <row r="688" spans="18:19">
      <c r="R688" s="178"/>
      <c r="S688" s="178"/>
    </row>
    <row r="689" spans="18:19">
      <c r="R689" s="178"/>
      <c r="S689" s="178"/>
    </row>
    <row r="690" spans="18:19">
      <c r="R690" s="178"/>
      <c r="S690" s="178"/>
    </row>
    <row r="691" spans="18:19">
      <c r="R691" s="178"/>
      <c r="S691" s="178"/>
    </row>
    <row r="692" spans="18:19">
      <c r="R692" s="178"/>
      <c r="S692" s="178"/>
    </row>
    <row r="693" spans="18:19">
      <c r="R693" s="178"/>
      <c r="S693" s="178"/>
    </row>
    <row r="694" spans="18:19">
      <c r="R694" s="178"/>
      <c r="S694" s="178"/>
    </row>
    <row r="695" spans="18:19">
      <c r="R695" s="178"/>
      <c r="S695" s="178"/>
    </row>
    <row r="696" spans="18:19">
      <c r="R696" s="178"/>
      <c r="S696" s="178"/>
    </row>
    <row r="697" spans="18:19">
      <c r="R697" s="178"/>
      <c r="S697" s="178"/>
    </row>
    <row r="698" spans="18:19">
      <c r="R698" s="178"/>
      <c r="S698" s="178"/>
    </row>
    <row r="699" spans="18:19">
      <c r="R699" s="178"/>
      <c r="S699" s="178"/>
    </row>
    <row r="700" spans="18:19">
      <c r="R700" s="178"/>
      <c r="S700" s="178"/>
    </row>
    <row r="701" spans="18:19">
      <c r="R701" s="178"/>
      <c r="S701" s="178"/>
    </row>
    <row r="702" spans="18:19">
      <c r="R702" s="178"/>
      <c r="S702" s="178"/>
    </row>
    <row r="703" spans="18:19">
      <c r="R703" s="178"/>
      <c r="S703" s="178"/>
    </row>
    <row r="704" spans="18:19">
      <c r="R704" s="178"/>
      <c r="S704" s="178"/>
    </row>
    <row r="705" spans="18:19">
      <c r="R705" s="178"/>
      <c r="S705" s="178"/>
    </row>
    <row r="706" spans="18:19">
      <c r="R706" s="178"/>
      <c r="S706" s="178"/>
    </row>
    <row r="707" spans="18:19">
      <c r="R707" s="178"/>
      <c r="S707" s="178"/>
    </row>
    <row r="708" spans="18:19">
      <c r="R708" s="178"/>
      <c r="S708" s="178"/>
    </row>
    <row r="709" spans="18:19">
      <c r="R709" s="178"/>
      <c r="S709" s="178"/>
    </row>
    <row r="710" spans="18:19">
      <c r="R710" s="178"/>
      <c r="S710" s="178"/>
    </row>
    <row r="711" spans="18:19">
      <c r="R711" s="178"/>
      <c r="S711" s="178"/>
    </row>
    <row r="712" spans="18:19">
      <c r="R712" s="178"/>
      <c r="S712" s="178"/>
    </row>
    <row r="713" spans="18:19">
      <c r="R713" s="178"/>
      <c r="S713" s="178"/>
    </row>
    <row r="714" spans="18:19">
      <c r="R714" s="178"/>
      <c r="S714" s="178"/>
    </row>
    <row r="715" spans="18:19">
      <c r="R715" s="178"/>
      <c r="S715" s="178"/>
    </row>
    <row r="716" spans="18:19">
      <c r="R716" s="178"/>
      <c r="S716" s="178"/>
    </row>
    <row r="717" spans="18:19">
      <c r="R717" s="178"/>
      <c r="S717" s="178"/>
    </row>
    <row r="718" spans="18:19">
      <c r="R718" s="178"/>
      <c r="S718" s="178"/>
    </row>
    <row r="719" spans="18:19">
      <c r="R719" s="178"/>
      <c r="S719" s="178"/>
    </row>
    <row r="720" spans="18:19">
      <c r="R720" s="178"/>
      <c r="S720" s="178"/>
    </row>
    <row r="721" spans="18:19">
      <c r="R721" s="178"/>
      <c r="S721" s="178"/>
    </row>
    <row r="722" spans="18:19">
      <c r="R722" s="178"/>
      <c r="S722" s="178"/>
    </row>
    <row r="723" spans="18:19">
      <c r="R723" s="178"/>
      <c r="S723" s="178"/>
    </row>
    <row r="724" spans="18:19">
      <c r="R724" s="178"/>
      <c r="S724" s="178"/>
    </row>
    <row r="725" spans="18:19">
      <c r="R725" s="178"/>
      <c r="S725" s="178"/>
    </row>
    <row r="726" spans="18:19">
      <c r="R726" s="178"/>
      <c r="S726" s="178"/>
    </row>
    <row r="727" spans="18:19">
      <c r="R727" s="178"/>
      <c r="S727" s="178"/>
    </row>
    <row r="728" spans="18:19">
      <c r="R728" s="178"/>
      <c r="S728" s="178"/>
    </row>
    <row r="729" spans="18:19">
      <c r="R729" s="178"/>
      <c r="S729" s="178"/>
    </row>
    <row r="730" spans="18:19">
      <c r="R730" s="178"/>
      <c r="S730" s="178"/>
    </row>
    <row r="731" spans="18:19">
      <c r="R731" s="178"/>
      <c r="S731" s="178"/>
    </row>
    <row r="732" spans="18:19">
      <c r="R732" s="178"/>
      <c r="S732" s="178"/>
    </row>
    <row r="733" spans="18:19">
      <c r="R733" s="178"/>
      <c r="S733" s="178"/>
    </row>
    <row r="734" spans="18:19">
      <c r="R734" s="178"/>
      <c r="S734" s="178"/>
    </row>
    <row r="735" spans="18:19">
      <c r="R735" s="178"/>
      <c r="S735" s="178"/>
    </row>
    <row r="736" spans="18:19">
      <c r="R736" s="178"/>
      <c r="S736" s="178"/>
    </row>
    <row r="737" spans="18:19">
      <c r="R737" s="178"/>
      <c r="S737" s="178"/>
    </row>
    <row r="738" spans="18:19">
      <c r="R738" s="178"/>
      <c r="S738" s="178"/>
    </row>
    <row r="739" spans="18:19">
      <c r="R739" s="178"/>
      <c r="S739" s="178"/>
    </row>
    <row r="740" spans="18:19">
      <c r="R740" s="178"/>
      <c r="S740" s="178"/>
    </row>
    <row r="741" spans="18:19">
      <c r="R741" s="178"/>
      <c r="S741" s="178"/>
    </row>
    <row r="742" spans="18:19">
      <c r="R742" s="178"/>
      <c r="S742" s="178"/>
    </row>
    <row r="743" spans="18:19">
      <c r="R743" s="178"/>
      <c r="S743" s="178"/>
    </row>
    <row r="744" spans="18:19">
      <c r="R744" s="178"/>
      <c r="S744" s="178"/>
    </row>
    <row r="745" spans="18:19">
      <c r="R745" s="178"/>
      <c r="S745" s="178"/>
    </row>
    <row r="746" spans="18:19">
      <c r="R746" s="178"/>
      <c r="S746" s="178"/>
    </row>
    <row r="747" spans="18:19">
      <c r="R747" s="178"/>
      <c r="S747" s="178"/>
    </row>
    <row r="748" spans="18:19">
      <c r="R748" s="178"/>
      <c r="S748" s="178"/>
    </row>
    <row r="749" spans="18:19">
      <c r="R749" s="178"/>
      <c r="S749" s="178"/>
    </row>
    <row r="750" spans="18:19">
      <c r="R750" s="178"/>
      <c r="S750" s="178"/>
    </row>
    <row r="751" spans="18:19">
      <c r="R751" s="178"/>
      <c r="S751" s="178"/>
    </row>
    <row r="752" spans="18:19">
      <c r="R752" s="178"/>
      <c r="S752" s="178"/>
    </row>
    <row r="753" spans="18:19">
      <c r="R753" s="178"/>
      <c r="S753" s="178"/>
    </row>
    <row r="754" spans="18:19">
      <c r="R754" s="178"/>
      <c r="S754" s="178"/>
    </row>
    <row r="755" spans="18:19">
      <c r="R755" s="178"/>
      <c r="S755" s="178"/>
    </row>
    <row r="756" spans="18:19">
      <c r="R756" s="178"/>
      <c r="S756" s="178"/>
    </row>
    <row r="757" spans="18:19">
      <c r="R757" s="178"/>
      <c r="S757" s="178"/>
    </row>
    <row r="758" spans="18:19">
      <c r="R758" s="178"/>
      <c r="S758" s="178"/>
    </row>
    <row r="759" spans="18:19">
      <c r="R759" s="178"/>
      <c r="S759" s="178"/>
    </row>
    <row r="760" spans="18:19">
      <c r="R760" s="178"/>
      <c r="S760" s="178"/>
    </row>
    <row r="761" spans="18:19">
      <c r="R761" s="178"/>
      <c r="S761" s="178"/>
    </row>
    <row r="762" spans="18:19">
      <c r="R762" s="178"/>
      <c r="S762" s="178"/>
    </row>
    <row r="763" spans="18:19">
      <c r="R763" s="178"/>
      <c r="S763" s="178"/>
    </row>
    <row r="764" spans="18:19">
      <c r="R764" s="178"/>
      <c r="S764" s="178"/>
    </row>
    <row r="765" spans="18:19">
      <c r="R765" s="178"/>
      <c r="S765" s="178"/>
    </row>
    <row r="766" spans="18:19">
      <c r="R766" s="178"/>
      <c r="S766" s="178"/>
    </row>
    <row r="767" spans="18:19">
      <c r="R767" s="178"/>
      <c r="S767" s="178"/>
    </row>
    <row r="768" spans="18:19">
      <c r="R768" s="178"/>
      <c r="S768" s="178"/>
    </row>
    <row r="769" spans="18:19">
      <c r="R769" s="178"/>
      <c r="S769" s="178"/>
    </row>
    <row r="770" spans="18:19">
      <c r="R770" s="178"/>
      <c r="S770" s="178"/>
    </row>
    <row r="771" spans="18:19">
      <c r="R771" s="178"/>
      <c r="S771" s="178"/>
    </row>
    <row r="772" spans="18:19">
      <c r="R772" s="178"/>
      <c r="S772" s="178"/>
    </row>
    <row r="773" spans="18:19">
      <c r="R773" s="178"/>
      <c r="S773" s="178"/>
    </row>
    <row r="774" spans="18:19">
      <c r="R774" s="178"/>
      <c r="S774" s="178"/>
    </row>
    <row r="775" spans="18:19">
      <c r="R775" s="178"/>
      <c r="S775" s="178"/>
    </row>
    <row r="776" spans="18:19">
      <c r="R776" s="178"/>
      <c r="S776" s="178"/>
    </row>
    <row r="777" spans="18:19">
      <c r="R777" s="178"/>
      <c r="S777" s="178"/>
    </row>
    <row r="778" spans="18:19">
      <c r="R778" s="178"/>
      <c r="S778" s="178"/>
    </row>
    <row r="779" spans="18:19">
      <c r="R779" s="178"/>
      <c r="S779" s="178"/>
    </row>
    <row r="780" spans="18:19">
      <c r="R780" s="178"/>
      <c r="S780" s="178"/>
    </row>
    <row r="781" spans="18:19">
      <c r="R781" s="178"/>
      <c r="S781" s="178"/>
    </row>
    <row r="782" spans="18:19">
      <c r="R782" s="178"/>
      <c r="S782" s="178"/>
    </row>
    <row r="783" spans="18:19">
      <c r="R783" s="178"/>
      <c r="S783" s="178"/>
    </row>
    <row r="784" spans="18:19">
      <c r="R784" s="178"/>
      <c r="S784" s="178"/>
    </row>
    <row r="785" spans="18:19">
      <c r="R785" s="178"/>
      <c r="S785" s="178"/>
    </row>
    <row r="786" spans="18:19">
      <c r="R786" s="178"/>
      <c r="S786" s="178"/>
    </row>
    <row r="787" spans="18:19">
      <c r="R787" s="178"/>
      <c r="S787" s="178"/>
    </row>
    <row r="788" spans="18:19">
      <c r="R788" s="178"/>
      <c r="S788" s="178"/>
    </row>
    <row r="789" spans="18:19">
      <c r="R789" s="178"/>
      <c r="S789" s="178"/>
    </row>
    <row r="790" spans="18:19">
      <c r="R790" s="178"/>
      <c r="S790" s="178"/>
    </row>
    <row r="791" spans="18:19">
      <c r="R791" s="178"/>
      <c r="S791" s="178"/>
    </row>
    <row r="792" spans="18:19">
      <c r="R792" s="178"/>
      <c r="S792" s="178"/>
    </row>
    <row r="793" spans="18:19">
      <c r="R793" s="178"/>
      <c r="S793" s="178"/>
    </row>
    <row r="794" spans="18:19">
      <c r="R794" s="178"/>
      <c r="S794" s="178"/>
    </row>
    <row r="795" spans="18:19">
      <c r="R795" s="178"/>
      <c r="S795" s="178"/>
    </row>
    <row r="796" spans="18:19">
      <c r="R796" s="178"/>
      <c r="S796" s="178"/>
    </row>
    <row r="797" spans="18:19">
      <c r="R797" s="178"/>
      <c r="S797" s="178"/>
    </row>
    <row r="798" spans="18:19">
      <c r="R798" s="178"/>
      <c r="S798" s="178"/>
    </row>
    <row r="799" spans="18:19">
      <c r="R799" s="178"/>
      <c r="S799" s="178"/>
    </row>
    <row r="800" spans="18:19">
      <c r="R800" s="178"/>
      <c r="S800" s="178"/>
    </row>
    <row r="801" spans="18:19">
      <c r="R801" s="178"/>
      <c r="S801" s="178"/>
    </row>
    <row r="802" spans="18:19">
      <c r="R802" s="178"/>
      <c r="S802" s="178"/>
    </row>
    <row r="803" spans="18:19">
      <c r="R803" s="178"/>
      <c r="S803" s="178"/>
    </row>
    <row r="804" spans="18:19">
      <c r="R804" s="178"/>
      <c r="S804" s="178"/>
    </row>
    <row r="805" spans="18:19">
      <c r="R805" s="178"/>
      <c r="S805" s="178"/>
    </row>
    <row r="806" spans="18:19">
      <c r="R806" s="178"/>
      <c r="S806" s="178"/>
    </row>
    <row r="807" spans="18:19">
      <c r="R807" s="178"/>
      <c r="S807" s="178"/>
    </row>
    <row r="808" spans="18:19">
      <c r="R808" s="178"/>
      <c r="S808" s="178"/>
    </row>
    <row r="809" spans="18:19">
      <c r="R809" s="178"/>
      <c r="S809" s="178"/>
    </row>
    <row r="810" spans="18:19">
      <c r="R810" s="178"/>
      <c r="S810" s="178"/>
    </row>
    <row r="811" spans="18:19">
      <c r="R811" s="178"/>
      <c r="S811" s="178"/>
    </row>
    <row r="812" spans="18:19">
      <c r="R812" s="178"/>
      <c r="S812" s="178"/>
    </row>
    <row r="813" spans="18:19">
      <c r="R813" s="178"/>
      <c r="S813" s="178"/>
    </row>
    <row r="814" spans="18:19">
      <c r="R814" s="178"/>
      <c r="S814" s="178"/>
    </row>
    <row r="815" spans="18:19">
      <c r="R815" s="178"/>
      <c r="S815" s="178"/>
    </row>
    <row r="816" spans="18:19">
      <c r="R816" s="178"/>
      <c r="S816" s="178"/>
    </row>
    <row r="817" spans="18:19">
      <c r="R817" s="178"/>
      <c r="S817" s="178"/>
    </row>
    <row r="818" spans="18:19">
      <c r="R818" s="178"/>
      <c r="S818" s="178"/>
    </row>
    <row r="819" spans="18:19">
      <c r="R819" s="178"/>
      <c r="S819" s="178"/>
    </row>
    <row r="820" spans="18:19">
      <c r="R820" s="178"/>
      <c r="S820" s="178"/>
    </row>
    <row r="821" spans="18:19">
      <c r="R821" s="178"/>
      <c r="S821" s="178"/>
    </row>
    <row r="822" spans="18:19">
      <c r="R822" s="178"/>
      <c r="S822" s="178"/>
    </row>
    <row r="823" spans="18:19">
      <c r="R823" s="178"/>
      <c r="S823" s="178"/>
    </row>
    <row r="824" spans="18:19">
      <c r="R824" s="178"/>
      <c r="S824" s="178"/>
    </row>
    <row r="825" spans="18:19">
      <c r="R825" s="178"/>
      <c r="S825" s="178"/>
    </row>
    <row r="826" spans="18:19">
      <c r="R826" s="178"/>
      <c r="S826" s="178"/>
    </row>
    <row r="827" spans="18:19">
      <c r="R827" s="178"/>
      <c r="S827" s="178"/>
    </row>
    <row r="828" spans="18:19">
      <c r="R828" s="178"/>
      <c r="S828" s="178"/>
    </row>
    <row r="829" spans="18:19">
      <c r="R829" s="178"/>
      <c r="S829" s="178"/>
    </row>
    <row r="830" spans="18:19">
      <c r="R830" s="178"/>
      <c r="S830" s="178"/>
    </row>
    <row r="831" spans="18:19">
      <c r="R831" s="178"/>
      <c r="S831" s="178"/>
    </row>
    <row r="832" spans="18:19">
      <c r="R832" s="178"/>
      <c r="S832" s="178"/>
    </row>
    <row r="833" spans="18:19">
      <c r="R833" s="178"/>
      <c r="S833" s="178"/>
    </row>
    <row r="834" spans="18:19">
      <c r="R834" s="178"/>
      <c r="S834" s="178"/>
    </row>
    <row r="835" spans="18:19">
      <c r="R835" s="178"/>
      <c r="S835" s="178"/>
    </row>
    <row r="836" spans="18:19">
      <c r="R836" s="178"/>
      <c r="S836" s="178"/>
    </row>
    <row r="837" spans="18:19">
      <c r="R837" s="178"/>
      <c r="S837" s="178"/>
    </row>
    <row r="838" spans="18:19">
      <c r="R838" s="178"/>
      <c r="S838" s="178"/>
    </row>
    <row r="839" spans="18:19">
      <c r="R839" s="178"/>
      <c r="S839" s="178"/>
    </row>
    <row r="840" spans="18:19">
      <c r="R840" s="178"/>
      <c r="S840" s="178"/>
    </row>
    <row r="841" spans="18:19">
      <c r="R841" s="178"/>
      <c r="S841" s="178"/>
    </row>
    <row r="842" spans="18:19">
      <c r="R842" s="178"/>
      <c r="S842" s="178"/>
    </row>
    <row r="843" spans="18:19">
      <c r="R843" s="178"/>
      <c r="S843" s="178"/>
    </row>
    <row r="844" spans="18:19">
      <c r="R844" s="178"/>
      <c r="S844" s="178"/>
    </row>
    <row r="845" spans="18:19">
      <c r="R845" s="178"/>
      <c r="S845" s="178"/>
    </row>
    <row r="846" spans="18:19">
      <c r="R846" s="178"/>
      <c r="S846" s="178"/>
    </row>
    <row r="847" spans="18:19">
      <c r="R847" s="178"/>
      <c r="S847" s="178"/>
    </row>
    <row r="848" spans="18:19">
      <c r="R848" s="178"/>
      <c r="S848" s="178"/>
    </row>
    <row r="849" spans="18:19">
      <c r="R849" s="178"/>
      <c r="S849" s="178"/>
    </row>
    <row r="850" spans="18:19">
      <c r="R850" s="178"/>
      <c r="S850" s="178"/>
    </row>
    <row r="851" spans="18:19">
      <c r="R851" s="178"/>
      <c r="S851" s="178"/>
    </row>
    <row r="852" spans="18:19">
      <c r="R852" s="178"/>
      <c r="S852" s="178"/>
    </row>
    <row r="853" spans="18:19">
      <c r="R853" s="178"/>
      <c r="S853" s="178"/>
    </row>
    <row r="854" spans="18:19">
      <c r="R854" s="178"/>
      <c r="S854" s="178"/>
    </row>
    <row r="855" spans="18:19">
      <c r="R855" s="178"/>
      <c r="S855" s="178"/>
    </row>
    <row r="856" spans="18:19">
      <c r="R856" s="178"/>
      <c r="S856" s="178"/>
    </row>
    <row r="857" spans="18:19">
      <c r="R857" s="178"/>
      <c r="S857" s="178"/>
    </row>
    <row r="858" spans="18:19">
      <c r="R858" s="178"/>
      <c r="S858" s="178"/>
    </row>
    <row r="859" spans="18:19">
      <c r="R859" s="178"/>
      <c r="S859" s="178"/>
    </row>
    <row r="860" spans="18:19">
      <c r="R860" s="178"/>
      <c r="S860" s="178"/>
    </row>
    <row r="861" spans="18:19">
      <c r="R861" s="178"/>
      <c r="S861" s="178"/>
    </row>
    <row r="862" spans="18:19">
      <c r="R862" s="178"/>
      <c r="S862" s="178"/>
    </row>
    <row r="863" spans="18:19">
      <c r="R863" s="178"/>
      <c r="S863" s="178"/>
    </row>
    <row r="864" spans="18:19">
      <c r="R864" s="178"/>
      <c r="S864" s="178"/>
    </row>
    <row r="865" spans="18:19">
      <c r="R865" s="178"/>
      <c r="S865" s="178"/>
    </row>
    <row r="866" spans="18:19">
      <c r="R866" s="178"/>
      <c r="S866" s="178"/>
    </row>
    <row r="867" spans="18:19">
      <c r="R867" s="178"/>
      <c r="S867" s="178"/>
    </row>
    <row r="868" spans="18:19">
      <c r="R868" s="178"/>
      <c r="S868" s="178"/>
    </row>
    <row r="869" spans="18:19">
      <c r="R869" s="178"/>
      <c r="S869" s="178"/>
    </row>
    <row r="870" spans="18:19">
      <c r="R870" s="178"/>
      <c r="S870" s="178"/>
    </row>
    <row r="871" spans="18:19">
      <c r="R871" s="178"/>
      <c r="S871" s="178"/>
    </row>
    <row r="872" spans="18:19">
      <c r="R872" s="178"/>
      <c r="S872" s="178"/>
    </row>
    <row r="873" spans="18:19">
      <c r="R873" s="178"/>
      <c r="S873" s="178"/>
    </row>
    <row r="874" spans="18:19">
      <c r="R874" s="178"/>
      <c r="S874" s="178"/>
    </row>
    <row r="875" spans="18:19">
      <c r="R875" s="178"/>
      <c r="S875" s="178"/>
    </row>
    <row r="876" spans="18:19">
      <c r="R876" s="178"/>
      <c r="S876" s="178"/>
    </row>
    <row r="877" spans="18:19">
      <c r="R877" s="178"/>
      <c r="S877" s="178"/>
    </row>
    <row r="878" spans="18:19">
      <c r="R878" s="178"/>
      <c r="S878" s="178"/>
    </row>
    <row r="879" spans="18:19">
      <c r="R879" s="178"/>
      <c r="S879" s="178"/>
    </row>
    <row r="880" spans="18:19">
      <c r="R880" s="178"/>
      <c r="S880" s="178"/>
    </row>
    <row r="881" spans="18:19">
      <c r="R881" s="178"/>
      <c r="S881" s="178"/>
    </row>
    <row r="882" spans="18:19">
      <c r="R882" s="178"/>
      <c r="S882" s="178"/>
    </row>
    <row r="883" spans="18:19">
      <c r="R883" s="178"/>
      <c r="S883" s="178"/>
    </row>
    <row r="884" spans="18:19">
      <c r="R884" s="178"/>
      <c r="S884" s="178"/>
    </row>
    <row r="885" spans="18:19">
      <c r="R885" s="178"/>
      <c r="S885" s="178"/>
    </row>
    <row r="886" spans="18:19">
      <c r="R886" s="178"/>
      <c r="S886" s="178"/>
    </row>
    <row r="887" spans="18:19">
      <c r="R887" s="178"/>
      <c r="S887" s="178"/>
    </row>
    <row r="888" spans="18:19">
      <c r="R888" s="178"/>
      <c r="S888" s="178"/>
    </row>
    <row r="889" spans="18:19">
      <c r="R889" s="178"/>
      <c r="S889" s="178"/>
    </row>
    <row r="890" spans="18:19">
      <c r="R890" s="178"/>
      <c r="S890" s="178"/>
    </row>
    <row r="891" spans="18:19">
      <c r="R891" s="178"/>
      <c r="S891" s="178"/>
    </row>
    <row r="892" spans="18:19">
      <c r="R892" s="178"/>
      <c r="S892" s="178"/>
    </row>
    <row r="893" spans="18:19">
      <c r="R893" s="178"/>
      <c r="S893" s="178"/>
    </row>
    <row r="894" spans="18:19">
      <c r="R894" s="178"/>
      <c r="S894" s="178"/>
    </row>
    <row r="895" spans="18:19">
      <c r="R895" s="178"/>
      <c r="S895" s="178"/>
    </row>
    <row r="896" spans="18:19">
      <c r="R896" s="178"/>
      <c r="S896" s="178"/>
    </row>
    <row r="897" spans="18:19">
      <c r="R897" s="178"/>
      <c r="S897" s="178"/>
    </row>
    <row r="898" spans="18:19">
      <c r="R898" s="178"/>
      <c r="S898" s="178"/>
    </row>
    <row r="899" spans="18:19">
      <c r="R899" s="178"/>
      <c r="S899" s="178"/>
    </row>
    <row r="900" spans="18:19">
      <c r="R900" s="178"/>
      <c r="S900" s="178"/>
    </row>
    <row r="901" spans="18:19">
      <c r="R901" s="178"/>
      <c r="S901" s="178"/>
    </row>
    <row r="902" spans="18:19">
      <c r="R902" s="178"/>
      <c r="S902" s="178"/>
    </row>
    <row r="903" spans="18:19">
      <c r="R903" s="178"/>
      <c r="S903" s="178"/>
    </row>
    <row r="904" spans="18:19">
      <c r="R904" s="178"/>
      <c r="S904" s="178"/>
    </row>
    <row r="905" spans="18:19">
      <c r="R905" s="178"/>
      <c r="S905" s="178"/>
    </row>
    <row r="906" spans="18:19">
      <c r="R906" s="178"/>
      <c r="S906" s="178"/>
    </row>
    <row r="907" spans="18:19">
      <c r="R907" s="178"/>
      <c r="S907" s="178"/>
    </row>
    <row r="908" spans="18:19">
      <c r="R908" s="178"/>
      <c r="S908" s="178"/>
    </row>
    <row r="909" spans="18:19">
      <c r="R909" s="178"/>
      <c r="S909" s="178"/>
    </row>
    <row r="910" spans="18:19">
      <c r="R910" s="178"/>
      <c r="S910" s="178"/>
    </row>
    <row r="911" spans="18:19">
      <c r="R911" s="178"/>
      <c r="S911" s="178"/>
    </row>
    <row r="912" spans="18:19">
      <c r="R912" s="178"/>
      <c r="S912" s="178"/>
    </row>
    <row r="913" spans="18:19">
      <c r="R913" s="178"/>
      <c r="S913" s="178"/>
    </row>
    <row r="914" spans="18:19">
      <c r="R914" s="178"/>
      <c r="S914" s="178"/>
    </row>
    <row r="915" spans="18:19">
      <c r="R915" s="178"/>
      <c r="S915" s="178"/>
    </row>
    <row r="916" spans="18:19">
      <c r="R916" s="178"/>
      <c r="S916" s="178"/>
    </row>
    <row r="917" spans="18:19">
      <c r="R917" s="178"/>
      <c r="S917" s="178"/>
    </row>
    <row r="918" spans="18:19">
      <c r="R918" s="178"/>
      <c r="S918" s="178"/>
    </row>
    <row r="919" spans="18:19">
      <c r="R919" s="178"/>
      <c r="S919" s="178"/>
    </row>
    <row r="920" spans="18:19">
      <c r="R920" s="178"/>
      <c r="S920" s="178"/>
    </row>
    <row r="921" spans="18:19">
      <c r="R921" s="178"/>
      <c r="S921" s="178"/>
    </row>
    <row r="922" spans="18:19">
      <c r="R922" s="178"/>
      <c r="S922" s="178"/>
    </row>
    <row r="923" spans="18:19">
      <c r="R923" s="178"/>
      <c r="S923" s="178"/>
    </row>
    <row r="924" spans="18:19">
      <c r="R924" s="178"/>
      <c r="S924" s="178"/>
    </row>
    <row r="925" spans="18:19">
      <c r="R925" s="178"/>
      <c r="S925" s="178"/>
    </row>
    <row r="926" spans="18:19">
      <c r="R926" s="178"/>
      <c r="S926" s="178"/>
    </row>
    <row r="927" spans="18:19">
      <c r="R927" s="178"/>
      <c r="S927" s="178"/>
    </row>
    <row r="928" spans="18:19">
      <c r="R928" s="178"/>
      <c r="S928" s="178"/>
    </row>
    <row r="929" spans="18:19">
      <c r="R929" s="178"/>
      <c r="S929" s="178"/>
    </row>
    <row r="930" spans="18:19">
      <c r="R930" s="178"/>
      <c r="S930" s="178"/>
    </row>
    <row r="931" spans="18:19">
      <c r="R931" s="178"/>
      <c r="S931" s="178"/>
    </row>
    <row r="932" spans="18:19">
      <c r="R932" s="178"/>
      <c r="S932" s="178"/>
    </row>
    <row r="933" spans="18:19">
      <c r="R933" s="178"/>
      <c r="S933" s="178"/>
    </row>
    <row r="934" spans="18:19">
      <c r="R934" s="178"/>
      <c r="S934" s="178"/>
    </row>
    <row r="935" spans="18:19">
      <c r="R935" s="178"/>
      <c r="S935" s="178"/>
    </row>
    <row r="936" spans="18:19">
      <c r="R936" s="178"/>
      <c r="S936" s="178"/>
    </row>
    <row r="937" spans="18:19">
      <c r="R937" s="178"/>
      <c r="S937" s="178"/>
    </row>
    <row r="938" spans="18:19">
      <c r="R938" s="178"/>
      <c r="S938" s="178"/>
    </row>
    <row r="939" spans="18:19">
      <c r="R939" s="178"/>
      <c r="S939" s="178"/>
    </row>
    <row r="940" spans="18:19">
      <c r="R940" s="178"/>
      <c r="S940" s="178"/>
    </row>
    <row r="941" spans="18:19">
      <c r="R941" s="178"/>
      <c r="S941" s="178"/>
    </row>
    <row r="942" spans="18:19">
      <c r="R942" s="178"/>
      <c r="S942" s="178"/>
    </row>
    <row r="943" spans="18:19">
      <c r="R943" s="178"/>
      <c r="S943" s="178"/>
    </row>
    <row r="944" spans="18:19">
      <c r="R944" s="178"/>
      <c r="S944" s="178"/>
    </row>
    <row r="945" spans="18:19">
      <c r="R945" s="178"/>
      <c r="S945" s="178"/>
    </row>
    <row r="946" spans="18:19">
      <c r="R946" s="178"/>
      <c r="S946" s="178"/>
    </row>
    <row r="947" spans="18:19">
      <c r="R947" s="178"/>
      <c r="S947" s="178"/>
    </row>
    <row r="948" spans="18:19">
      <c r="R948" s="178"/>
      <c r="S948" s="178"/>
    </row>
    <row r="949" spans="18:19">
      <c r="R949" s="178"/>
      <c r="S949" s="178"/>
    </row>
    <row r="950" spans="18:19">
      <c r="R950" s="178"/>
      <c r="S950" s="178"/>
    </row>
    <row r="951" spans="18:19">
      <c r="R951" s="178"/>
      <c r="S951" s="178"/>
    </row>
    <row r="952" spans="18:19">
      <c r="R952" s="178"/>
      <c r="S952" s="178"/>
    </row>
    <row r="953" spans="18:19">
      <c r="R953" s="178"/>
      <c r="S953" s="178"/>
    </row>
    <row r="954" spans="18:19">
      <c r="R954" s="178"/>
      <c r="S954" s="178"/>
    </row>
    <row r="955" spans="18:19">
      <c r="R955" s="178"/>
      <c r="S955" s="178"/>
    </row>
    <row r="956" spans="18:19">
      <c r="R956" s="178"/>
      <c r="S956" s="178"/>
    </row>
    <row r="957" spans="18:19">
      <c r="R957" s="178"/>
      <c r="S957" s="178"/>
    </row>
    <row r="958" spans="18:19">
      <c r="R958" s="178"/>
      <c r="S958" s="178"/>
    </row>
    <row r="959" spans="18:19">
      <c r="R959" s="178"/>
      <c r="S959" s="178"/>
    </row>
    <row r="960" spans="18:19">
      <c r="R960" s="178"/>
      <c r="S960" s="178"/>
    </row>
    <row r="961" spans="18:19">
      <c r="R961" s="178"/>
      <c r="S961" s="178"/>
    </row>
    <row r="962" spans="18:19">
      <c r="R962" s="178"/>
      <c r="S962" s="178"/>
    </row>
    <row r="963" spans="18:19">
      <c r="R963" s="178"/>
      <c r="S963" s="178"/>
    </row>
    <row r="964" spans="18:19">
      <c r="R964" s="178"/>
      <c r="S964" s="178"/>
    </row>
    <row r="965" spans="18:19">
      <c r="R965" s="178"/>
      <c r="S965" s="178"/>
    </row>
    <row r="966" spans="18:19">
      <c r="R966" s="178"/>
      <c r="S966" s="178"/>
    </row>
    <row r="967" spans="18:19">
      <c r="R967" s="178"/>
      <c r="S967" s="178"/>
    </row>
    <row r="968" spans="18:19">
      <c r="R968" s="178"/>
      <c r="S968" s="178"/>
    </row>
    <row r="969" spans="18:19">
      <c r="R969" s="178"/>
      <c r="S969" s="178"/>
    </row>
    <row r="970" spans="18:19">
      <c r="R970" s="178"/>
      <c r="S970" s="178"/>
    </row>
    <row r="971" spans="18:19">
      <c r="R971" s="178"/>
      <c r="S971" s="178"/>
    </row>
    <row r="972" spans="18:19">
      <c r="R972" s="178"/>
      <c r="S972" s="178"/>
    </row>
    <row r="973" spans="18:19">
      <c r="R973" s="178"/>
      <c r="S973" s="178"/>
    </row>
    <row r="974" spans="18:19">
      <c r="R974" s="178"/>
      <c r="S974" s="178"/>
    </row>
    <row r="975" spans="18:19">
      <c r="R975" s="178"/>
      <c r="S975" s="178"/>
    </row>
    <row r="976" spans="18:19">
      <c r="R976" s="178"/>
      <c r="S976" s="178"/>
    </row>
    <row r="977" spans="18:19">
      <c r="R977" s="178"/>
      <c r="S977" s="178"/>
    </row>
    <row r="978" spans="18:19">
      <c r="R978" s="178"/>
      <c r="S978" s="178"/>
    </row>
    <row r="979" spans="18:19">
      <c r="R979" s="178"/>
      <c r="S979" s="178"/>
    </row>
    <row r="980" spans="18:19">
      <c r="R980" s="178"/>
      <c r="S980" s="178"/>
    </row>
    <row r="981" spans="18:19">
      <c r="R981" s="178"/>
      <c r="S981" s="178"/>
    </row>
    <row r="982" spans="18:19">
      <c r="R982" s="178"/>
      <c r="S982" s="178"/>
    </row>
    <row r="983" spans="18:19">
      <c r="R983" s="178"/>
      <c r="S983" s="178"/>
    </row>
    <row r="984" spans="18:19">
      <c r="R984" s="178"/>
      <c r="S984" s="178"/>
    </row>
    <row r="985" spans="18:19">
      <c r="R985" s="178"/>
      <c r="S985" s="178"/>
    </row>
    <row r="986" spans="18:19">
      <c r="R986" s="178"/>
      <c r="S986" s="178"/>
    </row>
    <row r="987" spans="18:19">
      <c r="R987" s="178"/>
      <c r="S987" s="178"/>
    </row>
    <row r="988" spans="18:19">
      <c r="R988" s="178"/>
      <c r="S988" s="178"/>
    </row>
    <row r="989" spans="18:19">
      <c r="R989" s="178"/>
      <c r="S989" s="178"/>
    </row>
    <row r="990" spans="18:19">
      <c r="R990" s="178"/>
      <c r="S990" s="178"/>
    </row>
    <row r="991" spans="18:19">
      <c r="R991" s="178"/>
      <c r="S991" s="178"/>
    </row>
    <row r="992" spans="18:19">
      <c r="R992" s="178"/>
      <c r="S992" s="178"/>
    </row>
    <row r="993" spans="18:19">
      <c r="R993" s="178"/>
      <c r="S993" s="178"/>
    </row>
    <row r="994" spans="18:19">
      <c r="R994" s="178"/>
      <c r="S994" s="178"/>
    </row>
    <row r="995" spans="18:19">
      <c r="R995" s="178"/>
      <c r="S995" s="178"/>
    </row>
    <row r="996" spans="18:19">
      <c r="R996" s="178"/>
      <c r="S996" s="178"/>
    </row>
    <row r="997" spans="18:19">
      <c r="R997" s="178"/>
      <c r="S997" s="178"/>
    </row>
    <row r="998" spans="18:19">
      <c r="R998" s="178"/>
      <c r="S998" s="178"/>
    </row>
    <row r="999" spans="18:19">
      <c r="R999" s="178"/>
      <c r="S999" s="178"/>
    </row>
    <row r="1000" spans="18:19">
      <c r="R1000" s="178"/>
      <c r="S1000" s="178"/>
    </row>
    <row r="1001" spans="18:19">
      <c r="R1001" s="178"/>
      <c r="S1001" s="178"/>
    </row>
    <row r="1002" spans="18:19">
      <c r="R1002" s="178"/>
      <c r="S1002" s="178"/>
    </row>
    <row r="1003" spans="18:19">
      <c r="R1003" s="178"/>
      <c r="S1003" s="178"/>
    </row>
    <row r="1004" spans="18:19">
      <c r="R1004" s="178"/>
      <c r="S1004" s="178"/>
    </row>
    <row r="1005" spans="18:19">
      <c r="R1005" s="178"/>
      <c r="S1005" s="178"/>
    </row>
    <row r="1006" spans="18:19">
      <c r="R1006" s="178"/>
      <c r="S1006" s="178"/>
    </row>
    <row r="1007" spans="18:19">
      <c r="R1007" s="178"/>
      <c r="S1007" s="178"/>
    </row>
    <row r="1008" spans="18:19">
      <c r="R1008" s="178"/>
      <c r="S1008" s="178"/>
    </row>
    <row r="1009" spans="18:19">
      <c r="R1009" s="178"/>
      <c r="S1009" s="178"/>
    </row>
    <row r="1010" spans="18:19">
      <c r="R1010" s="178"/>
      <c r="S1010" s="178"/>
    </row>
    <row r="1011" spans="18:19">
      <c r="R1011" s="178"/>
      <c r="S1011" s="178"/>
    </row>
    <row r="1012" spans="18:19">
      <c r="R1012" s="178"/>
      <c r="S1012" s="178"/>
    </row>
    <row r="1013" spans="18:19">
      <c r="R1013" s="178"/>
      <c r="S1013" s="178"/>
    </row>
    <row r="1014" spans="18:19">
      <c r="R1014" s="178"/>
      <c r="S1014" s="178"/>
    </row>
    <row r="1015" spans="18:19">
      <c r="R1015" s="178"/>
      <c r="S1015" s="178"/>
    </row>
    <row r="1016" spans="18:19">
      <c r="R1016" s="178"/>
      <c r="S1016" s="178"/>
    </row>
    <row r="1017" spans="18:19">
      <c r="R1017" s="178"/>
      <c r="S1017" s="178"/>
    </row>
    <row r="1018" spans="18:19">
      <c r="R1018" s="178"/>
      <c r="S1018" s="178"/>
    </row>
    <row r="1019" spans="18:19">
      <c r="R1019" s="178"/>
      <c r="S1019" s="178"/>
    </row>
    <row r="1020" spans="18:19">
      <c r="R1020" s="178"/>
      <c r="S1020" s="178"/>
    </row>
    <row r="1021" spans="18:19">
      <c r="R1021" s="178"/>
      <c r="S1021" s="178"/>
    </row>
    <row r="1022" spans="18:19">
      <c r="R1022" s="178"/>
      <c r="S1022" s="178"/>
    </row>
    <row r="1023" spans="18:19">
      <c r="R1023" s="178"/>
      <c r="S1023" s="178"/>
    </row>
    <row r="1024" spans="18:19">
      <c r="R1024" s="178"/>
      <c r="S1024" s="178"/>
    </row>
    <row r="1025" spans="18:19">
      <c r="R1025" s="178"/>
      <c r="S1025" s="178"/>
    </row>
    <row r="1026" spans="18:19">
      <c r="R1026" s="178"/>
      <c r="S1026" s="178"/>
    </row>
    <row r="1027" spans="18:19">
      <c r="R1027" s="178"/>
      <c r="S1027" s="178"/>
    </row>
    <row r="1028" spans="18:19">
      <c r="R1028" s="178"/>
      <c r="S1028" s="178"/>
    </row>
    <row r="1029" spans="18:19">
      <c r="R1029" s="178"/>
      <c r="S1029" s="178"/>
    </row>
    <row r="1030" spans="18:19">
      <c r="R1030" s="178"/>
      <c r="S1030" s="178"/>
    </row>
    <row r="1031" spans="18:19">
      <c r="R1031" s="178"/>
      <c r="S1031" s="178"/>
    </row>
    <row r="1032" spans="18:19">
      <c r="R1032" s="178"/>
      <c r="S1032" s="178"/>
    </row>
    <row r="1033" spans="18:19">
      <c r="R1033" s="178"/>
      <c r="S1033" s="178"/>
    </row>
    <row r="1034" spans="18:19">
      <c r="R1034" s="178"/>
      <c r="S1034" s="178"/>
    </row>
    <row r="1035" spans="18:19">
      <c r="R1035" s="178"/>
      <c r="S1035" s="178"/>
    </row>
    <row r="1036" spans="18:19">
      <c r="R1036" s="178"/>
      <c r="S1036" s="178"/>
    </row>
    <row r="1037" spans="18:19">
      <c r="R1037" s="178"/>
      <c r="S1037" s="178"/>
    </row>
    <row r="1038" spans="18:19">
      <c r="R1038" s="178"/>
      <c r="S1038" s="178"/>
    </row>
    <row r="1039" spans="18:19">
      <c r="R1039" s="178"/>
      <c r="S1039" s="178"/>
    </row>
    <row r="1040" spans="18:19">
      <c r="R1040" s="178"/>
      <c r="S1040" s="178"/>
    </row>
    <row r="1041" spans="18:19">
      <c r="R1041" s="178"/>
      <c r="S1041" s="178"/>
    </row>
    <row r="1042" spans="18:19">
      <c r="R1042" s="178"/>
      <c r="S1042" s="178"/>
    </row>
    <row r="1043" spans="18:19">
      <c r="R1043" s="178"/>
      <c r="S1043" s="178"/>
    </row>
    <row r="1044" spans="18:19">
      <c r="R1044" s="178"/>
      <c r="S1044" s="178"/>
    </row>
    <row r="1045" spans="18:19">
      <c r="R1045" s="178"/>
      <c r="S1045" s="178"/>
    </row>
    <row r="1046" spans="18:19">
      <c r="R1046" s="178"/>
      <c r="S1046" s="178"/>
    </row>
    <row r="1047" spans="18:19">
      <c r="R1047" s="178"/>
      <c r="S1047" s="178"/>
    </row>
    <row r="1048" spans="18:19">
      <c r="R1048" s="178"/>
      <c r="S1048" s="178"/>
    </row>
    <row r="1049" spans="18:19">
      <c r="R1049" s="178"/>
      <c r="S1049" s="178"/>
    </row>
    <row r="1050" spans="18:19">
      <c r="R1050" s="178"/>
      <c r="S1050" s="178"/>
    </row>
    <row r="1051" spans="18:19">
      <c r="R1051" s="178"/>
      <c r="S1051" s="178"/>
    </row>
    <row r="1052" spans="18:19">
      <c r="R1052" s="178"/>
      <c r="S1052" s="178"/>
    </row>
    <row r="1053" spans="18:19">
      <c r="R1053" s="178"/>
      <c r="S1053" s="178"/>
    </row>
    <row r="1054" spans="18:19">
      <c r="R1054" s="178"/>
      <c r="S1054" s="178"/>
    </row>
    <row r="1055" spans="18:19">
      <c r="R1055" s="178"/>
      <c r="S1055" s="178"/>
    </row>
    <row r="1056" spans="18:19">
      <c r="R1056" s="178"/>
      <c r="S1056" s="178"/>
    </row>
    <row r="1057" spans="18:19">
      <c r="R1057" s="178"/>
      <c r="S1057" s="178"/>
    </row>
    <row r="1058" spans="18:19">
      <c r="R1058" s="178"/>
      <c r="S1058" s="178"/>
    </row>
    <row r="1059" spans="18:19">
      <c r="R1059" s="178"/>
      <c r="S1059" s="178"/>
    </row>
    <row r="1060" spans="18:19">
      <c r="R1060" s="178"/>
      <c r="S1060" s="178"/>
    </row>
    <row r="1061" spans="18:19">
      <c r="R1061" s="178"/>
      <c r="S1061" s="178"/>
    </row>
    <row r="1062" spans="18:19">
      <c r="R1062" s="178"/>
      <c r="S1062" s="178"/>
    </row>
    <row r="1063" spans="18:19">
      <c r="R1063" s="178"/>
      <c r="S1063" s="178"/>
    </row>
    <row r="1064" spans="18:19">
      <c r="R1064" s="178"/>
      <c r="S1064" s="178"/>
    </row>
    <row r="1065" spans="18:19">
      <c r="R1065" s="178"/>
      <c r="S1065" s="178"/>
    </row>
    <row r="1066" spans="18:19">
      <c r="R1066" s="178"/>
      <c r="S1066" s="178"/>
    </row>
    <row r="1067" spans="18:19">
      <c r="R1067" s="178"/>
      <c r="S1067" s="178"/>
    </row>
    <row r="1068" spans="18:19">
      <c r="R1068" s="178"/>
      <c r="S1068" s="178"/>
    </row>
    <row r="1069" spans="18:19">
      <c r="R1069" s="178"/>
      <c r="S1069" s="178"/>
    </row>
    <row r="1070" spans="18:19">
      <c r="R1070" s="178"/>
      <c r="S1070" s="178"/>
    </row>
    <row r="1071" spans="18:19">
      <c r="R1071" s="178"/>
      <c r="S1071" s="178"/>
    </row>
    <row r="1072" spans="18:19">
      <c r="R1072" s="178"/>
      <c r="S1072" s="178"/>
    </row>
    <row r="1073" spans="18:19">
      <c r="R1073" s="178"/>
      <c r="S1073" s="178"/>
    </row>
    <row r="1074" spans="18:19">
      <c r="R1074" s="178"/>
      <c r="S1074" s="178"/>
    </row>
    <row r="1075" spans="18:19">
      <c r="R1075" s="178"/>
      <c r="S1075" s="178"/>
    </row>
    <row r="1076" spans="18:19">
      <c r="R1076" s="178"/>
      <c r="S1076" s="178"/>
    </row>
    <row r="1077" spans="18:19">
      <c r="R1077" s="178"/>
      <c r="S1077" s="178"/>
    </row>
    <row r="1078" spans="18:19">
      <c r="R1078" s="178"/>
      <c r="S1078" s="178"/>
    </row>
    <row r="1079" spans="18:19">
      <c r="R1079" s="178"/>
      <c r="S1079" s="178"/>
    </row>
    <row r="1080" spans="18:19">
      <c r="R1080" s="178"/>
      <c r="S1080" s="178"/>
    </row>
    <row r="1081" spans="18:19">
      <c r="R1081" s="178"/>
      <c r="S1081" s="178"/>
    </row>
    <row r="1082" spans="18:19">
      <c r="R1082" s="178"/>
      <c r="S1082" s="178"/>
    </row>
    <row r="1083" spans="18:19">
      <c r="R1083" s="178"/>
      <c r="S1083" s="178"/>
    </row>
    <row r="1084" spans="18:19">
      <c r="R1084" s="178"/>
      <c r="S1084" s="178"/>
    </row>
    <row r="1085" spans="18:19">
      <c r="R1085" s="178"/>
      <c r="S1085" s="178"/>
    </row>
    <row r="1086" spans="18:19">
      <c r="R1086" s="178"/>
      <c r="S1086" s="178"/>
    </row>
    <row r="1087" spans="18:19">
      <c r="R1087" s="178"/>
      <c r="S1087" s="178"/>
    </row>
    <row r="1088" spans="18:19">
      <c r="R1088" s="178"/>
      <c r="S1088" s="178"/>
    </row>
    <row r="1089" spans="18:19">
      <c r="R1089" s="178"/>
      <c r="S1089" s="178"/>
    </row>
    <row r="1090" spans="18:19">
      <c r="R1090" s="178"/>
      <c r="S1090" s="178"/>
    </row>
    <row r="1091" spans="18:19">
      <c r="R1091" s="178"/>
      <c r="S1091" s="178"/>
    </row>
    <row r="1092" spans="18:19">
      <c r="R1092" s="178"/>
      <c r="S1092" s="178"/>
    </row>
    <row r="1093" spans="18:19">
      <c r="R1093" s="178"/>
      <c r="S1093" s="178"/>
    </row>
    <row r="1094" spans="18:19">
      <c r="R1094" s="178"/>
      <c r="S1094" s="178"/>
    </row>
    <row r="1095" spans="18:19">
      <c r="R1095" s="178"/>
      <c r="S1095" s="178"/>
    </row>
    <row r="1096" spans="18:19">
      <c r="R1096" s="178"/>
      <c r="S1096" s="178"/>
    </row>
    <row r="1097" spans="18:19">
      <c r="R1097" s="178"/>
      <c r="S1097" s="178"/>
    </row>
    <row r="1098" spans="18:19">
      <c r="R1098" s="178"/>
      <c r="S1098" s="178"/>
    </row>
    <row r="1099" spans="18:19">
      <c r="R1099" s="178"/>
      <c r="S1099" s="178"/>
    </row>
    <row r="1100" spans="18:19">
      <c r="R1100" s="178"/>
      <c r="S1100" s="178"/>
    </row>
    <row r="1101" spans="18:19">
      <c r="R1101" s="178"/>
      <c r="S1101" s="178"/>
    </row>
    <row r="1102" spans="18:19">
      <c r="R1102" s="178"/>
      <c r="S1102" s="178"/>
    </row>
    <row r="1103" spans="18:19">
      <c r="R1103" s="178"/>
      <c r="S1103" s="178"/>
    </row>
    <row r="1104" spans="18:19">
      <c r="R1104" s="178"/>
      <c r="S1104" s="178"/>
    </row>
    <row r="1105" spans="18:19">
      <c r="R1105" s="178"/>
      <c r="S1105" s="178"/>
    </row>
    <row r="1106" spans="18:19">
      <c r="R1106" s="178"/>
      <c r="S1106" s="178"/>
    </row>
    <row r="1107" spans="18:19">
      <c r="R1107" s="178"/>
      <c r="S1107" s="178"/>
    </row>
    <row r="1108" spans="18:19">
      <c r="R1108" s="178"/>
      <c r="S1108" s="178"/>
    </row>
    <row r="1109" spans="18:19">
      <c r="R1109" s="178"/>
      <c r="S1109" s="178"/>
    </row>
    <row r="1110" spans="18:19">
      <c r="R1110" s="178"/>
      <c r="S1110" s="178"/>
    </row>
    <row r="1111" spans="18:19">
      <c r="R1111" s="178"/>
      <c r="S1111" s="178"/>
    </row>
    <row r="1112" spans="18:19">
      <c r="R1112" s="178"/>
      <c r="S1112" s="178"/>
    </row>
    <row r="1113" spans="18:19">
      <c r="R1113" s="178"/>
      <c r="S1113" s="178"/>
    </row>
    <row r="1114" spans="18:19">
      <c r="R1114" s="178"/>
      <c r="S1114" s="178"/>
    </row>
    <row r="1115" spans="18:19">
      <c r="R1115" s="178"/>
      <c r="S1115" s="178"/>
    </row>
    <row r="1116" spans="18:19">
      <c r="R1116" s="178"/>
      <c r="S1116" s="178"/>
    </row>
    <row r="1117" spans="18:19">
      <c r="R1117" s="178"/>
      <c r="S1117" s="178"/>
    </row>
    <row r="1118" spans="18:19">
      <c r="R1118" s="178"/>
      <c r="S1118" s="178"/>
    </row>
    <row r="1119" spans="18:19">
      <c r="R1119" s="178"/>
      <c r="S1119" s="178"/>
    </row>
    <row r="1120" spans="18:19">
      <c r="R1120" s="178"/>
      <c r="S1120" s="178"/>
    </row>
    <row r="1121" spans="18:19">
      <c r="R1121" s="178"/>
      <c r="S1121" s="178"/>
    </row>
    <row r="1122" spans="18:19">
      <c r="R1122" s="178"/>
      <c r="S1122" s="178"/>
    </row>
    <row r="1123" spans="18:19">
      <c r="R1123" s="178"/>
      <c r="S1123" s="178"/>
    </row>
    <row r="1124" spans="18:19">
      <c r="R1124" s="178"/>
      <c r="S1124" s="178"/>
    </row>
    <row r="1125" spans="18:19">
      <c r="R1125" s="178"/>
      <c r="S1125" s="178"/>
    </row>
    <row r="1126" spans="18:19">
      <c r="R1126" s="178"/>
      <c r="S1126" s="178"/>
    </row>
    <row r="1127" spans="18:19">
      <c r="R1127" s="178"/>
      <c r="S1127" s="178"/>
    </row>
    <row r="1128" spans="18:19">
      <c r="R1128" s="178"/>
      <c r="S1128" s="178"/>
    </row>
    <row r="1129" spans="18:19">
      <c r="R1129" s="178"/>
      <c r="S1129" s="178"/>
    </row>
    <row r="1130" spans="18:19">
      <c r="R1130" s="178"/>
      <c r="S1130" s="178"/>
    </row>
    <row r="1131" spans="18:19">
      <c r="R1131" s="178"/>
      <c r="S1131" s="178"/>
    </row>
    <row r="1132" spans="18:19">
      <c r="R1132" s="178"/>
      <c r="S1132" s="178"/>
    </row>
    <row r="1133" spans="18:19">
      <c r="R1133" s="178"/>
      <c r="S1133" s="178"/>
    </row>
    <row r="1134" spans="18:19">
      <c r="R1134" s="178"/>
      <c r="S1134" s="178"/>
    </row>
    <row r="1135" spans="18:19">
      <c r="R1135" s="178"/>
      <c r="S1135" s="178"/>
    </row>
    <row r="1136" spans="18:19">
      <c r="R1136" s="178"/>
      <c r="S1136" s="178"/>
    </row>
    <row r="1137" spans="18:19">
      <c r="R1137" s="178"/>
      <c r="S1137" s="178"/>
    </row>
    <row r="1138" spans="18:19">
      <c r="R1138" s="178"/>
      <c r="S1138" s="178"/>
    </row>
    <row r="1139" spans="18:19">
      <c r="R1139" s="178"/>
      <c r="S1139" s="178"/>
    </row>
    <row r="1140" spans="18:19">
      <c r="R1140" s="178"/>
      <c r="S1140" s="178"/>
    </row>
    <row r="1141" spans="18:19">
      <c r="R1141" s="178"/>
      <c r="S1141" s="178"/>
    </row>
    <row r="1142" spans="18:19">
      <c r="R1142" s="178"/>
      <c r="S1142" s="178"/>
    </row>
    <row r="1143" spans="18:19">
      <c r="R1143" s="178"/>
      <c r="S1143" s="178"/>
    </row>
    <row r="1144" spans="18:19">
      <c r="R1144" s="178"/>
      <c r="S1144" s="178"/>
    </row>
    <row r="1145" spans="18:19">
      <c r="R1145" s="178"/>
      <c r="S1145" s="178"/>
    </row>
    <row r="1146" spans="18:19">
      <c r="R1146" s="178"/>
      <c r="S1146" s="178"/>
    </row>
    <row r="1147" spans="18:19">
      <c r="R1147" s="178"/>
      <c r="S1147" s="178"/>
    </row>
    <row r="1148" spans="18:19">
      <c r="R1148" s="178"/>
      <c r="S1148" s="178"/>
    </row>
    <row r="1149" spans="18:19">
      <c r="R1149" s="178"/>
      <c r="S1149" s="178"/>
    </row>
    <row r="1150" spans="18:19">
      <c r="R1150" s="178"/>
      <c r="S1150" s="178"/>
    </row>
    <row r="1151" spans="18:19">
      <c r="R1151" s="178"/>
      <c r="S1151" s="178"/>
    </row>
    <row r="1152" spans="18:19">
      <c r="R1152" s="178"/>
      <c r="S1152" s="178"/>
    </row>
    <row r="1153" spans="18:19">
      <c r="R1153" s="178"/>
      <c r="S1153" s="178"/>
    </row>
    <row r="1154" spans="18:19">
      <c r="R1154" s="178"/>
      <c r="S1154" s="178"/>
    </row>
    <row r="1155" spans="18:19">
      <c r="R1155" s="178"/>
      <c r="S1155" s="178"/>
    </row>
    <row r="1156" spans="18:19">
      <c r="R1156" s="178"/>
      <c r="S1156" s="178"/>
    </row>
    <row r="1157" spans="18:19">
      <c r="R1157" s="178"/>
      <c r="S1157" s="178"/>
    </row>
    <row r="1158" spans="18:19">
      <c r="R1158" s="178"/>
      <c r="S1158" s="178"/>
    </row>
    <row r="1159" spans="18:19">
      <c r="R1159" s="178"/>
      <c r="S1159" s="178"/>
    </row>
    <row r="1160" spans="18:19">
      <c r="R1160" s="178"/>
      <c r="S1160" s="178"/>
    </row>
    <row r="1161" spans="18:19">
      <c r="R1161" s="178"/>
      <c r="S1161" s="178"/>
    </row>
    <row r="1162" spans="18:19">
      <c r="R1162" s="178"/>
      <c r="S1162" s="178"/>
    </row>
    <row r="1163" spans="18:19">
      <c r="R1163" s="178"/>
      <c r="S1163" s="178"/>
    </row>
    <row r="1164" spans="18:19">
      <c r="R1164" s="178"/>
      <c r="S1164" s="178"/>
    </row>
    <row r="1165" spans="18:19">
      <c r="R1165" s="178"/>
      <c r="S1165" s="178"/>
    </row>
    <row r="1166" spans="18:19">
      <c r="R1166" s="178"/>
      <c r="S1166" s="178"/>
    </row>
    <row r="1167" spans="18:19">
      <c r="R1167" s="178"/>
      <c r="S1167" s="178"/>
    </row>
    <row r="1168" spans="18:19">
      <c r="R1168" s="178"/>
      <c r="S1168" s="178"/>
    </row>
    <row r="1169" spans="18:19">
      <c r="R1169" s="178"/>
      <c r="S1169" s="178"/>
    </row>
    <row r="1170" spans="18:19">
      <c r="R1170" s="178"/>
      <c r="S1170" s="178"/>
    </row>
    <row r="1171" spans="18:19">
      <c r="R1171" s="178"/>
      <c r="S1171" s="178"/>
    </row>
    <row r="1172" spans="18:19">
      <c r="R1172" s="178"/>
      <c r="S1172" s="178"/>
    </row>
    <row r="1173" spans="18:19">
      <c r="R1173" s="178"/>
      <c r="S1173" s="178"/>
    </row>
    <row r="1174" spans="18:19">
      <c r="R1174" s="178"/>
      <c r="S1174" s="178"/>
    </row>
    <row r="1175" spans="18:19">
      <c r="R1175" s="178"/>
      <c r="S1175" s="178"/>
    </row>
    <row r="1176" spans="18:19">
      <c r="R1176" s="178"/>
      <c r="S1176" s="178"/>
    </row>
    <row r="1177" spans="18:19">
      <c r="R1177" s="178"/>
      <c r="S1177" s="178"/>
    </row>
    <row r="1178" spans="18:19">
      <c r="R1178" s="178"/>
      <c r="S1178" s="178"/>
    </row>
    <row r="1179" spans="18:19">
      <c r="R1179" s="178"/>
      <c r="S1179" s="178"/>
    </row>
    <row r="1180" spans="18:19">
      <c r="R1180" s="178"/>
      <c r="S1180" s="178"/>
    </row>
    <row r="1181" spans="18:19">
      <c r="R1181" s="178"/>
      <c r="S1181" s="178"/>
    </row>
    <row r="1182" spans="18:19">
      <c r="R1182" s="178"/>
      <c r="S1182" s="178"/>
    </row>
    <row r="1183" spans="18:19">
      <c r="R1183" s="178"/>
      <c r="S1183" s="178"/>
    </row>
    <row r="1184" spans="18:19">
      <c r="R1184" s="178"/>
      <c r="S1184" s="178"/>
    </row>
    <row r="1185" spans="18:19">
      <c r="R1185" s="178"/>
      <c r="S1185" s="178"/>
    </row>
    <row r="1186" spans="18:19">
      <c r="R1186" s="178"/>
      <c r="S1186" s="178"/>
    </row>
    <row r="1187" spans="18:19">
      <c r="R1187" s="178"/>
      <c r="S1187" s="178"/>
    </row>
    <row r="1188" spans="18:19">
      <c r="R1188" s="178"/>
      <c r="S1188" s="178"/>
    </row>
    <row r="1189" spans="18:19">
      <c r="R1189" s="178"/>
      <c r="S1189" s="178"/>
    </row>
    <row r="1190" spans="18:19">
      <c r="R1190" s="178"/>
      <c r="S1190" s="178"/>
    </row>
    <row r="1191" spans="18:19">
      <c r="R1191" s="178"/>
      <c r="S1191" s="178"/>
    </row>
    <row r="1192" spans="18:19">
      <c r="R1192" s="178"/>
      <c r="S1192" s="178"/>
    </row>
    <row r="1193" spans="18:19">
      <c r="R1193" s="178"/>
      <c r="S1193" s="178"/>
    </row>
    <row r="1194" spans="18:19">
      <c r="R1194" s="178"/>
      <c r="S1194" s="178"/>
    </row>
    <row r="1195" spans="18:19">
      <c r="R1195" s="178"/>
      <c r="S1195" s="178"/>
    </row>
    <row r="1196" spans="18:19">
      <c r="R1196" s="178"/>
      <c r="S1196" s="178"/>
    </row>
    <row r="1197" spans="18:19">
      <c r="R1197" s="178"/>
      <c r="S1197" s="178"/>
    </row>
    <row r="1198" spans="18:19">
      <c r="R1198" s="178"/>
      <c r="S1198" s="178"/>
    </row>
    <row r="1199" spans="18:19">
      <c r="R1199" s="178"/>
      <c r="S1199" s="178"/>
    </row>
    <row r="1200" spans="18:19">
      <c r="R1200" s="178"/>
      <c r="S1200" s="178"/>
    </row>
    <row r="1201" spans="18:19">
      <c r="R1201" s="178"/>
      <c r="S1201" s="178"/>
    </row>
    <row r="1202" spans="18:19">
      <c r="R1202" s="178"/>
      <c r="S1202" s="178"/>
    </row>
    <row r="1203" spans="18:19">
      <c r="R1203" s="178"/>
      <c r="S1203" s="178"/>
    </row>
    <row r="1204" spans="18:19">
      <c r="R1204" s="178"/>
      <c r="S1204" s="178"/>
    </row>
    <row r="1205" spans="18:19">
      <c r="R1205" s="178"/>
      <c r="S1205" s="178"/>
    </row>
    <row r="1206" spans="18:19">
      <c r="R1206" s="178"/>
      <c r="S1206" s="178"/>
    </row>
    <row r="1207" spans="18:19">
      <c r="R1207" s="178"/>
      <c r="S1207" s="178"/>
    </row>
    <row r="1208" spans="18:19">
      <c r="R1208" s="178"/>
      <c r="S1208" s="178"/>
    </row>
    <row r="1209" spans="18:19">
      <c r="R1209" s="178"/>
      <c r="S1209" s="178"/>
    </row>
    <row r="1210" spans="18:19">
      <c r="R1210" s="178"/>
      <c r="S1210" s="178"/>
    </row>
    <row r="1211" spans="18:19">
      <c r="R1211" s="178"/>
      <c r="S1211" s="178"/>
    </row>
    <row r="1212" spans="18:19">
      <c r="R1212" s="178"/>
      <c r="S1212" s="178"/>
    </row>
    <row r="1213" spans="18:19">
      <c r="R1213" s="178"/>
      <c r="S1213" s="178"/>
    </row>
    <row r="1214" spans="18:19">
      <c r="R1214" s="178"/>
      <c r="S1214" s="178"/>
    </row>
    <row r="1215" spans="18:19">
      <c r="R1215" s="178"/>
      <c r="S1215" s="178"/>
    </row>
    <row r="1216" spans="18:19">
      <c r="R1216" s="178"/>
      <c r="S1216" s="178"/>
    </row>
    <row r="1217" spans="18:19">
      <c r="R1217" s="178"/>
      <c r="S1217" s="178"/>
    </row>
    <row r="1218" spans="18:19">
      <c r="R1218" s="178"/>
      <c r="S1218" s="178"/>
    </row>
    <row r="1219" spans="18:19">
      <c r="R1219" s="178"/>
      <c r="S1219" s="178"/>
    </row>
    <row r="1220" spans="18:19">
      <c r="R1220" s="178"/>
      <c r="S1220" s="178"/>
    </row>
    <row r="1221" spans="18:19">
      <c r="R1221" s="178"/>
      <c r="S1221" s="178"/>
    </row>
    <row r="1222" spans="18:19">
      <c r="R1222" s="178"/>
      <c r="S1222" s="178"/>
    </row>
    <row r="1223" spans="18:19">
      <c r="R1223" s="178"/>
      <c r="S1223" s="178"/>
    </row>
    <row r="1224" spans="18:19">
      <c r="R1224" s="178"/>
      <c r="S1224" s="178"/>
    </row>
    <row r="1225" spans="18:19">
      <c r="R1225" s="178"/>
      <c r="S1225" s="178"/>
    </row>
    <row r="1226" spans="18:19">
      <c r="R1226" s="178"/>
      <c r="S1226" s="178"/>
    </row>
    <row r="1227" spans="18:19">
      <c r="R1227" s="178"/>
      <c r="S1227" s="178"/>
    </row>
    <row r="1228" spans="18:19">
      <c r="R1228" s="178"/>
      <c r="S1228" s="178"/>
    </row>
    <row r="1229" spans="18:19">
      <c r="R1229" s="178"/>
      <c r="S1229" s="178"/>
    </row>
    <row r="1230" spans="18:19">
      <c r="R1230" s="178"/>
      <c r="S1230" s="178"/>
    </row>
    <row r="1231" spans="18:19">
      <c r="R1231" s="178"/>
      <c r="S1231" s="178"/>
    </row>
    <row r="1232" spans="18:19">
      <c r="R1232" s="178"/>
      <c r="S1232" s="178"/>
    </row>
    <row r="1233" spans="18:19">
      <c r="R1233" s="178"/>
      <c r="S1233" s="178"/>
    </row>
    <row r="1234" spans="18:19">
      <c r="R1234" s="178"/>
      <c r="S1234" s="178"/>
    </row>
    <row r="1235" spans="18:19">
      <c r="R1235" s="178"/>
      <c r="S1235" s="178"/>
    </row>
    <row r="1236" spans="18:19">
      <c r="R1236" s="178"/>
      <c r="S1236" s="178"/>
    </row>
    <row r="1237" spans="18:19">
      <c r="R1237" s="178"/>
      <c r="S1237" s="178"/>
    </row>
    <row r="1238" spans="18:19">
      <c r="R1238" s="178"/>
      <c r="S1238" s="178"/>
    </row>
    <row r="1239" spans="18:19">
      <c r="R1239" s="178"/>
      <c r="S1239" s="178"/>
    </row>
    <row r="1240" spans="18:19">
      <c r="R1240" s="178"/>
      <c r="S1240" s="178"/>
    </row>
    <row r="1241" spans="18:19">
      <c r="R1241" s="178"/>
      <c r="S1241" s="178"/>
    </row>
    <row r="1242" spans="18:19">
      <c r="R1242" s="178"/>
      <c r="S1242" s="178"/>
    </row>
    <row r="1243" spans="18:19">
      <c r="R1243" s="178"/>
      <c r="S1243" s="178"/>
    </row>
    <row r="1244" spans="18:19">
      <c r="R1244" s="178"/>
      <c r="S1244" s="178"/>
    </row>
    <row r="1245" spans="18:19">
      <c r="R1245" s="178"/>
      <c r="S1245" s="178"/>
    </row>
    <row r="1246" spans="18:19">
      <c r="R1246" s="178"/>
      <c r="S1246" s="178"/>
    </row>
    <row r="1247" spans="18:19">
      <c r="R1247" s="178"/>
      <c r="S1247" s="178"/>
    </row>
    <row r="1248" spans="18:19">
      <c r="R1248" s="178"/>
      <c r="S1248" s="178"/>
    </row>
    <row r="1249" spans="18:19">
      <c r="R1249" s="178"/>
      <c r="S1249" s="178"/>
    </row>
    <row r="1250" spans="18:19">
      <c r="R1250" s="178"/>
      <c r="S1250" s="178"/>
    </row>
    <row r="1251" spans="18:19">
      <c r="R1251" s="178"/>
      <c r="S1251" s="178"/>
    </row>
    <row r="1252" spans="18:19">
      <c r="R1252" s="178"/>
      <c r="S1252" s="178"/>
    </row>
    <row r="1253" spans="18:19">
      <c r="R1253" s="178"/>
      <c r="S1253" s="178"/>
    </row>
    <row r="1254" spans="18:19">
      <c r="R1254" s="178"/>
      <c r="S1254" s="178"/>
    </row>
    <row r="1255" spans="18:19">
      <c r="R1255" s="178"/>
      <c r="S1255" s="178"/>
    </row>
    <row r="1256" spans="18:19">
      <c r="R1256" s="178"/>
      <c r="S1256" s="178"/>
    </row>
    <row r="1257" spans="18:19">
      <c r="R1257" s="178"/>
      <c r="S1257" s="178"/>
    </row>
    <row r="1258" spans="18:19">
      <c r="R1258" s="178"/>
      <c r="S1258" s="178"/>
    </row>
    <row r="1259" spans="18:19">
      <c r="R1259" s="178"/>
      <c r="S1259" s="178"/>
    </row>
    <row r="1260" spans="18:19">
      <c r="R1260" s="178"/>
      <c r="S1260" s="178"/>
    </row>
    <row r="1261" spans="18:19">
      <c r="R1261" s="178"/>
      <c r="S1261" s="178"/>
    </row>
    <row r="1262" spans="18:19">
      <c r="R1262" s="178"/>
      <c r="S1262" s="178"/>
    </row>
    <row r="1263" spans="18:19">
      <c r="R1263" s="178"/>
      <c r="S1263" s="178"/>
    </row>
    <row r="1264" spans="18:19">
      <c r="R1264" s="178"/>
      <c r="S1264" s="178"/>
    </row>
    <row r="1265" spans="18:19">
      <c r="R1265" s="178"/>
      <c r="S1265" s="178"/>
    </row>
    <row r="1266" spans="18:19">
      <c r="R1266" s="178"/>
      <c r="S1266" s="178"/>
    </row>
    <row r="1267" spans="18:19">
      <c r="R1267" s="178"/>
      <c r="S1267" s="178"/>
    </row>
    <row r="1268" spans="18:19">
      <c r="R1268" s="178"/>
      <c r="S1268" s="178"/>
    </row>
    <row r="1269" spans="18:19">
      <c r="R1269" s="178"/>
      <c r="S1269" s="178"/>
    </row>
    <row r="1270" spans="18:19">
      <c r="R1270" s="178"/>
      <c r="S1270" s="178"/>
    </row>
    <row r="1271" spans="18:19">
      <c r="R1271" s="178"/>
      <c r="S1271" s="178"/>
    </row>
    <row r="1272" spans="18:19">
      <c r="R1272" s="178"/>
      <c r="S1272" s="178"/>
    </row>
    <row r="1273" spans="18:19">
      <c r="R1273" s="178"/>
      <c r="S1273" s="178"/>
    </row>
    <row r="1274" spans="18:19">
      <c r="R1274" s="178"/>
      <c r="S1274" s="178"/>
    </row>
    <row r="1275" spans="18:19">
      <c r="R1275" s="178"/>
      <c r="S1275" s="178"/>
    </row>
    <row r="1276" spans="18:19">
      <c r="R1276" s="178"/>
      <c r="S1276" s="178"/>
    </row>
    <row r="1277" spans="18:19">
      <c r="R1277" s="178"/>
      <c r="S1277" s="178"/>
    </row>
    <row r="1278" spans="18:19">
      <c r="R1278" s="178"/>
      <c r="S1278" s="178"/>
    </row>
    <row r="1279" spans="18:19">
      <c r="R1279" s="178"/>
      <c r="S1279" s="178"/>
    </row>
    <row r="1280" spans="18:19">
      <c r="R1280" s="178"/>
      <c r="S1280" s="178"/>
    </row>
    <row r="1281" spans="18:19">
      <c r="R1281" s="178"/>
      <c r="S1281" s="178"/>
    </row>
    <row r="1282" spans="18:19">
      <c r="R1282" s="178"/>
      <c r="S1282" s="178"/>
    </row>
    <row r="1283" spans="18:19">
      <c r="R1283" s="178"/>
      <c r="S1283" s="178"/>
    </row>
    <row r="1284" spans="18:19">
      <c r="R1284" s="178"/>
      <c r="S1284" s="178"/>
    </row>
    <row r="1285" spans="18:19">
      <c r="R1285" s="178"/>
      <c r="S1285" s="178"/>
    </row>
    <row r="1286" spans="18:19">
      <c r="R1286" s="178"/>
      <c r="S1286" s="178"/>
    </row>
    <row r="1287" spans="18:19">
      <c r="R1287" s="178"/>
      <c r="S1287" s="178"/>
    </row>
    <row r="1288" spans="18:19">
      <c r="R1288" s="178"/>
      <c r="S1288" s="178"/>
    </row>
    <row r="1289" spans="18:19">
      <c r="R1289" s="178"/>
      <c r="S1289" s="178"/>
    </row>
    <row r="1290" spans="18:19">
      <c r="R1290" s="178"/>
      <c r="S1290" s="178"/>
    </row>
    <row r="1291" spans="18:19">
      <c r="R1291" s="178"/>
      <c r="S1291" s="178"/>
    </row>
    <row r="1292" spans="18:19">
      <c r="R1292" s="178"/>
      <c r="S1292" s="178"/>
    </row>
    <row r="1293" spans="18:19">
      <c r="R1293" s="178"/>
      <c r="S1293" s="178"/>
    </row>
    <row r="1294" spans="18:19">
      <c r="R1294" s="178"/>
      <c r="S1294" s="178"/>
    </row>
    <row r="1295" spans="18:19">
      <c r="R1295" s="178"/>
      <c r="S1295" s="178"/>
    </row>
    <row r="1296" spans="18:19">
      <c r="R1296" s="178"/>
      <c r="S1296" s="178"/>
    </row>
    <row r="1297" spans="18:19">
      <c r="R1297" s="178"/>
      <c r="S1297" s="178"/>
    </row>
    <row r="1298" spans="18:19">
      <c r="R1298" s="178"/>
      <c r="S1298" s="178"/>
    </row>
    <row r="1299" spans="18:19">
      <c r="R1299" s="178"/>
      <c r="S1299" s="178"/>
    </row>
    <row r="1300" spans="18:19">
      <c r="R1300" s="178"/>
      <c r="S1300" s="178"/>
    </row>
    <row r="1301" spans="18:19">
      <c r="R1301" s="178"/>
      <c r="S1301" s="178"/>
    </row>
    <row r="1302" spans="18:19">
      <c r="R1302" s="178"/>
      <c r="S1302" s="178"/>
    </row>
    <row r="1303" spans="18:19">
      <c r="R1303" s="178"/>
      <c r="S1303" s="178"/>
    </row>
    <row r="1304" spans="18:19">
      <c r="R1304" s="178"/>
      <c r="S1304" s="178"/>
    </row>
    <row r="1305" spans="18:19">
      <c r="R1305" s="178"/>
      <c r="S1305" s="178"/>
    </row>
    <row r="1306" spans="18:19">
      <c r="R1306" s="178"/>
      <c r="S1306" s="178"/>
    </row>
    <row r="1307" spans="18:19">
      <c r="R1307" s="178"/>
      <c r="S1307" s="178"/>
    </row>
    <row r="1308" spans="18:19">
      <c r="R1308" s="178"/>
      <c r="S1308" s="178"/>
    </row>
    <row r="1309" spans="18:19">
      <c r="R1309" s="178"/>
      <c r="S1309" s="178"/>
    </row>
    <row r="1310" spans="18:19">
      <c r="R1310" s="178"/>
      <c r="S1310" s="178"/>
    </row>
    <row r="1311" spans="18:19">
      <c r="R1311" s="178"/>
      <c r="S1311" s="178"/>
    </row>
    <row r="1312" spans="18:19">
      <c r="R1312" s="178"/>
      <c r="S1312" s="178"/>
    </row>
    <row r="1313" spans="18:19">
      <c r="R1313" s="178"/>
      <c r="S1313" s="178"/>
    </row>
    <row r="1314" spans="18:19">
      <c r="R1314" s="178"/>
      <c r="S1314" s="178"/>
    </row>
    <row r="1315" spans="18:19">
      <c r="R1315" s="178"/>
      <c r="S1315" s="178"/>
    </row>
    <row r="1316" spans="18:19">
      <c r="R1316" s="178"/>
      <c r="S1316" s="178"/>
    </row>
    <row r="1317" spans="18:19">
      <c r="R1317" s="178"/>
      <c r="S1317" s="178"/>
    </row>
    <row r="1318" spans="18:19">
      <c r="R1318" s="178"/>
      <c r="S1318" s="178"/>
    </row>
    <row r="1319" spans="18:19">
      <c r="R1319" s="178"/>
      <c r="S1319" s="178"/>
    </row>
    <row r="1320" spans="18:19">
      <c r="R1320" s="178"/>
      <c r="S1320" s="178"/>
    </row>
    <row r="1321" spans="18:19">
      <c r="R1321" s="178"/>
      <c r="S1321" s="178"/>
    </row>
    <row r="1322" spans="18:19">
      <c r="R1322" s="178"/>
      <c r="S1322" s="178"/>
    </row>
    <row r="1323" spans="18:19">
      <c r="R1323" s="178"/>
      <c r="S1323" s="178"/>
    </row>
    <row r="1324" spans="18:19">
      <c r="R1324" s="178"/>
      <c r="S1324" s="178"/>
    </row>
    <row r="1325" spans="18:19">
      <c r="R1325" s="178"/>
      <c r="S1325" s="178"/>
    </row>
    <row r="1326" spans="18:19">
      <c r="R1326" s="178"/>
      <c r="S1326" s="178"/>
    </row>
    <row r="1327" spans="18:19">
      <c r="R1327" s="178"/>
      <c r="S1327" s="178"/>
    </row>
    <row r="1328" spans="18:19">
      <c r="R1328" s="178"/>
      <c r="S1328" s="178"/>
    </row>
    <row r="1329" spans="18:19">
      <c r="R1329" s="178"/>
      <c r="S1329" s="178"/>
    </row>
    <row r="1330" spans="18:19">
      <c r="R1330" s="178"/>
      <c r="S1330" s="178"/>
    </row>
    <row r="1331" spans="18:19">
      <c r="R1331" s="178"/>
      <c r="S1331" s="178"/>
    </row>
    <row r="1332" spans="18:19">
      <c r="R1332" s="178"/>
      <c r="S1332" s="178"/>
    </row>
    <row r="1333" spans="18:19">
      <c r="R1333" s="178"/>
      <c r="S1333" s="178"/>
    </row>
    <row r="1334" spans="18:19">
      <c r="R1334" s="178"/>
      <c r="S1334" s="178"/>
    </row>
    <row r="1335" spans="18:19">
      <c r="R1335" s="178"/>
      <c r="S1335" s="178"/>
    </row>
    <row r="1336" spans="18:19">
      <c r="R1336" s="178"/>
      <c r="S1336" s="178"/>
    </row>
    <row r="1337" spans="18:19">
      <c r="R1337" s="178"/>
      <c r="S1337" s="178"/>
    </row>
    <row r="1338" spans="18:19">
      <c r="R1338" s="178"/>
      <c r="S1338" s="178"/>
    </row>
    <row r="1339" spans="18:19">
      <c r="R1339" s="178"/>
      <c r="S1339" s="178"/>
    </row>
    <row r="1340" spans="18:19">
      <c r="R1340" s="178"/>
      <c r="S1340" s="178"/>
    </row>
    <row r="1341" spans="18:19">
      <c r="R1341" s="178"/>
      <c r="S1341" s="178"/>
    </row>
    <row r="1342" spans="18:19">
      <c r="R1342" s="178"/>
      <c r="S1342" s="178"/>
    </row>
    <row r="1343" spans="18:19">
      <c r="R1343" s="178"/>
      <c r="S1343" s="178"/>
    </row>
    <row r="1344" spans="18:19">
      <c r="R1344" s="178"/>
      <c r="S1344" s="178"/>
    </row>
    <row r="1345" spans="18:19">
      <c r="R1345" s="178"/>
      <c r="S1345" s="178"/>
    </row>
    <row r="1346" spans="18:19">
      <c r="R1346" s="178"/>
      <c r="S1346" s="178"/>
    </row>
    <row r="1347" spans="18:19">
      <c r="R1347" s="178"/>
      <c r="S1347" s="178"/>
    </row>
    <row r="1348" spans="18:19">
      <c r="R1348" s="178"/>
      <c r="S1348" s="178"/>
    </row>
    <row r="1349" spans="18:19">
      <c r="R1349" s="178"/>
      <c r="S1349" s="178"/>
    </row>
    <row r="1350" spans="18:19">
      <c r="R1350" s="178"/>
      <c r="S1350" s="178"/>
    </row>
    <row r="1351" spans="18:19">
      <c r="R1351" s="178"/>
      <c r="S1351" s="178"/>
    </row>
    <row r="1352" spans="18:19">
      <c r="R1352" s="178"/>
      <c r="S1352" s="178"/>
    </row>
    <row r="1353" spans="18:19">
      <c r="R1353" s="178"/>
      <c r="S1353" s="178"/>
    </row>
    <row r="1354" spans="18:19">
      <c r="R1354" s="178"/>
      <c r="S1354" s="178"/>
    </row>
    <row r="1355" spans="18:19">
      <c r="R1355" s="178"/>
      <c r="S1355" s="178"/>
    </row>
    <row r="1356" spans="18:19">
      <c r="R1356" s="178"/>
      <c r="S1356" s="178"/>
    </row>
    <row r="1357" spans="18:19">
      <c r="R1357" s="178"/>
      <c r="S1357" s="178"/>
    </row>
    <row r="1358" spans="18:19">
      <c r="R1358" s="178"/>
      <c r="S1358" s="178"/>
    </row>
    <row r="1359" spans="18:19">
      <c r="R1359" s="178"/>
      <c r="S1359" s="178"/>
    </row>
    <row r="1360" spans="18:19">
      <c r="R1360" s="178"/>
      <c r="S1360" s="178"/>
    </row>
    <row r="1361" spans="18:19">
      <c r="R1361" s="178"/>
      <c r="S1361" s="178"/>
    </row>
    <row r="1362" spans="18:19">
      <c r="R1362" s="178"/>
      <c r="S1362" s="178"/>
    </row>
    <row r="1363" spans="18:19">
      <c r="R1363" s="178"/>
      <c r="S1363" s="178"/>
    </row>
    <row r="1364" spans="18:19">
      <c r="R1364" s="178"/>
      <c r="S1364" s="178"/>
    </row>
    <row r="1365" spans="18:19">
      <c r="R1365" s="178"/>
      <c r="S1365" s="178"/>
    </row>
    <row r="1366" spans="18:19">
      <c r="R1366" s="178"/>
      <c r="S1366" s="178"/>
    </row>
    <row r="1367" spans="18:19">
      <c r="R1367" s="178"/>
      <c r="S1367" s="178"/>
    </row>
    <row r="1368" spans="18:19">
      <c r="R1368" s="178"/>
      <c r="S1368" s="178"/>
    </row>
    <row r="1369" spans="18:19">
      <c r="R1369" s="178"/>
      <c r="S1369" s="178"/>
    </row>
    <row r="1370" spans="18:19">
      <c r="R1370" s="178"/>
      <c r="S1370" s="178"/>
    </row>
    <row r="1371" spans="18:19">
      <c r="R1371" s="178"/>
      <c r="S1371" s="178"/>
    </row>
    <row r="1372" spans="18:19">
      <c r="R1372" s="178"/>
      <c r="S1372" s="178"/>
    </row>
    <row r="1373" spans="18:19">
      <c r="R1373" s="178"/>
      <c r="S1373" s="178"/>
    </row>
    <row r="1374" spans="18:19">
      <c r="R1374" s="178"/>
      <c r="S1374" s="178"/>
    </row>
    <row r="1375" spans="18:19">
      <c r="R1375" s="178"/>
      <c r="S1375" s="178"/>
    </row>
    <row r="1376" spans="18:19">
      <c r="R1376" s="178"/>
      <c r="S1376" s="178"/>
    </row>
    <row r="1377" spans="18:19">
      <c r="R1377" s="178"/>
      <c r="S1377" s="178"/>
    </row>
    <row r="1378" spans="18:19">
      <c r="R1378" s="178"/>
      <c r="S1378" s="178"/>
    </row>
    <row r="1379" spans="18:19">
      <c r="R1379" s="178"/>
      <c r="S1379" s="178"/>
    </row>
    <row r="1380" spans="18:19">
      <c r="R1380" s="178"/>
      <c r="S1380" s="178"/>
    </row>
    <row r="1381" spans="18:19">
      <c r="R1381" s="178"/>
      <c r="S1381" s="178"/>
    </row>
    <row r="1382" spans="18:19">
      <c r="R1382" s="178"/>
      <c r="S1382" s="178"/>
    </row>
    <row r="1383" spans="18:19">
      <c r="R1383" s="178"/>
      <c r="S1383" s="178"/>
    </row>
    <row r="1384" spans="18:19">
      <c r="R1384" s="178"/>
      <c r="S1384" s="178"/>
    </row>
    <row r="1385" spans="18:19">
      <c r="R1385" s="178"/>
      <c r="S1385" s="178"/>
    </row>
    <row r="1386" spans="18:19">
      <c r="R1386" s="178"/>
      <c r="S1386" s="178"/>
    </row>
    <row r="1387" spans="18:19">
      <c r="R1387" s="178"/>
      <c r="S1387" s="178"/>
    </row>
    <row r="1388" spans="18:19">
      <c r="R1388" s="178"/>
      <c r="S1388" s="178"/>
    </row>
    <row r="1389" spans="18:19">
      <c r="R1389" s="178"/>
      <c r="S1389" s="178"/>
    </row>
    <row r="1390" spans="18:19">
      <c r="R1390" s="178"/>
      <c r="S1390" s="178"/>
    </row>
    <row r="1391" spans="18:19">
      <c r="R1391" s="178"/>
      <c r="S1391" s="178"/>
    </row>
    <row r="1392" spans="18:19">
      <c r="R1392" s="178"/>
      <c r="S1392" s="178"/>
    </row>
    <row r="1393" spans="18:19">
      <c r="R1393" s="178"/>
      <c r="S1393" s="178"/>
    </row>
    <row r="1394" spans="18:19">
      <c r="R1394" s="178"/>
      <c r="S1394" s="178"/>
    </row>
    <row r="1395" spans="18:19">
      <c r="R1395" s="178"/>
      <c r="S1395" s="178"/>
    </row>
    <row r="1396" spans="18:19">
      <c r="R1396" s="178"/>
      <c r="S1396" s="178"/>
    </row>
    <row r="1397" spans="18:19">
      <c r="R1397" s="178"/>
      <c r="S1397" s="178"/>
    </row>
    <row r="1398" spans="18:19">
      <c r="R1398" s="178"/>
      <c r="S1398" s="178"/>
    </row>
    <row r="1399" spans="18:19">
      <c r="R1399" s="178"/>
      <c r="S1399" s="178"/>
    </row>
    <row r="1400" spans="18:19">
      <c r="R1400" s="178"/>
      <c r="S1400" s="178"/>
    </row>
    <row r="1401" spans="18:19">
      <c r="R1401" s="178"/>
      <c r="S1401" s="178"/>
    </row>
    <row r="1402" spans="18:19">
      <c r="R1402" s="178"/>
      <c r="S1402" s="178"/>
    </row>
    <row r="1403" spans="18:19">
      <c r="R1403" s="178"/>
      <c r="S1403" s="178"/>
    </row>
    <row r="1404" spans="18:19">
      <c r="R1404" s="178"/>
      <c r="S1404" s="178"/>
    </row>
    <row r="1405" spans="18:19">
      <c r="R1405" s="178"/>
      <c r="S1405" s="178"/>
    </row>
    <row r="1406" spans="18:19">
      <c r="R1406" s="178"/>
      <c r="S1406" s="178"/>
    </row>
    <row r="1407" spans="18:19">
      <c r="R1407" s="178"/>
      <c r="S1407" s="178"/>
    </row>
    <row r="1408" spans="18:19">
      <c r="R1408" s="178"/>
      <c r="S1408" s="178"/>
    </row>
    <row r="1409" spans="18:19">
      <c r="R1409" s="178"/>
      <c r="S1409" s="178"/>
    </row>
    <row r="1410" spans="18:19">
      <c r="R1410" s="178"/>
      <c r="S1410" s="178"/>
    </row>
    <row r="1411" spans="18:19">
      <c r="R1411" s="178"/>
      <c r="S1411" s="178"/>
    </row>
    <row r="1412" spans="18:19">
      <c r="R1412" s="178"/>
      <c r="S1412" s="178"/>
    </row>
    <row r="1413" spans="18:19">
      <c r="R1413" s="178"/>
      <c r="S1413" s="178"/>
    </row>
    <row r="1414" spans="18:19">
      <c r="R1414" s="178"/>
      <c r="S1414" s="178"/>
    </row>
    <row r="1415" spans="18:19">
      <c r="R1415" s="178"/>
      <c r="S1415" s="178"/>
    </row>
    <row r="1416" spans="18:19">
      <c r="R1416" s="178"/>
      <c r="S1416" s="178"/>
    </row>
    <row r="1417" spans="18:19">
      <c r="R1417" s="178"/>
      <c r="S1417" s="178"/>
    </row>
    <row r="1418" spans="18:19">
      <c r="R1418" s="178"/>
      <c r="S1418" s="178"/>
    </row>
    <row r="1419" spans="18:19">
      <c r="R1419" s="178"/>
      <c r="S1419" s="178"/>
    </row>
    <row r="1420" spans="18:19">
      <c r="R1420" s="178"/>
      <c r="S1420" s="178"/>
    </row>
    <row r="1421" spans="18:19">
      <c r="R1421" s="178"/>
      <c r="S1421" s="178"/>
    </row>
    <row r="1422" spans="18:19">
      <c r="R1422" s="178"/>
      <c r="S1422" s="178"/>
    </row>
    <row r="1423" spans="18:19">
      <c r="R1423" s="178"/>
      <c r="S1423" s="178"/>
    </row>
    <row r="1424" spans="18:19">
      <c r="R1424" s="178"/>
      <c r="S1424" s="178"/>
    </row>
    <row r="1425" spans="18:19">
      <c r="R1425" s="178"/>
      <c r="S1425" s="178"/>
    </row>
    <row r="1426" spans="18:19">
      <c r="R1426" s="178"/>
      <c r="S1426" s="178"/>
    </row>
    <row r="1427" spans="18:19">
      <c r="R1427" s="178"/>
      <c r="S1427" s="178"/>
    </row>
    <row r="1428" spans="18:19">
      <c r="R1428" s="178"/>
      <c r="S1428" s="178"/>
    </row>
    <row r="1429" spans="18:19">
      <c r="R1429" s="178"/>
      <c r="S1429" s="178"/>
    </row>
    <row r="1430" spans="18:19">
      <c r="R1430" s="178"/>
      <c r="S1430" s="178"/>
    </row>
    <row r="1431" spans="18:19">
      <c r="R1431" s="178"/>
      <c r="S1431" s="178"/>
    </row>
    <row r="1432" spans="18:19">
      <c r="R1432" s="178"/>
      <c r="S1432" s="178"/>
    </row>
    <row r="1433" spans="18:19">
      <c r="R1433" s="178"/>
      <c r="S1433" s="178"/>
    </row>
    <row r="1434" spans="18:19">
      <c r="R1434" s="178"/>
      <c r="S1434" s="178"/>
    </row>
    <row r="1435" spans="18:19">
      <c r="R1435" s="178"/>
      <c r="S1435" s="178"/>
    </row>
    <row r="1436" spans="18:19">
      <c r="R1436" s="178"/>
      <c r="S1436" s="178"/>
    </row>
    <row r="1437" spans="18:19">
      <c r="R1437" s="178"/>
      <c r="S1437" s="178"/>
    </row>
    <row r="1438" spans="18:19">
      <c r="R1438" s="178"/>
      <c r="S1438" s="178"/>
    </row>
    <row r="1439" spans="18:19">
      <c r="R1439" s="178"/>
      <c r="S1439" s="178"/>
    </row>
    <row r="1440" spans="18:19">
      <c r="R1440" s="178"/>
      <c r="S1440" s="178"/>
    </row>
    <row r="1441" spans="18:19">
      <c r="R1441" s="178"/>
      <c r="S1441" s="178"/>
    </row>
    <row r="1442" spans="18:19">
      <c r="R1442" s="178"/>
      <c r="S1442" s="178"/>
    </row>
    <row r="1443" spans="18:19">
      <c r="R1443" s="178"/>
      <c r="S1443" s="178"/>
    </row>
    <row r="1444" spans="18:19">
      <c r="R1444" s="178"/>
      <c r="S1444" s="178"/>
    </row>
    <row r="1445" spans="18:19">
      <c r="R1445" s="178"/>
      <c r="S1445" s="178"/>
    </row>
    <row r="1446" spans="18:19">
      <c r="R1446" s="178"/>
      <c r="S1446" s="178"/>
    </row>
    <row r="1447" spans="18:19">
      <c r="R1447" s="178"/>
      <c r="S1447" s="178"/>
    </row>
    <row r="1448" spans="18:19">
      <c r="R1448" s="178"/>
      <c r="S1448" s="178"/>
    </row>
    <row r="1449" spans="18:19">
      <c r="R1449" s="178"/>
      <c r="S1449" s="178"/>
    </row>
    <row r="1450" spans="18:19">
      <c r="R1450" s="178"/>
      <c r="S1450" s="178"/>
    </row>
    <row r="1451" spans="18:19">
      <c r="R1451" s="178"/>
      <c r="S1451" s="178"/>
    </row>
    <row r="1452" spans="18:19">
      <c r="R1452" s="178"/>
      <c r="S1452" s="178"/>
    </row>
    <row r="1453" spans="18:19">
      <c r="R1453" s="178"/>
      <c r="S1453" s="178"/>
    </row>
    <row r="1454" spans="18:19">
      <c r="R1454" s="178"/>
      <c r="S1454" s="178"/>
    </row>
    <row r="1455" spans="18:19">
      <c r="R1455" s="178"/>
      <c r="S1455" s="178"/>
    </row>
    <row r="1456" spans="18:19">
      <c r="R1456" s="178"/>
      <c r="S1456" s="178"/>
    </row>
    <row r="1457" spans="18:19">
      <c r="R1457" s="178"/>
      <c r="S1457" s="178"/>
    </row>
    <row r="1458" spans="18:19">
      <c r="R1458" s="178"/>
      <c r="S1458" s="178"/>
    </row>
    <row r="1459" spans="18:19">
      <c r="R1459" s="178"/>
      <c r="S1459" s="178"/>
    </row>
    <row r="1460" spans="18:19">
      <c r="R1460" s="178"/>
      <c r="S1460" s="178"/>
    </row>
    <row r="1461" spans="18:19">
      <c r="R1461" s="178"/>
      <c r="S1461" s="178"/>
    </row>
    <row r="1462" spans="18:19">
      <c r="R1462" s="178"/>
      <c r="S1462" s="178"/>
    </row>
    <row r="1463" spans="18:19">
      <c r="R1463" s="178"/>
      <c r="S1463" s="178"/>
    </row>
    <row r="1464" spans="18:19">
      <c r="R1464" s="178"/>
      <c r="S1464" s="178"/>
    </row>
    <row r="1465" spans="18:19">
      <c r="R1465" s="178"/>
      <c r="S1465" s="178"/>
    </row>
    <row r="1466" spans="18:19">
      <c r="R1466" s="178"/>
      <c r="S1466" s="178"/>
    </row>
    <row r="1467" spans="18:19">
      <c r="R1467" s="178"/>
      <c r="S1467" s="178"/>
    </row>
    <row r="1468" spans="18:19">
      <c r="R1468" s="178"/>
      <c r="S1468" s="178"/>
    </row>
    <row r="1469" spans="18:19">
      <c r="R1469" s="178"/>
      <c r="S1469" s="178"/>
    </row>
    <row r="1470" spans="18:19">
      <c r="R1470" s="178"/>
      <c r="S1470" s="178"/>
    </row>
    <row r="1471" spans="18:19">
      <c r="R1471" s="178"/>
      <c r="S1471" s="178"/>
    </row>
    <row r="1472" spans="18:19">
      <c r="R1472" s="178"/>
      <c r="S1472" s="178"/>
    </row>
    <row r="1473" spans="18:19">
      <c r="R1473" s="178"/>
      <c r="S1473" s="178"/>
    </row>
    <row r="1474" spans="18:19">
      <c r="R1474" s="178"/>
      <c r="S1474" s="178"/>
    </row>
    <row r="1475" spans="18:19">
      <c r="R1475" s="178"/>
      <c r="S1475" s="178"/>
    </row>
    <row r="1476" spans="18:19">
      <c r="R1476" s="178"/>
      <c r="S1476" s="178"/>
    </row>
    <row r="1477" spans="18:19">
      <c r="R1477" s="178"/>
      <c r="S1477" s="178"/>
    </row>
    <row r="1478" spans="18:19">
      <c r="R1478" s="178"/>
      <c r="S1478" s="178"/>
    </row>
    <row r="1479" spans="18:19">
      <c r="R1479" s="178"/>
      <c r="S1479" s="178"/>
    </row>
    <row r="1480" spans="18:19">
      <c r="R1480" s="178"/>
      <c r="S1480" s="178"/>
    </row>
    <row r="1481" spans="18:19">
      <c r="R1481" s="178"/>
      <c r="S1481" s="178"/>
    </row>
    <row r="1482" spans="18:19">
      <c r="R1482" s="178"/>
      <c r="S1482" s="178"/>
    </row>
    <row r="1483" spans="18:19">
      <c r="R1483" s="178"/>
      <c r="S1483" s="178"/>
    </row>
    <row r="1484" spans="18:19">
      <c r="R1484" s="178"/>
      <c r="S1484" s="178"/>
    </row>
    <row r="1485" spans="18:19">
      <c r="R1485" s="178"/>
      <c r="S1485" s="178"/>
    </row>
    <row r="1486" spans="18:19">
      <c r="R1486" s="178"/>
      <c r="S1486" s="178"/>
    </row>
    <row r="1487" spans="18:19">
      <c r="R1487" s="178"/>
      <c r="S1487" s="178"/>
    </row>
    <row r="1488" spans="18:19">
      <c r="R1488" s="178"/>
      <c r="S1488" s="178"/>
    </row>
    <row r="1489" spans="18:19">
      <c r="R1489" s="178"/>
      <c r="S1489" s="178"/>
    </row>
    <row r="1490" spans="18:19">
      <c r="R1490" s="178"/>
      <c r="S1490" s="178"/>
    </row>
    <row r="1491" spans="18:19">
      <c r="R1491" s="178"/>
      <c r="S1491" s="178"/>
    </row>
    <row r="1492" spans="18:19">
      <c r="R1492" s="178"/>
      <c r="S1492" s="178"/>
    </row>
    <row r="1493" spans="18:19">
      <c r="R1493" s="178"/>
      <c r="S1493" s="178"/>
    </row>
    <row r="1494" spans="18:19">
      <c r="R1494" s="178"/>
      <c r="S1494" s="178"/>
    </row>
    <row r="1495" spans="18:19">
      <c r="R1495" s="178"/>
      <c r="S1495" s="178"/>
    </row>
    <row r="1496" spans="18:19">
      <c r="R1496" s="178"/>
      <c r="S1496" s="178"/>
    </row>
    <row r="1497" spans="18:19">
      <c r="R1497" s="178"/>
      <c r="S1497" s="178"/>
    </row>
    <row r="1498" spans="18:19">
      <c r="R1498" s="178"/>
      <c r="S1498" s="178"/>
    </row>
    <row r="1499" spans="18:19">
      <c r="R1499" s="178"/>
      <c r="S1499" s="178"/>
    </row>
    <row r="1500" spans="18:19">
      <c r="R1500" s="178"/>
      <c r="S1500" s="178"/>
    </row>
    <row r="1501" spans="18:19">
      <c r="R1501" s="178"/>
      <c r="S1501" s="178"/>
    </row>
    <row r="1502" spans="18:19">
      <c r="R1502" s="178"/>
      <c r="S1502" s="178"/>
    </row>
    <row r="1503" spans="18:19">
      <c r="R1503" s="178"/>
      <c r="S1503" s="178"/>
    </row>
    <row r="1504" spans="18:19">
      <c r="R1504" s="178"/>
      <c r="S1504" s="178"/>
    </row>
    <row r="1505" spans="18:19">
      <c r="R1505" s="178"/>
      <c r="S1505" s="178"/>
    </row>
    <row r="1506" spans="18:19">
      <c r="R1506" s="178"/>
      <c r="S1506" s="178"/>
    </row>
    <row r="1507" spans="18:19">
      <c r="R1507" s="178"/>
      <c r="S1507" s="178"/>
    </row>
    <row r="1508" spans="18:19">
      <c r="R1508" s="178"/>
      <c r="S1508" s="178"/>
    </row>
    <row r="1509" spans="18:19">
      <c r="R1509" s="178"/>
      <c r="S1509" s="178"/>
    </row>
    <row r="1510" spans="18:19">
      <c r="R1510" s="178"/>
      <c r="S1510" s="178"/>
    </row>
    <row r="1511" spans="18:19">
      <c r="R1511" s="178"/>
      <c r="S1511" s="178"/>
    </row>
    <row r="1512" spans="18:19">
      <c r="R1512" s="178"/>
      <c r="S1512" s="178"/>
    </row>
    <row r="1513" spans="18:19">
      <c r="R1513" s="178"/>
      <c r="S1513" s="178"/>
    </row>
    <row r="1514" spans="18:19">
      <c r="R1514" s="178"/>
      <c r="S1514" s="178"/>
    </row>
    <row r="1515" spans="18:19">
      <c r="R1515" s="178"/>
      <c r="S1515" s="178"/>
    </row>
    <row r="1516" spans="18:19">
      <c r="R1516" s="178"/>
      <c r="S1516" s="178"/>
    </row>
    <row r="1517" spans="18:19">
      <c r="R1517" s="178"/>
      <c r="S1517" s="178"/>
    </row>
    <row r="1518" spans="18:19">
      <c r="R1518" s="178"/>
      <c r="S1518" s="178"/>
    </row>
    <row r="1519" spans="18:19">
      <c r="R1519" s="178"/>
      <c r="S1519" s="178"/>
    </row>
    <row r="1520" spans="18:19">
      <c r="R1520" s="178"/>
      <c r="S1520" s="178"/>
    </row>
    <row r="1521" spans="18:19">
      <c r="R1521" s="178"/>
      <c r="S1521" s="178"/>
    </row>
    <row r="1522" spans="18:19">
      <c r="R1522" s="178"/>
      <c r="S1522" s="178"/>
    </row>
    <row r="1523" spans="18:19">
      <c r="R1523" s="178"/>
      <c r="S1523" s="178"/>
    </row>
    <row r="1524" spans="18:19">
      <c r="R1524" s="178"/>
      <c r="S1524" s="178"/>
    </row>
    <row r="1525" spans="18:19">
      <c r="R1525" s="178"/>
      <c r="S1525" s="178"/>
    </row>
    <row r="1526" spans="18:19">
      <c r="R1526" s="178"/>
      <c r="S1526" s="178"/>
    </row>
    <row r="1527" spans="18:19">
      <c r="R1527" s="178"/>
      <c r="S1527" s="178"/>
    </row>
    <row r="1528" spans="18:19">
      <c r="R1528" s="178"/>
      <c r="S1528" s="178"/>
    </row>
    <row r="1529" spans="18:19">
      <c r="R1529" s="178"/>
      <c r="S1529" s="178"/>
    </row>
    <row r="1530" spans="18:19">
      <c r="R1530" s="178"/>
      <c r="S1530" s="178"/>
    </row>
    <row r="1531" spans="18:19">
      <c r="R1531" s="178"/>
      <c r="S1531" s="178"/>
    </row>
    <row r="1532" spans="18:19">
      <c r="R1532" s="178"/>
      <c r="S1532" s="178"/>
    </row>
    <row r="1533" spans="18:19">
      <c r="R1533" s="178"/>
      <c r="S1533" s="178"/>
    </row>
    <row r="1534" spans="18:19">
      <c r="R1534" s="178"/>
      <c r="S1534" s="178"/>
    </row>
    <row r="1535" spans="18:19">
      <c r="R1535" s="178"/>
      <c r="S1535" s="178"/>
    </row>
    <row r="1536" spans="18:19">
      <c r="R1536" s="178"/>
      <c r="S1536" s="178"/>
    </row>
    <row r="1537" spans="18:19">
      <c r="R1537" s="178"/>
      <c r="S1537" s="178"/>
    </row>
    <row r="1538" spans="18:19">
      <c r="R1538" s="178"/>
      <c r="S1538" s="178"/>
    </row>
    <row r="1539" spans="18:19">
      <c r="R1539" s="178"/>
      <c r="S1539" s="178"/>
    </row>
    <row r="1540" spans="18:19">
      <c r="R1540" s="178"/>
      <c r="S1540" s="178"/>
    </row>
    <row r="1541" spans="18:19">
      <c r="R1541" s="178"/>
      <c r="S1541" s="178"/>
    </row>
    <row r="1542" spans="18:19">
      <c r="R1542" s="178"/>
      <c r="S1542" s="178"/>
    </row>
    <row r="1543" spans="18:19">
      <c r="R1543" s="178"/>
      <c r="S1543" s="178"/>
    </row>
    <row r="1544" spans="18:19">
      <c r="R1544" s="178"/>
      <c r="S1544" s="178"/>
    </row>
    <row r="1545" spans="18:19">
      <c r="R1545" s="178"/>
      <c r="S1545" s="178"/>
    </row>
    <row r="1546" spans="18:19">
      <c r="R1546" s="178"/>
      <c r="S1546" s="178"/>
    </row>
    <row r="1547" spans="18:19">
      <c r="R1547" s="178"/>
      <c r="S1547" s="178"/>
    </row>
    <row r="1548" spans="18:19">
      <c r="R1548" s="178"/>
      <c r="S1548" s="178"/>
    </row>
    <row r="1549" spans="18:19">
      <c r="R1549" s="178"/>
      <c r="S1549" s="178"/>
    </row>
    <row r="1550" spans="18:19">
      <c r="R1550" s="178"/>
      <c r="S1550" s="178"/>
    </row>
    <row r="1551" spans="18:19">
      <c r="R1551" s="178"/>
      <c r="S1551" s="178"/>
    </row>
    <row r="1552" spans="18:19">
      <c r="R1552" s="178"/>
      <c r="S1552" s="178"/>
    </row>
    <row r="1553" spans="18:19">
      <c r="R1553" s="178"/>
      <c r="S1553" s="178"/>
    </row>
    <row r="1554" spans="18:19">
      <c r="R1554" s="178"/>
      <c r="S1554" s="178"/>
    </row>
    <row r="1555" spans="18:19">
      <c r="R1555" s="178"/>
      <c r="S1555" s="178"/>
    </row>
    <row r="1556" spans="18:19">
      <c r="R1556" s="178"/>
      <c r="S1556" s="178"/>
    </row>
    <row r="1557" spans="18:19">
      <c r="R1557" s="178"/>
      <c r="S1557" s="178"/>
    </row>
    <row r="1558" spans="18:19">
      <c r="R1558" s="178"/>
      <c r="S1558" s="178"/>
    </row>
    <row r="1559" spans="18:19">
      <c r="R1559" s="178"/>
      <c r="S1559" s="178"/>
    </row>
    <row r="1560" spans="18:19">
      <c r="R1560" s="178"/>
      <c r="S1560" s="178"/>
    </row>
    <row r="1561" spans="18:19">
      <c r="R1561" s="178"/>
      <c r="S1561" s="178"/>
    </row>
    <row r="1562" spans="18:19">
      <c r="R1562" s="178"/>
      <c r="S1562" s="178"/>
    </row>
    <row r="1563" spans="18:19">
      <c r="R1563" s="178"/>
      <c r="S1563" s="178"/>
    </row>
    <row r="1564" spans="18:19">
      <c r="R1564" s="178"/>
      <c r="S1564" s="178"/>
    </row>
    <row r="1565" spans="18:19">
      <c r="R1565" s="178"/>
      <c r="S1565" s="178"/>
    </row>
    <row r="1566" spans="18:19">
      <c r="R1566" s="178"/>
      <c r="S1566" s="178"/>
    </row>
    <row r="1567" spans="18:19">
      <c r="R1567" s="178"/>
      <c r="S1567" s="178"/>
    </row>
    <row r="1568" spans="18:19">
      <c r="R1568" s="178"/>
      <c r="S1568" s="178"/>
    </row>
    <row r="1569" spans="18:19">
      <c r="R1569" s="178"/>
      <c r="S1569" s="178"/>
    </row>
    <row r="1570" spans="18:19">
      <c r="R1570" s="178"/>
      <c r="S1570" s="178"/>
    </row>
    <row r="1571" spans="18:19">
      <c r="R1571" s="178"/>
      <c r="S1571" s="178"/>
    </row>
    <row r="1572" spans="18:19">
      <c r="R1572" s="178"/>
      <c r="S1572" s="178"/>
    </row>
    <row r="1573" spans="18:19">
      <c r="R1573" s="178"/>
      <c r="S1573" s="178"/>
    </row>
    <row r="1574" spans="18:19">
      <c r="R1574" s="178"/>
      <c r="S1574" s="178"/>
    </row>
    <row r="1575" spans="18:19">
      <c r="R1575" s="178"/>
      <c r="S1575" s="178"/>
    </row>
    <row r="1576" spans="18:19">
      <c r="R1576" s="178"/>
      <c r="S1576" s="178"/>
    </row>
    <row r="1577" spans="18:19">
      <c r="R1577" s="178"/>
      <c r="S1577" s="178"/>
    </row>
    <row r="1578" spans="18:19">
      <c r="R1578" s="178"/>
      <c r="S1578" s="178"/>
    </row>
    <row r="1579" spans="18:19">
      <c r="R1579" s="178"/>
      <c r="S1579" s="178"/>
    </row>
    <row r="1580" spans="18:19">
      <c r="R1580" s="178"/>
      <c r="S1580" s="178"/>
    </row>
    <row r="1581" spans="18:19">
      <c r="R1581" s="178"/>
      <c r="S1581" s="178"/>
    </row>
    <row r="1582" spans="18:19">
      <c r="R1582" s="178"/>
      <c r="S1582" s="178"/>
    </row>
    <row r="1583" spans="18:19">
      <c r="R1583" s="178"/>
      <c r="S1583" s="178"/>
    </row>
    <row r="1584" spans="18:19">
      <c r="R1584" s="178"/>
      <c r="S1584" s="178"/>
    </row>
    <row r="1585" spans="18:19">
      <c r="R1585" s="178"/>
      <c r="S1585" s="178"/>
    </row>
    <row r="1586" spans="18:19">
      <c r="R1586" s="178"/>
      <c r="S1586" s="178"/>
    </row>
    <row r="1587" spans="18:19">
      <c r="R1587" s="178"/>
      <c r="S1587" s="178"/>
    </row>
    <row r="1588" spans="18:19">
      <c r="R1588" s="178"/>
      <c r="S1588" s="178"/>
    </row>
    <row r="1589" spans="18:19">
      <c r="R1589" s="178"/>
      <c r="S1589" s="178"/>
    </row>
    <row r="1590" spans="18:19">
      <c r="R1590" s="178"/>
      <c r="S1590" s="178"/>
    </row>
    <row r="1591" spans="18:19">
      <c r="R1591" s="178"/>
      <c r="S1591" s="178"/>
    </row>
    <row r="1592" spans="18:19">
      <c r="R1592" s="178"/>
      <c r="S1592" s="178"/>
    </row>
    <row r="1593" spans="18:19">
      <c r="R1593" s="178"/>
      <c r="S1593" s="178"/>
    </row>
    <row r="1594" spans="18:19">
      <c r="R1594" s="178"/>
      <c r="S1594" s="178"/>
    </row>
    <row r="1595" spans="18:19">
      <c r="R1595" s="178"/>
      <c r="S1595" s="178"/>
    </row>
    <row r="1596" spans="18:19">
      <c r="R1596" s="178"/>
      <c r="S1596" s="178"/>
    </row>
    <row r="1597" spans="18:19">
      <c r="R1597" s="178"/>
      <c r="S1597" s="178"/>
    </row>
    <row r="1598" spans="18:19">
      <c r="R1598" s="178"/>
      <c r="S1598" s="178"/>
    </row>
    <row r="1599" spans="18:19">
      <c r="R1599" s="178"/>
      <c r="S1599" s="178"/>
    </row>
    <row r="1600" spans="18:19">
      <c r="R1600" s="178"/>
      <c r="S1600" s="178"/>
    </row>
    <row r="1601" spans="18:19">
      <c r="R1601" s="178"/>
      <c r="S1601" s="178"/>
    </row>
    <row r="1602" spans="18:19">
      <c r="R1602" s="178"/>
      <c r="S1602" s="178"/>
    </row>
    <row r="1603" spans="18:19">
      <c r="R1603" s="178"/>
      <c r="S1603" s="178"/>
    </row>
    <row r="1604" spans="18:19">
      <c r="R1604" s="178"/>
      <c r="S1604" s="178"/>
    </row>
    <row r="1605" spans="18:19">
      <c r="R1605" s="178"/>
      <c r="S1605" s="178"/>
    </row>
    <row r="1606" spans="18:19">
      <c r="R1606" s="178"/>
      <c r="S1606" s="178"/>
    </row>
    <row r="1607" spans="18:19">
      <c r="R1607" s="178"/>
      <c r="S1607" s="178"/>
    </row>
    <row r="1608" spans="18:19">
      <c r="R1608" s="178"/>
      <c r="S1608" s="178"/>
    </row>
    <row r="1609" spans="18:19">
      <c r="R1609" s="178"/>
      <c r="S1609" s="178"/>
    </row>
    <row r="1610" spans="18:19">
      <c r="R1610" s="178"/>
      <c r="S1610" s="178"/>
    </row>
    <row r="1611" spans="18:19">
      <c r="R1611" s="178"/>
      <c r="S1611" s="178"/>
    </row>
    <row r="1612" spans="18:19">
      <c r="R1612" s="178"/>
      <c r="S1612" s="178"/>
    </row>
    <row r="1613" spans="18:19">
      <c r="R1613" s="178"/>
      <c r="S1613" s="178"/>
    </row>
    <row r="1614" spans="18:19">
      <c r="R1614" s="178"/>
      <c r="S1614" s="178"/>
    </row>
    <row r="1615" spans="18:19">
      <c r="R1615" s="178"/>
      <c r="S1615" s="178"/>
    </row>
    <row r="1616" spans="18:19">
      <c r="R1616" s="178"/>
      <c r="S1616" s="178"/>
    </row>
    <row r="1617" spans="18:19">
      <c r="R1617" s="178"/>
      <c r="S1617" s="178"/>
    </row>
    <row r="1618" spans="18:19">
      <c r="R1618" s="178"/>
      <c r="S1618" s="178"/>
    </row>
    <row r="1619" spans="18:19">
      <c r="R1619" s="178"/>
      <c r="S1619" s="178"/>
    </row>
    <row r="1620" spans="18:19">
      <c r="R1620" s="178"/>
      <c r="S1620" s="178"/>
    </row>
    <row r="1621" spans="18:19">
      <c r="R1621" s="178"/>
      <c r="S1621" s="178"/>
    </row>
    <row r="1622" spans="18:19">
      <c r="R1622" s="178"/>
      <c r="S1622" s="178"/>
    </row>
    <row r="1623" spans="18:19">
      <c r="R1623" s="178"/>
      <c r="S1623" s="178"/>
    </row>
    <row r="1624" spans="18:19">
      <c r="R1624" s="178"/>
      <c r="S1624" s="178"/>
    </row>
    <row r="1625" spans="18:19">
      <c r="R1625" s="178"/>
      <c r="S1625" s="178"/>
    </row>
    <row r="1626" spans="18:19">
      <c r="R1626" s="178"/>
      <c r="S1626" s="178"/>
    </row>
    <row r="1627" spans="18:19">
      <c r="R1627" s="178"/>
      <c r="S1627" s="178"/>
    </row>
    <row r="1628" spans="18:19">
      <c r="R1628" s="178"/>
      <c r="S1628" s="178"/>
    </row>
    <row r="1629" spans="18:19">
      <c r="R1629" s="178"/>
      <c r="S1629" s="178"/>
    </row>
    <row r="1630" spans="18:19">
      <c r="R1630" s="178"/>
      <c r="S1630" s="178"/>
    </row>
    <row r="1631" spans="18:19">
      <c r="R1631" s="178"/>
      <c r="S1631" s="178"/>
    </row>
    <row r="1632" spans="18:19">
      <c r="R1632" s="178"/>
      <c r="S1632" s="178"/>
    </row>
    <row r="1633" spans="18:19">
      <c r="R1633" s="178"/>
      <c r="S1633" s="178"/>
    </row>
    <row r="1634" spans="18:19">
      <c r="R1634" s="178"/>
      <c r="S1634" s="178"/>
    </row>
    <row r="1635" spans="18:19">
      <c r="R1635" s="178"/>
      <c r="S1635" s="178"/>
    </row>
    <row r="1636" spans="18:19">
      <c r="R1636" s="178"/>
      <c r="S1636" s="178"/>
    </row>
    <row r="1637" spans="18:19">
      <c r="R1637" s="178"/>
      <c r="S1637" s="178"/>
    </row>
    <row r="1638" spans="18:19">
      <c r="R1638" s="178"/>
      <c r="S1638" s="178"/>
    </row>
    <row r="1639" spans="18:19">
      <c r="R1639" s="178"/>
      <c r="S1639" s="178"/>
    </row>
    <row r="1640" spans="18:19">
      <c r="R1640" s="178"/>
      <c r="S1640" s="178"/>
    </row>
    <row r="1641" spans="18:19">
      <c r="R1641" s="178"/>
      <c r="S1641" s="178"/>
    </row>
    <row r="1642" spans="18:19">
      <c r="R1642" s="178"/>
      <c r="S1642" s="178"/>
    </row>
    <row r="1643" spans="18:19">
      <c r="R1643" s="178"/>
      <c r="S1643" s="178"/>
    </row>
    <row r="1644" spans="18:19">
      <c r="R1644" s="178"/>
      <c r="S1644" s="178"/>
    </row>
    <row r="1645" spans="18:19">
      <c r="R1645" s="178"/>
      <c r="S1645" s="178"/>
    </row>
    <row r="1646" spans="18:19">
      <c r="R1646" s="178"/>
      <c r="S1646" s="178"/>
    </row>
    <row r="1647" spans="18:19">
      <c r="R1647" s="178"/>
      <c r="S1647" s="178"/>
    </row>
    <row r="1648" spans="18:19">
      <c r="R1648" s="178"/>
      <c r="S1648" s="178"/>
    </row>
    <row r="1649" spans="18:19">
      <c r="R1649" s="178"/>
      <c r="S1649" s="178"/>
    </row>
    <row r="1650" spans="18:19">
      <c r="R1650" s="178"/>
      <c r="S1650" s="178"/>
    </row>
    <row r="1651" spans="18:19">
      <c r="R1651" s="178"/>
      <c r="S1651" s="178"/>
    </row>
    <row r="1652" spans="18:19">
      <c r="R1652" s="178"/>
      <c r="S1652" s="178"/>
    </row>
    <row r="1653" spans="18:19">
      <c r="R1653" s="178"/>
      <c r="S1653" s="178"/>
    </row>
    <row r="1654" spans="18:19">
      <c r="R1654" s="178"/>
      <c r="S1654" s="178"/>
    </row>
    <row r="1655" spans="18:19">
      <c r="R1655" s="178"/>
      <c r="S1655" s="178"/>
    </row>
    <row r="1656" spans="18:19">
      <c r="R1656" s="178"/>
      <c r="S1656" s="178"/>
    </row>
    <row r="1657" spans="18:19">
      <c r="R1657" s="178"/>
      <c r="S1657" s="178"/>
    </row>
    <row r="1658" spans="18:19">
      <c r="R1658" s="178"/>
      <c r="S1658" s="178"/>
    </row>
    <row r="1659" spans="18:19">
      <c r="R1659" s="178"/>
      <c r="S1659" s="178"/>
    </row>
    <row r="1660" spans="18:19">
      <c r="R1660" s="178"/>
      <c r="S1660" s="178"/>
    </row>
    <row r="1661" spans="18:19">
      <c r="R1661" s="178"/>
      <c r="S1661" s="178"/>
    </row>
    <row r="1662" spans="18:19">
      <c r="R1662" s="178"/>
      <c r="S1662" s="178"/>
    </row>
    <row r="1663" spans="18:19">
      <c r="R1663" s="178"/>
      <c r="S1663" s="178"/>
    </row>
    <row r="1664" spans="18:19">
      <c r="R1664" s="178"/>
      <c r="S1664" s="178"/>
    </row>
    <row r="1665" spans="18:19">
      <c r="R1665" s="178"/>
      <c r="S1665" s="178"/>
    </row>
    <row r="1666" spans="18:19">
      <c r="R1666" s="178"/>
      <c r="S1666" s="178"/>
    </row>
    <row r="1667" spans="18:19">
      <c r="R1667" s="178"/>
      <c r="S1667" s="178"/>
    </row>
    <row r="1668" spans="18:19">
      <c r="R1668" s="178"/>
      <c r="S1668" s="178"/>
    </row>
    <row r="1669" spans="18:19">
      <c r="R1669" s="178"/>
      <c r="S1669" s="178"/>
    </row>
    <row r="1670" spans="18:19">
      <c r="R1670" s="178"/>
      <c r="S1670" s="178"/>
    </row>
    <row r="1671" spans="18:19">
      <c r="R1671" s="178"/>
      <c r="S1671" s="178"/>
    </row>
    <row r="1672" spans="18:19">
      <c r="R1672" s="178"/>
      <c r="S1672" s="178"/>
    </row>
    <row r="1673" spans="18:19">
      <c r="R1673" s="178"/>
      <c r="S1673" s="178"/>
    </row>
    <row r="1674" spans="18:19">
      <c r="R1674" s="178"/>
      <c r="S1674" s="178"/>
    </row>
    <row r="1675" spans="18:19">
      <c r="R1675" s="178"/>
      <c r="S1675" s="178"/>
    </row>
    <row r="1676" spans="18:19">
      <c r="R1676" s="178"/>
      <c r="S1676" s="178"/>
    </row>
    <row r="1677" spans="18:19">
      <c r="R1677" s="178"/>
      <c r="S1677" s="178"/>
    </row>
    <row r="1678" spans="18:19">
      <c r="R1678" s="178"/>
      <c r="S1678" s="178"/>
    </row>
    <row r="1679" spans="18:19">
      <c r="R1679" s="178"/>
      <c r="S1679" s="178"/>
    </row>
    <row r="1680" spans="18:19">
      <c r="R1680" s="178"/>
      <c r="S1680" s="178"/>
    </row>
    <row r="1681" spans="18:19">
      <c r="R1681" s="178"/>
      <c r="S1681" s="178"/>
    </row>
    <row r="1682" spans="18:19">
      <c r="R1682" s="178"/>
      <c r="S1682" s="178"/>
    </row>
    <row r="1683" spans="18:19">
      <c r="R1683" s="178"/>
      <c r="S1683" s="178"/>
    </row>
    <row r="1684" spans="18:19">
      <c r="R1684" s="178"/>
      <c r="S1684" s="178"/>
    </row>
    <row r="1685" spans="18:19">
      <c r="R1685" s="178"/>
      <c r="S1685" s="178"/>
    </row>
    <row r="1686" spans="18:19">
      <c r="R1686" s="178"/>
      <c r="S1686" s="178"/>
    </row>
    <row r="1687" spans="18:19">
      <c r="R1687" s="178"/>
      <c r="S1687" s="178"/>
    </row>
    <row r="1688" spans="18:19">
      <c r="R1688" s="178"/>
      <c r="S1688" s="178"/>
    </row>
    <row r="1689" spans="18:19">
      <c r="R1689" s="178"/>
      <c r="S1689" s="178"/>
    </row>
    <row r="1690" spans="18:19">
      <c r="R1690" s="178"/>
      <c r="S1690" s="178"/>
    </row>
    <row r="1691" spans="18:19">
      <c r="R1691" s="178"/>
      <c r="S1691" s="178"/>
    </row>
    <row r="1692" spans="18:19">
      <c r="R1692" s="178"/>
      <c r="S1692" s="178"/>
    </row>
    <row r="1693" spans="18:19">
      <c r="R1693" s="178"/>
      <c r="S1693" s="178"/>
    </row>
    <row r="1694" spans="18:19">
      <c r="R1694" s="178"/>
      <c r="S1694" s="178"/>
    </row>
    <row r="1695" spans="18:19">
      <c r="R1695" s="178"/>
      <c r="S1695" s="178"/>
    </row>
    <row r="1696" spans="18:19">
      <c r="R1696" s="178"/>
      <c r="S1696" s="178"/>
    </row>
    <row r="1697" spans="18:19">
      <c r="R1697" s="178"/>
      <c r="S1697" s="178"/>
    </row>
    <row r="1698" spans="18:19">
      <c r="R1698" s="178"/>
      <c r="S1698" s="178"/>
    </row>
    <row r="1699" spans="18:19">
      <c r="R1699" s="178"/>
      <c r="S1699" s="178"/>
    </row>
    <row r="1700" spans="18:19">
      <c r="R1700" s="178"/>
      <c r="S1700" s="178"/>
    </row>
    <row r="1701" spans="18:19">
      <c r="R1701" s="178"/>
      <c r="S1701" s="178"/>
    </row>
    <row r="1702" spans="18:19">
      <c r="R1702" s="178"/>
      <c r="S1702" s="178"/>
    </row>
    <row r="1703" spans="18:19">
      <c r="R1703" s="178"/>
      <c r="S1703" s="178"/>
    </row>
    <row r="1704" spans="18:19">
      <c r="R1704" s="178"/>
      <c r="S1704" s="178"/>
    </row>
    <row r="1705" spans="18:19">
      <c r="R1705" s="178"/>
      <c r="S1705" s="178"/>
    </row>
    <row r="1706" spans="18:19">
      <c r="R1706" s="178"/>
      <c r="S1706" s="178"/>
    </row>
    <row r="1707" spans="18:19">
      <c r="R1707" s="178"/>
      <c r="S1707" s="178"/>
    </row>
    <row r="1708" spans="18:19">
      <c r="R1708" s="178"/>
      <c r="S1708" s="178"/>
    </row>
    <row r="1709" spans="18:19">
      <c r="R1709" s="178"/>
      <c r="S1709" s="178"/>
    </row>
    <row r="1710" spans="18:19">
      <c r="R1710" s="178"/>
      <c r="S1710" s="178"/>
    </row>
    <row r="1711" spans="18:19">
      <c r="R1711" s="178"/>
      <c r="S1711" s="178"/>
    </row>
    <row r="1712" spans="18:19">
      <c r="R1712" s="178"/>
      <c r="S1712" s="178"/>
    </row>
    <row r="1713" spans="18:19">
      <c r="R1713" s="178"/>
      <c r="S1713" s="178"/>
    </row>
    <row r="1714" spans="18:19">
      <c r="R1714" s="178"/>
      <c r="S1714" s="178"/>
    </row>
    <row r="1715" spans="18:19">
      <c r="R1715" s="178"/>
      <c r="S1715" s="178"/>
    </row>
    <row r="1716" spans="18:19">
      <c r="R1716" s="178"/>
      <c r="S1716" s="178"/>
    </row>
    <row r="1717" spans="18:19">
      <c r="R1717" s="178"/>
      <c r="S1717" s="178"/>
    </row>
    <row r="1718" spans="18:19">
      <c r="R1718" s="178"/>
      <c r="S1718" s="178"/>
    </row>
    <row r="1719" spans="18:19">
      <c r="R1719" s="178"/>
      <c r="S1719" s="178"/>
    </row>
    <row r="1720" spans="18:19">
      <c r="R1720" s="178"/>
      <c r="S1720" s="178"/>
    </row>
    <row r="1721" spans="18:19">
      <c r="R1721" s="178"/>
      <c r="S1721" s="178"/>
    </row>
    <row r="1722" spans="18:19">
      <c r="R1722" s="178"/>
      <c r="S1722" s="178"/>
    </row>
    <row r="1723" spans="18:19">
      <c r="R1723" s="178"/>
      <c r="S1723" s="178"/>
    </row>
    <row r="1724" spans="18:19">
      <c r="R1724" s="178"/>
      <c r="S1724" s="178"/>
    </row>
    <row r="1725" spans="18:19">
      <c r="R1725" s="178"/>
      <c r="S1725" s="178"/>
    </row>
    <row r="1726" spans="18:19">
      <c r="R1726" s="178"/>
      <c r="S1726" s="178"/>
    </row>
    <row r="1727" spans="18:19">
      <c r="R1727" s="178"/>
      <c r="S1727" s="178"/>
    </row>
    <row r="1728" spans="18:19">
      <c r="R1728" s="178"/>
      <c r="S1728" s="178"/>
    </row>
    <row r="1729" spans="18:19">
      <c r="R1729" s="178"/>
      <c r="S1729" s="178"/>
    </row>
    <row r="1730" spans="18:19">
      <c r="R1730" s="178"/>
      <c r="S1730" s="178"/>
    </row>
    <row r="1731" spans="18:19">
      <c r="R1731" s="178"/>
      <c r="S1731" s="178"/>
    </row>
    <row r="1732" spans="18:19">
      <c r="R1732" s="178"/>
      <c r="S1732" s="178"/>
    </row>
    <row r="1733" spans="18:19">
      <c r="R1733" s="178"/>
      <c r="S1733" s="178"/>
    </row>
    <row r="1734" spans="18:19">
      <c r="R1734" s="178"/>
      <c r="S1734" s="178"/>
    </row>
    <row r="1735" spans="18:19">
      <c r="R1735" s="178"/>
      <c r="S1735" s="178"/>
    </row>
    <row r="1736" spans="18:19">
      <c r="R1736" s="178"/>
      <c r="S1736" s="178"/>
    </row>
    <row r="1737" spans="18:19">
      <c r="R1737" s="178"/>
      <c r="S1737" s="178"/>
    </row>
    <row r="1738" spans="18:19">
      <c r="R1738" s="178"/>
      <c r="S1738" s="178"/>
    </row>
    <row r="1739" spans="18:19">
      <c r="R1739" s="178"/>
      <c r="S1739" s="178"/>
    </row>
    <row r="1740" spans="18:19">
      <c r="R1740" s="178"/>
      <c r="S1740" s="178"/>
    </row>
    <row r="1741" spans="18:19">
      <c r="R1741" s="178"/>
      <c r="S1741" s="178"/>
    </row>
    <row r="1742" spans="18:19">
      <c r="R1742" s="178"/>
      <c r="S1742" s="178"/>
    </row>
    <row r="1743" spans="18:19">
      <c r="R1743" s="178"/>
      <c r="S1743" s="178"/>
    </row>
    <row r="1744" spans="18:19">
      <c r="R1744" s="178"/>
      <c r="S1744" s="178"/>
    </row>
    <row r="1745" spans="18:19">
      <c r="R1745" s="178"/>
      <c r="S1745" s="178"/>
    </row>
    <row r="1746" spans="18:19">
      <c r="R1746" s="178"/>
      <c r="S1746" s="178"/>
    </row>
    <row r="1747" spans="18:19">
      <c r="R1747" s="178"/>
      <c r="S1747" s="178"/>
    </row>
    <row r="1748" spans="18:19">
      <c r="R1748" s="178"/>
      <c r="S1748" s="178"/>
    </row>
    <row r="1749" spans="18:19">
      <c r="R1749" s="178"/>
      <c r="S1749" s="178"/>
    </row>
    <row r="1750" spans="18:19">
      <c r="R1750" s="178"/>
      <c r="S1750" s="178"/>
    </row>
    <row r="1751" spans="18:19">
      <c r="R1751" s="178"/>
      <c r="S1751" s="178"/>
    </row>
    <row r="1752" spans="18:19">
      <c r="R1752" s="178"/>
      <c r="S1752" s="178"/>
    </row>
    <row r="1753" spans="18:19">
      <c r="R1753" s="178"/>
      <c r="S1753" s="178"/>
    </row>
    <row r="1754" spans="18:19">
      <c r="R1754" s="178"/>
      <c r="S1754" s="178"/>
    </row>
    <row r="1755" spans="18:19">
      <c r="R1755" s="178"/>
      <c r="S1755" s="178"/>
    </row>
    <row r="1756" spans="18:19">
      <c r="R1756" s="178"/>
      <c r="S1756" s="178"/>
    </row>
    <row r="1757" spans="18:19">
      <c r="R1757" s="178"/>
      <c r="S1757" s="178"/>
    </row>
    <row r="1758" spans="18:19">
      <c r="R1758" s="178"/>
      <c r="S1758" s="178"/>
    </row>
    <row r="1759" spans="18:19">
      <c r="R1759" s="178"/>
      <c r="S1759" s="178"/>
    </row>
    <row r="1760" spans="18:19">
      <c r="R1760" s="178"/>
      <c r="S1760" s="178"/>
    </row>
    <row r="1761" spans="18:19">
      <c r="R1761" s="178"/>
      <c r="S1761" s="178"/>
    </row>
    <row r="1762" spans="18:19">
      <c r="R1762" s="178"/>
      <c r="S1762" s="178"/>
    </row>
    <row r="1763" spans="18:19">
      <c r="R1763" s="178"/>
      <c r="S1763" s="178"/>
    </row>
    <row r="1764" spans="18:19">
      <c r="R1764" s="178"/>
      <c r="S1764" s="178"/>
    </row>
    <row r="1765" spans="18:19">
      <c r="R1765" s="178"/>
      <c r="S1765" s="178"/>
    </row>
    <row r="1766" spans="18:19">
      <c r="R1766" s="178"/>
      <c r="S1766" s="178"/>
    </row>
    <row r="1767" spans="18:19">
      <c r="R1767" s="178"/>
      <c r="S1767" s="178"/>
    </row>
    <row r="1768" spans="18:19">
      <c r="R1768" s="178"/>
      <c r="S1768" s="178"/>
    </row>
    <row r="1769" spans="18:19">
      <c r="R1769" s="178"/>
      <c r="S1769" s="178"/>
    </row>
    <row r="1770" spans="18:19">
      <c r="R1770" s="178"/>
      <c r="S1770" s="178"/>
    </row>
    <row r="1771" spans="18:19">
      <c r="R1771" s="178"/>
      <c r="S1771" s="178"/>
    </row>
    <row r="1772" spans="18:19">
      <c r="R1772" s="178"/>
      <c r="S1772" s="178"/>
    </row>
    <row r="1773" spans="18:19">
      <c r="R1773" s="178"/>
      <c r="S1773" s="178"/>
    </row>
    <row r="1774" spans="18:19">
      <c r="R1774" s="178"/>
      <c r="S1774" s="178"/>
    </row>
    <row r="1775" spans="18:19">
      <c r="R1775" s="178"/>
      <c r="S1775" s="178"/>
    </row>
    <row r="1776" spans="18:19">
      <c r="R1776" s="178"/>
      <c r="S1776" s="178"/>
    </row>
    <row r="1777" spans="18:19">
      <c r="R1777" s="178"/>
      <c r="S1777" s="178"/>
    </row>
    <row r="1778" spans="18:19">
      <c r="R1778" s="178"/>
      <c r="S1778" s="178"/>
    </row>
    <row r="1779" spans="18:19">
      <c r="R1779" s="178"/>
      <c r="S1779" s="178"/>
    </row>
    <row r="1780" spans="18:19">
      <c r="R1780" s="178"/>
      <c r="S1780" s="178"/>
    </row>
    <row r="1781" spans="18:19">
      <c r="R1781" s="178"/>
      <c r="S1781" s="178"/>
    </row>
    <row r="1782" spans="18:19">
      <c r="R1782" s="178"/>
      <c r="S1782" s="178"/>
    </row>
    <row r="1783" spans="18:19">
      <c r="R1783" s="178"/>
      <c r="S1783" s="178"/>
    </row>
    <row r="1784" spans="18:19">
      <c r="R1784" s="178"/>
      <c r="S1784" s="178"/>
    </row>
    <row r="1785" spans="18:19">
      <c r="R1785" s="178"/>
      <c r="S1785" s="178"/>
    </row>
    <row r="1786" spans="18:19">
      <c r="R1786" s="178"/>
      <c r="S1786" s="178"/>
    </row>
    <row r="1787" spans="18:19">
      <c r="R1787" s="178"/>
      <c r="S1787" s="178"/>
    </row>
    <row r="1788" spans="18:19">
      <c r="R1788" s="178"/>
      <c r="S1788" s="178"/>
    </row>
    <row r="1789" spans="18:19">
      <c r="R1789" s="178"/>
      <c r="S1789" s="178"/>
    </row>
    <row r="1790" spans="18:19">
      <c r="R1790" s="178"/>
      <c r="S1790" s="178"/>
    </row>
    <row r="1791" spans="18:19">
      <c r="R1791" s="178"/>
      <c r="S1791" s="178"/>
    </row>
    <row r="1792" spans="18:19">
      <c r="R1792" s="178"/>
      <c r="S1792" s="178"/>
    </row>
    <row r="1793" spans="18:19">
      <c r="R1793" s="178"/>
      <c r="S1793" s="178"/>
    </row>
    <row r="1794" spans="18:19">
      <c r="R1794" s="178"/>
      <c r="S1794" s="178"/>
    </row>
    <row r="1795" spans="18:19">
      <c r="R1795" s="178"/>
      <c r="S1795" s="178"/>
    </row>
    <row r="1796" spans="18:19">
      <c r="R1796" s="178"/>
      <c r="S1796" s="178"/>
    </row>
    <row r="1797" spans="18:19">
      <c r="R1797" s="178"/>
      <c r="S1797" s="178"/>
    </row>
    <row r="1798" spans="18:19">
      <c r="R1798" s="178"/>
      <c r="S1798" s="178"/>
    </row>
    <row r="1799" spans="18:19">
      <c r="R1799" s="178"/>
      <c r="S1799" s="178"/>
    </row>
    <row r="1800" spans="18:19">
      <c r="R1800" s="178"/>
      <c r="S1800" s="178"/>
    </row>
    <row r="1801" spans="18:19">
      <c r="R1801" s="178"/>
      <c r="S1801" s="178"/>
    </row>
    <row r="1802" spans="18:19">
      <c r="R1802" s="178"/>
      <c r="S1802" s="178"/>
    </row>
    <row r="1803" spans="18:19">
      <c r="R1803" s="178"/>
      <c r="S1803" s="178"/>
    </row>
    <row r="1804" spans="18:19">
      <c r="R1804" s="178"/>
      <c r="S1804" s="178"/>
    </row>
    <row r="1805" spans="18:19">
      <c r="R1805" s="178"/>
      <c r="S1805" s="178"/>
    </row>
    <row r="1806" spans="18:19">
      <c r="R1806" s="178"/>
      <c r="S1806" s="178"/>
    </row>
    <row r="1807" spans="18:19">
      <c r="R1807" s="178"/>
      <c r="S1807" s="178"/>
    </row>
    <row r="1808" spans="18:19">
      <c r="R1808" s="178"/>
      <c r="S1808" s="178"/>
    </row>
    <row r="1809" spans="18:19">
      <c r="R1809" s="178"/>
      <c r="S1809" s="178"/>
    </row>
    <row r="1810" spans="18:19">
      <c r="R1810" s="178"/>
      <c r="S1810" s="178"/>
    </row>
    <row r="1811" spans="18:19">
      <c r="R1811" s="178"/>
      <c r="S1811" s="178"/>
    </row>
    <row r="1812" spans="18:19">
      <c r="R1812" s="178"/>
      <c r="S1812" s="178"/>
    </row>
    <row r="1813" spans="18:19">
      <c r="R1813" s="178"/>
      <c r="S1813" s="178"/>
    </row>
    <row r="1814" spans="18:19">
      <c r="R1814" s="178"/>
      <c r="S1814" s="178"/>
    </row>
    <row r="1815" spans="18:19">
      <c r="R1815" s="178"/>
      <c r="S1815" s="178"/>
    </row>
    <row r="1816" spans="18:19">
      <c r="R1816" s="178"/>
      <c r="S1816" s="178"/>
    </row>
    <row r="1817" spans="18:19">
      <c r="R1817" s="178"/>
      <c r="S1817" s="178"/>
    </row>
    <row r="1818" spans="18:19">
      <c r="R1818" s="178"/>
      <c r="S1818" s="178"/>
    </row>
    <row r="1819" spans="18:19">
      <c r="R1819" s="178"/>
      <c r="S1819" s="178"/>
    </row>
    <row r="1820" spans="18:19">
      <c r="R1820" s="178"/>
      <c r="S1820" s="178"/>
    </row>
    <row r="1821" spans="18:19">
      <c r="R1821" s="178"/>
      <c r="S1821" s="178"/>
    </row>
    <row r="1822" spans="18:19">
      <c r="R1822" s="178"/>
      <c r="S1822" s="178"/>
    </row>
    <row r="1823" spans="18:19">
      <c r="R1823" s="178"/>
      <c r="S1823" s="178"/>
    </row>
    <row r="1824" spans="18:19">
      <c r="R1824" s="178"/>
      <c r="S1824" s="178"/>
    </row>
    <row r="1825" spans="18:19">
      <c r="R1825" s="178"/>
      <c r="S1825" s="178"/>
    </row>
    <row r="1826" spans="18:19">
      <c r="R1826" s="178"/>
      <c r="S1826" s="178"/>
    </row>
    <row r="1827" spans="18:19">
      <c r="R1827" s="178"/>
      <c r="S1827" s="178"/>
    </row>
    <row r="1828" spans="18:19">
      <c r="R1828" s="178"/>
      <c r="S1828" s="178"/>
    </row>
    <row r="1829" spans="18:19">
      <c r="R1829" s="178"/>
      <c r="S1829" s="178"/>
    </row>
    <row r="1830" spans="18:19">
      <c r="R1830" s="178"/>
      <c r="S1830" s="178"/>
    </row>
    <row r="1831" spans="18:19">
      <c r="R1831" s="178"/>
      <c r="S1831" s="178"/>
    </row>
    <row r="1832" spans="18:19">
      <c r="R1832" s="178"/>
      <c r="S1832" s="178"/>
    </row>
    <row r="1833" spans="18:19">
      <c r="R1833" s="178"/>
      <c r="S1833" s="178"/>
    </row>
    <row r="1834" spans="18:19">
      <c r="R1834" s="178"/>
      <c r="S1834" s="178"/>
    </row>
    <row r="1835" spans="18:19">
      <c r="R1835" s="178"/>
      <c r="S1835" s="178"/>
    </row>
    <row r="1836" spans="18:19">
      <c r="R1836" s="178"/>
      <c r="S1836" s="178"/>
    </row>
    <row r="1837" spans="18:19">
      <c r="R1837" s="178"/>
      <c r="S1837" s="178"/>
    </row>
    <row r="1838" spans="18:19">
      <c r="R1838" s="178"/>
      <c r="S1838" s="178"/>
    </row>
    <row r="1839" spans="18:19">
      <c r="R1839" s="178"/>
      <c r="S1839" s="178"/>
    </row>
    <row r="1840" spans="18:19">
      <c r="R1840" s="178"/>
      <c r="S1840" s="178"/>
    </row>
    <row r="1841" spans="18:19">
      <c r="R1841" s="178"/>
      <c r="S1841" s="178"/>
    </row>
    <row r="1842" spans="18:19">
      <c r="R1842" s="178"/>
      <c r="S1842" s="178"/>
    </row>
    <row r="1843" spans="18:19">
      <c r="R1843" s="178"/>
      <c r="S1843" s="178"/>
    </row>
    <row r="1844" spans="18:19">
      <c r="R1844" s="178"/>
      <c r="S1844" s="178"/>
    </row>
    <row r="1845" spans="18:19">
      <c r="R1845" s="178"/>
      <c r="S1845" s="178"/>
    </row>
    <row r="1846" spans="18:19">
      <c r="R1846" s="178"/>
      <c r="S1846" s="178"/>
    </row>
    <row r="1847" spans="18:19">
      <c r="R1847" s="178"/>
      <c r="S1847" s="178"/>
    </row>
    <row r="1848" spans="18:19">
      <c r="R1848" s="178"/>
      <c r="S1848" s="178"/>
    </row>
    <row r="1849" spans="18:19">
      <c r="R1849" s="178"/>
      <c r="S1849" s="178"/>
    </row>
    <row r="1850" spans="18:19">
      <c r="R1850" s="178"/>
      <c r="S1850" s="178"/>
    </row>
    <row r="1851" spans="18:19">
      <c r="R1851" s="178"/>
      <c r="S1851" s="178"/>
    </row>
    <row r="1852" spans="18:19">
      <c r="R1852" s="178"/>
      <c r="S1852" s="178"/>
    </row>
    <row r="1853" spans="18:19">
      <c r="R1853" s="178"/>
      <c r="S1853" s="178"/>
    </row>
    <row r="1854" spans="18:19">
      <c r="R1854" s="178"/>
      <c r="S1854" s="178"/>
    </row>
    <row r="1855" spans="18:19">
      <c r="R1855" s="178"/>
      <c r="S1855" s="178"/>
    </row>
    <row r="1856" spans="18:19">
      <c r="R1856" s="178"/>
      <c r="S1856" s="178"/>
    </row>
    <row r="1857" spans="18:19">
      <c r="R1857" s="178"/>
      <c r="S1857" s="178"/>
    </row>
    <row r="1858" spans="18:19">
      <c r="R1858" s="178"/>
      <c r="S1858" s="178"/>
    </row>
    <row r="1859" spans="18:19">
      <c r="R1859" s="178"/>
      <c r="S1859" s="178"/>
    </row>
    <row r="1860" spans="18:19">
      <c r="R1860" s="178"/>
      <c r="S1860" s="178"/>
    </row>
    <row r="1861" spans="18:19">
      <c r="R1861" s="178"/>
      <c r="S1861" s="178"/>
    </row>
    <row r="1862" spans="18:19">
      <c r="R1862" s="178"/>
      <c r="S1862" s="178"/>
    </row>
    <row r="1863" spans="18:19">
      <c r="R1863" s="178"/>
      <c r="S1863" s="178"/>
    </row>
    <row r="1864" spans="18:19">
      <c r="R1864" s="178"/>
      <c r="S1864" s="178"/>
    </row>
    <row r="1865" spans="18:19">
      <c r="R1865" s="178"/>
      <c r="S1865" s="178"/>
    </row>
    <row r="1866" spans="18:19">
      <c r="R1866" s="178"/>
      <c r="S1866" s="178"/>
    </row>
    <row r="1867" spans="18:19">
      <c r="R1867" s="178"/>
      <c r="S1867" s="178"/>
    </row>
    <row r="1868" spans="18:19">
      <c r="R1868" s="178"/>
      <c r="S1868" s="178"/>
    </row>
    <row r="1869" spans="18:19">
      <c r="R1869" s="178"/>
      <c r="S1869" s="178"/>
    </row>
    <row r="1870" spans="18:19">
      <c r="R1870" s="178"/>
      <c r="S1870" s="178"/>
    </row>
    <row r="1871" spans="18:19">
      <c r="R1871" s="178"/>
      <c r="S1871" s="178"/>
    </row>
    <row r="1872" spans="18:19">
      <c r="R1872" s="178"/>
      <c r="S1872" s="178"/>
    </row>
    <row r="1873" spans="18:19">
      <c r="R1873" s="178"/>
      <c r="S1873" s="178"/>
    </row>
    <row r="1874" spans="18:19">
      <c r="R1874" s="178"/>
      <c r="S1874" s="178"/>
    </row>
    <row r="1875" spans="18:19">
      <c r="R1875" s="178"/>
      <c r="S1875" s="178"/>
    </row>
    <row r="1876" spans="18:19">
      <c r="R1876" s="178"/>
      <c r="S1876" s="178"/>
    </row>
    <row r="1877" spans="18:19">
      <c r="R1877" s="178"/>
      <c r="S1877" s="178"/>
    </row>
    <row r="1878" spans="18:19">
      <c r="R1878" s="178"/>
      <c r="S1878" s="178"/>
    </row>
    <row r="1879" spans="18:19">
      <c r="R1879" s="178"/>
      <c r="S1879" s="178"/>
    </row>
    <row r="1880" spans="18:19">
      <c r="R1880" s="178"/>
      <c r="S1880" s="178"/>
    </row>
    <row r="1881" spans="18:19">
      <c r="R1881" s="178"/>
      <c r="S1881" s="178"/>
    </row>
    <row r="1882" spans="18:19">
      <c r="R1882" s="178"/>
      <c r="S1882" s="178"/>
    </row>
    <row r="1883" spans="18:19">
      <c r="R1883" s="178"/>
      <c r="S1883" s="178"/>
    </row>
    <row r="1884" spans="18:19">
      <c r="R1884" s="178"/>
      <c r="S1884" s="178"/>
    </row>
    <row r="1885" spans="18:19">
      <c r="R1885" s="178"/>
      <c r="S1885" s="178"/>
    </row>
    <row r="1886" spans="18:19">
      <c r="R1886" s="178"/>
      <c r="S1886" s="178"/>
    </row>
    <row r="1887" spans="18:19">
      <c r="R1887" s="178"/>
      <c r="S1887" s="178"/>
    </row>
    <row r="1888" spans="18:19">
      <c r="R1888" s="178"/>
      <c r="S1888" s="178"/>
    </row>
    <row r="1889" spans="18:19">
      <c r="R1889" s="178"/>
      <c r="S1889" s="178"/>
    </row>
    <row r="1890" spans="18:19">
      <c r="R1890" s="178"/>
      <c r="S1890" s="178"/>
    </row>
    <row r="1891" spans="18:19">
      <c r="R1891" s="178"/>
      <c r="S1891" s="178"/>
    </row>
    <row r="1892" spans="18:19">
      <c r="R1892" s="178"/>
      <c r="S1892" s="178"/>
    </row>
    <row r="1893" spans="18:19">
      <c r="R1893" s="178"/>
      <c r="S1893" s="178"/>
    </row>
    <row r="1894" spans="18:19">
      <c r="R1894" s="178"/>
      <c r="S1894" s="178"/>
    </row>
    <row r="1895" spans="18:19">
      <c r="R1895" s="178"/>
      <c r="S1895" s="178"/>
    </row>
    <row r="1896" spans="18:19">
      <c r="R1896" s="178"/>
      <c r="S1896" s="178"/>
    </row>
    <row r="1897" spans="18:19">
      <c r="R1897" s="178"/>
      <c r="S1897" s="178"/>
    </row>
    <row r="1898" spans="18:19">
      <c r="R1898" s="178"/>
      <c r="S1898" s="178"/>
    </row>
    <row r="1899" spans="18:19">
      <c r="R1899" s="178"/>
      <c r="S1899" s="178"/>
    </row>
    <row r="1900" spans="18:19">
      <c r="R1900" s="178"/>
      <c r="S1900" s="178"/>
    </row>
    <row r="1901" spans="18:19">
      <c r="R1901" s="178"/>
      <c r="S1901" s="178"/>
    </row>
    <row r="1902" spans="18:19">
      <c r="R1902" s="178"/>
      <c r="S1902" s="178"/>
    </row>
    <row r="1903" spans="18:19">
      <c r="R1903" s="178"/>
      <c r="S1903" s="178"/>
    </row>
    <row r="1904" spans="18:19">
      <c r="R1904" s="178"/>
      <c r="S1904" s="178"/>
    </row>
    <row r="1905" spans="18:19">
      <c r="R1905" s="178"/>
      <c r="S1905" s="178"/>
    </row>
    <row r="1906" spans="18:19">
      <c r="R1906" s="178"/>
      <c r="S1906" s="178"/>
    </row>
    <row r="1907" spans="18:19">
      <c r="R1907" s="178"/>
      <c r="S1907" s="178"/>
    </row>
    <row r="1908" spans="18:19">
      <c r="R1908" s="178"/>
      <c r="S1908" s="178"/>
    </row>
    <row r="1909" spans="18:19">
      <c r="R1909" s="178"/>
      <c r="S1909" s="178"/>
    </row>
    <row r="1910" spans="18:19">
      <c r="R1910" s="178"/>
      <c r="S1910" s="178"/>
    </row>
    <row r="1911" spans="18:19">
      <c r="R1911" s="178"/>
      <c r="S1911" s="178"/>
    </row>
    <row r="1912" spans="18:19">
      <c r="R1912" s="178"/>
      <c r="S1912" s="178"/>
    </row>
    <row r="1913" spans="18:19">
      <c r="R1913" s="178"/>
      <c r="S1913" s="178"/>
    </row>
    <row r="1914" spans="18:19">
      <c r="R1914" s="178"/>
      <c r="S1914" s="178"/>
    </row>
    <row r="1915" spans="18:19">
      <c r="R1915" s="178"/>
      <c r="S1915" s="178"/>
    </row>
    <row r="1916" spans="18:19">
      <c r="R1916" s="178"/>
      <c r="S1916" s="178"/>
    </row>
    <row r="1917" spans="18:19">
      <c r="R1917" s="178"/>
      <c r="S1917" s="178"/>
    </row>
    <row r="1918" spans="18:19">
      <c r="R1918" s="178"/>
      <c r="S1918" s="178"/>
    </row>
    <row r="1919" spans="18:19">
      <c r="R1919" s="178"/>
      <c r="S1919" s="178"/>
    </row>
    <row r="1920" spans="18:19">
      <c r="R1920" s="178"/>
      <c r="S1920" s="178"/>
    </row>
    <row r="1921" spans="18:19">
      <c r="R1921" s="178"/>
      <c r="S1921" s="178"/>
    </row>
    <row r="1922" spans="18:19">
      <c r="R1922" s="178"/>
      <c r="S1922" s="178"/>
    </row>
    <row r="1923" spans="18:19">
      <c r="R1923" s="178"/>
      <c r="S1923" s="178"/>
    </row>
    <row r="1924" spans="18:19">
      <c r="R1924" s="178"/>
      <c r="S1924" s="178"/>
    </row>
    <row r="1925" spans="18:19">
      <c r="R1925" s="178"/>
      <c r="S1925" s="178"/>
    </row>
    <row r="1926" spans="18:19">
      <c r="R1926" s="178"/>
      <c r="S1926" s="178"/>
    </row>
    <row r="1927" spans="18:19">
      <c r="R1927" s="178"/>
      <c r="S1927" s="178"/>
    </row>
    <row r="1928" spans="18:19">
      <c r="R1928" s="178"/>
      <c r="S1928" s="178"/>
    </row>
    <row r="1929" spans="18:19">
      <c r="R1929" s="178"/>
      <c r="S1929" s="178"/>
    </row>
    <row r="1930" spans="18:19">
      <c r="R1930" s="178"/>
      <c r="S1930" s="178"/>
    </row>
    <row r="1931" spans="18:19">
      <c r="R1931" s="178"/>
      <c r="S1931" s="178"/>
    </row>
    <row r="1932" spans="18:19">
      <c r="R1932" s="178"/>
      <c r="S1932" s="178"/>
    </row>
    <row r="1933" spans="18:19">
      <c r="R1933" s="178"/>
      <c r="S1933" s="178"/>
    </row>
    <row r="1934" spans="18:19">
      <c r="R1934" s="178"/>
      <c r="S1934" s="178"/>
    </row>
    <row r="1935" spans="18:19">
      <c r="R1935" s="178"/>
      <c r="S1935" s="178"/>
    </row>
    <row r="1936" spans="18:19">
      <c r="R1936" s="178"/>
      <c r="S1936" s="178"/>
    </row>
    <row r="1937" spans="18:19">
      <c r="R1937" s="178"/>
      <c r="S1937" s="178"/>
    </row>
    <row r="1938" spans="18:19">
      <c r="R1938" s="178"/>
      <c r="S1938" s="178"/>
    </row>
    <row r="1939" spans="18:19">
      <c r="R1939" s="178"/>
      <c r="S1939" s="178"/>
    </row>
    <row r="1940" spans="18:19">
      <c r="R1940" s="178"/>
      <c r="S1940" s="178"/>
    </row>
    <row r="1941" spans="18:19">
      <c r="R1941" s="178"/>
      <c r="S1941" s="178"/>
    </row>
    <row r="1942" spans="18:19">
      <c r="R1942" s="178"/>
      <c r="S1942" s="178"/>
    </row>
    <row r="1943" spans="18:19">
      <c r="R1943" s="178"/>
      <c r="S1943" s="178"/>
    </row>
    <row r="1944" spans="18:19">
      <c r="R1944" s="178"/>
      <c r="S1944" s="178"/>
    </row>
    <row r="1945" spans="18:19">
      <c r="R1945" s="178"/>
      <c r="S1945" s="178"/>
    </row>
    <row r="1946" spans="18:19">
      <c r="R1946" s="178"/>
      <c r="S1946" s="178"/>
    </row>
    <row r="1947" spans="18:19">
      <c r="R1947" s="178"/>
      <c r="S1947" s="178"/>
    </row>
    <row r="1948" spans="18:19">
      <c r="R1948" s="178"/>
      <c r="S1948" s="178"/>
    </row>
    <row r="1949" spans="18:19">
      <c r="R1949" s="178"/>
      <c r="S1949" s="178"/>
    </row>
    <row r="1950" spans="18:19">
      <c r="R1950" s="178"/>
      <c r="S1950" s="178"/>
    </row>
    <row r="1951" spans="18:19">
      <c r="R1951" s="178"/>
      <c r="S1951" s="178"/>
    </row>
    <row r="1952" spans="18:19">
      <c r="R1952" s="178"/>
      <c r="S1952" s="178"/>
    </row>
    <row r="1953" spans="18:19">
      <c r="R1953" s="178"/>
      <c r="S1953" s="178"/>
    </row>
    <row r="1954" spans="18:19">
      <c r="R1954" s="178"/>
      <c r="S1954" s="178"/>
    </row>
    <row r="1955" spans="18:19">
      <c r="R1955" s="178"/>
      <c r="S1955" s="178"/>
    </row>
    <row r="1956" spans="18:19">
      <c r="R1956" s="178"/>
      <c r="S1956" s="178"/>
    </row>
    <row r="1957" spans="18:19">
      <c r="R1957" s="178"/>
      <c r="S1957" s="178"/>
    </row>
    <row r="1958" spans="18:19">
      <c r="R1958" s="178"/>
      <c r="S1958" s="178"/>
    </row>
    <row r="1959" spans="18:19">
      <c r="R1959" s="178"/>
      <c r="S1959" s="178"/>
    </row>
    <row r="1960" spans="18:19">
      <c r="R1960" s="178"/>
      <c r="S1960" s="178"/>
    </row>
    <row r="1961" spans="18:19">
      <c r="R1961" s="178"/>
      <c r="S1961" s="178"/>
    </row>
    <row r="1962" spans="18:19">
      <c r="R1962" s="178"/>
      <c r="S1962" s="178"/>
    </row>
    <row r="1963" spans="18:19">
      <c r="R1963" s="178"/>
      <c r="S1963" s="178"/>
    </row>
    <row r="1964" spans="18:19">
      <c r="R1964" s="178"/>
      <c r="S1964" s="178"/>
    </row>
    <row r="1965" spans="18:19">
      <c r="R1965" s="178"/>
      <c r="S1965" s="178"/>
    </row>
    <row r="1966" spans="18:19">
      <c r="R1966" s="178"/>
      <c r="S1966" s="178"/>
    </row>
    <row r="1967" spans="18:19">
      <c r="R1967" s="178"/>
      <c r="S1967" s="178"/>
    </row>
    <row r="1968" spans="18:19">
      <c r="R1968" s="178"/>
      <c r="S1968" s="178"/>
    </row>
    <row r="1969" spans="18:19">
      <c r="R1969" s="178"/>
      <c r="S1969" s="178"/>
    </row>
    <row r="1970" spans="18:19">
      <c r="R1970" s="178"/>
      <c r="S1970" s="178"/>
    </row>
    <row r="1971" spans="18:19">
      <c r="R1971" s="178"/>
      <c r="S1971" s="178"/>
    </row>
    <row r="1972" spans="18:19">
      <c r="R1972" s="178"/>
      <c r="S1972" s="178"/>
    </row>
    <row r="1973" spans="18:19">
      <c r="R1973" s="178"/>
      <c r="S1973" s="178"/>
    </row>
    <row r="1974" spans="18:19">
      <c r="R1974" s="178"/>
      <c r="S1974" s="178"/>
    </row>
    <row r="1975" spans="18:19">
      <c r="R1975" s="178"/>
      <c r="S1975" s="178"/>
    </row>
    <row r="1976" spans="18:19">
      <c r="R1976" s="178"/>
      <c r="S1976" s="178"/>
    </row>
    <row r="1977" spans="18:19">
      <c r="R1977" s="178"/>
      <c r="S1977" s="178"/>
    </row>
    <row r="1978" spans="18:19">
      <c r="R1978" s="178"/>
      <c r="S1978" s="178"/>
    </row>
    <row r="1979" spans="18:19">
      <c r="R1979" s="178"/>
      <c r="S1979" s="178"/>
    </row>
    <row r="1980" spans="18:19">
      <c r="R1980" s="178"/>
      <c r="S1980" s="178"/>
    </row>
    <row r="1981" spans="18:19">
      <c r="R1981" s="178"/>
      <c r="S1981" s="178"/>
    </row>
    <row r="1982" spans="18:19">
      <c r="R1982" s="178"/>
      <c r="S1982" s="178"/>
    </row>
    <row r="1983" spans="18:19">
      <c r="R1983" s="178"/>
      <c r="S1983" s="178"/>
    </row>
    <row r="1984" spans="18:19">
      <c r="R1984" s="178"/>
      <c r="S1984" s="178"/>
    </row>
    <row r="1985" spans="18:19">
      <c r="R1985" s="178"/>
      <c r="S1985" s="178"/>
    </row>
    <row r="1986" spans="18:19">
      <c r="R1986" s="178"/>
      <c r="S1986" s="178"/>
    </row>
    <row r="1987" spans="18:19">
      <c r="R1987" s="178"/>
      <c r="S1987" s="178"/>
    </row>
    <row r="1988" spans="18:19">
      <c r="R1988" s="178"/>
      <c r="S1988" s="178"/>
    </row>
    <row r="1989" spans="18:19">
      <c r="R1989" s="178"/>
      <c r="S1989" s="178"/>
    </row>
    <row r="1990" spans="18:19">
      <c r="R1990" s="178"/>
      <c r="S1990" s="178"/>
    </row>
    <row r="1991" spans="18:19">
      <c r="R1991" s="178"/>
      <c r="S1991" s="178"/>
    </row>
    <row r="1992" spans="18:19">
      <c r="R1992" s="178"/>
      <c r="S1992" s="178"/>
    </row>
    <row r="1993" spans="18:19">
      <c r="R1993" s="178"/>
      <c r="S1993" s="178"/>
    </row>
    <row r="1994" spans="18:19">
      <c r="R1994" s="178"/>
      <c r="S1994" s="178"/>
    </row>
    <row r="1995" spans="18:19">
      <c r="R1995" s="178"/>
      <c r="S1995" s="178"/>
    </row>
    <row r="1996" spans="18:19">
      <c r="R1996" s="178"/>
      <c r="S1996" s="178"/>
    </row>
    <row r="1997" spans="18:19">
      <c r="R1997" s="178"/>
      <c r="S1997" s="178"/>
    </row>
    <row r="1998" spans="18:19">
      <c r="R1998" s="178"/>
      <c r="S1998" s="178"/>
    </row>
    <row r="1999" spans="18:19">
      <c r="R1999" s="178"/>
      <c r="S1999" s="178"/>
    </row>
    <row r="2000" spans="18:19">
      <c r="R2000" s="178"/>
      <c r="S2000" s="178"/>
    </row>
    <row r="2001" spans="18:19">
      <c r="R2001" s="178"/>
      <c r="S2001" s="178"/>
    </row>
    <row r="2002" spans="18:19">
      <c r="R2002" s="178"/>
      <c r="S2002" s="178"/>
    </row>
    <row r="2003" spans="18:19">
      <c r="R2003" s="178"/>
      <c r="S2003" s="178"/>
    </row>
    <row r="2004" spans="18:19">
      <c r="R2004" s="178"/>
      <c r="S2004" s="178"/>
    </row>
    <row r="2005" spans="18:19">
      <c r="R2005" s="178"/>
      <c r="S2005" s="178"/>
    </row>
    <row r="2006" spans="18:19">
      <c r="R2006" s="178"/>
      <c r="S2006" s="178"/>
    </row>
    <row r="2007" spans="18:19">
      <c r="R2007" s="178"/>
      <c r="S2007" s="178"/>
    </row>
    <row r="2008" spans="18:19">
      <c r="R2008" s="178"/>
      <c r="S2008" s="178"/>
    </row>
    <row r="2009" spans="18:19">
      <c r="R2009" s="178"/>
      <c r="S2009" s="178"/>
    </row>
    <row r="2010" spans="18:19">
      <c r="R2010" s="178"/>
      <c r="S2010" s="178"/>
    </row>
    <row r="2011" spans="18:19">
      <c r="R2011" s="178"/>
      <c r="S2011" s="178"/>
    </row>
    <row r="2012" spans="18:19">
      <c r="R2012" s="178"/>
      <c r="S2012" s="178"/>
    </row>
    <row r="2013" spans="18:19">
      <c r="R2013" s="178"/>
      <c r="S2013" s="178"/>
    </row>
    <row r="2014" spans="18:19">
      <c r="R2014" s="178"/>
      <c r="S2014" s="178"/>
    </row>
    <row r="2015" spans="18:19">
      <c r="R2015" s="178"/>
      <c r="S2015" s="178"/>
    </row>
    <row r="2016" spans="18:19">
      <c r="R2016" s="178"/>
      <c r="S2016" s="178"/>
    </row>
    <row r="2017" spans="18:19">
      <c r="R2017" s="178"/>
      <c r="S2017" s="178"/>
    </row>
    <row r="2018" spans="18:19">
      <c r="R2018" s="178"/>
      <c r="S2018" s="178"/>
    </row>
    <row r="2019" spans="18:19">
      <c r="R2019" s="178"/>
      <c r="S2019" s="178"/>
    </row>
    <row r="2020" spans="18:19">
      <c r="R2020" s="178"/>
      <c r="S2020" s="178"/>
    </row>
    <row r="2021" spans="18:19">
      <c r="R2021" s="178"/>
      <c r="S2021" s="178"/>
    </row>
    <row r="2022" spans="18:19">
      <c r="R2022" s="178"/>
      <c r="S2022" s="178"/>
    </row>
    <row r="2023" spans="18:19">
      <c r="R2023" s="178"/>
      <c r="S2023" s="178"/>
    </row>
    <row r="2024" spans="18:19">
      <c r="R2024" s="178"/>
      <c r="S2024" s="178"/>
    </row>
    <row r="2025" spans="18:19">
      <c r="R2025" s="178"/>
      <c r="S2025" s="178"/>
    </row>
    <row r="2026" spans="18:19">
      <c r="R2026" s="178"/>
      <c r="S2026" s="178"/>
    </row>
    <row r="2027" spans="18:19">
      <c r="R2027" s="178"/>
      <c r="S2027" s="178"/>
    </row>
    <row r="2028" spans="18:19">
      <c r="R2028" s="178"/>
      <c r="S2028" s="178"/>
    </row>
    <row r="2029" spans="18:19">
      <c r="R2029" s="178"/>
      <c r="S2029" s="178"/>
    </row>
    <row r="2030" spans="18:19">
      <c r="R2030" s="178"/>
      <c r="S2030" s="178"/>
    </row>
    <row r="2031" spans="18:19">
      <c r="R2031" s="178"/>
      <c r="S2031" s="178"/>
    </row>
    <row r="2032" spans="18:19">
      <c r="R2032" s="178"/>
      <c r="S2032" s="178"/>
    </row>
    <row r="2033" spans="18:19">
      <c r="R2033" s="178"/>
      <c r="S2033" s="178"/>
    </row>
    <row r="2034" spans="18:19">
      <c r="R2034" s="178"/>
      <c r="S2034" s="178"/>
    </row>
    <row r="2035" spans="18:19">
      <c r="R2035" s="178"/>
      <c r="S2035" s="178"/>
    </row>
    <row r="2036" spans="18:19">
      <c r="R2036" s="178"/>
      <c r="S2036" s="178"/>
    </row>
    <row r="2037" spans="18:19">
      <c r="R2037" s="178"/>
      <c r="S2037" s="178"/>
    </row>
    <row r="2038" spans="18:19">
      <c r="R2038" s="178"/>
      <c r="S2038" s="178"/>
    </row>
    <row r="2039" spans="18:19">
      <c r="R2039" s="178"/>
      <c r="S2039" s="178"/>
    </row>
    <row r="2040" spans="18:19">
      <c r="R2040" s="178"/>
      <c r="S2040" s="178"/>
    </row>
    <row r="2041" spans="18:19">
      <c r="R2041" s="178"/>
      <c r="S2041" s="178"/>
    </row>
    <row r="2042" spans="18:19">
      <c r="R2042" s="178"/>
      <c r="S2042" s="178"/>
    </row>
    <row r="2043" spans="18:19">
      <c r="R2043" s="178"/>
      <c r="S2043" s="178"/>
    </row>
    <row r="2044" spans="18:19">
      <c r="R2044" s="178"/>
      <c r="S2044" s="178"/>
    </row>
    <row r="2045" spans="18:19">
      <c r="R2045" s="178"/>
      <c r="S2045" s="178"/>
    </row>
    <row r="2046" spans="18:19">
      <c r="R2046" s="178"/>
      <c r="S2046" s="178"/>
    </row>
    <row r="2047" spans="18:19">
      <c r="R2047" s="178"/>
      <c r="S2047" s="178"/>
    </row>
    <row r="2048" spans="18:19">
      <c r="R2048" s="178"/>
      <c r="S2048" s="178"/>
    </row>
    <row r="2049" spans="18:19">
      <c r="R2049" s="178"/>
      <c r="S2049" s="178"/>
    </row>
    <row r="2050" spans="18:19">
      <c r="R2050" s="178"/>
      <c r="S2050" s="178"/>
    </row>
    <row r="2051" spans="18:19">
      <c r="R2051" s="178"/>
      <c r="S2051" s="178"/>
    </row>
    <row r="2052" spans="18:19">
      <c r="R2052" s="178"/>
      <c r="S2052" s="178"/>
    </row>
    <row r="2053" spans="18:19">
      <c r="R2053" s="178"/>
      <c r="S2053" s="178"/>
    </row>
    <row r="2054" spans="18:19">
      <c r="R2054" s="178"/>
      <c r="S2054" s="178"/>
    </row>
    <row r="2055" spans="18:19">
      <c r="R2055" s="178"/>
      <c r="S2055" s="178"/>
    </row>
    <row r="2056" spans="18:19">
      <c r="R2056" s="178"/>
      <c r="S2056" s="178"/>
    </row>
    <row r="2057" spans="18:19">
      <c r="R2057" s="178"/>
      <c r="S2057" s="178"/>
    </row>
    <row r="2058" spans="18:19">
      <c r="R2058" s="178"/>
      <c r="S2058" s="178"/>
    </row>
    <row r="2059" spans="18:19">
      <c r="R2059" s="178"/>
      <c r="S2059" s="178"/>
    </row>
    <row r="2060" spans="18:19">
      <c r="R2060" s="178"/>
      <c r="S2060" s="178"/>
    </row>
    <row r="2061" spans="18:19">
      <c r="R2061" s="178"/>
      <c r="S2061" s="178"/>
    </row>
    <row r="2062" spans="18:19">
      <c r="R2062" s="178"/>
      <c r="S2062" s="178"/>
    </row>
    <row r="2063" spans="18:19">
      <c r="R2063" s="178"/>
      <c r="S2063" s="178"/>
    </row>
    <row r="2064" spans="18:19">
      <c r="R2064" s="178"/>
      <c r="S2064" s="178"/>
    </row>
    <row r="2065" spans="18:19">
      <c r="R2065" s="178"/>
      <c r="S2065" s="178"/>
    </row>
    <row r="2066" spans="18:19">
      <c r="R2066" s="178"/>
      <c r="S2066" s="178"/>
    </row>
    <row r="2067" spans="18:19">
      <c r="R2067" s="178"/>
      <c r="S2067" s="178"/>
    </row>
    <row r="2068" spans="18:19">
      <c r="R2068" s="178"/>
      <c r="S2068" s="178"/>
    </row>
    <row r="2069" spans="18:19">
      <c r="R2069" s="178"/>
      <c r="S2069" s="178"/>
    </row>
    <row r="2070" spans="18:19">
      <c r="R2070" s="178"/>
      <c r="S2070" s="178"/>
    </row>
    <row r="2071" spans="18:19">
      <c r="R2071" s="178"/>
      <c r="S2071" s="178"/>
    </row>
    <row r="2072" spans="18:19">
      <c r="R2072" s="178"/>
      <c r="S2072" s="178"/>
    </row>
    <row r="2073" spans="18:19">
      <c r="R2073" s="178"/>
      <c r="S2073" s="178"/>
    </row>
    <row r="2074" spans="18:19">
      <c r="R2074" s="178"/>
      <c r="S2074" s="178"/>
    </row>
    <row r="2075" spans="18:19">
      <c r="R2075" s="178"/>
      <c r="S2075" s="178"/>
    </row>
    <row r="2076" spans="18:19">
      <c r="R2076" s="178"/>
      <c r="S2076" s="178"/>
    </row>
    <row r="2077" spans="18:19">
      <c r="R2077" s="178"/>
      <c r="S2077" s="178"/>
    </row>
    <row r="2078" spans="18:19">
      <c r="R2078" s="178"/>
      <c r="S2078" s="178"/>
    </row>
    <row r="2079" spans="18:19">
      <c r="R2079" s="178"/>
      <c r="S2079" s="178"/>
    </row>
    <row r="2080" spans="18:19">
      <c r="R2080" s="178"/>
      <c r="S2080" s="178"/>
    </row>
    <row r="2081" spans="18:19">
      <c r="R2081" s="178"/>
      <c r="S2081" s="178"/>
    </row>
    <row r="2082" spans="18:19">
      <c r="R2082" s="178"/>
      <c r="S2082" s="178"/>
    </row>
    <row r="2083" spans="18:19">
      <c r="R2083" s="178"/>
      <c r="S2083" s="178"/>
    </row>
    <row r="2084" spans="18:19">
      <c r="R2084" s="178"/>
      <c r="S2084" s="178"/>
    </row>
    <row r="2085" spans="18:19">
      <c r="R2085" s="178"/>
      <c r="S2085" s="178"/>
    </row>
    <row r="2086" spans="18:19">
      <c r="R2086" s="178"/>
      <c r="S2086" s="178"/>
    </row>
    <row r="2087" spans="18:19">
      <c r="R2087" s="178"/>
      <c r="S2087" s="178"/>
    </row>
    <row r="2088" spans="18:19">
      <c r="R2088" s="178"/>
      <c r="S2088" s="178"/>
    </row>
    <row r="2089" spans="18:19">
      <c r="R2089" s="178"/>
      <c r="S2089" s="178"/>
    </row>
    <row r="2090" spans="18:19">
      <c r="R2090" s="178"/>
      <c r="S2090" s="178"/>
    </row>
    <row r="2091" spans="18:19">
      <c r="R2091" s="178"/>
      <c r="S2091" s="178"/>
    </row>
    <row r="2092" spans="18:19">
      <c r="R2092" s="178"/>
      <c r="S2092" s="178"/>
    </row>
    <row r="2093" spans="18:19">
      <c r="R2093" s="178"/>
      <c r="S2093" s="178"/>
    </row>
    <row r="2094" spans="18:19">
      <c r="R2094" s="178"/>
      <c r="S2094" s="178"/>
    </row>
    <row r="2095" spans="18:19">
      <c r="R2095" s="178"/>
      <c r="S2095" s="178"/>
    </row>
    <row r="2096" spans="18:19">
      <c r="R2096" s="178"/>
      <c r="S2096" s="178"/>
    </row>
    <row r="2097" spans="18:19">
      <c r="R2097" s="178"/>
      <c r="S2097" s="178"/>
    </row>
    <row r="2098" spans="18:19">
      <c r="R2098" s="178"/>
      <c r="S2098" s="178"/>
    </row>
    <row r="2099" spans="18:19">
      <c r="R2099" s="178"/>
      <c r="S2099" s="178"/>
    </row>
    <row r="2100" spans="18:19">
      <c r="R2100" s="178"/>
      <c r="S2100" s="178"/>
    </row>
    <row r="2101" spans="18:19">
      <c r="R2101" s="178"/>
      <c r="S2101" s="178"/>
    </row>
    <row r="2102" spans="18:19">
      <c r="R2102" s="178"/>
      <c r="S2102" s="178"/>
    </row>
    <row r="2103" spans="18:19">
      <c r="R2103" s="178"/>
      <c r="S2103" s="178"/>
    </row>
    <row r="2104" spans="18:19">
      <c r="R2104" s="178"/>
      <c r="S2104" s="178"/>
    </row>
    <row r="2105" spans="18:19">
      <c r="R2105" s="178"/>
      <c r="S2105" s="178"/>
    </row>
    <row r="2106" spans="18:19">
      <c r="R2106" s="178"/>
      <c r="S2106" s="178"/>
    </row>
    <row r="2107" spans="18:19">
      <c r="R2107" s="178"/>
      <c r="S2107" s="178"/>
    </row>
    <row r="2108" spans="18:19">
      <c r="R2108" s="178"/>
      <c r="S2108" s="178"/>
    </row>
    <row r="2109" spans="18:19">
      <c r="R2109" s="178"/>
      <c r="S2109" s="178"/>
    </row>
    <row r="2110" spans="18:19">
      <c r="R2110" s="178"/>
      <c r="S2110" s="178"/>
    </row>
    <row r="2111" spans="18:19">
      <c r="R2111" s="178"/>
      <c r="S2111" s="178"/>
    </row>
    <row r="2112" spans="18:19">
      <c r="R2112" s="178"/>
      <c r="S2112" s="178"/>
    </row>
    <row r="2113" spans="18:19">
      <c r="R2113" s="178"/>
      <c r="S2113" s="178"/>
    </row>
    <row r="2114" spans="18:19">
      <c r="R2114" s="178"/>
      <c r="S2114" s="178"/>
    </row>
    <row r="2115" spans="18:19">
      <c r="R2115" s="178"/>
      <c r="S2115" s="178"/>
    </row>
    <row r="2116" spans="18:19">
      <c r="R2116" s="178"/>
      <c r="S2116" s="178"/>
    </row>
    <row r="2117" spans="18:19">
      <c r="R2117" s="178"/>
      <c r="S2117" s="178"/>
    </row>
    <row r="2118" spans="18:19">
      <c r="R2118" s="178"/>
      <c r="S2118" s="178"/>
    </row>
    <row r="2119" spans="18:19">
      <c r="R2119" s="178"/>
      <c r="S2119" s="178"/>
    </row>
    <row r="2120" spans="18:19">
      <c r="R2120" s="178"/>
      <c r="S2120" s="178"/>
    </row>
    <row r="2121" spans="18:19">
      <c r="R2121" s="178"/>
      <c r="S2121" s="178"/>
    </row>
    <row r="2122" spans="18:19">
      <c r="R2122" s="178"/>
      <c r="S2122" s="178"/>
    </row>
    <row r="2123" spans="18:19">
      <c r="R2123" s="178"/>
      <c r="S2123" s="178"/>
    </row>
    <row r="2124" spans="18:19">
      <c r="R2124" s="178"/>
      <c r="S2124" s="178"/>
    </row>
    <row r="2125" spans="18:19">
      <c r="R2125" s="178"/>
      <c r="S2125" s="178"/>
    </row>
    <row r="2126" spans="18:19">
      <c r="R2126" s="178"/>
      <c r="S2126" s="178"/>
    </row>
    <row r="2127" spans="18:19">
      <c r="R2127" s="178"/>
      <c r="S2127" s="178"/>
    </row>
    <row r="2128" spans="18:19">
      <c r="R2128" s="178"/>
      <c r="S2128" s="178"/>
    </row>
    <row r="2129" spans="18:19">
      <c r="R2129" s="178"/>
      <c r="S2129" s="178"/>
    </row>
    <row r="2130" spans="18:19">
      <c r="R2130" s="178"/>
      <c r="S2130" s="178"/>
    </row>
    <row r="2131" spans="18:19">
      <c r="R2131" s="178"/>
      <c r="S2131" s="178"/>
    </row>
    <row r="2132" spans="18:19">
      <c r="R2132" s="178"/>
      <c r="S2132" s="178"/>
    </row>
    <row r="2133" spans="18:19">
      <c r="R2133" s="178"/>
      <c r="S2133" s="178"/>
    </row>
    <row r="2134" spans="18:19">
      <c r="R2134" s="178"/>
      <c r="S2134" s="178"/>
    </row>
    <row r="2135" spans="18:19">
      <c r="R2135" s="178"/>
      <c r="S2135" s="178"/>
    </row>
    <row r="2136" spans="18:19">
      <c r="R2136" s="178"/>
      <c r="S2136" s="178"/>
    </row>
    <row r="2137" spans="18:19">
      <c r="R2137" s="178"/>
      <c r="S2137" s="178"/>
    </row>
    <row r="2138" spans="18:19">
      <c r="R2138" s="178"/>
      <c r="S2138" s="178"/>
    </row>
    <row r="2139" spans="18:19">
      <c r="R2139" s="178"/>
      <c r="S2139" s="178"/>
    </row>
    <row r="2140" spans="18:19">
      <c r="R2140" s="178"/>
      <c r="S2140" s="178"/>
    </row>
    <row r="2141" spans="18:19">
      <c r="R2141" s="178"/>
      <c r="S2141" s="178"/>
    </row>
    <row r="2142" spans="18:19">
      <c r="R2142" s="178"/>
      <c r="S2142" s="178"/>
    </row>
    <row r="2143" spans="18:19">
      <c r="R2143" s="178"/>
      <c r="S2143" s="178"/>
    </row>
    <row r="2144" spans="18:19">
      <c r="R2144" s="178"/>
      <c r="S2144" s="178"/>
    </row>
    <row r="2145" spans="18:19">
      <c r="R2145" s="178"/>
      <c r="S2145" s="178"/>
    </row>
    <row r="2146" spans="18:19">
      <c r="R2146" s="178"/>
      <c r="S2146" s="178"/>
    </row>
    <row r="2147" spans="18:19">
      <c r="R2147" s="178"/>
      <c r="S2147" s="178"/>
    </row>
    <row r="2148" spans="18:19">
      <c r="R2148" s="178"/>
      <c r="S2148" s="178"/>
    </row>
    <row r="2149" spans="18:19">
      <c r="R2149" s="178"/>
      <c r="S2149" s="178"/>
    </row>
    <row r="2150" spans="18:19">
      <c r="R2150" s="178"/>
      <c r="S2150" s="178"/>
    </row>
    <row r="2151" spans="18:19">
      <c r="R2151" s="178"/>
      <c r="S2151" s="178"/>
    </row>
    <row r="2152" spans="18:19">
      <c r="R2152" s="178"/>
      <c r="S2152" s="178"/>
    </row>
    <row r="2153" spans="18:19">
      <c r="R2153" s="178"/>
      <c r="S2153" s="178"/>
    </row>
    <row r="2154" spans="18:19">
      <c r="R2154" s="178"/>
      <c r="S2154" s="178"/>
    </row>
    <row r="2155" spans="18:19">
      <c r="R2155" s="178"/>
      <c r="S2155" s="178"/>
    </row>
    <row r="2156" spans="18:19">
      <c r="R2156" s="178"/>
      <c r="S2156" s="178"/>
    </row>
    <row r="2157" spans="18:19">
      <c r="R2157" s="178"/>
      <c r="S2157" s="178"/>
    </row>
    <row r="2158" spans="18:19">
      <c r="R2158" s="178"/>
      <c r="S2158" s="178"/>
    </row>
    <row r="2159" spans="18:19">
      <c r="R2159" s="178"/>
      <c r="S2159" s="178"/>
    </row>
    <row r="2160" spans="18:19">
      <c r="R2160" s="178"/>
      <c r="S2160" s="178"/>
    </row>
    <row r="2161" spans="18:19">
      <c r="R2161" s="178"/>
      <c r="S2161" s="178"/>
    </row>
    <row r="2162" spans="18:19">
      <c r="R2162" s="178"/>
      <c r="S2162" s="178"/>
    </row>
    <row r="2163" spans="18:19">
      <c r="R2163" s="178"/>
      <c r="S2163" s="178"/>
    </row>
    <row r="2164" spans="18:19">
      <c r="R2164" s="178"/>
      <c r="S2164" s="178"/>
    </row>
    <row r="2165" spans="18:19">
      <c r="R2165" s="178"/>
      <c r="S2165" s="178"/>
    </row>
    <row r="2166" spans="18:19">
      <c r="R2166" s="178"/>
      <c r="S2166" s="178"/>
    </row>
    <row r="2167" spans="18:19">
      <c r="R2167" s="178"/>
      <c r="S2167" s="178"/>
    </row>
    <row r="2168" spans="18:19">
      <c r="R2168" s="178"/>
      <c r="S2168" s="178"/>
    </row>
    <row r="2169" spans="18:19">
      <c r="R2169" s="178"/>
      <c r="S2169" s="178"/>
    </row>
    <row r="2170" spans="18:19">
      <c r="R2170" s="178"/>
      <c r="S2170" s="178"/>
    </row>
    <row r="2171" spans="18:19">
      <c r="R2171" s="178"/>
      <c r="S2171" s="178"/>
    </row>
    <row r="2172" spans="18:19">
      <c r="R2172" s="178"/>
      <c r="S2172" s="178"/>
    </row>
    <row r="2173" spans="18:19">
      <c r="R2173" s="178"/>
      <c r="S2173" s="178"/>
    </row>
    <row r="2174" spans="18:19">
      <c r="R2174" s="178"/>
      <c r="S2174" s="178"/>
    </row>
    <row r="2175" spans="18:19">
      <c r="R2175" s="178"/>
      <c r="S2175" s="178"/>
    </row>
    <row r="2176" spans="18:19">
      <c r="R2176" s="178"/>
      <c r="S2176" s="178"/>
    </row>
    <row r="2177" spans="18:19">
      <c r="R2177" s="178"/>
      <c r="S2177" s="178"/>
    </row>
    <row r="2178" spans="18:19">
      <c r="R2178" s="178"/>
      <c r="S2178" s="178"/>
    </row>
    <row r="2179" spans="18:19">
      <c r="R2179" s="178"/>
      <c r="S2179" s="178"/>
    </row>
    <row r="2180" spans="18:19">
      <c r="R2180" s="178"/>
      <c r="S2180" s="178"/>
    </row>
    <row r="2181" spans="18:19">
      <c r="R2181" s="178"/>
      <c r="S2181" s="178"/>
    </row>
    <row r="2182" spans="18:19">
      <c r="R2182" s="178"/>
      <c r="S2182" s="178"/>
    </row>
    <row r="2183" spans="18:19">
      <c r="R2183" s="178"/>
      <c r="S2183" s="178"/>
    </row>
    <row r="2184" spans="18:19">
      <c r="R2184" s="178"/>
      <c r="S2184" s="178"/>
    </row>
    <row r="2185" spans="18:19">
      <c r="R2185" s="178"/>
      <c r="S2185" s="178"/>
    </row>
    <row r="2186" spans="18:19">
      <c r="R2186" s="178"/>
      <c r="S2186" s="178"/>
    </row>
    <row r="2187" spans="18:19">
      <c r="R2187" s="178"/>
      <c r="S2187" s="178"/>
    </row>
    <row r="2188" spans="18:19">
      <c r="R2188" s="178"/>
      <c r="S2188" s="178"/>
    </row>
    <row r="2189" spans="18:19">
      <c r="R2189" s="178"/>
      <c r="S2189" s="178"/>
    </row>
    <row r="2190" spans="18:19">
      <c r="R2190" s="178"/>
      <c r="S2190" s="178"/>
    </row>
    <row r="2191" spans="18:19">
      <c r="R2191" s="178"/>
      <c r="S2191" s="178"/>
    </row>
    <row r="2192" spans="18:19">
      <c r="R2192" s="178"/>
      <c r="S2192" s="178"/>
    </row>
    <row r="2193" spans="18:19">
      <c r="R2193" s="178"/>
      <c r="S2193" s="178"/>
    </row>
    <row r="2194" spans="18:19">
      <c r="R2194" s="178"/>
      <c r="S2194" s="178"/>
    </row>
    <row r="2195" spans="18:19">
      <c r="R2195" s="178"/>
      <c r="S2195" s="178"/>
    </row>
    <row r="2196" spans="18:19">
      <c r="R2196" s="178"/>
      <c r="S2196" s="178"/>
    </row>
    <row r="2197" spans="18:19">
      <c r="R2197" s="178"/>
      <c r="S2197" s="178"/>
    </row>
    <row r="2198" spans="18:19">
      <c r="R2198" s="178"/>
      <c r="S2198" s="178"/>
    </row>
    <row r="2199" spans="18:19">
      <c r="R2199" s="178"/>
      <c r="S2199" s="178"/>
    </row>
    <row r="2200" spans="18:19">
      <c r="R2200" s="178"/>
      <c r="S2200" s="178"/>
    </row>
    <row r="2201" spans="18:19">
      <c r="R2201" s="178"/>
      <c r="S2201" s="178"/>
    </row>
    <row r="2202" spans="18:19">
      <c r="R2202" s="178"/>
      <c r="S2202" s="178"/>
    </row>
    <row r="2203" spans="18:19">
      <c r="R2203" s="178"/>
      <c r="S2203" s="178"/>
    </row>
    <row r="2204" spans="18:19">
      <c r="R2204" s="178"/>
      <c r="S2204" s="178"/>
    </row>
    <row r="2205" spans="18:19">
      <c r="R2205" s="178"/>
      <c r="S2205" s="178"/>
    </row>
    <row r="2206" spans="18:19">
      <c r="R2206" s="178"/>
      <c r="S2206" s="178"/>
    </row>
    <row r="2207" spans="18:19">
      <c r="R2207" s="178"/>
      <c r="S2207" s="178"/>
    </row>
    <row r="2208" spans="18:19">
      <c r="R2208" s="178"/>
      <c r="S2208" s="178"/>
    </row>
    <row r="2209" spans="18:19">
      <c r="R2209" s="178"/>
      <c r="S2209" s="178"/>
    </row>
    <row r="2210" spans="18:19">
      <c r="R2210" s="178"/>
      <c r="S2210" s="178"/>
    </row>
    <row r="2211" spans="18:19">
      <c r="R2211" s="178"/>
      <c r="S2211" s="178"/>
    </row>
    <row r="2212" spans="18:19">
      <c r="R2212" s="178"/>
      <c r="S2212" s="178"/>
    </row>
    <row r="2213" spans="18:19">
      <c r="R2213" s="178"/>
      <c r="S2213" s="178"/>
    </row>
    <row r="2214" spans="18:19">
      <c r="R2214" s="178"/>
      <c r="S2214" s="178"/>
    </row>
    <row r="2215" spans="18:19">
      <c r="R2215" s="178"/>
      <c r="S2215" s="178"/>
    </row>
    <row r="2216" spans="18:19">
      <c r="R2216" s="178"/>
      <c r="S2216" s="178"/>
    </row>
    <row r="2217" spans="18:19">
      <c r="R2217" s="178"/>
      <c r="S2217" s="178"/>
    </row>
    <row r="2218" spans="18:19">
      <c r="R2218" s="178"/>
      <c r="S2218" s="178"/>
    </row>
    <row r="2219" spans="18:19">
      <c r="R2219" s="178"/>
      <c r="S2219" s="178"/>
    </row>
    <row r="2220" spans="18:19">
      <c r="R2220" s="178"/>
      <c r="S2220" s="178"/>
    </row>
    <row r="2221" spans="18:19">
      <c r="R2221" s="178"/>
      <c r="S2221" s="178"/>
    </row>
    <row r="2222" spans="18:19">
      <c r="R2222" s="178"/>
      <c r="S2222" s="178"/>
    </row>
    <row r="2223" spans="18:19">
      <c r="R2223" s="178"/>
      <c r="S2223" s="178"/>
    </row>
    <row r="2224" spans="18:19">
      <c r="R2224" s="178"/>
      <c r="S2224" s="178"/>
    </row>
    <row r="2225" spans="18:19">
      <c r="R2225" s="178"/>
      <c r="S2225" s="178"/>
    </row>
    <row r="2226" spans="18:19">
      <c r="R2226" s="178"/>
      <c r="S2226" s="178"/>
    </row>
    <row r="2227" spans="18:19">
      <c r="R2227" s="178"/>
      <c r="S2227" s="178"/>
    </row>
    <row r="2228" spans="18:19">
      <c r="R2228" s="178"/>
      <c r="S2228" s="178"/>
    </row>
    <row r="2229" spans="18:19">
      <c r="R2229" s="178"/>
      <c r="S2229" s="178"/>
    </row>
    <row r="2230" spans="18:19">
      <c r="R2230" s="178"/>
      <c r="S2230" s="178"/>
    </row>
    <row r="2231" spans="18:19">
      <c r="R2231" s="178"/>
      <c r="S2231" s="178"/>
    </row>
    <row r="2232" spans="18:19">
      <c r="R2232" s="178"/>
      <c r="S2232" s="178"/>
    </row>
    <row r="2233" spans="18:19">
      <c r="R2233" s="178"/>
      <c r="S2233" s="178"/>
    </row>
    <row r="2234" spans="18:19">
      <c r="R2234" s="178"/>
      <c r="S2234" s="178"/>
    </row>
    <row r="2235" spans="18:19">
      <c r="R2235" s="178"/>
      <c r="S2235" s="178"/>
    </row>
    <row r="2236" spans="18:19">
      <c r="R2236" s="178"/>
      <c r="S2236" s="178"/>
    </row>
    <row r="2237" spans="18:19">
      <c r="R2237" s="178"/>
      <c r="S2237" s="178"/>
    </row>
    <row r="2238" spans="18:19">
      <c r="R2238" s="178"/>
      <c r="S2238" s="178"/>
    </row>
    <row r="2239" spans="18:19">
      <c r="R2239" s="178"/>
      <c r="S2239" s="178"/>
    </row>
    <row r="2240" spans="18:19">
      <c r="R2240" s="178"/>
      <c r="S2240" s="178"/>
    </row>
    <row r="2241" spans="18:19">
      <c r="R2241" s="178"/>
      <c r="S2241" s="178"/>
    </row>
    <row r="2242" spans="18:19">
      <c r="R2242" s="178"/>
      <c r="S2242" s="178"/>
    </row>
    <row r="2243" spans="18:19">
      <c r="R2243" s="178"/>
      <c r="S2243" s="178"/>
    </row>
    <row r="2244" spans="18:19">
      <c r="R2244" s="178"/>
      <c r="S2244" s="178"/>
    </row>
    <row r="2245" spans="18:19">
      <c r="R2245" s="178"/>
      <c r="S2245" s="178"/>
    </row>
    <row r="2246" spans="18:19">
      <c r="R2246" s="178"/>
      <c r="S2246" s="178"/>
    </row>
    <row r="2247" spans="18:19">
      <c r="R2247" s="178"/>
      <c r="S2247" s="178"/>
    </row>
    <row r="2248" spans="18:19">
      <c r="R2248" s="178"/>
      <c r="S2248" s="178"/>
    </row>
    <row r="2249" spans="18:19">
      <c r="R2249" s="178"/>
      <c r="S2249" s="178"/>
    </row>
    <row r="2250" spans="18:19">
      <c r="R2250" s="178"/>
      <c r="S2250" s="178"/>
    </row>
    <row r="2251" spans="18:19">
      <c r="R2251" s="178"/>
      <c r="S2251" s="178"/>
    </row>
    <row r="2252" spans="18:19">
      <c r="R2252" s="178"/>
      <c r="S2252" s="178"/>
    </row>
    <row r="2253" spans="18:19">
      <c r="R2253" s="178"/>
      <c r="S2253" s="178"/>
    </row>
    <row r="2254" spans="18:19">
      <c r="R2254" s="178"/>
      <c r="S2254" s="178"/>
    </row>
    <row r="2255" spans="18:19">
      <c r="R2255" s="178"/>
      <c r="S2255" s="178"/>
    </row>
    <row r="2256" spans="18:19">
      <c r="R2256" s="178"/>
      <c r="S2256" s="178"/>
    </row>
    <row r="2257" spans="18:19">
      <c r="R2257" s="178"/>
      <c r="S2257" s="178"/>
    </row>
    <row r="2258" spans="18:19">
      <c r="R2258" s="178"/>
      <c r="S2258" s="178"/>
    </row>
    <row r="2259" spans="18:19">
      <c r="R2259" s="178"/>
      <c r="S2259" s="178"/>
    </row>
    <row r="2260" spans="18:19">
      <c r="R2260" s="178"/>
      <c r="S2260" s="178"/>
    </row>
    <row r="2261" spans="18:19">
      <c r="R2261" s="178"/>
      <c r="S2261" s="178"/>
    </row>
    <row r="2262" spans="18:19">
      <c r="R2262" s="178"/>
      <c r="S2262" s="178"/>
    </row>
    <row r="2263" spans="18:19">
      <c r="R2263" s="178"/>
      <c r="S2263" s="178"/>
    </row>
    <row r="2264" spans="18:19">
      <c r="R2264" s="178"/>
      <c r="S2264" s="178"/>
    </row>
    <row r="2265" spans="18:19">
      <c r="R2265" s="178"/>
      <c r="S2265" s="178"/>
    </row>
    <row r="2266" spans="18:19">
      <c r="R2266" s="178"/>
      <c r="S2266" s="178"/>
    </row>
    <row r="2267" spans="18:19">
      <c r="R2267" s="178"/>
      <c r="S2267" s="178"/>
    </row>
    <row r="2268" spans="18:19">
      <c r="R2268" s="178"/>
      <c r="S2268" s="178"/>
    </row>
    <row r="2269" spans="18:19">
      <c r="R2269" s="178"/>
      <c r="S2269" s="178"/>
    </row>
    <row r="2270" spans="18:19">
      <c r="R2270" s="178"/>
      <c r="S2270" s="178"/>
    </row>
    <row r="2271" spans="18:19">
      <c r="R2271" s="178"/>
      <c r="S2271" s="178"/>
    </row>
    <row r="2272" spans="18:19">
      <c r="R2272" s="178"/>
      <c r="S2272" s="178"/>
    </row>
    <row r="2273" spans="18:19">
      <c r="R2273" s="178"/>
      <c r="S2273" s="178"/>
    </row>
    <row r="2274" spans="18:19">
      <c r="R2274" s="178"/>
      <c r="S2274" s="178"/>
    </row>
    <row r="2275" spans="18:19">
      <c r="R2275" s="178"/>
      <c r="S2275" s="178"/>
    </row>
    <row r="2276" spans="18:19">
      <c r="R2276" s="178"/>
      <c r="S2276" s="178"/>
    </row>
    <row r="2277" spans="18:19">
      <c r="R2277" s="178"/>
      <c r="S2277" s="178"/>
    </row>
    <row r="2278" spans="18:19">
      <c r="R2278" s="178"/>
      <c r="S2278" s="178"/>
    </row>
    <row r="2279" spans="18:19">
      <c r="R2279" s="178"/>
      <c r="S2279" s="178"/>
    </row>
    <row r="2280" spans="18:19">
      <c r="R2280" s="178"/>
      <c r="S2280" s="178"/>
    </row>
    <row r="2281" spans="18:19">
      <c r="R2281" s="178"/>
      <c r="S2281" s="178"/>
    </row>
    <row r="2282" spans="18:19">
      <c r="R2282" s="178"/>
      <c r="S2282" s="178"/>
    </row>
    <row r="2283" spans="18:19">
      <c r="R2283" s="178"/>
      <c r="S2283" s="178"/>
    </row>
    <row r="2284" spans="18:19">
      <c r="R2284" s="178"/>
      <c r="S2284" s="178"/>
    </row>
    <row r="2285" spans="18:19">
      <c r="R2285" s="178"/>
      <c r="S2285" s="178"/>
    </row>
    <row r="2286" spans="18:19">
      <c r="R2286" s="178"/>
      <c r="S2286" s="178"/>
    </row>
    <row r="2287" spans="18:19">
      <c r="R2287" s="178"/>
      <c r="S2287" s="178"/>
    </row>
    <row r="2288" spans="18:19">
      <c r="R2288" s="178"/>
      <c r="S2288" s="178"/>
    </row>
    <row r="2289" spans="18:19">
      <c r="R2289" s="178"/>
      <c r="S2289" s="178"/>
    </row>
    <row r="2290" spans="18:19">
      <c r="R2290" s="178"/>
      <c r="S2290" s="178"/>
    </row>
    <row r="2291" spans="18:19">
      <c r="R2291" s="178"/>
      <c r="S2291" s="178"/>
    </row>
    <row r="2292" spans="18:19">
      <c r="R2292" s="178"/>
      <c r="S2292" s="178"/>
    </row>
    <row r="2293" spans="18:19">
      <c r="R2293" s="178"/>
      <c r="S2293" s="178"/>
    </row>
    <row r="2294" spans="18:19">
      <c r="R2294" s="178"/>
      <c r="S2294" s="178"/>
    </row>
    <row r="2295" spans="18:19">
      <c r="R2295" s="178"/>
      <c r="S2295" s="178"/>
    </row>
    <row r="2296" spans="18:19">
      <c r="R2296" s="178"/>
      <c r="S2296" s="178"/>
    </row>
    <row r="2297" spans="18:19">
      <c r="R2297" s="178"/>
      <c r="S2297" s="178"/>
    </row>
    <row r="2298" spans="18:19">
      <c r="R2298" s="178"/>
      <c r="S2298" s="178"/>
    </row>
    <row r="2299" spans="18:19">
      <c r="R2299" s="178"/>
      <c r="S2299" s="178"/>
    </row>
    <row r="2300" spans="18:19">
      <c r="R2300" s="178"/>
      <c r="S2300" s="178"/>
    </row>
    <row r="2301" spans="18:19">
      <c r="R2301" s="178"/>
      <c r="S2301" s="178"/>
    </row>
    <row r="2302" spans="18:19">
      <c r="R2302" s="178"/>
      <c r="S2302" s="178"/>
    </row>
    <row r="2303" spans="18:19">
      <c r="R2303" s="178"/>
      <c r="S2303" s="178"/>
    </row>
    <row r="2304" spans="18:19">
      <c r="R2304" s="178"/>
      <c r="S2304" s="178"/>
    </row>
    <row r="2305" spans="18:19">
      <c r="R2305" s="178"/>
      <c r="S2305" s="178"/>
    </row>
    <row r="2306" spans="18:19">
      <c r="R2306" s="178"/>
      <c r="S2306" s="178"/>
    </row>
    <row r="2307" spans="18:19">
      <c r="R2307" s="178"/>
      <c r="S2307" s="178"/>
    </row>
    <row r="2308" spans="18:19">
      <c r="R2308" s="178"/>
      <c r="S2308" s="178"/>
    </row>
    <row r="2309" spans="18:19">
      <c r="R2309" s="178"/>
      <c r="S2309" s="178"/>
    </row>
    <row r="2310" spans="18:19">
      <c r="R2310" s="178"/>
      <c r="S2310" s="178"/>
    </row>
    <row r="2311" spans="18:19">
      <c r="R2311" s="178"/>
      <c r="S2311" s="178"/>
    </row>
    <row r="2312" spans="18:19">
      <c r="R2312" s="178"/>
      <c r="S2312" s="178"/>
    </row>
    <row r="2313" spans="18:19">
      <c r="R2313" s="178"/>
      <c r="S2313" s="178"/>
    </row>
    <row r="2314" spans="18:19">
      <c r="R2314" s="178"/>
      <c r="S2314" s="178"/>
    </row>
    <row r="2315" spans="18:19">
      <c r="R2315" s="178"/>
      <c r="S2315" s="178"/>
    </row>
    <row r="2316" spans="18:19">
      <c r="R2316" s="178"/>
      <c r="S2316" s="178"/>
    </row>
    <row r="2317" spans="18:19">
      <c r="R2317" s="178"/>
      <c r="S2317" s="178"/>
    </row>
    <row r="2318" spans="18:19">
      <c r="R2318" s="178"/>
      <c r="S2318" s="178"/>
    </row>
    <row r="2319" spans="18:19">
      <c r="R2319" s="178"/>
      <c r="S2319" s="178"/>
    </row>
    <row r="2320" spans="18:19">
      <c r="R2320" s="178"/>
      <c r="S2320" s="178"/>
    </row>
    <row r="2321" spans="18:19">
      <c r="R2321" s="178"/>
      <c r="S2321" s="178"/>
    </row>
    <row r="2322" spans="18:19">
      <c r="R2322" s="178"/>
      <c r="S2322" s="178"/>
    </row>
    <row r="2323" spans="18:19">
      <c r="R2323" s="178"/>
      <c r="S2323" s="178"/>
    </row>
    <row r="2324" spans="18:19">
      <c r="R2324" s="178"/>
      <c r="S2324" s="178"/>
    </row>
    <row r="2325" spans="18:19">
      <c r="R2325" s="178"/>
      <c r="S2325" s="178"/>
    </row>
    <row r="2326" spans="18:19">
      <c r="R2326" s="178"/>
      <c r="S2326" s="178"/>
    </row>
    <row r="2327" spans="18:19">
      <c r="R2327" s="178"/>
      <c r="S2327" s="178"/>
    </row>
    <row r="2328" spans="18:19">
      <c r="R2328" s="178"/>
      <c r="S2328" s="178"/>
    </row>
    <row r="2329" spans="18:19">
      <c r="R2329" s="178"/>
      <c r="S2329" s="178"/>
    </row>
    <row r="2330" spans="18:19">
      <c r="R2330" s="178"/>
      <c r="S2330" s="178"/>
    </row>
    <row r="2331" spans="18:19">
      <c r="R2331" s="178"/>
      <c r="S2331" s="178"/>
    </row>
    <row r="2332" spans="18:19">
      <c r="R2332" s="178"/>
      <c r="S2332" s="178"/>
    </row>
    <row r="2333" spans="18:19">
      <c r="R2333" s="178"/>
      <c r="S2333" s="178"/>
    </row>
    <row r="2334" spans="18:19">
      <c r="R2334" s="178"/>
      <c r="S2334" s="178"/>
    </row>
    <row r="2335" spans="18:19">
      <c r="R2335" s="178"/>
      <c r="S2335" s="178"/>
    </row>
    <row r="2336" spans="18:19">
      <c r="R2336" s="178"/>
      <c r="S2336" s="178"/>
    </row>
    <row r="2337" spans="18:19">
      <c r="R2337" s="178"/>
      <c r="S2337" s="178"/>
    </row>
    <row r="2338" spans="18:19">
      <c r="R2338" s="178"/>
      <c r="S2338" s="178"/>
    </row>
    <row r="2339" spans="18:19">
      <c r="R2339" s="178"/>
      <c r="S2339" s="178"/>
    </row>
    <row r="2340" spans="18:19">
      <c r="R2340" s="178"/>
      <c r="S2340" s="178"/>
    </row>
    <row r="2341" spans="18:19">
      <c r="R2341" s="178"/>
      <c r="S2341" s="178"/>
    </row>
    <row r="2342" spans="18:19">
      <c r="R2342" s="178"/>
      <c r="S2342" s="178"/>
    </row>
    <row r="2343" spans="18:19">
      <c r="R2343" s="178"/>
      <c r="S2343" s="178"/>
    </row>
    <row r="2344" spans="18:19">
      <c r="R2344" s="178"/>
      <c r="S2344" s="178"/>
    </row>
    <row r="2345" spans="18:19">
      <c r="R2345" s="178"/>
      <c r="S2345" s="178"/>
    </row>
    <row r="2346" spans="18:19">
      <c r="R2346" s="178"/>
      <c r="S2346" s="178"/>
    </row>
    <row r="2347" spans="18:19">
      <c r="R2347" s="178"/>
      <c r="S2347" s="178"/>
    </row>
    <row r="2348" spans="18:19">
      <c r="R2348" s="178"/>
      <c r="S2348" s="178"/>
    </row>
    <row r="2349" spans="18:19">
      <c r="R2349" s="178"/>
      <c r="S2349" s="178"/>
    </row>
    <row r="2350" spans="18:19">
      <c r="R2350" s="178"/>
      <c r="S2350" s="178"/>
    </row>
    <row r="2351" spans="18:19">
      <c r="R2351" s="178"/>
      <c r="S2351" s="178"/>
    </row>
    <row r="2352" spans="18:19">
      <c r="R2352" s="178"/>
      <c r="S2352" s="178"/>
    </row>
    <row r="2353" spans="18:19">
      <c r="R2353" s="178"/>
      <c r="S2353" s="178"/>
    </row>
    <row r="2354" spans="18:19">
      <c r="R2354" s="178"/>
      <c r="S2354" s="178"/>
    </row>
    <row r="2355" spans="18:19">
      <c r="R2355" s="178"/>
      <c r="S2355" s="178"/>
    </row>
    <row r="2356" spans="18:19">
      <c r="R2356" s="178"/>
      <c r="S2356" s="178"/>
    </row>
    <row r="2357" spans="18:19">
      <c r="R2357" s="178"/>
      <c r="S2357" s="178"/>
    </row>
    <row r="2358" spans="18:19">
      <c r="R2358" s="178"/>
      <c r="S2358" s="178"/>
    </row>
    <row r="2359" spans="18:19">
      <c r="R2359" s="178"/>
      <c r="S2359" s="178"/>
    </row>
    <row r="2360" spans="18:19">
      <c r="R2360" s="178"/>
      <c r="S2360" s="178"/>
    </row>
    <row r="2361" spans="18:19">
      <c r="R2361" s="178"/>
      <c r="S2361" s="178"/>
    </row>
    <row r="2362" spans="18:19">
      <c r="R2362" s="178"/>
      <c r="S2362" s="178"/>
    </row>
    <row r="2363" spans="18:19">
      <c r="R2363" s="178"/>
      <c r="S2363" s="178"/>
    </row>
    <row r="2364" spans="18:19">
      <c r="R2364" s="178"/>
      <c r="S2364" s="178"/>
    </row>
    <row r="2365" spans="18:19">
      <c r="R2365" s="178"/>
      <c r="S2365" s="178"/>
    </row>
    <row r="2366" spans="18:19">
      <c r="R2366" s="178"/>
      <c r="S2366" s="178"/>
    </row>
    <row r="2367" spans="18:19">
      <c r="R2367" s="178"/>
      <c r="S2367" s="178"/>
    </row>
    <row r="2368" spans="18:19">
      <c r="R2368" s="178"/>
      <c r="S2368" s="178"/>
    </row>
    <row r="2369" spans="18:19">
      <c r="R2369" s="178"/>
      <c r="S2369" s="178"/>
    </row>
    <row r="2370" spans="18:19">
      <c r="R2370" s="178"/>
      <c r="S2370" s="178"/>
    </row>
    <row r="2371" spans="18:19">
      <c r="R2371" s="178"/>
      <c r="S2371" s="178"/>
    </row>
    <row r="2372" spans="18:19">
      <c r="R2372" s="178"/>
      <c r="S2372" s="178"/>
    </row>
    <row r="2373" spans="18:19">
      <c r="R2373" s="178"/>
      <c r="S2373" s="178"/>
    </row>
    <row r="2374" spans="18:19">
      <c r="R2374" s="178"/>
      <c r="S2374" s="178"/>
    </row>
    <row r="2375" spans="18:19">
      <c r="R2375" s="178"/>
      <c r="S2375" s="178"/>
    </row>
    <row r="2376" spans="18:19">
      <c r="R2376" s="178"/>
      <c r="S2376" s="178"/>
    </row>
    <row r="2377" spans="18:19">
      <c r="R2377" s="178"/>
      <c r="S2377" s="178"/>
    </row>
    <row r="2378" spans="18:19">
      <c r="R2378" s="178"/>
      <c r="S2378" s="178"/>
    </row>
    <row r="2379" spans="18:19">
      <c r="R2379" s="178"/>
      <c r="S2379" s="178"/>
    </row>
    <row r="2380" spans="18:19">
      <c r="R2380" s="178"/>
      <c r="S2380" s="178"/>
    </row>
    <row r="2381" spans="18:19">
      <c r="R2381" s="178"/>
      <c r="S2381" s="178"/>
    </row>
    <row r="2382" spans="18:19">
      <c r="R2382" s="178"/>
      <c r="S2382" s="178"/>
    </row>
    <row r="2383" spans="18:19">
      <c r="R2383" s="178"/>
      <c r="S2383" s="178"/>
    </row>
    <row r="2384" spans="18:19">
      <c r="R2384" s="178"/>
      <c r="S2384" s="178"/>
    </row>
    <row r="2385" spans="18:19">
      <c r="R2385" s="178"/>
      <c r="S2385" s="178"/>
    </row>
    <row r="2386" spans="18:19">
      <c r="R2386" s="178"/>
      <c r="S2386" s="178"/>
    </row>
    <row r="2387" spans="18:19">
      <c r="R2387" s="178"/>
      <c r="S2387" s="178"/>
    </row>
    <row r="2388" spans="18:19">
      <c r="R2388" s="178"/>
      <c r="S2388" s="178"/>
    </row>
    <row r="2389" spans="18:19">
      <c r="R2389" s="178"/>
      <c r="S2389" s="178"/>
    </row>
    <row r="2390" spans="18:19">
      <c r="R2390" s="178"/>
      <c r="S2390" s="178"/>
    </row>
    <row r="2391" spans="18:19">
      <c r="R2391" s="178"/>
      <c r="S2391" s="178"/>
    </row>
    <row r="2392" spans="18:19">
      <c r="R2392" s="178"/>
      <c r="S2392" s="178"/>
    </row>
    <row r="2393" spans="18:19">
      <c r="R2393" s="178"/>
      <c r="S2393" s="178"/>
    </row>
    <row r="2394" spans="18:19">
      <c r="R2394" s="178"/>
      <c r="S2394" s="178"/>
    </row>
    <row r="2395" spans="18:19">
      <c r="R2395" s="178"/>
      <c r="S2395" s="178"/>
    </row>
    <row r="2396" spans="18:19">
      <c r="R2396" s="178"/>
      <c r="S2396" s="178"/>
    </row>
    <row r="2397" spans="18:19">
      <c r="R2397" s="178"/>
      <c r="S2397" s="178"/>
    </row>
    <row r="2398" spans="18:19">
      <c r="R2398" s="178"/>
      <c r="S2398" s="178"/>
    </row>
    <row r="2399" spans="18:19">
      <c r="R2399" s="178"/>
      <c r="S2399" s="178"/>
    </row>
    <row r="2400" spans="18:19">
      <c r="R2400" s="178"/>
      <c r="S2400" s="178"/>
    </row>
    <row r="2401" spans="18:19">
      <c r="R2401" s="178"/>
      <c r="S2401" s="178"/>
    </row>
    <row r="2402" spans="18:19">
      <c r="R2402" s="178"/>
      <c r="S2402" s="178"/>
    </row>
    <row r="2403" spans="18:19">
      <c r="R2403" s="178"/>
      <c r="S2403" s="178"/>
    </row>
    <row r="2404" spans="18:19">
      <c r="R2404" s="178"/>
      <c r="S2404" s="178"/>
    </row>
    <row r="2405" spans="18:19">
      <c r="R2405" s="178"/>
      <c r="S2405" s="178"/>
    </row>
    <row r="2406" spans="18:19">
      <c r="R2406" s="178"/>
      <c r="S2406" s="178"/>
    </row>
    <row r="2407" spans="18:19">
      <c r="R2407" s="178"/>
      <c r="S2407" s="178"/>
    </row>
    <row r="2408" spans="18:19">
      <c r="R2408" s="178"/>
      <c r="S2408" s="178"/>
    </row>
    <row r="2409" spans="18:19">
      <c r="R2409" s="178"/>
      <c r="S2409" s="178"/>
    </row>
    <row r="2410" spans="18:19">
      <c r="R2410" s="178"/>
      <c r="S2410" s="178"/>
    </row>
    <row r="2411" spans="18:19">
      <c r="R2411" s="178"/>
      <c r="S2411" s="178"/>
    </row>
    <row r="2412" spans="18:19">
      <c r="R2412" s="178"/>
      <c r="S2412" s="178"/>
    </row>
    <row r="2413" spans="18:19">
      <c r="R2413" s="178"/>
      <c r="S2413" s="178"/>
    </row>
    <row r="2414" spans="18:19">
      <c r="R2414" s="178"/>
      <c r="S2414" s="178"/>
    </row>
    <row r="2415" spans="18:19">
      <c r="R2415" s="178"/>
      <c r="S2415" s="178"/>
    </row>
    <row r="2416" spans="18:19">
      <c r="R2416" s="178"/>
      <c r="S2416" s="178"/>
    </row>
    <row r="2417" spans="18:19">
      <c r="R2417" s="178"/>
      <c r="S2417" s="178"/>
    </row>
    <row r="2418" spans="18:19">
      <c r="R2418" s="178"/>
      <c r="S2418" s="178"/>
    </row>
    <row r="2419" spans="18:19">
      <c r="R2419" s="178"/>
      <c r="S2419" s="178"/>
    </row>
    <row r="2420" spans="18:19">
      <c r="R2420" s="178"/>
      <c r="S2420" s="178"/>
    </row>
    <row r="2421" spans="18:19">
      <c r="R2421" s="178"/>
      <c r="S2421" s="178"/>
    </row>
    <row r="2422" spans="18:19">
      <c r="R2422" s="178"/>
      <c r="S2422" s="178"/>
    </row>
    <row r="2423" spans="18:19">
      <c r="R2423" s="178"/>
      <c r="S2423" s="178"/>
    </row>
    <row r="2424" spans="18:19">
      <c r="R2424" s="178"/>
      <c r="S2424" s="178"/>
    </row>
    <row r="2425" spans="18:19">
      <c r="R2425" s="178"/>
      <c r="S2425" s="178"/>
    </row>
    <row r="2426" spans="18:19">
      <c r="R2426" s="178"/>
      <c r="S2426" s="178"/>
    </row>
    <row r="2427" spans="18:19">
      <c r="R2427" s="178"/>
      <c r="S2427" s="178"/>
    </row>
    <row r="2428" spans="18:19">
      <c r="R2428" s="178"/>
      <c r="S2428" s="178"/>
    </row>
    <row r="2429" spans="18:19">
      <c r="R2429" s="178"/>
      <c r="S2429" s="178"/>
    </row>
    <row r="2430" spans="18:19">
      <c r="R2430" s="178"/>
      <c r="S2430" s="178"/>
    </row>
    <row r="2431" spans="18:19">
      <c r="R2431" s="178"/>
      <c r="S2431" s="178"/>
    </row>
    <row r="2432" spans="18:19">
      <c r="R2432" s="178"/>
      <c r="S2432" s="178"/>
    </row>
    <row r="2433" spans="18:19">
      <c r="R2433" s="178"/>
      <c r="S2433" s="178"/>
    </row>
    <row r="2434" spans="18:19">
      <c r="R2434" s="178"/>
      <c r="S2434" s="178"/>
    </row>
    <row r="2435" spans="18:19">
      <c r="R2435" s="178"/>
      <c r="S2435" s="178"/>
    </row>
    <row r="2436" spans="18:19">
      <c r="R2436" s="178"/>
      <c r="S2436" s="178"/>
    </row>
    <row r="2437" spans="18:19">
      <c r="R2437" s="178"/>
      <c r="S2437" s="178"/>
    </row>
    <row r="2438" spans="18:19">
      <c r="R2438" s="178"/>
      <c r="S2438" s="178"/>
    </row>
    <row r="2439" spans="18:19">
      <c r="R2439" s="178"/>
      <c r="S2439" s="178"/>
    </row>
    <row r="2440" spans="18:19">
      <c r="R2440" s="178"/>
      <c r="S2440" s="178"/>
    </row>
    <row r="2441" spans="18:19">
      <c r="R2441" s="178"/>
      <c r="S2441" s="178"/>
    </row>
    <row r="2442" spans="18:19">
      <c r="R2442" s="178"/>
      <c r="S2442" s="178"/>
    </row>
    <row r="2443" spans="18:19">
      <c r="R2443" s="178"/>
      <c r="S2443" s="178"/>
    </row>
    <row r="2444" spans="18:19">
      <c r="R2444" s="178"/>
      <c r="S2444" s="178"/>
    </row>
    <row r="2445" spans="18:19">
      <c r="R2445" s="178"/>
      <c r="S2445" s="178"/>
    </row>
    <row r="2446" spans="18:19">
      <c r="R2446" s="178"/>
      <c r="S2446" s="178"/>
    </row>
    <row r="2447" spans="18:19">
      <c r="R2447" s="178"/>
      <c r="S2447" s="178"/>
    </row>
    <row r="2448" spans="18:19">
      <c r="R2448" s="178"/>
      <c r="S2448" s="178"/>
    </row>
    <row r="2449" spans="18:19">
      <c r="R2449" s="178"/>
      <c r="S2449" s="178"/>
    </row>
    <row r="2450" spans="18:19">
      <c r="R2450" s="178"/>
      <c r="S2450" s="178"/>
    </row>
    <row r="2451" spans="18:19">
      <c r="R2451" s="178"/>
      <c r="S2451" s="178"/>
    </row>
    <row r="2452" spans="18:19">
      <c r="R2452" s="178"/>
      <c r="S2452" s="178"/>
    </row>
    <row r="2453" spans="18:19">
      <c r="R2453" s="178"/>
      <c r="S2453" s="178"/>
    </row>
    <row r="2454" spans="18:19">
      <c r="R2454" s="178"/>
      <c r="S2454" s="178"/>
    </row>
    <row r="2455" spans="18:19">
      <c r="R2455" s="178"/>
      <c r="S2455" s="178"/>
    </row>
    <row r="2456" spans="18:19">
      <c r="R2456" s="178"/>
      <c r="S2456" s="178"/>
    </row>
    <row r="2457" spans="18:19">
      <c r="R2457" s="178"/>
      <c r="S2457" s="178"/>
    </row>
    <row r="2458" spans="18:19">
      <c r="R2458" s="178"/>
      <c r="S2458" s="178"/>
    </row>
    <row r="2459" spans="18:19">
      <c r="R2459" s="178"/>
      <c r="S2459" s="178"/>
    </row>
    <row r="2460" spans="18:19">
      <c r="R2460" s="178"/>
      <c r="S2460" s="178"/>
    </row>
    <row r="2461" spans="18:19">
      <c r="R2461" s="178"/>
      <c r="S2461" s="178"/>
    </row>
    <row r="2462" spans="18:19">
      <c r="R2462" s="178"/>
      <c r="S2462" s="178"/>
    </row>
    <row r="2463" spans="18:19">
      <c r="R2463" s="178"/>
      <c r="S2463" s="178"/>
    </row>
    <row r="2464" spans="18:19">
      <c r="R2464" s="178"/>
      <c r="S2464" s="178"/>
    </row>
    <row r="2465" spans="18:19">
      <c r="R2465" s="178"/>
      <c r="S2465" s="178"/>
    </row>
    <row r="2466" spans="18:19">
      <c r="R2466" s="178"/>
      <c r="S2466" s="178"/>
    </row>
    <row r="2467" spans="18:19">
      <c r="R2467" s="178"/>
      <c r="S2467" s="178"/>
    </row>
    <row r="2468" spans="18:19">
      <c r="R2468" s="178"/>
      <c r="S2468" s="178"/>
    </row>
    <row r="2469" spans="18:19">
      <c r="R2469" s="178"/>
      <c r="S2469" s="178"/>
    </row>
    <row r="2470" spans="18:19">
      <c r="R2470" s="178"/>
      <c r="S2470" s="178"/>
    </row>
    <row r="2471" spans="18:19">
      <c r="R2471" s="178"/>
      <c r="S2471" s="178"/>
    </row>
    <row r="2472" spans="18:19">
      <c r="R2472" s="178"/>
      <c r="S2472" s="178"/>
    </row>
    <row r="2473" spans="18:19">
      <c r="R2473" s="178"/>
      <c r="S2473" s="178"/>
    </row>
    <row r="2474" spans="18:19">
      <c r="R2474" s="178"/>
      <c r="S2474" s="178"/>
    </row>
    <row r="2475" spans="18:19">
      <c r="R2475" s="178"/>
      <c r="S2475" s="178"/>
    </row>
    <row r="2476" spans="18:19">
      <c r="R2476" s="178"/>
      <c r="S2476" s="178"/>
    </row>
    <row r="2477" spans="18:19">
      <c r="R2477" s="178"/>
      <c r="S2477" s="178"/>
    </row>
    <row r="2478" spans="18:19">
      <c r="R2478" s="178"/>
      <c r="S2478" s="178"/>
    </row>
    <row r="2479" spans="18:19">
      <c r="R2479" s="178"/>
      <c r="S2479" s="178"/>
    </row>
    <row r="2480" spans="18:19">
      <c r="R2480" s="178"/>
      <c r="S2480" s="178"/>
    </row>
    <row r="2481" spans="18:19">
      <c r="R2481" s="178"/>
      <c r="S2481" s="178"/>
    </row>
    <row r="2482" spans="18:19">
      <c r="R2482" s="178"/>
      <c r="S2482" s="178"/>
    </row>
    <row r="2483" spans="18:19">
      <c r="R2483" s="178"/>
      <c r="S2483" s="178"/>
    </row>
    <row r="2484" spans="18:19">
      <c r="R2484" s="178"/>
      <c r="S2484" s="178"/>
    </row>
    <row r="2485" spans="18:19">
      <c r="R2485" s="178"/>
      <c r="S2485" s="178"/>
    </row>
    <row r="2486" spans="18:19">
      <c r="R2486" s="178"/>
      <c r="S2486" s="178"/>
    </row>
    <row r="2487" spans="18:19">
      <c r="R2487" s="178"/>
      <c r="S2487" s="178"/>
    </row>
    <row r="2488" spans="18:19">
      <c r="R2488" s="178"/>
      <c r="S2488" s="178"/>
    </row>
    <row r="2489" spans="18:19">
      <c r="R2489" s="178"/>
      <c r="S2489" s="178"/>
    </row>
    <row r="2490" spans="18:19">
      <c r="R2490" s="178"/>
      <c r="S2490" s="178"/>
    </row>
    <row r="2491" spans="18:19">
      <c r="R2491" s="178"/>
      <c r="S2491" s="178"/>
    </row>
    <row r="2492" spans="18:19">
      <c r="R2492" s="178"/>
      <c r="S2492" s="178"/>
    </row>
    <row r="2493" spans="18:19">
      <c r="R2493" s="178"/>
      <c r="S2493" s="178"/>
    </row>
    <row r="2494" spans="18:19">
      <c r="R2494" s="178"/>
      <c r="S2494" s="178"/>
    </row>
    <row r="2495" spans="18:19">
      <c r="R2495" s="178"/>
      <c r="S2495" s="178"/>
    </row>
    <row r="2496" spans="18:19">
      <c r="R2496" s="178"/>
      <c r="S2496" s="178"/>
    </row>
    <row r="2497" spans="18:19">
      <c r="R2497" s="178"/>
      <c r="S2497" s="178"/>
    </row>
    <row r="2498" spans="18:19">
      <c r="R2498" s="178"/>
      <c r="S2498" s="178"/>
    </row>
    <row r="2499" spans="18:19">
      <c r="R2499" s="178"/>
      <c r="S2499" s="178"/>
    </row>
    <row r="2500" spans="18:19">
      <c r="R2500" s="178"/>
      <c r="S2500" s="178"/>
    </row>
    <row r="2501" spans="18:19">
      <c r="R2501" s="178"/>
      <c r="S2501" s="178"/>
    </row>
    <row r="2502" spans="18:19">
      <c r="R2502" s="178"/>
      <c r="S2502" s="178"/>
    </row>
    <row r="2503" spans="18:19">
      <c r="R2503" s="178"/>
      <c r="S2503" s="178"/>
    </row>
    <row r="2504" spans="18:19">
      <c r="R2504" s="178"/>
      <c r="S2504" s="178"/>
    </row>
    <row r="2505" spans="18:19">
      <c r="R2505" s="178"/>
      <c r="S2505" s="178"/>
    </row>
    <row r="2506" spans="18:19">
      <c r="R2506" s="178"/>
      <c r="S2506" s="178"/>
    </row>
    <row r="2507" spans="18:19">
      <c r="R2507" s="178"/>
      <c r="S2507" s="178"/>
    </row>
    <row r="2508" spans="18:19">
      <c r="R2508" s="178"/>
      <c r="S2508" s="178"/>
    </row>
    <row r="2509" spans="18:19">
      <c r="R2509" s="178"/>
      <c r="S2509" s="178"/>
    </row>
    <row r="2510" spans="18:19">
      <c r="R2510" s="178"/>
      <c r="S2510" s="178"/>
    </row>
    <row r="2511" spans="18:19">
      <c r="R2511" s="178"/>
      <c r="S2511" s="178"/>
    </row>
    <row r="2512" spans="18:19">
      <c r="R2512" s="178"/>
      <c r="S2512" s="178"/>
    </row>
    <row r="2513" spans="18:19">
      <c r="R2513" s="178"/>
      <c r="S2513" s="178"/>
    </row>
    <row r="2514" spans="18:19">
      <c r="R2514" s="178"/>
      <c r="S2514" s="178"/>
    </row>
    <row r="2515" spans="18:19">
      <c r="R2515" s="178"/>
      <c r="S2515" s="178"/>
    </row>
    <row r="2516" spans="18:19">
      <c r="R2516" s="178"/>
      <c r="S2516" s="178"/>
    </row>
    <row r="2517" spans="18:19">
      <c r="R2517" s="178"/>
      <c r="S2517" s="178"/>
    </row>
    <row r="2518" spans="18:19">
      <c r="R2518" s="178"/>
      <c r="S2518" s="178"/>
    </row>
    <row r="2519" spans="18:19">
      <c r="R2519" s="178"/>
      <c r="S2519" s="178"/>
    </row>
    <row r="2520" spans="18:19">
      <c r="R2520" s="178"/>
      <c r="S2520" s="178"/>
    </row>
    <row r="2521" spans="18:19">
      <c r="R2521" s="178"/>
      <c r="S2521" s="178"/>
    </row>
    <row r="2522" spans="18:19">
      <c r="R2522" s="178"/>
      <c r="S2522" s="178"/>
    </row>
    <row r="2523" spans="18:19">
      <c r="R2523" s="178"/>
      <c r="S2523" s="178"/>
    </row>
    <row r="2524" spans="18:19">
      <c r="R2524" s="178"/>
      <c r="S2524" s="178"/>
    </row>
    <row r="2525" spans="18:19">
      <c r="R2525" s="178"/>
      <c r="S2525" s="178"/>
    </row>
    <row r="2526" spans="18:19">
      <c r="R2526" s="178"/>
      <c r="S2526" s="178"/>
    </row>
    <row r="2527" spans="18:19">
      <c r="R2527" s="178"/>
      <c r="S2527" s="178"/>
    </row>
    <row r="2528" spans="18:19">
      <c r="R2528" s="178"/>
      <c r="S2528" s="178"/>
    </row>
    <row r="2529" spans="18:19">
      <c r="R2529" s="178"/>
      <c r="S2529" s="178"/>
    </row>
    <row r="2530" spans="18:19">
      <c r="R2530" s="178"/>
      <c r="S2530" s="178"/>
    </row>
    <row r="2531" spans="18:19">
      <c r="R2531" s="178"/>
      <c r="S2531" s="178"/>
    </row>
    <row r="2532" spans="18:19">
      <c r="R2532" s="178"/>
      <c r="S2532" s="178"/>
    </row>
    <row r="2533" spans="18:19">
      <c r="R2533" s="178"/>
      <c r="S2533" s="178"/>
    </row>
    <row r="2534" spans="18:19">
      <c r="R2534" s="178"/>
      <c r="S2534" s="178"/>
    </row>
    <row r="2535" spans="18:19">
      <c r="R2535" s="178"/>
      <c r="S2535" s="178"/>
    </row>
    <row r="2536" spans="18:19">
      <c r="R2536" s="178"/>
      <c r="S2536" s="178"/>
    </row>
    <row r="2537" spans="18:19">
      <c r="R2537" s="178"/>
      <c r="S2537" s="178"/>
    </row>
    <row r="2538" spans="18:19">
      <c r="R2538" s="178"/>
      <c r="S2538" s="178"/>
    </row>
    <row r="2539" spans="18:19">
      <c r="R2539" s="178"/>
      <c r="S2539" s="178"/>
    </row>
    <row r="2540" spans="18:19">
      <c r="R2540" s="178"/>
      <c r="S2540" s="178"/>
    </row>
    <row r="2541" spans="18:19">
      <c r="R2541" s="178"/>
      <c r="S2541" s="178"/>
    </row>
    <row r="2542" spans="18:19">
      <c r="R2542" s="178"/>
      <c r="S2542" s="178"/>
    </row>
    <row r="2543" spans="18:19">
      <c r="R2543" s="178"/>
      <c r="S2543" s="178"/>
    </row>
    <row r="2544" spans="18:19">
      <c r="R2544" s="178"/>
      <c r="S2544" s="178"/>
    </row>
    <row r="2545" spans="18:19">
      <c r="R2545" s="178"/>
      <c r="S2545" s="178"/>
    </row>
    <row r="2546" spans="18:19">
      <c r="R2546" s="178"/>
      <c r="S2546" s="178"/>
    </row>
    <row r="2547" spans="18:19">
      <c r="R2547" s="178"/>
      <c r="S2547" s="178"/>
    </row>
    <row r="2548" spans="18:19">
      <c r="R2548" s="178"/>
      <c r="S2548" s="178"/>
    </row>
    <row r="2549" spans="18:19">
      <c r="R2549" s="178"/>
      <c r="S2549" s="178"/>
    </row>
    <row r="2550" spans="18:19">
      <c r="R2550" s="178"/>
      <c r="S2550" s="178"/>
    </row>
    <row r="2551" spans="18:19">
      <c r="R2551" s="178"/>
      <c r="S2551" s="178"/>
    </row>
    <row r="2552" spans="18:19">
      <c r="R2552" s="178"/>
      <c r="S2552" s="178"/>
    </row>
    <row r="2553" spans="18:19">
      <c r="R2553" s="178"/>
      <c r="S2553" s="178"/>
    </row>
    <row r="2554" spans="18:19">
      <c r="R2554" s="178"/>
      <c r="S2554" s="178"/>
    </row>
    <row r="2555" spans="18:19">
      <c r="R2555" s="178"/>
      <c r="S2555" s="178"/>
    </row>
    <row r="2556" spans="18:19">
      <c r="R2556" s="178"/>
      <c r="S2556" s="178"/>
    </row>
    <row r="2557" spans="18:19">
      <c r="R2557" s="178"/>
      <c r="S2557" s="178"/>
    </row>
    <row r="2558" spans="18:19">
      <c r="R2558" s="178"/>
      <c r="S2558" s="178"/>
    </row>
    <row r="2559" spans="18:19">
      <c r="R2559" s="178"/>
      <c r="S2559" s="178"/>
    </row>
    <row r="2560" spans="18:19">
      <c r="R2560" s="178"/>
      <c r="S2560" s="178"/>
    </row>
    <row r="2561" spans="18:19">
      <c r="R2561" s="178"/>
      <c r="S2561" s="178"/>
    </row>
    <row r="2562" spans="18:19">
      <c r="R2562" s="178"/>
      <c r="S2562" s="178"/>
    </row>
    <row r="2563" spans="18:19">
      <c r="R2563" s="178"/>
      <c r="S2563" s="178"/>
    </row>
    <row r="2564" spans="18:19">
      <c r="R2564" s="178"/>
      <c r="S2564" s="178"/>
    </row>
    <row r="2565" spans="18:19">
      <c r="R2565" s="178"/>
      <c r="S2565" s="178"/>
    </row>
    <row r="2566" spans="18:19">
      <c r="R2566" s="178"/>
      <c r="S2566" s="178"/>
    </row>
    <row r="2567" spans="18:19">
      <c r="R2567" s="178"/>
      <c r="S2567" s="178"/>
    </row>
    <row r="2568" spans="18:19">
      <c r="R2568" s="178"/>
      <c r="S2568" s="178"/>
    </row>
    <row r="2569" spans="18:19">
      <c r="R2569" s="178"/>
      <c r="S2569" s="178"/>
    </row>
    <row r="2570" spans="18:19">
      <c r="R2570" s="178"/>
      <c r="S2570" s="178"/>
    </row>
    <row r="2571" spans="18:19">
      <c r="R2571" s="178"/>
      <c r="S2571" s="178"/>
    </row>
    <row r="2572" spans="18:19">
      <c r="R2572" s="178"/>
      <c r="S2572" s="178"/>
    </row>
    <row r="2573" spans="18:19">
      <c r="R2573" s="178"/>
      <c r="S2573" s="178"/>
    </row>
    <row r="2574" spans="18:19">
      <c r="R2574" s="178"/>
      <c r="S2574" s="178"/>
    </row>
    <row r="2575" spans="18:19">
      <c r="R2575" s="178"/>
      <c r="S2575" s="178"/>
    </row>
    <row r="2576" spans="18:19">
      <c r="R2576" s="178"/>
      <c r="S2576" s="178"/>
    </row>
    <row r="2577" spans="18:19">
      <c r="R2577" s="178"/>
      <c r="S2577" s="178"/>
    </row>
    <row r="2578" spans="18:19">
      <c r="R2578" s="178"/>
      <c r="S2578" s="178"/>
    </row>
    <row r="2579" spans="18:19">
      <c r="R2579" s="178"/>
      <c r="S2579" s="178"/>
    </row>
    <row r="2580" spans="18:19">
      <c r="R2580" s="178"/>
      <c r="S2580" s="178"/>
    </row>
    <row r="2581" spans="18:19">
      <c r="R2581" s="178"/>
      <c r="S2581" s="178"/>
    </row>
    <row r="2582" spans="18:19">
      <c r="R2582" s="178"/>
      <c r="S2582" s="178"/>
    </row>
    <row r="2583" spans="18:19">
      <c r="R2583" s="178"/>
      <c r="S2583" s="178"/>
    </row>
    <row r="2584" spans="18:19">
      <c r="R2584" s="178"/>
      <c r="S2584" s="178"/>
    </row>
    <row r="2585" spans="18:19">
      <c r="R2585" s="178"/>
      <c r="S2585" s="178"/>
    </row>
    <row r="2586" spans="18:19">
      <c r="R2586" s="178"/>
      <c r="S2586" s="178"/>
    </row>
    <row r="2587" spans="18:19">
      <c r="R2587" s="178"/>
      <c r="S2587" s="178"/>
    </row>
    <row r="2588" spans="18:19">
      <c r="R2588" s="178"/>
      <c r="S2588" s="178"/>
    </row>
    <row r="2589" spans="18:19">
      <c r="R2589" s="178"/>
      <c r="S2589" s="178"/>
    </row>
    <row r="2590" spans="18:19">
      <c r="R2590" s="178"/>
      <c r="S2590" s="178"/>
    </row>
    <row r="2591" spans="18:19">
      <c r="R2591" s="178"/>
      <c r="S2591" s="178"/>
    </row>
    <row r="2592" spans="18:19">
      <c r="R2592" s="178"/>
      <c r="S2592" s="178"/>
    </row>
    <row r="2593" spans="18:19">
      <c r="R2593" s="178"/>
      <c r="S2593" s="178"/>
    </row>
    <row r="2594" spans="18:19">
      <c r="R2594" s="178"/>
      <c r="S2594" s="178"/>
    </row>
    <row r="2595" spans="18:19">
      <c r="R2595" s="178"/>
      <c r="S2595" s="178"/>
    </row>
    <row r="2596" spans="18:19">
      <c r="R2596" s="178"/>
      <c r="S2596" s="178"/>
    </row>
    <row r="2597" spans="18:19">
      <c r="R2597" s="178"/>
      <c r="S2597" s="178"/>
    </row>
    <row r="2598" spans="18:19">
      <c r="R2598" s="178"/>
      <c r="S2598" s="178"/>
    </row>
    <row r="2599" spans="18:19">
      <c r="R2599" s="178"/>
      <c r="S2599" s="178"/>
    </row>
    <row r="2600" spans="18:19">
      <c r="R2600" s="178"/>
      <c r="S2600" s="178"/>
    </row>
    <row r="2601" spans="18:19">
      <c r="R2601" s="178"/>
      <c r="S2601" s="178"/>
    </row>
    <row r="2602" spans="18:19">
      <c r="R2602" s="178"/>
      <c r="S2602" s="178"/>
    </row>
    <row r="2603" spans="18:19">
      <c r="R2603" s="178"/>
      <c r="S2603" s="178"/>
    </row>
    <row r="2604" spans="18:19">
      <c r="R2604" s="178"/>
      <c r="S2604" s="178"/>
    </row>
    <row r="2605" spans="18:19">
      <c r="R2605" s="178"/>
      <c r="S2605" s="178"/>
    </row>
    <row r="2606" spans="18:19">
      <c r="R2606" s="178"/>
      <c r="S2606" s="178"/>
    </row>
    <row r="2607" spans="18:19">
      <c r="R2607" s="178"/>
      <c r="S2607" s="178"/>
    </row>
    <row r="2608" spans="18:19">
      <c r="R2608" s="178"/>
      <c r="S2608" s="178"/>
    </row>
    <row r="2609" spans="18:19">
      <c r="R2609" s="178"/>
      <c r="S2609" s="178"/>
    </row>
    <row r="2610" spans="18:19">
      <c r="R2610" s="178"/>
      <c r="S2610" s="178"/>
    </row>
    <row r="2611" spans="18:19">
      <c r="R2611" s="178"/>
      <c r="S2611" s="178"/>
    </row>
    <row r="2612" spans="18:19">
      <c r="R2612" s="178"/>
      <c r="S2612" s="178"/>
    </row>
    <row r="2613" spans="18:19">
      <c r="R2613" s="178"/>
      <c r="S2613" s="178"/>
    </row>
    <row r="2614" spans="18:19">
      <c r="R2614" s="178"/>
      <c r="S2614" s="178"/>
    </row>
    <row r="2615" spans="18:19">
      <c r="R2615" s="178"/>
      <c r="S2615" s="178"/>
    </row>
    <row r="2616" spans="18:19">
      <c r="R2616" s="178"/>
      <c r="S2616" s="178"/>
    </row>
    <row r="2617" spans="18:19">
      <c r="R2617" s="178"/>
      <c r="S2617" s="178"/>
    </row>
    <row r="2618" spans="18:19">
      <c r="R2618" s="178"/>
      <c r="S2618" s="178"/>
    </row>
    <row r="2619" spans="18:19">
      <c r="R2619" s="178"/>
      <c r="S2619" s="178"/>
    </row>
    <row r="2620" spans="18:19">
      <c r="R2620" s="178"/>
      <c r="S2620" s="178"/>
    </row>
    <row r="2621" spans="18:19">
      <c r="R2621" s="178"/>
      <c r="S2621" s="178"/>
    </row>
    <row r="2622" spans="18:19">
      <c r="R2622" s="178"/>
      <c r="S2622" s="178"/>
    </row>
    <row r="2623" spans="18:19">
      <c r="R2623" s="178"/>
      <c r="S2623" s="178"/>
    </row>
    <row r="2624" spans="18:19">
      <c r="R2624" s="178"/>
      <c r="S2624" s="178"/>
    </row>
    <row r="2625" spans="18:19">
      <c r="R2625" s="178"/>
      <c r="S2625" s="178"/>
    </row>
    <row r="2626" spans="18:19">
      <c r="R2626" s="178"/>
      <c r="S2626" s="178"/>
    </row>
    <row r="2627" spans="18:19">
      <c r="R2627" s="178"/>
      <c r="S2627" s="178"/>
    </row>
    <row r="2628" spans="18:19">
      <c r="R2628" s="178"/>
      <c r="S2628" s="178"/>
    </row>
    <row r="2629" spans="18:19">
      <c r="R2629" s="178"/>
      <c r="S2629" s="178"/>
    </row>
    <row r="2630" spans="18:19">
      <c r="R2630" s="178"/>
      <c r="S2630" s="178"/>
    </row>
    <row r="2631" spans="18:19">
      <c r="R2631" s="178"/>
      <c r="S2631" s="178"/>
    </row>
    <row r="2632" spans="18:19">
      <c r="R2632" s="178"/>
      <c r="S2632" s="178"/>
    </row>
    <row r="2633" spans="18:19">
      <c r="R2633" s="178"/>
      <c r="S2633" s="178"/>
    </row>
    <row r="2634" spans="18:19">
      <c r="R2634" s="178"/>
      <c r="S2634" s="178"/>
    </row>
    <row r="2635" spans="18:19">
      <c r="R2635" s="178"/>
      <c r="S2635" s="178"/>
    </row>
    <row r="2636" spans="18:19">
      <c r="R2636" s="178"/>
      <c r="S2636" s="178"/>
    </row>
    <row r="2637" spans="18:19">
      <c r="R2637" s="178"/>
      <c r="S2637" s="178"/>
    </row>
    <row r="2638" spans="18:19">
      <c r="R2638" s="178"/>
      <c r="S2638" s="178"/>
    </row>
    <row r="2639" spans="18:19">
      <c r="R2639" s="178"/>
      <c r="S2639" s="178"/>
    </row>
    <row r="2640" spans="18:19">
      <c r="R2640" s="178"/>
      <c r="S2640" s="178"/>
    </row>
    <row r="2641" spans="18:19">
      <c r="R2641" s="178"/>
      <c r="S2641" s="178"/>
    </row>
    <row r="2642" spans="18:19">
      <c r="R2642" s="178"/>
      <c r="S2642" s="178"/>
    </row>
    <row r="2643" spans="18:19">
      <c r="R2643" s="178"/>
      <c r="S2643" s="178"/>
    </row>
    <row r="2644" spans="18:19">
      <c r="R2644" s="178"/>
      <c r="S2644" s="178"/>
    </row>
    <row r="2645" spans="18:19">
      <c r="R2645" s="178"/>
      <c r="S2645" s="178"/>
    </row>
    <row r="2646" spans="18:19">
      <c r="R2646" s="178"/>
      <c r="S2646" s="178"/>
    </row>
    <row r="2647" spans="18:19">
      <c r="R2647" s="178"/>
      <c r="S2647" s="178"/>
    </row>
    <row r="2648" spans="18:19">
      <c r="R2648" s="178"/>
      <c r="S2648" s="178"/>
    </row>
    <row r="2649" spans="18:19">
      <c r="R2649" s="178"/>
      <c r="S2649" s="178"/>
    </row>
    <row r="2650" spans="18:19">
      <c r="R2650" s="178"/>
      <c r="S2650" s="178"/>
    </row>
    <row r="2651" spans="18:19">
      <c r="R2651" s="178"/>
      <c r="S2651" s="178"/>
    </row>
    <row r="2652" spans="18:19">
      <c r="R2652" s="178"/>
      <c r="S2652" s="178"/>
    </row>
    <row r="2653" spans="18:19">
      <c r="R2653" s="178"/>
      <c r="S2653" s="178"/>
    </row>
    <row r="2654" spans="18:19">
      <c r="R2654" s="178"/>
      <c r="S2654" s="178"/>
    </row>
    <row r="2655" spans="18:19">
      <c r="R2655" s="178"/>
      <c r="S2655" s="178"/>
    </row>
    <row r="2656" spans="18:19">
      <c r="R2656" s="178"/>
      <c r="S2656" s="178"/>
    </row>
    <row r="2657" spans="18:19">
      <c r="R2657" s="178"/>
      <c r="S2657" s="178"/>
    </row>
    <row r="2658" spans="18:19">
      <c r="R2658" s="178"/>
      <c r="S2658" s="178"/>
    </row>
    <row r="2659" spans="18:19">
      <c r="R2659" s="178"/>
      <c r="S2659" s="178"/>
    </row>
    <row r="2660" spans="18:19">
      <c r="R2660" s="178"/>
      <c r="S2660" s="178"/>
    </row>
    <row r="2661" spans="18:19">
      <c r="R2661" s="178"/>
      <c r="S2661" s="178"/>
    </row>
    <row r="2662" spans="18:19">
      <c r="R2662" s="178"/>
      <c r="S2662" s="178"/>
    </row>
    <row r="2663" spans="18:19">
      <c r="R2663" s="178"/>
      <c r="S2663" s="178"/>
    </row>
    <row r="2664" spans="18:19">
      <c r="R2664" s="178"/>
      <c r="S2664" s="178"/>
    </row>
    <row r="2665" spans="18:19">
      <c r="R2665" s="178"/>
      <c r="S2665" s="178"/>
    </row>
    <row r="2666" spans="18:19">
      <c r="R2666" s="178"/>
      <c r="S2666" s="178"/>
    </row>
    <row r="2667" spans="18:19">
      <c r="R2667" s="178"/>
      <c r="S2667" s="178"/>
    </row>
    <row r="2668" spans="18:19">
      <c r="R2668" s="178"/>
      <c r="S2668" s="178"/>
    </row>
    <row r="2669" spans="18:19">
      <c r="R2669" s="178"/>
      <c r="S2669" s="178"/>
    </row>
    <row r="2670" spans="18:19">
      <c r="R2670" s="178"/>
      <c r="S2670" s="178"/>
    </row>
    <row r="2671" spans="18:19">
      <c r="R2671" s="178"/>
      <c r="S2671" s="178"/>
    </row>
    <row r="2672" spans="18:19">
      <c r="R2672" s="178"/>
      <c r="S2672" s="178"/>
    </row>
    <row r="2673" spans="18:19">
      <c r="R2673" s="178"/>
      <c r="S2673" s="178"/>
    </row>
    <row r="2674" spans="18:19">
      <c r="R2674" s="178"/>
      <c r="S2674" s="178"/>
    </row>
    <row r="2675" spans="18:19">
      <c r="R2675" s="178"/>
      <c r="S2675" s="178"/>
    </row>
    <row r="2676" spans="18:19">
      <c r="R2676" s="178"/>
      <c r="S2676" s="178"/>
    </row>
    <row r="2677" spans="18:19">
      <c r="R2677" s="178"/>
      <c r="S2677" s="178"/>
    </row>
    <row r="2678" spans="18:19">
      <c r="R2678" s="178"/>
      <c r="S2678" s="178"/>
    </row>
    <row r="2679" spans="18:19">
      <c r="R2679" s="178"/>
      <c r="S2679" s="178"/>
    </row>
    <row r="2680" spans="18:19">
      <c r="R2680" s="178"/>
      <c r="S2680" s="178"/>
    </row>
    <row r="2681" spans="18:19">
      <c r="R2681" s="178"/>
      <c r="S2681" s="178"/>
    </row>
    <row r="2682" spans="18:19">
      <c r="R2682" s="178"/>
      <c r="S2682" s="178"/>
    </row>
    <row r="2683" spans="18:19">
      <c r="R2683" s="178"/>
      <c r="S2683" s="178"/>
    </row>
    <row r="2684" spans="18:19">
      <c r="R2684" s="178"/>
      <c r="S2684" s="178"/>
    </row>
    <row r="2685" spans="18:19">
      <c r="R2685" s="178"/>
      <c r="S2685" s="178"/>
    </row>
    <row r="2686" spans="18:19">
      <c r="R2686" s="178"/>
      <c r="S2686" s="178"/>
    </row>
    <row r="2687" spans="18:19">
      <c r="R2687" s="178"/>
      <c r="S2687" s="178"/>
    </row>
    <row r="2688" spans="18:19">
      <c r="R2688" s="178"/>
      <c r="S2688" s="178"/>
    </row>
    <row r="2689" spans="18:19">
      <c r="R2689" s="178"/>
      <c r="S2689" s="178"/>
    </row>
    <row r="2690" spans="18:19">
      <c r="R2690" s="178"/>
      <c r="S2690" s="178"/>
    </row>
    <row r="2691" spans="18:19">
      <c r="R2691" s="178"/>
      <c r="S2691" s="178"/>
    </row>
    <row r="2692" spans="18:19">
      <c r="R2692" s="178"/>
      <c r="S2692" s="178"/>
    </row>
    <row r="2693" spans="18:19">
      <c r="R2693" s="178"/>
      <c r="S2693" s="178"/>
    </row>
    <row r="2694" spans="18:19">
      <c r="R2694" s="178"/>
      <c r="S2694" s="178"/>
    </row>
    <row r="2695" spans="18:19">
      <c r="R2695" s="178"/>
      <c r="S2695" s="178"/>
    </row>
    <row r="2696" spans="18:19">
      <c r="R2696" s="178"/>
      <c r="S2696" s="178"/>
    </row>
    <row r="2697" spans="18:19">
      <c r="R2697" s="178"/>
      <c r="S2697" s="178"/>
    </row>
    <row r="2698" spans="18:19">
      <c r="R2698" s="178"/>
      <c r="S2698" s="178"/>
    </row>
    <row r="2699" spans="18:19">
      <c r="R2699" s="178"/>
      <c r="S2699" s="178"/>
    </row>
    <row r="2700" spans="18:19">
      <c r="R2700" s="178"/>
      <c r="S2700" s="178"/>
    </row>
    <row r="2701" spans="18:19">
      <c r="R2701" s="178"/>
      <c r="S2701" s="178"/>
    </row>
    <row r="2702" spans="18:19">
      <c r="R2702" s="178"/>
      <c r="S2702" s="178"/>
    </row>
    <row r="2703" spans="18:19">
      <c r="R2703" s="178"/>
      <c r="S2703" s="178"/>
    </row>
    <row r="2704" spans="18:19">
      <c r="R2704" s="178"/>
      <c r="S2704" s="178"/>
    </row>
    <row r="2705" spans="18:19">
      <c r="R2705" s="178"/>
      <c r="S2705" s="178"/>
    </row>
    <row r="2706" spans="18:19">
      <c r="R2706" s="178"/>
      <c r="S2706" s="178"/>
    </row>
    <row r="2707" spans="18:19">
      <c r="R2707" s="178"/>
      <c r="S2707" s="178"/>
    </row>
    <row r="2708" spans="18:19">
      <c r="R2708" s="178"/>
      <c r="S2708" s="178"/>
    </row>
    <row r="2709" spans="18:19">
      <c r="R2709" s="178"/>
      <c r="S2709" s="178"/>
    </row>
    <row r="2710" spans="18:19">
      <c r="R2710" s="178"/>
      <c r="S2710" s="178"/>
    </row>
    <row r="2711" spans="18:19">
      <c r="R2711" s="178"/>
      <c r="S2711" s="178"/>
    </row>
    <row r="2712" spans="18:19">
      <c r="R2712" s="178"/>
      <c r="S2712" s="178"/>
    </row>
    <row r="2713" spans="18:19">
      <c r="R2713" s="178"/>
      <c r="S2713" s="178"/>
    </row>
    <row r="2714" spans="18:19">
      <c r="R2714" s="178"/>
      <c r="S2714" s="178"/>
    </row>
    <row r="2715" spans="18:19">
      <c r="R2715" s="178"/>
      <c r="S2715" s="178"/>
    </row>
    <row r="2716" spans="18:19">
      <c r="R2716" s="178"/>
      <c r="S2716" s="178"/>
    </row>
    <row r="2717" spans="18:19">
      <c r="R2717" s="178"/>
      <c r="S2717" s="178"/>
    </row>
    <row r="2718" spans="18:19">
      <c r="R2718" s="178"/>
      <c r="S2718" s="178"/>
    </row>
    <row r="2719" spans="18:19">
      <c r="R2719" s="178"/>
      <c r="S2719" s="178"/>
    </row>
    <row r="2720" spans="18:19">
      <c r="R2720" s="178"/>
      <c r="S2720" s="178"/>
    </row>
    <row r="2721" spans="18:19">
      <c r="R2721" s="178"/>
      <c r="S2721" s="178"/>
    </row>
    <row r="2722" spans="18:19">
      <c r="R2722" s="178"/>
      <c r="S2722" s="178"/>
    </row>
    <row r="2723" spans="18:19">
      <c r="R2723" s="178"/>
      <c r="S2723" s="178"/>
    </row>
    <row r="2724" spans="18:19">
      <c r="R2724" s="178"/>
      <c r="S2724" s="178"/>
    </row>
    <row r="2725" spans="18:19">
      <c r="R2725" s="178"/>
      <c r="S2725" s="178"/>
    </row>
    <row r="2726" spans="18:19">
      <c r="R2726" s="178"/>
      <c r="S2726" s="178"/>
    </row>
    <row r="2727" spans="18:19">
      <c r="R2727" s="178"/>
      <c r="S2727" s="178"/>
    </row>
    <row r="2728" spans="18:19">
      <c r="R2728" s="178"/>
      <c r="S2728" s="178"/>
    </row>
    <row r="2729" spans="18:19">
      <c r="R2729" s="178"/>
      <c r="S2729" s="178"/>
    </row>
    <row r="2730" spans="18:19">
      <c r="R2730" s="178"/>
      <c r="S2730" s="178"/>
    </row>
    <row r="2731" spans="18:19">
      <c r="R2731" s="178"/>
      <c r="S2731" s="178"/>
    </row>
    <row r="2732" spans="18:19">
      <c r="R2732" s="178"/>
      <c r="S2732" s="178"/>
    </row>
    <row r="2733" spans="18:19">
      <c r="R2733" s="178"/>
      <c r="S2733" s="178"/>
    </row>
    <row r="2734" spans="18:19">
      <c r="R2734" s="178"/>
      <c r="S2734" s="178"/>
    </row>
    <row r="2735" spans="18:19">
      <c r="R2735" s="178"/>
      <c r="S2735" s="178"/>
    </row>
    <row r="2736" spans="18:19">
      <c r="R2736" s="178"/>
      <c r="S2736" s="178"/>
    </row>
    <row r="2737" spans="18:19">
      <c r="R2737" s="178"/>
      <c r="S2737" s="178"/>
    </row>
    <row r="2738" spans="18:19">
      <c r="R2738" s="178"/>
      <c r="S2738" s="178"/>
    </row>
    <row r="2739" spans="18:19">
      <c r="R2739" s="178"/>
      <c r="S2739" s="178"/>
    </row>
    <row r="2740" spans="18:19">
      <c r="R2740" s="178"/>
      <c r="S2740" s="178"/>
    </row>
    <row r="2741" spans="18:19">
      <c r="R2741" s="178"/>
      <c r="S2741" s="178"/>
    </row>
    <row r="2742" spans="18:19">
      <c r="R2742" s="178"/>
      <c r="S2742" s="178"/>
    </row>
    <row r="2743" spans="18:19">
      <c r="R2743" s="178"/>
      <c r="S2743" s="178"/>
    </row>
    <row r="2744" spans="18:19">
      <c r="R2744" s="178"/>
      <c r="S2744" s="178"/>
    </row>
    <row r="2745" spans="18:19">
      <c r="R2745" s="178"/>
      <c r="S2745" s="178"/>
    </row>
    <row r="2746" spans="18:19">
      <c r="R2746" s="178"/>
      <c r="S2746" s="178"/>
    </row>
    <row r="2747" spans="18:19">
      <c r="R2747" s="178"/>
      <c r="S2747" s="178"/>
    </row>
    <row r="2748" spans="18:19">
      <c r="R2748" s="178"/>
      <c r="S2748" s="178"/>
    </row>
    <row r="2749" spans="18:19">
      <c r="R2749" s="178"/>
      <c r="S2749" s="178"/>
    </row>
    <row r="2750" spans="18:19">
      <c r="R2750" s="178"/>
      <c r="S2750" s="178"/>
    </row>
    <row r="2751" spans="18:19">
      <c r="R2751" s="178"/>
      <c r="S2751" s="178"/>
    </row>
    <row r="2752" spans="18:19">
      <c r="R2752" s="178"/>
      <c r="S2752" s="178"/>
    </row>
    <row r="2753" spans="18:19">
      <c r="R2753" s="178"/>
      <c r="S2753" s="178"/>
    </row>
    <row r="2754" spans="18:19">
      <c r="R2754" s="178"/>
      <c r="S2754" s="178"/>
    </row>
    <row r="2755" spans="18:19">
      <c r="R2755" s="178"/>
      <c r="S2755" s="178"/>
    </row>
    <row r="2756" spans="18:19">
      <c r="R2756" s="178"/>
      <c r="S2756" s="178"/>
    </row>
    <row r="2757" spans="18:19">
      <c r="R2757" s="178"/>
      <c r="S2757" s="178"/>
    </row>
    <row r="2758" spans="18:19">
      <c r="R2758" s="178"/>
      <c r="S2758" s="178"/>
    </row>
    <row r="2759" spans="18:19">
      <c r="R2759" s="178"/>
      <c r="S2759" s="178"/>
    </row>
    <row r="2760" spans="18:19">
      <c r="R2760" s="178"/>
      <c r="S2760" s="178"/>
    </row>
    <row r="2761" spans="18:19">
      <c r="R2761" s="178"/>
      <c r="S2761" s="178"/>
    </row>
    <row r="2762" spans="18:19">
      <c r="R2762" s="178"/>
      <c r="S2762" s="178"/>
    </row>
    <row r="2763" spans="18:19">
      <c r="R2763" s="178"/>
      <c r="S2763" s="178"/>
    </row>
    <row r="2764" spans="18:19">
      <c r="R2764" s="178"/>
      <c r="S2764" s="178"/>
    </row>
    <row r="2765" spans="18:19">
      <c r="R2765" s="178"/>
      <c r="S2765" s="178"/>
    </row>
    <row r="2766" spans="18:19">
      <c r="R2766" s="178"/>
      <c r="S2766" s="178"/>
    </row>
    <row r="2767" spans="18:19">
      <c r="R2767" s="178"/>
      <c r="S2767" s="178"/>
    </row>
    <row r="2768" spans="18:19">
      <c r="R2768" s="178"/>
      <c r="S2768" s="178"/>
    </row>
    <row r="2769" spans="18:19">
      <c r="R2769" s="178"/>
      <c r="S2769" s="178"/>
    </row>
    <row r="2770" spans="18:19">
      <c r="R2770" s="178"/>
      <c r="S2770" s="178"/>
    </row>
    <row r="2771" spans="18:19">
      <c r="R2771" s="178"/>
      <c r="S2771" s="178"/>
    </row>
    <row r="2772" spans="18:19">
      <c r="R2772" s="178"/>
      <c r="S2772" s="178"/>
    </row>
    <row r="2773" spans="18:19">
      <c r="R2773" s="178"/>
      <c r="S2773" s="178"/>
    </row>
    <row r="2774" spans="18:19">
      <c r="R2774" s="178"/>
      <c r="S2774" s="178"/>
    </row>
    <row r="2775" spans="18:19">
      <c r="R2775" s="178"/>
      <c r="S2775" s="178"/>
    </row>
    <row r="2776" spans="18:19">
      <c r="R2776" s="178"/>
      <c r="S2776" s="178"/>
    </row>
    <row r="2777" spans="18:19">
      <c r="R2777" s="178"/>
      <c r="S2777" s="178"/>
    </row>
    <row r="2778" spans="18:19">
      <c r="R2778" s="178"/>
      <c r="S2778" s="178"/>
    </row>
    <row r="2779" spans="18:19">
      <c r="R2779" s="178"/>
      <c r="S2779" s="178"/>
    </row>
    <row r="2780" spans="18:19">
      <c r="R2780" s="178"/>
      <c r="S2780" s="178"/>
    </row>
    <row r="2781" spans="18:19">
      <c r="R2781" s="178"/>
      <c r="S2781" s="178"/>
    </row>
    <row r="2782" spans="18:19">
      <c r="R2782" s="178"/>
      <c r="S2782" s="178"/>
    </row>
    <row r="2783" spans="18:19">
      <c r="R2783" s="178"/>
      <c r="S2783" s="178"/>
    </row>
    <row r="2784" spans="18:19">
      <c r="R2784" s="178"/>
      <c r="S2784" s="178"/>
    </row>
    <row r="2785" spans="18:19">
      <c r="R2785" s="178"/>
      <c r="S2785" s="178"/>
    </row>
    <row r="2786" spans="18:19">
      <c r="R2786" s="178"/>
      <c r="S2786" s="178"/>
    </row>
    <row r="2787" spans="18:19">
      <c r="R2787" s="178"/>
      <c r="S2787" s="178"/>
    </row>
    <row r="2788" spans="18:19">
      <c r="R2788" s="178"/>
      <c r="S2788" s="178"/>
    </row>
    <row r="2789" spans="18:19">
      <c r="R2789" s="178"/>
      <c r="S2789" s="178"/>
    </row>
    <row r="2790" spans="18:19">
      <c r="R2790" s="178"/>
      <c r="S2790" s="178"/>
    </row>
    <row r="2791" spans="18:19">
      <c r="R2791" s="178"/>
      <c r="S2791" s="178"/>
    </row>
    <row r="2792" spans="18:19">
      <c r="R2792" s="178"/>
      <c r="S2792" s="178"/>
    </row>
    <row r="2793" spans="18:19">
      <c r="R2793" s="178"/>
      <c r="S2793" s="178"/>
    </row>
    <row r="2794" spans="18:19">
      <c r="R2794" s="178"/>
      <c r="S2794" s="178"/>
    </row>
    <row r="2795" spans="18:19">
      <c r="R2795" s="178"/>
      <c r="S2795" s="178"/>
    </row>
    <row r="2796" spans="18:19">
      <c r="R2796" s="178"/>
      <c r="S2796" s="178"/>
    </row>
    <row r="2797" spans="18:19">
      <c r="R2797" s="178"/>
      <c r="S2797" s="178"/>
    </row>
    <row r="2798" spans="18:19">
      <c r="R2798" s="178"/>
      <c r="S2798" s="178"/>
    </row>
    <row r="2799" spans="18:19">
      <c r="R2799" s="178"/>
      <c r="S2799" s="178"/>
    </row>
    <row r="2800" spans="18:19">
      <c r="R2800" s="178"/>
      <c r="S2800" s="178"/>
    </row>
    <row r="2801" spans="18:19">
      <c r="R2801" s="178"/>
      <c r="S2801" s="178"/>
    </row>
    <row r="2802" spans="18:19">
      <c r="R2802" s="178"/>
      <c r="S2802" s="178"/>
    </row>
    <row r="2803" spans="18:19">
      <c r="R2803" s="178"/>
      <c r="S2803" s="178"/>
    </row>
    <row r="2804" spans="18:19">
      <c r="R2804" s="178"/>
      <c r="S2804" s="178"/>
    </row>
    <row r="2805" spans="18:19">
      <c r="R2805" s="178"/>
      <c r="S2805" s="178"/>
    </row>
    <row r="2806" spans="18:19">
      <c r="R2806" s="178"/>
      <c r="S2806" s="178"/>
    </row>
    <row r="2807" spans="18:19">
      <c r="R2807" s="178"/>
      <c r="S2807" s="178"/>
    </row>
    <row r="2808" spans="18:19">
      <c r="R2808" s="178"/>
      <c r="S2808" s="178"/>
    </row>
    <row r="2809" spans="18:19">
      <c r="R2809" s="178"/>
      <c r="S2809" s="178"/>
    </row>
    <row r="2810" spans="18:19">
      <c r="R2810" s="178"/>
      <c r="S2810" s="178"/>
    </row>
    <row r="2811" spans="18:19">
      <c r="R2811" s="178"/>
      <c r="S2811" s="178"/>
    </row>
    <row r="2812" spans="18:19">
      <c r="R2812" s="178"/>
      <c r="S2812" s="178"/>
    </row>
    <row r="2813" spans="18:19">
      <c r="R2813" s="178"/>
      <c r="S2813" s="178"/>
    </row>
    <row r="2814" spans="18:19">
      <c r="R2814" s="178"/>
      <c r="S2814" s="178"/>
    </row>
    <row r="2815" spans="18:19">
      <c r="R2815" s="178"/>
      <c r="S2815" s="178"/>
    </row>
    <row r="2816" spans="18:19">
      <c r="R2816" s="178"/>
      <c r="S2816" s="178"/>
    </row>
    <row r="2817" spans="18:19">
      <c r="R2817" s="178"/>
      <c r="S2817" s="178"/>
    </row>
    <row r="2818" spans="18:19">
      <c r="R2818" s="178"/>
      <c r="S2818" s="178"/>
    </row>
    <row r="2819" spans="18:19">
      <c r="R2819" s="178"/>
      <c r="S2819" s="178"/>
    </row>
    <row r="2820" spans="18:19">
      <c r="R2820" s="178"/>
      <c r="S2820" s="178"/>
    </row>
    <row r="2821" spans="18:19">
      <c r="R2821" s="178"/>
      <c r="S2821" s="178"/>
    </row>
    <row r="2822" spans="18:19">
      <c r="R2822" s="178"/>
      <c r="S2822" s="178"/>
    </row>
    <row r="2823" spans="18:19">
      <c r="R2823" s="178"/>
      <c r="S2823" s="178"/>
    </row>
    <row r="2824" spans="18:19">
      <c r="R2824" s="178"/>
      <c r="S2824" s="178"/>
    </row>
    <row r="2825" spans="18:19">
      <c r="R2825" s="178"/>
      <c r="S2825" s="178"/>
    </row>
    <row r="2826" spans="18:19">
      <c r="R2826" s="178"/>
      <c r="S2826" s="178"/>
    </row>
    <row r="2827" spans="18:19">
      <c r="R2827" s="178"/>
      <c r="S2827" s="178"/>
    </row>
    <row r="2828" spans="18:19">
      <c r="R2828" s="178"/>
      <c r="S2828" s="178"/>
    </row>
    <row r="2829" spans="18:19">
      <c r="R2829" s="178"/>
      <c r="S2829" s="178"/>
    </row>
    <row r="2830" spans="18:19">
      <c r="R2830" s="178"/>
      <c r="S2830" s="178"/>
    </row>
    <row r="2831" spans="18:19">
      <c r="R2831" s="178"/>
      <c r="S2831" s="178"/>
    </row>
    <row r="2832" spans="18:19">
      <c r="R2832" s="178"/>
      <c r="S2832" s="178"/>
    </row>
    <row r="2833" spans="18:19">
      <c r="R2833" s="178"/>
      <c r="S2833" s="178"/>
    </row>
    <row r="2834" spans="18:19">
      <c r="R2834" s="178"/>
      <c r="S2834" s="178"/>
    </row>
    <row r="2835" spans="18:19">
      <c r="R2835" s="178"/>
      <c r="S2835" s="178"/>
    </row>
    <row r="2836" spans="18:19">
      <c r="R2836" s="178"/>
      <c r="S2836" s="178"/>
    </row>
    <row r="2837" spans="18:19">
      <c r="R2837" s="178"/>
      <c r="S2837" s="178"/>
    </row>
    <row r="2838" spans="18:19">
      <c r="R2838" s="178"/>
      <c r="S2838" s="178"/>
    </row>
    <row r="2839" spans="18:19">
      <c r="R2839" s="178"/>
      <c r="S2839" s="178"/>
    </row>
    <row r="2840" spans="18:19">
      <c r="R2840" s="178"/>
      <c r="S2840" s="178"/>
    </row>
    <row r="2841" spans="18:19">
      <c r="R2841" s="178"/>
      <c r="S2841" s="178"/>
    </row>
    <row r="2842" spans="18:19">
      <c r="R2842" s="178"/>
      <c r="S2842" s="178"/>
    </row>
    <row r="2843" spans="18:19">
      <c r="R2843" s="178"/>
      <c r="S2843" s="178"/>
    </row>
    <row r="2844" spans="18:19">
      <c r="R2844" s="178"/>
      <c r="S2844" s="178"/>
    </row>
    <row r="2845" spans="18:19">
      <c r="R2845" s="178"/>
      <c r="S2845" s="178"/>
    </row>
    <row r="2846" spans="18:19">
      <c r="R2846" s="178"/>
      <c r="S2846" s="178"/>
    </row>
    <row r="2847" spans="18:19">
      <c r="R2847" s="178"/>
      <c r="S2847" s="178"/>
    </row>
    <row r="2848" spans="18:19">
      <c r="R2848" s="178"/>
      <c r="S2848" s="178"/>
    </row>
    <row r="2849" spans="18:19">
      <c r="R2849" s="178"/>
      <c r="S2849" s="178"/>
    </row>
    <row r="2850" spans="18:19">
      <c r="R2850" s="178"/>
      <c r="S2850" s="178"/>
    </row>
    <row r="2851" spans="18:19">
      <c r="R2851" s="178"/>
      <c r="S2851" s="178"/>
    </row>
    <row r="2852" spans="18:19">
      <c r="R2852" s="178"/>
      <c r="S2852" s="178"/>
    </row>
    <row r="2853" spans="18:19">
      <c r="R2853" s="178"/>
      <c r="S2853" s="178"/>
    </row>
    <row r="2854" spans="18:19">
      <c r="R2854" s="178"/>
      <c r="S2854" s="178"/>
    </row>
    <row r="2855" spans="18:19">
      <c r="R2855" s="178"/>
      <c r="S2855" s="178"/>
    </row>
    <row r="2856" spans="18:19">
      <c r="R2856" s="178"/>
      <c r="S2856" s="178"/>
    </row>
    <row r="2857" spans="18:19">
      <c r="R2857" s="178"/>
      <c r="S2857" s="178"/>
    </row>
    <row r="2858" spans="18:19">
      <c r="R2858" s="178"/>
      <c r="S2858" s="178"/>
    </row>
    <row r="2859" spans="18:19">
      <c r="R2859" s="178"/>
      <c r="S2859" s="178"/>
    </row>
    <row r="2860" spans="18:19">
      <c r="R2860" s="178"/>
      <c r="S2860" s="178"/>
    </row>
    <row r="2861" spans="18:19">
      <c r="R2861" s="178"/>
      <c r="S2861" s="178"/>
    </row>
    <row r="2862" spans="18:19">
      <c r="R2862" s="178"/>
      <c r="S2862" s="178"/>
    </row>
    <row r="2863" spans="18:19">
      <c r="R2863" s="178"/>
      <c r="S2863" s="178"/>
    </row>
    <row r="2864" spans="18:19">
      <c r="R2864" s="178"/>
      <c r="S2864" s="178"/>
    </row>
    <row r="2865" spans="18:19">
      <c r="R2865" s="178"/>
      <c r="S2865" s="178"/>
    </row>
    <row r="2866" spans="18:19">
      <c r="R2866" s="178"/>
      <c r="S2866" s="178"/>
    </row>
    <row r="2867" spans="18:19">
      <c r="R2867" s="178"/>
      <c r="S2867" s="178"/>
    </row>
    <row r="2868" spans="18:19">
      <c r="R2868" s="178"/>
      <c r="S2868" s="178"/>
    </row>
    <row r="2869" spans="18:19">
      <c r="R2869" s="178"/>
      <c r="S2869" s="178"/>
    </row>
    <row r="2870" spans="18:19">
      <c r="R2870" s="178"/>
      <c r="S2870" s="178"/>
    </row>
    <row r="2871" spans="18:19">
      <c r="R2871" s="178"/>
      <c r="S2871" s="178"/>
    </row>
    <row r="2872" spans="18:19">
      <c r="R2872" s="178"/>
      <c r="S2872" s="178"/>
    </row>
    <row r="2873" spans="18:19">
      <c r="R2873" s="178"/>
      <c r="S2873" s="178"/>
    </row>
    <row r="2874" spans="18:19">
      <c r="R2874" s="178"/>
      <c r="S2874" s="178"/>
    </row>
    <row r="2875" spans="18:19">
      <c r="R2875" s="178"/>
      <c r="S2875" s="178"/>
    </row>
    <row r="2876" spans="18:19">
      <c r="R2876" s="178"/>
      <c r="S2876" s="178"/>
    </row>
    <row r="2877" spans="18:19">
      <c r="R2877" s="178"/>
      <c r="S2877" s="178"/>
    </row>
    <row r="2878" spans="18:19">
      <c r="R2878" s="178"/>
      <c r="S2878" s="178"/>
    </row>
    <row r="2879" spans="18:19">
      <c r="R2879" s="178"/>
      <c r="S2879" s="178"/>
    </row>
    <row r="2880" spans="18:19">
      <c r="R2880" s="178"/>
      <c r="S2880" s="178"/>
    </row>
    <row r="2881" spans="18:19">
      <c r="R2881" s="178"/>
      <c r="S2881" s="178"/>
    </row>
    <row r="2882" spans="18:19">
      <c r="R2882" s="178"/>
      <c r="S2882" s="178"/>
    </row>
    <row r="2883" spans="18:19">
      <c r="R2883" s="178"/>
      <c r="S2883" s="178"/>
    </row>
    <row r="2884" spans="18:19">
      <c r="R2884" s="178"/>
      <c r="S2884" s="178"/>
    </row>
    <row r="2885" spans="18:19">
      <c r="R2885" s="178"/>
      <c r="S2885" s="178"/>
    </row>
    <row r="2886" spans="18:19">
      <c r="R2886" s="178"/>
      <c r="S2886" s="178"/>
    </row>
    <row r="2887" spans="18:19">
      <c r="R2887" s="178"/>
      <c r="S2887" s="178"/>
    </row>
    <row r="2888" spans="18:19">
      <c r="R2888" s="178"/>
      <c r="S2888" s="178"/>
    </row>
    <row r="2889" spans="18:19">
      <c r="R2889" s="178"/>
      <c r="S2889" s="178"/>
    </row>
    <row r="2890" spans="18:19">
      <c r="R2890" s="178"/>
      <c r="S2890" s="178"/>
    </row>
    <row r="2891" spans="18:19">
      <c r="R2891" s="178"/>
      <c r="S2891" s="178"/>
    </row>
    <row r="2892" spans="18:19">
      <c r="R2892" s="178"/>
      <c r="S2892" s="178"/>
    </row>
    <row r="2893" spans="18:19">
      <c r="R2893" s="178"/>
      <c r="S2893" s="178"/>
    </row>
    <row r="2894" spans="18:19">
      <c r="R2894" s="178"/>
      <c r="S2894" s="178"/>
    </row>
    <row r="2895" spans="18:19">
      <c r="R2895" s="178"/>
      <c r="S2895" s="178"/>
    </row>
    <row r="2896" spans="18:19">
      <c r="R2896" s="178"/>
      <c r="S2896" s="178"/>
    </row>
    <row r="2897" spans="18:19">
      <c r="R2897" s="178"/>
      <c r="S2897" s="178"/>
    </row>
    <row r="2898" spans="18:19">
      <c r="R2898" s="178"/>
      <c r="S2898" s="178"/>
    </row>
    <row r="2899" spans="18:19">
      <c r="R2899" s="178"/>
      <c r="S2899" s="178"/>
    </row>
    <row r="2900" spans="18:19">
      <c r="R2900" s="178"/>
      <c r="S2900" s="178"/>
    </row>
    <row r="2901" spans="18:19">
      <c r="R2901" s="178"/>
      <c r="S2901" s="178"/>
    </row>
    <row r="2902" spans="18:19">
      <c r="R2902" s="178"/>
      <c r="S2902" s="178"/>
    </row>
    <row r="2903" spans="18:19">
      <c r="R2903" s="178"/>
      <c r="S2903" s="178"/>
    </row>
    <row r="2904" spans="18:19">
      <c r="R2904" s="178"/>
      <c r="S2904" s="178"/>
    </row>
    <row r="2905" spans="18:19">
      <c r="R2905" s="178"/>
      <c r="S2905" s="178"/>
    </row>
    <row r="2906" spans="18:19">
      <c r="R2906" s="178"/>
      <c r="S2906" s="178"/>
    </row>
    <row r="2907" spans="18:19">
      <c r="R2907" s="178"/>
      <c r="S2907" s="178"/>
    </row>
    <row r="2908" spans="18:19">
      <c r="R2908" s="178"/>
      <c r="S2908" s="178"/>
    </row>
    <row r="2909" spans="18:19">
      <c r="R2909" s="178"/>
      <c r="S2909" s="178"/>
    </row>
    <row r="2910" spans="18:19">
      <c r="R2910" s="178"/>
      <c r="S2910" s="178"/>
    </row>
    <row r="2911" spans="18:19">
      <c r="R2911" s="178"/>
      <c r="S2911" s="178"/>
    </row>
    <row r="2912" spans="18:19">
      <c r="R2912" s="178"/>
      <c r="S2912" s="178"/>
    </row>
    <row r="2913" spans="18:19">
      <c r="R2913" s="178"/>
      <c r="S2913" s="178"/>
    </row>
    <row r="2914" spans="18:19">
      <c r="R2914" s="178"/>
      <c r="S2914" s="178"/>
    </row>
    <row r="2915" spans="18:19">
      <c r="R2915" s="178"/>
      <c r="S2915" s="178"/>
    </row>
    <row r="2916" spans="18:19">
      <c r="R2916" s="178"/>
      <c r="S2916" s="178"/>
    </row>
    <row r="2917" spans="18:19">
      <c r="R2917" s="178"/>
      <c r="S2917" s="178"/>
    </row>
    <row r="2918" spans="18:19">
      <c r="R2918" s="178"/>
      <c r="S2918" s="178"/>
    </row>
    <row r="2919" spans="18:19">
      <c r="R2919" s="178"/>
      <c r="S2919" s="178"/>
    </row>
    <row r="2920" spans="18:19">
      <c r="R2920" s="178"/>
      <c r="S2920" s="178"/>
    </row>
    <row r="2921" spans="18:19">
      <c r="R2921" s="178"/>
      <c r="S2921" s="178"/>
    </row>
    <row r="2922" spans="18:19">
      <c r="R2922" s="178"/>
      <c r="S2922" s="178"/>
    </row>
    <row r="2923" spans="18:19">
      <c r="R2923" s="178"/>
      <c r="S2923" s="178"/>
    </row>
    <row r="2924" spans="18:19">
      <c r="R2924" s="178"/>
      <c r="S2924" s="178"/>
    </row>
    <row r="2925" spans="18:19">
      <c r="R2925" s="178"/>
      <c r="S2925" s="178"/>
    </row>
    <row r="2926" spans="18:19">
      <c r="R2926" s="178"/>
      <c r="S2926" s="178"/>
    </row>
    <row r="2927" spans="18:19">
      <c r="R2927" s="178"/>
      <c r="S2927" s="178"/>
    </row>
    <row r="2928" spans="18:19">
      <c r="R2928" s="178"/>
      <c r="S2928" s="178"/>
    </row>
    <row r="2929" spans="18:19">
      <c r="R2929" s="178"/>
      <c r="S2929" s="178"/>
    </row>
    <row r="2930" spans="18:19">
      <c r="R2930" s="178"/>
      <c r="S2930" s="178"/>
    </row>
    <row r="2931" spans="18:19">
      <c r="R2931" s="178"/>
      <c r="S2931" s="178"/>
    </row>
    <row r="2932" spans="18:19">
      <c r="R2932" s="178"/>
      <c r="S2932" s="178"/>
    </row>
    <row r="2933" spans="18:19">
      <c r="R2933" s="178"/>
      <c r="S2933" s="178"/>
    </row>
    <row r="2934" spans="18:19">
      <c r="R2934" s="178"/>
      <c r="S2934" s="178"/>
    </row>
    <row r="2935" spans="18:19">
      <c r="R2935" s="178"/>
      <c r="S2935" s="178"/>
    </row>
    <row r="2936" spans="18:19">
      <c r="R2936" s="178"/>
      <c r="S2936" s="178"/>
    </row>
    <row r="2937" spans="18:19">
      <c r="R2937" s="178"/>
      <c r="S2937" s="178"/>
    </row>
    <row r="2938" spans="18:19">
      <c r="R2938" s="178"/>
      <c r="S2938" s="178"/>
    </row>
    <row r="2939" spans="18:19">
      <c r="R2939" s="178"/>
      <c r="S2939" s="178"/>
    </row>
    <row r="2940" spans="18:19">
      <c r="R2940" s="178"/>
      <c r="S2940" s="178"/>
    </row>
    <row r="2941" spans="18:19">
      <c r="R2941" s="178"/>
      <c r="S2941" s="178"/>
    </row>
    <row r="2942" spans="18:19">
      <c r="R2942" s="178"/>
      <c r="S2942" s="178"/>
    </row>
    <row r="2943" spans="18:19">
      <c r="R2943" s="178"/>
      <c r="S2943" s="178"/>
    </row>
    <row r="2944" spans="18:19">
      <c r="R2944" s="178"/>
      <c r="S2944" s="178"/>
    </row>
    <row r="2945" spans="18:19">
      <c r="R2945" s="178"/>
      <c r="S2945" s="178"/>
    </row>
    <row r="2946" spans="18:19">
      <c r="R2946" s="178"/>
      <c r="S2946" s="178"/>
    </row>
    <row r="2947" spans="18:19">
      <c r="R2947" s="178"/>
      <c r="S2947" s="178"/>
    </row>
    <row r="2948" spans="18:19">
      <c r="R2948" s="178"/>
      <c r="S2948" s="178"/>
    </row>
    <row r="2949" spans="18:19">
      <c r="R2949" s="178"/>
      <c r="S2949" s="178"/>
    </row>
    <row r="2950" spans="18:19">
      <c r="R2950" s="178"/>
      <c r="S2950" s="178"/>
    </row>
    <row r="2951" spans="18:19">
      <c r="R2951" s="178"/>
      <c r="S2951" s="178"/>
    </row>
    <row r="2952" spans="18:19">
      <c r="R2952" s="178"/>
      <c r="S2952" s="178"/>
    </row>
    <row r="2953" spans="18:19">
      <c r="R2953" s="178"/>
      <c r="S2953" s="178"/>
    </row>
    <row r="2954" spans="18:19">
      <c r="R2954" s="178"/>
      <c r="S2954" s="178"/>
    </row>
    <row r="2955" spans="18:19">
      <c r="R2955" s="178"/>
      <c r="S2955" s="178"/>
    </row>
    <row r="2956" spans="18:19">
      <c r="R2956" s="178"/>
      <c r="S2956" s="178"/>
    </row>
    <row r="2957" spans="18:19">
      <c r="R2957" s="178"/>
      <c r="S2957" s="178"/>
    </row>
    <row r="2958" spans="18:19">
      <c r="R2958" s="178"/>
      <c r="S2958" s="178"/>
    </row>
    <row r="2959" spans="18:19">
      <c r="R2959" s="178"/>
      <c r="S2959" s="178"/>
    </row>
    <row r="2960" spans="18:19">
      <c r="R2960" s="178"/>
      <c r="S2960" s="178"/>
    </row>
    <row r="2961" spans="18:19">
      <c r="R2961" s="178"/>
      <c r="S2961" s="178"/>
    </row>
    <row r="2962" spans="18:19">
      <c r="R2962" s="178"/>
      <c r="S2962" s="178"/>
    </row>
    <row r="2963" spans="18:19">
      <c r="R2963" s="178"/>
      <c r="S2963" s="178"/>
    </row>
    <row r="2964" spans="18:19">
      <c r="R2964" s="178"/>
      <c r="S2964" s="178"/>
    </row>
    <row r="2965" spans="18:19">
      <c r="R2965" s="178"/>
      <c r="S2965" s="178"/>
    </row>
    <row r="2966" spans="18:19">
      <c r="R2966" s="178"/>
      <c r="S2966" s="178"/>
    </row>
    <row r="2967" spans="18:19">
      <c r="R2967" s="178"/>
      <c r="S2967" s="178"/>
    </row>
    <row r="2968" spans="18:19">
      <c r="R2968" s="178"/>
      <c r="S2968" s="178"/>
    </row>
    <row r="2969" spans="18:19">
      <c r="R2969" s="178"/>
      <c r="S2969" s="178"/>
    </row>
    <row r="2970" spans="18:19">
      <c r="R2970" s="178"/>
      <c r="S2970" s="178"/>
    </row>
    <row r="2971" spans="18:19">
      <c r="R2971" s="178"/>
      <c r="S2971" s="178"/>
    </row>
    <row r="2972" spans="18:19">
      <c r="R2972" s="178"/>
      <c r="S2972" s="178"/>
    </row>
    <row r="2973" spans="18:19">
      <c r="R2973" s="178"/>
      <c r="S2973" s="178"/>
    </row>
    <row r="2974" spans="18:19">
      <c r="R2974" s="178"/>
      <c r="S2974" s="178"/>
    </row>
    <row r="2975" spans="18:19">
      <c r="R2975" s="178"/>
      <c r="S2975" s="178"/>
    </row>
    <row r="2976" spans="18:19">
      <c r="R2976" s="178"/>
      <c r="S2976" s="178"/>
    </row>
    <row r="2977" spans="18:19">
      <c r="R2977" s="178"/>
      <c r="S2977" s="178"/>
    </row>
    <row r="2978" spans="18:19">
      <c r="R2978" s="178"/>
      <c r="S2978" s="178"/>
    </row>
    <row r="2979" spans="18:19">
      <c r="R2979" s="178"/>
      <c r="S2979" s="178"/>
    </row>
    <row r="2980" spans="18:19">
      <c r="R2980" s="178"/>
      <c r="S2980" s="178"/>
    </row>
    <row r="2981" spans="18:19">
      <c r="R2981" s="178"/>
      <c r="S2981" s="178"/>
    </row>
    <row r="2982" spans="18:19">
      <c r="R2982" s="178"/>
      <c r="S2982" s="178"/>
    </row>
    <row r="2983" spans="18:19">
      <c r="R2983" s="178"/>
      <c r="S2983" s="178"/>
    </row>
    <row r="2984" spans="18:19">
      <c r="R2984" s="178"/>
      <c r="S2984" s="178"/>
    </row>
    <row r="2985" spans="18:19">
      <c r="R2985" s="178"/>
      <c r="S2985" s="178"/>
    </row>
    <row r="2986" spans="18:19">
      <c r="R2986" s="178"/>
      <c r="S2986" s="178"/>
    </row>
    <row r="2987" spans="18:19">
      <c r="R2987" s="178"/>
      <c r="S2987" s="178"/>
    </row>
    <row r="2988" spans="18:19">
      <c r="R2988" s="178"/>
      <c r="S2988" s="178"/>
    </row>
    <row r="2989" spans="18:19">
      <c r="R2989" s="178"/>
      <c r="S2989" s="178"/>
    </row>
    <row r="2990" spans="18:19">
      <c r="R2990" s="178"/>
      <c r="S2990" s="178"/>
    </row>
    <row r="2991" spans="18:19">
      <c r="R2991" s="178"/>
      <c r="S2991" s="178"/>
    </row>
    <row r="2992" spans="18:19">
      <c r="R2992" s="178"/>
      <c r="S2992" s="178"/>
    </row>
    <row r="2993" spans="18:19">
      <c r="R2993" s="178"/>
      <c r="S2993" s="178"/>
    </row>
    <row r="2994" spans="18:19">
      <c r="R2994" s="178"/>
      <c r="S2994" s="178"/>
    </row>
    <row r="2995" spans="18:19">
      <c r="R2995" s="178"/>
      <c r="S2995" s="178"/>
    </row>
    <row r="2996" spans="18:19">
      <c r="R2996" s="178"/>
      <c r="S2996" s="178"/>
    </row>
    <row r="2997" spans="18:19">
      <c r="R2997" s="178"/>
      <c r="S2997" s="178"/>
    </row>
    <row r="2998" spans="18:19">
      <c r="R2998" s="178"/>
      <c r="S2998" s="178"/>
    </row>
    <row r="2999" spans="18:19">
      <c r="R2999" s="178"/>
      <c r="S2999" s="178"/>
    </row>
    <row r="3000" spans="18:19">
      <c r="R3000" s="178"/>
      <c r="S3000" s="178"/>
    </row>
    <row r="3001" spans="18:19">
      <c r="R3001" s="178"/>
      <c r="S3001" s="178"/>
    </row>
    <row r="3002" spans="18:19">
      <c r="R3002" s="178"/>
      <c r="S3002" s="178"/>
    </row>
    <row r="3003" spans="18:19">
      <c r="R3003" s="178"/>
      <c r="S3003" s="178"/>
    </row>
    <row r="3004" spans="18:19">
      <c r="R3004" s="178"/>
      <c r="S3004" s="178"/>
    </row>
    <row r="3005" spans="18:19">
      <c r="R3005" s="178"/>
      <c r="S3005" s="178"/>
    </row>
    <row r="3006" spans="18:19">
      <c r="R3006" s="178"/>
      <c r="S3006" s="178"/>
    </row>
    <row r="3007" spans="18:19">
      <c r="R3007" s="178"/>
      <c r="S3007" s="178"/>
    </row>
    <row r="3008" spans="18:19">
      <c r="R3008" s="178"/>
      <c r="S3008" s="178"/>
    </row>
    <row r="3009" spans="18:19">
      <c r="R3009" s="178"/>
      <c r="S3009" s="178"/>
    </row>
    <row r="3010" spans="18:19">
      <c r="R3010" s="178"/>
      <c r="S3010" s="178"/>
    </row>
    <row r="3011" spans="18:19">
      <c r="R3011" s="178"/>
      <c r="S3011" s="178"/>
    </row>
    <row r="3012" spans="18:19">
      <c r="R3012" s="178"/>
      <c r="S3012" s="178"/>
    </row>
    <row r="3013" spans="18:19">
      <c r="R3013" s="178"/>
      <c r="S3013" s="178"/>
    </row>
    <row r="3014" spans="18:19">
      <c r="R3014" s="178"/>
      <c r="S3014" s="178"/>
    </row>
    <row r="3015" spans="18:19">
      <c r="R3015" s="178"/>
      <c r="S3015" s="178"/>
    </row>
    <row r="3016" spans="18:19">
      <c r="R3016" s="178"/>
      <c r="S3016" s="178"/>
    </row>
    <row r="3017" spans="18:19">
      <c r="R3017" s="178"/>
      <c r="S3017" s="178"/>
    </row>
    <row r="3018" spans="18:19">
      <c r="R3018" s="178"/>
      <c r="S3018" s="178"/>
    </row>
    <row r="3019" spans="18:19">
      <c r="R3019" s="178"/>
      <c r="S3019" s="178"/>
    </row>
    <row r="3020" spans="18:19">
      <c r="R3020" s="178"/>
      <c r="S3020" s="178"/>
    </row>
    <row r="3021" spans="18:19">
      <c r="R3021" s="178"/>
      <c r="S3021" s="178"/>
    </row>
    <row r="3022" spans="18:19">
      <c r="R3022" s="178"/>
      <c r="S3022" s="178"/>
    </row>
    <row r="3023" spans="18:19">
      <c r="R3023" s="178"/>
      <c r="S3023" s="178"/>
    </row>
    <row r="3024" spans="18:19">
      <c r="R3024" s="178"/>
      <c r="S3024" s="178"/>
    </row>
    <row r="3025" spans="18:19">
      <c r="R3025" s="178"/>
      <c r="S3025" s="178"/>
    </row>
    <row r="3026" spans="18:19">
      <c r="R3026" s="178"/>
      <c r="S3026" s="178"/>
    </row>
    <row r="3027" spans="18:19">
      <c r="R3027" s="178"/>
      <c r="S3027" s="178"/>
    </row>
    <row r="3028" spans="18:19">
      <c r="R3028" s="178"/>
      <c r="S3028" s="178"/>
    </row>
    <row r="3029" spans="18:19">
      <c r="R3029" s="178"/>
      <c r="S3029" s="178"/>
    </row>
    <row r="3030" spans="18:19">
      <c r="R3030" s="178"/>
      <c r="S3030" s="178"/>
    </row>
    <row r="3031" spans="18:19">
      <c r="R3031" s="178"/>
      <c r="S3031" s="178"/>
    </row>
    <row r="3032" spans="18:19">
      <c r="R3032" s="178"/>
      <c r="S3032" s="178"/>
    </row>
    <row r="3033" spans="18:19">
      <c r="R3033" s="178"/>
      <c r="S3033" s="178"/>
    </row>
    <row r="3034" spans="18:19">
      <c r="R3034" s="178"/>
      <c r="S3034" s="178"/>
    </row>
    <row r="3035" spans="18:19">
      <c r="R3035" s="178"/>
      <c r="S3035" s="178"/>
    </row>
    <row r="3036" spans="18:19">
      <c r="R3036" s="178"/>
      <c r="S3036" s="178"/>
    </row>
    <row r="3037" spans="18:19">
      <c r="R3037" s="178"/>
      <c r="S3037" s="178"/>
    </row>
    <row r="3038" spans="18:19">
      <c r="R3038" s="178"/>
      <c r="S3038" s="178"/>
    </row>
    <row r="3039" spans="18:19">
      <c r="R3039" s="178"/>
      <c r="S3039" s="178"/>
    </row>
    <row r="3040" spans="18:19">
      <c r="R3040" s="178"/>
      <c r="S3040" s="178"/>
    </row>
    <row r="3041" spans="18:19">
      <c r="R3041" s="178"/>
      <c r="S3041" s="178"/>
    </row>
    <row r="3042" spans="18:19">
      <c r="R3042" s="178"/>
      <c r="S3042" s="178"/>
    </row>
    <row r="3043" spans="18:19">
      <c r="R3043" s="178"/>
      <c r="S3043" s="178"/>
    </row>
    <row r="3044" spans="18:19">
      <c r="R3044" s="178"/>
      <c r="S3044" s="178"/>
    </row>
    <row r="3045" spans="18:19">
      <c r="R3045" s="178"/>
      <c r="S3045" s="178"/>
    </row>
    <row r="3046" spans="18:19">
      <c r="R3046" s="178"/>
      <c r="S3046" s="178"/>
    </row>
    <row r="3047" spans="18:19">
      <c r="R3047" s="178"/>
      <c r="S3047" s="178"/>
    </row>
    <row r="3048" spans="18:19">
      <c r="R3048" s="178"/>
      <c r="S3048" s="178"/>
    </row>
    <row r="3049" spans="18:19">
      <c r="R3049" s="178"/>
      <c r="S3049" s="178"/>
    </row>
    <row r="3050" spans="18:19">
      <c r="R3050" s="178"/>
      <c r="S3050" s="178"/>
    </row>
    <row r="3051" spans="18:19">
      <c r="R3051" s="178"/>
      <c r="S3051" s="178"/>
    </row>
    <row r="3052" spans="18:19">
      <c r="R3052" s="178"/>
      <c r="S3052" s="178"/>
    </row>
    <row r="3053" spans="18:19">
      <c r="R3053" s="178"/>
      <c r="S3053" s="178"/>
    </row>
    <row r="3054" spans="18:19">
      <c r="R3054" s="178"/>
      <c r="S3054" s="178"/>
    </row>
    <row r="3055" spans="18:19">
      <c r="R3055" s="178"/>
      <c r="S3055" s="178"/>
    </row>
    <row r="3056" spans="18:19">
      <c r="R3056" s="178"/>
      <c r="S3056" s="178"/>
    </row>
    <row r="3057" spans="18:19">
      <c r="R3057" s="178"/>
      <c r="S3057" s="178"/>
    </row>
    <row r="3058" spans="18:19">
      <c r="R3058" s="178"/>
      <c r="S3058" s="178"/>
    </row>
    <row r="3059" spans="18:19">
      <c r="R3059" s="178"/>
      <c r="S3059" s="178"/>
    </row>
    <row r="3060" spans="18:19">
      <c r="R3060" s="178"/>
      <c r="S3060" s="178"/>
    </row>
    <row r="3061" spans="18:19">
      <c r="R3061" s="178"/>
      <c r="S3061" s="178"/>
    </row>
    <row r="3062" spans="18:19">
      <c r="R3062" s="178"/>
      <c r="S3062" s="178"/>
    </row>
    <row r="3063" spans="18:19">
      <c r="R3063" s="178"/>
      <c r="S3063" s="178"/>
    </row>
    <row r="3064" spans="18:19">
      <c r="R3064" s="178"/>
      <c r="S3064" s="178"/>
    </row>
    <row r="3065" spans="18:19">
      <c r="R3065" s="178"/>
      <c r="S3065" s="178"/>
    </row>
    <row r="3066" spans="18:19">
      <c r="R3066" s="178"/>
      <c r="S3066" s="178"/>
    </row>
    <row r="3067" spans="18:19">
      <c r="R3067" s="178"/>
      <c r="S3067" s="178"/>
    </row>
    <row r="3068" spans="18:19">
      <c r="R3068" s="178"/>
      <c r="S3068" s="178"/>
    </row>
    <row r="3069" spans="18:19">
      <c r="R3069" s="178"/>
      <c r="S3069" s="178"/>
    </row>
    <row r="3070" spans="18:19">
      <c r="R3070" s="178"/>
      <c r="S3070" s="178"/>
    </row>
    <row r="3071" spans="18:19">
      <c r="R3071" s="178"/>
      <c r="S3071" s="178"/>
    </row>
    <row r="3072" spans="18:19">
      <c r="R3072" s="178"/>
      <c r="S3072" s="178"/>
    </row>
    <row r="3073" spans="18:19">
      <c r="R3073" s="178"/>
      <c r="S3073" s="178"/>
    </row>
    <row r="3074" spans="18:19">
      <c r="R3074" s="178"/>
      <c r="S3074" s="178"/>
    </row>
    <row r="3075" spans="18:19">
      <c r="R3075" s="178"/>
      <c r="S3075" s="178"/>
    </row>
    <row r="3076" spans="18:19">
      <c r="R3076" s="178"/>
      <c r="S3076" s="178"/>
    </row>
    <row r="3077" spans="18:19">
      <c r="R3077" s="178"/>
      <c r="S3077" s="178"/>
    </row>
    <row r="3078" spans="18:19">
      <c r="R3078" s="178"/>
      <c r="S3078" s="178"/>
    </row>
    <row r="3079" spans="18:19">
      <c r="R3079" s="178"/>
      <c r="S3079" s="178"/>
    </row>
    <row r="3080" spans="18:19">
      <c r="R3080" s="178"/>
      <c r="S3080" s="178"/>
    </row>
    <row r="3081" spans="18:19">
      <c r="R3081" s="178"/>
      <c r="S3081" s="178"/>
    </row>
    <row r="3082" spans="18:19">
      <c r="R3082" s="178"/>
      <c r="S3082" s="178"/>
    </row>
    <row r="3083" spans="18:19">
      <c r="R3083" s="178"/>
      <c r="S3083" s="178"/>
    </row>
    <row r="3084" spans="18:19">
      <c r="R3084" s="178"/>
      <c r="S3084" s="178"/>
    </row>
    <row r="3085" spans="18:19">
      <c r="R3085" s="178"/>
      <c r="S3085" s="178"/>
    </row>
    <row r="3086" spans="18:19">
      <c r="R3086" s="178"/>
      <c r="S3086" s="178"/>
    </row>
    <row r="3087" spans="18:19">
      <c r="R3087" s="178"/>
      <c r="S3087" s="178"/>
    </row>
    <row r="3088" spans="18:19">
      <c r="R3088" s="178"/>
      <c r="S3088" s="178"/>
    </row>
    <row r="3089" spans="18:19">
      <c r="R3089" s="178"/>
      <c r="S3089" s="178"/>
    </row>
    <row r="3090" spans="18:19">
      <c r="R3090" s="178"/>
      <c r="S3090" s="178"/>
    </row>
    <row r="3091" spans="18:19">
      <c r="R3091" s="178"/>
      <c r="S3091" s="178"/>
    </row>
    <row r="3092" spans="18:19">
      <c r="R3092" s="178"/>
      <c r="S3092" s="178"/>
    </row>
    <row r="3093" spans="18:19">
      <c r="R3093" s="178"/>
      <c r="S3093" s="178"/>
    </row>
    <row r="3094" spans="18:19">
      <c r="R3094" s="178"/>
      <c r="S3094" s="178"/>
    </row>
    <row r="3095" spans="18:19">
      <c r="R3095" s="178"/>
      <c r="S3095" s="178"/>
    </row>
    <row r="3096" spans="18:19">
      <c r="R3096" s="178"/>
      <c r="S3096" s="178"/>
    </row>
    <row r="3097" spans="18:19">
      <c r="R3097" s="178"/>
      <c r="S3097" s="178"/>
    </row>
    <row r="3098" spans="18:19">
      <c r="R3098" s="178"/>
      <c r="S3098" s="178"/>
    </row>
    <row r="3099" spans="18:19">
      <c r="R3099" s="178"/>
      <c r="S3099" s="178"/>
    </row>
    <row r="3100" spans="18:19">
      <c r="R3100" s="178"/>
      <c r="S3100" s="178"/>
    </row>
    <row r="3101" spans="18:19">
      <c r="R3101" s="178"/>
      <c r="S3101" s="178"/>
    </row>
    <row r="3102" spans="18:19">
      <c r="R3102" s="178"/>
      <c r="S3102" s="178"/>
    </row>
    <row r="3103" spans="18:19">
      <c r="R3103" s="178"/>
      <c r="S3103" s="178"/>
    </row>
    <row r="3104" spans="18:19">
      <c r="R3104" s="178"/>
      <c r="S3104" s="178"/>
    </row>
    <row r="3105" spans="18:19">
      <c r="R3105" s="178"/>
      <c r="S3105" s="178"/>
    </row>
    <row r="3106" spans="18:19">
      <c r="R3106" s="178"/>
      <c r="S3106" s="178"/>
    </row>
    <row r="3107" spans="18:19">
      <c r="R3107" s="178"/>
      <c r="S3107" s="178"/>
    </row>
    <row r="3108" spans="18:19">
      <c r="R3108" s="178"/>
      <c r="S3108" s="178"/>
    </row>
    <row r="3109" spans="18:19">
      <c r="R3109" s="178"/>
      <c r="S3109" s="178"/>
    </row>
    <row r="3110" spans="18:19">
      <c r="R3110" s="178"/>
      <c r="S3110" s="178"/>
    </row>
    <row r="3111" spans="18:19">
      <c r="R3111" s="178"/>
      <c r="S3111" s="178"/>
    </row>
    <row r="3112" spans="18:19">
      <c r="R3112" s="178"/>
      <c r="S3112" s="178"/>
    </row>
    <row r="3113" spans="18:19">
      <c r="R3113" s="178"/>
      <c r="S3113" s="178"/>
    </row>
    <row r="3114" spans="18:19">
      <c r="R3114" s="178"/>
      <c r="S3114" s="178"/>
    </row>
    <row r="3115" spans="18:19">
      <c r="R3115" s="178"/>
      <c r="S3115" s="178"/>
    </row>
    <row r="3116" spans="18:19">
      <c r="R3116" s="178"/>
      <c r="S3116" s="178"/>
    </row>
    <row r="3117" spans="18:19">
      <c r="R3117" s="178"/>
      <c r="S3117" s="178"/>
    </row>
    <row r="3118" spans="18:19">
      <c r="R3118" s="178"/>
      <c r="S3118" s="178"/>
    </row>
    <row r="3119" spans="18:19">
      <c r="R3119" s="178"/>
      <c r="S3119" s="178"/>
    </row>
    <row r="3120" spans="18:19">
      <c r="R3120" s="178"/>
      <c r="S3120" s="178"/>
    </row>
    <row r="3121" spans="18:19">
      <c r="R3121" s="178"/>
      <c r="S3121" s="178"/>
    </row>
    <row r="3122" spans="18:19">
      <c r="R3122" s="178"/>
      <c r="S3122" s="178"/>
    </row>
    <row r="3123" spans="18:19">
      <c r="R3123" s="178"/>
      <c r="S3123" s="178"/>
    </row>
    <row r="3124" spans="18:19">
      <c r="R3124" s="178"/>
      <c r="S3124" s="178"/>
    </row>
    <row r="3125" spans="18:19">
      <c r="R3125" s="178"/>
      <c r="S3125" s="178"/>
    </row>
    <row r="3126" spans="18:19">
      <c r="R3126" s="178"/>
      <c r="S3126" s="178"/>
    </row>
    <row r="3127" spans="18:19">
      <c r="R3127" s="178"/>
      <c r="S3127" s="178"/>
    </row>
    <row r="3128" spans="18:19">
      <c r="R3128" s="178"/>
      <c r="S3128" s="178"/>
    </row>
    <row r="3129" spans="18:19">
      <c r="R3129" s="178"/>
      <c r="S3129" s="178"/>
    </row>
    <row r="3130" spans="18:19">
      <c r="R3130" s="178"/>
      <c r="S3130" s="178"/>
    </row>
    <row r="3131" spans="18:19">
      <c r="R3131" s="178"/>
      <c r="S3131" s="178"/>
    </row>
    <row r="3132" spans="18:19">
      <c r="R3132" s="178"/>
      <c r="S3132" s="178"/>
    </row>
    <row r="3133" spans="18:19">
      <c r="R3133" s="178"/>
      <c r="S3133" s="178"/>
    </row>
    <row r="3134" spans="18:19">
      <c r="R3134" s="178"/>
      <c r="S3134" s="178"/>
    </row>
    <row r="3135" spans="18:19">
      <c r="R3135" s="178"/>
      <c r="S3135" s="178"/>
    </row>
    <row r="3136" spans="18:19">
      <c r="R3136" s="178"/>
      <c r="S3136" s="178"/>
    </row>
    <row r="3137" spans="18:19">
      <c r="R3137" s="178"/>
      <c r="S3137" s="178"/>
    </row>
    <row r="3138" spans="18:19">
      <c r="R3138" s="178"/>
      <c r="S3138" s="178"/>
    </row>
    <row r="3139" spans="18:19">
      <c r="R3139" s="178"/>
      <c r="S3139" s="178"/>
    </row>
    <row r="3140" spans="18:19">
      <c r="R3140" s="178"/>
      <c r="S3140" s="178"/>
    </row>
    <row r="3141" spans="18:19">
      <c r="R3141" s="178"/>
      <c r="S3141" s="178"/>
    </row>
    <row r="3142" spans="18:19">
      <c r="R3142" s="178"/>
      <c r="S3142" s="178"/>
    </row>
    <row r="3143" spans="18:19">
      <c r="R3143" s="178"/>
      <c r="S3143" s="178"/>
    </row>
    <row r="3144" spans="18:19">
      <c r="R3144" s="178"/>
      <c r="S3144" s="178"/>
    </row>
    <row r="3145" spans="18:19">
      <c r="R3145" s="178"/>
      <c r="S3145" s="178"/>
    </row>
    <row r="3146" spans="18:19">
      <c r="R3146" s="178"/>
      <c r="S3146" s="178"/>
    </row>
    <row r="3147" spans="18:19">
      <c r="R3147" s="178"/>
      <c r="S3147" s="178"/>
    </row>
    <row r="3148" spans="18:19">
      <c r="R3148" s="178"/>
      <c r="S3148" s="178"/>
    </row>
    <row r="3149" spans="18:19">
      <c r="R3149" s="178"/>
      <c r="S3149" s="178"/>
    </row>
    <row r="3150" spans="18:19">
      <c r="R3150" s="178"/>
      <c r="S3150" s="178"/>
    </row>
    <row r="3151" spans="18:19">
      <c r="R3151" s="178"/>
      <c r="S3151" s="178"/>
    </row>
    <row r="3152" spans="18:19">
      <c r="R3152" s="178"/>
      <c r="S3152" s="178"/>
    </row>
    <row r="3153" spans="18:19">
      <c r="R3153" s="178"/>
      <c r="S3153" s="178"/>
    </row>
    <row r="3154" spans="18:19">
      <c r="R3154" s="178"/>
      <c r="S3154" s="178"/>
    </row>
    <row r="3155" spans="18:19">
      <c r="R3155" s="178"/>
      <c r="S3155" s="178"/>
    </row>
    <row r="3156" spans="18:19">
      <c r="R3156" s="178"/>
      <c r="S3156" s="178"/>
    </row>
    <row r="3157" spans="18:19">
      <c r="R3157" s="178"/>
      <c r="S3157" s="178"/>
    </row>
    <row r="3158" spans="18:19">
      <c r="R3158" s="178"/>
      <c r="S3158" s="178"/>
    </row>
    <row r="3159" spans="18:19">
      <c r="R3159" s="178"/>
      <c r="S3159" s="178"/>
    </row>
    <row r="3160" spans="18:19">
      <c r="R3160" s="178"/>
      <c r="S3160" s="178"/>
    </row>
    <row r="3161" spans="18:19">
      <c r="R3161" s="178"/>
      <c r="S3161" s="178"/>
    </row>
    <row r="3162" spans="18:19">
      <c r="R3162" s="178"/>
      <c r="S3162" s="178"/>
    </row>
    <row r="3163" spans="18:19">
      <c r="R3163" s="178"/>
      <c r="S3163" s="178"/>
    </row>
    <row r="3164" spans="18:19">
      <c r="R3164" s="178"/>
      <c r="S3164" s="178"/>
    </row>
    <row r="3165" spans="18:19">
      <c r="R3165" s="178"/>
      <c r="S3165" s="178"/>
    </row>
    <row r="3166" spans="18:19">
      <c r="R3166" s="178"/>
      <c r="S3166" s="178"/>
    </row>
    <row r="3167" spans="18:19">
      <c r="R3167" s="178"/>
      <c r="S3167" s="178"/>
    </row>
    <row r="3168" spans="18:19">
      <c r="R3168" s="178"/>
      <c r="S3168" s="178"/>
    </row>
    <row r="3169" spans="18:19">
      <c r="R3169" s="178"/>
      <c r="S3169" s="178"/>
    </row>
    <row r="3170" spans="18:19">
      <c r="R3170" s="178"/>
      <c r="S3170" s="178"/>
    </row>
    <row r="3171" spans="18:19">
      <c r="R3171" s="178"/>
      <c r="S3171" s="178"/>
    </row>
    <row r="3172" spans="18:19">
      <c r="R3172" s="178"/>
      <c r="S3172" s="178"/>
    </row>
    <row r="3173" spans="18:19">
      <c r="R3173" s="178"/>
      <c r="S3173" s="178"/>
    </row>
    <row r="3174" spans="18:19">
      <c r="R3174" s="178"/>
      <c r="S3174" s="178"/>
    </row>
    <row r="3175" spans="18:19">
      <c r="R3175" s="178"/>
      <c r="S3175" s="178"/>
    </row>
    <row r="3176" spans="18:19">
      <c r="R3176" s="178"/>
      <c r="S3176" s="178"/>
    </row>
    <row r="3177" spans="18:19">
      <c r="R3177" s="178"/>
      <c r="S3177" s="178"/>
    </row>
    <row r="3178" spans="18:19">
      <c r="R3178" s="178"/>
      <c r="S3178" s="178"/>
    </row>
    <row r="3179" spans="18:19">
      <c r="R3179" s="178"/>
      <c r="S3179" s="178"/>
    </row>
    <row r="3180" spans="18:19">
      <c r="R3180" s="178"/>
      <c r="S3180" s="178"/>
    </row>
    <row r="3181" spans="18:19">
      <c r="R3181" s="178"/>
      <c r="S3181" s="178"/>
    </row>
    <row r="3182" spans="18:19">
      <c r="R3182" s="178"/>
      <c r="S3182" s="178"/>
    </row>
    <row r="3183" spans="18:19">
      <c r="R3183" s="178"/>
      <c r="S3183" s="178"/>
    </row>
    <row r="3184" spans="18:19">
      <c r="R3184" s="178"/>
      <c r="S3184" s="178"/>
    </row>
    <row r="3185" spans="18:19">
      <c r="R3185" s="178"/>
      <c r="S3185" s="178"/>
    </row>
    <row r="3186" spans="18:19">
      <c r="R3186" s="178"/>
      <c r="S3186" s="178"/>
    </row>
    <row r="3187" spans="18:19">
      <c r="R3187" s="178"/>
      <c r="S3187" s="178"/>
    </row>
    <row r="3188" spans="18:19">
      <c r="R3188" s="178"/>
      <c r="S3188" s="178"/>
    </row>
    <row r="3189" spans="18:19">
      <c r="R3189" s="178"/>
      <c r="S3189" s="178"/>
    </row>
    <row r="3190" spans="18:19">
      <c r="R3190" s="178"/>
      <c r="S3190" s="178"/>
    </row>
    <row r="3191" spans="18:19">
      <c r="R3191" s="178"/>
      <c r="S3191" s="178"/>
    </row>
    <row r="3192" spans="18:19">
      <c r="R3192" s="178"/>
      <c r="S3192" s="178"/>
    </row>
    <row r="3193" spans="18:19">
      <c r="R3193" s="178"/>
      <c r="S3193" s="178"/>
    </row>
    <row r="3194" spans="18:19">
      <c r="R3194" s="178"/>
      <c r="S3194" s="178"/>
    </row>
    <row r="3195" spans="18:19">
      <c r="R3195" s="178"/>
      <c r="S3195" s="178"/>
    </row>
    <row r="3196" spans="18:19">
      <c r="R3196" s="178"/>
      <c r="S3196" s="178"/>
    </row>
    <row r="3197" spans="18:19">
      <c r="R3197" s="178"/>
      <c r="S3197" s="178"/>
    </row>
    <row r="3198" spans="18:19">
      <c r="R3198" s="178"/>
      <c r="S3198" s="178"/>
    </row>
    <row r="3199" spans="18:19">
      <c r="R3199" s="178"/>
      <c r="S3199" s="178"/>
    </row>
    <row r="3200" spans="18:19">
      <c r="R3200" s="178"/>
      <c r="S3200" s="178"/>
    </row>
    <row r="3201" spans="18:19">
      <c r="R3201" s="178"/>
      <c r="S3201" s="178"/>
    </row>
    <row r="3202" spans="18:19">
      <c r="R3202" s="178"/>
      <c r="S3202" s="178"/>
    </row>
    <row r="3203" spans="18:19">
      <c r="R3203" s="178"/>
      <c r="S3203" s="178"/>
    </row>
    <row r="3204" spans="18:19">
      <c r="R3204" s="178"/>
      <c r="S3204" s="178"/>
    </row>
    <row r="3205" spans="18:19">
      <c r="R3205" s="178"/>
      <c r="S3205" s="178"/>
    </row>
    <row r="3206" spans="18:19">
      <c r="R3206" s="178"/>
      <c r="S3206" s="178"/>
    </row>
    <row r="3207" spans="18:19">
      <c r="R3207" s="178"/>
      <c r="S3207" s="178"/>
    </row>
    <row r="3208" spans="18:19">
      <c r="R3208" s="178"/>
      <c r="S3208" s="178"/>
    </row>
    <row r="3209" spans="18:19">
      <c r="R3209" s="178"/>
      <c r="S3209" s="178"/>
    </row>
    <row r="3210" spans="18:19">
      <c r="R3210" s="178"/>
      <c r="S3210" s="178"/>
    </row>
    <row r="3211" spans="18:19">
      <c r="R3211" s="178"/>
      <c r="S3211" s="178"/>
    </row>
    <row r="3212" spans="18:19">
      <c r="R3212" s="178"/>
      <c r="S3212" s="178"/>
    </row>
    <row r="3213" spans="18:19">
      <c r="R3213" s="178"/>
      <c r="S3213" s="178"/>
    </row>
    <row r="3214" spans="18:19">
      <c r="R3214" s="178"/>
      <c r="S3214" s="178"/>
    </row>
    <row r="3215" spans="18:19">
      <c r="R3215" s="178"/>
      <c r="S3215" s="178"/>
    </row>
    <row r="3216" spans="18:19">
      <c r="R3216" s="178"/>
      <c r="S3216" s="178"/>
    </row>
    <row r="3217" spans="18:19">
      <c r="R3217" s="178"/>
      <c r="S3217" s="178"/>
    </row>
    <row r="3218" spans="18:19">
      <c r="R3218" s="178"/>
      <c r="S3218" s="178"/>
    </row>
    <row r="3219" spans="18:19">
      <c r="R3219" s="178"/>
      <c r="S3219" s="178"/>
    </row>
    <row r="3220" spans="18:19">
      <c r="R3220" s="178"/>
      <c r="S3220" s="178"/>
    </row>
    <row r="3221" spans="18:19">
      <c r="R3221" s="178"/>
      <c r="S3221" s="178"/>
    </row>
    <row r="3222" spans="18:19">
      <c r="R3222" s="178"/>
      <c r="S3222" s="178"/>
    </row>
    <row r="3223" spans="18:19">
      <c r="R3223" s="178"/>
      <c r="S3223" s="178"/>
    </row>
    <row r="3224" spans="18:19">
      <c r="R3224" s="178"/>
      <c r="S3224" s="178"/>
    </row>
    <row r="3225" spans="18:19">
      <c r="R3225" s="178"/>
      <c r="S3225" s="178"/>
    </row>
    <row r="3226" spans="18:19">
      <c r="R3226" s="178"/>
      <c r="S3226" s="178"/>
    </row>
    <row r="3227" spans="18:19">
      <c r="R3227" s="178"/>
      <c r="S3227" s="178"/>
    </row>
    <row r="3228" spans="18:19">
      <c r="R3228" s="178"/>
      <c r="S3228" s="178"/>
    </row>
    <row r="3229" spans="18:19">
      <c r="R3229" s="178"/>
      <c r="S3229" s="178"/>
    </row>
    <row r="3230" spans="18:19">
      <c r="R3230" s="178"/>
      <c r="S3230" s="178"/>
    </row>
    <row r="3231" spans="18:19">
      <c r="R3231" s="178"/>
      <c r="S3231" s="178"/>
    </row>
    <row r="3232" spans="18:19">
      <c r="R3232" s="178"/>
      <c r="S3232" s="178"/>
    </row>
    <row r="3233" spans="18:19">
      <c r="R3233" s="178"/>
      <c r="S3233" s="178"/>
    </row>
    <row r="3234" spans="18:19">
      <c r="R3234" s="178"/>
      <c r="S3234" s="178"/>
    </row>
    <row r="3235" spans="18:19">
      <c r="R3235" s="178"/>
      <c r="S3235" s="178"/>
    </row>
    <row r="3236" spans="18:19">
      <c r="R3236" s="178"/>
      <c r="S3236" s="178"/>
    </row>
    <row r="3237" spans="18:19">
      <c r="R3237" s="178"/>
      <c r="S3237" s="178"/>
    </row>
    <row r="3238" spans="18:19">
      <c r="R3238" s="178"/>
      <c r="S3238" s="178"/>
    </row>
    <row r="3239" spans="18:19">
      <c r="R3239" s="178"/>
      <c r="S3239" s="178"/>
    </row>
    <row r="3240" spans="18:19">
      <c r="R3240" s="178"/>
      <c r="S3240" s="178"/>
    </row>
    <row r="3241" spans="18:19">
      <c r="R3241" s="178"/>
      <c r="S3241" s="178"/>
    </row>
    <row r="3242" spans="18:19">
      <c r="R3242" s="178"/>
      <c r="S3242" s="178"/>
    </row>
    <row r="3243" spans="18:19">
      <c r="R3243" s="178"/>
      <c r="S3243" s="178"/>
    </row>
    <row r="3244" spans="18:19">
      <c r="R3244" s="178"/>
      <c r="S3244" s="178"/>
    </row>
    <row r="3245" spans="18:19">
      <c r="R3245" s="178"/>
      <c r="S3245" s="178"/>
    </row>
    <row r="3246" spans="18:19">
      <c r="R3246" s="178"/>
      <c r="S3246" s="178"/>
    </row>
    <row r="3247" spans="18:19">
      <c r="R3247" s="178"/>
      <c r="S3247" s="178"/>
    </row>
    <row r="3248" spans="18:19">
      <c r="R3248" s="178"/>
      <c r="S3248" s="178"/>
    </row>
    <row r="3249" spans="18:19">
      <c r="R3249" s="178"/>
      <c r="S3249" s="178"/>
    </row>
    <row r="3250" spans="18:19">
      <c r="R3250" s="178"/>
      <c r="S3250" s="178"/>
    </row>
    <row r="3251" spans="18:19">
      <c r="R3251" s="178"/>
      <c r="S3251" s="178"/>
    </row>
    <row r="3252" spans="18:19">
      <c r="R3252" s="178"/>
      <c r="S3252" s="178"/>
    </row>
    <row r="3253" spans="18:19">
      <c r="R3253" s="178"/>
      <c r="S3253" s="178"/>
    </row>
    <row r="3254" spans="18:19">
      <c r="R3254" s="178"/>
      <c r="S3254" s="178"/>
    </row>
    <row r="3255" spans="18:19">
      <c r="R3255" s="178"/>
      <c r="S3255" s="178"/>
    </row>
    <row r="3256" spans="18:19">
      <c r="R3256" s="178"/>
      <c r="S3256" s="178"/>
    </row>
    <row r="3257" spans="18:19">
      <c r="R3257" s="178"/>
      <c r="S3257" s="178"/>
    </row>
    <row r="3258" spans="18:19">
      <c r="R3258" s="178"/>
      <c r="S3258" s="178"/>
    </row>
    <row r="3259" spans="18:19">
      <c r="R3259" s="178"/>
      <c r="S3259" s="178"/>
    </row>
    <row r="3260" spans="18:19">
      <c r="R3260" s="178"/>
      <c r="S3260" s="178"/>
    </row>
    <row r="3261" spans="18:19">
      <c r="R3261" s="178"/>
      <c r="S3261" s="178"/>
    </row>
    <row r="3262" spans="18:19">
      <c r="R3262" s="178"/>
      <c r="S3262" s="178"/>
    </row>
    <row r="3263" spans="18:19">
      <c r="R3263" s="178"/>
      <c r="S3263" s="178"/>
    </row>
    <row r="3264" spans="18:19">
      <c r="R3264" s="178"/>
      <c r="S3264" s="178"/>
    </row>
    <row r="3265" spans="18:19">
      <c r="R3265" s="178"/>
      <c r="S3265" s="178"/>
    </row>
    <row r="3266" spans="18:19">
      <c r="R3266" s="178"/>
      <c r="S3266" s="178"/>
    </row>
    <row r="3267" spans="18:19">
      <c r="R3267" s="178"/>
      <c r="S3267" s="178"/>
    </row>
    <row r="3268" spans="18:19">
      <c r="R3268" s="178"/>
      <c r="S3268" s="178"/>
    </row>
    <row r="3269" spans="18:19">
      <c r="R3269" s="178"/>
      <c r="S3269" s="178"/>
    </row>
    <row r="3270" spans="18:19">
      <c r="R3270" s="178"/>
      <c r="S3270" s="178"/>
    </row>
    <row r="3271" spans="18:19">
      <c r="R3271" s="178"/>
      <c r="S3271" s="178"/>
    </row>
    <row r="3272" spans="18:19">
      <c r="R3272" s="178"/>
      <c r="S3272" s="178"/>
    </row>
    <row r="3273" spans="18:19">
      <c r="R3273" s="178"/>
      <c r="S3273" s="178"/>
    </row>
    <row r="3274" spans="18:19">
      <c r="R3274" s="178"/>
      <c r="S3274" s="178"/>
    </row>
    <row r="3275" spans="18:19">
      <c r="R3275" s="178"/>
      <c r="S3275" s="178"/>
    </row>
    <row r="3276" spans="18:19">
      <c r="R3276" s="178"/>
      <c r="S3276" s="178"/>
    </row>
    <row r="3277" spans="18:19">
      <c r="R3277" s="178"/>
      <c r="S3277" s="178"/>
    </row>
    <row r="3278" spans="18:19">
      <c r="R3278" s="178"/>
      <c r="S3278" s="178"/>
    </row>
    <row r="3279" spans="18:19">
      <c r="R3279" s="178"/>
      <c r="S3279" s="178"/>
    </row>
    <row r="3280" spans="18:19">
      <c r="R3280" s="178"/>
      <c r="S3280" s="178"/>
    </row>
    <row r="3281" spans="18:19">
      <c r="R3281" s="178"/>
      <c r="S3281" s="178"/>
    </row>
    <row r="3282" spans="18:19">
      <c r="R3282" s="178"/>
      <c r="S3282" s="178"/>
    </row>
    <row r="3283" spans="18:19">
      <c r="R3283" s="178"/>
      <c r="S3283" s="178"/>
    </row>
    <row r="3284" spans="18:19">
      <c r="R3284" s="178"/>
      <c r="S3284" s="178"/>
    </row>
    <row r="3285" spans="18:19">
      <c r="R3285" s="178"/>
      <c r="S3285" s="178"/>
    </row>
    <row r="3286" spans="18:19">
      <c r="R3286" s="178"/>
      <c r="S3286" s="178"/>
    </row>
    <row r="3287" spans="18:19">
      <c r="R3287" s="178"/>
      <c r="S3287" s="178"/>
    </row>
    <row r="3288" spans="18:19">
      <c r="R3288" s="178"/>
      <c r="S3288" s="178"/>
    </row>
    <row r="3289" spans="18:19">
      <c r="R3289" s="178"/>
      <c r="S3289" s="178"/>
    </row>
    <row r="3290" spans="18:19">
      <c r="R3290" s="178"/>
      <c r="S3290" s="178"/>
    </row>
    <row r="3291" spans="18:19">
      <c r="R3291" s="178"/>
      <c r="S3291" s="178"/>
    </row>
    <row r="3292" spans="18:19">
      <c r="R3292" s="178"/>
      <c r="S3292" s="178"/>
    </row>
    <row r="3293" spans="18:19">
      <c r="R3293" s="178"/>
      <c r="S3293" s="178"/>
    </row>
    <row r="3294" spans="18:19">
      <c r="R3294" s="178"/>
      <c r="S3294" s="178"/>
    </row>
    <row r="3295" spans="18:19">
      <c r="R3295" s="178"/>
      <c r="S3295" s="178"/>
    </row>
    <row r="3296" spans="18:19">
      <c r="R3296" s="178"/>
      <c r="S3296" s="178"/>
    </row>
    <row r="3297" spans="18:19">
      <c r="R3297" s="178"/>
      <c r="S3297" s="178"/>
    </row>
    <row r="3298" spans="18:19">
      <c r="R3298" s="178"/>
      <c r="S3298" s="178"/>
    </row>
    <row r="3299" spans="18:19">
      <c r="R3299" s="178"/>
      <c r="S3299" s="178"/>
    </row>
    <row r="3300" spans="18:19">
      <c r="R3300" s="178"/>
      <c r="S3300" s="178"/>
    </row>
    <row r="3301" spans="18:19">
      <c r="R3301" s="178"/>
      <c r="S3301" s="178"/>
    </row>
    <row r="3302" spans="18:19">
      <c r="R3302" s="178"/>
      <c r="S3302" s="178"/>
    </row>
    <row r="3303" spans="18:19">
      <c r="R3303" s="178"/>
      <c r="S3303" s="178"/>
    </row>
    <row r="3304" spans="18:19">
      <c r="R3304" s="178"/>
      <c r="S3304" s="178"/>
    </row>
    <row r="3305" spans="18:19">
      <c r="R3305" s="178"/>
      <c r="S3305" s="178"/>
    </row>
    <row r="3306" spans="18:19">
      <c r="R3306" s="178"/>
      <c r="S3306" s="178"/>
    </row>
    <row r="3307" spans="18:19">
      <c r="R3307" s="178"/>
      <c r="S3307" s="178"/>
    </row>
    <row r="3308" spans="18:19">
      <c r="R3308" s="178"/>
      <c r="S3308" s="178"/>
    </row>
    <row r="3309" spans="18:19">
      <c r="R3309" s="178"/>
      <c r="S3309" s="178"/>
    </row>
    <row r="3310" spans="18:19">
      <c r="R3310" s="178"/>
      <c r="S3310" s="178"/>
    </row>
    <row r="3311" spans="18:19">
      <c r="R3311" s="178"/>
      <c r="S3311" s="178"/>
    </row>
    <row r="3312" spans="18:19">
      <c r="R3312" s="178"/>
      <c r="S3312" s="178"/>
    </row>
    <row r="3313" spans="18:19">
      <c r="R3313" s="178"/>
      <c r="S3313" s="178"/>
    </row>
    <row r="3314" spans="18:19">
      <c r="R3314" s="178"/>
      <c r="S3314" s="178"/>
    </row>
    <row r="3315" spans="18:19">
      <c r="R3315" s="178"/>
      <c r="S3315" s="178"/>
    </row>
    <row r="3316" spans="18:19">
      <c r="R3316" s="178"/>
      <c r="S3316" s="178"/>
    </row>
    <row r="3317" spans="18:19">
      <c r="R3317" s="178"/>
      <c r="S3317" s="178"/>
    </row>
    <row r="3318" spans="18:19">
      <c r="R3318" s="178"/>
      <c r="S3318" s="178"/>
    </row>
    <row r="3319" spans="18:19">
      <c r="R3319" s="178"/>
      <c r="S3319" s="178"/>
    </row>
    <row r="3320" spans="18:19">
      <c r="R3320" s="178"/>
      <c r="S3320" s="178"/>
    </row>
    <row r="3321" spans="18:19">
      <c r="R3321" s="178"/>
      <c r="S3321" s="178"/>
    </row>
    <row r="3322" spans="18:19">
      <c r="R3322" s="178"/>
      <c r="S3322" s="178"/>
    </row>
    <row r="3323" spans="18:19">
      <c r="R3323" s="178"/>
      <c r="S3323" s="178"/>
    </row>
    <row r="3324" spans="18:19">
      <c r="R3324" s="178"/>
      <c r="S3324" s="178"/>
    </row>
    <row r="3325" spans="18:19">
      <c r="R3325" s="178"/>
      <c r="S3325" s="178"/>
    </row>
    <row r="3326" spans="18:19">
      <c r="R3326" s="178"/>
      <c r="S3326" s="178"/>
    </row>
    <row r="3327" spans="18:19">
      <c r="R3327" s="178"/>
      <c r="S3327" s="178"/>
    </row>
    <row r="3328" spans="18:19">
      <c r="R3328" s="178"/>
      <c r="S3328" s="178"/>
    </row>
    <row r="3329" spans="18:19">
      <c r="R3329" s="178"/>
      <c r="S3329" s="178"/>
    </row>
    <row r="3330" spans="18:19">
      <c r="R3330" s="178"/>
      <c r="S3330" s="178"/>
    </row>
    <row r="3331" spans="18:19">
      <c r="R3331" s="178"/>
      <c r="S3331" s="178"/>
    </row>
    <row r="3332" spans="18:19">
      <c r="R3332" s="178"/>
      <c r="S3332" s="178"/>
    </row>
    <row r="3333" spans="18:19">
      <c r="R3333" s="178"/>
      <c r="S3333" s="178"/>
    </row>
    <row r="3334" spans="18:19">
      <c r="R3334" s="178"/>
      <c r="S3334" s="178"/>
    </row>
    <row r="3335" spans="18:19">
      <c r="R3335" s="178"/>
      <c r="S3335" s="178"/>
    </row>
    <row r="3336" spans="18:19">
      <c r="R3336" s="178"/>
      <c r="S3336" s="178"/>
    </row>
    <row r="3337" spans="18:19">
      <c r="R3337" s="178"/>
      <c r="S3337" s="178"/>
    </row>
    <row r="3338" spans="18:19">
      <c r="R3338" s="178"/>
      <c r="S3338" s="178"/>
    </row>
    <row r="3339" spans="18:19">
      <c r="R3339" s="178"/>
      <c r="S3339" s="178"/>
    </row>
    <row r="3340" spans="18:19">
      <c r="R3340" s="178"/>
      <c r="S3340" s="178"/>
    </row>
    <row r="3341" spans="18:19">
      <c r="R3341" s="178"/>
      <c r="S3341" s="178"/>
    </row>
    <row r="3342" spans="18:19">
      <c r="R3342" s="178"/>
      <c r="S3342" s="178"/>
    </row>
    <row r="3343" spans="18:19">
      <c r="R3343" s="178"/>
      <c r="S3343" s="178"/>
    </row>
    <row r="3344" spans="18:19">
      <c r="R3344" s="178"/>
      <c r="S3344" s="178"/>
    </row>
    <row r="3345" spans="18:19">
      <c r="R3345" s="178"/>
      <c r="S3345" s="178"/>
    </row>
    <row r="3346" spans="18:19">
      <c r="R3346" s="178"/>
      <c r="S3346" s="178"/>
    </row>
    <row r="3347" spans="18:19">
      <c r="R3347" s="178"/>
      <c r="S3347" s="178"/>
    </row>
    <row r="3348" spans="18:19">
      <c r="R3348" s="178"/>
      <c r="S3348" s="178"/>
    </row>
    <row r="3349" spans="18:19">
      <c r="R3349" s="178"/>
      <c r="S3349" s="178"/>
    </row>
    <row r="3350" spans="18:19">
      <c r="R3350" s="178"/>
      <c r="S3350" s="178"/>
    </row>
    <row r="3351" spans="18:19">
      <c r="R3351" s="178"/>
      <c r="S3351" s="178"/>
    </row>
    <row r="3352" spans="18:19">
      <c r="R3352" s="178"/>
      <c r="S3352" s="178"/>
    </row>
    <row r="3353" spans="18:19">
      <c r="R3353" s="178"/>
      <c r="S3353" s="178"/>
    </row>
    <row r="3354" spans="18:19">
      <c r="R3354" s="178"/>
      <c r="S3354" s="178"/>
    </row>
    <row r="3355" spans="18:19">
      <c r="R3355" s="178"/>
      <c r="S3355" s="178"/>
    </row>
    <row r="3356" spans="18:19">
      <c r="R3356" s="178"/>
      <c r="S3356" s="178"/>
    </row>
    <row r="3357" spans="18:19">
      <c r="R3357" s="178"/>
      <c r="S3357" s="178"/>
    </row>
    <row r="3358" spans="18:19">
      <c r="R3358" s="178"/>
      <c r="S3358" s="178"/>
    </row>
    <row r="3359" spans="18:19">
      <c r="R3359" s="178"/>
      <c r="S3359" s="178"/>
    </row>
    <row r="3360" spans="18:19">
      <c r="R3360" s="178"/>
      <c r="S3360" s="178"/>
    </row>
    <row r="3361" spans="18:19">
      <c r="R3361" s="178"/>
      <c r="S3361" s="178"/>
    </row>
    <row r="3362" spans="18:19">
      <c r="R3362" s="178"/>
      <c r="S3362" s="178"/>
    </row>
    <row r="3363" spans="18:19">
      <c r="R3363" s="178"/>
      <c r="S3363" s="178"/>
    </row>
    <row r="3364" spans="18:19">
      <c r="R3364" s="178"/>
      <c r="S3364" s="178"/>
    </row>
    <row r="3365" spans="18:19">
      <c r="R3365" s="178"/>
      <c r="S3365" s="178"/>
    </row>
    <row r="3366" spans="18:19">
      <c r="R3366" s="178"/>
      <c r="S3366" s="178"/>
    </row>
    <row r="3367" spans="18:19">
      <c r="R3367" s="178"/>
      <c r="S3367" s="178"/>
    </row>
    <row r="3368" spans="18:19">
      <c r="R3368" s="178"/>
      <c r="S3368" s="178"/>
    </row>
    <row r="3369" spans="18:19">
      <c r="R3369" s="178"/>
      <c r="S3369" s="178"/>
    </row>
    <row r="3370" spans="18:19">
      <c r="R3370" s="178"/>
      <c r="S3370" s="178"/>
    </row>
    <row r="3371" spans="18:19">
      <c r="R3371" s="178"/>
      <c r="S3371" s="178"/>
    </row>
    <row r="3372" spans="18:19">
      <c r="R3372" s="178"/>
      <c r="S3372" s="178"/>
    </row>
    <row r="3373" spans="18:19">
      <c r="R3373" s="178"/>
      <c r="S3373" s="178"/>
    </row>
    <row r="3374" spans="18:19">
      <c r="R3374" s="178"/>
      <c r="S3374" s="178"/>
    </row>
    <row r="3375" spans="18:19">
      <c r="R3375" s="178"/>
      <c r="S3375" s="178"/>
    </row>
    <row r="3376" spans="18:19">
      <c r="R3376" s="178"/>
      <c r="S3376" s="178"/>
    </row>
    <row r="3377" spans="18:19">
      <c r="R3377" s="178"/>
      <c r="S3377" s="178"/>
    </row>
    <row r="3378" spans="18:19">
      <c r="R3378" s="178"/>
      <c r="S3378" s="178"/>
    </row>
    <row r="3379" spans="18:19">
      <c r="R3379" s="178"/>
      <c r="S3379" s="178"/>
    </row>
    <row r="3380" spans="18:19">
      <c r="R3380" s="178"/>
      <c r="S3380" s="178"/>
    </row>
    <row r="3381" spans="18:19">
      <c r="R3381" s="178"/>
      <c r="S3381" s="178"/>
    </row>
    <row r="3382" spans="18:19">
      <c r="R3382" s="178"/>
      <c r="S3382" s="178"/>
    </row>
    <row r="3383" spans="18:19">
      <c r="R3383" s="178"/>
      <c r="S3383" s="178"/>
    </row>
    <row r="3384" spans="18:19">
      <c r="R3384" s="178"/>
      <c r="S3384" s="178"/>
    </row>
    <row r="3385" spans="18:19">
      <c r="R3385" s="178"/>
      <c r="S3385" s="178"/>
    </row>
    <row r="3386" spans="18:19">
      <c r="R3386" s="178"/>
      <c r="S3386" s="178"/>
    </row>
    <row r="3387" spans="18:19">
      <c r="R3387" s="178"/>
      <c r="S3387" s="178"/>
    </row>
    <row r="3388" spans="18:19">
      <c r="R3388" s="178"/>
      <c r="S3388" s="178"/>
    </row>
    <row r="3389" spans="18:19">
      <c r="R3389" s="178"/>
      <c r="S3389" s="178"/>
    </row>
    <row r="3390" spans="18:19">
      <c r="R3390" s="178"/>
      <c r="S3390" s="178"/>
    </row>
    <row r="3391" spans="18:19">
      <c r="R3391" s="178"/>
      <c r="S3391" s="178"/>
    </row>
    <row r="3392" spans="18:19">
      <c r="R3392" s="178"/>
      <c r="S3392" s="178"/>
    </row>
    <row r="3393" spans="18:19">
      <c r="R3393" s="178"/>
      <c r="S3393" s="178"/>
    </row>
    <row r="3394" spans="18:19">
      <c r="R3394" s="178"/>
      <c r="S3394" s="178"/>
    </row>
    <row r="3395" spans="18:19">
      <c r="R3395" s="178"/>
      <c r="S3395" s="178"/>
    </row>
    <row r="3396" spans="18:19">
      <c r="R3396" s="178"/>
      <c r="S3396" s="178"/>
    </row>
    <row r="3397" spans="18:19">
      <c r="R3397" s="178"/>
      <c r="S3397" s="178"/>
    </row>
    <row r="3398" spans="18:19">
      <c r="R3398" s="178"/>
      <c r="S3398" s="178"/>
    </row>
    <row r="3399" spans="18:19">
      <c r="R3399" s="178"/>
      <c r="S3399" s="178"/>
    </row>
    <row r="3400" spans="18:19">
      <c r="R3400" s="178"/>
      <c r="S3400" s="178"/>
    </row>
    <row r="3401" spans="18:19">
      <c r="R3401" s="178"/>
      <c r="S3401" s="178"/>
    </row>
    <row r="3402" spans="18:19">
      <c r="R3402" s="178"/>
      <c r="S3402" s="178"/>
    </row>
    <row r="3403" spans="18:19">
      <c r="R3403" s="178"/>
      <c r="S3403" s="178"/>
    </row>
    <row r="3404" spans="18:19">
      <c r="R3404" s="178"/>
      <c r="S3404" s="178"/>
    </row>
    <row r="3405" spans="18:19">
      <c r="R3405" s="178"/>
      <c r="S3405" s="178"/>
    </row>
    <row r="3406" spans="18:19">
      <c r="R3406" s="178"/>
      <c r="S3406" s="178"/>
    </row>
    <row r="3407" spans="18:19">
      <c r="R3407" s="178"/>
      <c r="S3407" s="178"/>
    </row>
    <row r="3408" spans="18:19">
      <c r="R3408" s="178"/>
      <c r="S3408" s="178"/>
    </row>
    <row r="3409" spans="18:19">
      <c r="R3409" s="178"/>
      <c r="S3409" s="178"/>
    </row>
    <row r="3410" spans="18:19">
      <c r="R3410" s="178"/>
      <c r="S3410" s="178"/>
    </row>
    <row r="3411" spans="18:19">
      <c r="R3411" s="178"/>
      <c r="S3411" s="178"/>
    </row>
    <row r="3412" spans="18:19">
      <c r="R3412" s="178"/>
      <c r="S3412" s="178"/>
    </row>
    <row r="3413" spans="18:19">
      <c r="R3413" s="178"/>
      <c r="S3413" s="178"/>
    </row>
    <row r="3414" spans="18:19">
      <c r="R3414" s="178"/>
      <c r="S3414" s="178"/>
    </row>
    <row r="3415" spans="18:19">
      <c r="R3415" s="178"/>
      <c r="S3415" s="178"/>
    </row>
    <row r="3416" spans="18:19">
      <c r="R3416" s="178"/>
      <c r="S3416" s="178"/>
    </row>
    <row r="3417" spans="18:19">
      <c r="R3417" s="178"/>
      <c r="S3417" s="178"/>
    </row>
    <row r="3418" spans="18:19">
      <c r="R3418" s="178"/>
      <c r="S3418" s="178"/>
    </row>
    <row r="3419" spans="18:19">
      <c r="R3419" s="178"/>
      <c r="S3419" s="178"/>
    </row>
    <row r="3420" spans="18:19">
      <c r="R3420" s="178"/>
      <c r="S3420" s="178"/>
    </row>
    <row r="3421" spans="18:19">
      <c r="R3421" s="178"/>
      <c r="S3421" s="178"/>
    </row>
    <row r="3422" spans="18:19">
      <c r="R3422" s="178"/>
      <c r="S3422" s="178"/>
    </row>
    <row r="3423" spans="18:19">
      <c r="R3423" s="178"/>
      <c r="S3423" s="178"/>
    </row>
    <row r="3424" spans="18:19">
      <c r="R3424" s="178"/>
      <c r="S3424" s="178"/>
    </row>
    <row r="3425" spans="18:19">
      <c r="R3425" s="178"/>
      <c r="S3425" s="178"/>
    </row>
    <row r="3426" spans="18:19">
      <c r="R3426" s="178"/>
      <c r="S3426" s="178"/>
    </row>
    <row r="3427" spans="18:19">
      <c r="R3427" s="178"/>
      <c r="S3427" s="178"/>
    </row>
    <row r="3428" spans="18:19">
      <c r="R3428" s="178"/>
      <c r="S3428" s="178"/>
    </row>
    <row r="3429" spans="18:19">
      <c r="R3429" s="178"/>
      <c r="S3429" s="178"/>
    </row>
    <row r="3430" spans="18:19">
      <c r="R3430" s="178"/>
      <c r="S3430" s="178"/>
    </row>
    <row r="3431" spans="18:19">
      <c r="R3431" s="178"/>
      <c r="S3431" s="178"/>
    </row>
    <row r="3432" spans="18:19">
      <c r="R3432" s="178"/>
      <c r="S3432" s="178"/>
    </row>
    <row r="3433" spans="18:19">
      <c r="R3433" s="178"/>
      <c r="S3433" s="178"/>
    </row>
    <row r="3434" spans="18:19">
      <c r="R3434" s="178"/>
      <c r="S3434" s="178"/>
    </row>
    <row r="3435" spans="18:19">
      <c r="R3435" s="178"/>
      <c r="S3435" s="178"/>
    </row>
    <row r="3436" spans="18:19">
      <c r="R3436" s="178"/>
      <c r="S3436" s="178"/>
    </row>
    <row r="3437" spans="18:19">
      <c r="R3437" s="178"/>
      <c r="S3437" s="178"/>
    </row>
    <row r="3438" spans="18:19">
      <c r="R3438" s="178"/>
      <c r="S3438" s="178"/>
    </row>
    <row r="3439" spans="18:19">
      <c r="R3439" s="178"/>
      <c r="S3439" s="178"/>
    </row>
    <row r="3440" spans="18:19">
      <c r="R3440" s="178"/>
      <c r="S3440" s="178"/>
    </row>
    <row r="3441" spans="18:19">
      <c r="R3441" s="178"/>
      <c r="S3441" s="178"/>
    </row>
    <row r="3442" spans="18:19">
      <c r="R3442" s="178"/>
      <c r="S3442" s="178"/>
    </row>
    <row r="3443" spans="18:19">
      <c r="R3443" s="178"/>
      <c r="S3443" s="178"/>
    </row>
    <row r="3444" spans="18:19">
      <c r="R3444" s="178"/>
      <c r="S3444" s="178"/>
    </row>
    <row r="3445" spans="18:19">
      <c r="R3445" s="178"/>
      <c r="S3445" s="178"/>
    </row>
    <row r="3446" spans="18:19">
      <c r="R3446" s="178"/>
      <c r="S3446" s="178"/>
    </row>
    <row r="3447" spans="18:19">
      <c r="R3447" s="178"/>
      <c r="S3447" s="178"/>
    </row>
    <row r="3448" spans="18:19">
      <c r="R3448" s="178"/>
      <c r="S3448" s="178"/>
    </row>
    <row r="3449" spans="18:19">
      <c r="R3449" s="178"/>
      <c r="S3449" s="178"/>
    </row>
    <row r="3450" spans="18:19">
      <c r="R3450" s="178"/>
      <c r="S3450" s="178"/>
    </row>
    <row r="3451" spans="18:19">
      <c r="R3451" s="178"/>
      <c r="S3451" s="178"/>
    </row>
    <row r="3452" spans="18:19">
      <c r="R3452" s="178"/>
      <c r="S3452" s="178"/>
    </row>
    <row r="3453" spans="18:19">
      <c r="R3453" s="178"/>
      <c r="S3453" s="178"/>
    </row>
    <row r="3454" spans="18:19">
      <c r="R3454" s="178"/>
      <c r="S3454" s="178"/>
    </row>
    <row r="3455" spans="18:19">
      <c r="R3455" s="178"/>
      <c r="S3455" s="178"/>
    </row>
    <row r="3456" spans="18:19">
      <c r="R3456" s="178"/>
      <c r="S3456" s="178"/>
    </row>
    <row r="3457" spans="18:19">
      <c r="R3457" s="178"/>
      <c r="S3457" s="178"/>
    </row>
    <row r="3458" spans="18:19">
      <c r="R3458" s="178"/>
      <c r="S3458" s="178"/>
    </row>
    <row r="3459" spans="18:19">
      <c r="R3459" s="178"/>
      <c r="S3459" s="178"/>
    </row>
    <row r="3460" spans="18:19">
      <c r="R3460" s="178"/>
      <c r="S3460" s="178"/>
    </row>
    <row r="3461" spans="18:19">
      <c r="R3461" s="178"/>
      <c r="S3461" s="178"/>
    </row>
    <row r="3462" spans="18:19">
      <c r="R3462" s="178"/>
      <c r="S3462" s="178"/>
    </row>
    <row r="3463" spans="18:19">
      <c r="R3463" s="178"/>
      <c r="S3463" s="178"/>
    </row>
    <row r="3464" spans="18:19">
      <c r="R3464" s="178"/>
      <c r="S3464" s="178"/>
    </row>
    <row r="3465" spans="18:19">
      <c r="R3465" s="178"/>
      <c r="S3465" s="178"/>
    </row>
    <row r="3466" spans="18:19">
      <c r="R3466" s="178"/>
      <c r="S3466" s="178"/>
    </row>
    <row r="3467" spans="18:19">
      <c r="R3467" s="178"/>
      <c r="S3467" s="178"/>
    </row>
    <row r="3468" spans="18:19">
      <c r="R3468" s="178"/>
      <c r="S3468" s="178"/>
    </row>
    <row r="3469" spans="18:19">
      <c r="R3469" s="178"/>
      <c r="S3469" s="178"/>
    </row>
    <row r="3470" spans="18:19">
      <c r="R3470" s="178"/>
      <c r="S3470" s="178"/>
    </row>
    <row r="3471" spans="18:19">
      <c r="R3471" s="178"/>
      <c r="S3471" s="178"/>
    </row>
    <row r="3472" spans="18:19">
      <c r="R3472" s="178"/>
      <c r="S3472" s="178"/>
    </row>
    <row r="3473" spans="18:19">
      <c r="R3473" s="178"/>
      <c r="S3473" s="178"/>
    </row>
    <row r="3474" spans="18:19">
      <c r="R3474" s="178"/>
      <c r="S3474" s="178"/>
    </row>
    <row r="3475" spans="18:19">
      <c r="R3475" s="178"/>
      <c r="S3475" s="178"/>
    </row>
    <row r="3476" spans="18:19">
      <c r="R3476" s="178"/>
      <c r="S3476" s="178"/>
    </row>
    <row r="3477" spans="18:19">
      <c r="R3477" s="178"/>
      <c r="S3477" s="178"/>
    </row>
    <row r="3478" spans="18:19">
      <c r="R3478" s="178"/>
      <c r="S3478" s="178"/>
    </row>
    <row r="3479" spans="18:19">
      <c r="R3479" s="178"/>
      <c r="S3479" s="178"/>
    </row>
    <row r="3480" spans="18:19">
      <c r="R3480" s="178"/>
      <c r="S3480" s="178"/>
    </row>
    <row r="3481" spans="18:19">
      <c r="R3481" s="178"/>
      <c r="S3481" s="178"/>
    </row>
    <row r="3482" spans="18:19">
      <c r="R3482" s="178"/>
      <c r="S3482" s="178"/>
    </row>
    <row r="3483" spans="18:19">
      <c r="R3483" s="178"/>
      <c r="S3483" s="178"/>
    </row>
    <row r="3484" spans="18:19">
      <c r="R3484" s="178"/>
      <c r="S3484" s="178"/>
    </row>
    <row r="3485" spans="18:19">
      <c r="R3485" s="178"/>
      <c r="S3485" s="178"/>
    </row>
    <row r="3486" spans="18:19">
      <c r="R3486" s="178"/>
      <c r="S3486" s="178"/>
    </row>
    <row r="3487" spans="18:19">
      <c r="R3487" s="178"/>
      <c r="S3487" s="178"/>
    </row>
    <row r="3488" spans="18:19">
      <c r="R3488" s="178"/>
      <c r="S3488" s="178"/>
    </row>
    <row r="3489" spans="18:19">
      <c r="R3489" s="178"/>
      <c r="S3489" s="178"/>
    </row>
    <row r="3490" spans="18:19">
      <c r="R3490" s="178"/>
      <c r="S3490" s="178"/>
    </row>
    <row r="3491" spans="18:19">
      <c r="R3491" s="178"/>
      <c r="S3491" s="178"/>
    </row>
    <row r="3492" spans="18:19">
      <c r="R3492" s="178"/>
      <c r="S3492" s="178"/>
    </row>
    <row r="3493" spans="18:19">
      <c r="R3493" s="178"/>
      <c r="S3493" s="178"/>
    </row>
    <row r="3494" spans="18:19">
      <c r="R3494" s="178"/>
      <c r="S3494" s="178"/>
    </row>
    <row r="3495" spans="18:19">
      <c r="R3495" s="178"/>
      <c r="S3495" s="178"/>
    </row>
    <row r="3496" spans="18:19">
      <c r="R3496" s="178"/>
      <c r="S3496" s="178"/>
    </row>
    <row r="3497" spans="18:19">
      <c r="R3497" s="178"/>
      <c r="S3497" s="178"/>
    </row>
    <row r="3498" spans="18:19">
      <c r="R3498" s="178"/>
      <c r="S3498" s="178"/>
    </row>
    <row r="3499" spans="18:19">
      <c r="R3499" s="178"/>
      <c r="S3499" s="178"/>
    </row>
    <row r="3500" spans="18:19">
      <c r="R3500" s="178"/>
      <c r="S3500" s="178"/>
    </row>
    <row r="3501" spans="18:19">
      <c r="R3501" s="178"/>
      <c r="S3501" s="178"/>
    </row>
    <row r="3502" spans="18:19">
      <c r="R3502" s="178"/>
      <c r="S3502" s="178"/>
    </row>
    <row r="3503" spans="18:19">
      <c r="R3503" s="178"/>
      <c r="S3503" s="178"/>
    </row>
    <row r="3504" spans="18:19">
      <c r="R3504" s="178"/>
      <c r="S3504" s="178"/>
    </row>
    <row r="3505" spans="18:19">
      <c r="R3505" s="178"/>
      <c r="S3505" s="178"/>
    </row>
    <row r="3506" spans="18:19">
      <c r="R3506" s="178"/>
      <c r="S3506" s="178"/>
    </row>
    <row r="3507" spans="18:19">
      <c r="R3507" s="178"/>
      <c r="S3507" s="178"/>
    </row>
    <row r="3508" spans="18:19">
      <c r="R3508" s="178"/>
      <c r="S3508" s="178"/>
    </row>
    <row r="3509" spans="18:19">
      <c r="R3509" s="178"/>
      <c r="S3509" s="178"/>
    </row>
    <row r="3510" spans="18:19">
      <c r="R3510" s="178"/>
      <c r="S3510" s="178"/>
    </row>
    <row r="3511" spans="18:19">
      <c r="R3511" s="178"/>
      <c r="S3511" s="178"/>
    </row>
    <row r="3512" spans="18:19">
      <c r="R3512" s="178"/>
      <c r="S3512" s="178"/>
    </row>
    <row r="3513" spans="18:19">
      <c r="R3513" s="178"/>
      <c r="S3513" s="178"/>
    </row>
    <row r="3514" spans="18:19">
      <c r="R3514" s="178"/>
      <c r="S3514" s="178"/>
    </row>
    <row r="3515" spans="18:19">
      <c r="R3515" s="178"/>
      <c r="S3515" s="178"/>
    </row>
    <row r="3516" spans="18:19">
      <c r="R3516" s="178"/>
      <c r="S3516" s="178"/>
    </row>
    <row r="3517" spans="18:19">
      <c r="R3517" s="178"/>
      <c r="S3517" s="178"/>
    </row>
    <row r="3518" spans="18:19">
      <c r="R3518" s="178"/>
      <c r="S3518" s="178"/>
    </row>
    <row r="3519" spans="18:19">
      <c r="R3519" s="178"/>
      <c r="S3519" s="178"/>
    </row>
    <row r="3520" spans="18:19">
      <c r="R3520" s="178"/>
      <c r="S3520" s="178"/>
    </row>
    <row r="3521" spans="18:19">
      <c r="R3521" s="178"/>
      <c r="S3521" s="178"/>
    </row>
    <row r="3522" spans="18:19">
      <c r="R3522" s="178"/>
      <c r="S3522" s="178"/>
    </row>
    <row r="3523" spans="18:19">
      <c r="R3523" s="178"/>
      <c r="S3523" s="178"/>
    </row>
    <row r="3524" spans="18:19">
      <c r="R3524" s="178"/>
      <c r="S3524" s="178"/>
    </row>
    <row r="3525" spans="18:19">
      <c r="R3525" s="178"/>
      <c r="S3525" s="178"/>
    </row>
    <row r="3526" spans="18:19">
      <c r="R3526" s="178"/>
      <c r="S3526" s="178"/>
    </row>
    <row r="3527" spans="18:19">
      <c r="R3527" s="178"/>
      <c r="S3527" s="178"/>
    </row>
    <row r="3528" spans="18:19">
      <c r="R3528" s="178"/>
      <c r="S3528" s="178"/>
    </row>
    <row r="3529" spans="18:19">
      <c r="R3529" s="178"/>
      <c r="S3529" s="178"/>
    </row>
    <row r="3530" spans="18:19">
      <c r="R3530" s="178"/>
      <c r="S3530" s="178"/>
    </row>
    <row r="3531" spans="18:19">
      <c r="R3531" s="178"/>
      <c r="S3531" s="178"/>
    </row>
    <row r="3532" spans="18:19">
      <c r="R3532" s="178"/>
      <c r="S3532" s="178"/>
    </row>
    <row r="3533" spans="18:19">
      <c r="R3533" s="178"/>
      <c r="S3533" s="178"/>
    </row>
    <row r="3534" spans="18:19">
      <c r="R3534" s="178"/>
      <c r="S3534" s="178"/>
    </row>
    <row r="3535" spans="18:19">
      <c r="R3535" s="178"/>
      <c r="S3535" s="178"/>
    </row>
    <row r="3536" spans="18:19">
      <c r="R3536" s="178"/>
      <c r="S3536" s="178"/>
    </row>
    <row r="3537" spans="18:19">
      <c r="R3537" s="178"/>
      <c r="S3537" s="178"/>
    </row>
    <row r="3538" spans="18:19">
      <c r="R3538" s="178"/>
      <c r="S3538" s="178"/>
    </row>
    <row r="3539" spans="18:19">
      <c r="R3539" s="178"/>
      <c r="S3539" s="178"/>
    </row>
    <row r="3540" spans="18:19">
      <c r="R3540" s="178"/>
      <c r="S3540" s="178"/>
    </row>
    <row r="3541" spans="18:19">
      <c r="R3541" s="178"/>
      <c r="S3541" s="178"/>
    </row>
    <row r="3542" spans="18:19">
      <c r="R3542" s="178"/>
      <c r="S3542" s="178"/>
    </row>
    <row r="3543" spans="18:19">
      <c r="R3543" s="178"/>
      <c r="S3543" s="178"/>
    </row>
    <row r="3544" spans="18:19">
      <c r="R3544" s="178"/>
      <c r="S3544" s="178"/>
    </row>
    <row r="3545" spans="18:19">
      <c r="R3545" s="178"/>
      <c r="S3545" s="178"/>
    </row>
    <row r="3546" spans="18:19">
      <c r="R3546" s="178"/>
      <c r="S3546" s="178"/>
    </row>
    <row r="3547" spans="18:19">
      <c r="R3547" s="178"/>
      <c r="S3547" s="178"/>
    </row>
    <row r="3548" spans="18:19">
      <c r="R3548" s="178"/>
      <c r="S3548" s="178"/>
    </row>
    <row r="3549" spans="18:19">
      <c r="R3549" s="178"/>
      <c r="S3549" s="178"/>
    </row>
    <row r="3550" spans="18:19">
      <c r="R3550" s="178"/>
      <c r="S3550" s="178"/>
    </row>
    <row r="3551" spans="18:19">
      <c r="R3551" s="178"/>
      <c r="S3551" s="178"/>
    </row>
    <row r="3552" spans="18:19">
      <c r="R3552" s="178"/>
      <c r="S3552" s="178"/>
    </row>
    <row r="3553" spans="18:19">
      <c r="R3553" s="178"/>
      <c r="S3553" s="178"/>
    </row>
    <row r="3554" spans="18:19">
      <c r="R3554" s="178"/>
      <c r="S3554" s="178"/>
    </row>
    <row r="3555" spans="18:19">
      <c r="R3555" s="178"/>
      <c r="S3555" s="178"/>
    </row>
    <row r="3556" spans="18:19">
      <c r="R3556" s="178"/>
      <c r="S3556" s="178"/>
    </row>
    <row r="3557" spans="18:19">
      <c r="R3557" s="178"/>
      <c r="S3557" s="178"/>
    </row>
    <row r="3558" spans="18:19">
      <c r="R3558" s="178"/>
      <c r="S3558" s="178"/>
    </row>
    <row r="3559" spans="18:19">
      <c r="R3559" s="178"/>
      <c r="S3559" s="178"/>
    </row>
    <row r="3560" spans="18:19">
      <c r="R3560" s="178"/>
      <c r="S3560" s="178"/>
    </row>
    <row r="3561" spans="18:19">
      <c r="R3561" s="178"/>
      <c r="S3561" s="178"/>
    </row>
    <row r="3562" spans="18:19">
      <c r="R3562" s="178"/>
      <c r="S3562" s="178"/>
    </row>
    <row r="3563" spans="18:19">
      <c r="R3563" s="178"/>
      <c r="S3563" s="178"/>
    </row>
    <row r="3564" spans="18:19">
      <c r="R3564" s="178"/>
      <c r="S3564" s="178"/>
    </row>
    <row r="3565" spans="18:19">
      <c r="R3565" s="178"/>
      <c r="S3565" s="178"/>
    </row>
    <row r="3566" spans="18:19">
      <c r="R3566" s="178"/>
      <c r="S3566" s="178"/>
    </row>
    <row r="3567" spans="18:19">
      <c r="R3567" s="178"/>
      <c r="S3567" s="178"/>
    </row>
    <row r="3568" spans="18:19">
      <c r="R3568" s="178"/>
      <c r="S3568" s="178"/>
    </row>
    <row r="3569" spans="18:19">
      <c r="R3569" s="178"/>
      <c r="S3569" s="178"/>
    </row>
    <row r="3570" spans="18:19">
      <c r="R3570" s="178"/>
      <c r="S3570" s="178"/>
    </row>
    <row r="3571" spans="18:19">
      <c r="R3571" s="178"/>
      <c r="S3571" s="178"/>
    </row>
    <row r="3572" spans="18:19">
      <c r="R3572" s="178"/>
      <c r="S3572" s="178"/>
    </row>
    <row r="3573" spans="18:19">
      <c r="R3573" s="178"/>
      <c r="S3573" s="178"/>
    </row>
    <row r="3574" spans="18:19">
      <c r="R3574" s="178"/>
      <c r="S3574" s="178"/>
    </row>
    <row r="3575" spans="18:19">
      <c r="R3575" s="178"/>
      <c r="S3575" s="178"/>
    </row>
    <row r="3576" spans="18:19">
      <c r="R3576" s="178"/>
      <c r="S3576" s="178"/>
    </row>
    <row r="3577" spans="18:19">
      <c r="R3577" s="178"/>
      <c r="S3577" s="178"/>
    </row>
    <row r="3578" spans="18:19">
      <c r="R3578" s="178"/>
      <c r="S3578" s="178"/>
    </row>
    <row r="3579" spans="18:19">
      <c r="R3579" s="178"/>
      <c r="S3579" s="178"/>
    </row>
    <row r="3580" spans="18:19">
      <c r="R3580" s="178"/>
      <c r="S3580" s="178"/>
    </row>
    <row r="3581" spans="18:19">
      <c r="R3581" s="178"/>
      <c r="S3581" s="178"/>
    </row>
    <row r="3582" spans="18:19">
      <c r="R3582" s="178"/>
      <c r="S3582" s="178"/>
    </row>
    <row r="3583" spans="18:19">
      <c r="R3583" s="178"/>
      <c r="S3583" s="178"/>
    </row>
    <row r="3584" spans="18:19">
      <c r="R3584" s="178"/>
      <c r="S3584" s="178"/>
    </row>
    <row r="3585" spans="18:19">
      <c r="R3585" s="178"/>
      <c r="S3585" s="178"/>
    </row>
    <row r="3586" spans="18:19">
      <c r="R3586" s="178"/>
      <c r="S3586" s="178"/>
    </row>
    <row r="3587" spans="18:19">
      <c r="R3587" s="178"/>
      <c r="S3587" s="178"/>
    </row>
    <row r="3588" spans="18:19">
      <c r="R3588" s="178"/>
      <c r="S3588" s="178"/>
    </row>
    <row r="3589" spans="18:19">
      <c r="R3589" s="178"/>
      <c r="S3589" s="178"/>
    </row>
    <row r="3590" spans="18:19">
      <c r="R3590" s="178"/>
      <c r="S3590" s="178"/>
    </row>
    <row r="3591" spans="18:19">
      <c r="R3591" s="178"/>
      <c r="S3591" s="178"/>
    </row>
    <row r="3592" spans="18:19">
      <c r="R3592" s="178"/>
      <c r="S3592" s="178"/>
    </row>
    <row r="3593" spans="18:19">
      <c r="R3593" s="178"/>
      <c r="S3593" s="178"/>
    </row>
    <row r="3594" spans="18:19">
      <c r="R3594" s="178"/>
      <c r="S3594" s="178"/>
    </row>
    <row r="3595" spans="18:19">
      <c r="R3595" s="178"/>
      <c r="S3595" s="178"/>
    </row>
    <row r="3596" spans="18:19">
      <c r="R3596" s="178"/>
      <c r="S3596" s="178"/>
    </row>
    <row r="3597" spans="18:19">
      <c r="R3597" s="178"/>
      <c r="S3597" s="178"/>
    </row>
    <row r="3598" spans="18:19">
      <c r="R3598" s="178"/>
      <c r="S3598" s="178"/>
    </row>
    <row r="3599" spans="18:19">
      <c r="R3599" s="178"/>
      <c r="S3599" s="178"/>
    </row>
    <row r="3600" spans="18:19">
      <c r="R3600" s="178"/>
      <c r="S3600" s="178"/>
    </row>
    <row r="3601" spans="18:19">
      <c r="R3601" s="178"/>
      <c r="S3601" s="178"/>
    </row>
    <row r="3602" spans="18:19">
      <c r="R3602" s="178"/>
      <c r="S3602" s="178"/>
    </row>
    <row r="3603" spans="18:19">
      <c r="R3603" s="178"/>
      <c r="S3603" s="178"/>
    </row>
    <row r="3604" spans="18:19">
      <c r="R3604" s="178"/>
      <c r="S3604" s="178"/>
    </row>
    <row r="3605" spans="18:19">
      <c r="R3605" s="178"/>
      <c r="S3605" s="178"/>
    </row>
    <row r="3606" spans="18:19">
      <c r="R3606" s="178"/>
      <c r="S3606" s="178"/>
    </row>
    <row r="3607" spans="18:19">
      <c r="R3607" s="178"/>
      <c r="S3607" s="178"/>
    </row>
    <row r="3608" spans="18:19">
      <c r="R3608" s="178"/>
      <c r="S3608" s="178"/>
    </row>
    <row r="3609" spans="18:19">
      <c r="R3609" s="178"/>
      <c r="S3609" s="178"/>
    </row>
    <row r="3610" spans="18:19">
      <c r="R3610" s="178"/>
      <c r="S3610" s="178"/>
    </row>
    <row r="3611" spans="18:19">
      <c r="R3611" s="178"/>
      <c r="S3611" s="178"/>
    </row>
    <row r="3612" spans="18:19">
      <c r="R3612" s="178"/>
      <c r="S3612" s="178"/>
    </row>
    <row r="3613" spans="18:19">
      <c r="R3613" s="178"/>
      <c r="S3613" s="178"/>
    </row>
    <row r="3614" spans="18:19">
      <c r="R3614" s="178"/>
      <c r="S3614" s="178"/>
    </row>
    <row r="3615" spans="18:19">
      <c r="R3615" s="178"/>
      <c r="S3615" s="178"/>
    </row>
    <row r="3616" spans="18:19">
      <c r="R3616" s="178"/>
      <c r="S3616" s="178"/>
    </row>
    <row r="3617" spans="18:19">
      <c r="R3617" s="178"/>
      <c r="S3617" s="178"/>
    </row>
    <row r="3618" spans="18:19">
      <c r="R3618" s="178"/>
      <c r="S3618" s="178"/>
    </row>
    <row r="3619" spans="18:19">
      <c r="R3619" s="178"/>
      <c r="S3619" s="178"/>
    </row>
    <row r="3620" spans="18:19">
      <c r="R3620" s="178"/>
      <c r="S3620" s="178"/>
    </row>
    <row r="3621" spans="18:19">
      <c r="R3621" s="178"/>
      <c r="S3621" s="178"/>
    </row>
    <row r="3622" spans="18:19">
      <c r="R3622" s="178"/>
      <c r="S3622" s="178"/>
    </row>
    <row r="3623" spans="18:19">
      <c r="R3623" s="178"/>
      <c r="S3623" s="178"/>
    </row>
    <row r="3624" spans="18:19">
      <c r="R3624" s="178"/>
      <c r="S3624" s="178"/>
    </row>
    <row r="3625" spans="18:19">
      <c r="R3625" s="178"/>
      <c r="S3625" s="178"/>
    </row>
    <row r="3626" spans="18:19">
      <c r="R3626" s="178"/>
      <c r="S3626" s="178"/>
    </row>
    <row r="3627" spans="18:19">
      <c r="R3627" s="178"/>
      <c r="S3627" s="178"/>
    </row>
    <row r="3628" spans="18:19">
      <c r="R3628" s="178"/>
      <c r="S3628" s="178"/>
    </row>
    <row r="3629" spans="18:19">
      <c r="R3629" s="178"/>
      <c r="S3629" s="178"/>
    </row>
    <row r="3630" spans="18:19">
      <c r="R3630" s="178"/>
      <c r="S3630" s="178"/>
    </row>
    <row r="3631" spans="18:19">
      <c r="R3631" s="178"/>
      <c r="S3631" s="178"/>
    </row>
    <row r="3632" spans="18:19">
      <c r="R3632" s="178"/>
      <c r="S3632" s="178"/>
    </row>
    <row r="3633" spans="18:19">
      <c r="R3633" s="178"/>
      <c r="S3633" s="178"/>
    </row>
    <row r="3634" spans="18:19">
      <c r="R3634" s="178"/>
      <c r="S3634" s="178"/>
    </row>
    <row r="3635" spans="18:19">
      <c r="R3635" s="178"/>
      <c r="S3635" s="178"/>
    </row>
    <row r="3636" spans="18:19">
      <c r="R3636" s="178"/>
      <c r="S3636" s="178"/>
    </row>
    <row r="3637" spans="18:19">
      <c r="R3637" s="178"/>
      <c r="S3637" s="178"/>
    </row>
    <row r="3638" spans="18:19">
      <c r="R3638" s="178"/>
      <c r="S3638" s="178"/>
    </row>
    <row r="3639" spans="18:19">
      <c r="R3639" s="178"/>
      <c r="S3639" s="178"/>
    </row>
    <row r="3640" spans="18:19">
      <c r="R3640" s="178"/>
      <c r="S3640" s="178"/>
    </row>
    <row r="3641" spans="18:19">
      <c r="R3641" s="178"/>
      <c r="S3641" s="178"/>
    </row>
    <row r="3642" spans="18:19">
      <c r="R3642" s="178"/>
      <c r="S3642" s="178"/>
    </row>
    <row r="3643" spans="18:19">
      <c r="R3643" s="178"/>
      <c r="S3643" s="178"/>
    </row>
    <row r="3644" spans="18:19">
      <c r="R3644" s="178"/>
      <c r="S3644" s="178"/>
    </row>
    <row r="3645" spans="18:19">
      <c r="R3645" s="178"/>
      <c r="S3645" s="178"/>
    </row>
    <row r="3646" spans="18:19">
      <c r="R3646" s="178"/>
      <c r="S3646" s="178"/>
    </row>
    <row r="3647" spans="18:19">
      <c r="R3647" s="178"/>
      <c r="S3647" s="178"/>
    </row>
    <row r="3648" spans="18:19">
      <c r="R3648" s="178"/>
      <c r="S3648" s="178"/>
    </row>
    <row r="3649" spans="18:19">
      <c r="R3649" s="178"/>
      <c r="S3649" s="178"/>
    </row>
    <row r="3650" spans="18:19">
      <c r="R3650" s="178"/>
      <c r="S3650" s="178"/>
    </row>
    <row r="3651" spans="18:19">
      <c r="R3651" s="178"/>
      <c r="S3651" s="178"/>
    </row>
    <row r="3652" spans="18:19">
      <c r="R3652" s="178"/>
      <c r="S3652" s="178"/>
    </row>
    <row r="3653" spans="18:19">
      <c r="R3653" s="178"/>
      <c r="S3653" s="178"/>
    </row>
    <row r="3654" spans="18:19">
      <c r="R3654" s="178"/>
      <c r="S3654" s="178"/>
    </row>
    <row r="3655" spans="18:19">
      <c r="R3655" s="178"/>
      <c r="S3655" s="178"/>
    </row>
    <row r="3656" spans="18:19">
      <c r="R3656" s="178"/>
      <c r="S3656" s="178"/>
    </row>
    <row r="3657" spans="18:19">
      <c r="R3657" s="178"/>
      <c r="S3657" s="178"/>
    </row>
    <row r="3658" spans="18:19">
      <c r="R3658" s="178"/>
      <c r="S3658" s="178"/>
    </row>
    <row r="3659" spans="18:19">
      <c r="R3659" s="178"/>
      <c r="S3659" s="178"/>
    </row>
    <row r="3660" spans="18:19">
      <c r="R3660" s="178"/>
      <c r="S3660" s="178"/>
    </row>
    <row r="3661" spans="18:19">
      <c r="R3661" s="178"/>
      <c r="S3661" s="178"/>
    </row>
    <row r="3662" spans="18:19">
      <c r="R3662" s="178"/>
      <c r="S3662" s="178"/>
    </row>
    <row r="3663" spans="18:19">
      <c r="R3663" s="178"/>
      <c r="S3663" s="178"/>
    </row>
    <row r="3664" spans="18:19">
      <c r="R3664" s="178"/>
      <c r="S3664" s="178"/>
    </row>
    <row r="3665" spans="18:19">
      <c r="R3665" s="178"/>
      <c r="S3665" s="178"/>
    </row>
    <row r="3666" spans="18:19">
      <c r="R3666" s="178"/>
      <c r="S3666" s="178"/>
    </row>
    <row r="3667" spans="18:19">
      <c r="R3667" s="178"/>
      <c r="S3667" s="178"/>
    </row>
    <row r="3668" spans="18:19">
      <c r="R3668" s="178"/>
      <c r="S3668" s="178"/>
    </row>
    <row r="3669" spans="18:19">
      <c r="R3669" s="178"/>
      <c r="S3669" s="178"/>
    </row>
    <row r="3670" spans="18:19">
      <c r="R3670" s="178"/>
      <c r="S3670" s="178"/>
    </row>
    <row r="3671" spans="18:19">
      <c r="R3671" s="178"/>
      <c r="S3671" s="178"/>
    </row>
    <row r="3672" spans="18:19">
      <c r="R3672" s="178"/>
      <c r="S3672" s="178"/>
    </row>
    <row r="3673" spans="18:19">
      <c r="R3673" s="178"/>
      <c r="S3673" s="178"/>
    </row>
    <row r="3674" spans="18:19">
      <c r="R3674" s="178"/>
      <c r="S3674" s="178"/>
    </row>
    <row r="3675" spans="18:19">
      <c r="R3675" s="178"/>
      <c r="S3675" s="178"/>
    </row>
    <row r="3676" spans="18:19">
      <c r="R3676" s="178"/>
      <c r="S3676" s="178"/>
    </row>
    <row r="3677" spans="18:19">
      <c r="R3677" s="178"/>
      <c r="S3677" s="178"/>
    </row>
    <row r="3678" spans="18:19">
      <c r="R3678" s="178"/>
      <c r="S3678" s="178"/>
    </row>
    <row r="3679" spans="18:19">
      <c r="R3679" s="178"/>
      <c r="S3679" s="178"/>
    </row>
    <row r="3680" spans="18:19">
      <c r="R3680" s="178"/>
      <c r="S3680" s="178"/>
    </row>
    <row r="3681" spans="18:19">
      <c r="R3681" s="178"/>
      <c r="S3681" s="178"/>
    </row>
    <row r="3682" spans="18:19">
      <c r="R3682" s="178"/>
      <c r="S3682" s="178"/>
    </row>
    <row r="3683" spans="18:19">
      <c r="R3683" s="178"/>
      <c r="S3683" s="178"/>
    </row>
    <row r="3684" spans="18:19">
      <c r="R3684" s="178"/>
      <c r="S3684" s="178"/>
    </row>
    <row r="3685" spans="18:19">
      <c r="R3685" s="178"/>
      <c r="S3685" s="178"/>
    </row>
    <row r="3686" spans="18:19">
      <c r="R3686" s="178"/>
      <c r="S3686" s="178"/>
    </row>
    <row r="3687" spans="18:19">
      <c r="R3687" s="178"/>
      <c r="S3687" s="178"/>
    </row>
    <row r="3688" spans="18:19">
      <c r="R3688" s="178"/>
      <c r="S3688" s="178"/>
    </row>
    <row r="3689" spans="18:19">
      <c r="R3689" s="178"/>
      <c r="S3689" s="178"/>
    </row>
    <row r="3690" spans="18:19">
      <c r="R3690" s="178"/>
      <c r="S3690" s="178"/>
    </row>
    <row r="3691" spans="18:19">
      <c r="R3691" s="178"/>
      <c r="S3691" s="178"/>
    </row>
    <row r="3692" spans="18:19">
      <c r="R3692" s="178"/>
      <c r="S3692" s="178"/>
    </row>
    <row r="3693" spans="18:19">
      <c r="R3693" s="178"/>
      <c r="S3693" s="178"/>
    </row>
    <row r="3694" spans="18:19">
      <c r="R3694" s="178"/>
      <c r="S3694" s="178"/>
    </row>
    <row r="3695" spans="18:19">
      <c r="R3695" s="178"/>
      <c r="S3695" s="178"/>
    </row>
    <row r="3696" spans="18:19">
      <c r="R3696" s="178"/>
      <c r="S3696" s="178"/>
    </row>
    <row r="3697" spans="18:19">
      <c r="R3697" s="178"/>
      <c r="S3697" s="178"/>
    </row>
    <row r="3698" spans="18:19">
      <c r="R3698" s="178"/>
      <c r="S3698" s="178"/>
    </row>
    <row r="3699" spans="18:19">
      <c r="R3699" s="178"/>
      <c r="S3699" s="178"/>
    </row>
    <row r="3700" spans="18:19">
      <c r="R3700" s="178"/>
      <c r="S3700" s="178"/>
    </row>
    <row r="3701" spans="18:19">
      <c r="R3701" s="178"/>
      <c r="S3701" s="178"/>
    </row>
    <row r="3702" spans="18:19">
      <c r="R3702" s="178"/>
      <c r="S3702" s="178"/>
    </row>
    <row r="3703" spans="18:19">
      <c r="R3703" s="178"/>
      <c r="S3703" s="178"/>
    </row>
    <row r="3704" spans="18:19">
      <c r="R3704" s="178"/>
      <c r="S3704" s="178"/>
    </row>
    <row r="3705" spans="18:19">
      <c r="R3705" s="178"/>
      <c r="S3705" s="178"/>
    </row>
    <row r="3706" spans="18:19">
      <c r="R3706" s="178"/>
      <c r="S3706" s="178"/>
    </row>
    <row r="3707" spans="18:19">
      <c r="R3707" s="178"/>
      <c r="S3707" s="178"/>
    </row>
    <row r="3708" spans="18:19">
      <c r="R3708" s="178"/>
      <c r="S3708" s="178"/>
    </row>
    <row r="3709" spans="18:19">
      <c r="R3709" s="178"/>
      <c r="S3709" s="178"/>
    </row>
    <row r="3710" spans="18:19">
      <c r="R3710" s="178"/>
      <c r="S3710" s="178"/>
    </row>
    <row r="3711" spans="18:19">
      <c r="R3711" s="178"/>
      <c r="S3711" s="178"/>
    </row>
    <row r="3712" spans="18:19">
      <c r="R3712" s="178"/>
      <c r="S3712" s="178"/>
    </row>
    <row r="3713" spans="18:19">
      <c r="R3713" s="178"/>
      <c r="S3713" s="178"/>
    </row>
    <row r="3714" spans="18:19">
      <c r="R3714" s="178"/>
      <c r="S3714" s="178"/>
    </row>
    <row r="3715" spans="18:19">
      <c r="R3715" s="178"/>
      <c r="S3715" s="178"/>
    </row>
    <row r="3716" spans="18:19">
      <c r="R3716" s="178"/>
      <c r="S3716" s="178"/>
    </row>
    <row r="3717" spans="18:19">
      <c r="R3717" s="178"/>
      <c r="S3717" s="178"/>
    </row>
    <row r="3718" spans="18:19">
      <c r="R3718" s="178"/>
      <c r="S3718" s="178"/>
    </row>
    <row r="3719" spans="18:19">
      <c r="R3719" s="178"/>
      <c r="S3719" s="178"/>
    </row>
    <row r="3720" spans="18:19">
      <c r="R3720" s="178"/>
      <c r="S3720" s="178"/>
    </row>
    <row r="3721" spans="18:19">
      <c r="R3721" s="178"/>
      <c r="S3721" s="178"/>
    </row>
    <row r="3722" spans="18:19">
      <c r="R3722" s="178"/>
      <c r="S3722" s="178"/>
    </row>
    <row r="3723" spans="18:19">
      <c r="R3723" s="178"/>
      <c r="S3723" s="178"/>
    </row>
    <row r="3724" spans="18:19">
      <c r="R3724" s="178"/>
      <c r="S3724" s="178"/>
    </row>
    <row r="3725" spans="18:19">
      <c r="R3725" s="178"/>
      <c r="S3725" s="178"/>
    </row>
    <row r="3726" spans="18:19">
      <c r="R3726" s="178"/>
      <c r="S3726" s="178"/>
    </row>
    <row r="3727" spans="18:19">
      <c r="R3727" s="178"/>
      <c r="S3727" s="178"/>
    </row>
    <row r="3728" spans="18:19">
      <c r="R3728" s="178"/>
      <c r="S3728" s="178"/>
    </row>
    <row r="3729" spans="18:19">
      <c r="R3729" s="178"/>
      <c r="S3729" s="178"/>
    </row>
    <row r="3730" spans="18:19">
      <c r="R3730" s="178"/>
      <c r="S3730" s="178"/>
    </row>
    <row r="3731" spans="18:19">
      <c r="R3731" s="178"/>
      <c r="S3731" s="178"/>
    </row>
    <row r="3732" spans="18:19">
      <c r="R3732" s="178"/>
      <c r="S3732" s="178"/>
    </row>
    <row r="3733" spans="18:19">
      <c r="R3733" s="178"/>
      <c r="S3733" s="178"/>
    </row>
    <row r="3734" spans="18:19">
      <c r="R3734" s="178"/>
      <c r="S3734" s="178"/>
    </row>
    <row r="3735" spans="18:19">
      <c r="R3735" s="178"/>
      <c r="S3735" s="178"/>
    </row>
    <row r="3736" spans="18:19">
      <c r="R3736" s="178"/>
      <c r="S3736" s="178"/>
    </row>
    <row r="3737" spans="18:19">
      <c r="R3737" s="178"/>
      <c r="S3737" s="178"/>
    </row>
    <row r="3738" spans="18:19">
      <c r="R3738" s="178"/>
      <c r="S3738" s="178"/>
    </row>
    <row r="3739" spans="18:19">
      <c r="R3739" s="178"/>
      <c r="S3739" s="178"/>
    </row>
    <row r="3740" spans="18:19">
      <c r="R3740" s="178"/>
      <c r="S3740" s="178"/>
    </row>
    <row r="3741" spans="18:19">
      <c r="R3741" s="178"/>
      <c r="S3741" s="178"/>
    </row>
    <row r="3742" spans="18:19">
      <c r="R3742" s="178"/>
      <c r="S3742" s="178"/>
    </row>
    <row r="3743" spans="18:19">
      <c r="R3743" s="178"/>
      <c r="S3743" s="178"/>
    </row>
    <row r="3744" spans="18:19">
      <c r="R3744" s="178"/>
      <c r="S3744" s="178"/>
    </row>
    <row r="3745" spans="18:19">
      <c r="R3745" s="178"/>
      <c r="S3745" s="178"/>
    </row>
    <row r="3746" spans="18:19">
      <c r="R3746" s="178"/>
      <c r="S3746" s="178"/>
    </row>
    <row r="3747" spans="18:19">
      <c r="R3747" s="178"/>
      <c r="S3747" s="178"/>
    </row>
    <row r="3748" spans="18:19">
      <c r="R3748" s="178"/>
      <c r="S3748" s="178"/>
    </row>
    <row r="3749" spans="18:19">
      <c r="R3749" s="178"/>
      <c r="S3749" s="178"/>
    </row>
    <row r="3750" spans="18:19">
      <c r="R3750" s="178"/>
      <c r="S3750" s="178"/>
    </row>
    <row r="3751" spans="18:19">
      <c r="R3751" s="178"/>
      <c r="S3751" s="178"/>
    </row>
    <row r="3752" spans="18:19">
      <c r="R3752" s="178"/>
      <c r="S3752" s="178"/>
    </row>
    <row r="3753" spans="18:19">
      <c r="R3753" s="178"/>
      <c r="S3753" s="178"/>
    </row>
    <row r="3754" spans="18:19">
      <c r="R3754" s="178"/>
      <c r="S3754" s="178"/>
    </row>
    <row r="3755" spans="18:19">
      <c r="R3755" s="178"/>
      <c r="S3755" s="178"/>
    </row>
    <row r="3756" spans="18:19">
      <c r="R3756" s="178"/>
      <c r="S3756" s="178"/>
    </row>
    <row r="3757" spans="18:19">
      <c r="R3757" s="178"/>
      <c r="S3757" s="178"/>
    </row>
    <row r="3758" spans="18:19">
      <c r="R3758" s="178"/>
      <c r="S3758" s="178"/>
    </row>
    <row r="3759" spans="18:19">
      <c r="R3759" s="178"/>
      <c r="S3759" s="178"/>
    </row>
    <row r="3760" spans="18:19">
      <c r="R3760" s="178"/>
      <c r="S3760" s="178"/>
    </row>
    <row r="3761" spans="18:19">
      <c r="R3761" s="178"/>
      <c r="S3761" s="178"/>
    </row>
    <row r="3762" spans="18:19">
      <c r="R3762" s="178"/>
      <c r="S3762" s="178"/>
    </row>
    <row r="3763" spans="18:19">
      <c r="R3763" s="178"/>
      <c r="S3763" s="178"/>
    </row>
    <row r="3764" spans="18:19">
      <c r="R3764" s="178"/>
      <c r="S3764" s="178"/>
    </row>
    <row r="3765" spans="18:19">
      <c r="R3765" s="178"/>
      <c r="S3765" s="178"/>
    </row>
    <row r="3766" spans="18:19">
      <c r="R3766" s="178"/>
      <c r="S3766" s="178"/>
    </row>
    <row r="3767" spans="18:19">
      <c r="R3767" s="178"/>
      <c r="S3767" s="178"/>
    </row>
    <row r="3768" spans="18:19">
      <c r="R3768" s="178"/>
      <c r="S3768" s="178"/>
    </row>
    <row r="3769" spans="18:19">
      <c r="R3769" s="178"/>
      <c r="S3769" s="178"/>
    </row>
    <row r="3770" spans="18:19">
      <c r="R3770" s="178"/>
      <c r="S3770" s="178"/>
    </row>
    <row r="3771" spans="18:19">
      <c r="R3771" s="178"/>
      <c r="S3771" s="178"/>
    </row>
    <row r="3772" spans="18:19">
      <c r="R3772" s="178"/>
      <c r="S3772" s="178"/>
    </row>
    <row r="3773" spans="18:19">
      <c r="R3773" s="178"/>
      <c r="S3773" s="178"/>
    </row>
    <row r="3774" spans="18:19">
      <c r="R3774" s="178"/>
      <c r="S3774" s="178"/>
    </row>
    <row r="3775" spans="18:19">
      <c r="R3775" s="178"/>
      <c r="S3775" s="178"/>
    </row>
    <row r="3776" spans="18:19">
      <c r="R3776" s="178"/>
      <c r="S3776" s="178"/>
    </row>
    <row r="3777" spans="18:19">
      <c r="R3777" s="178"/>
      <c r="S3777" s="178"/>
    </row>
    <row r="3778" spans="18:19">
      <c r="R3778" s="178"/>
      <c r="S3778" s="178"/>
    </row>
    <row r="3779" spans="18:19">
      <c r="R3779" s="178"/>
      <c r="S3779" s="178"/>
    </row>
    <row r="3780" spans="18:19">
      <c r="R3780" s="178"/>
      <c r="S3780" s="178"/>
    </row>
    <row r="3781" spans="18:19">
      <c r="R3781" s="178"/>
      <c r="S3781" s="178"/>
    </row>
    <row r="3782" spans="18:19">
      <c r="R3782" s="178"/>
      <c r="S3782" s="178"/>
    </row>
    <row r="3783" spans="18:19">
      <c r="R3783" s="178"/>
      <c r="S3783" s="178"/>
    </row>
    <row r="3784" spans="18:19">
      <c r="R3784" s="178"/>
      <c r="S3784" s="178"/>
    </row>
    <row r="3785" spans="18:19">
      <c r="R3785" s="178"/>
      <c r="S3785" s="178"/>
    </row>
    <row r="3786" spans="18:19">
      <c r="R3786" s="178"/>
      <c r="S3786" s="178"/>
    </row>
    <row r="3787" spans="18:19">
      <c r="R3787" s="178"/>
      <c r="S3787" s="178"/>
    </row>
    <row r="3788" spans="18:19">
      <c r="R3788" s="178"/>
      <c r="S3788" s="178"/>
    </row>
    <row r="3789" spans="18:19">
      <c r="R3789" s="178"/>
      <c r="S3789" s="178"/>
    </row>
    <row r="3790" spans="18:19">
      <c r="R3790" s="178"/>
      <c r="S3790" s="178"/>
    </row>
    <row r="3791" spans="18:19">
      <c r="R3791" s="178"/>
      <c r="S3791" s="178"/>
    </row>
    <row r="3792" spans="18:19">
      <c r="R3792" s="178"/>
      <c r="S3792" s="178"/>
    </row>
    <row r="3793" spans="18:19">
      <c r="R3793" s="178"/>
      <c r="S3793" s="178"/>
    </row>
    <row r="3794" spans="18:19">
      <c r="R3794" s="178"/>
      <c r="S3794" s="178"/>
    </row>
    <row r="3795" spans="18:19">
      <c r="R3795" s="178"/>
      <c r="S3795" s="178"/>
    </row>
    <row r="3796" spans="18:19">
      <c r="R3796" s="178"/>
      <c r="S3796" s="178"/>
    </row>
    <row r="3797" spans="18:19">
      <c r="R3797" s="178"/>
      <c r="S3797" s="178"/>
    </row>
    <row r="3798" spans="18:19">
      <c r="R3798" s="178"/>
      <c r="S3798" s="178"/>
    </row>
    <row r="3799" spans="18:19">
      <c r="R3799" s="178"/>
      <c r="S3799" s="178"/>
    </row>
    <row r="3800" spans="18:19">
      <c r="R3800" s="178"/>
      <c r="S3800" s="178"/>
    </row>
    <row r="3801" spans="18:19">
      <c r="R3801" s="178"/>
      <c r="S3801" s="178"/>
    </row>
    <row r="3802" spans="18:19">
      <c r="R3802" s="178"/>
      <c r="S3802" s="178"/>
    </row>
    <row r="3803" spans="18:19">
      <c r="R3803" s="178"/>
      <c r="S3803" s="178"/>
    </row>
    <row r="3804" spans="18:19">
      <c r="R3804" s="178"/>
      <c r="S3804" s="178"/>
    </row>
    <row r="3805" spans="18:19">
      <c r="R3805" s="178"/>
      <c r="S3805" s="178"/>
    </row>
    <row r="3806" spans="18:19">
      <c r="R3806" s="178"/>
      <c r="S3806" s="178"/>
    </row>
    <row r="3807" spans="18:19">
      <c r="R3807" s="178"/>
      <c r="S3807" s="178"/>
    </row>
    <row r="3808" spans="18:19">
      <c r="R3808" s="178"/>
      <c r="S3808" s="178"/>
    </row>
    <row r="3809" spans="18:19">
      <c r="R3809" s="178"/>
      <c r="S3809" s="178"/>
    </row>
    <row r="3810" spans="18:19">
      <c r="R3810" s="178"/>
      <c r="S3810" s="178"/>
    </row>
    <row r="3811" spans="18:19">
      <c r="R3811" s="178"/>
      <c r="S3811" s="178"/>
    </row>
    <row r="3812" spans="18:19">
      <c r="R3812" s="178"/>
      <c r="S3812" s="178"/>
    </row>
    <row r="3813" spans="18:19">
      <c r="R3813" s="178"/>
      <c r="S3813" s="178"/>
    </row>
    <row r="3814" spans="18:19">
      <c r="R3814" s="178"/>
      <c r="S3814" s="178"/>
    </row>
    <row r="3815" spans="18:19">
      <c r="R3815" s="178"/>
      <c r="S3815" s="178"/>
    </row>
    <row r="3816" spans="18:19">
      <c r="R3816" s="178"/>
      <c r="S3816" s="178"/>
    </row>
    <row r="3817" spans="18:19">
      <c r="R3817" s="178"/>
      <c r="S3817" s="178"/>
    </row>
    <row r="3818" spans="18:19">
      <c r="R3818" s="178"/>
      <c r="S3818" s="178"/>
    </row>
    <row r="3819" spans="18:19">
      <c r="R3819" s="178"/>
      <c r="S3819" s="178"/>
    </row>
    <row r="3820" spans="18:19">
      <c r="R3820" s="178"/>
      <c r="S3820" s="178"/>
    </row>
    <row r="3821" spans="18:19">
      <c r="R3821" s="178"/>
      <c r="S3821" s="178"/>
    </row>
    <row r="3822" spans="18:19">
      <c r="R3822" s="178"/>
      <c r="S3822" s="178"/>
    </row>
    <row r="3823" spans="18:19">
      <c r="R3823" s="178"/>
      <c r="S3823" s="178"/>
    </row>
    <row r="3824" spans="18:19">
      <c r="R3824" s="178"/>
      <c r="S3824" s="178"/>
    </row>
    <row r="3825" spans="18:19">
      <c r="R3825" s="178"/>
      <c r="S3825" s="178"/>
    </row>
    <row r="3826" spans="18:19">
      <c r="R3826" s="178"/>
      <c r="S3826" s="178"/>
    </row>
    <row r="3827" spans="18:19">
      <c r="R3827" s="178"/>
      <c r="S3827" s="178"/>
    </row>
    <row r="3828" spans="18:19">
      <c r="R3828" s="178"/>
      <c r="S3828" s="178"/>
    </row>
    <row r="3829" spans="18:19">
      <c r="R3829" s="178"/>
      <c r="S3829" s="178"/>
    </row>
    <row r="3830" spans="18:19">
      <c r="R3830" s="178"/>
      <c r="S3830" s="178"/>
    </row>
    <row r="3831" spans="18:19">
      <c r="R3831" s="178"/>
      <c r="S3831" s="178"/>
    </row>
    <row r="3832" spans="18:19">
      <c r="R3832" s="178"/>
      <c r="S3832" s="178"/>
    </row>
    <row r="3833" spans="18:19">
      <c r="R3833" s="178"/>
      <c r="S3833" s="178"/>
    </row>
    <row r="3834" spans="18:19">
      <c r="R3834" s="178"/>
      <c r="S3834" s="178"/>
    </row>
    <row r="3835" spans="18:19">
      <c r="R3835" s="178"/>
      <c r="S3835" s="178"/>
    </row>
    <row r="3836" spans="18:19">
      <c r="R3836" s="178"/>
      <c r="S3836" s="178"/>
    </row>
    <row r="3837" spans="18:19">
      <c r="R3837" s="178"/>
      <c r="S3837" s="178"/>
    </row>
    <row r="3838" spans="18:19">
      <c r="R3838" s="178"/>
      <c r="S3838" s="178"/>
    </row>
    <row r="3839" spans="18:19">
      <c r="R3839" s="178"/>
      <c r="S3839" s="178"/>
    </row>
    <row r="3840" spans="18:19">
      <c r="R3840" s="178"/>
      <c r="S3840" s="178"/>
    </row>
    <row r="3841" spans="18:19">
      <c r="R3841" s="178"/>
      <c r="S3841" s="178"/>
    </row>
    <row r="3842" spans="18:19">
      <c r="R3842" s="178"/>
      <c r="S3842" s="178"/>
    </row>
    <row r="3843" spans="18:19">
      <c r="R3843" s="178"/>
      <c r="S3843" s="178"/>
    </row>
    <row r="3844" spans="18:19">
      <c r="R3844" s="178"/>
      <c r="S3844" s="178"/>
    </row>
    <row r="3845" spans="18:19">
      <c r="R3845" s="178"/>
      <c r="S3845" s="178"/>
    </row>
    <row r="3846" spans="18:19">
      <c r="R3846" s="178"/>
      <c r="S3846" s="178"/>
    </row>
    <row r="3847" spans="18:19">
      <c r="R3847" s="178"/>
      <c r="S3847" s="178"/>
    </row>
    <row r="3848" spans="18:19">
      <c r="R3848" s="178"/>
      <c r="S3848" s="178"/>
    </row>
    <row r="3849" spans="18:19">
      <c r="R3849" s="178"/>
      <c r="S3849" s="178"/>
    </row>
    <row r="3850" spans="18:19">
      <c r="R3850" s="178"/>
      <c r="S3850" s="178"/>
    </row>
    <row r="3851" spans="18:19">
      <c r="R3851" s="178"/>
      <c r="S3851" s="178"/>
    </row>
    <row r="3852" spans="18:19">
      <c r="R3852" s="178"/>
      <c r="S3852" s="178"/>
    </row>
    <row r="3853" spans="18:19">
      <c r="R3853" s="178"/>
      <c r="S3853" s="178"/>
    </row>
    <row r="3854" spans="18:19">
      <c r="R3854" s="178"/>
      <c r="S3854" s="178"/>
    </row>
    <row r="3855" spans="18:19">
      <c r="R3855" s="178"/>
      <c r="S3855" s="178"/>
    </row>
    <row r="3856" spans="18:19">
      <c r="R3856" s="178"/>
      <c r="S3856" s="178"/>
    </row>
    <row r="3857" spans="18:19">
      <c r="R3857" s="178"/>
      <c r="S3857" s="178"/>
    </row>
    <row r="3858" spans="18:19">
      <c r="R3858" s="178"/>
      <c r="S3858" s="178"/>
    </row>
    <row r="3859" spans="18:19">
      <c r="R3859" s="178"/>
      <c r="S3859" s="178"/>
    </row>
    <row r="3860" spans="18:19">
      <c r="R3860" s="178"/>
      <c r="S3860" s="178"/>
    </row>
    <row r="3861" spans="18:19">
      <c r="R3861" s="178"/>
      <c r="S3861" s="178"/>
    </row>
    <row r="3862" spans="18:19">
      <c r="R3862" s="178"/>
      <c r="S3862" s="178"/>
    </row>
    <row r="3863" spans="18:19">
      <c r="R3863" s="178"/>
      <c r="S3863" s="178"/>
    </row>
    <row r="3864" spans="18:19">
      <c r="R3864" s="178"/>
      <c r="S3864" s="178"/>
    </row>
    <row r="3865" spans="18:19">
      <c r="R3865" s="178"/>
      <c r="S3865" s="178"/>
    </row>
    <row r="3866" spans="18:19">
      <c r="R3866" s="178"/>
      <c r="S3866" s="178"/>
    </row>
    <row r="3867" spans="18:19">
      <c r="R3867" s="178"/>
      <c r="S3867" s="178"/>
    </row>
    <row r="3868" spans="18:19">
      <c r="R3868" s="178"/>
      <c r="S3868" s="178"/>
    </row>
    <row r="3869" spans="18:19">
      <c r="R3869" s="178"/>
      <c r="S3869" s="178"/>
    </row>
    <row r="3870" spans="18:19">
      <c r="R3870" s="178"/>
      <c r="S3870" s="178"/>
    </row>
    <row r="3871" spans="18:19">
      <c r="R3871" s="178"/>
      <c r="S3871" s="178"/>
    </row>
    <row r="3872" spans="18:19">
      <c r="R3872" s="178"/>
      <c r="S3872" s="178"/>
    </row>
    <row r="3873" spans="18:19">
      <c r="R3873" s="178"/>
      <c r="S3873" s="178"/>
    </row>
    <row r="3874" spans="18:19">
      <c r="R3874" s="178"/>
      <c r="S3874" s="178"/>
    </row>
    <row r="3875" spans="18:19">
      <c r="R3875" s="178"/>
      <c r="S3875" s="178"/>
    </row>
    <row r="3876" spans="18:19">
      <c r="R3876" s="178"/>
      <c r="S3876" s="178"/>
    </row>
    <row r="3877" spans="18:19">
      <c r="R3877" s="178"/>
      <c r="S3877" s="178"/>
    </row>
    <row r="3878" spans="18:19">
      <c r="R3878" s="178"/>
      <c r="S3878" s="178"/>
    </row>
    <row r="3879" spans="18:19">
      <c r="R3879" s="178"/>
      <c r="S3879" s="178"/>
    </row>
    <row r="3880" spans="18:19">
      <c r="R3880" s="178"/>
      <c r="S3880" s="178"/>
    </row>
    <row r="3881" spans="18:19">
      <c r="R3881" s="178"/>
      <c r="S3881" s="178"/>
    </row>
    <row r="3882" spans="18:19">
      <c r="R3882" s="178"/>
      <c r="S3882" s="178"/>
    </row>
    <row r="3883" spans="18:19">
      <c r="R3883" s="178"/>
      <c r="S3883" s="178"/>
    </row>
    <row r="3884" spans="18:19">
      <c r="R3884" s="178"/>
      <c r="S3884" s="178"/>
    </row>
    <row r="3885" spans="18:19">
      <c r="R3885" s="178"/>
      <c r="S3885" s="178"/>
    </row>
    <row r="3886" spans="18:19">
      <c r="R3886" s="178"/>
      <c r="S3886" s="178"/>
    </row>
    <row r="3887" spans="18:19">
      <c r="R3887" s="178"/>
      <c r="S3887" s="178"/>
    </row>
    <row r="3888" spans="18:19">
      <c r="R3888" s="178"/>
      <c r="S3888" s="178"/>
    </row>
    <row r="3889" spans="18:19">
      <c r="R3889" s="178"/>
      <c r="S3889" s="178"/>
    </row>
    <row r="3890" spans="18:19">
      <c r="R3890" s="178"/>
      <c r="S3890" s="178"/>
    </row>
    <row r="3891" spans="18:19">
      <c r="R3891" s="178"/>
      <c r="S3891" s="178"/>
    </row>
    <row r="3892" spans="18:19">
      <c r="R3892" s="178"/>
      <c r="S3892" s="178"/>
    </row>
    <row r="3893" spans="18:19">
      <c r="R3893" s="178"/>
      <c r="S3893" s="178"/>
    </row>
    <row r="3894" spans="18:19">
      <c r="R3894" s="178"/>
      <c r="S3894" s="178"/>
    </row>
    <row r="3895" spans="18:19">
      <c r="R3895" s="178"/>
      <c r="S3895" s="178"/>
    </row>
    <row r="3896" spans="18:19">
      <c r="R3896" s="178"/>
      <c r="S3896" s="178"/>
    </row>
    <row r="3897" spans="18:19">
      <c r="R3897" s="178"/>
      <c r="S3897" s="178"/>
    </row>
    <row r="3898" spans="18:19">
      <c r="R3898" s="178"/>
      <c r="S3898" s="178"/>
    </row>
    <row r="3899" spans="18:19">
      <c r="R3899" s="178"/>
      <c r="S3899" s="178"/>
    </row>
    <row r="3900" spans="18:19">
      <c r="R3900" s="178"/>
      <c r="S3900" s="178"/>
    </row>
    <row r="3901" spans="18:19">
      <c r="R3901" s="178"/>
      <c r="S3901" s="178"/>
    </row>
    <row r="3902" spans="18:19">
      <c r="R3902" s="178"/>
      <c r="S3902" s="178"/>
    </row>
    <row r="3903" spans="18:19">
      <c r="R3903" s="178"/>
      <c r="S3903" s="178"/>
    </row>
    <row r="3904" spans="18:19">
      <c r="R3904" s="178"/>
      <c r="S3904" s="178"/>
    </row>
    <row r="3905" spans="18:19">
      <c r="R3905" s="178"/>
      <c r="S3905" s="178"/>
    </row>
    <row r="3906" spans="18:19">
      <c r="R3906" s="178"/>
      <c r="S3906" s="178"/>
    </row>
    <row r="3907" spans="18:19">
      <c r="R3907" s="178"/>
      <c r="S3907" s="178"/>
    </row>
    <row r="3908" spans="18:19">
      <c r="R3908" s="178"/>
      <c r="S3908" s="178"/>
    </row>
    <row r="3909" spans="18:19">
      <c r="R3909" s="178"/>
      <c r="S3909" s="178"/>
    </row>
    <row r="3910" spans="18:19">
      <c r="R3910" s="178"/>
      <c r="S3910" s="178"/>
    </row>
    <row r="3911" spans="18:19">
      <c r="R3911" s="178"/>
      <c r="S3911" s="178"/>
    </row>
    <row r="3912" spans="18:19">
      <c r="R3912" s="178"/>
      <c r="S3912" s="178"/>
    </row>
    <row r="3913" spans="18:19">
      <c r="R3913" s="178"/>
      <c r="S3913" s="178"/>
    </row>
    <row r="3914" spans="18:19">
      <c r="R3914" s="178"/>
      <c r="S3914" s="178"/>
    </row>
    <row r="3915" spans="18:19">
      <c r="R3915" s="178"/>
      <c r="S3915" s="178"/>
    </row>
    <row r="3916" spans="18:19">
      <c r="R3916" s="178"/>
      <c r="S3916" s="178"/>
    </row>
    <row r="3917" spans="18:19">
      <c r="R3917" s="178"/>
      <c r="S3917" s="178"/>
    </row>
    <row r="3918" spans="18:19">
      <c r="R3918" s="178"/>
      <c r="S3918" s="178"/>
    </row>
    <row r="3919" spans="18:19">
      <c r="R3919" s="178"/>
      <c r="S3919" s="178"/>
    </row>
    <row r="3920" spans="18:19">
      <c r="R3920" s="178"/>
      <c r="S3920" s="178"/>
    </row>
    <row r="3921" spans="18:19">
      <c r="R3921" s="178"/>
      <c r="S3921" s="178"/>
    </row>
    <row r="3922" spans="18:19">
      <c r="R3922" s="178"/>
      <c r="S3922" s="178"/>
    </row>
    <row r="3923" spans="18:19">
      <c r="R3923" s="178"/>
      <c r="S3923" s="178"/>
    </row>
    <row r="3924" spans="18:19">
      <c r="R3924" s="178"/>
      <c r="S3924" s="178"/>
    </row>
    <row r="3925" spans="18:19">
      <c r="R3925" s="178"/>
      <c r="S3925" s="178"/>
    </row>
    <row r="3926" spans="18:19">
      <c r="R3926" s="178"/>
      <c r="S3926" s="178"/>
    </row>
    <row r="3927" spans="18:19">
      <c r="R3927" s="178"/>
      <c r="S3927" s="178"/>
    </row>
    <row r="3928" spans="18:19">
      <c r="R3928" s="178"/>
      <c r="S3928" s="178"/>
    </row>
    <row r="3929" spans="18:19">
      <c r="R3929" s="178"/>
      <c r="S3929" s="178"/>
    </row>
    <row r="3930" spans="18:19">
      <c r="R3930" s="178"/>
      <c r="S3930" s="178"/>
    </row>
    <row r="3931" spans="18:19">
      <c r="R3931" s="178"/>
      <c r="S3931" s="178"/>
    </row>
    <row r="3932" spans="18:19">
      <c r="R3932" s="178"/>
      <c r="S3932" s="178"/>
    </row>
    <row r="3933" spans="18:19">
      <c r="R3933" s="178"/>
      <c r="S3933" s="178"/>
    </row>
    <row r="3934" spans="18:19">
      <c r="R3934" s="178"/>
      <c r="S3934" s="178"/>
    </row>
    <row r="3935" spans="18:19">
      <c r="R3935" s="178"/>
      <c r="S3935" s="178"/>
    </row>
    <row r="3936" spans="18:19">
      <c r="R3936" s="178"/>
      <c r="S3936" s="178"/>
    </row>
    <row r="3937" spans="18:19">
      <c r="R3937" s="178"/>
      <c r="S3937" s="178"/>
    </row>
    <row r="3938" spans="18:19">
      <c r="R3938" s="178"/>
      <c r="S3938" s="178"/>
    </row>
    <row r="3939" spans="18:19">
      <c r="R3939" s="178"/>
      <c r="S3939" s="178"/>
    </row>
    <row r="3940" spans="18:19">
      <c r="R3940" s="178"/>
      <c r="S3940" s="178"/>
    </row>
    <row r="3941" spans="18:19">
      <c r="R3941" s="178"/>
      <c r="S3941" s="178"/>
    </row>
    <row r="3942" spans="18:19">
      <c r="R3942" s="178"/>
      <c r="S3942" s="178"/>
    </row>
    <row r="3943" spans="18:19">
      <c r="R3943" s="178"/>
      <c r="S3943" s="178"/>
    </row>
    <row r="3944" spans="18:19">
      <c r="R3944" s="178"/>
      <c r="S3944" s="178"/>
    </row>
    <row r="3945" spans="18:19">
      <c r="R3945" s="178"/>
      <c r="S3945" s="178"/>
    </row>
    <row r="3946" spans="18:19">
      <c r="R3946" s="178"/>
      <c r="S3946" s="178"/>
    </row>
    <row r="3947" spans="18:19">
      <c r="R3947" s="178"/>
      <c r="S3947" s="178"/>
    </row>
    <row r="3948" spans="18:19">
      <c r="R3948" s="178"/>
      <c r="S3948" s="178"/>
    </row>
    <row r="3949" spans="18:19">
      <c r="R3949" s="178"/>
      <c r="S3949" s="178"/>
    </row>
    <row r="3950" spans="18:19">
      <c r="R3950" s="178"/>
      <c r="S3950" s="178"/>
    </row>
    <row r="3951" spans="18:19">
      <c r="R3951" s="178"/>
      <c r="S3951" s="178"/>
    </row>
    <row r="3952" spans="18:19">
      <c r="R3952" s="178"/>
      <c r="S3952" s="178"/>
    </row>
    <row r="3953" spans="18:19">
      <c r="R3953" s="178"/>
      <c r="S3953" s="178"/>
    </row>
    <row r="3954" spans="18:19">
      <c r="R3954" s="178"/>
      <c r="S3954" s="178"/>
    </row>
    <row r="3955" spans="18:19">
      <c r="R3955" s="178"/>
      <c r="S3955" s="178"/>
    </row>
    <row r="3956" spans="18:19">
      <c r="R3956" s="178"/>
      <c r="S3956" s="178"/>
    </row>
    <row r="3957" spans="18:19">
      <c r="R3957" s="178"/>
      <c r="S3957" s="178"/>
    </row>
    <row r="3958" spans="18:19">
      <c r="R3958" s="178"/>
      <c r="S3958" s="178"/>
    </row>
    <row r="3959" spans="18:19">
      <c r="R3959" s="178"/>
      <c r="S3959" s="178"/>
    </row>
    <row r="3960" spans="18:19">
      <c r="R3960" s="178"/>
      <c r="S3960" s="178"/>
    </row>
    <row r="3961" spans="18:19">
      <c r="R3961" s="178"/>
      <c r="S3961" s="178"/>
    </row>
    <row r="3962" spans="18:19">
      <c r="R3962" s="178"/>
      <c r="S3962" s="178"/>
    </row>
    <row r="3963" spans="18:19">
      <c r="R3963" s="178"/>
      <c r="S3963" s="178"/>
    </row>
    <row r="3964" spans="18:19">
      <c r="R3964" s="178"/>
      <c r="S3964" s="178"/>
    </row>
    <row r="3965" spans="18:19">
      <c r="R3965" s="178"/>
      <c r="S3965" s="178"/>
    </row>
    <row r="3966" spans="18:19">
      <c r="R3966" s="178"/>
      <c r="S3966" s="178"/>
    </row>
    <row r="3967" spans="18:19">
      <c r="R3967" s="178"/>
      <c r="S3967" s="178"/>
    </row>
    <row r="3968" spans="18:19">
      <c r="R3968" s="178"/>
      <c r="S3968" s="178"/>
    </row>
    <row r="3969" spans="18:19">
      <c r="R3969" s="178"/>
      <c r="S3969" s="178"/>
    </row>
    <row r="3970" spans="18:19">
      <c r="R3970" s="178"/>
      <c r="S3970" s="178"/>
    </row>
    <row r="3971" spans="18:19">
      <c r="R3971" s="178"/>
      <c r="S3971" s="178"/>
    </row>
    <row r="3972" spans="18:19">
      <c r="R3972" s="178"/>
      <c r="S3972" s="178"/>
    </row>
    <row r="3973" spans="18:19">
      <c r="R3973" s="178"/>
      <c r="S3973" s="178"/>
    </row>
    <row r="3974" spans="18:19">
      <c r="R3974" s="178"/>
      <c r="S3974" s="178"/>
    </row>
    <row r="3975" spans="18:19">
      <c r="R3975" s="178"/>
      <c r="S3975" s="178"/>
    </row>
    <row r="3976" spans="18:19">
      <c r="R3976" s="178"/>
      <c r="S3976" s="178"/>
    </row>
    <row r="3977" spans="18:19">
      <c r="R3977" s="178"/>
      <c r="S3977" s="178"/>
    </row>
    <row r="3978" spans="18:19">
      <c r="R3978" s="178"/>
      <c r="S3978" s="178"/>
    </row>
    <row r="3979" spans="18:19">
      <c r="R3979" s="178"/>
      <c r="S3979" s="178"/>
    </row>
    <row r="3980" spans="18:19">
      <c r="R3980" s="178"/>
      <c r="S3980" s="178"/>
    </row>
    <row r="3981" spans="18:19">
      <c r="R3981" s="178"/>
      <c r="S3981" s="178"/>
    </row>
    <row r="3982" spans="18:19">
      <c r="R3982" s="178"/>
      <c r="S3982" s="178"/>
    </row>
    <row r="3983" spans="18:19">
      <c r="R3983" s="178"/>
      <c r="S3983" s="178"/>
    </row>
    <row r="3984" spans="18:19">
      <c r="R3984" s="178"/>
      <c r="S3984" s="178"/>
    </row>
    <row r="3985" spans="18:19">
      <c r="R3985" s="178"/>
      <c r="S3985" s="178"/>
    </row>
    <row r="3986" spans="18:19">
      <c r="R3986" s="178"/>
      <c r="S3986" s="178"/>
    </row>
    <row r="3987" spans="18:19">
      <c r="R3987" s="178"/>
      <c r="S3987" s="178"/>
    </row>
    <row r="3988" spans="18:19">
      <c r="R3988" s="178"/>
      <c r="S3988" s="178"/>
    </row>
    <row r="3989" spans="18:19">
      <c r="R3989" s="178"/>
      <c r="S3989" s="178"/>
    </row>
    <row r="3990" spans="18:19">
      <c r="R3990" s="178"/>
      <c r="S3990" s="178"/>
    </row>
    <row r="3991" spans="18:19">
      <c r="R3991" s="178"/>
      <c r="S3991" s="178"/>
    </row>
    <row r="3992" spans="18:19">
      <c r="R3992" s="178"/>
      <c r="S3992" s="178"/>
    </row>
    <row r="3993" spans="18:19">
      <c r="R3993" s="178"/>
      <c r="S3993" s="178"/>
    </row>
    <row r="3994" spans="18:19">
      <c r="R3994" s="178"/>
      <c r="S3994" s="178"/>
    </row>
    <row r="3995" spans="18:19">
      <c r="R3995" s="178"/>
      <c r="S3995" s="178"/>
    </row>
    <row r="3996" spans="18:19">
      <c r="R3996" s="178"/>
      <c r="S3996" s="178"/>
    </row>
    <row r="3997" spans="18:19">
      <c r="R3997" s="178"/>
      <c r="S3997" s="178"/>
    </row>
    <row r="3998" spans="18:19">
      <c r="R3998" s="178"/>
      <c r="S3998" s="178"/>
    </row>
    <row r="3999" spans="18:19">
      <c r="R3999" s="178"/>
      <c r="S3999" s="178"/>
    </row>
    <row r="4000" spans="18:19">
      <c r="R4000" s="178"/>
      <c r="S4000" s="178"/>
    </row>
    <row r="4001" spans="18:19">
      <c r="R4001" s="178"/>
      <c r="S4001" s="178"/>
    </row>
    <row r="4002" spans="18:19">
      <c r="R4002" s="178"/>
      <c r="S4002" s="178"/>
    </row>
    <row r="4003" spans="18:19">
      <c r="R4003" s="178"/>
      <c r="S4003" s="178"/>
    </row>
    <row r="4004" spans="18:19">
      <c r="R4004" s="178"/>
      <c r="S4004" s="178"/>
    </row>
    <row r="4005" spans="18:19">
      <c r="R4005" s="178"/>
      <c r="S4005" s="178"/>
    </row>
    <row r="4006" spans="18:19">
      <c r="R4006" s="178"/>
      <c r="S4006" s="178"/>
    </row>
    <row r="4007" spans="18:19">
      <c r="R4007" s="178"/>
      <c r="S4007" s="178"/>
    </row>
    <row r="4008" spans="18:19">
      <c r="R4008" s="178"/>
      <c r="S4008" s="178"/>
    </row>
    <row r="4009" spans="18:19">
      <c r="R4009" s="178"/>
      <c r="S4009" s="178"/>
    </row>
    <row r="4010" spans="18:19">
      <c r="R4010" s="178"/>
      <c r="S4010" s="178"/>
    </row>
    <row r="4011" spans="18:19">
      <c r="R4011" s="178"/>
      <c r="S4011" s="178"/>
    </row>
    <row r="4012" spans="18:19">
      <c r="R4012" s="178"/>
      <c r="S4012" s="178"/>
    </row>
    <row r="4013" spans="18:19">
      <c r="R4013" s="178"/>
      <c r="S4013" s="178"/>
    </row>
    <row r="4014" spans="18:19">
      <c r="R4014" s="178"/>
      <c r="S4014" s="178"/>
    </row>
    <row r="4015" spans="18:19">
      <c r="R4015" s="178"/>
      <c r="S4015" s="178"/>
    </row>
    <row r="4016" spans="18:19">
      <c r="R4016" s="178"/>
      <c r="S4016" s="178"/>
    </row>
    <row r="4017" spans="18:19">
      <c r="R4017" s="178"/>
      <c r="S4017" s="178"/>
    </row>
    <row r="4018" spans="18:19">
      <c r="R4018" s="178"/>
      <c r="S4018" s="178"/>
    </row>
    <row r="4019" spans="18:19">
      <c r="R4019" s="178"/>
      <c r="S4019" s="178"/>
    </row>
    <row r="4020" spans="18:19">
      <c r="R4020" s="178"/>
      <c r="S4020" s="178"/>
    </row>
    <row r="4021" spans="18:19">
      <c r="R4021" s="178"/>
      <c r="S4021" s="178"/>
    </row>
    <row r="4022" spans="18:19">
      <c r="R4022" s="178"/>
      <c r="S4022" s="178"/>
    </row>
    <row r="4023" spans="18:19">
      <c r="R4023" s="178"/>
      <c r="S4023" s="178"/>
    </row>
    <row r="4024" spans="18:19">
      <c r="R4024" s="178"/>
      <c r="S4024" s="178"/>
    </row>
    <row r="4025" spans="18:19">
      <c r="R4025" s="178"/>
      <c r="S4025" s="178"/>
    </row>
    <row r="4026" spans="18:19">
      <c r="R4026" s="178"/>
      <c r="S4026" s="178"/>
    </row>
    <row r="4027" spans="18:19">
      <c r="R4027" s="178"/>
      <c r="S4027" s="178"/>
    </row>
    <row r="4028" spans="18:19">
      <c r="R4028" s="178"/>
      <c r="S4028" s="178"/>
    </row>
    <row r="4029" spans="18:19">
      <c r="R4029" s="178"/>
      <c r="S4029" s="178"/>
    </row>
    <row r="4030" spans="18:19">
      <c r="R4030" s="178"/>
      <c r="S4030" s="178"/>
    </row>
    <row r="4031" spans="18:19">
      <c r="R4031" s="178"/>
      <c r="S4031" s="178"/>
    </row>
    <row r="4032" spans="18:19">
      <c r="R4032" s="178"/>
      <c r="S4032" s="178"/>
    </row>
    <row r="4033" spans="18:19">
      <c r="R4033" s="178"/>
      <c r="S4033" s="178"/>
    </row>
    <row r="4034" spans="18:19">
      <c r="R4034" s="178"/>
      <c r="S4034" s="178"/>
    </row>
    <row r="4035" spans="18:19">
      <c r="R4035" s="178"/>
      <c r="S4035" s="178"/>
    </row>
    <row r="4036" spans="18:19">
      <c r="R4036" s="178"/>
      <c r="S4036" s="178"/>
    </row>
    <row r="4037" spans="18:19">
      <c r="R4037" s="178"/>
      <c r="S4037" s="178"/>
    </row>
    <row r="4038" spans="18:19">
      <c r="R4038" s="178"/>
      <c r="S4038" s="178"/>
    </row>
    <row r="4039" spans="18:19">
      <c r="R4039" s="178"/>
      <c r="S4039" s="178"/>
    </row>
    <row r="4040" spans="18:19">
      <c r="R4040" s="178"/>
      <c r="S4040" s="178"/>
    </row>
    <row r="4041" spans="18:19">
      <c r="R4041" s="178"/>
      <c r="S4041" s="178"/>
    </row>
    <row r="4042" spans="18:19">
      <c r="R4042" s="178"/>
      <c r="S4042" s="178"/>
    </row>
    <row r="4043" spans="18:19">
      <c r="R4043" s="178"/>
      <c r="S4043" s="178"/>
    </row>
    <row r="4044" spans="18:19">
      <c r="R4044" s="178"/>
      <c r="S4044" s="178"/>
    </row>
    <row r="4045" spans="18:19">
      <c r="R4045" s="178"/>
      <c r="S4045" s="178"/>
    </row>
    <row r="4046" spans="18:19">
      <c r="R4046" s="178"/>
      <c r="S4046" s="178"/>
    </row>
    <row r="4047" spans="18:19">
      <c r="R4047" s="178"/>
      <c r="S4047" s="178"/>
    </row>
    <row r="4048" spans="18:19">
      <c r="R4048" s="178"/>
      <c r="S4048" s="178"/>
    </row>
    <row r="4049" spans="18:19">
      <c r="R4049" s="178"/>
      <c r="S4049" s="178"/>
    </row>
    <row r="4050" spans="18:19">
      <c r="R4050" s="178"/>
      <c r="S4050" s="178"/>
    </row>
    <row r="4051" spans="18:19">
      <c r="R4051" s="178"/>
      <c r="S4051" s="178"/>
    </row>
    <row r="4052" spans="18:19">
      <c r="R4052" s="178"/>
      <c r="S4052" s="178"/>
    </row>
    <row r="4053" spans="18:19">
      <c r="R4053" s="178"/>
      <c r="S4053" s="178"/>
    </row>
    <row r="4054" spans="18:19">
      <c r="R4054" s="178"/>
      <c r="S4054" s="178"/>
    </row>
    <row r="4055" spans="18:19">
      <c r="R4055" s="178"/>
      <c r="S4055" s="178"/>
    </row>
    <row r="4056" spans="18:19">
      <c r="R4056" s="178"/>
      <c r="S4056" s="178"/>
    </row>
    <row r="4057" spans="18:19">
      <c r="R4057" s="178"/>
      <c r="S4057" s="178"/>
    </row>
    <row r="4058" spans="18:19">
      <c r="R4058" s="178"/>
      <c r="S4058" s="178"/>
    </row>
    <row r="4059" spans="18:19">
      <c r="R4059" s="178"/>
      <c r="S4059" s="178"/>
    </row>
    <row r="4060" spans="18:19">
      <c r="R4060" s="178"/>
      <c r="S4060" s="178"/>
    </row>
    <row r="4061" spans="18:19">
      <c r="R4061" s="178"/>
      <c r="S4061" s="178"/>
    </row>
    <row r="4062" spans="18:19">
      <c r="R4062" s="178"/>
      <c r="S4062" s="178"/>
    </row>
    <row r="4063" spans="18:19">
      <c r="R4063" s="178"/>
      <c r="S4063" s="178"/>
    </row>
    <row r="4064" spans="18:19">
      <c r="R4064" s="178"/>
      <c r="S4064" s="178"/>
    </row>
    <row r="4065" spans="18:19">
      <c r="R4065" s="178"/>
      <c r="S4065" s="178"/>
    </row>
    <row r="4066" spans="18:19">
      <c r="R4066" s="178"/>
      <c r="S4066" s="178"/>
    </row>
    <row r="4067" spans="18:19">
      <c r="R4067" s="178"/>
      <c r="S4067" s="178"/>
    </row>
    <row r="4068" spans="18:19">
      <c r="R4068" s="178"/>
      <c r="S4068" s="178"/>
    </row>
    <row r="4069" spans="18:19">
      <c r="R4069" s="178"/>
      <c r="S4069" s="178"/>
    </row>
    <row r="4070" spans="18:19">
      <c r="R4070" s="178"/>
      <c r="S4070" s="178"/>
    </row>
    <row r="4071" spans="18:19">
      <c r="R4071" s="178"/>
      <c r="S4071" s="178"/>
    </row>
    <row r="4072" spans="18:19">
      <c r="R4072" s="178"/>
      <c r="S4072" s="178"/>
    </row>
    <row r="4073" spans="18:19">
      <c r="R4073" s="178"/>
      <c r="S4073" s="178"/>
    </row>
    <row r="4074" spans="18:19">
      <c r="R4074" s="178"/>
      <c r="S4074" s="178"/>
    </row>
    <row r="4075" spans="18:19">
      <c r="R4075" s="178"/>
      <c r="S4075" s="178"/>
    </row>
    <row r="4076" spans="18:19">
      <c r="R4076" s="178"/>
      <c r="S4076" s="178"/>
    </row>
    <row r="4077" spans="18:19">
      <c r="R4077" s="178"/>
      <c r="S4077" s="178"/>
    </row>
    <row r="4078" spans="18:19">
      <c r="R4078" s="178"/>
      <c r="S4078" s="178"/>
    </row>
    <row r="4079" spans="18:19">
      <c r="R4079" s="178"/>
      <c r="S4079" s="178"/>
    </row>
    <row r="4080" spans="18:19">
      <c r="R4080" s="178"/>
      <c r="S4080" s="178"/>
    </row>
    <row r="4081" spans="18:19">
      <c r="R4081" s="178"/>
      <c r="S4081" s="178"/>
    </row>
    <row r="4082" spans="18:19">
      <c r="R4082" s="178"/>
      <c r="S4082" s="178"/>
    </row>
    <row r="4083" spans="18:19">
      <c r="R4083" s="178"/>
      <c r="S4083" s="178"/>
    </row>
    <row r="4084" spans="18:19">
      <c r="R4084" s="178"/>
      <c r="S4084" s="178"/>
    </row>
    <row r="4085" spans="18:19">
      <c r="R4085" s="178"/>
      <c r="S4085" s="178"/>
    </row>
    <row r="4086" spans="18:19">
      <c r="R4086" s="178"/>
      <c r="S4086" s="178"/>
    </row>
    <row r="4087" spans="18:19">
      <c r="R4087" s="178"/>
      <c r="S4087" s="178"/>
    </row>
    <row r="4088" spans="18:19">
      <c r="R4088" s="178"/>
      <c r="S4088" s="178"/>
    </row>
    <row r="4089" spans="18:19">
      <c r="R4089" s="178"/>
      <c r="S4089" s="178"/>
    </row>
    <row r="4090" spans="18:19">
      <c r="R4090" s="178"/>
      <c r="S4090" s="178"/>
    </row>
    <row r="4091" spans="18:19">
      <c r="R4091" s="178"/>
      <c r="S4091" s="178"/>
    </row>
    <row r="4092" spans="18:19">
      <c r="R4092" s="178"/>
      <c r="S4092" s="178"/>
    </row>
    <row r="4093" spans="18:19">
      <c r="R4093" s="178"/>
      <c r="S4093" s="178"/>
    </row>
    <row r="4094" spans="18:19">
      <c r="R4094" s="178"/>
      <c r="S4094" s="178"/>
    </row>
    <row r="4095" spans="18:19">
      <c r="R4095" s="178"/>
      <c r="S4095" s="178"/>
    </row>
    <row r="4096" spans="18:19">
      <c r="R4096" s="178"/>
      <c r="S4096" s="178"/>
    </row>
    <row r="4097" spans="18:19">
      <c r="R4097" s="178"/>
      <c r="S4097" s="178"/>
    </row>
    <row r="4098" spans="18:19">
      <c r="R4098" s="178"/>
      <c r="S4098" s="178"/>
    </row>
    <row r="4099" spans="18:19">
      <c r="R4099" s="178"/>
      <c r="S4099" s="178"/>
    </row>
    <row r="4100" spans="18:19">
      <c r="R4100" s="178"/>
      <c r="S4100" s="178"/>
    </row>
    <row r="4101" spans="18:19">
      <c r="R4101" s="178"/>
      <c r="S4101" s="178"/>
    </row>
    <row r="4102" spans="18:19">
      <c r="R4102" s="178"/>
      <c r="S4102" s="178"/>
    </row>
    <row r="4103" spans="18:19">
      <c r="R4103" s="178"/>
      <c r="S4103" s="178"/>
    </row>
    <row r="4104" spans="18:19">
      <c r="R4104" s="178"/>
      <c r="S4104" s="178"/>
    </row>
    <row r="4105" spans="18:19">
      <c r="R4105" s="178"/>
      <c r="S4105" s="178"/>
    </row>
    <row r="4106" spans="18:19">
      <c r="R4106" s="178"/>
      <c r="S4106" s="178"/>
    </row>
    <row r="4107" spans="18:19">
      <c r="R4107" s="178"/>
      <c r="S4107" s="178"/>
    </row>
    <row r="4108" spans="18:19">
      <c r="R4108" s="178"/>
      <c r="S4108" s="178"/>
    </row>
    <row r="4109" spans="18:19">
      <c r="R4109" s="178"/>
      <c r="S4109" s="178"/>
    </row>
    <row r="4110" spans="18:19">
      <c r="R4110" s="178"/>
      <c r="S4110" s="178"/>
    </row>
    <row r="4111" spans="18:19">
      <c r="R4111" s="178"/>
      <c r="S4111" s="178"/>
    </row>
    <row r="4112" spans="18:19">
      <c r="R4112" s="178"/>
      <c r="S4112" s="178"/>
    </row>
    <row r="4113" spans="18:19">
      <c r="R4113" s="178"/>
      <c r="S4113" s="178"/>
    </row>
    <row r="4114" spans="18:19">
      <c r="R4114" s="178"/>
      <c r="S4114" s="178"/>
    </row>
    <row r="4115" spans="18:19">
      <c r="R4115" s="178"/>
      <c r="S4115" s="178"/>
    </row>
    <row r="4116" spans="18:19">
      <c r="R4116" s="178"/>
      <c r="S4116" s="178"/>
    </row>
    <row r="4117" spans="18:19">
      <c r="R4117" s="178"/>
      <c r="S4117" s="178"/>
    </row>
    <row r="4118" spans="18:19">
      <c r="R4118" s="178"/>
      <c r="S4118" s="178"/>
    </row>
    <row r="4119" spans="18:19">
      <c r="R4119" s="178"/>
      <c r="S4119" s="178"/>
    </row>
    <row r="4120" spans="18:19">
      <c r="R4120" s="178"/>
      <c r="S4120" s="178"/>
    </row>
    <row r="4121" spans="18:19">
      <c r="R4121" s="178"/>
      <c r="S4121" s="178"/>
    </row>
    <row r="4122" spans="18:19">
      <c r="R4122" s="178"/>
      <c r="S4122" s="178"/>
    </row>
    <row r="4123" spans="18:19">
      <c r="R4123" s="178"/>
      <c r="S4123" s="178"/>
    </row>
    <row r="4124" spans="18:19">
      <c r="R4124" s="178"/>
      <c r="S4124" s="178"/>
    </row>
    <row r="4125" spans="18:19">
      <c r="R4125" s="178"/>
      <c r="S4125" s="178"/>
    </row>
    <row r="4126" spans="18:19">
      <c r="R4126" s="178"/>
      <c r="S4126" s="178"/>
    </row>
    <row r="4127" spans="18:19">
      <c r="R4127" s="178"/>
      <c r="S4127" s="178"/>
    </row>
    <row r="4128" spans="18:19">
      <c r="R4128" s="178"/>
      <c r="S4128" s="178"/>
    </row>
    <row r="4129" spans="18:19">
      <c r="R4129" s="178"/>
      <c r="S4129" s="178"/>
    </row>
    <row r="4130" spans="18:19">
      <c r="R4130" s="178"/>
      <c r="S4130" s="178"/>
    </row>
    <row r="4131" spans="18:19">
      <c r="R4131" s="178"/>
      <c r="S4131" s="178"/>
    </row>
    <row r="4132" spans="18:19">
      <c r="R4132" s="178"/>
      <c r="S4132" s="178"/>
    </row>
    <row r="4133" spans="18:19">
      <c r="R4133" s="178"/>
      <c r="S4133" s="178"/>
    </row>
    <row r="4134" spans="18:19">
      <c r="R4134" s="178"/>
      <c r="S4134" s="178"/>
    </row>
    <row r="4135" spans="18:19">
      <c r="R4135" s="178"/>
      <c r="S4135" s="178"/>
    </row>
    <row r="4136" spans="18:19">
      <c r="R4136" s="178"/>
      <c r="S4136" s="178"/>
    </row>
    <row r="4137" spans="18:19">
      <c r="R4137" s="178"/>
      <c r="S4137" s="178"/>
    </row>
    <row r="4138" spans="18:19">
      <c r="R4138" s="178"/>
      <c r="S4138" s="178"/>
    </row>
    <row r="4139" spans="18:19">
      <c r="R4139" s="178"/>
      <c r="S4139" s="178"/>
    </row>
    <row r="4140" spans="18:19">
      <c r="R4140" s="178"/>
      <c r="S4140" s="178"/>
    </row>
    <row r="4141" spans="18:19">
      <c r="R4141" s="178"/>
      <c r="S4141" s="178"/>
    </row>
    <row r="4142" spans="18:19">
      <c r="R4142" s="178"/>
      <c r="S4142" s="178"/>
    </row>
    <row r="4143" spans="18:19">
      <c r="R4143" s="178"/>
      <c r="S4143" s="178"/>
    </row>
    <row r="4144" spans="18:19">
      <c r="R4144" s="178"/>
      <c r="S4144" s="178"/>
    </row>
    <row r="4145" spans="18:19">
      <c r="R4145" s="178"/>
      <c r="S4145" s="178"/>
    </row>
    <row r="4146" spans="18:19">
      <c r="R4146" s="178"/>
      <c r="S4146" s="178"/>
    </row>
    <row r="4147" spans="18:19">
      <c r="R4147" s="178"/>
      <c r="S4147" s="178"/>
    </row>
    <row r="4148" spans="18:19">
      <c r="R4148" s="178"/>
      <c r="S4148" s="178"/>
    </row>
    <row r="4149" spans="18:19">
      <c r="R4149" s="178"/>
      <c r="S4149" s="178"/>
    </row>
    <row r="4150" spans="18:19">
      <c r="R4150" s="178"/>
      <c r="S4150" s="178"/>
    </row>
    <row r="4151" spans="18:19">
      <c r="R4151" s="178"/>
      <c r="S4151" s="178"/>
    </row>
    <row r="4152" spans="18:19">
      <c r="R4152" s="178"/>
      <c r="S4152" s="178"/>
    </row>
    <row r="4153" spans="18:19">
      <c r="R4153" s="178"/>
      <c r="S4153" s="178"/>
    </row>
    <row r="4154" spans="18:19">
      <c r="R4154" s="178"/>
      <c r="S4154" s="178"/>
    </row>
    <row r="4155" spans="18:19">
      <c r="R4155" s="178"/>
      <c r="S4155" s="178"/>
    </row>
    <row r="4156" spans="18:19">
      <c r="R4156" s="178"/>
      <c r="S4156" s="178"/>
    </row>
    <row r="4157" spans="18:19">
      <c r="R4157" s="178"/>
      <c r="S4157" s="178"/>
    </row>
    <row r="4158" spans="18:19">
      <c r="R4158" s="178"/>
      <c r="S4158" s="178"/>
    </row>
    <row r="4159" spans="18:19">
      <c r="R4159" s="178"/>
      <c r="S4159" s="178"/>
    </row>
    <row r="4160" spans="18:19">
      <c r="R4160" s="178"/>
      <c r="S4160" s="178"/>
    </row>
    <row r="4161" spans="18:19">
      <c r="R4161" s="178"/>
      <c r="S4161" s="178"/>
    </row>
    <row r="4162" spans="18:19">
      <c r="R4162" s="178"/>
      <c r="S4162" s="178"/>
    </row>
    <row r="4163" spans="18:19">
      <c r="R4163" s="178"/>
      <c r="S4163" s="178"/>
    </row>
    <row r="4164" spans="18:19">
      <c r="R4164" s="178"/>
      <c r="S4164" s="178"/>
    </row>
    <row r="4165" spans="18:19">
      <c r="R4165" s="178"/>
      <c r="S4165" s="178"/>
    </row>
    <row r="4166" spans="18:19">
      <c r="R4166" s="178"/>
      <c r="S4166" s="178"/>
    </row>
    <row r="4167" spans="18:19">
      <c r="R4167" s="178"/>
      <c r="S4167" s="178"/>
    </row>
    <row r="4168" spans="18:19">
      <c r="R4168" s="178"/>
      <c r="S4168" s="178"/>
    </row>
    <row r="4169" spans="18:19">
      <c r="R4169" s="178"/>
      <c r="S4169" s="178"/>
    </row>
    <row r="4170" spans="18:19">
      <c r="R4170" s="178"/>
      <c r="S4170" s="178"/>
    </row>
    <row r="4171" spans="18:19">
      <c r="R4171" s="178"/>
      <c r="S4171" s="178"/>
    </row>
    <row r="4172" spans="18:19">
      <c r="R4172" s="178"/>
      <c r="S4172" s="178"/>
    </row>
    <row r="4173" spans="18:19">
      <c r="R4173" s="178"/>
      <c r="S4173" s="178"/>
    </row>
    <row r="4174" spans="18:19">
      <c r="R4174" s="178"/>
      <c r="S4174" s="178"/>
    </row>
    <row r="4175" spans="18:19">
      <c r="R4175" s="178"/>
      <c r="S4175" s="178"/>
    </row>
    <row r="4176" spans="18:19">
      <c r="R4176" s="178"/>
      <c r="S4176" s="178"/>
    </row>
    <row r="4177" spans="18:19">
      <c r="R4177" s="178"/>
      <c r="S4177" s="178"/>
    </row>
    <row r="4178" spans="18:19">
      <c r="R4178" s="178"/>
      <c r="S4178" s="178"/>
    </row>
    <row r="4179" spans="18:19">
      <c r="R4179" s="178"/>
      <c r="S4179" s="178"/>
    </row>
    <row r="4180" spans="18:19">
      <c r="R4180" s="178"/>
      <c r="S4180" s="178"/>
    </row>
    <row r="4181" spans="18:19">
      <c r="R4181" s="178"/>
      <c r="S4181" s="178"/>
    </row>
    <row r="4182" spans="18:19">
      <c r="R4182" s="178"/>
      <c r="S4182" s="178"/>
    </row>
    <row r="4183" spans="18:19">
      <c r="R4183" s="178"/>
      <c r="S4183" s="178"/>
    </row>
    <row r="4184" spans="18:19">
      <c r="R4184" s="178"/>
      <c r="S4184" s="178"/>
    </row>
    <row r="4185" spans="18:19">
      <c r="R4185" s="178"/>
      <c r="S4185" s="178"/>
    </row>
    <row r="4186" spans="18:19">
      <c r="R4186" s="178"/>
      <c r="S4186" s="178"/>
    </row>
    <row r="4187" spans="18:19">
      <c r="R4187" s="178"/>
      <c r="S4187" s="178"/>
    </row>
    <row r="4188" spans="18:19">
      <c r="R4188" s="178"/>
      <c r="S4188" s="178"/>
    </row>
    <row r="4189" spans="18:19">
      <c r="R4189" s="178"/>
      <c r="S4189" s="178"/>
    </row>
    <row r="4190" spans="18:19">
      <c r="R4190" s="178"/>
      <c r="S4190" s="178"/>
    </row>
    <row r="4191" spans="18:19">
      <c r="R4191" s="178"/>
      <c r="S4191" s="178"/>
    </row>
    <row r="4192" spans="18:19">
      <c r="R4192" s="178"/>
      <c r="S4192" s="178"/>
    </row>
    <row r="4193" spans="18:19">
      <c r="R4193" s="178"/>
      <c r="S4193" s="178"/>
    </row>
    <row r="4194" spans="18:19">
      <c r="R4194" s="178"/>
      <c r="S4194" s="178"/>
    </row>
    <row r="4195" spans="18:19">
      <c r="R4195" s="178"/>
      <c r="S4195" s="178"/>
    </row>
    <row r="4196" spans="18:19">
      <c r="R4196" s="178"/>
      <c r="S4196" s="178"/>
    </row>
    <row r="4197" spans="18:19">
      <c r="R4197" s="178"/>
      <c r="S4197" s="178"/>
    </row>
    <row r="4198" spans="18:19">
      <c r="R4198" s="178"/>
      <c r="S4198" s="178"/>
    </row>
    <row r="4199" spans="18:19">
      <c r="R4199" s="178"/>
      <c r="S4199" s="178"/>
    </row>
    <row r="4200" spans="18:19">
      <c r="R4200" s="178"/>
      <c r="S4200" s="178"/>
    </row>
    <row r="4201" spans="18:19">
      <c r="R4201" s="178"/>
      <c r="S4201" s="178"/>
    </row>
    <row r="4202" spans="18:19">
      <c r="R4202" s="178"/>
      <c r="S4202" s="178"/>
    </row>
    <row r="4203" spans="18:19">
      <c r="R4203" s="178"/>
      <c r="S4203" s="178"/>
    </row>
    <row r="4204" spans="18:19">
      <c r="R4204" s="178"/>
      <c r="S4204" s="178"/>
    </row>
    <row r="4205" spans="18:19">
      <c r="R4205" s="178"/>
      <c r="S4205" s="178"/>
    </row>
    <row r="4206" spans="18:19">
      <c r="R4206" s="178"/>
      <c r="S4206" s="178"/>
    </row>
    <row r="4207" spans="18:19">
      <c r="R4207" s="178"/>
      <c r="S4207" s="178"/>
    </row>
    <row r="4208" spans="18:19">
      <c r="R4208" s="178"/>
      <c r="S4208" s="178"/>
    </row>
    <row r="4209" spans="18:19">
      <c r="R4209" s="178"/>
      <c r="S4209" s="178"/>
    </row>
    <row r="4210" spans="18:19">
      <c r="R4210" s="178"/>
      <c r="S4210" s="178"/>
    </row>
    <row r="4211" spans="18:19">
      <c r="R4211" s="178"/>
      <c r="S4211" s="178"/>
    </row>
    <row r="4212" spans="18:19">
      <c r="R4212" s="178"/>
      <c r="S4212" s="178"/>
    </row>
    <row r="4213" spans="18:19">
      <c r="R4213" s="178"/>
      <c r="S4213" s="178"/>
    </row>
    <row r="4214" spans="18:19">
      <c r="R4214" s="178"/>
      <c r="S4214" s="178"/>
    </row>
    <row r="4215" spans="18:19">
      <c r="R4215" s="178"/>
      <c r="S4215" s="178"/>
    </row>
    <row r="4216" spans="18:19">
      <c r="R4216" s="178"/>
      <c r="S4216" s="178"/>
    </row>
    <row r="4217" spans="18:19">
      <c r="R4217" s="178"/>
      <c r="S4217" s="178"/>
    </row>
    <row r="4218" spans="18:19">
      <c r="R4218" s="178"/>
      <c r="S4218" s="178"/>
    </row>
    <row r="4219" spans="18:19">
      <c r="R4219" s="178"/>
      <c r="S4219" s="178"/>
    </row>
    <row r="4220" spans="18:19">
      <c r="R4220" s="178"/>
      <c r="S4220" s="178"/>
    </row>
    <row r="4221" spans="18:19">
      <c r="R4221" s="178"/>
      <c r="S4221" s="178"/>
    </row>
    <row r="4222" spans="18:19">
      <c r="R4222" s="178"/>
      <c r="S4222" s="178"/>
    </row>
    <row r="4223" spans="18:19">
      <c r="R4223" s="178"/>
      <c r="S4223" s="178"/>
    </row>
    <row r="4224" spans="18:19">
      <c r="R4224" s="178"/>
      <c r="S4224" s="178"/>
    </row>
    <row r="4225" spans="18:19">
      <c r="R4225" s="178"/>
      <c r="S4225" s="178"/>
    </row>
    <row r="4226" spans="18:19">
      <c r="R4226" s="178"/>
      <c r="S4226" s="178"/>
    </row>
    <row r="4227" spans="18:19">
      <c r="R4227" s="178"/>
      <c r="S4227" s="178"/>
    </row>
    <row r="4228" spans="18:19">
      <c r="R4228" s="178"/>
      <c r="S4228" s="178"/>
    </row>
    <row r="4229" spans="18:19">
      <c r="R4229" s="178"/>
      <c r="S4229" s="178"/>
    </row>
    <row r="4230" spans="18:19">
      <c r="R4230" s="178"/>
      <c r="S4230" s="178"/>
    </row>
    <row r="4231" spans="18:19">
      <c r="R4231" s="178"/>
      <c r="S4231" s="178"/>
    </row>
    <row r="4232" spans="18:19">
      <c r="R4232" s="178"/>
      <c r="S4232" s="178"/>
    </row>
    <row r="4233" spans="18:19">
      <c r="R4233" s="178"/>
      <c r="S4233" s="178"/>
    </row>
    <row r="4234" spans="18:19">
      <c r="R4234" s="178"/>
      <c r="S4234" s="178"/>
    </row>
    <row r="4235" spans="18:19">
      <c r="R4235" s="178"/>
      <c r="S4235" s="178"/>
    </row>
    <row r="4236" spans="18:19">
      <c r="R4236" s="178"/>
      <c r="S4236" s="178"/>
    </row>
    <row r="4237" spans="18:19">
      <c r="R4237" s="178"/>
      <c r="S4237" s="178"/>
    </row>
    <row r="4238" spans="18:19">
      <c r="R4238" s="178"/>
      <c r="S4238" s="178"/>
    </row>
    <row r="4239" spans="18:19">
      <c r="R4239" s="178"/>
      <c r="S4239" s="178"/>
    </row>
    <row r="4240" spans="18:19">
      <c r="R4240" s="178"/>
      <c r="S4240" s="178"/>
    </row>
    <row r="4241" spans="18:19">
      <c r="R4241" s="178"/>
      <c r="S4241" s="178"/>
    </row>
    <row r="4242" spans="18:19">
      <c r="R4242" s="178"/>
      <c r="S4242" s="178"/>
    </row>
    <row r="4243" spans="18:19">
      <c r="R4243" s="178"/>
      <c r="S4243" s="178"/>
    </row>
    <row r="4244" spans="18:19">
      <c r="R4244" s="178"/>
      <c r="S4244" s="178"/>
    </row>
    <row r="4245" spans="18:19">
      <c r="R4245" s="178"/>
      <c r="S4245" s="178"/>
    </row>
    <row r="4246" spans="18:19">
      <c r="R4246" s="178"/>
      <c r="S4246" s="178"/>
    </row>
    <row r="4247" spans="18:19">
      <c r="R4247" s="178"/>
      <c r="S4247" s="178"/>
    </row>
    <row r="4248" spans="18:19">
      <c r="R4248" s="178"/>
      <c r="S4248" s="178"/>
    </row>
    <row r="4249" spans="18:19">
      <c r="R4249" s="178"/>
      <c r="S4249" s="178"/>
    </row>
    <row r="4250" spans="18:19">
      <c r="R4250" s="178"/>
      <c r="S4250" s="178"/>
    </row>
    <row r="4251" spans="18:19">
      <c r="R4251" s="178"/>
      <c r="S4251" s="178"/>
    </row>
    <row r="4252" spans="18:19">
      <c r="R4252" s="178"/>
      <c r="S4252" s="178"/>
    </row>
    <row r="4253" spans="18:19">
      <c r="R4253" s="178"/>
      <c r="S4253" s="178"/>
    </row>
    <row r="4254" spans="18:19">
      <c r="R4254" s="178"/>
      <c r="S4254" s="178"/>
    </row>
    <row r="4255" spans="18:19">
      <c r="R4255" s="178"/>
      <c r="S4255" s="178"/>
    </row>
    <row r="4256" spans="18:19">
      <c r="R4256" s="178"/>
      <c r="S4256" s="178"/>
    </row>
    <row r="4257" spans="18:19">
      <c r="R4257" s="178"/>
      <c r="S4257" s="178"/>
    </row>
    <row r="4258" spans="18:19">
      <c r="R4258" s="178"/>
      <c r="S4258" s="178"/>
    </row>
    <row r="4259" spans="18:19">
      <c r="R4259" s="178"/>
      <c r="S4259" s="178"/>
    </row>
    <row r="4260" spans="18:19">
      <c r="R4260" s="178"/>
      <c r="S4260" s="178"/>
    </row>
    <row r="4261" spans="18:19">
      <c r="R4261" s="178"/>
      <c r="S4261" s="178"/>
    </row>
    <row r="4262" spans="18:19">
      <c r="R4262" s="178"/>
      <c r="S4262" s="178"/>
    </row>
    <row r="4263" spans="18:19">
      <c r="R4263" s="178"/>
      <c r="S4263" s="178"/>
    </row>
    <row r="4264" spans="18:19">
      <c r="R4264" s="178"/>
      <c r="S4264" s="178"/>
    </row>
    <row r="4265" spans="18:19">
      <c r="R4265" s="178"/>
      <c r="S4265" s="178"/>
    </row>
    <row r="4266" spans="18:19">
      <c r="R4266" s="178"/>
      <c r="S4266" s="178"/>
    </row>
    <row r="4267" spans="18:19">
      <c r="R4267" s="178"/>
      <c r="S4267" s="178"/>
    </row>
    <row r="4268" spans="18:19">
      <c r="R4268" s="178"/>
      <c r="S4268" s="178"/>
    </row>
    <row r="4269" spans="18:19">
      <c r="R4269" s="178"/>
      <c r="S4269" s="178"/>
    </row>
    <row r="4270" spans="18:19">
      <c r="R4270" s="178"/>
      <c r="S4270" s="178"/>
    </row>
    <row r="4271" spans="18:19">
      <c r="R4271" s="178"/>
      <c r="S4271" s="178"/>
    </row>
    <row r="4272" spans="18:19">
      <c r="R4272" s="178"/>
      <c r="S4272" s="178"/>
    </row>
    <row r="4273" spans="18:19">
      <c r="R4273" s="178"/>
      <c r="S4273" s="178"/>
    </row>
    <row r="4274" spans="18:19">
      <c r="R4274" s="178"/>
      <c r="S4274" s="178"/>
    </row>
    <row r="4275" spans="18:19">
      <c r="R4275" s="178"/>
      <c r="S4275" s="178"/>
    </row>
    <row r="4276" spans="18:19">
      <c r="R4276" s="178"/>
      <c r="S4276" s="178"/>
    </row>
    <row r="4277" spans="18:19">
      <c r="R4277" s="178"/>
      <c r="S4277" s="178"/>
    </row>
    <row r="4278" spans="18:19">
      <c r="R4278" s="178"/>
      <c r="S4278" s="178"/>
    </row>
    <row r="4279" spans="18:19">
      <c r="R4279" s="178"/>
      <c r="S4279" s="178"/>
    </row>
    <row r="4280" spans="18:19">
      <c r="R4280" s="178"/>
      <c r="S4280" s="178"/>
    </row>
    <row r="4281" spans="18:19">
      <c r="R4281" s="178"/>
      <c r="S4281" s="178"/>
    </row>
    <row r="4282" spans="18:19">
      <c r="R4282" s="178"/>
      <c r="S4282" s="178"/>
    </row>
    <row r="4283" spans="18:19">
      <c r="R4283" s="178"/>
      <c r="S4283" s="178"/>
    </row>
    <row r="4284" spans="18:19">
      <c r="R4284" s="178"/>
      <c r="S4284" s="178"/>
    </row>
    <row r="4285" spans="18:19">
      <c r="R4285" s="178"/>
      <c r="S4285" s="178"/>
    </row>
    <row r="4286" spans="18:19">
      <c r="R4286" s="178"/>
      <c r="S4286" s="178"/>
    </row>
    <row r="4287" spans="18:19">
      <c r="R4287" s="178"/>
      <c r="S4287" s="178"/>
    </row>
    <row r="4288" spans="18:19">
      <c r="R4288" s="178"/>
      <c r="S4288" s="178"/>
    </row>
    <row r="4289" spans="18:19">
      <c r="R4289" s="178"/>
      <c r="S4289" s="178"/>
    </row>
    <row r="4290" spans="18:19">
      <c r="R4290" s="178"/>
      <c r="S4290" s="178"/>
    </row>
    <row r="4291" spans="18:19">
      <c r="R4291" s="178"/>
      <c r="S4291" s="178"/>
    </row>
    <row r="4292" spans="18:19">
      <c r="R4292" s="178"/>
      <c r="S4292" s="178"/>
    </row>
    <row r="4293" spans="18:19">
      <c r="R4293" s="178"/>
      <c r="S4293" s="178"/>
    </row>
    <row r="4294" spans="18:19">
      <c r="R4294" s="178"/>
      <c r="S4294" s="178"/>
    </row>
    <row r="4295" spans="18:19">
      <c r="R4295" s="178"/>
      <c r="S4295" s="178"/>
    </row>
    <row r="4296" spans="18:19">
      <c r="R4296" s="178"/>
      <c r="S4296" s="178"/>
    </row>
    <row r="4297" spans="18:19">
      <c r="R4297" s="178"/>
      <c r="S4297" s="178"/>
    </row>
    <row r="4298" spans="18:19">
      <c r="R4298" s="178"/>
      <c r="S4298" s="178"/>
    </row>
    <row r="4299" spans="18:19">
      <c r="R4299" s="178"/>
      <c r="S4299" s="178"/>
    </row>
    <row r="4300" spans="18:19">
      <c r="R4300" s="178"/>
      <c r="S4300" s="178"/>
    </row>
    <row r="4301" spans="18:19">
      <c r="R4301" s="178"/>
      <c r="S4301" s="178"/>
    </row>
    <row r="4302" spans="18:19">
      <c r="R4302" s="178"/>
      <c r="S4302" s="178"/>
    </row>
    <row r="4303" spans="18:19">
      <c r="R4303" s="178"/>
      <c r="S4303" s="178"/>
    </row>
    <row r="4304" spans="18:19">
      <c r="R4304" s="178"/>
      <c r="S4304" s="178"/>
    </row>
    <row r="4305" spans="18:19">
      <c r="R4305" s="178"/>
      <c r="S4305" s="178"/>
    </row>
    <row r="4306" spans="18:19">
      <c r="R4306" s="178"/>
      <c r="S4306" s="178"/>
    </row>
    <row r="4307" spans="18:19">
      <c r="R4307" s="178"/>
      <c r="S4307" s="178"/>
    </row>
    <row r="4308" spans="18:19">
      <c r="R4308" s="178"/>
      <c r="S4308" s="178"/>
    </row>
    <row r="4309" spans="18:19">
      <c r="R4309" s="178"/>
      <c r="S4309" s="178"/>
    </row>
    <row r="4310" spans="18:19">
      <c r="R4310" s="178"/>
      <c r="S4310" s="178"/>
    </row>
    <row r="4311" spans="18:19">
      <c r="R4311" s="178"/>
      <c r="S4311" s="178"/>
    </row>
    <row r="4312" spans="18:19">
      <c r="R4312" s="178"/>
      <c r="S4312" s="178"/>
    </row>
    <row r="4313" spans="18:19">
      <c r="R4313" s="178"/>
      <c r="S4313" s="178"/>
    </row>
    <row r="4314" spans="18:19">
      <c r="R4314" s="178"/>
      <c r="S4314" s="178"/>
    </row>
    <row r="4315" spans="18:19">
      <c r="R4315" s="178"/>
      <c r="S4315" s="178"/>
    </row>
    <row r="4316" spans="18:19">
      <c r="R4316" s="178"/>
      <c r="S4316" s="178"/>
    </row>
    <row r="4317" spans="18:19">
      <c r="R4317" s="178"/>
      <c r="S4317" s="178"/>
    </row>
    <row r="4318" spans="18:19">
      <c r="R4318" s="178"/>
      <c r="S4318" s="178"/>
    </row>
    <row r="4319" spans="18:19">
      <c r="R4319" s="178"/>
      <c r="S4319" s="178"/>
    </row>
    <row r="4320" spans="18:19">
      <c r="R4320" s="178"/>
      <c r="S4320" s="178"/>
    </row>
    <row r="4321" spans="18:19">
      <c r="R4321" s="178"/>
      <c r="S4321" s="178"/>
    </row>
    <row r="4322" spans="18:19">
      <c r="R4322" s="178"/>
      <c r="S4322" s="178"/>
    </row>
    <row r="4323" spans="18:19">
      <c r="R4323" s="178"/>
      <c r="S4323" s="178"/>
    </row>
    <row r="4324" spans="18:19">
      <c r="R4324" s="178"/>
      <c r="S4324" s="178"/>
    </row>
    <row r="4325" spans="18:19">
      <c r="R4325" s="178"/>
      <c r="S4325" s="178"/>
    </row>
    <row r="4326" spans="18:19">
      <c r="R4326" s="178"/>
      <c r="S4326" s="178"/>
    </row>
    <row r="4327" spans="18:19">
      <c r="R4327" s="178"/>
      <c r="S4327" s="178"/>
    </row>
    <row r="4328" spans="18:19">
      <c r="R4328" s="178"/>
      <c r="S4328" s="178"/>
    </row>
    <row r="4329" spans="18:19">
      <c r="R4329" s="178"/>
      <c r="S4329" s="178"/>
    </row>
    <row r="4330" spans="18:19">
      <c r="R4330" s="178"/>
      <c r="S4330" s="178"/>
    </row>
    <row r="4331" spans="18:19">
      <c r="R4331" s="178"/>
      <c r="S4331" s="178"/>
    </row>
    <row r="4332" spans="18:19">
      <c r="R4332" s="178"/>
      <c r="S4332" s="178"/>
    </row>
    <row r="4333" spans="18:19">
      <c r="R4333" s="178"/>
      <c r="S4333" s="178"/>
    </row>
    <row r="4334" spans="18:19">
      <c r="R4334" s="178"/>
      <c r="S4334" s="178"/>
    </row>
    <row r="4335" spans="18:19">
      <c r="R4335" s="178"/>
      <c r="S4335" s="178"/>
    </row>
    <row r="4336" spans="18:19">
      <c r="R4336" s="178"/>
      <c r="S4336" s="178"/>
    </row>
    <row r="4337" spans="18:19">
      <c r="R4337" s="178"/>
      <c r="S4337" s="178"/>
    </row>
    <row r="4338" spans="18:19">
      <c r="R4338" s="178"/>
      <c r="S4338" s="178"/>
    </row>
    <row r="4339" spans="18:19">
      <c r="R4339" s="178"/>
      <c r="S4339" s="178"/>
    </row>
    <row r="4340" spans="18:19">
      <c r="R4340" s="178"/>
      <c r="S4340" s="178"/>
    </row>
    <row r="4341" spans="18:19">
      <c r="R4341" s="178"/>
      <c r="S4341" s="178"/>
    </row>
    <row r="4342" spans="18:19">
      <c r="R4342" s="178"/>
      <c r="S4342" s="178"/>
    </row>
    <row r="4343" spans="18:19">
      <c r="R4343" s="178"/>
      <c r="S4343" s="178"/>
    </row>
    <row r="4344" spans="18:19">
      <c r="R4344" s="178"/>
      <c r="S4344" s="178"/>
    </row>
    <row r="4345" spans="18:19">
      <c r="R4345" s="178"/>
      <c r="S4345" s="178"/>
    </row>
    <row r="4346" spans="18:19">
      <c r="R4346" s="178"/>
      <c r="S4346" s="178"/>
    </row>
    <row r="4347" spans="18:19">
      <c r="R4347" s="178"/>
      <c r="S4347" s="178"/>
    </row>
    <row r="4348" spans="18:19">
      <c r="R4348" s="178"/>
      <c r="S4348" s="178"/>
    </row>
    <row r="4349" spans="18:19">
      <c r="R4349" s="178"/>
      <c r="S4349" s="178"/>
    </row>
    <row r="4350" spans="18:19">
      <c r="R4350" s="178"/>
      <c r="S4350" s="178"/>
    </row>
    <row r="4351" spans="18:19">
      <c r="R4351" s="178"/>
      <c r="S4351" s="178"/>
    </row>
    <row r="4352" spans="18:19">
      <c r="R4352" s="178"/>
      <c r="S4352" s="178"/>
    </row>
    <row r="4353" spans="18:19">
      <c r="R4353" s="178"/>
      <c r="S4353" s="178"/>
    </row>
    <row r="4354" spans="18:19">
      <c r="R4354" s="178"/>
      <c r="S4354" s="178"/>
    </row>
    <row r="4355" spans="18:19">
      <c r="R4355" s="178"/>
      <c r="S4355" s="178"/>
    </row>
    <row r="4356" spans="18:19">
      <c r="R4356" s="178"/>
      <c r="S4356" s="178"/>
    </row>
    <row r="4357" spans="18:19">
      <c r="R4357" s="178"/>
      <c r="S4357" s="178"/>
    </row>
    <row r="4358" spans="18:19">
      <c r="R4358" s="178"/>
      <c r="S4358" s="178"/>
    </row>
    <row r="4359" spans="18:19">
      <c r="R4359" s="178"/>
      <c r="S4359" s="178"/>
    </row>
    <row r="4360" spans="18:19">
      <c r="R4360" s="178"/>
      <c r="S4360" s="178"/>
    </row>
    <row r="4361" spans="18:19">
      <c r="R4361" s="178"/>
      <c r="S4361" s="178"/>
    </row>
    <row r="4362" spans="18:19">
      <c r="R4362" s="178"/>
      <c r="S4362" s="178"/>
    </row>
    <row r="4363" spans="18:19">
      <c r="R4363" s="178"/>
      <c r="S4363" s="178"/>
    </row>
    <row r="4364" spans="18:19">
      <c r="R4364" s="178"/>
      <c r="S4364" s="178"/>
    </row>
    <row r="4365" spans="18:19">
      <c r="R4365" s="178"/>
      <c r="S4365" s="178"/>
    </row>
    <row r="4366" spans="18:19">
      <c r="R4366" s="178"/>
      <c r="S4366" s="178"/>
    </row>
    <row r="4367" spans="18:19">
      <c r="R4367" s="178"/>
      <c r="S4367" s="178"/>
    </row>
    <row r="4368" spans="18:19">
      <c r="R4368" s="178"/>
      <c r="S4368" s="178"/>
    </row>
    <row r="4369" spans="18:19">
      <c r="R4369" s="178"/>
      <c r="S4369" s="178"/>
    </row>
    <row r="4370" spans="18:19">
      <c r="R4370" s="178"/>
      <c r="S4370" s="178"/>
    </row>
    <row r="4371" spans="18:19">
      <c r="R4371" s="178"/>
      <c r="S4371" s="178"/>
    </row>
    <row r="4372" spans="18:19">
      <c r="R4372" s="178"/>
      <c r="S4372" s="178"/>
    </row>
    <row r="4373" spans="18:19">
      <c r="R4373" s="178"/>
      <c r="S4373" s="178"/>
    </row>
    <row r="4374" spans="18:19">
      <c r="R4374" s="178"/>
      <c r="S4374" s="178"/>
    </row>
    <row r="4375" spans="18:19">
      <c r="R4375" s="178"/>
      <c r="S4375" s="178"/>
    </row>
    <row r="4376" spans="18:19">
      <c r="R4376" s="178"/>
      <c r="S4376" s="178"/>
    </row>
    <row r="4377" spans="18:19">
      <c r="R4377" s="178"/>
      <c r="S4377" s="178"/>
    </row>
    <row r="4378" spans="18:19">
      <c r="R4378" s="178"/>
      <c r="S4378" s="178"/>
    </row>
    <row r="4379" spans="18:19">
      <c r="R4379" s="178"/>
      <c r="S4379" s="178"/>
    </row>
    <row r="4380" spans="18:19">
      <c r="R4380" s="178"/>
      <c r="S4380" s="178"/>
    </row>
    <row r="4381" spans="18:19">
      <c r="R4381" s="178"/>
      <c r="S4381" s="178"/>
    </row>
    <row r="4382" spans="18:19">
      <c r="R4382" s="178"/>
      <c r="S4382" s="178"/>
    </row>
    <row r="4383" spans="18:19">
      <c r="R4383" s="178"/>
      <c r="S4383" s="178"/>
    </row>
    <row r="4384" spans="18:19">
      <c r="R4384" s="178"/>
      <c r="S4384" s="178"/>
    </row>
    <row r="4385" spans="18:19">
      <c r="R4385" s="178"/>
      <c r="S4385" s="178"/>
    </row>
    <row r="4386" spans="18:19">
      <c r="R4386" s="178"/>
      <c r="S4386" s="178"/>
    </row>
    <row r="4387" spans="18:19">
      <c r="R4387" s="178"/>
      <c r="S4387" s="178"/>
    </row>
    <row r="4388" spans="18:19">
      <c r="R4388" s="178"/>
      <c r="S4388" s="178"/>
    </row>
    <row r="4389" spans="18:19">
      <c r="R4389" s="178"/>
      <c r="S4389" s="178"/>
    </row>
    <row r="4390" spans="18:19">
      <c r="R4390" s="178"/>
      <c r="S4390" s="178"/>
    </row>
    <row r="4391" spans="18:19">
      <c r="R4391" s="178"/>
      <c r="S4391" s="178"/>
    </row>
    <row r="4392" spans="18:19">
      <c r="R4392" s="178"/>
      <c r="S4392" s="178"/>
    </row>
    <row r="4393" spans="18:19">
      <c r="R4393" s="178"/>
      <c r="S4393" s="178"/>
    </row>
    <row r="4394" spans="18:19">
      <c r="R4394" s="178"/>
      <c r="S4394" s="178"/>
    </row>
    <row r="4395" spans="18:19">
      <c r="R4395" s="178"/>
      <c r="S4395" s="178"/>
    </row>
    <row r="4396" spans="18:19">
      <c r="R4396" s="178"/>
      <c r="S4396" s="178"/>
    </row>
    <row r="4397" spans="18:19">
      <c r="R4397" s="178"/>
      <c r="S4397" s="178"/>
    </row>
    <row r="4398" spans="18:19">
      <c r="R4398" s="178"/>
      <c r="S4398" s="178"/>
    </row>
    <row r="4399" spans="18:19">
      <c r="R4399" s="178"/>
      <c r="S4399" s="178"/>
    </row>
    <row r="4400" spans="18:19">
      <c r="R4400" s="178"/>
      <c r="S4400" s="178"/>
    </row>
    <row r="4401" spans="18:19">
      <c r="R4401" s="178"/>
      <c r="S4401" s="178"/>
    </row>
    <row r="4402" spans="18:19">
      <c r="R4402" s="178"/>
      <c r="S4402" s="178"/>
    </row>
    <row r="4403" spans="18:19">
      <c r="R4403" s="178"/>
      <c r="S4403" s="178"/>
    </row>
    <row r="4404" spans="18:19">
      <c r="R4404" s="178"/>
      <c r="S4404" s="178"/>
    </row>
    <row r="4405" spans="18:19">
      <c r="R4405" s="178"/>
      <c r="S4405" s="178"/>
    </row>
    <row r="4406" spans="18:19">
      <c r="R4406" s="178"/>
      <c r="S4406" s="178"/>
    </row>
    <row r="4407" spans="18:19">
      <c r="R4407" s="178"/>
      <c r="S4407" s="178"/>
    </row>
    <row r="4408" spans="18:19">
      <c r="R4408" s="178"/>
      <c r="S4408" s="178"/>
    </row>
    <row r="4409" spans="18:19">
      <c r="R4409" s="178"/>
      <c r="S4409" s="178"/>
    </row>
    <row r="4410" spans="18:19">
      <c r="R4410" s="178"/>
      <c r="S4410" s="178"/>
    </row>
    <row r="4411" spans="18:19">
      <c r="R4411" s="178"/>
      <c r="S4411" s="178"/>
    </row>
    <row r="4412" spans="18:19">
      <c r="R4412" s="178"/>
      <c r="S4412" s="178"/>
    </row>
    <row r="4413" spans="18:19">
      <c r="R4413" s="178"/>
      <c r="S4413" s="178"/>
    </row>
    <row r="4414" spans="18:19">
      <c r="R4414" s="178"/>
      <c r="S4414" s="178"/>
    </row>
    <row r="4415" spans="18:19">
      <c r="R4415" s="178"/>
      <c r="S4415" s="178"/>
    </row>
    <row r="4416" spans="18:19">
      <c r="R4416" s="178"/>
      <c r="S4416" s="178"/>
    </row>
    <row r="4417" spans="18:19">
      <c r="R4417" s="178"/>
      <c r="S4417" s="178"/>
    </row>
    <row r="4418" spans="18:19">
      <c r="R4418" s="178"/>
      <c r="S4418" s="178"/>
    </row>
    <row r="4419" spans="18:19">
      <c r="R4419" s="178"/>
      <c r="S4419" s="178"/>
    </row>
    <row r="4420" spans="18:19">
      <c r="R4420" s="178"/>
      <c r="S4420" s="178"/>
    </row>
    <row r="4421" spans="18:19">
      <c r="R4421" s="178"/>
      <c r="S4421" s="178"/>
    </row>
    <row r="4422" spans="18:19">
      <c r="R4422" s="178"/>
      <c r="S4422" s="178"/>
    </row>
    <row r="4423" spans="18:19">
      <c r="R4423" s="178"/>
      <c r="S4423" s="178"/>
    </row>
    <row r="4424" spans="18:19">
      <c r="R4424" s="178"/>
      <c r="S4424" s="178"/>
    </row>
    <row r="4425" spans="18:19">
      <c r="R4425" s="178"/>
      <c r="S4425" s="178"/>
    </row>
    <row r="4426" spans="18:19">
      <c r="R4426" s="178"/>
      <c r="S4426" s="178"/>
    </row>
    <row r="4427" spans="18:19">
      <c r="R4427" s="178"/>
      <c r="S4427" s="178"/>
    </row>
    <row r="4428" spans="18:19">
      <c r="R4428" s="178"/>
      <c r="S4428" s="178"/>
    </row>
    <row r="4429" spans="18:19">
      <c r="R4429" s="178"/>
      <c r="S4429" s="178"/>
    </row>
    <row r="4430" spans="18:19">
      <c r="R4430" s="178"/>
      <c r="S4430" s="178"/>
    </row>
    <row r="4431" spans="18:19">
      <c r="R4431" s="178"/>
      <c r="S4431" s="178"/>
    </row>
    <row r="4432" spans="18:19">
      <c r="R4432" s="178"/>
      <c r="S4432" s="178"/>
    </row>
    <row r="4433" spans="18:19">
      <c r="R4433" s="178"/>
      <c r="S4433" s="178"/>
    </row>
    <row r="4434" spans="18:19">
      <c r="R4434" s="178"/>
      <c r="S4434" s="178"/>
    </row>
    <row r="4435" spans="18:19">
      <c r="R4435" s="178"/>
      <c r="S4435" s="178"/>
    </row>
    <row r="4436" spans="18:19">
      <c r="R4436" s="178"/>
      <c r="S4436" s="178"/>
    </row>
    <row r="4437" spans="18:19">
      <c r="R4437" s="178"/>
      <c r="S4437" s="178"/>
    </row>
    <row r="4438" spans="18:19">
      <c r="R4438" s="178"/>
      <c r="S4438" s="178"/>
    </row>
    <row r="4439" spans="18:19">
      <c r="R4439" s="178"/>
      <c r="S4439" s="178"/>
    </row>
    <row r="4440" spans="18:19">
      <c r="R4440" s="178"/>
      <c r="S4440" s="178"/>
    </row>
    <row r="4441" spans="18:19">
      <c r="R4441" s="178"/>
      <c r="S4441" s="178"/>
    </row>
    <row r="4442" spans="18:19">
      <c r="R4442" s="178"/>
      <c r="S4442" s="178"/>
    </row>
    <row r="4443" spans="18:19">
      <c r="R4443" s="178"/>
      <c r="S4443" s="178"/>
    </row>
    <row r="4444" spans="18:19">
      <c r="R4444" s="178"/>
      <c r="S4444" s="178"/>
    </row>
    <row r="4445" spans="18:19">
      <c r="R4445" s="178"/>
      <c r="S4445" s="178"/>
    </row>
    <row r="4446" spans="18:19">
      <c r="R4446" s="178"/>
      <c r="S4446" s="178"/>
    </row>
    <row r="4447" spans="18:19">
      <c r="R4447" s="178"/>
      <c r="S4447" s="178"/>
    </row>
    <row r="4448" spans="18:19">
      <c r="R4448" s="178"/>
      <c r="S4448" s="178"/>
    </row>
    <row r="4449" spans="18:19">
      <c r="R4449" s="178"/>
      <c r="S4449" s="178"/>
    </row>
    <row r="4450" spans="18:19">
      <c r="R4450" s="178"/>
      <c r="S4450" s="178"/>
    </row>
    <row r="4451" spans="18:19">
      <c r="R4451" s="178"/>
      <c r="S4451" s="178"/>
    </row>
    <row r="4452" spans="18:19">
      <c r="R4452" s="178"/>
      <c r="S4452" s="178"/>
    </row>
    <row r="4453" spans="18:19">
      <c r="R4453" s="178"/>
      <c r="S4453" s="178"/>
    </row>
    <row r="4454" spans="18:19">
      <c r="R4454" s="178"/>
      <c r="S4454" s="178"/>
    </row>
    <row r="4455" spans="18:19">
      <c r="R4455" s="178"/>
      <c r="S4455" s="178"/>
    </row>
    <row r="4456" spans="18:19">
      <c r="R4456" s="178"/>
      <c r="S4456" s="178"/>
    </row>
    <row r="4457" spans="18:19">
      <c r="R4457" s="178"/>
      <c r="S4457" s="178"/>
    </row>
    <row r="4458" spans="18:19">
      <c r="R4458" s="178"/>
      <c r="S4458" s="178"/>
    </row>
    <row r="4459" spans="18:19">
      <c r="R4459" s="178"/>
      <c r="S4459" s="178"/>
    </row>
    <row r="4460" spans="18:19">
      <c r="R4460" s="178"/>
      <c r="S4460" s="178"/>
    </row>
    <row r="4461" spans="18:19">
      <c r="R4461" s="178"/>
      <c r="S4461" s="178"/>
    </row>
    <row r="4462" spans="18:19">
      <c r="R4462" s="178"/>
      <c r="S4462" s="178"/>
    </row>
    <row r="4463" spans="18:19">
      <c r="R4463" s="178"/>
      <c r="S4463" s="178"/>
    </row>
    <row r="4464" spans="18:19">
      <c r="R4464" s="178"/>
      <c r="S4464" s="178"/>
    </row>
    <row r="4465" spans="18:19">
      <c r="R4465" s="178"/>
      <c r="S4465" s="178"/>
    </row>
    <row r="4466" spans="18:19">
      <c r="R4466" s="178"/>
      <c r="S4466" s="178"/>
    </row>
    <row r="4467" spans="18:19">
      <c r="R4467" s="178"/>
      <c r="S4467" s="178"/>
    </row>
    <row r="4468" spans="18:19">
      <c r="R4468" s="178"/>
      <c r="S4468" s="178"/>
    </row>
    <row r="4469" spans="18:19">
      <c r="R4469" s="178"/>
      <c r="S4469" s="178"/>
    </row>
    <row r="4470" spans="18:19">
      <c r="R4470" s="178"/>
      <c r="S4470" s="178"/>
    </row>
    <row r="4471" spans="18:19">
      <c r="R4471" s="178"/>
      <c r="S4471" s="178"/>
    </row>
    <row r="4472" spans="18:19">
      <c r="R4472" s="178"/>
      <c r="S4472" s="178"/>
    </row>
    <row r="4473" spans="18:19">
      <c r="R4473" s="178"/>
      <c r="S4473" s="178"/>
    </row>
    <row r="4474" spans="18:19">
      <c r="R4474" s="178"/>
      <c r="S4474" s="178"/>
    </row>
    <row r="4475" spans="18:19">
      <c r="R4475" s="178"/>
      <c r="S4475" s="178"/>
    </row>
    <row r="4476" spans="18:19">
      <c r="R4476" s="178"/>
      <c r="S4476" s="178"/>
    </row>
    <row r="4477" spans="18:19">
      <c r="R4477" s="178"/>
      <c r="S4477" s="178"/>
    </row>
    <row r="4478" spans="18:19">
      <c r="R4478" s="178"/>
      <c r="S4478" s="178"/>
    </row>
    <row r="4479" spans="18:19">
      <c r="R4479" s="178"/>
      <c r="S4479" s="178"/>
    </row>
    <row r="4480" spans="18:19">
      <c r="R4480" s="178"/>
      <c r="S4480" s="178"/>
    </row>
    <row r="4481" spans="18:19">
      <c r="R4481" s="178"/>
      <c r="S4481" s="178"/>
    </row>
    <row r="4482" spans="18:19">
      <c r="R4482" s="178"/>
      <c r="S4482" s="178"/>
    </row>
    <row r="4483" spans="18:19">
      <c r="R4483" s="178"/>
      <c r="S4483" s="178"/>
    </row>
    <row r="4484" spans="18:19">
      <c r="R4484" s="178"/>
      <c r="S4484" s="178"/>
    </row>
    <row r="4485" spans="18:19">
      <c r="R4485" s="178"/>
      <c r="S4485" s="178"/>
    </row>
    <row r="4486" spans="18:19">
      <c r="R4486" s="178"/>
      <c r="S4486" s="178"/>
    </row>
    <row r="4487" spans="18:19">
      <c r="R4487" s="178"/>
      <c r="S4487" s="178"/>
    </row>
    <row r="4488" spans="18:19">
      <c r="R4488" s="178"/>
      <c r="S4488" s="178"/>
    </row>
    <row r="4489" spans="18:19">
      <c r="R4489" s="178"/>
      <c r="S4489" s="178"/>
    </row>
    <row r="4490" spans="18:19">
      <c r="R4490" s="178"/>
      <c r="S4490" s="178"/>
    </row>
    <row r="4491" spans="18:19">
      <c r="R4491" s="178"/>
      <c r="S4491" s="178"/>
    </row>
    <row r="4492" spans="18:19">
      <c r="R4492" s="178"/>
      <c r="S4492" s="178"/>
    </row>
    <row r="4493" spans="18:19">
      <c r="R4493" s="178"/>
      <c r="S4493" s="178"/>
    </row>
    <row r="4494" spans="18:19">
      <c r="R4494" s="178"/>
      <c r="S4494" s="178"/>
    </row>
    <row r="4495" spans="18:19">
      <c r="R4495" s="178"/>
      <c r="S4495" s="178"/>
    </row>
    <row r="4496" spans="18:19">
      <c r="R4496" s="178"/>
      <c r="S4496" s="178"/>
    </row>
    <row r="4497" spans="18:19">
      <c r="R4497" s="178"/>
      <c r="S4497" s="178"/>
    </row>
    <row r="4498" spans="18:19">
      <c r="R4498" s="178"/>
      <c r="S4498" s="178"/>
    </row>
    <row r="4499" spans="18:19">
      <c r="R4499" s="178"/>
      <c r="S4499" s="178"/>
    </row>
    <row r="4500" spans="18:19">
      <c r="R4500" s="178"/>
      <c r="S4500" s="178"/>
    </row>
    <row r="4501" spans="18:19">
      <c r="R4501" s="178"/>
      <c r="S4501" s="178"/>
    </row>
    <row r="4502" spans="18:19">
      <c r="R4502" s="178"/>
      <c r="S4502" s="178"/>
    </row>
    <row r="4503" spans="18:19">
      <c r="R4503" s="178"/>
      <c r="S4503" s="178"/>
    </row>
    <row r="4504" spans="18:19">
      <c r="R4504" s="178"/>
      <c r="S4504" s="178"/>
    </row>
    <row r="4505" spans="18:19">
      <c r="R4505" s="178"/>
      <c r="S4505" s="178"/>
    </row>
    <row r="4506" spans="18:19">
      <c r="R4506" s="178"/>
      <c r="S4506" s="178"/>
    </row>
    <row r="4507" spans="18:19">
      <c r="R4507" s="178"/>
      <c r="S4507" s="178"/>
    </row>
    <row r="4508" spans="18:19">
      <c r="R4508" s="178"/>
      <c r="S4508" s="178"/>
    </row>
    <row r="4509" spans="18:19">
      <c r="R4509" s="178"/>
      <c r="S4509" s="178"/>
    </row>
    <row r="4510" spans="18:19">
      <c r="R4510" s="178"/>
      <c r="S4510" s="178"/>
    </row>
    <row r="4511" spans="18:19">
      <c r="R4511" s="178"/>
      <c r="S4511" s="178"/>
    </row>
    <row r="4512" spans="18:19">
      <c r="R4512" s="178"/>
      <c r="S4512" s="178"/>
    </row>
    <row r="4513" spans="18:19">
      <c r="R4513" s="178"/>
      <c r="S4513" s="178"/>
    </row>
    <row r="4514" spans="18:19">
      <c r="R4514" s="178"/>
      <c r="S4514" s="178"/>
    </row>
    <row r="4515" spans="18:19">
      <c r="R4515" s="178"/>
      <c r="S4515" s="178"/>
    </row>
    <row r="4516" spans="18:19">
      <c r="R4516" s="178"/>
      <c r="S4516" s="178"/>
    </row>
    <row r="4517" spans="18:19">
      <c r="R4517" s="178"/>
      <c r="S4517" s="178"/>
    </row>
    <row r="4518" spans="18:19">
      <c r="R4518" s="178"/>
      <c r="S4518" s="178"/>
    </row>
    <row r="4519" spans="18:19">
      <c r="R4519" s="178"/>
      <c r="S4519" s="178"/>
    </row>
    <row r="4520" spans="18:19">
      <c r="R4520" s="178"/>
      <c r="S4520" s="178"/>
    </row>
    <row r="4521" spans="18:19">
      <c r="R4521" s="178"/>
      <c r="S4521" s="178"/>
    </row>
    <row r="4522" spans="18:19">
      <c r="R4522" s="178"/>
      <c r="S4522" s="178"/>
    </row>
    <row r="4523" spans="18:19">
      <c r="R4523" s="178"/>
      <c r="S4523" s="178"/>
    </row>
    <row r="4524" spans="18:19">
      <c r="R4524" s="178"/>
      <c r="S4524" s="178"/>
    </row>
    <row r="4525" spans="18:19">
      <c r="R4525" s="178"/>
      <c r="S4525" s="178"/>
    </row>
    <row r="4526" spans="18:19">
      <c r="R4526" s="178"/>
      <c r="S4526" s="178"/>
    </row>
    <row r="4527" spans="18:19">
      <c r="R4527" s="178"/>
      <c r="S4527" s="178"/>
    </row>
    <row r="4528" spans="18:19">
      <c r="R4528" s="178"/>
      <c r="S4528" s="178"/>
    </row>
    <row r="4529" spans="18:19">
      <c r="R4529" s="178"/>
      <c r="S4529" s="178"/>
    </row>
    <row r="4530" spans="18:19">
      <c r="R4530" s="178"/>
      <c r="S4530" s="178"/>
    </row>
    <row r="4531" spans="18:19">
      <c r="R4531" s="178"/>
      <c r="S4531" s="178"/>
    </row>
    <row r="4532" spans="18:19">
      <c r="R4532" s="178"/>
      <c r="S4532" s="178"/>
    </row>
    <row r="4533" spans="18:19">
      <c r="R4533" s="178"/>
      <c r="S4533" s="178"/>
    </row>
    <row r="4534" spans="18:19">
      <c r="R4534" s="178"/>
      <c r="S4534" s="178"/>
    </row>
    <row r="4535" spans="18:19">
      <c r="R4535" s="178"/>
      <c r="S4535" s="178"/>
    </row>
    <row r="4536" spans="18:19">
      <c r="R4536" s="178"/>
      <c r="S4536" s="178"/>
    </row>
    <row r="4537" spans="18:19">
      <c r="R4537" s="178"/>
      <c r="S4537" s="178"/>
    </row>
    <row r="4538" spans="18:19">
      <c r="R4538" s="178"/>
      <c r="S4538" s="178"/>
    </row>
    <row r="4539" spans="18:19">
      <c r="R4539" s="178"/>
      <c r="S4539" s="178"/>
    </row>
    <row r="4540" spans="18:19">
      <c r="R4540" s="178"/>
      <c r="S4540" s="178"/>
    </row>
    <row r="4541" spans="18:19">
      <c r="R4541" s="178"/>
      <c r="S4541" s="178"/>
    </row>
    <row r="4542" spans="18:19">
      <c r="R4542" s="178"/>
      <c r="S4542" s="178"/>
    </row>
    <row r="4543" spans="18:19">
      <c r="R4543" s="178"/>
      <c r="S4543" s="178"/>
    </row>
    <row r="4544" spans="18:19">
      <c r="R4544" s="178"/>
      <c r="S4544" s="178"/>
    </row>
    <row r="4545" spans="18:19">
      <c r="R4545" s="178"/>
      <c r="S4545" s="178"/>
    </row>
    <row r="4546" spans="18:19">
      <c r="R4546" s="178"/>
      <c r="S4546" s="178"/>
    </row>
    <row r="4547" spans="18:19">
      <c r="R4547" s="178"/>
      <c r="S4547" s="178"/>
    </row>
    <row r="4548" spans="18:19">
      <c r="R4548" s="178"/>
      <c r="S4548" s="178"/>
    </row>
    <row r="4549" spans="18:19">
      <c r="R4549" s="178"/>
      <c r="S4549" s="178"/>
    </row>
    <row r="4550" spans="18:19">
      <c r="R4550" s="178"/>
      <c r="S4550" s="178"/>
    </row>
    <row r="4551" spans="18:19">
      <c r="R4551" s="178"/>
      <c r="S4551" s="178"/>
    </row>
    <row r="4552" spans="18:19">
      <c r="R4552" s="178"/>
      <c r="S4552" s="178"/>
    </row>
    <row r="4553" spans="18:19">
      <c r="R4553" s="178"/>
      <c r="S4553" s="178"/>
    </row>
    <row r="4554" spans="18:19">
      <c r="R4554" s="178"/>
      <c r="S4554" s="178"/>
    </row>
    <row r="4555" spans="18:19">
      <c r="R4555" s="178"/>
      <c r="S4555" s="178"/>
    </row>
    <row r="4556" spans="18:19">
      <c r="R4556" s="178"/>
      <c r="S4556" s="178"/>
    </row>
    <row r="4557" spans="18:19">
      <c r="R4557" s="178"/>
      <c r="S4557" s="178"/>
    </row>
    <row r="4558" spans="18:19">
      <c r="R4558" s="178"/>
      <c r="S4558" s="178"/>
    </row>
    <row r="4559" spans="18:19">
      <c r="R4559" s="178"/>
      <c r="S4559" s="178"/>
    </row>
    <row r="4560" spans="18:19">
      <c r="R4560" s="178"/>
      <c r="S4560" s="178"/>
    </row>
    <row r="4561" spans="18:19">
      <c r="R4561" s="178"/>
      <c r="S4561" s="178"/>
    </row>
    <row r="4562" spans="18:19">
      <c r="R4562" s="178"/>
      <c r="S4562" s="178"/>
    </row>
    <row r="4563" spans="18:19">
      <c r="R4563" s="178"/>
      <c r="S4563" s="178"/>
    </row>
    <row r="4564" spans="18:19">
      <c r="R4564" s="178"/>
      <c r="S4564" s="178"/>
    </row>
    <row r="4565" spans="18:19">
      <c r="R4565" s="178"/>
      <c r="S4565" s="178"/>
    </row>
    <row r="4566" spans="18:19">
      <c r="R4566" s="178"/>
      <c r="S4566" s="178"/>
    </row>
    <row r="4567" spans="18:19">
      <c r="R4567" s="178"/>
      <c r="S4567" s="178"/>
    </row>
    <row r="4568" spans="18:19">
      <c r="R4568" s="178"/>
      <c r="S4568" s="178"/>
    </row>
    <row r="4569" spans="18:19">
      <c r="R4569" s="178"/>
      <c r="S4569" s="178"/>
    </row>
    <row r="4570" spans="18:19">
      <c r="R4570" s="178"/>
      <c r="S4570" s="178"/>
    </row>
    <row r="4571" spans="18:19">
      <c r="R4571" s="178"/>
      <c r="S4571" s="178"/>
    </row>
    <row r="4572" spans="18:19">
      <c r="R4572" s="178"/>
      <c r="S4572" s="178"/>
    </row>
    <row r="4573" spans="18:19">
      <c r="R4573" s="178"/>
      <c r="S4573" s="178"/>
    </row>
    <row r="4574" spans="18:19">
      <c r="R4574" s="178"/>
      <c r="S4574" s="178"/>
    </row>
    <row r="4575" spans="18:19">
      <c r="R4575" s="178"/>
      <c r="S4575" s="178"/>
    </row>
    <row r="4576" spans="18:19">
      <c r="R4576" s="178"/>
      <c r="S4576" s="178"/>
    </row>
    <row r="4577" spans="18:19">
      <c r="R4577" s="178"/>
      <c r="S4577" s="178"/>
    </row>
    <row r="4578" spans="18:19">
      <c r="R4578" s="178"/>
      <c r="S4578" s="178"/>
    </row>
    <row r="4579" spans="18:19">
      <c r="R4579" s="178"/>
      <c r="S4579" s="178"/>
    </row>
    <row r="4580" spans="18:19">
      <c r="R4580" s="178"/>
      <c r="S4580" s="178"/>
    </row>
    <row r="4581" spans="18:19">
      <c r="R4581" s="178"/>
      <c r="S4581" s="178"/>
    </row>
    <row r="4582" spans="18:19">
      <c r="R4582" s="178"/>
      <c r="S4582" s="178"/>
    </row>
    <row r="4583" spans="18:19">
      <c r="R4583" s="178"/>
      <c r="S4583" s="178"/>
    </row>
    <row r="4584" spans="18:19">
      <c r="R4584" s="178"/>
      <c r="S4584" s="178"/>
    </row>
    <row r="4585" spans="18:19">
      <c r="R4585" s="178"/>
      <c r="S4585" s="178"/>
    </row>
    <row r="4586" spans="18:19">
      <c r="R4586" s="178"/>
      <c r="S4586" s="178"/>
    </row>
    <row r="4587" spans="18:19">
      <c r="R4587" s="178"/>
      <c r="S4587" s="178"/>
    </row>
    <row r="4588" spans="18:19">
      <c r="R4588" s="178"/>
      <c r="S4588" s="178"/>
    </row>
    <row r="4589" spans="18:19">
      <c r="R4589" s="178"/>
      <c r="S4589" s="178"/>
    </row>
    <row r="4590" spans="18:19">
      <c r="R4590" s="178"/>
      <c r="S4590" s="178"/>
    </row>
    <row r="4591" spans="18:19">
      <c r="R4591" s="178"/>
      <c r="S4591" s="178"/>
    </row>
    <row r="4592" spans="18:19">
      <c r="R4592" s="178"/>
      <c r="S4592" s="178"/>
    </row>
    <row r="4593" spans="18:19">
      <c r="R4593" s="178"/>
      <c r="S4593" s="178"/>
    </row>
    <row r="4594" spans="18:19">
      <c r="R4594" s="178"/>
      <c r="S4594" s="178"/>
    </row>
    <row r="4595" spans="18:19">
      <c r="R4595" s="178"/>
      <c r="S4595" s="178"/>
    </row>
    <row r="4596" spans="18:19">
      <c r="R4596" s="178"/>
      <c r="S4596" s="178"/>
    </row>
    <row r="4597" spans="18:19">
      <c r="R4597" s="178"/>
      <c r="S4597" s="178"/>
    </row>
    <row r="4598" spans="18:19">
      <c r="R4598" s="178"/>
      <c r="S4598" s="178"/>
    </row>
    <row r="4599" spans="18:19">
      <c r="R4599" s="178"/>
      <c r="S4599" s="178"/>
    </row>
    <row r="4600" spans="18:19">
      <c r="R4600" s="178"/>
      <c r="S4600" s="178"/>
    </row>
    <row r="4601" spans="18:19">
      <c r="R4601" s="178"/>
      <c r="S4601" s="178"/>
    </row>
    <row r="4602" spans="18:19">
      <c r="R4602" s="178"/>
      <c r="S4602" s="178"/>
    </row>
    <row r="4603" spans="18:19">
      <c r="R4603" s="178"/>
      <c r="S4603" s="178"/>
    </row>
    <row r="4604" spans="18:19">
      <c r="R4604" s="178"/>
      <c r="S4604" s="178"/>
    </row>
    <row r="4605" spans="18:19">
      <c r="R4605" s="178"/>
      <c r="S4605" s="178"/>
    </row>
    <row r="4606" spans="18:19">
      <c r="R4606" s="178"/>
      <c r="S4606" s="178"/>
    </row>
    <row r="4607" spans="18:19">
      <c r="R4607" s="178"/>
      <c r="S4607" s="178"/>
    </row>
    <row r="4608" spans="18:19">
      <c r="R4608" s="178"/>
      <c r="S4608" s="178"/>
    </row>
    <row r="4609" spans="18:19">
      <c r="R4609" s="178"/>
      <c r="S4609" s="178"/>
    </row>
    <row r="4610" spans="18:19">
      <c r="R4610" s="178"/>
      <c r="S4610" s="178"/>
    </row>
    <row r="4611" spans="18:19">
      <c r="R4611" s="178"/>
      <c r="S4611" s="178"/>
    </row>
    <row r="4612" spans="18:19">
      <c r="R4612" s="178"/>
      <c r="S4612" s="178"/>
    </row>
    <row r="4613" spans="18:19">
      <c r="R4613" s="178"/>
      <c r="S4613" s="178"/>
    </row>
    <row r="4614" spans="18:19">
      <c r="R4614" s="178"/>
      <c r="S4614" s="178"/>
    </row>
    <row r="4615" spans="18:19">
      <c r="R4615" s="178"/>
      <c r="S4615" s="178"/>
    </row>
    <row r="4616" spans="18:19">
      <c r="R4616" s="178"/>
      <c r="S4616" s="178"/>
    </row>
    <row r="4617" spans="18:19">
      <c r="R4617" s="178"/>
      <c r="S4617" s="178"/>
    </row>
    <row r="4618" spans="18:19">
      <c r="R4618" s="178"/>
      <c r="S4618" s="178"/>
    </row>
    <row r="4619" spans="18:19">
      <c r="R4619" s="178"/>
      <c r="S4619" s="178"/>
    </row>
    <row r="4620" spans="18:19">
      <c r="R4620" s="178"/>
      <c r="S4620" s="178"/>
    </row>
    <row r="4621" spans="18:19">
      <c r="R4621" s="178"/>
      <c r="S4621" s="178"/>
    </row>
    <row r="4622" spans="18:19">
      <c r="R4622" s="178"/>
      <c r="S4622" s="178"/>
    </row>
    <row r="4623" spans="18:19">
      <c r="R4623" s="178"/>
      <c r="S4623" s="178"/>
    </row>
    <row r="4624" spans="18:19">
      <c r="R4624" s="178"/>
      <c r="S4624" s="178"/>
    </row>
    <row r="4625" spans="18:19">
      <c r="R4625" s="178"/>
      <c r="S4625" s="178"/>
    </row>
    <row r="4626" spans="18:19">
      <c r="R4626" s="178"/>
      <c r="S4626" s="178"/>
    </row>
    <row r="4627" spans="18:19">
      <c r="R4627" s="178"/>
      <c r="S4627" s="178"/>
    </row>
    <row r="4628" spans="18:19">
      <c r="R4628" s="178"/>
      <c r="S4628" s="178"/>
    </row>
    <row r="4629" spans="18:19">
      <c r="R4629" s="178"/>
      <c r="S4629" s="178"/>
    </row>
    <row r="4630" spans="18:19">
      <c r="R4630" s="178"/>
      <c r="S4630" s="178"/>
    </row>
    <row r="4631" spans="18:19">
      <c r="R4631" s="178"/>
      <c r="S4631" s="178"/>
    </row>
    <row r="4632" spans="18:19">
      <c r="R4632" s="178"/>
      <c r="S4632" s="178"/>
    </row>
    <row r="4633" spans="18:19">
      <c r="R4633" s="178"/>
      <c r="S4633" s="178"/>
    </row>
    <row r="4634" spans="18:19">
      <c r="R4634" s="178"/>
      <c r="S4634" s="178"/>
    </row>
    <row r="4635" spans="18:19">
      <c r="R4635" s="178"/>
      <c r="S4635" s="178"/>
    </row>
    <row r="4636" spans="18:19">
      <c r="R4636" s="178"/>
      <c r="S4636" s="178"/>
    </row>
    <row r="4637" spans="18:19">
      <c r="R4637" s="178"/>
      <c r="S4637" s="178"/>
    </row>
    <row r="4638" spans="18:19">
      <c r="R4638" s="178"/>
      <c r="S4638" s="178"/>
    </row>
    <row r="4639" spans="18:19">
      <c r="R4639" s="178"/>
      <c r="S4639" s="178"/>
    </row>
    <row r="4640" spans="18:19">
      <c r="R4640" s="178"/>
      <c r="S4640" s="178"/>
    </row>
    <row r="4641" spans="18:19">
      <c r="R4641" s="178"/>
      <c r="S4641" s="178"/>
    </row>
    <row r="4642" spans="18:19">
      <c r="R4642" s="178"/>
      <c r="S4642" s="178"/>
    </row>
    <row r="4643" spans="18:19">
      <c r="R4643" s="178"/>
      <c r="S4643" s="178"/>
    </row>
    <row r="4644" spans="18:19">
      <c r="R4644" s="178"/>
      <c r="S4644" s="178"/>
    </row>
    <row r="4645" spans="18:19">
      <c r="R4645" s="178"/>
      <c r="S4645" s="178"/>
    </row>
    <row r="4646" spans="18:19">
      <c r="R4646" s="178"/>
      <c r="S4646" s="178"/>
    </row>
    <row r="4647" spans="18:19">
      <c r="R4647" s="178"/>
      <c r="S4647" s="178"/>
    </row>
    <row r="4648" spans="18:19">
      <c r="R4648" s="178"/>
      <c r="S4648" s="178"/>
    </row>
    <row r="4649" spans="18:19">
      <c r="R4649" s="178"/>
      <c r="S4649" s="178"/>
    </row>
    <row r="4650" spans="18:19">
      <c r="R4650" s="178"/>
      <c r="S4650" s="178"/>
    </row>
    <row r="4651" spans="18:19">
      <c r="R4651" s="178"/>
      <c r="S4651" s="178"/>
    </row>
    <row r="4652" spans="18:19">
      <c r="R4652" s="178"/>
      <c r="S4652" s="178"/>
    </row>
    <row r="4653" spans="18:19">
      <c r="R4653" s="178"/>
      <c r="S4653" s="178"/>
    </row>
    <row r="4654" spans="18:19">
      <c r="R4654" s="178"/>
      <c r="S4654" s="178"/>
    </row>
    <row r="4655" spans="18:19">
      <c r="R4655" s="178"/>
      <c r="S4655" s="178"/>
    </row>
    <row r="4656" spans="18:19">
      <c r="R4656" s="178"/>
      <c r="S4656" s="178"/>
    </row>
    <row r="4657" spans="18:19">
      <c r="R4657" s="178"/>
      <c r="S4657" s="178"/>
    </row>
    <row r="4658" spans="18:19">
      <c r="R4658" s="178"/>
      <c r="S4658" s="178"/>
    </row>
    <row r="4659" spans="18:19">
      <c r="R4659" s="178"/>
      <c r="S4659" s="178"/>
    </row>
    <row r="4660" spans="18:19">
      <c r="R4660" s="178"/>
      <c r="S4660" s="178"/>
    </row>
    <row r="4661" spans="18:19">
      <c r="R4661" s="178"/>
      <c r="S4661" s="178"/>
    </row>
    <row r="4662" spans="18:19">
      <c r="R4662" s="178"/>
      <c r="S4662" s="178"/>
    </row>
    <row r="4663" spans="18:19">
      <c r="R4663" s="178"/>
      <c r="S4663" s="178"/>
    </row>
    <row r="4664" spans="18:19">
      <c r="R4664" s="178"/>
      <c r="S4664" s="178"/>
    </row>
    <row r="4665" spans="18:19">
      <c r="R4665" s="178"/>
      <c r="S4665" s="178"/>
    </row>
    <row r="4666" spans="18:19">
      <c r="R4666" s="178"/>
      <c r="S4666" s="178"/>
    </row>
    <row r="4667" spans="18:19">
      <c r="R4667" s="178"/>
      <c r="S4667" s="178"/>
    </row>
    <row r="4668" spans="18:19">
      <c r="R4668" s="178"/>
      <c r="S4668" s="178"/>
    </row>
    <row r="4669" spans="18:19">
      <c r="R4669" s="178"/>
      <c r="S4669" s="178"/>
    </row>
    <row r="4670" spans="18:19">
      <c r="R4670" s="178"/>
      <c r="S4670" s="178"/>
    </row>
    <row r="4671" spans="18:19">
      <c r="R4671" s="178"/>
      <c r="S4671" s="178"/>
    </row>
    <row r="4672" spans="18:19">
      <c r="R4672" s="178"/>
      <c r="S4672" s="178"/>
    </row>
    <row r="4673" spans="18:19">
      <c r="R4673" s="178"/>
      <c r="S4673" s="178"/>
    </row>
    <row r="4674" spans="18:19">
      <c r="R4674" s="178"/>
      <c r="S4674" s="178"/>
    </row>
    <row r="4675" spans="18:19">
      <c r="R4675" s="178"/>
      <c r="S4675" s="178"/>
    </row>
    <row r="4676" spans="18:19">
      <c r="R4676" s="178"/>
      <c r="S4676" s="178"/>
    </row>
    <row r="4677" spans="18:19">
      <c r="R4677" s="178"/>
      <c r="S4677" s="178"/>
    </row>
    <row r="4678" spans="18:19">
      <c r="R4678" s="178"/>
      <c r="S4678" s="178"/>
    </row>
    <row r="4679" spans="18:19">
      <c r="R4679" s="178"/>
      <c r="S4679" s="178"/>
    </row>
    <row r="4680" spans="18:19">
      <c r="R4680" s="178"/>
      <c r="S4680" s="178"/>
    </row>
    <row r="4681" spans="18:19">
      <c r="R4681" s="178"/>
      <c r="S4681" s="178"/>
    </row>
    <row r="4682" spans="18:19">
      <c r="R4682" s="178"/>
      <c r="S4682" s="178"/>
    </row>
    <row r="4683" spans="18:19">
      <c r="R4683" s="178"/>
      <c r="S4683" s="178"/>
    </row>
    <row r="4684" spans="18:19">
      <c r="R4684" s="178"/>
      <c r="S4684" s="178"/>
    </row>
    <row r="4685" spans="18:19">
      <c r="R4685" s="178"/>
      <c r="S4685" s="178"/>
    </row>
    <row r="4686" spans="18:19">
      <c r="R4686" s="178"/>
      <c r="S4686" s="178"/>
    </row>
    <row r="4687" spans="18:19">
      <c r="R4687" s="178"/>
      <c r="S4687" s="178"/>
    </row>
    <row r="4688" spans="18:19">
      <c r="R4688" s="178"/>
      <c r="S4688" s="178"/>
    </row>
    <row r="4689" spans="18:19">
      <c r="R4689" s="178"/>
      <c r="S4689" s="178"/>
    </row>
    <row r="4690" spans="18:19">
      <c r="R4690" s="178"/>
      <c r="S4690" s="178"/>
    </row>
    <row r="4691" spans="18:19">
      <c r="R4691" s="178"/>
      <c r="S4691" s="178"/>
    </row>
    <row r="4692" spans="18:19">
      <c r="R4692" s="178"/>
      <c r="S4692" s="178"/>
    </row>
    <row r="4693" spans="18:19">
      <c r="R4693" s="178"/>
      <c r="S4693" s="178"/>
    </row>
    <row r="4694" spans="18:19">
      <c r="R4694" s="178"/>
      <c r="S4694" s="178"/>
    </row>
    <row r="4695" spans="18:19">
      <c r="R4695" s="178"/>
      <c r="S4695" s="178"/>
    </row>
    <row r="4696" spans="18:19">
      <c r="R4696" s="178"/>
      <c r="S4696" s="178"/>
    </row>
    <row r="4697" spans="18:19">
      <c r="R4697" s="178"/>
      <c r="S4697" s="178"/>
    </row>
    <row r="4698" spans="18:19">
      <c r="R4698" s="178"/>
      <c r="S4698" s="178"/>
    </row>
    <row r="4699" spans="18:19">
      <c r="R4699" s="178"/>
      <c r="S4699" s="178"/>
    </row>
    <row r="4700" spans="18:19">
      <c r="R4700" s="178"/>
      <c r="S4700" s="178"/>
    </row>
    <row r="4701" spans="18:19">
      <c r="R4701" s="178"/>
      <c r="S4701" s="178"/>
    </row>
    <row r="4702" spans="18:19">
      <c r="R4702" s="178"/>
      <c r="S4702" s="178"/>
    </row>
    <row r="4703" spans="18:19">
      <c r="R4703" s="178"/>
      <c r="S4703" s="178"/>
    </row>
    <row r="4704" spans="18:19">
      <c r="R4704" s="178"/>
      <c r="S4704" s="178"/>
    </row>
    <row r="4705" spans="18:19">
      <c r="R4705" s="178"/>
      <c r="S4705" s="178"/>
    </row>
    <row r="4706" spans="18:19">
      <c r="R4706" s="178"/>
      <c r="S4706" s="178"/>
    </row>
    <row r="4707" spans="18:19">
      <c r="R4707" s="178"/>
      <c r="S4707" s="178"/>
    </row>
    <row r="4708" spans="18:19">
      <c r="R4708" s="178"/>
      <c r="S4708" s="178"/>
    </row>
    <row r="4709" spans="18:19">
      <c r="R4709" s="178"/>
      <c r="S4709" s="178"/>
    </row>
    <row r="4710" spans="18:19">
      <c r="R4710" s="178"/>
      <c r="S4710" s="178"/>
    </row>
    <row r="4711" spans="18:19">
      <c r="R4711" s="178"/>
      <c r="S4711" s="178"/>
    </row>
    <row r="4712" spans="18:19">
      <c r="R4712" s="178"/>
      <c r="S4712" s="178"/>
    </row>
    <row r="4713" spans="18:19">
      <c r="R4713" s="178"/>
      <c r="S4713" s="178"/>
    </row>
    <row r="4714" spans="18:19">
      <c r="R4714" s="178"/>
      <c r="S4714" s="178"/>
    </row>
    <row r="4715" spans="18:19">
      <c r="R4715" s="178"/>
      <c r="S4715" s="178"/>
    </row>
    <row r="4716" spans="18:19">
      <c r="R4716" s="178"/>
      <c r="S4716" s="178"/>
    </row>
    <row r="4717" spans="18:19">
      <c r="R4717" s="178"/>
      <c r="S4717" s="178"/>
    </row>
    <row r="4718" spans="18:19">
      <c r="R4718" s="178"/>
      <c r="S4718" s="178"/>
    </row>
    <row r="4719" spans="18:19">
      <c r="R4719" s="178"/>
      <c r="S4719" s="178"/>
    </row>
    <row r="4720" spans="18:19">
      <c r="R4720" s="178"/>
      <c r="S4720" s="178"/>
    </row>
    <row r="4721" spans="18:19">
      <c r="R4721" s="178"/>
      <c r="S4721" s="178"/>
    </row>
    <row r="4722" spans="18:19">
      <c r="R4722" s="178"/>
      <c r="S4722" s="178"/>
    </row>
    <row r="4723" spans="18:19">
      <c r="R4723" s="178"/>
      <c r="S4723" s="178"/>
    </row>
    <row r="4724" spans="18:19">
      <c r="R4724" s="178"/>
      <c r="S4724" s="178"/>
    </row>
    <row r="4725" spans="18:19">
      <c r="R4725" s="178"/>
      <c r="S4725" s="178"/>
    </row>
    <row r="4726" spans="18:19">
      <c r="R4726" s="178"/>
      <c r="S4726" s="178"/>
    </row>
    <row r="4727" spans="18:19">
      <c r="R4727" s="178"/>
      <c r="S4727" s="178"/>
    </row>
    <row r="4728" spans="18:19">
      <c r="R4728" s="178"/>
      <c r="S4728" s="178"/>
    </row>
    <row r="4729" spans="18:19">
      <c r="R4729" s="178"/>
      <c r="S4729" s="178"/>
    </row>
    <row r="4730" spans="18:19">
      <c r="R4730" s="178"/>
      <c r="S4730" s="178"/>
    </row>
    <row r="4731" spans="18:19">
      <c r="R4731" s="178"/>
      <c r="S4731" s="178"/>
    </row>
    <row r="4732" spans="18:19">
      <c r="R4732" s="178"/>
      <c r="S4732" s="178"/>
    </row>
    <row r="4733" spans="18:19">
      <c r="R4733" s="178"/>
      <c r="S4733" s="178"/>
    </row>
    <row r="4734" spans="18:19">
      <c r="R4734" s="178"/>
      <c r="S4734" s="178"/>
    </row>
    <row r="4735" spans="18:19">
      <c r="R4735" s="178"/>
      <c r="S4735" s="178"/>
    </row>
    <row r="4736" spans="18:19">
      <c r="R4736" s="178"/>
      <c r="S4736" s="178"/>
    </row>
    <row r="4737" spans="18:19">
      <c r="R4737" s="178"/>
      <c r="S4737" s="178"/>
    </row>
    <row r="4738" spans="18:19">
      <c r="R4738" s="178"/>
      <c r="S4738" s="178"/>
    </row>
    <row r="4739" spans="18:19">
      <c r="R4739" s="178"/>
      <c r="S4739" s="178"/>
    </row>
    <row r="4740" spans="18:19">
      <c r="R4740" s="178"/>
      <c r="S4740" s="178"/>
    </row>
    <row r="4741" spans="18:19">
      <c r="R4741" s="178"/>
      <c r="S4741" s="178"/>
    </row>
    <row r="4742" spans="18:19">
      <c r="R4742" s="178"/>
      <c r="S4742" s="178"/>
    </row>
    <row r="4743" spans="18:19">
      <c r="R4743" s="178"/>
      <c r="S4743" s="178"/>
    </row>
    <row r="4744" spans="18:19">
      <c r="R4744" s="178"/>
      <c r="S4744" s="178"/>
    </row>
    <row r="4745" spans="18:19">
      <c r="R4745" s="178"/>
      <c r="S4745" s="178"/>
    </row>
    <row r="4746" spans="18:19">
      <c r="R4746" s="178"/>
      <c r="S4746" s="178"/>
    </row>
    <row r="4747" spans="18:19">
      <c r="R4747" s="178"/>
      <c r="S4747" s="178"/>
    </row>
    <row r="4748" spans="18:19">
      <c r="R4748" s="178"/>
      <c r="S4748" s="178"/>
    </row>
    <row r="4749" spans="18:19">
      <c r="R4749" s="178"/>
      <c r="S4749" s="178"/>
    </row>
    <row r="4750" spans="18:19">
      <c r="R4750" s="178"/>
      <c r="S4750" s="178"/>
    </row>
    <row r="4751" spans="18:19">
      <c r="R4751" s="178"/>
      <c r="S4751" s="178"/>
    </row>
    <row r="4752" spans="18:19">
      <c r="R4752" s="178"/>
      <c r="S4752" s="178"/>
    </row>
    <row r="4753" spans="18:19">
      <c r="R4753" s="178"/>
      <c r="S4753" s="178"/>
    </row>
    <row r="4754" spans="18:19">
      <c r="R4754" s="178"/>
      <c r="S4754" s="178"/>
    </row>
    <row r="4755" spans="18:19">
      <c r="R4755" s="178"/>
      <c r="S4755" s="178"/>
    </row>
    <row r="4756" spans="18:19">
      <c r="R4756" s="178"/>
      <c r="S4756" s="178"/>
    </row>
    <row r="4757" spans="18:19">
      <c r="R4757" s="178"/>
      <c r="S4757" s="178"/>
    </row>
    <row r="4758" spans="18:19">
      <c r="R4758" s="178"/>
      <c r="S4758" s="178"/>
    </row>
    <row r="4759" spans="18:19">
      <c r="R4759" s="178"/>
      <c r="S4759" s="178"/>
    </row>
    <row r="4760" spans="18:19">
      <c r="R4760" s="178"/>
      <c r="S4760" s="178"/>
    </row>
    <row r="4761" spans="18:19">
      <c r="R4761" s="178"/>
      <c r="S4761" s="178"/>
    </row>
    <row r="4762" spans="18:19">
      <c r="R4762" s="178"/>
      <c r="S4762" s="178"/>
    </row>
    <row r="4763" spans="18:19">
      <c r="R4763" s="178"/>
      <c r="S4763" s="178"/>
    </row>
    <row r="4764" spans="18:19">
      <c r="R4764" s="178"/>
      <c r="S4764" s="178"/>
    </row>
    <row r="4765" spans="18:19">
      <c r="R4765" s="178"/>
      <c r="S4765" s="178"/>
    </row>
    <row r="4766" spans="18:19">
      <c r="R4766" s="178"/>
      <c r="S4766" s="178"/>
    </row>
    <row r="4767" spans="18:19">
      <c r="R4767" s="178"/>
      <c r="S4767" s="178"/>
    </row>
    <row r="4768" spans="18:19">
      <c r="R4768" s="178"/>
      <c r="S4768" s="178"/>
    </row>
    <row r="4769" spans="18:19">
      <c r="R4769" s="178"/>
      <c r="S4769" s="178"/>
    </row>
    <row r="4770" spans="18:19">
      <c r="R4770" s="178"/>
      <c r="S4770" s="178"/>
    </row>
    <row r="4771" spans="18:19">
      <c r="R4771" s="178"/>
      <c r="S4771" s="178"/>
    </row>
    <row r="4772" spans="18:19">
      <c r="R4772" s="178"/>
      <c r="S4772" s="178"/>
    </row>
    <row r="4773" spans="18:19">
      <c r="R4773" s="178"/>
      <c r="S4773" s="178"/>
    </row>
    <row r="4774" spans="18:19">
      <c r="R4774" s="178"/>
      <c r="S4774" s="178"/>
    </row>
    <row r="4775" spans="18:19">
      <c r="R4775" s="178"/>
      <c r="S4775" s="178"/>
    </row>
    <row r="4776" spans="18:19">
      <c r="R4776" s="178"/>
      <c r="S4776" s="178"/>
    </row>
    <row r="4777" spans="18:19">
      <c r="R4777" s="178"/>
      <c r="S4777" s="178"/>
    </row>
    <row r="4778" spans="18:19">
      <c r="R4778" s="178"/>
      <c r="S4778" s="178"/>
    </row>
    <row r="4779" spans="18:19">
      <c r="R4779" s="178"/>
      <c r="S4779" s="178"/>
    </row>
    <row r="4780" spans="18:19">
      <c r="R4780" s="178"/>
      <c r="S4780" s="178"/>
    </row>
    <row r="4781" spans="18:19">
      <c r="R4781" s="178"/>
      <c r="S4781" s="178"/>
    </row>
    <row r="4782" spans="18:19">
      <c r="R4782" s="178"/>
      <c r="S4782" s="178"/>
    </row>
    <row r="4783" spans="18:19">
      <c r="R4783" s="178"/>
      <c r="S4783" s="178"/>
    </row>
    <row r="4784" spans="18:19">
      <c r="R4784" s="178"/>
      <c r="S4784" s="178"/>
    </row>
    <row r="4785" spans="18:19">
      <c r="R4785" s="178"/>
      <c r="S4785" s="178"/>
    </row>
    <row r="4786" spans="18:19">
      <c r="R4786" s="178"/>
      <c r="S4786" s="178"/>
    </row>
    <row r="4787" spans="18:19">
      <c r="R4787" s="178"/>
      <c r="S4787" s="178"/>
    </row>
    <row r="4788" spans="18:19">
      <c r="R4788" s="178"/>
      <c r="S4788" s="178"/>
    </row>
    <row r="4789" spans="18:19">
      <c r="R4789" s="178"/>
      <c r="S4789" s="178"/>
    </row>
    <row r="4790" spans="18:19">
      <c r="R4790" s="178"/>
      <c r="S4790" s="178"/>
    </row>
    <row r="4791" spans="18:19">
      <c r="R4791" s="178"/>
      <c r="S4791" s="178"/>
    </row>
    <row r="4792" spans="18:19">
      <c r="R4792" s="178"/>
      <c r="S4792" s="178"/>
    </row>
    <row r="4793" spans="18:19">
      <c r="R4793" s="178"/>
      <c r="S4793" s="178"/>
    </row>
    <row r="4794" spans="18:19">
      <c r="R4794" s="178"/>
      <c r="S4794" s="178"/>
    </row>
    <row r="4795" spans="18:19">
      <c r="R4795" s="178"/>
      <c r="S4795" s="178"/>
    </row>
    <row r="4796" spans="18:19">
      <c r="R4796" s="178"/>
      <c r="S4796" s="178"/>
    </row>
    <row r="4797" spans="18:19">
      <c r="R4797" s="178"/>
      <c r="S4797" s="178"/>
    </row>
    <row r="4798" spans="18:19">
      <c r="R4798" s="178"/>
      <c r="S4798" s="178"/>
    </row>
    <row r="4799" spans="18:19">
      <c r="R4799" s="178"/>
      <c r="S4799" s="178"/>
    </row>
    <row r="4800" spans="18:19">
      <c r="R4800" s="178"/>
      <c r="S4800" s="178"/>
    </row>
    <row r="4801" spans="18:19">
      <c r="R4801" s="178"/>
      <c r="S4801" s="178"/>
    </row>
    <row r="4802" spans="18:19">
      <c r="R4802" s="178"/>
      <c r="S4802" s="178"/>
    </row>
    <row r="4803" spans="18:19">
      <c r="R4803" s="178"/>
      <c r="S4803" s="178"/>
    </row>
    <row r="4804" spans="18:19">
      <c r="R4804" s="178"/>
      <c r="S4804" s="178"/>
    </row>
    <row r="4805" spans="18:19">
      <c r="R4805" s="178"/>
      <c r="S4805" s="178"/>
    </row>
    <row r="4806" spans="18:19">
      <c r="R4806" s="178"/>
      <c r="S4806" s="178"/>
    </row>
    <row r="4807" spans="18:19">
      <c r="R4807" s="178"/>
      <c r="S4807" s="178"/>
    </row>
    <row r="4808" spans="18:19">
      <c r="R4808" s="178"/>
      <c r="S4808" s="178"/>
    </row>
    <row r="4809" spans="18:19">
      <c r="R4809" s="178"/>
      <c r="S4809" s="178"/>
    </row>
    <row r="4810" spans="18:19">
      <c r="R4810" s="178"/>
      <c r="S4810" s="178"/>
    </row>
    <row r="4811" spans="18:19">
      <c r="R4811" s="178"/>
      <c r="S4811" s="178"/>
    </row>
    <row r="4812" spans="18:19">
      <c r="R4812" s="178"/>
      <c r="S4812" s="178"/>
    </row>
    <row r="4813" spans="18:19">
      <c r="R4813" s="178"/>
      <c r="S4813" s="178"/>
    </row>
    <row r="4814" spans="18:19">
      <c r="R4814" s="178"/>
      <c r="S4814" s="178"/>
    </row>
    <row r="4815" spans="18:19">
      <c r="R4815" s="178"/>
      <c r="S4815" s="178"/>
    </row>
    <row r="4816" spans="18:19">
      <c r="R4816" s="178"/>
      <c r="S4816" s="178"/>
    </row>
    <row r="4817" spans="18:19">
      <c r="R4817" s="178"/>
      <c r="S4817" s="178"/>
    </row>
    <row r="4818" spans="18:19">
      <c r="R4818" s="178"/>
      <c r="S4818" s="178"/>
    </row>
    <row r="4819" spans="18:19">
      <c r="R4819" s="178"/>
      <c r="S4819" s="178"/>
    </row>
    <row r="4820" spans="18:19">
      <c r="R4820" s="178"/>
      <c r="S4820" s="178"/>
    </row>
    <row r="4821" spans="18:19">
      <c r="R4821" s="178"/>
      <c r="S4821" s="178"/>
    </row>
    <row r="4822" spans="18:19">
      <c r="R4822" s="178"/>
      <c r="S4822" s="178"/>
    </row>
    <row r="4823" spans="18:19">
      <c r="R4823" s="178"/>
      <c r="S4823" s="178"/>
    </row>
    <row r="4824" spans="18:19">
      <c r="R4824" s="178"/>
      <c r="S4824" s="178"/>
    </row>
    <row r="4825" spans="18:19">
      <c r="R4825" s="178"/>
      <c r="S4825" s="178"/>
    </row>
    <row r="4826" spans="18:19">
      <c r="R4826" s="178"/>
      <c r="S4826" s="178"/>
    </row>
    <row r="4827" spans="18:19">
      <c r="R4827" s="178"/>
      <c r="S4827" s="178"/>
    </row>
    <row r="4828" spans="18:19">
      <c r="R4828" s="178"/>
      <c r="S4828" s="178"/>
    </row>
    <row r="4829" spans="18:19">
      <c r="R4829" s="178"/>
      <c r="S4829" s="178"/>
    </row>
    <row r="4830" spans="18:19">
      <c r="R4830" s="178"/>
      <c r="S4830" s="178"/>
    </row>
    <row r="4831" spans="18:19">
      <c r="R4831" s="178"/>
      <c r="S4831" s="178"/>
    </row>
    <row r="4832" spans="18:19">
      <c r="R4832" s="178"/>
      <c r="S4832" s="178"/>
    </row>
    <row r="4833" spans="18:19">
      <c r="R4833" s="178"/>
      <c r="S4833" s="178"/>
    </row>
    <row r="4834" spans="18:19">
      <c r="R4834" s="178"/>
      <c r="S4834" s="178"/>
    </row>
    <row r="4835" spans="18:19">
      <c r="R4835" s="178"/>
      <c r="S4835" s="178"/>
    </row>
    <row r="4836" spans="18:19">
      <c r="R4836" s="178"/>
      <c r="S4836" s="178"/>
    </row>
    <row r="4837" spans="18:19">
      <c r="R4837" s="178"/>
      <c r="S4837" s="178"/>
    </row>
    <row r="4838" spans="18:19">
      <c r="R4838" s="178"/>
      <c r="S4838" s="178"/>
    </row>
    <row r="4839" spans="18:19">
      <c r="R4839" s="178"/>
      <c r="S4839" s="178"/>
    </row>
    <row r="4840" spans="18:19">
      <c r="R4840" s="178"/>
      <c r="S4840" s="178"/>
    </row>
    <row r="4841" spans="18:19">
      <c r="R4841" s="178"/>
      <c r="S4841" s="178"/>
    </row>
    <row r="4842" spans="18:19">
      <c r="R4842" s="178"/>
      <c r="S4842" s="178"/>
    </row>
    <row r="4843" spans="18:19">
      <c r="R4843" s="178"/>
      <c r="S4843" s="178"/>
    </row>
    <row r="4844" spans="18:19">
      <c r="R4844" s="178"/>
      <c r="S4844" s="178"/>
    </row>
    <row r="4845" spans="18:19">
      <c r="R4845" s="178"/>
      <c r="S4845" s="178"/>
    </row>
    <row r="4846" spans="18:19">
      <c r="R4846" s="178"/>
      <c r="S4846" s="178"/>
    </row>
    <row r="4847" spans="18:19">
      <c r="R4847" s="178"/>
      <c r="S4847" s="178"/>
    </row>
    <row r="4848" spans="18:19">
      <c r="R4848" s="178"/>
      <c r="S4848" s="178"/>
    </row>
    <row r="4849" spans="18:19">
      <c r="R4849" s="178"/>
      <c r="S4849" s="178"/>
    </row>
    <row r="4850" spans="18:19">
      <c r="R4850" s="178"/>
      <c r="S4850" s="178"/>
    </row>
    <row r="4851" spans="18:19">
      <c r="R4851" s="178"/>
      <c r="S4851" s="178"/>
    </row>
    <row r="4852" spans="18:19">
      <c r="R4852" s="178"/>
      <c r="S4852" s="178"/>
    </row>
    <row r="4853" spans="18:19">
      <c r="R4853" s="178"/>
      <c r="S4853" s="178"/>
    </row>
    <row r="4854" spans="18:19">
      <c r="R4854" s="178"/>
      <c r="S4854" s="178"/>
    </row>
    <row r="4855" spans="18:19">
      <c r="R4855" s="178"/>
      <c r="S4855" s="178"/>
    </row>
    <row r="4856" spans="18:19">
      <c r="R4856" s="178"/>
      <c r="S4856" s="178"/>
    </row>
    <row r="4857" spans="18:19">
      <c r="R4857" s="178"/>
      <c r="S4857" s="178"/>
    </row>
    <row r="4858" spans="18:19">
      <c r="R4858" s="178"/>
      <c r="S4858" s="178"/>
    </row>
    <row r="4859" spans="18:19">
      <c r="R4859" s="178"/>
      <c r="S4859" s="178"/>
    </row>
    <row r="4860" spans="18:19">
      <c r="R4860" s="178"/>
      <c r="S4860" s="178"/>
    </row>
    <row r="4861" spans="18:19">
      <c r="R4861" s="178"/>
      <c r="S4861" s="178"/>
    </row>
    <row r="4862" spans="18:19">
      <c r="R4862" s="178"/>
      <c r="S4862" s="178"/>
    </row>
    <row r="4863" spans="18:19">
      <c r="R4863" s="178"/>
      <c r="S4863" s="178"/>
    </row>
    <row r="4864" spans="18:19">
      <c r="R4864" s="178"/>
      <c r="S4864" s="178"/>
    </row>
    <row r="4865" spans="18:19">
      <c r="R4865" s="178"/>
      <c r="S4865" s="178"/>
    </row>
    <row r="4866" spans="18:19">
      <c r="R4866" s="178"/>
      <c r="S4866" s="178"/>
    </row>
    <row r="4867" spans="18:19">
      <c r="R4867" s="178"/>
      <c r="S4867" s="178"/>
    </row>
    <row r="4868" spans="18:19">
      <c r="R4868" s="178"/>
      <c r="S4868" s="178"/>
    </row>
    <row r="4869" spans="18:19">
      <c r="R4869" s="178"/>
      <c r="S4869" s="178"/>
    </row>
    <row r="4870" spans="18:19">
      <c r="R4870" s="178"/>
      <c r="S4870" s="178"/>
    </row>
    <row r="4871" spans="18:19">
      <c r="R4871" s="178"/>
      <c r="S4871" s="178"/>
    </row>
    <row r="4872" spans="18:19">
      <c r="R4872" s="178"/>
      <c r="S4872" s="178"/>
    </row>
    <row r="4873" spans="18:19">
      <c r="R4873" s="178"/>
      <c r="S4873" s="178"/>
    </row>
    <row r="4874" spans="18:19">
      <c r="R4874" s="178"/>
      <c r="S4874" s="178"/>
    </row>
    <row r="4875" spans="18:19">
      <c r="R4875" s="178"/>
      <c r="S4875" s="178"/>
    </row>
    <row r="4876" spans="18:19">
      <c r="R4876" s="178"/>
      <c r="S4876" s="178"/>
    </row>
    <row r="4877" spans="18:19">
      <c r="R4877" s="178"/>
      <c r="S4877" s="178"/>
    </row>
    <row r="4878" spans="18:19">
      <c r="R4878" s="178"/>
      <c r="S4878" s="178"/>
    </row>
    <row r="4879" spans="18:19">
      <c r="R4879" s="178"/>
      <c r="S4879" s="178"/>
    </row>
    <row r="4880" spans="18:19">
      <c r="R4880" s="178"/>
      <c r="S4880" s="178"/>
    </row>
    <row r="4881" spans="18:19">
      <c r="R4881" s="178"/>
      <c r="S4881" s="178"/>
    </row>
    <row r="4882" spans="18:19">
      <c r="R4882" s="178"/>
      <c r="S4882" s="178"/>
    </row>
    <row r="4883" spans="18:19">
      <c r="R4883" s="178"/>
      <c r="S4883" s="178"/>
    </row>
    <row r="4884" spans="18:19">
      <c r="R4884" s="178"/>
      <c r="S4884" s="178"/>
    </row>
    <row r="4885" spans="18:19">
      <c r="R4885" s="178"/>
      <c r="S4885" s="178"/>
    </row>
    <row r="4886" spans="18:19">
      <c r="R4886" s="178"/>
      <c r="S4886" s="178"/>
    </row>
    <row r="4887" spans="18:19">
      <c r="R4887" s="178"/>
      <c r="S4887" s="178"/>
    </row>
    <row r="4888" spans="18:19">
      <c r="R4888" s="178"/>
      <c r="S4888" s="178"/>
    </row>
    <row r="4889" spans="18:19">
      <c r="R4889" s="178"/>
      <c r="S4889" s="178"/>
    </row>
    <row r="4890" spans="18:19">
      <c r="R4890" s="178"/>
      <c r="S4890" s="178"/>
    </row>
    <row r="4891" spans="18:19">
      <c r="R4891" s="178"/>
      <c r="S4891" s="178"/>
    </row>
    <row r="4892" spans="18:19">
      <c r="R4892" s="178"/>
      <c r="S4892" s="178"/>
    </row>
    <row r="4893" spans="18:19">
      <c r="R4893" s="178"/>
      <c r="S4893" s="178"/>
    </row>
    <row r="4894" spans="18:19">
      <c r="R4894" s="178"/>
      <c r="S4894" s="178"/>
    </row>
    <row r="4895" spans="18:19">
      <c r="R4895" s="178"/>
      <c r="S4895" s="178"/>
    </row>
    <row r="4896" spans="18:19">
      <c r="R4896" s="178"/>
      <c r="S4896" s="178"/>
    </row>
    <row r="4897" spans="18:19">
      <c r="R4897" s="178"/>
      <c r="S4897" s="178"/>
    </row>
    <row r="4898" spans="18:19">
      <c r="R4898" s="178"/>
      <c r="S4898" s="178"/>
    </row>
    <row r="4899" spans="18:19">
      <c r="R4899" s="178"/>
      <c r="S4899" s="178"/>
    </row>
    <row r="4900" spans="18:19">
      <c r="R4900" s="178"/>
      <c r="S4900" s="178"/>
    </row>
    <row r="4901" spans="18:19">
      <c r="R4901" s="178"/>
      <c r="S4901" s="178"/>
    </row>
    <row r="4902" spans="18:19">
      <c r="R4902" s="178"/>
      <c r="S4902" s="178"/>
    </row>
    <row r="4903" spans="18:19">
      <c r="R4903" s="178"/>
      <c r="S4903" s="178"/>
    </row>
    <row r="4904" spans="18:19">
      <c r="R4904" s="178"/>
      <c r="S4904" s="178"/>
    </row>
    <row r="4905" spans="18:19">
      <c r="R4905" s="178"/>
      <c r="S4905" s="178"/>
    </row>
    <row r="4906" spans="18:19">
      <c r="R4906" s="178"/>
      <c r="S4906" s="178"/>
    </row>
    <row r="4907" spans="18:19">
      <c r="R4907" s="178"/>
      <c r="S4907" s="178"/>
    </row>
    <row r="4908" spans="18:19">
      <c r="R4908" s="178"/>
      <c r="S4908" s="178"/>
    </row>
    <row r="4909" spans="18:19">
      <c r="R4909" s="178"/>
      <c r="S4909" s="178"/>
    </row>
    <row r="4910" spans="18:19">
      <c r="R4910" s="178"/>
      <c r="S4910" s="178"/>
    </row>
    <row r="4911" spans="18:19">
      <c r="R4911" s="178"/>
      <c r="S4911" s="178"/>
    </row>
    <row r="4912" spans="18:19">
      <c r="R4912" s="178"/>
      <c r="S4912" s="178"/>
    </row>
    <row r="4913" spans="18:19">
      <c r="R4913" s="178"/>
      <c r="S4913" s="178"/>
    </row>
    <row r="4914" spans="18:19">
      <c r="R4914" s="178"/>
      <c r="S4914" s="178"/>
    </row>
    <row r="4915" spans="18:19">
      <c r="R4915" s="178"/>
      <c r="S4915" s="178"/>
    </row>
    <row r="4916" spans="18:19">
      <c r="R4916" s="178"/>
      <c r="S4916" s="178"/>
    </row>
    <row r="4917" spans="18:19">
      <c r="R4917" s="178"/>
      <c r="S4917" s="178"/>
    </row>
    <row r="4918" spans="18:19">
      <c r="R4918" s="178"/>
      <c r="S4918" s="178"/>
    </row>
    <row r="4919" spans="18:19">
      <c r="R4919" s="178"/>
      <c r="S4919" s="178"/>
    </row>
    <row r="4920" spans="18:19">
      <c r="R4920" s="178"/>
      <c r="S4920" s="178"/>
    </row>
    <row r="4921" spans="18:19">
      <c r="R4921" s="178"/>
      <c r="S4921" s="178"/>
    </row>
    <row r="4922" spans="18:19">
      <c r="R4922" s="178"/>
      <c r="S4922" s="178"/>
    </row>
    <row r="4923" spans="18:19">
      <c r="R4923" s="178"/>
      <c r="S4923" s="178"/>
    </row>
    <row r="4924" spans="18:19">
      <c r="R4924" s="178"/>
      <c r="S4924" s="178"/>
    </row>
    <row r="4925" spans="18:19">
      <c r="R4925" s="178"/>
      <c r="S4925" s="178"/>
    </row>
    <row r="4926" spans="18:19">
      <c r="R4926" s="178"/>
      <c r="S4926" s="178"/>
    </row>
    <row r="4927" spans="18:19">
      <c r="R4927" s="178"/>
      <c r="S4927" s="178"/>
    </row>
    <row r="4928" spans="18:19">
      <c r="R4928" s="178"/>
      <c r="S4928" s="178"/>
    </row>
    <row r="4929" spans="18:19">
      <c r="R4929" s="178"/>
      <c r="S4929" s="178"/>
    </row>
    <row r="4930" spans="18:19">
      <c r="R4930" s="178"/>
      <c r="S4930" s="178"/>
    </row>
    <row r="4931" spans="18:19">
      <c r="R4931" s="178"/>
      <c r="S4931" s="178"/>
    </row>
    <row r="4932" spans="18:19">
      <c r="R4932" s="178"/>
      <c r="S4932" s="178"/>
    </row>
    <row r="4933" spans="18:19">
      <c r="R4933" s="178"/>
      <c r="S4933" s="178"/>
    </row>
    <row r="4934" spans="18:19">
      <c r="R4934" s="178"/>
      <c r="S4934" s="178"/>
    </row>
    <row r="4935" spans="18:19">
      <c r="R4935" s="178"/>
      <c r="S4935" s="178"/>
    </row>
    <row r="4936" spans="18:19">
      <c r="R4936" s="178"/>
      <c r="S4936" s="178"/>
    </row>
    <row r="4937" spans="18:19">
      <c r="R4937" s="178"/>
      <c r="S4937" s="178"/>
    </row>
    <row r="4938" spans="18:19">
      <c r="R4938" s="178"/>
      <c r="S4938" s="178"/>
    </row>
    <row r="4939" spans="18:19">
      <c r="R4939" s="178"/>
      <c r="S4939" s="178"/>
    </row>
    <row r="4940" spans="18:19">
      <c r="R4940" s="178"/>
      <c r="S4940" s="178"/>
    </row>
    <row r="4941" spans="18:19">
      <c r="R4941" s="178"/>
      <c r="S4941" s="178"/>
    </row>
    <row r="4942" spans="18:19">
      <c r="R4942" s="178"/>
      <c r="S4942" s="178"/>
    </row>
    <row r="4943" spans="18:19">
      <c r="R4943" s="178"/>
      <c r="S4943" s="178"/>
    </row>
    <row r="4944" spans="18:19">
      <c r="R4944" s="178"/>
      <c r="S4944" s="178"/>
    </row>
    <row r="4945" spans="18:19">
      <c r="R4945" s="178"/>
      <c r="S4945" s="178"/>
    </row>
    <row r="4946" spans="18:19">
      <c r="R4946" s="178"/>
      <c r="S4946" s="178"/>
    </row>
    <row r="4947" spans="18:19">
      <c r="R4947" s="178"/>
      <c r="S4947" s="178"/>
    </row>
    <row r="4948" spans="18:19">
      <c r="R4948" s="178"/>
      <c r="S4948" s="178"/>
    </row>
    <row r="4949" spans="18:19">
      <c r="R4949" s="178"/>
      <c r="S4949" s="178"/>
    </row>
    <row r="4950" spans="18:19">
      <c r="R4950" s="178"/>
      <c r="S4950" s="178"/>
    </row>
    <row r="4951" spans="18:19">
      <c r="R4951" s="178"/>
      <c r="S4951" s="178"/>
    </row>
    <row r="4952" spans="18:19">
      <c r="R4952" s="178"/>
      <c r="S4952" s="178"/>
    </row>
    <row r="4953" spans="18:19">
      <c r="R4953" s="178"/>
      <c r="S4953" s="178"/>
    </row>
    <row r="4954" spans="18:19">
      <c r="R4954" s="178"/>
      <c r="S4954" s="178"/>
    </row>
    <row r="4955" spans="18:19">
      <c r="R4955" s="178"/>
      <c r="S4955" s="178"/>
    </row>
    <row r="4956" spans="18:19">
      <c r="R4956" s="178"/>
      <c r="S4956" s="178"/>
    </row>
    <row r="4957" spans="18:19">
      <c r="R4957" s="178"/>
      <c r="S4957" s="178"/>
    </row>
    <row r="4958" spans="18:19">
      <c r="R4958" s="178"/>
      <c r="S4958" s="178"/>
    </row>
    <row r="4959" spans="18:19">
      <c r="R4959" s="178"/>
      <c r="S4959" s="178"/>
    </row>
    <row r="4960" spans="18:19">
      <c r="R4960" s="178"/>
      <c r="S4960" s="178"/>
    </row>
    <row r="4961" spans="18:19">
      <c r="R4961" s="178"/>
      <c r="S4961" s="178"/>
    </row>
    <row r="4962" spans="18:19">
      <c r="R4962" s="178"/>
      <c r="S4962" s="178"/>
    </row>
    <row r="4963" spans="18:19">
      <c r="R4963" s="178"/>
      <c r="S4963" s="178"/>
    </row>
    <row r="4964" spans="18:19">
      <c r="R4964" s="178"/>
      <c r="S4964" s="178"/>
    </row>
    <row r="4965" spans="18:19">
      <c r="R4965" s="178"/>
      <c r="S4965" s="178"/>
    </row>
    <row r="4966" spans="18:19">
      <c r="R4966" s="178"/>
      <c r="S4966" s="178"/>
    </row>
    <row r="4967" spans="18:19">
      <c r="R4967" s="178"/>
      <c r="S4967" s="178"/>
    </row>
    <row r="4968" spans="18:19">
      <c r="R4968" s="178"/>
      <c r="S4968" s="178"/>
    </row>
    <row r="4969" spans="18:19">
      <c r="R4969" s="178"/>
      <c r="S4969" s="178"/>
    </row>
    <row r="4970" spans="18:19">
      <c r="R4970" s="178"/>
      <c r="S4970" s="178"/>
    </row>
    <row r="4971" spans="18:19">
      <c r="R4971" s="178"/>
      <c r="S4971" s="178"/>
    </row>
    <row r="4972" spans="18:19">
      <c r="R4972" s="178"/>
      <c r="S4972" s="178"/>
    </row>
    <row r="4973" spans="18:19">
      <c r="R4973" s="178"/>
      <c r="S4973" s="178"/>
    </row>
    <row r="4974" spans="18:19">
      <c r="R4974" s="178"/>
      <c r="S4974" s="178"/>
    </row>
    <row r="4975" spans="18:19">
      <c r="R4975" s="178"/>
      <c r="S4975" s="178"/>
    </row>
    <row r="4976" spans="18:19">
      <c r="R4976" s="178"/>
      <c r="S4976" s="178"/>
    </row>
    <row r="4977" spans="18:19">
      <c r="R4977" s="178"/>
      <c r="S4977" s="178"/>
    </row>
    <row r="4978" spans="18:19">
      <c r="R4978" s="178"/>
      <c r="S4978" s="178"/>
    </row>
    <row r="4979" spans="18:19">
      <c r="R4979" s="178"/>
      <c r="S4979" s="178"/>
    </row>
    <row r="4980" spans="18:19">
      <c r="R4980" s="178"/>
      <c r="S4980" s="178"/>
    </row>
    <row r="4981" spans="18:19">
      <c r="R4981" s="178"/>
      <c r="S4981" s="178"/>
    </row>
    <row r="4982" spans="18:19">
      <c r="R4982" s="178"/>
      <c r="S4982" s="178"/>
    </row>
    <row r="4983" spans="18:19">
      <c r="R4983" s="178"/>
      <c r="S4983" s="178"/>
    </row>
    <row r="4984" spans="18:19">
      <c r="R4984" s="178"/>
      <c r="S4984" s="178"/>
    </row>
    <row r="4985" spans="18:19">
      <c r="R4985" s="178"/>
      <c r="S4985" s="178"/>
    </row>
    <row r="4986" spans="18:19">
      <c r="R4986" s="178"/>
      <c r="S4986" s="178"/>
    </row>
    <row r="4987" spans="18:19">
      <c r="R4987" s="178"/>
      <c r="S4987" s="178"/>
    </row>
    <row r="4988" spans="18:19">
      <c r="R4988" s="178"/>
      <c r="S4988" s="178"/>
    </row>
    <row r="4989" spans="18:19">
      <c r="R4989" s="178"/>
      <c r="S4989" s="178"/>
    </row>
    <row r="4990" spans="18:19">
      <c r="R4990" s="178"/>
      <c r="S4990" s="178"/>
    </row>
    <row r="4991" spans="18:19">
      <c r="R4991" s="178"/>
      <c r="S4991" s="178"/>
    </row>
    <row r="4992" spans="18:19">
      <c r="R4992" s="178"/>
      <c r="S4992" s="178"/>
    </row>
    <row r="4993" spans="18:19">
      <c r="R4993" s="178"/>
      <c r="S4993" s="178"/>
    </row>
    <row r="4994" spans="18:19">
      <c r="R4994" s="178"/>
      <c r="S4994" s="178"/>
    </row>
    <row r="4995" spans="18:19">
      <c r="R4995" s="178"/>
      <c r="S4995" s="178"/>
    </row>
    <row r="4996" spans="18:19">
      <c r="R4996" s="178"/>
      <c r="S4996" s="178"/>
    </row>
    <row r="4997" spans="18:19">
      <c r="R4997" s="178"/>
      <c r="S4997" s="178"/>
    </row>
    <row r="4998" spans="18:19">
      <c r="R4998" s="178"/>
      <c r="S4998" s="178"/>
    </row>
    <row r="4999" spans="18:19">
      <c r="R4999" s="178"/>
      <c r="S4999" s="178"/>
    </row>
    <row r="5000" spans="18:19">
      <c r="R5000" s="178"/>
      <c r="S5000" s="178"/>
    </row>
    <row r="5001" spans="18:19">
      <c r="R5001" s="178"/>
      <c r="S5001" s="178"/>
    </row>
    <row r="5002" spans="18:19">
      <c r="R5002" s="178"/>
      <c r="S5002" s="178"/>
    </row>
    <row r="5003" spans="18:19">
      <c r="R5003" s="178"/>
      <c r="S5003" s="178"/>
    </row>
    <row r="5004" spans="18:19">
      <c r="R5004" s="178"/>
      <c r="S5004" s="178"/>
    </row>
    <row r="5005" spans="18:19">
      <c r="R5005" s="178"/>
      <c r="S5005" s="178"/>
    </row>
    <row r="5006" spans="18:19">
      <c r="R5006" s="178"/>
      <c r="S5006" s="178"/>
    </row>
    <row r="5007" spans="18:19">
      <c r="R5007" s="178"/>
      <c r="S5007" s="178"/>
    </row>
    <row r="5008" spans="18:19">
      <c r="R5008" s="178"/>
      <c r="S5008" s="178"/>
    </row>
    <row r="5009" spans="18:19">
      <c r="R5009" s="178"/>
      <c r="S5009" s="178"/>
    </row>
    <row r="5010" spans="18:19">
      <c r="R5010" s="178"/>
      <c r="S5010" s="178"/>
    </row>
    <row r="5011" spans="18:19">
      <c r="R5011" s="178"/>
      <c r="S5011" s="178"/>
    </row>
    <row r="5012" spans="18:19">
      <c r="R5012" s="178"/>
      <c r="S5012" s="178"/>
    </row>
    <row r="5013" spans="18:19">
      <c r="R5013" s="178"/>
      <c r="S5013" s="178"/>
    </row>
    <row r="5014" spans="18:19">
      <c r="R5014" s="178"/>
      <c r="S5014" s="178"/>
    </row>
    <row r="5015" spans="18:19">
      <c r="R5015" s="178"/>
      <c r="S5015" s="178"/>
    </row>
    <row r="5016" spans="18:19">
      <c r="R5016" s="178"/>
      <c r="S5016" s="178"/>
    </row>
    <row r="5017" spans="18:19">
      <c r="R5017" s="178"/>
      <c r="S5017" s="178"/>
    </row>
    <row r="5018" spans="18:19">
      <c r="R5018" s="178"/>
      <c r="S5018" s="178"/>
    </row>
    <row r="5019" spans="18:19">
      <c r="R5019" s="178"/>
      <c r="S5019" s="178"/>
    </row>
    <row r="5020" spans="18:19">
      <c r="R5020" s="178"/>
      <c r="S5020" s="178"/>
    </row>
    <row r="5021" spans="18:19">
      <c r="R5021" s="178"/>
      <c r="S5021" s="178"/>
    </row>
    <row r="5022" spans="18:19">
      <c r="R5022" s="178"/>
      <c r="S5022" s="178"/>
    </row>
    <row r="5023" spans="18:19">
      <c r="R5023" s="178"/>
      <c r="S5023" s="178"/>
    </row>
    <row r="5024" spans="18:19">
      <c r="R5024" s="178"/>
      <c r="S5024" s="178"/>
    </row>
    <row r="5025" spans="18:19">
      <c r="R5025" s="178"/>
      <c r="S5025" s="178"/>
    </row>
    <row r="5026" spans="18:19">
      <c r="R5026" s="178"/>
      <c r="S5026" s="178"/>
    </row>
    <row r="5027" spans="18:19">
      <c r="R5027" s="178"/>
      <c r="S5027" s="178"/>
    </row>
    <row r="5028" spans="18:19">
      <c r="R5028" s="178"/>
      <c r="S5028" s="178"/>
    </row>
    <row r="5029" spans="18:19">
      <c r="R5029" s="178"/>
      <c r="S5029" s="178"/>
    </row>
    <row r="5030" spans="18:19">
      <c r="R5030" s="178"/>
      <c r="S5030" s="178"/>
    </row>
    <row r="5031" spans="18:19">
      <c r="R5031" s="178"/>
      <c r="S5031" s="178"/>
    </row>
    <row r="5032" spans="18:19">
      <c r="R5032" s="178"/>
      <c r="S5032" s="178"/>
    </row>
    <row r="5033" spans="18:19">
      <c r="R5033" s="178"/>
      <c r="S5033" s="178"/>
    </row>
    <row r="5034" spans="18:19">
      <c r="R5034" s="178"/>
      <c r="S5034" s="178"/>
    </row>
    <row r="5035" spans="18:19">
      <c r="R5035" s="178"/>
      <c r="S5035" s="178"/>
    </row>
    <row r="5036" spans="18:19">
      <c r="R5036" s="178"/>
      <c r="S5036" s="178"/>
    </row>
    <row r="5037" spans="18:19">
      <c r="R5037" s="178"/>
      <c r="S5037" s="178"/>
    </row>
    <row r="5038" spans="18:19">
      <c r="R5038" s="178"/>
      <c r="S5038" s="178"/>
    </row>
    <row r="5039" spans="18:19">
      <c r="R5039" s="178"/>
      <c r="S5039" s="178"/>
    </row>
    <row r="5040" spans="18:19">
      <c r="R5040" s="178"/>
      <c r="S5040" s="178"/>
    </row>
    <row r="5041" spans="18:19">
      <c r="R5041" s="178"/>
      <c r="S5041" s="178"/>
    </row>
    <row r="5042" spans="18:19">
      <c r="R5042" s="178"/>
      <c r="S5042" s="178"/>
    </row>
    <row r="5043" spans="18:19">
      <c r="R5043" s="178"/>
      <c r="S5043" s="178"/>
    </row>
    <row r="5044" spans="18:19">
      <c r="R5044" s="178"/>
      <c r="S5044" s="178"/>
    </row>
    <row r="5045" spans="18:19">
      <c r="R5045" s="178"/>
      <c r="S5045" s="178"/>
    </row>
    <row r="5046" spans="18:19">
      <c r="R5046" s="178"/>
      <c r="S5046" s="178"/>
    </row>
    <row r="5047" spans="18:19">
      <c r="R5047" s="178"/>
      <c r="S5047" s="178"/>
    </row>
    <row r="5048" spans="18:19">
      <c r="R5048" s="178"/>
      <c r="S5048" s="178"/>
    </row>
    <row r="5049" spans="18:19">
      <c r="R5049" s="178"/>
      <c r="S5049" s="178"/>
    </row>
    <row r="5050" spans="18:19">
      <c r="R5050" s="178"/>
      <c r="S5050" s="178"/>
    </row>
    <row r="5051" spans="18:19">
      <c r="R5051" s="178"/>
      <c r="S5051" s="178"/>
    </row>
    <row r="5052" spans="18:19">
      <c r="R5052" s="178"/>
      <c r="S5052" s="178"/>
    </row>
    <row r="5053" spans="18:19">
      <c r="R5053" s="178"/>
      <c r="S5053" s="178"/>
    </row>
    <row r="5054" spans="18:19">
      <c r="R5054" s="178"/>
      <c r="S5054" s="178"/>
    </row>
    <row r="5055" spans="18:19">
      <c r="R5055" s="178"/>
      <c r="S5055" s="178"/>
    </row>
    <row r="5056" spans="18:19">
      <c r="R5056" s="178"/>
      <c r="S5056" s="178"/>
    </row>
    <row r="5057" spans="18:19">
      <c r="R5057" s="178"/>
      <c r="S5057" s="178"/>
    </row>
    <row r="5058" spans="18:19">
      <c r="R5058" s="178"/>
      <c r="S5058" s="178"/>
    </row>
    <row r="5059" spans="18:19">
      <c r="R5059" s="178"/>
      <c r="S5059" s="178"/>
    </row>
    <row r="5060" spans="18:19">
      <c r="R5060" s="178"/>
      <c r="S5060" s="178"/>
    </row>
    <row r="5061" spans="18:19">
      <c r="R5061" s="178"/>
      <c r="S5061" s="178"/>
    </row>
    <row r="5062" spans="18:19">
      <c r="R5062" s="178"/>
      <c r="S5062" s="178"/>
    </row>
    <row r="5063" spans="18:19">
      <c r="R5063" s="178"/>
      <c r="S5063" s="178"/>
    </row>
    <row r="5064" spans="18:19">
      <c r="R5064" s="178"/>
      <c r="S5064" s="178"/>
    </row>
    <row r="5065" spans="18:19">
      <c r="R5065" s="178"/>
      <c r="S5065" s="178"/>
    </row>
    <row r="5066" spans="18:19">
      <c r="R5066" s="178"/>
      <c r="S5066" s="178"/>
    </row>
    <row r="5067" spans="18:19">
      <c r="R5067" s="178"/>
      <c r="S5067" s="178"/>
    </row>
    <row r="5068" spans="18:19">
      <c r="R5068" s="178"/>
      <c r="S5068" s="178"/>
    </row>
    <row r="5069" spans="18:19">
      <c r="R5069" s="178"/>
      <c r="S5069" s="178"/>
    </row>
    <row r="5070" spans="18:19">
      <c r="R5070" s="178"/>
      <c r="S5070" s="178"/>
    </row>
    <row r="5071" spans="18:19">
      <c r="R5071" s="178"/>
      <c r="S5071" s="178"/>
    </row>
    <row r="5072" spans="18:19">
      <c r="R5072" s="178"/>
      <c r="S5072" s="178"/>
    </row>
    <row r="5073" spans="18:19">
      <c r="R5073" s="178"/>
      <c r="S5073" s="178"/>
    </row>
    <row r="5074" spans="18:19">
      <c r="R5074" s="178"/>
      <c r="S5074" s="178"/>
    </row>
    <row r="5075" spans="18:19">
      <c r="R5075" s="178"/>
      <c r="S5075" s="178"/>
    </row>
    <row r="5076" spans="18:19">
      <c r="R5076" s="178"/>
      <c r="S5076" s="178"/>
    </row>
    <row r="5077" spans="18:19">
      <c r="R5077" s="178"/>
      <c r="S5077" s="178"/>
    </row>
    <row r="5078" spans="18:19">
      <c r="R5078" s="178"/>
      <c r="S5078" s="178"/>
    </row>
    <row r="5079" spans="18:19">
      <c r="R5079" s="178"/>
      <c r="S5079" s="178"/>
    </row>
    <row r="5080" spans="18:19">
      <c r="R5080" s="178"/>
      <c r="S5080" s="178"/>
    </row>
    <row r="5081" spans="18:19">
      <c r="R5081" s="178"/>
      <c r="S5081" s="178"/>
    </row>
    <row r="5082" spans="18:19">
      <c r="R5082" s="178"/>
      <c r="S5082" s="178"/>
    </row>
    <row r="5083" spans="18:19">
      <c r="R5083" s="178"/>
      <c r="S5083" s="178"/>
    </row>
    <row r="5084" spans="18:19">
      <c r="R5084" s="178"/>
      <c r="S5084" s="178"/>
    </row>
    <row r="5085" spans="18:19">
      <c r="R5085" s="178"/>
      <c r="S5085" s="178"/>
    </row>
    <row r="5086" spans="18:19">
      <c r="R5086" s="178"/>
      <c r="S5086" s="178"/>
    </row>
    <row r="5087" spans="18:19">
      <c r="R5087" s="178"/>
      <c r="S5087" s="178"/>
    </row>
    <row r="5088" spans="18:19">
      <c r="R5088" s="178"/>
      <c r="S5088" s="178"/>
    </row>
    <row r="5089" spans="18:19">
      <c r="R5089" s="178"/>
      <c r="S5089" s="178"/>
    </row>
    <row r="5090" spans="18:19">
      <c r="R5090" s="178"/>
      <c r="S5090" s="178"/>
    </row>
    <row r="5091" spans="18:19">
      <c r="R5091" s="178"/>
      <c r="S5091" s="178"/>
    </row>
    <row r="5092" spans="18:19">
      <c r="R5092" s="178"/>
      <c r="S5092" s="178"/>
    </row>
    <row r="5093" spans="18:19">
      <c r="R5093" s="178"/>
      <c r="S5093" s="178"/>
    </row>
    <row r="5094" spans="18:19">
      <c r="R5094" s="178"/>
      <c r="S5094" s="178"/>
    </row>
    <row r="5095" spans="18:19">
      <c r="R5095" s="178"/>
      <c r="S5095" s="178"/>
    </row>
    <row r="5096" spans="18:19">
      <c r="R5096" s="178"/>
      <c r="S5096" s="178"/>
    </row>
    <row r="5097" spans="18:19">
      <c r="R5097" s="178"/>
      <c r="S5097" s="178"/>
    </row>
    <row r="5098" spans="18:19">
      <c r="R5098" s="178"/>
      <c r="S5098" s="178"/>
    </row>
    <row r="5099" spans="18:19">
      <c r="R5099" s="178"/>
      <c r="S5099" s="178"/>
    </row>
    <row r="5100" spans="18:19">
      <c r="R5100" s="178"/>
      <c r="S5100" s="178"/>
    </row>
    <row r="5101" spans="18:19">
      <c r="R5101" s="178"/>
      <c r="S5101" s="178"/>
    </row>
    <row r="5102" spans="18:19">
      <c r="R5102" s="178"/>
      <c r="S5102" s="178"/>
    </row>
    <row r="5103" spans="18:19">
      <c r="R5103" s="178"/>
      <c r="S5103" s="178"/>
    </row>
    <row r="5104" spans="18:19">
      <c r="R5104" s="178"/>
      <c r="S5104" s="178"/>
    </row>
    <row r="5105" spans="18:19">
      <c r="R5105" s="178"/>
      <c r="S5105" s="178"/>
    </row>
    <row r="5106" spans="18:19">
      <c r="R5106" s="178"/>
      <c r="S5106" s="178"/>
    </row>
    <row r="5107" spans="18:19">
      <c r="R5107" s="178"/>
      <c r="S5107" s="178"/>
    </row>
    <row r="5108" spans="18:19">
      <c r="R5108" s="178"/>
      <c r="S5108" s="178"/>
    </row>
    <row r="5109" spans="18:19">
      <c r="R5109" s="178"/>
      <c r="S5109" s="178"/>
    </row>
    <row r="5110" spans="18:19">
      <c r="R5110" s="178"/>
      <c r="S5110" s="178"/>
    </row>
    <row r="5111" spans="18:19">
      <c r="R5111" s="178"/>
      <c r="S5111" s="178"/>
    </row>
    <row r="5112" spans="18:19">
      <c r="R5112" s="178"/>
      <c r="S5112" s="178"/>
    </row>
    <row r="5113" spans="18:19">
      <c r="R5113" s="178"/>
      <c r="S5113" s="178"/>
    </row>
    <row r="5114" spans="18:19">
      <c r="R5114" s="178"/>
      <c r="S5114" s="178"/>
    </row>
    <row r="5115" spans="18:19">
      <c r="R5115" s="178"/>
      <c r="S5115" s="178"/>
    </row>
    <row r="5116" spans="18:19">
      <c r="R5116" s="178"/>
      <c r="S5116" s="178"/>
    </row>
    <row r="5117" spans="18:19">
      <c r="R5117" s="178"/>
      <c r="S5117" s="178"/>
    </row>
    <row r="5118" spans="18:19">
      <c r="R5118" s="178"/>
      <c r="S5118" s="178"/>
    </row>
    <row r="5119" spans="18:19">
      <c r="R5119" s="178"/>
      <c r="S5119" s="178"/>
    </row>
    <row r="5120" spans="18:19">
      <c r="R5120" s="178"/>
      <c r="S5120" s="178"/>
    </row>
    <row r="5121" spans="18:19">
      <c r="R5121" s="178"/>
      <c r="S5121" s="178"/>
    </row>
    <row r="5122" spans="18:19">
      <c r="R5122" s="178"/>
      <c r="S5122" s="178"/>
    </row>
    <row r="5123" spans="18:19">
      <c r="R5123" s="178"/>
      <c r="S5123" s="178"/>
    </row>
    <row r="5124" spans="18:19">
      <c r="R5124" s="178"/>
      <c r="S5124" s="178"/>
    </row>
    <row r="5125" spans="18:19">
      <c r="R5125" s="178"/>
      <c r="S5125" s="178"/>
    </row>
    <row r="5126" spans="18:19">
      <c r="R5126" s="178"/>
      <c r="S5126" s="178"/>
    </row>
    <row r="5127" spans="18:19">
      <c r="R5127" s="178"/>
      <c r="S5127" s="178"/>
    </row>
    <row r="5128" spans="18:19">
      <c r="R5128" s="178"/>
      <c r="S5128" s="178"/>
    </row>
    <row r="5129" spans="18:19">
      <c r="R5129" s="178"/>
      <c r="S5129" s="178"/>
    </row>
    <row r="5130" spans="18:19">
      <c r="R5130" s="178"/>
      <c r="S5130" s="178"/>
    </row>
    <row r="5131" spans="18:19">
      <c r="R5131" s="178"/>
      <c r="S5131" s="178"/>
    </row>
    <row r="5132" spans="18:19">
      <c r="R5132" s="178"/>
      <c r="S5132" s="178"/>
    </row>
    <row r="5133" spans="18:19">
      <c r="R5133" s="178"/>
      <c r="S5133" s="178"/>
    </row>
    <row r="5134" spans="18:19">
      <c r="R5134" s="178"/>
      <c r="S5134" s="178"/>
    </row>
    <row r="5135" spans="18:19">
      <c r="R5135" s="178"/>
      <c r="S5135" s="178"/>
    </row>
    <row r="5136" spans="18:19">
      <c r="R5136" s="178"/>
      <c r="S5136" s="178"/>
    </row>
    <row r="5137" spans="18:19">
      <c r="R5137" s="178"/>
      <c r="S5137" s="178"/>
    </row>
    <row r="5138" spans="18:19">
      <c r="R5138" s="178"/>
      <c r="S5138" s="178"/>
    </row>
    <row r="5139" spans="18:19">
      <c r="R5139" s="178"/>
      <c r="S5139" s="178"/>
    </row>
    <row r="5140" spans="18:19">
      <c r="R5140" s="178"/>
      <c r="S5140" s="178"/>
    </row>
    <row r="5141" spans="18:19">
      <c r="R5141" s="178"/>
      <c r="S5141" s="178"/>
    </row>
    <row r="5142" spans="18:19">
      <c r="R5142" s="178"/>
      <c r="S5142" s="178"/>
    </row>
    <row r="5143" spans="18:19">
      <c r="R5143" s="178"/>
      <c r="S5143" s="178"/>
    </row>
    <row r="5144" spans="18:19">
      <c r="R5144" s="178"/>
      <c r="S5144" s="178"/>
    </row>
    <row r="5145" spans="18:19">
      <c r="R5145" s="178"/>
      <c r="S5145" s="178"/>
    </row>
    <row r="5146" spans="18:19">
      <c r="R5146" s="178"/>
      <c r="S5146" s="178"/>
    </row>
    <row r="5147" spans="18:19">
      <c r="R5147" s="178"/>
      <c r="S5147" s="178"/>
    </row>
    <row r="5148" spans="18:19">
      <c r="R5148" s="178"/>
      <c r="S5148" s="178"/>
    </row>
    <row r="5149" spans="18:19">
      <c r="R5149" s="178"/>
      <c r="S5149" s="178"/>
    </row>
    <row r="5150" spans="18:19">
      <c r="R5150" s="178"/>
      <c r="S5150" s="178"/>
    </row>
    <row r="5151" spans="18:19">
      <c r="R5151" s="178"/>
      <c r="S5151" s="178"/>
    </row>
    <row r="5152" spans="18:19">
      <c r="R5152" s="178"/>
      <c r="S5152" s="178"/>
    </row>
    <row r="5153" spans="18:19">
      <c r="R5153" s="178"/>
      <c r="S5153" s="178"/>
    </row>
    <row r="5154" spans="18:19">
      <c r="R5154" s="178"/>
      <c r="S5154" s="178"/>
    </row>
    <row r="5155" spans="18:19">
      <c r="R5155" s="178"/>
      <c r="S5155" s="178"/>
    </row>
    <row r="5156" spans="18:19">
      <c r="R5156" s="178"/>
      <c r="S5156" s="178"/>
    </row>
    <row r="5157" spans="18:19">
      <c r="R5157" s="178"/>
      <c r="S5157" s="178"/>
    </row>
    <row r="5158" spans="18:19">
      <c r="R5158" s="178"/>
      <c r="S5158" s="178"/>
    </row>
    <row r="5159" spans="18:19">
      <c r="R5159" s="178"/>
      <c r="S5159" s="178"/>
    </row>
    <row r="5160" spans="18:19">
      <c r="R5160" s="178"/>
      <c r="S5160" s="178"/>
    </row>
    <row r="5161" spans="18:19">
      <c r="R5161" s="178"/>
      <c r="S5161" s="178"/>
    </row>
    <row r="5162" spans="18:19">
      <c r="R5162" s="178"/>
      <c r="S5162" s="178"/>
    </row>
    <row r="5163" spans="18:19">
      <c r="R5163" s="178"/>
      <c r="S5163" s="178"/>
    </row>
    <row r="5164" spans="18:19">
      <c r="R5164" s="178"/>
      <c r="S5164" s="178"/>
    </row>
    <row r="5165" spans="18:19">
      <c r="R5165" s="178"/>
      <c r="S5165" s="178"/>
    </row>
    <row r="5166" spans="18:19">
      <c r="R5166" s="178"/>
      <c r="S5166" s="178"/>
    </row>
    <row r="5167" spans="18:19">
      <c r="R5167" s="178"/>
      <c r="S5167" s="178"/>
    </row>
    <row r="5168" spans="18:19">
      <c r="R5168" s="178"/>
      <c r="S5168" s="178"/>
    </row>
    <row r="5169" spans="18:19">
      <c r="R5169" s="178"/>
      <c r="S5169" s="178"/>
    </row>
    <row r="5170" spans="18:19">
      <c r="R5170" s="178"/>
      <c r="S5170" s="178"/>
    </row>
    <row r="5171" spans="18:19">
      <c r="R5171" s="178"/>
      <c r="S5171" s="178"/>
    </row>
    <row r="5172" spans="18:19">
      <c r="R5172" s="178"/>
      <c r="S5172" s="178"/>
    </row>
    <row r="5173" spans="18:19">
      <c r="R5173" s="178"/>
      <c r="S5173" s="178"/>
    </row>
    <row r="5174" spans="18:19">
      <c r="R5174" s="178"/>
      <c r="S5174" s="178"/>
    </row>
    <row r="5175" spans="18:19">
      <c r="R5175" s="178"/>
      <c r="S5175" s="178"/>
    </row>
    <row r="5176" spans="18:19">
      <c r="R5176" s="178"/>
      <c r="S5176" s="178"/>
    </row>
    <row r="5177" spans="18:19">
      <c r="R5177" s="178"/>
      <c r="S5177" s="178"/>
    </row>
    <row r="5178" spans="18:19">
      <c r="R5178" s="178"/>
      <c r="S5178" s="178"/>
    </row>
    <row r="5179" spans="18:19">
      <c r="R5179" s="178"/>
      <c r="S5179" s="178"/>
    </row>
    <row r="5180" spans="18:19">
      <c r="R5180" s="178"/>
      <c r="S5180" s="178"/>
    </row>
    <row r="5181" spans="18:19">
      <c r="R5181" s="178"/>
      <c r="S5181" s="178"/>
    </row>
    <row r="5182" spans="18:19">
      <c r="R5182" s="178"/>
      <c r="S5182" s="178"/>
    </row>
    <row r="5183" spans="18:19">
      <c r="R5183" s="178"/>
      <c r="S5183" s="178"/>
    </row>
    <row r="5184" spans="18:19">
      <c r="R5184" s="178"/>
      <c r="S5184" s="178"/>
    </row>
    <row r="5185" spans="18:19">
      <c r="R5185" s="178"/>
      <c r="S5185" s="178"/>
    </row>
    <row r="5186" spans="18:19">
      <c r="R5186" s="178"/>
      <c r="S5186" s="178"/>
    </row>
    <row r="5187" spans="18:19">
      <c r="R5187" s="178"/>
      <c r="S5187" s="178"/>
    </row>
    <row r="5188" spans="18:19">
      <c r="R5188" s="178"/>
      <c r="S5188" s="178"/>
    </row>
    <row r="5189" spans="18:19">
      <c r="R5189" s="178"/>
      <c r="S5189" s="178"/>
    </row>
    <row r="5190" spans="18:19">
      <c r="R5190" s="178"/>
      <c r="S5190" s="178"/>
    </row>
    <row r="5191" spans="18:19">
      <c r="R5191" s="178"/>
      <c r="S5191" s="178"/>
    </row>
    <row r="5192" spans="18:19">
      <c r="R5192" s="178"/>
      <c r="S5192" s="178"/>
    </row>
    <row r="5193" spans="18:19">
      <c r="R5193" s="178"/>
      <c r="S5193" s="178"/>
    </row>
    <row r="5194" spans="18:19">
      <c r="R5194" s="178"/>
      <c r="S5194" s="178"/>
    </row>
    <row r="5195" spans="18:19">
      <c r="R5195" s="178"/>
      <c r="S5195" s="178"/>
    </row>
    <row r="5196" spans="18:19">
      <c r="R5196" s="178"/>
      <c r="S5196" s="178"/>
    </row>
    <row r="5197" spans="18:19">
      <c r="R5197" s="178"/>
      <c r="S5197" s="178"/>
    </row>
    <row r="5198" spans="18:19">
      <c r="R5198" s="178"/>
      <c r="S5198" s="178"/>
    </row>
    <row r="5199" spans="18:19">
      <c r="R5199" s="178"/>
      <c r="S5199" s="178"/>
    </row>
    <row r="5200" spans="18:19">
      <c r="R5200" s="178"/>
      <c r="S5200" s="178"/>
    </row>
    <row r="5201" spans="18:19">
      <c r="R5201" s="178"/>
      <c r="S5201" s="178"/>
    </row>
    <row r="5202" spans="18:19">
      <c r="R5202" s="178"/>
      <c r="S5202" s="178"/>
    </row>
    <row r="5203" spans="18:19">
      <c r="R5203" s="178"/>
      <c r="S5203" s="178"/>
    </row>
    <row r="5204" spans="18:19">
      <c r="R5204" s="178"/>
      <c r="S5204" s="178"/>
    </row>
    <row r="5205" spans="18:19">
      <c r="R5205" s="178"/>
      <c r="S5205" s="178"/>
    </row>
    <row r="5206" spans="18:19">
      <c r="R5206" s="178"/>
      <c r="S5206" s="178"/>
    </row>
    <row r="5207" spans="18:19">
      <c r="R5207" s="178"/>
      <c r="S5207" s="178"/>
    </row>
    <row r="5208" spans="18:19">
      <c r="R5208" s="178"/>
      <c r="S5208" s="178"/>
    </row>
    <row r="5209" spans="18:19">
      <c r="R5209" s="178"/>
      <c r="S5209" s="178"/>
    </row>
    <row r="5210" spans="18:19">
      <c r="R5210" s="178"/>
      <c r="S5210" s="178"/>
    </row>
    <row r="5211" spans="18:19">
      <c r="R5211" s="178"/>
      <c r="S5211" s="178"/>
    </row>
    <row r="5212" spans="18:19">
      <c r="R5212" s="178"/>
      <c r="S5212" s="178"/>
    </row>
    <row r="5213" spans="18:19">
      <c r="R5213" s="178"/>
      <c r="S5213" s="178"/>
    </row>
    <row r="5214" spans="18:19">
      <c r="R5214" s="178"/>
      <c r="S5214" s="178"/>
    </row>
    <row r="5215" spans="18:19">
      <c r="R5215" s="178"/>
      <c r="S5215" s="178"/>
    </row>
    <row r="5216" spans="18:19">
      <c r="R5216" s="178"/>
      <c r="S5216" s="178"/>
    </row>
    <row r="5217" spans="18:19">
      <c r="R5217" s="178"/>
      <c r="S5217" s="178"/>
    </row>
    <row r="5218" spans="18:19">
      <c r="R5218" s="178"/>
      <c r="S5218" s="178"/>
    </row>
    <row r="5219" spans="18:19">
      <c r="R5219" s="178"/>
      <c r="S5219" s="178"/>
    </row>
    <row r="5220" spans="18:19">
      <c r="R5220" s="178"/>
      <c r="S5220" s="178"/>
    </row>
    <row r="5221" spans="18:19">
      <c r="R5221" s="178"/>
      <c r="S5221" s="178"/>
    </row>
    <row r="5222" spans="18:19">
      <c r="R5222" s="178"/>
      <c r="S5222" s="178"/>
    </row>
    <row r="5223" spans="18:19">
      <c r="R5223" s="178"/>
      <c r="S5223" s="178"/>
    </row>
    <row r="5224" spans="18:19">
      <c r="R5224" s="178"/>
      <c r="S5224" s="178"/>
    </row>
    <row r="5225" spans="18:19">
      <c r="R5225" s="178"/>
      <c r="S5225" s="178"/>
    </row>
    <row r="5226" spans="18:19">
      <c r="R5226" s="178"/>
      <c r="S5226" s="178"/>
    </row>
    <row r="5227" spans="18:19">
      <c r="R5227" s="178"/>
      <c r="S5227" s="178"/>
    </row>
    <row r="5228" spans="18:19">
      <c r="R5228" s="178"/>
      <c r="S5228" s="178"/>
    </row>
    <row r="5229" spans="18:19">
      <c r="R5229" s="178"/>
      <c r="S5229" s="178"/>
    </row>
    <row r="5230" spans="18:19">
      <c r="R5230" s="178"/>
      <c r="S5230" s="178"/>
    </row>
    <row r="5231" spans="18:19">
      <c r="R5231" s="178"/>
      <c r="S5231" s="178"/>
    </row>
    <row r="5232" spans="18:19">
      <c r="R5232" s="178"/>
      <c r="S5232" s="178"/>
    </row>
    <row r="5233" spans="18:19">
      <c r="R5233" s="178"/>
      <c r="S5233" s="178"/>
    </row>
    <row r="5234" spans="18:19">
      <c r="R5234" s="178"/>
      <c r="S5234" s="178"/>
    </row>
    <row r="5235" spans="18:19">
      <c r="R5235" s="178"/>
      <c r="S5235" s="178"/>
    </row>
    <row r="5236" spans="18:19">
      <c r="R5236" s="178"/>
      <c r="S5236" s="178"/>
    </row>
    <row r="5237" spans="18:19">
      <c r="R5237" s="178"/>
      <c r="S5237" s="178"/>
    </row>
    <row r="5238" spans="18:19">
      <c r="R5238" s="178"/>
      <c r="S5238" s="178"/>
    </row>
    <row r="5239" spans="18:19">
      <c r="R5239" s="178"/>
      <c r="S5239" s="178"/>
    </row>
    <row r="5240" spans="18:19">
      <c r="R5240" s="178"/>
      <c r="S5240" s="178"/>
    </row>
    <row r="5241" spans="18:19">
      <c r="R5241" s="178"/>
      <c r="S5241" s="178"/>
    </row>
    <row r="5242" spans="18:19">
      <c r="R5242" s="178"/>
      <c r="S5242" s="178"/>
    </row>
    <row r="5243" spans="18:19">
      <c r="R5243" s="178"/>
      <c r="S5243" s="178"/>
    </row>
    <row r="5244" spans="18:19">
      <c r="R5244" s="178"/>
      <c r="S5244" s="178"/>
    </row>
    <row r="5245" spans="18:19">
      <c r="R5245" s="178"/>
      <c r="S5245" s="178"/>
    </row>
    <row r="5246" spans="18:19">
      <c r="R5246" s="178"/>
      <c r="S5246" s="178"/>
    </row>
    <row r="5247" spans="18:19">
      <c r="R5247" s="178"/>
      <c r="S5247" s="178"/>
    </row>
    <row r="5248" spans="18:19">
      <c r="R5248" s="178"/>
      <c r="S5248" s="178"/>
    </row>
    <row r="5249" spans="18:19">
      <c r="R5249" s="178"/>
      <c r="S5249" s="178"/>
    </row>
    <row r="5250" spans="18:19">
      <c r="R5250" s="178"/>
      <c r="S5250" s="178"/>
    </row>
    <row r="5251" spans="18:19">
      <c r="R5251" s="178"/>
      <c r="S5251" s="178"/>
    </row>
    <row r="5252" spans="18:19">
      <c r="R5252" s="178"/>
      <c r="S5252" s="178"/>
    </row>
    <row r="5253" spans="18:19">
      <c r="R5253" s="178"/>
      <c r="S5253" s="178"/>
    </row>
    <row r="5254" spans="18:19">
      <c r="R5254" s="178"/>
      <c r="S5254" s="178"/>
    </row>
    <row r="5255" spans="18:19">
      <c r="R5255" s="178"/>
      <c r="S5255" s="178"/>
    </row>
    <row r="5256" spans="18:19">
      <c r="R5256" s="178"/>
      <c r="S5256" s="178"/>
    </row>
    <row r="5257" spans="18:19">
      <c r="R5257" s="178"/>
      <c r="S5257" s="178"/>
    </row>
    <row r="5258" spans="18:19">
      <c r="R5258" s="178"/>
      <c r="S5258" s="178"/>
    </row>
    <row r="5259" spans="18:19">
      <c r="R5259" s="178"/>
      <c r="S5259" s="178"/>
    </row>
    <row r="5260" spans="18:19">
      <c r="R5260" s="178"/>
      <c r="S5260" s="178"/>
    </row>
    <row r="5261" spans="18:19">
      <c r="R5261" s="178"/>
      <c r="S5261" s="178"/>
    </row>
    <row r="5262" spans="18:19">
      <c r="R5262" s="178"/>
      <c r="S5262" s="178"/>
    </row>
    <row r="5263" spans="18:19">
      <c r="R5263" s="178"/>
      <c r="S5263" s="178"/>
    </row>
    <row r="5264" spans="18:19">
      <c r="R5264" s="178"/>
      <c r="S5264" s="178"/>
    </row>
    <row r="5265" spans="18:19">
      <c r="R5265" s="178"/>
      <c r="S5265" s="178"/>
    </row>
    <row r="5266" spans="18:19">
      <c r="R5266" s="178"/>
      <c r="S5266" s="178"/>
    </row>
    <row r="5267" spans="18:19">
      <c r="R5267" s="178"/>
      <c r="S5267" s="178"/>
    </row>
    <row r="5268" spans="18:19">
      <c r="R5268" s="178"/>
      <c r="S5268" s="178"/>
    </row>
    <row r="5269" spans="18:19">
      <c r="R5269" s="178"/>
      <c r="S5269" s="178"/>
    </row>
    <row r="5270" spans="18:19">
      <c r="R5270" s="178"/>
      <c r="S5270" s="178"/>
    </row>
    <row r="5271" spans="18:19">
      <c r="R5271" s="178"/>
      <c r="S5271" s="178"/>
    </row>
    <row r="5272" spans="18:19">
      <c r="R5272" s="178"/>
      <c r="S5272" s="178"/>
    </row>
    <row r="5273" spans="18:19">
      <c r="R5273" s="178"/>
      <c r="S5273" s="178"/>
    </row>
    <row r="5274" spans="18:19">
      <c r="R5274" s="178"/>
      <c r="S5274" s="178"/>
    </row>
    <row r="5275" spans="18:19">
      <c r="R5275" s="178"/>
      <c r="S5275" s="178"/>
    </row>
    <row r="5276" spans="18:19">
      <c r="R5276" s="178"/>
      <c r="S5276" s="178"/>
    </row>
    <row r="5277" spans="18:19">
      <c r="R5277" s="178"/>
      <c r="S5277" s="178"/>
    </row>
    <row r="5278" spans="18:19">
      <c r="R5278" s="178"/>
      <c r="S5278" s="178"/>
    </row>
    <row r="5279" spans="18:19">
      <c r="R5279" s="178"/>
      <c r="S5279" s="178"/>
    </row>
    <row r="5280" spans="18:19">
      <c r="R5280" s="178"/>
      <c r="S5280" s="178"/>
    </row>
    <row r="5281" spans="18:19">
      <c r="R5281" s="178"/>
      <c r="S5281" s="178"/>
    </row>
    <row r="5282" spans="18:19">
      <c r="R5282" s="178"/>
      <c r="S5282" s="178"/>
    </row>
    <row r="5283" spans="18:19">
      <c r="R5283" s="178"/>
      <c r="S5283" s="178"/>
    </row>
    <row r="5284" spans="18:19">
      <c r="R5284" s="178"/>
      <c r="S5284" s="178"/>
    </row>
    <row r="5285" spans="18:19">
      <c r="R5285" s="178"/>
      <c r="S5285" s="178"/>
    </row>
    <row r="5286" spans="18:19">
      <c r="R5286" s="178"/>
      <c r="S5286" s="178"/>
    </row>
    <row r="5287" spans="18:19">
      <c r="R5287" s="178"/>
      <c r="S5287" s="178"/>
    </row>
    <row r="5288" spans="18:19">
      <c r="R5288" s="178"/>
      <c r="S5288" s="178"/>
    </row>
    <row r="5289" spans="18:19">
      <c r="R5289" s="178"/>
      <c r="S5289" s="178"/>
    </row>
    <row r="5290" spans="18:19">
      <c r="R5290" s="178"/>
      <c r="S5290" s="178"/>
    </row>
    <row r="5291" spans="18:19">
      <c r="R5291" s="178"/>
      <c r="S5291" s="178"/>
    </row>
    <row r="5292" spans="18:19">
      <c r="R5292" s="178"/>
      <c r="S5292" s="178"/>
    </row>
    <row r="5293" spans="18:19">
      <c r="R5293" s="178"/>
      <c r="S5293" s="178"/>
    </row>
    <row r="5294" spans="18:19">
      <c r="R5294" s="178"/>
      <c r="S5294" s="178"/>
    </row>
    <row r="5295" spans="18:19">
      <c r="R5295" s="178"/>
      <c r="S5295" s="178"/>
    </row>
    <row r="5296" spans="18:19">
      <c r="R5296" s="178"/>
      <c r="S5296" s="178"/>
    </row>
    <row r="5297" spans="18:19">
      <c r="R5297" s="178"/>
      <c r="S5297" s="178"/>
    </row>
    <row r="5298" spans="18:19">
      <c r="R5298" s="178"/>
      <c r="S5298" s="178"/>
    </row>
    <row r="5299" spans="18:19">
      <c r="R5299" s="178"/>
      <c r="S5299" s="178"/>
    </row>
    <row r="5300" spans="18:19">
      <c r="R5300" s="178"/>
      <c r="S5300" s="178"/>
    </row>
    <row r="5301" spans="18:19">
      <c r="R5301" s="178"/>
      <c r="S5301" s="178"/>
    </row>
    <row r="5302" spans="18:19">
      <c r="R5302" s="178"/>
      <c r="S5302" s="178"/>
    </row>
    <row r="5303" spans="18:19">
      <c r="R5303" s="178"/>
      <c r="S5303" s="178"/>
    </row>
    <row r="5304" spans="18:19">
      <c r="R5304" s="178"/>
      <c r="S5304" s="178"/>
    </row>
    <row r="5305" spans="18:19">
      <c r="R5305" s="178"/>
      <c r="S5305" s="178"/>
    </row>
    <row r="5306" spans="18:19">
      <c r="R5306" s="178"/>
      <c r="S5306" s="178"/>
    </row>
    <row r="5307" spans="18:19">
      <c r="R5307" s="178"/>
      <c r="S5307" s="178"/>
    </row>
    <row r="5308" spans="18:19">
      <c r="R5308" s="178"/>
      <c r="S5308" s="178"/>
    </row>
    <row r="5309" spans="18:19">
      <c r="R5309" s="178"/>
      <c r="S5309" s="178"/>
    </row>
    <row r="5310" spans="18:19">
      <c r="R5310" s="178"/>
      <c r="S5310" s="178"/>
    </row>
    <row r="5311" spans="18:19">
      <c r="R5311" s="178"/>
      <c r="S5311" s="178"/>
    </row>
    <row r="5312" spans="18:19">
      <c r="R5312" s="178"/>
      <c r="S5312" s="178"/>
    </row>
    <row r="5313" spans="18:19">
      <c r="R5313" s="178"/>
      <c r="S5313" s="178"/>
    </row>
    <row r="5314" spans="18:19">
      <c r="R5314" s="178"/>
      <c r="S5314" s="178"/>
    </row>
    <row r="5315" spans="18:19">
      <c r="R5315" s="178"/>
      <c r="S5315" s="178"/>
    </row>
    <row r="5316" spans="18:19">
      <c r="R5316" s="178"/>
      <c r="S5316" s="178"/>
    </row>
    <row r="5317" spans="18:19">
      <c r="R5317" s="178"/>
      <c r="S5317" s="178"/>
    </row>
    <row r="5318" spans="18:19">
      <c r="R5318" s="178"/>
      <c r="S5318" s="178"/>
    </row>
    <row r="5319" spans="18:19">
      <c r="R5319" s="178"/>
      <c r="S5319" s="178"/>
    </row>
    <row r="5320" spans="18:19">
      <c r="R5320" s="178"/>
      <c r="S5320" s="178"/>
    </row>
    <row r="5321" spans="18:19">
      <c r="R5321" s="178"/>
      <c r="S5321" s="178"/>
    </row>
    <row r="5322" spans="18:19">
      <c r="R5322" s="178"/>
      <c r="S5322" s="178"/>
    </row>
    <row r="5323" spans="18:19">
      <c r="R5323" s="178"/>
      <c r="S5323" s="178"/>
    </row>
    <row r="5324" spans="18:19">
      <c r="R5324" s="178"/>
      <c r="S5324" s="178"/>
    </row>
    <row r="5325" spans="18:19">
      <c r="R5325" s="178"/>
      <c r="S5325" s="178"/>
    </row>
    <row r="5326" spans="18:19">
      <c r="R5326" s="178"/>
      <c r="S5326" s="178"/>
    </row>
    <row r="5327" spans="18:19">
      <c r="R5327" s="178"/>
      <c r="S5327" s="178"/>
    </row>
    <row r="5328" spans="18:19">
      <c r="R5328" s="178"/>
      <c r="S5328" s="178"/>
    </row>
    <row r="5329" spans="18:19">
      <c r="R5329" s="178"/>
      <c r="S5329" s="178"/>
    </row>
    <row r="5330" spans="18:19">
      <c r="R5330" s="178"/>
      <c r="S5330" s="178"/>
    </row>
    <row r="5331" spans="18:19">
      <c r="R5331" s="178"/>
      <c r="S5331" s="178"/>
    </row>
    <row r="5332" spans="18:19">
      <c r="R5332" s="178"/>
      <c r="S5332" s="178"/>
    </row>
    <row r="5333" spans="18:19">
      <c r="R5333" s="178"/>
      <c r="S5333" s="178"/>
    </row>
    <row r="5334" spans="18:19">
      <c r="R5334" s="178"/>
      <c r="S5334" s="178"/>
    </row>
    <row r="5335" spans="18:19">
      <c r="R5335" s="178"/>
      <c r="S5335" s="178"/>
    </row>
    <row r="5336" spans="18:19">
      <c r="R5336" s="178"/>
      <c r="S5336" s="178"/>
    </row>
    <row r="5337" spans="18:19">
      <c r="R5337" s="178"/>
      <c r="S5337" s="178"/>
    </row>
    <row r="5338" spans="18:19">
      <c r="R5338" s="178"/>
      <c r="S5338" s="178"/>
    </row>
    <row r="5339" spans="18:19">
      <c r="R5339" s="178"/>
      <c r="S5339" s="178"/>
    </row>
    <row r="5340" spans="18:19">
      <c r="R5340" s="178"/>
      <c r="S5340" s="178"/>
    </row>
    <row r="5341" spans="18:19">
      <c r="R5341" s="178"/>
      <c r="S5341" s="178"/>
    </row>
    <row r="5342" spans="18:19">
      <c r="R5342" s="178"/>
      <c r="S5342" s="178"/>
    </row>
    <row r="5343" spans="18:19">
      <c r="R5343" s="178"/>
      <c r="S5343" s="178"/>
    </row>
    <row r="5344" spans="18:19">
      <c r="R5344" s="178"/>
      <c r="S5344" s="178"/>
    </row>
    <row r="5345" spans="18:19">
      <c r="R5345" s="178"/>
      <c r="S5345" s="178"/>
    </row>
    <row r="5346" spans="18:19">
      <c r="R5346" s="178"/>
      <c r="S5346" s="178"/>
    </row>
    <row r="5347" spans="18:19">
      <c r="R5347" s="178"/>
      <c r="S5347" s="178"/>
    </row>
    <row r="5348" spans="18:19">
      <c r="R5348" s="178"/>
      <c r="S5348" s="178"/>
    </row>
    <row r="5349" spans="18:19">
      <c r="R5349" s="178"/>
      <c r="S5349" s="178"/>
    </row>
    <row r="5350" spans="18:19">
      <c r="R5350" s="178"/>
      <c r="S5350" s="178"/>
    </row>
    <row r="5351" spans="18:19">
      <c r="R5351" s="178"/>
      <c r="S5351" s="178"/>
    </row>
    <row r="5352" spans="18:19">
      <c r="R5352" s="178"/>
      <c r="S5352" s="178"/>
    </row>
    <row r="5353" spans="18:19">
      <c r="R5353" s="178"/>
      <c r="S5353" s="178"/>
    </row>
    <row r="5354" spans="18:19">
      <c r="R5354" s="178"/>
      <c r="S5354" s="178"/>
    </row>
    <row r="5355" spans="18:19">
      <c r="R5355" s="178"/>
      <c r="S5355" s="178"/>
    </row>
    <row r="5356" spans="18:19">
      <c r="R5356" s="178"/>
      <c r="S5356" s="178"/>
    </row>
    <row r="5357" spans="18:19">
      <c r="R5357" s="178"/>
      <c r="S5357" s="178"/>
    </row>
    <row r="5358" spans="18:19">
      <c r="R5358" s="178"/>
      <c r="S5358" s="178"/>
    </row>
    <row r="5359" spans="18:19">
      <c r="R5359" s="178"/>
      <c r="S5359" s="178"/>
    </row>
    <row r="5360" spans="18:19">
      <c r="R5360" s="178"/>
      <c r="S5360" s="178"/>
    </row>
    <row r="5361" spans="18:19">
      <c r="R5361" s="178"/>
      <c r="S5361" s="178"/>
    </row>
    <row r="5362" spans="18:19">
      <c r="R5362" s="178"/>
      <c r="S5362" s="178"/>
    </row>
    <row r="5363" spans="18:19">
      <c r="R5363" s="178"/>
      <c r="S5363" s="178"/>
    </row>
    <row r="5364" spans="18:19">
      <c r="R5364" s="178"/>
      <c r="S5364" s="178"/>
    </row>
    <row r="5365" spans="18:19">
      <c r="R5365" s="178"/>
      <c r="S5365" s="178"/>
    </row>
    <row r="5366" spans="18:19">
      <c r="R5366" s="178"/>
      <c r="S5366" s="178"/>
    </row>
    <row r="5367" spans="18:19">
      <c r="R5367" s="178"/>
      <c r="S5367" s="178"/>
    </row>
    <row r="5368" spans="18:19">
      <c r="R5368" s="178"/>
      <c r="S5368" s="178"/>
    </row>
    <row r="5369" spans="18:19">
      <c r="R5369" s="178"/>
      <c r="S5369" s="178"/>
    </row>
    <row r="5370" spans="18:19">
      <c r="R5370" s="178"/>
      <c r="S5370" s="178"/>
    </row>
    <row r="5371" spans="18:19">
      <c r="R5371" s="178"/>
      <c r="S5371" s="178"/>
    </row>
    <row r="5372" spans="18:19">
      <c r="R5372" s="178"/>
      <c r="S5372" s="178"/>
    </row>
    <row r="5373" spans="18:19">
      <c r="R5373" s="178"/>
      <c r="S5373" s="178"/>
    </row>
    <row r="5374" spans="18:19">
      <c r="R5374" s="178"/>
      <c r="S5374" s="178"/>
    </row>
    <row r="5375" spans="18:19">
      <c r="R5375" s="178"/>
      <c r="S5375" s="178"/>
    </row>
    <row r="5376" spans="18:19">
      <c r="R5376" s="178"/>
      <c r="S5376" s="178"/>
    </row>
    <row r="5377" spans="18:19">
      <c r="R5377" s="178"/>
      <c r="S5377" s="178"/>
    </row>
    <row r="5378" spans="18:19">
      <c r="R5378" s="178"/>
      <c r="S5378" s="178"/>
    </row>
    <row r="5379" spans="18:19">
      <c r="R5379" s="178"/>
      <c r="S5379" s="178"/>
    </row>
    <row r="5380" spans="18:19">
      <c r="R5380" s="178"/>
      <c r="S5380" s="178"/>
    </row>
    <row r="5381" spans="18:19">
      <c r="R5381" s="178"/>
      <c r="S5381" s="178"/>
    </row>
    <row r="5382" spans="18:19">
      <c r="R5382" s="178"/>
      <c r="S5382" s="178"/>
    </row>
    <row r="5383" spans="18:19">
      <c r="R5383" s="178"/>
      <c r="S5383" s="178"/>
    </row>
    <row r="5384" spans="18:19">
      <c r="R5384" s="178"/>
      <c r="S5384" s="178"/>
    </row>
    <row r="5385" spans="18:19">
      <c r="R5385" s="178"/>
      <c r="S5385" s="178"/>
    </row>
    <row r="5386" spans="18:19">
      <c r="R5386" s="178"/>
      <c r="S5386" s="178"/>
    </row>
    <row r="5387" spans="18:19">
      <c r="R5387" s="178"/>
      <c r="S5387" s="178"/>
    </row>
    <row r="5388" spans="18:19">
      <c r="R5388" s="178"/>
      <c r="S5388" s="178"/>
    </row>
    <row r="5389" spans="18:19">
      <c r="R5389" s="178"/>
      <c r="S5389" s="178"/>
    </row>
    <row r="5390" spans="18:19">
      <c r="R5390" s="178"/>
      <c r="S5390" s="178"/>
    </row>
    <row r="5391" spans="18:19">
      <c r="R5391" s="178"/>
      <c r="S5391" s="178"/>
    </row>
    <row r="5392" spans="18:19">
      <c r="R5392" s="178"/>
      <c r="S5392" s="178"/>
    </row>
    <row r="5393" spans="18:19">
      <c r="R5393" s="178"/>
      <c r="S5393" s="178"/>
    </row>
    <row r="5394" spans="18:19">
      <c r="R5394" s="178"/>
      <c r="S5394" s="178"/>
    </row>
    <row r="5395" spans="18:19">
      <c r="R5395" s="178"/>
      <c r="S5395" s="178"/>
    </row>
    <row r="5396" spans="18:19">
      <c r="R5396" s="178"/>
      <c r="S5396" s="178"/>
    </row>
    <row r="5397" spans="18:19">
      <c r="R5397" s="178"/>
      <c r="S5397" s="178"/>
    </row>
    <row r="5398" spans="18:19">
      <c r="R5398" s="178"/>
      <c r="S5398" s="178"/>
    </row>
    <row r="5399" spans="18:19">
      <c r="R5399" s="178"/>
      <c r="S5399" s="178"/>
    </row>
    <row r="5400" spans="18:19">
      <c r="R5400" s="178"/>
      <c r="S5400" s="178"/>
    </row>
    <row r="5401" spans="18:19">
      <c r="R5401" s="178"/>
      <c r="S5401" s="178"/>
    </row>
    <row r="5402" spans="18:19">
      <c r="R5402" s="178"/>
      <c r="S5402" s="178"/>
    </row>
    <row r="5403" spans="18:19">
      <c r="R5403" s="178"/>
      <c r="S5403" s="178"/>
    </row>
    <row r="5404" spans="18:19">
      <c r="R5404" s="178"/>
      <c r="S5404" s="178"/>
    </row>
    <row r="5405" spans="18:19">
      <c r="R5405" s="178"/>
      <c r="S5405" s="178"/>
    </row>
    <row r="5406" spans="18:19">
      <c r="R5406" s="178"/>
      <c r="S5406" s="178"/>
    </row>
    <row r="5407" spans="18:19">
      <c r="R5407" s="178"/>
      <c r="S5407" s="178"/>
    </row>
    <row r="5408" spans="18:19">
      <c r="R5408" s="178"/>
      <c r="S5408" s="178"/>
    </row>
    <row r="5409" spans="18:19">
      <c r="R5409" s="178"/>
      <c r="S5409" s="178"/>
    </row>
    <row r="5410" spans="18:19">
      <c r="R5410" s="178"/>
      <c r="S5410" s="178"/>
    </row>
    <row r="5411" spans="18:19">
      <c r="R5411" s="178"/>
      <c r="S5411" s="178"/>
    </row>
    <row r="5412" spans="18:19">
      <c r="R5412" s="178"/>
      <c r="S5412" s="178"/>
    </row>
    <row r="5413" spans="18:19">
      <c r="R5413" s="178"/>
      <c r="S5413" s="178"/>
    </row>
    <row r="5414" spans="18:19">
      <c r="R5414" s="178"/>
      <c r="S5414" s="178"/>
    </row>
    <row r="5415" spans="18:19">
      <c r="R5415" s="178"/>
      <c r="S5415" s="178"/>
    </row>
    <row r="5416" spans="18:19">
      <c r="R5416" s="178"/>
      <c r="S5416" s="178"/>
    </row>
    <row r="5417" spans="18:19">
      <c r="R5417" s="178"/>
      <c r="S5417" s="178"/>
    </row>
    <row r="5418" spans="18:19">
      <c r="R5418" s="178"/>
      <c r="S5418" s="178"/>
    </row>
    <row r="5419" spans="18:19">
      <c r="R5419" s="178"/>
      <c r="S5419" s="178"/>
    </row>
    <row r="5420" spans="18:19">
      <c r="R5420" s="178"/>
      <c r="S5420" s="178"/>
    </row>
    <row r="5421" spans="18:19">
      <c r="R5421" s="178"/>
      <c r="S5421" s="178"/>
    </row>
    <row r="5422" spans="18:19">
      <c r="R5422" s="178"/>
      <c r="S5422" s="178"/>
    </row>
    <row r="5423" spans="18:19">
      <c r="R5423" s="178"/>
      <c r="S5423" s="178"/>
    </row>
    <row r="5424" spans="18:19">
      <c r="R5424" s="178"/>
      <c r="S5424" s="178"/>
    </row>
    <row r="5425" spans="18:19">
      <c r="R5425" s="178"/>
      <c r="S5425" s="178"/>
    </row>
    <row r="5426" spans="18:19">
      <c r="R5426" s="178"/>
      <c r="S5426" s="178"/>
    </row>
    <row r="5427" spans="18:19">
      <c r="R5427" s="178"/>
      <c r="S5427" s="178"/>
    </row>
    <row r="5428" spans="18:19">
      <c r="R5428" s="178"/>
      <c r="S5428" s="178"/>
    </row>
    <row r="5429" spans="18:19">
      <c r="R5429" s="178"/>
      <c r="S5429" s="178"/>
    </row>
    <row r="5430" spans="18:19">
      <c r="R5430" s="178"/>
      <c r="S5430" s="178"/>
    </row>
    <row r="5431" spans="18:19">
      <c r="R5431" s="178"/>
      <c r="S5431" s="178"/>
    </row>
    <row r="5432" spans="18:19">
      <c r="R5432" s="178"/>
      <c r="S5432" s="178"/>
    </row>
    <row r="5433" spans="18:19">
      <c r="R5433" s="178"/>
      <c r="S5433" s="178"/>
    </row>
    <row r="5434" spans="18:19">
      <c r="R5434" s="178"/>
      <c r="S5434" s="178"/>
    </row>
    <row r="5435" spans="18:19">
      <c r="R5435" s="178"/>
      <c r="S5435" s="178"/>
    </row>
    <row r="5436" spans="18:19">
      <c r="R5436" s="178"/>
      <c r="S5436" s="178"/>
    </row>
    <row r="5437" spans="18:19">
      <c r="R5437" s="178"/>
      <c r="S5437" s="178"/>
    </row>
    <row r="5438" spans="18:19">
      <c r="R5438" s="178"/>
      <c r="S5438" s="178"/>
    </row>
    <row r="5439" spans="18:19">
      <c r="R5439" s="178"/>
      <c r="S5439" s="178"/>
    </row>
    <row r="5440" spans="18:19">
      <c r="R5440" s="178"/>
      <c r="S5440" s="178"/>
    </row>
    <row r="5441" spans="18:19">
      <c r="R5441" s="178"/>
      <c r="S5441" s="178"/>
    </row>
    <row r="5442" spans="18:19">
      <c r="R5442" s="178"/>
      <c r="S5442" s="178"/>
    </row>
    <row r="5443" spans="18:19">
      <c r="R5443" s="178"/>
      <c r="S5443" s="178"/>
    </row>
    <row r="5444" spans="18:19">
      <c r="R5444" s="178"/>
      <c r="S5444" s="178"/>
    </row>
    <row r="5445" spans="18:19">
      <c r="R5445" s="178"/>
      <c r="S5445" s="178"/>
    </row>
    <row r="5446" spans="18:19">
      <c r="R5446" s="178"/>
      <c r="S5446" s="178"/>
    </row>
    <row r="5447" spans="18:19">
      <c r="R5447" s="178"/>
      <c r="S5447" s="178"/>
    </row>
    <row r="5448" spans="18:19">
      <c r="R5448" s="178"/>
      <c r="S5448" s="178"/>
    </row>
    <row r="5449" spans="18:19">
      <c r="R5449" s="178"/>
      <c r="S5449" s="178"/>
    </row>
    <row r="5450" spans="18:19">
      <c r="R5450" s="178"/>
      <c r="S5450" s="178"/>
    </row>
    <row r="5451" spans="18:19">
      <c r="R5451" s="178"/>
      <c r="S5451" s="178"/>
    </row>
    <row r="5452" spans="18:19">
      <c r="R5452" s="178"/>
      <c r="S5452" s="178"/>
    </row>
    <row r="5453" spans="18:19">
      <c r="R5453" s="178"/>
      <c r="S5453" s="178"/>
    </row>
    <row r="5454" spans="18:19">
      <c r="R5454" s="178"/>
      <c r="S5454" s="178"/>
    </row>
    <row r="5455" spans="18:19">
      <c r="R5455" s="178"/>
      <c r="S5455" s="178"/>
    </row>
    <row r="5456" spans="18:19">
      <c r="R5456" s="178"/>
      <c r="S5456" s="178"/>
    </row>
    <row r="5457" spans="18:19">
      <c r="R5457" s="178"/>
      <c r="S5457" s="178"/>
    </row>
    <row r="5458" spans="18:19">
      <c r="R5458" s="178"/>
      <c r="S5458" s="178"/>
    </row>
    <row r="5459" spans="18:19">
      <c r="R5459" s="178"/>
      <c r="S5459" s="178"/>
    </row>
    <row r="5460" spans="18:19">
      <c r="R5460" s="178"/>
      <c r="S5460" s="178"/>
    </row>
    <row r="5461" spans="18:19">
      <c r="R5461" s="178"/>
      <c r="S5461" s="178"/>
    </row>
    <row r="5462" spans="18:19">
      <c r="R5462" s="178"/>
      <c r="S5462" s="178"/>
    </row>
    <row r="5463" spans="18:19">
      <c r="R5463" s="178"/>
      <c r="S5463" s="178"/>
    </row>
    <row r="5464" spans="18:19">
      <c r="R5464" s="178"/>
      <c r="S5464" s="178"/>
    </row>
    <row r="5465" spans="18:19">
      <c r="R5465" s="178"/>
      <c r="S5465" s="178"/>
    </row>
    <row r="5466" spans="18:19">
      <c r="R5466" s="178"/>
      <c r="S5466" s="178"/>
    </row>
    <row r="5467" spans="18:19">
      <c r="R5467" s="178"/>
      <c r="S5467" s="178"/>
    </row>
    <row r="5468" spans="18:19">
      <c r="R5468" s="178"/>
      <c r="S5468" s="178"/>
    </row>
    <row r="5469" spans="18:19">
      <c r="R5469" s="178"/>
      <c r="S5469" s="178"/>
    </row>
    <row r="5470" spans="18:19">
      <c r="R5470" s="178"/>
      <c r="S5470" s="178"/>
    </row>
    <row r="5471" spans="18:19">
      <c r="R5471" s="178"/>
      <c r="S5471" s="178"/>
    </row>
    <row r="5472" spans="18:19">
      <c r="R5472" s="178"/>
      <c r="S5472" s="178"/>
    </row>
    <row r="5473" spans="18:19">
      <c r="R5473" s="178"/>
      <c r="S5473" s="178"/>
    </row>
    <row r="5474" spans="18:19">
      <c r="R5474" s="178"/>
      <c r="S5474" s="178"/>
    </row>
    <row r="5475" spans="18:19">
      <c r="R5475" s="178"/>
      <c r="S5475" s="178"/>
    </row>
    <row r="5476" spans="18:19">
      <c r="R5476" s="178"/>
      <c r="S5476" s="178"/>
    </row>
    <row r="5477" spans="18:19">
      <c r="R5477" s="178"/>
      <c r="S5477" s="178"/>
    </row>
    <row r="5478" spans="18:19">
      <c r="R5478" s="178"/>
      <c r="S5478" s="178"/>
    </row>
    <row r="5479" spans="18:19">
      <c r="R5479" s="178"/>
      <c r="S5479" s="178"/>
    </row>
    <row r="5480" spans="18:19">
      <c r="R5480" s="178"/>
      <c r="S5480" s="178"/>
    </row>
    <row r="5481" spans="18:19">
      <c r="R5481" s="178"/>
      <c r="S5481" s="178"/>
    </row>
    <row r="5482" spans="18:19">
      <c r="R5482" s="178"/>
      <c r="S5482" s="178"/>
    </row>
    <row r="5483" spans="18:19">
      <c r="R5483" s="178"/>
      <c r="S5483" s="178"/>
    </row>
    <row r="5484" spans="18:19">
      <c r="R5484" s="178"/>
      <c r="S5484" s="178"/>
    </row>
    <row r="5485" spans="18:19">
      <c r="R5485" s="178"/>
      <c r="S5485" s="178"/>
    </row>
    <row r="5486" spans="18:19">
      <c r="R5486" s="178"/>
      <c r="S5486" s="178"/>
    </row>
    <row r="5487" spans="18:19">
      <c r="R5487" s="178"/>
      <c r="S5487" s="178"/>
    </row>
    <row r="5488" spans="18:19">
      <c r="R5488" s="178"/>
      <c r="S5488" s="178"/>
    </row>
    <row r="5489" spans="18:19">
      <c r="R5489" s="178"/>
      <c r="S5489" s="178"/>
    </row>
    <row r="5490" spans="18:19">
      <c r="R5490" s="178"/>
      <c r="S5490" s="178"/>
    </row>
    <row r="5491" spans="18:19">
      <c r="R5491" s="178"/>
      <c r="S5491" s="178"/>
    </row>
    <row r="5492" spans="18:19">
      <c r="R5492" s="178"/>
      <c r="S5492" s="178"/>
    </row>
    <row r="5493" spans="18:19">
      <c r="R5493" s="178"/>
      <c r="S5493" s="178"/>
    </row>
    <row r="5494" spans="18:19">
      <c r="R5494" s="178"/>
      <c r="S5494" s="178"/>
    </row>
    <row r="5495" spans="18:19">
      <c r="R5495" s="178"/>
      <c r="S5495" s="178"/>
    </row>
    <row r="5496" spans="18:19">
      <c r="R5496" s="178"/>
      <c r="S5496" s="178"/>
    </row>
    <row r="5497" spans="18:19">
      <c r="R5497" s="178"/>
      <c r="S5497" s="178"/>
    </row>
    <row r="5498" spans="18:19">
      <c r="R5498" s="178"/>
      <c r="S5498" s="178"/>
    </row>
    <row r="5499" spans="18:19">
      <c r="R5499" s="178"/>
      <c r="S5499" s="178"/>
    </row>
    <row r="5500" spans="18:19">
      <c r="R5500" s="178"/>
      <c r="S5500" s="178"/>
    </row>
    <row r="5501" spans="18:19">
      <c r="R5501" s="178"/>
      <c r="S5501" s="178"/>
    </row>
    <row r="5502" spans="18:19">
      <c r="R5502" s="178"/>
      <c r="S5502" s="178"/>
    </row>
    <row r="5503" spans="18:19">
      <c r="R5503" s="178"/>
      <c r="S5503" s="178"/>
    </row>
    <row r="5504" spans="18:19">
      <c r="R5504" s="178"/>
      <c r="S5504" s="178"/>
    </row>
    <row r="5505" spans="18:19">
      <c r="R5505" s="178"/>
      <c r="S5505" s="178"/>
    </row>
    <row r="5506" spans="18:19">
      <c r="R5506" s="178"/>
      <c r="S5506" s="178"/>
    </row>
    <row r="5507" spans="18:19">
      <c r="R5507" s="178"/>
      <c r="S5507" s="178"/>
    </row>
    <row r="5508" spans="18:19">
      <c r="R5508" s="178"/>
      <c r="S5508" s="178"/>
    </row>
    <row r="5509" spans="18:19">
      <c r="R5509" s="178"/>
      <c r="S5509" s="178"/>
    </row>
    <row r="5510" spans="18:19">
      <c r="R5510" s="178"/>
      <c r="S5510" s="178"/>
    </row>
    <row r="5511" spans="18:19">
      <c r="R5511" s="178"/>
      <c r="S5511" s="178"/>
    </row>
    <row r="5512" spans="18:19">
      <c r="R5512" s="178"/>
      <c r="S5512" s="178"/>
    </row>
    <row r="5513" spans="18:19">
      <c r="R5513" s="178"/>
      <c r="S5513" s="178"/>
    </row>
    <row r="5514" spans="18:19">
      <c r="R5514" s="178"/>
      <c r="S5514" s="178"/>
    </row>
    <row r="5515" spans="18:19">
      <c r="R5515" s="178"/>
      <c r="S5515" s="178"/>
    </row>
    <row r="5516" spans="18:19">
      <c r="R5516" s="178"/>
      <c r="S5516" s="178"/>
    </row>
    <row r="5517" spans="18:19">
      <c r="R5517" s="178"/>
      <c r="S5517" s="178"/>
    </row>
    <row r="5518" spans="18:19">
      <c r="R5518" s="178"/>
      <c r="S5518" s="178"/>
    </row>
    <row r="5519" spans="18:19">
      <c r="R5519" s="178"/>
      <c r="S5519" s="178"/>
    </row>
    <row r="5520" spans="18:19">
      <c r="R5520" s="178"/>
      <c r="S5520" s="178"/>
    </row>
    <row r="5521" spans="18:19">
      <c r="R5521" s="178"/>
      <c r="S5521" s="178"/>
    </row>
    <row r="5522" spans="18:19">
      <c r="R5522" s="178"/>
      <c r="S5522" s="178"/>
    </row>
    <row r="5523" spans="18:19">
      <c r="R5523" s="178"/>
      <c r="S5523" s="178"/>
    </row>
    <row r="5524" spans="18:19">
      <c r="R5524" s="178"/>
      <c r="S5524" s="178"/>
    </row>
    <row r="5525" spans="18:19">
      <c r="R5525" s="178"/>
      <c r="S5525" s="178"/>
    </row>
    <row r="5526" spans="18:19">
      <c r="R5526" s="178"/>
      <c r="S5526" s="178"/>
    </row>
    <row r="5527" spans="18:19">
      <c r="R5527" s="178"/>
      <c r="S5527" s="178"/>
    </row>
    <row r="5528" spans="18:19">
      <c r="R5528" s="178"/>
      <c r="S5528" s="178"/>
    </row>
    <row r="5529" spans="18:19">
      <c r="R5529" s="178"/>
      <c r="S5529" s="178"/>
    </row>
    <row r="5530" spans="18:19">
      <c r="R5530" s="178"/>
      <c r="S5530" s="178"/>
    </row>
    <row r="5531" spans="18:19">
      <c r="R5531" s="178"/>
      <c r="S5531" s="178"/>
    </row>
    <row r="5532" spans="18:19">
      <c r="R5532" s="178"/>
      <c r="S5532" s="178"/>
    </row>
    <row r="5533" spans="18:19">
      <c r="R5533" s="178"/>
      <c r="S5533" s="178"/>
    </row>
    <row r="5534" spans="18:19">
      <c r="R5534" s="178"/>
      <c r="S5534" s="178"/>
    </row>
    <row r="5535" spans="18:19">
      <c r="R5535" s="178"/>
      <c r="S5535" s="178"/>
    </row>
    <row r="5536" spans="18:19">
      <c r="R5536" s="178"/>
      <c r="S5536" s="178"/>
    </row>
    <row r="5537" spans="18:19">
      <c r="R5537" s="178"/>
      <c r="S5537" s="178"/>
    </row>
    <row r="5538" spans="18:19">
      <c r="R5538" s="178"/>
      <c r="S5538" s="178"/>
    </row>
    <row r="5539" spans="18:19">
      <c r="R5539" s="178"/>
      <c r="S5539" s="178"/>
    </row>
    <row r="5540" spans="18:19">
      <c r="R5540" s="178"/>
      <c r="S5540" s="178"/>
    </row>
    <row r="5541" spans="18:19">
      <c r="R5541" s="178"/>
      <c r="S5541" s="178"/>
    </row>
    <row r="5542" spans="18:19">
      <c r="R5542" s="178"/>
      <c r="S5542" s="178"/>
    </row>
    <row r="5543" spans="18:19">
      <c r="R5543" s="178"/>
      <c r="S5543" s="178"/>
    </row>
    <row r="5544" spans="18:19">
      <c r="R5544" s="178"/>
      <c r="S5544" s="178"/>
    </row>
    <row r="5545" spans="18:19">
      <c r="R5545" s="178"/>
      <c r="S5545" s="178"/>
    </row>
    <row r="5546" spans="18:19">
      <c r="R5546" s="178"/>
      <c r="S5546" s="178"/>
    </row>
    <row r="5547" spans="18:19">
      <c r="R5547" s="178"/>
      <c r="S5547" s="178"/>
    </row>
    <row r="5548" spans="18:19">
      <c r="R5548" s="178"/>
      <c r="S5548" s="178"/>
    </row>
    <row r="5549" spans="18:19">
      <c r="R5549" s="178"/>
      <c r="S5549" s="178"/>
    </row>
    <row r="5550" spans="18:19">
      <c r="R5550" s="178"/>
      <c r="S5550" s="178"/>
    </row>
    <row r="5551" spans="18:19">
      <c r="R5551" s="178"/>
      <c r="S5551" s="178"/>
    </row>
    <row r="5552" spans="18:19">
      <c r="R5552" s="178"/>
      <c r="S5552" s="178"/>
    </row>
    <row r="5553" spans="18:19">
      <c r="R5553" s="178"/>
      <c r="S5553" s="178"/>
    </row>
    <row r="5554" spans="18:19">
      <c r="R5554" s="178"/>
      <c r="S5554" s="178"/>
    </row>
    <row r="5555" spans="18:19">
      <c r="R5555" s="178"/>
      <c r="S5555" s="178"/>
    </row>
    <row r="5556" spans="18:19">
      <c r="R5556" s="178"/>
      <c r="S5556" s="178"/>
    </row>
    <row r="5557" spans="18:19">
      <c r="R5557" s="178"/>
      <c r="S5557" s="178"/>
    </row>
    <row r="5558" spans="18:19">
      <c r="R5558" s="178"/>
      <c r="S5558" s="178"/>
    </row>
    <row r="5559" spans="18:19">
      <c r="R5559" s="178"/>
      <c r="S5559" s="178"/>
    </row>
    <row r="5560" spans="18:19">
      <c r="R5560" s="178"/>
      <c r="S5560" s="178"/>
    </row>
    <row r="5561" spans="18:19">
      <c r="R5561" s="178"/>
      <c r="S5561" s="178"/>
    </row>
    <row r="5562" spans="18:19">
      <c r="R5562" s="178"/>
      <c r="S5562" s="178"/>
    </row>
    <row r="5563" spans="18:19">
      <c r="R5563" s="178"/>
      <c r="S5563" s="178"/>
    </row>
    <row r="5564" spans="18:19">
      <c r="R5564" s="178"/>
      <c r="S5564" s="178"/>
    </row>
    <row r="5565" spans="18:19">
      <c r="R5565" s="178"/>
      <c r="S5565" s="178"/>
    </row>
    <row r="5566" spans="18:19">
      <c r="R5566" s="178"/>
      <c r="S5566" s="178"/>
    </row>
    <row r="5567" spans="18:19">
      <c r="R5567" s="178"/>
      <c r="S5567" s="178"/>
    </row>
    <row r="5568" spans="18:19">
      <c r="R5568" s="178"/>
      <c r="S5568" s="178"/>
    </row>
    <row r="5569" spans="18:19">
      <c r="R5569" s="178"/>
      <c r="S5569" s="178"/>
    </row>
    <row r="5570" spans="18:19">
      <c r="R5570" s="178"/>
      <c r="S5570" s="178"/>
    </row>
    <row r="5571" spans="18:19">
      <c r="R5571" s="178"/>
      <c r="S5571" s="178"/>
    </row>
    <row r="5572" spans="18:19">
      <c r="R5572" s="178"/>
      <c r="S5572" s="178"/>
    </row>
    <row r="5573" spans="18:19">
      <c r="R5573" s="178"/>
      <c r="S5573" s="178"/>
    </row>
    <row r="5574" spans="18:19">
      <c r="R5574" s="178"/>
      <c r="S5574" s="178"/>
    </row>
    <row r="5575" spans="18:19">
      <c r="R5575" s="178"/>
      <c r="S5575" s="178"/>
    </row>
    <row r="5576" spans="18:19">
      <c r="R5576" s="178"/>
      <c r="S5576" s="178"/>
    </row>
    <row r="5577" spans="18:19">
      <c r="R5577" s="178"/>
      <c r="S5577" s="178"/>
    </row>
    <row r="5578" spans="18:19">
      <c r="R5578" s="178"/>
      <c r="S5578" s="178"/>
    </row>
    <row r="5579" spans="18:19">
      <c r="R5579" s="178"/>
      <c r="S5579" s="178"/>
    </row>
    <row r="5580" spans="18:19">
      <c r="R5580" s="178"/>
      <c r="S5580" s="178"/>
    </row>
    <row r="5581" spans="18:19">
      <c r="R5581" s="178"/>
      <c r="S5581" s="178"/>
    </row>
    <row r="5582" spans="18:19">
      <c r="R5582" s="178"/>
      <c r="S5582" s="178"/>
    </row>
    <row r="5583" spans="18:19">
      <c r="R5583" s="178"/>
      <c r="S5583" s="178"/>
    </row>
    <row r="5584" spans="18:19">
      <c r="R5584" s="178"/>
      <c r="S5584" s="178"/>
    </row>
    <row r="5585" spans="18:19">
      <c r="R5585" s="178"/>
      <c r="S5585" s="178"/>
    </row>
    <row r="5586" spans="18:19">
      <c r="R5586" s="178"/>
      <c r="S5586" s="178"/>
    </row>
    <row r="5587" spans="18:19">
      <c r="R5587" s="178"/>
      <c r="S5587" s="178"/>
    </row>
    <row r="5588" spans="18:19">
      <c r="R5588" s="178"/>
      <c r="S5588" s="178"/>
    </row>
    <row r="5589" spans="18:19">
      <c r="R5589" s="178"/>
      <c r="S5589" s="178"/>
    </row>
    <row r="5590" spans="18:19">
      <c r="R5590" s="178"/>
      <c r="S5590" s="178"/>
    </row>
    <row r="5591" spans="18:19">
      <c r="R5591" s="178"/>
      <c r="S5591" s="178"/>
    </row>
    <row r="5592" spans="18:19">
      <c r="R5592" s="178"/>
      <c r="S5592" s="178"/>
    </row>
    <row r="5593" spans="18:19">
      <c r="R5593" s="178"/>
      <c r="S5593" s="178"/>
    </row>
    <row r="5594" spans="18:19">
      <c r="R5594" s="178"/>
      <c r="S5594" s="178"/>
    </row>
    <row r="5595" spans="18:19">
      <c r="R5595" s="178"/>
      <c r="S5595" s="178"/>
    </row>
    <row r="5596" spans="18:19">
      <c r="R5596" s="178"/>
      <c r="S5596" s="178"/>
    </row>
    <row r="5597" spans="18:19">
      <c r="R5597" s="178"/>
      <c r="S5597" s="178"/>
    </row>
    <row r="5598" spans="18:19">
      <c r="R5598" s="178"/>
      <c r="S5598" s="178"/>
    </row>
    <row r="5599" spans="18:19">
      <c r="R5599" s="178"/>
      <c r="S5599" s="178"/>
    </row>
    <row r="5600" spans="18:19">
      <c r="R5600" s="178"/>
      <c r="S5600" s="178"/>
    </row>
    <row r="5601" spans="18:19">
      <c r="R5601" s="178"/>
      <c r="S5601" s="178"/>
    </row>
    <row r="5602" spans="18:19">
      <c r="R5602" s="178"/>
      <c r="S5602" s="178"/>
    </row>
    <row r="5603" spans="18:19">
      <c r="R5603" s="178"/>
      <c r="S5603" s="178"/>
    </row>
    <row r="5604" spans="18:19">
      <c r="R5604" s="178"/>
      <c r="S5604" s="178"/>
    </row>
    <row r="5605" spans="18:19">
      <c r="R5605" s="178"/>
      <c r="S5605" s="178"/>
    </row>
    <row r="5606" spans="18:19">
      <c r="R5606" s="178"/>
      <c r="S5606" s="178"/>
    </row>
    <row r="5607" spans="18:19">
      <c r="R5607" s="178"/>
      <c r="S5607" s="178"/>
    </row>
    <row r="5608" spans="18:19">
      <c r="R5608" s="178"/>
      <c r="S5608" s="178"/>
    </row>
    <row r="5609" spans="18:19">
      <c r="R5609" s="178"/>
      <c r="S5609" s="178"/>
    </row>
    <row r="5610" spans="18:19">
      <c r="R5610" s="178"/>
      <c r="S5610" s="178"/>
    </row>
    <row r="5611" spans="18:19">
      <c r="R5611" s="178"/>
      <c r="S5611" s="178"/>
    </row>
    <row r="5612" spans="18:19">
      <c r="R5612" s="178"/>
      <c r="S5612" s="178"/>
    </row>
    <row r="5613" spans="18:19">
      <c r="R5613" s="178"/>
      <c r="S5613" s="178"/>
    </row>
    <row r="5614" spans="18:19">
      <c r="R5614" s="178"/>
      <c r="S5614" s="178"/>
    </row>
    <row r="5615" spans="18:19">
      <c r="R5615" s="178"/>
      <c r="S5615" s="178"/>
    </row>
    <row r="5616" spans="18:19">
      <c r="R5616" s="178"/>
      <c r="S5616" s="178"/>
    </row>
    <row r="5617" spans="18:19">
      <c r="R5617" s="178"/>
      <c r="S5617" s="178"/>
    </row>
    <row r="5618" spans="18:19">
      <c r="R5618" s="178"/>
      <c r="S5618" s="178"/>
    </row>
    <row r="5619" spans="18:19">
      <c r="R5619" s="178"/>
      <c r="S5619" s="178"/>
    </row>
    <row r="5620" spans="18:19">
      <c r="R5620" s="178"/>
      <c r="S5620" s="178"/>
    </row>
    <row r="5621" spans="18:19">
      <c r="R5621" s="178"/>
      <c r="S5621" s="178"/>
    </row>
    <row r="5622" spans="18:19">
      <c r="R5622" s="178"/>
      <c r="S5622" s="178"/>
    </row>
    <row r="5623" spans="18:19">
      <c r="R5623" s="178"/>
      <c r="S5623" s="178"/>
    </row>
    <row r="5624" spans="18:19">
      <c r="R5624" s="178"/>
      <c r="S5624" s="178"/>
    </row>
    <row r="5625" spans="18:19">
      <c r="R5625" s="178"/>
      <c r="S5625" s="178"/>
    </row>
    <row r="5626" spans="18:19">
      <c r="R5626" s="178"/>
      <c r="S5626" s="178"/>
    </row>
    <row r="5627" spans="18:19">
      <c r="R5627" s="178"/>
      <c r="S5627" s="178"/>
    </row>
    <row r="5628" spans="18:19">
      <c r="R5628" s="178"/>
      <c r="S5628" s="178"/>
    </row>
    <row r="5629" spans="18:19">
      <c r="R5629" s="178"/>
      <c r="S5629" s="178"/>
    </row>
    <row r="5630" spans="18:19">
      <c r="R5630" s="178"/>
      <c r="S5630" s="178"/>
    </row>
    <row r="5631" spans="18:19">
      <c r="R5631" s="178"/>
      <c r="S5631" s="178"/>
    </row>
    <row r="5632" spans="18:19">
      <c r="R5632" s="178"/>
      <c r="S5632" s="178"/>
    </row>
    <row r="5633" spans="18:19">
      <c r="R5633" s="178"/>
      <c r="S5633" s="178"/>
    </row>
    <row r="5634" spans="18:19">
      <c r="R5634" s="178"/>
      <c r="S5634" s="178"/>
    </row>
    <row r="5635" spans="18:19">
      <c r="R5635" s="178"/>
      <c r="S5635" s="178"/>
    </row>
    <row r="5636" spans="18:19">
      <c r="R5636" s="178"/>
      <c r="S5636" s="178"/>
    </row>
    <row r="5637" spans="18:19">
      <c r="R5637" s="178"/>
      <c r="S5637" s="178"/>
    </row>
    <row r="5638" spans="18:19">
      <c r="R5638" s="178"/>
      <c r="S5638" s="178"/>
    </row>
    <row r="5639" spans="18:19">
      <c r="R5639" s="178"/>
      <c r="S5639" s="178"/>
    </row>
    <row r="5640" spans="18:19">
      <c r="R5640" s="178"/>
      <c r="S5640" s="178"/>
    </row>
    <row r="5641" spans="18:19">
      <c r="R5641" s="178"/>
      <c r="S5641" s="178"/>
    </row>
    <row r="5642" spans="18:19">
      <c r="R5642" s="178"/>
      <c r="S5642" s="178"/>
    </row>
    <row r="5643" spans="18:19">
      <c r="R5643" s="178"/>
      <c r="S5643" s="178"/>
    </row>
    <row r="5644" spans="18:19">
      <c r="R5644" s="178"/>
      <c r="S5644" s="178"/>
    </row>
    <row r="5645" spans="18:19">
      <c r="R5645" s="178"/>
      <c r="S5645" s="178"/>
    </row>
    <row r="5646" spans="18:19">
      <c r="R5646" s="178"/>
      <c r="S5646" s="178"/>
    </row>
    <row r="5647" spans="18:19">
      <c r="R5647" s="178"/>
      <c r="S5647" s="178"/>
    </row>
    <row r="5648" spans="18:19">
      <c r="R5648" s="178"/>
      <c r="S5648" s="178"/>
    </row>
    <row r="5649" spans="18:19">
      <c r="R5649" s="178"/>
      <c r="S5649" s="178"/>
    </row>
    <row r="5650" spans="18:19">
      <c r="R5650" s="178"/>
      <c r="S5650" s="178"/>
    </row>
    <row r="5651" spans="18:19">
      <c r="R5651" s="178"/>
      <c r="S5651" s="178"/>
    </row>
    <row r="5652" spans="18:19">
      <c r="R5652" s="178"/>
      <c r="S5652" s="178"/>
    </row>
    <row r="5653" spans="18:19">
      <c r="R5653" s="178"/>
      <c r="S5653" s="178"/>
    </row>
    <row r="5654" spans="18:19">
      <c r="R5654" s="178"/>
      <c r="S5654" s="178"/>
    </row>
    <row r="5655" spans="18:19">
      <c r="R5655" s="178"/>
      <c r="S5655" s="178"/>
    </row>
    <row r="5656" spans="18:19">
      <c r="R5656" s="178"/>
      <c r="S5656" s="178"/>
    </row>
    <row r="5657" spans="18:19">
      <c r="R5657" s="178"/>
      <c r="S5657" s="178"/>
    </row>
    <row r="5658" spans="18:19">
      <c r="R5658" s="178"/>
      <c r="S5658" s="178"/>
    </row>
    <row r="5659" spans="18:19">
      <c r="R5659" s="178"/>
      <c r="S5659" s="178"/>
    </row>
    <row r="5660" spans="18:19">
      <c r="R5660" s="178"/>
      <c r="S5660" s="178"/>
    </row>
    <row r="5661" spans="18:19">
      <c r="R5661" s="178"/>
      <c r="S5661" s="178"/>
    </row>
    <row r="5662" spans="18:19">
      <c r="R5662" s="178"/>
      <c r="S5662" s="178"/>
    </row>
    <row r="5663" spans="18:19">
      <c r="R5663" s="178"/>
      <c r="S5663" s="178"/>
    </row>
    <row r="5664" spans="18:19">
      <c r="R5664" s="178"/>
      <c r="S5664" s="178"/>
    </row>
    <row r="5665" spans="18:19">
      <c r="R5665" s="178"/>
      <c r="S5665" s="178"/>
    </row>
    <row r="5666" spans="18:19">
      <c r="R5666" s="178"/>
      <c r="S5666" s="178"/>
    </row>
    <row r="5667" spans="18:19">
      <c r="R5667" s="178"/>
      <c r="S5667" s="178"/>
    </row>
    <row r="5668" spans="18:19">
      <c r="R5668" s="178"/>
      <c r="S5668" s="178"/>
    </row>
    <row r="5669" spans="18:19">
      <c r="R5669" s="178"/>
      <c r="S5669" s="178"/>
    </row>
    <row r="5670" spans="18:19">
      <c r="R5670" s="178"/>
      <c r="S5670" s="178"/>
    </row>
    <row r="5671" spans="18:19">
      <c r="R5671" s="178"/>
      <c r="S5671" s="178"/>
    </row>
    <row r="5672" spans="18:19">
      <c r="R5672" s="178"/>
      <c r="S5672" s="178"/>
    </row>
    <row r="5673" spans="18:19">
      <c r="R5673" s="178"/>
      <c r="S5673" s="178"/>
    </row>
    <row r="5674" spans="18:19">
      <c r="R5674" s="178"/>
      <c r="S5674" s="178"/>
    </row>
    <row r="5675" spans="18:19">
      <c r="R5675" s="178"/>
      <c r="S5675" s="178"/>
    </row>
    <row r="5676" spans="18:19">
      <c r="R5676" s="178"/>
      <c r="S5676" s="178"/>
    </row>
    <row r="5677" spans="18:19">
      <c r="R5677" s="178"/>
      <c r="S5677" s="178"/>
    </row>
    <row r="5678" spans="18:19">
      <c r="R5678" s="178"/>
      <c r="S5678" s="178"/>
    </row>
    <row r="5679" spans="18:19">
      <c r="R5679" s="178"/>
      <c r="S5679" s="178"/>
    </row>
    <row r="5680" spans="18:19">
      <c r="R5680" s="178"/>
      <c r="S5680" s="178"/>
    </row>
    <row r="5681" spans="18:19">
      <c r="R5681" s="178"/>
      <c r="S5681" s="178"/>
    </row>
    <row r="5682" spans="18:19">
      <c r="R5682" s="178"/>
      <c r="S5682" s="178"/>
    </row>
    <row r="5683" spans="18:19">
      <c r="R5683" s="178"/>
      <c r="S5683" s="178"/>
    </row>
    <row r="5684" spans="18:19">
      <c r="R5684" s="178"/>
      <c r="S5684" s="178"/>
    </row>
    <row r="5685" spans="18:19">
      <c r="R5685" s="178"/>
      <c r="S5685" s="178"/>
    </row>
    <row r="5686" spans="18:19">
      <c r="R5686" s="178"/>
      <c r="S5686" s="178"/>
    </row>
    <row r="5687" spans="18:19">
      <c r="R5687" s="178"/>
      <c r="S5687" s="178"/>
    </row>
    <row r="5688" spans="18:19">
      <c r="R5688" s="178"/>
      <c r="S5688" s="178"/>
    </row>
    <row r="5689" spans="18:19">
      <c r="R5689" s="178"/>
      <c r="S5689" s="178"/>
    </row>
    <row r="5690" spans="18:19">
      <c r="R5690" s="178"/>
      <c r="S5690" s="178"/>
    </row>
    <row r="5691" spans="18:19">
      <c r="R5691" s="178"/>
      <c r="S5691" s="178"/>
    </row>
    <row r="5692" spans="18:19">
      <c r="R5692" s="178"/>
      <c r="S5692" s="178"/>
    </row>
    <row r="5693" spans="18:19">
      <c r="R5693" s="178"/>
      <c r="S5693" s="178"/>
    </row>
    <row r="5694" spans="18:19">
      <c r="R5694" s="178"/>
      <c r="S5694" s="178"/>
    </row>
    <row r="5695" spans="18:19">
      <c r="R5695" s="178"/>
      <c r="S5695" s="178"/>
    </row>
    <row r="5696" spans="18:19">
      <c r="R5696" s="178"/>
      <c r="S5696" s="178"/>
    </row>
    <row r="5697" spans="18:19">
      <c r="R5697" s="178"/>
      <c r="S5697" s="178"/>
    </row>
    <row r="5698" spans="18:19">
      <c r="R5698" s="178"/>
      <c r="S5698" s="178"/>
    </row>
    <row r="5699" spans="18:19">
      <c r="R5699" s="178"/>
      <c r="S5699" s="178"/>
    </row>
    <row r="5700" spans="18:19">
      <c r="R5700" s="178"/>
      <c r="S5700" s="178"/>
    </row>
    <row r="5701" spans="18:19">
      <c r="R5701" s="178"/>
      <c r="S5701" s="178"/>
    </row>
    <row r="5702" spans="18:19">
      <c r="R5702" s="178"/>
      <c r="S5702" s="178"/>
    </row>
    <row r="5703" spans="18:19">
      <c r="R5703" s="178"/>
      <c r="S5703" s="178"/>
    </row>
    <row r="5704" spans="18:19">
      <c r="R5704" s="178"/>
      <c r="S5704" s="178"/>
    </row>
    <row r="5705" spans="18:19">
      <c r="R5705" s="178"/>
      <c r="S5705" s="178"/>
    </row>
    <row r="5706" spans="18:19">
      <c r="R5706" s="178"/>
      <c r="S5706" s="178"/>
    </row>
    <row r="5707" spans="18:19">
      <c r="R5707" s="178"/>
      <c r="S5707" s="178"/>
    </row>
    <row r="5708" spans="18:19">
      <c r="R5708" s="178"/>
      <c r="S5708" s="178"/>
    </row>
    <row r="5709" spans="18:19">
      <c r="R5709" s="178"/>
      <c r="S5709" s="178"/>
    </row>
    <row r="5710" spans="18:19">
      <c r="R5710" s="178"/>
      <c r="S5710" s="178"/>
    </row>
    <row r="5711" spans="18:19">
      <c r="R5711" s="178"/>
      <c r="S5711" s="178"/>
    </row>
    <row r="5712" spans="18:19">
      <c r="R5712" s="178"/>
      <c r="S5712" s="178"/>
    </row>
    <row r="5713" spans="18:19">
      <c r="R5713" s="178"/>
      <c r="S5713" s="178"/>
    </row>
    <row r="5714" spans="18:19">
      <c r="R5714" s="178"/>
      <c r="S5714" s="178"/>
    </row>
    <row r="5715" spans="18:19">
      <c r="R5715" s="178"/>
      <c r="S5715" s="178"/>
    </row>
    <row r="5716" spans="18:19">
      <c r="R5716" s="178"/>
      <c r="S5716" s="178"/>
    </row>
    <row r="5717" spans="18:19">
      <c r="R5717" s="178"/>
      <c r="S5717" s="178"/>
    </row>
    <row r="5718" spans="18:19">
      <c r="R5718" s="178"/>
      <c r="S5718" s="178"/>
    </row>
    <row r="5719" spans="18:19">
      <c r="R5719" s="178"/>
      <c r="S5719" s="178"/>
    </row>
    <row r="5720" spans="18:19">
      <c r="R5720" s="178"/>
      <c r="S5720" s="178"/>
    </row>
    <row r="5721" spans="18:19">
      <c r="R5721" s="178"/>
      <c r="S5721" s="178"/>
    </row>
    <row r="5722" spans="18:19">
      <c r="R5722" s="178"/>
      <c r="S5722" s="178"/>
    </row>
    <row r="5723" spans="18:19">
      <c r="R5723" s="178"/>
      <c r="S5723" s="178"/>
    </row>
    <row r="5724" spans="18:19">
      <c r="R5724" s="178"/>
      <c r="S5724" s="178"/>
    </row>
    <row r="5725" spans="18:19">
      <c r="R5725" s="178"/>
      <c r="S5725" s="178"/>
    </row>
    <row r="5726" spans="18:19">
      <c r="R5726" s="178"/>
      <c r="S5726" s="178"/>
    </row>
    <row r="5727" spans="18:19">
      <c r="R5727" s="178"/>
      <c r="S5727" s="178"/>
    </row>
    <row r="5728" spans="18:19">
      <c r="R5728" s="178"/>
      <c r="S5728" s="178"/>
    </row>
    <row r="5729" spans="18:19">
      <c r="R5729" s="178"/>
      <c r="S5729" s="178"/>
    </row>
    <row r="5730" spans="18:19">
      <c r="R5730" s="178"/>
      <c r="S5730" s="178"/>
    </row>
    <row r="5731" spans="18:19">
      <c r="R5731" s="178"/>
      <c r="S5731" s="178"/>
    </row>
    <row r="5732" spans="18:19">
      <c r="R5732" s="178"/>
      <c r="S5732" s="178"/>
    </row>
    <row r="5733" spans="18:19">
      <c r="R5733" s="178"/>
      <c r="S5733" s="178"/>
    </row>
    <row r="5734" spans="18:19">
      <c r="R5734" s="178"/>
      <c r="S5734" s="178"/>
    </row>
    <row r="5735" spans="18:19">
      <c r="R5735" s="178"/>
      <c r="S5735" s="178"/>
    </row>
    <row r="5736" spans="18:19">
      <c r="R5736" s="178"/>
      <c r="S5736" s="178"/>
    </row>
    <row r="5737" spans="18:19">
      <c r="R5737" s="178"/>
      <c r="S5737" s="178"/>
    </row>
    <row r="5738" spans="18:19">
      <c r="R5738" s="178"/>
      <c r="S5738" s="178"/>
    </row>
    <row r="5739" spans="18:19">
      <c r="R5739" s="178"/>
      <c r="S5739" s="178"/>
    </row>
    <row r="5740" spans="18:19">
      <c r="R5740" s="178"/>
      <c r="S5740" s="178"/>
    </row>
    <row r="5741" spans="18:19">
      <c r="R5741" s="178"/>
      <c r="S5741" s="178"/>
    </row>
    <row r="5742" spans="18:19">
      <c r="R5742" s="178"/>
      <c r="S5742" s="178"/>
    </row>
    <row r="5743" spans="18:19">
      <c r="R5743" s="178"/>
      <c r="S5743" s="178"/>
    </row>
    <row r="5744" spans="18:19">
      <c r="R5744" s="178"/>
      <c r="S5744" s="178"/>
    </row>
    <row r="5745" spans="18:19">
      <c r="R5745" s="178"/>
      <c r="S5745" s="178"/>
    </row>
    <row r="5746" spans="18:19">
      <c r="R5746" s="178"/>
      <c r="S5746" s="178"/>
    </row>
    <row r="5747" spans="18:19">
      <c r="R5747" s="178"/>
      <c r="S5747" s="178"/>
    </row>
    <row r="5748" spans="18:19">
      <c r="R5748" s="178"/>
      <c r="S5748" s="178"/>
    </row>
    <row r="5749" spans="18:19">
      <c r="R5749" s="178"/>
      <c r="S5749" s="178"/>
    </row>
    <row r="5750" spans="18:19">
      <c r="R5750" s="178"/>
      <c r="S5750" s="178"/>
    </row>
    <row r="5751" spans="18:19">
      <c r="R5751" s="178"/>
      <c r="S5751" s="178"/>
    </row>
    <row r="5752" spans="18:19">
      <c r="R5752" s="178"/>
      <c r="S5752" s="178"/>
    </row>
    <row r="5753" spans="18:19">
      <c r="R5753" s="178"/>
      <c r="S5753" s="178"/>
    </row>
    <row r="5754" spans="18:19">
      <c r="R5754" s="178"/>
      <c r="S5754" s="178"/>
    </row>
    <row r="5755" spans="18:19">
      <c r="R5755" s="178"/>
      <c r="S5755" s="178"/>
    </row>
    <row r="5756" spans="18:19">
      <c r="R5756" s="178"/>
      <c r="S5756" s="178"/>
    </row>
    <row r="5757" spans="18:19">
      <c r="R5757" s="178"/>
      <c r="S5757" s="178"/>
    </row>
    <row r="5758" spans="18:19">
      <c r="R5758" s="178"/>
      <c r="S5758" s="178"/>
    </row>
    <row r="5759" spans="18:19">
      <c r="R5759" s="178"/>
      <c r="S5759" s="178"/>
    </row>
    <row r="5760" spans="18:19">
      <c r="R5760" s="178"/>
      <c r="S5760" s="178"/>
    </row>
    <row r="5761" spans="18:19">
      <c r="R5761" s="178"/>
      <c r="S5761" s="178"/>
    </row>
    <row r="5762" spans="18:19">
      <c r="R5762" s="178"/>
      <c r="S5762" s="178"/>
    </row>
    <row r="5763" spans="18:19">
      <c r="R5763" s="178"/>
      <c r="S5763" s="178"/>
    </row>
    <row r="5764" spans="18:19">
      <c r="R5764" s="178"/>
      <c r="S5764" s="178"/>
    </row>
    <row r="5765" spans="18:19">
      <c r="R5765" s="178"/>
      <c r="S5765" s="178"/>
    </row>
    <row r="5766" spans="18:19">
      <c r="R5766" s="178"/>
      <c r="S5766" s="178"/>
    </row>
    <row r="5767" spans="18:19">
      <c r="R5767" s="178"/>
      <c r="S5767" s="178"/>
    </row>
    <row r="5768" spans="18:19">
      <c r="R5768" s="178"/>
      <c r="S5768" s="178"/>
    </row>
    <row r="5769" spans="18:19">
      <c r="R5769" s="178"/>
      <c r="S5769" s="178"/>
    </row>
    <row r="5770" spans="18:19">
      <c r="R5770" s="178"/>
      <c r="S5770" s="178"/>
    </row>
    <row r="5771" spans="18:19">
      <c r="R5771" s="178"/>
      <c r="S5771" s="178"/>
    </row>
    <row r="5772" spans="18:19">
      <c r="R5772" s="178"/>
      <c r="S5772" s="178"/>
    </row>
    <row r="5773" spans="18:19">
      <c r="R5773" s="178"/>
      <c r="S5773" s="178"/>
    </row>
    <row r="5774" spans="18:19">
      <c r="R5774" s="178"/>
      <c r="S5774" s="178"/>
    </row>
    <row r="5775" spans="18:19">
      <c r="R5775" s="178"/>
      <c r="S5775" s="178"/>
    </row>
    <row r="5776" spans="18:19">
      <c r="R5776" s="178"/>
      <c r="S5776" s="178"/>
    </row>
    <row r="5777" spans="18:19">
      <c r="R5777" s="178"/>
      <c r="S5777" s="178"/>
    </row>
    <row r="5778" spans="18:19">
      <c r="R5778" s="178"/>
      <c r="S5778" s="178"/>
    </row>
    <row r="5779" spans="18:19">
      <c r="R5779" s="178"/>
      <c r="S5779" s="178"/>
    </row>
    <row r="5780" spans="18:19">
      <c r="R5780" s="178"/>
      <c r="S5780" s="178"/>
    </row>
    <row r="5781" spans="18:19">
      <c r="R5781" s="178"/>
      <c r="S5781" s="178"/>
    </row>
    <row r="5782" spans="18:19">
      <c r="R5782" s="178"/>
      <c r="S5782" s="178"/>
    </row>
    <row r="5783" spans="18:19">
      <c r="R5783" s="178"/>
      <c r="S5783" s="178"/>
    </row>
    <row r="5784" spans="18:19">
      <c r="R5784" s="178"/>
      <c r="S5784" s="178"/>
    </row>
    <row r="5785" spans="18:19">
      <c r="R5785" s="178"/>
      <c r="S5785" s="178"/>
    </row>
    <row r="5786" spans="18:19">
      <c r="R5786" s="178"/>
      <c r="S5786" s="178"/>
    </row>
    <row r="5787" spans="18:19">
      <c r="R5787" s="178"/>
      <c r="S5787" s="178"/>
    </row>
    <row r="5788" spans="18:19">
      <c r="R5788" s="178"/>
      <c r="S5788" s="178"/>
    </row>
    <row r="5789" spans="18:19">
      <c r="R5789" s="178"/>
      <c r="S5789" s="178"/>
    </row>
    <row r="5790" spans="18:19">
      <c r="R5790" s="178"/>
      <c r="S5790" s="178"/>
    </row>
    <row r="5791" spans="18:19">
      <c r="R5791" s="178"/>
      <c r="S5791" s="178"/>
    </row>
    <row r="5792" spans="18:19">
      <c r="R5792" s="178"/>
      <c r="S5792" s="178"/>
    </row>
    <row r="5793" spans="18:19">
      <c r="R5793" s="178"/>
      <c r="S5793" s="178"/>
    </row>
    <row r="5794" spans="18:19">
      <c r="R5794" s="178"/>
      <c r="S5794" s="178"/>
    </row>
    <row r="5795" spans="18:19">
      <c r="R5795" s="178"/>
      <c r="S5795" s="178"/>
    </row>
    <row r="5796" spans="18:19">
      <c r="R5796" s="178"/>
      <c r="S5796" s="178"/>
    </row>
    <row r="5797" spans="18:19">
      <c r="R5797" s="178"/>
      <c r="S5797" s="178"/>
    </row>
    <row r="5798" spans="18:19">
      <c r="R5798" s="178"/>
      <c r="S5798" s="178"/>
    </row>
    <row r="5799" spans="18:19">
      <c r="R5799" s="178"/>
      <c r="S5799" s="178"/>
    </row>
    <row r="5800" spans="18:19">
      <c r="R5800" s="178"/>
      <c r="S5800" s="178"/>
    </row>
    <row r="5801" spans="18:19">
      <c r="R5801" s="178"/>
      <c r="S5801" s="178"/>
    </row>
    <row r="5802" spans="18:19">
      <c r="R5802" s="178"/>
      <c r="S5802" s="178"/>
    </row>
    <row r="5803" spans="18:19">
      <c r="R5803" s="178"/>
      <c r="S5803" s="178"/>
    </row>
    <row r="5804" spans="18:19">
      <c r="R5804" s="178"/>
      <c r="S5804" s="178"/>
    </row>
    <row r="5805" spans="18:19">
      <c r="R5805" s="178"/>
      <c r="S5805" s="178"/>
    </row>
    <row r="5806" spans="18:19">
      <c r="R5806" s="178"/>
      <c r="S5806" s="178"/>
    </row>
    <row r="5807" spans="18:19">
      <c r="R5807" s="178"/>
      <c r="S5807" s="178"/>
    </row>
    <row r="5808" spans="18:19">
      <c r="R5808" s="178"/>
      <c r="S5808" s="178"/>
    </row>
    <row r="5809" spans="18:19">
      <c r="R5809" s="178"/>
      <c r="S5809" s="178"/>
    </row>
    <row r="5810" spans="18:19">
      <c r="R5810" s="178"/>
      <c r="S5810" s="178"/>
    </row>
    <row r="5811" spans="18:19">
      <c r="R5811" s="178"/>
      <c r="S5811" s="178"/>
    </row>
    <row r="5812" spans="18:19">
      <c r="R5812" s="178"/>
      <c r="S5812" s="178"/>
    </row>
    <row r="5813" spans="18:19">
      <c r="R5813" s="178"/>
      <c r="S5813" s="178"/>
    </row>
    <row r="5814" spans="18:19">
      <c r="R5814" s="178"/>
      <c r="S5814" s="178"/>
    </row>
    <row r="5815" spans="18:19">
      <c r="R5815" s="178"/>
      <c r="S5815" s="178"/>
    </row>
    <row r="5816" spans="18:19">
      <c r="R5816" s="178"/>
      <c r="S5816" s="178"/>
    </row>
    <row r="5817" spans="18:19">
      <c r="R5817" s="178"/>
      <c r="S5817" s="178"/>
    </row>
    <row r="5818" spans="18:19">
      <c r="R5818" s="178"/>
      <c r="S5818" s="178"/>
    </row>
    <row r="5819" spans="18:19">
      <c r="R5819" s="178"/>
      <c r="S5819" s="178"/>
    </row>
    <row r="5820" spans="18:19">
      <c r="R5820" s="178"/>
      <c r="S5820" s="178"/>
    </row>
    <row r="5821" spans="18:19">
      <c r="R5821" s="178"/>
      <c r="S5821" s="178"/>
    </row>
    <row r="5822" spans="18:19">
      <c r="R5822" s="178"/>
      <c r="S5822" s="178"/>
    </row>
    <row r="5823" spans="18:19">
      <c r="R5823" s="178"/>
      <c r="S5823" s="178"/>
    </row>
    <row r="5824" spans="18:19">
      <c r="R5824" s="178"/>
      <c r="S5824" s="178"/>
    </row>
    <row r="5825" spans="18:19">
      <c r="R5825" s="178"/>
      <c r="S5825" s="178"/>
    </row>
    <row r="5826" spans="18:19">
      <c r="R5826" s="178"/>
      <c r="S5826" s="178"/>
    </row>
    <row r="5827" spans="18:19">
      <c r="R5827" s="178"/>
      <c r="S5827" s="178"/>
    </row>
    <row r="5828" spans="18:19">
      <c r="R5828" s="178"/>
      <c r="S5828" s="178"/>
    </row>
    <row r="5829" spans="18:19">
      <c r="R5829" s="178"/>
      <c r="S5829" s="178"/>
    </row>
    <row r="5830" spans="18:19">
      <c r="R5830" s="178"/>
      <c r="S5830" s="178"/>
    </row>
    <row r="5831" spans="18:19">
      <c r="R5831" s="178"/>
      <c r="S5831" s="178"/>
    </row>
    <row r="5832" spans="18:19">
      <c r="R5832" s="178"/>
      <c r="S5832" s="178"/>
    </row>
    <row r="5833" spans="18:19">
      <c r="R5833" s="178"/>
      <c r="S5833" s="178"/>
    </row>
    <row r="5834" spans="18:19">
      <c r="R5834" s="178"/>
      <c r="S5834" s="178"/>
    </row>
    <row r="5835" spans="18:19">
      <c r="R5835" s="178"/>
      <c r="S5835" s="178"/>
    </row>
    <row r="5836" spans="18:19">
      <c r="R5836" s="178"/>
      <c r="S5836" s="178"/>
    </row>
    <row r="5837" spans="18:19">
      <c r="R5837" s="178"/>
      <c r="S5837" s="178"/>
    </row>
    <row r="5838" spans="18:19">
      <c r="R5838" s="178"/>
      <c r="S5838" s="178"/>
    </row>
    <row r="5839" spans="18:19">
      <c r="R5839" s="178"/>
      <c r="S5839" s="178"/>
    </row>
    <row r="5840" spans="18:19">
      <c r="R5840" s="178"/>
      <c r="S5840" s="178"/>
    </row>
    <row r="5841" spans="18:19">
      <c r="R5841" s="178"/>
      <c r="S5841" s="178"/>
    </row>
    <row r="5842" spans="18:19">
      <c r="R5842" s="178"/>
      <c r="S5842" s="178"/>
    </row>
    <row r="5843" spans="18:19">
      <c r="R5843" s="178"/>
      <c r="S5843" s="178"/>
    </row>
    <row r="5844" spans="18:19">
      <c r="R5844" s="178"/>
      <c r="S5844" s="178"/>
    </row>
    <row r="5845" spans="18:19">
      <c r="R5845" s="178"/>
      <c r="S5845" s="178"/>
    </row>
    <row r="5846" spans="18:19">
      <c r="R5846" s="178"/>
      <c r="S5846" s="178"/>
    </row>
    <row r="5847" spans="18:19">
      <c r="R5847" s="178"/>
      <c r="S5847" s="178"/>
    </row>
    <row r="5848" spans="18:19">
      <c r="R5848" s="178"/>
      <c r="S5848" s="178"/>
    </row>
    <row r="5849" spans="18:19">
      <c r="R5849" s="178"/>
      <c r="S5849" s="178"/>
    </row>
    <row r="5850" spans="18:19">
      <c r="R5850" s="178"/>
      <c r="S5850" s="178"/>
    </row>
    <row r="5851" spans="18:19">
      <c r="R5851" s="178"/>
      <c r="S5851" s="178"/>
    </row>
    <row r="5852" spans="18:19">
      <c r="R5852" s="178"/>
      <c r="S5852" s="178"/>
    </row>
    <row r="5853" spans="18:19">
      <c r="R5853" s="178"/>
      <c r="S5853" s="178"/>
    </row>
    <row r="5854" spans="18:19">
      <c r="R5854" s="178"/>
      <c r="S5854" s="178"/>
    </row>
    <row r="5855" spans="18:19">
      <c r="R5855" s="178"/>
      <c r="S5855" s="178"/>
    </row>
    <row r="5856" spans="18:19">
      <c r="R5856" s="178"/>
      <c r="S5856" s="178"/>
    </row>
    <row r="5857" spans="18:19">
      <c r="R5857" s="178"/>
      <c r="S5857" s="178"/>
    </row>
    <row r="5858" spans="18:19">
      <c r="R5858" s="178"/>
      <c r="S5858" s="178"/>
    </row>
    <row r="5859" spans="18:19">
      <c r="R5859" s="178"/>
      <c r="S5859" s="178"/>
    </row>
    <row r="5860" spans="18:19">
      <c r="R5860" s="178"/>
      <c r="S5860" s="178"/>
    </row>
    <row r="5861" spans="18:19">
      <c r="R5861" s="178"/>
      <c r="S5861" s="178"/>
    </row>
    <row r="5862" spans="18:19">
      <c r="R5862" s="178"/>
      <c r="S5862" s="178"/>
    </row>
    <row r="5863" spans="18:19">
      <c r="R5863" s="178"/>
      <c r="S5863" s="178"/>
    </row>
    <row r="5864" spans="18:19">
      <c r="R5864" s="178"/>
      <c r="S5864" s="178"/>
    </row>
    <row r="5865" spans="18:19">
      <c r="R5865" s="178"/>
      <c r="S5865" s="178"/>
    </row>
    <row r="5866" spans="18:19">
      <c r="R5866" s="178"/>
      <c r="S5866" s="178"/>
    </row>
    <row r="5867" spans="18:19">
      <c r="R5867" s="178"/>
      <c r="S5867" s="178"/>
    </row>
    <row r="5868" spans="18:19">
      <c r="R5868" s="178"/>
      <c r="S5868" s="178"/>
    </row>
    <row r="5869" spans="18:19">
      <c r="R5869" s="178"/>
      <c r="S5869" s="178"/>
    </row>
    <row r="5870" spans="18:19">
      <c r="R5870" s="178"/>
      <c r="S5870" s="178"/>
    </row>
    <row r="5871" spans="18:19">
      <c r="R5871" s="178"/>
      <c r="S5871" s="178"/>
    </row>
    <row r="5872" spans="18:19">
      <c r="R5872" s="178"/>
      <c r="S5872" s="178"/>
    </row>
    <row r="5873" spans="18:19">
      <c r="R5873" s="178"/>
      <c r="S5873" s="178"/>
    </row>
    <row r="5874" spans="18:19">
      <c r="R5874" s="178"/>
      <c r="S5874" s="178"/>
    </row>
    <row r="5875" spans="18:19">
      <c r="R5875" s="178"/>
      <c r="S5875" s="178"/>
    </row>
    <row r="5876" spans="18:19">
      <c r="R5876" s="178"/>
      <c r="S5876" s="178"/>
    </row>
    <row r="5877" spans="18:19">
      <c r="R5877" s="178"/>
      <c r="S5877" s="178"/>
    </row>
    <row r="5878" spans="18:19">
      <c r="R5878" s="178"/>
      <c r="S5878" s="178"/>
    </row>
    <row r="5879" spans="18:19">
      <c r="R5879" s="178"/>
      <c r="S5879" s="178"/>
    </row>
    <row r="5880" spans="18:19">
      <c r="R5880" s="178"/>
      <c r="S5880" s="178"/>
    </row>
    <row r="5881" spans="18:19">
      <c r="R5881" s="178"/>
      <c r="S5881" s="178"/>
    </row>
    <row r="5882" spans="18:19">
      <c r="R5882" s="178"/>
      <c r="S5882" s="178"/>
    </row>
    <row r="5883" spans="18:19">
      <c r="R5883" s="178"/>
      <c r="S5883" s="178"/>
    </row>
    <row r="5884" spans="18:19">
      <c r="R5884" s="178"/>
      <c r="S5884" s="178"/>
    </row>
    <row r="5885" spans="18:19">
      <c r="R5885" s="178"/>
      <c r="S5885" s="178"/>
    </row>
    <row r="5886" spans="18:19">
      <c r="R5886" s="178"/>
      <c r="S5886" s="178"/>
    </row>
    <row r="5887" spans="18:19">
      <c r="R5887" s="178"/>
      <c r="S5887" s="178"/>
    </row>
    <row r="5888" spans="18:19">
      <c r="R5888" s="178"/>
      <c r="S5888" s="178"/>
    </row>
    <row r="5889" spans="18:19">
      <c r="R5889" s="178"/>
      <c r="S5889" s="178"/>
    </row>
    <row r="5890" spans="18:19">
      <c r="R5890" s="178"/>
      <c r="S5890" s="178"/>
    </row>
    <row r="5891" spans="18:19">
      <c r="R5891" s="178"/>
      <c r="S5891" s="178"/>
    </row>
    <row r="5892" spans="18:19">
      <c r="R5892" s="178"/>
      <c r="S5892" s="178"/>
    </row>
    <row r="5893" spans="18:19">
      <c r="R5893" s="178"/>
      <c r="S5893" s="178"/>
    </row>
    <row r="5894" spans="18:19">
      <c r="R5894" s="178"/>
      <c r="S5894" s="178"/>
    </row>
    <row r="5895" spans="18:19">
      <c r="R5895" s="178"/>
      <c r="S5895" s="178"/>
    </row>
    <row r="5896" spans="18:19">
      <c r="R5896" s="178"/>
      <c r="S5896" s="178"/>
    </row>
    <row r="5897" spans="18:19">
      <c r="R5897" s="178"/>
      <c r="S5897" s="178"/>
    </row>
    <row r="5898" spans="18:19">
      <c r="R5898" s="178"/>
      <c r="S5898" s="178"/>
    </row>
    <row r="5899" spans="18:19">
      <c r="R5899" s="178"/>
      <c r="S5899" s="178"/>
    </row>
    <row r="5900" spans="18:19">
      <c r="R5900" s="178"/>
      <c r="S5900" s="178"/>
    </row>
    <row r="5901" spans="18:19">
      <c r="R5901" s="178"/>
      <c r="S5901" s="178"/>
    </row>
    <row r="5902" spans="18:19">
      <c r="R5902" s="178"/>
      <c r="S5902" s="178"/>
    </row>
    <row r="5903" spans="18:19">
      <c r="R5903" s="178"/>
      <c r="S5903" s="178"/>
    </row>
    <row r="5904" spans="18:19">
      <c r="R5904" s="178"/>
      <c r="S5904" s="178"/>
    </row>
    <row r="5905" spans="18:19">
      <c r="R5905" s="178"/>
      <c r="S5905" s="178"/>
    </row>
    <row r="5906" spans="18:19">
      <c r="R5906" s="178"/>
      <c r="S5906" s="178"/>
    </row>
    <row r="5907" spans="18:19">
      <c r="R5907" s="178"/>
      <c r="S5907" s="178"/>
    </row>
    <row r="5908" spans="18:19">
      <c r="R5908" s="178"/>
      <c r="S5908" s="178"/>
    </row>
    <row r="5909" spans="18:19">
      <c r="R5909" s="178"/>
      <c r="S5909" s="178"/>
    </row>
    <row r="5910" spans="18:19">
      <c r="R5910" s="178"/>
      <c r="S5910" s="178"/>
    </row>
    <row r="5911" spans="18:19">
      <c r="R5911" s="178"/>
      <c r="S5911" s="178"/>
    </row>
    <row r="5912" spans="18:19">
      <c r="R5912" s="178"/>
      <c r="S5912" s="178"/>
    </row>
    <row r="5913" spans="18:19">
      <c r="R5913" s="178"/>
      <c r="S5913" s="178"/>
    </row>
    <row r="5914" spans="18:19">
      <c r="R5914" s="178"/>
      <c r="S5914" s="178"/>
    </row>
    <row r="5915" spans="18:19">
      <c r="R5915" s="178"/>
      <c r="S5915" s="178"/>
    </row>
    <row r="5916" spans="18:19">
      <c r="R5916" s="178"/>
      <c r="S5916" s="178"/>
    </row>
    <row r="5917" spans="18:19">
      <c r="R5917" s="178"/>
      <c r="S5917" s="178"/>
    </row>
    <row r="5918" spans="18:19">
      <c r="R5918" s="178"/>
      <c r="S5918" s="178"/>
    </row>
    <row r="5919" spans="18:19">
      <c r="R5919" s="178"/>
      <c r="S5919" s="178"/>
    </row>
    <row r="5920" spans="18:19">
      <c r="R5920" s="178"/>
      <c r="S5920" s="178"/>
    </row>
    <row r="5921" spans="18:19">
      <c r="R5921" s="178"/>
      <c r="S5921" s="178"/>
    </row>
    <row r="5922" spans="18:19">
      <c r="R5922" s="178"/>
      <c r="S5922" s="178"/>
    </row>
    <row r="5923" spans="18:19">
      <c r="R5923" s="178"/>
      <c r="S5923" s="178"/>
    </row>
    <row r="5924" spans="18:19">
      <c r="R5924" s="178"/>
      <c r="S5924" s="178"/>
    </row>
    <row r="5925" spans="18:19">
      <c r="R5925" s="178"/>
      <c r="S5925" s="178"/>
    </row>
    <row r="5926" spans="18:19">
      <c r="R5926" s="178"/>
      <c r="S5926" s="178"/>
    </row>
    <row r="5927" spans="18:19">
      <c r="R5927" s="178"/>
      <c r="S5927" s="178"/>
    </row>
    <row r="5928" spans="18:19">
      <c r="R5928" s="178"/>
      <c r="S5928" s="178"/>
    </row>
    <row r="5929" spans="18:19">
      <c r="R5929" s="178"/>
      <c r="S5929" s="178"/>
    </row>
    <row r="5930" spans="18:19">
      <c r="R5930" s="178"/>
      <c r="S5930" s="178"/>
    </row>
    <row r="5931" spans="18:19">
      <c r="R5931" s="178"/>
      <c r="S5931" s="178"/>
    </row>
    <row r="5932" spans="18:19">
      <c r="R5932" s="178"/>
      <c r="S5932" s="178"/>
    </row>
    <row r="5933" spans="18:19">
      <c r="R5933" s="178"/>
      <c r="S5933" s="178"/>
    </row>
    <row r="5934" spans="18:19">
      <c r="R5934" s="178"/>
      <c r="S5934" s="178"/>
    </row>
    <row r="5935" spans="18:19">
      <c r="R5935" s="178"/>
      <c r="S5935" s="178"/>
    </row>
    <row r="5936" spans="18:19">
      <c r="R5936" s="178"/>
      <c r="S5936" s="178"/>
    </row>
    <row r="5937" spans="18:19">
      <c r="R5937" s="178"/>
      <c r="S5937" s="178"/>
    </row>
    <row r="5938" spans="18:19">
      <c r="R5938" s="178"/>
      <c r="S5938" s="178"/>
    </row>
    <row r="5939" spans="18:19">
      <c r="R5939" s="178"/>
      <c r="S5939" s="178"/>
    </row>
    <row r="5940" spans="18:19">
      <c r="R5940" s="178"/>
      <c r="S5940" s="178"/>
    </row>
    <row r="5941" spans="18:19">
      <c r="R5941" s="178"/>
      <c r="S5941" s="178"/>
    </row>
    <row r="5942" spans="18:19">
      <c r="R5942" s="178"/>
      <c r="S5942" s="178"/>
    </row>
    <row r="5943" spans="18:19">
      <c r="R5943" s="178"/>
      <c r="S5943" s="178"/>
    </row>
    <row r="5944" spans="18:19">
      <c r="R5944" s="178"/>
      <c r="S5944" s="178"/>
    </row>
    <row r="5945" spans="18:19">
      <c r="R5945" s="178"/>
      <c r="S5945" s="178"/>
    </row>
    <row r="5946" spans="18:19">
      <c r="R5946" s="178"/>
      <c r="S5946" s="178"/>
    </row>
    <row r="5947" spans="18:19">
      <c r="R5947" s="178"/>
      <c r="S5947" s="178"/>
    </row>
    <row r="5948" spans="18:19">
      <c r="R5948" s="178"/>
      <c r="S5948" s="178"/>
    </row>
    <row r="5949" spans="18:19">
      <c r="R5949" s="178"/>
      <c r="S5949" s="178"/>
    </row>
    <row r="5950" spans="18:19">
      <c r="R5950" s="178"/>
      <c r="S5950" s="178"/>
    </row>
    <row r="5951" spans="18:19">
      <c r="R5951" s="178"/>
      <c r="S5951" s="178"/>
    </row>
    <row r="5952" spans="18:19">
      <c r="R5952" s="178"/>
      <c r="S5952" s="178"/>
    </row>
    <row r="5953" spans="18:19">
      <c r="R5953" s="178"/>
      <c r="S5953" s="178"/>
    </row>
    <row r="5954" spans="18:19">
      <c r="R5954" s="178"/>
      <c r="S5954" s="178"/>
    </row>
    <row r="5955" spans="18:19">
      <c r="R5955" s="178"/>
      <c r="S5955" s="178"/>
    </row>
    <row r="5956" spans="18:19">
      <c r="R5956" s="178"/>
      <c r="S5956" s="178"/>
    </row>
    <row r="5957" spans="18:19">
      <c r="R5957" s="178"/>
      <c r="S5957" s="178"/>
    </row>
    <row r="5958" spans="18:19">
      <c r="R5958" s="178"/>
      <c r="S5958" s="178"/>
    </row>
    <row r="5959" spans="18:19">
      <c r="R5959" s="178"/>
      <c r="S5959" s="178"/>
    </row>
    <row r="5960" spans="18:19">
      <c r="R5960" s="178"/>
      <c r="S5960" s="178"/>
    </row>
    <row r="5961" spans="18:19">
      <c r="R5961" s="178"/>
      <c r="S5961" s="178"/>
    </row>
    <row r="5962" spans="18:19">
      <c r="R5962" s="178"/>
      <c r="S5962" s="178"/>
    </row>
    <row r="5963" spans="18:19">
      <c r="R5963" s="178"/>
      <c r="S5963" s="178"/>
    </row>
    <row r="5964" spans="18:19">
      <c r="R5964" s="178"/>
      <c r="S5964" s="178"/>
    </row>
    <row r="5965" spans="18:19">
      <c r="R5965" s="178"/>
      <c r="S5965" s="178"/>
    </row>
    <row r="5966" spans="18:19">
      <c r="R5966" s="178"/>
      <c r="S5966" s="178"/>
    </row>
    <row r="5967" spans="18:19">
      <c r="R5967" s="178"/>
      <c r="S5967" s="178"/>
    </row>
    <row r="5968" spans="18:19">
      <c r="R5968" s="178"/>
      <c r="S5968" s="178"/>
    </row>
    <row r="5969" spans="18:19">
      <c r="R5969" s="178"/>
      <c r="S5969" s="178"/>
    </row>
    <row r="5970" spans="18:19">
      <c r="R5970" s="178"/>
      <c r="S5970" s="178"/>
    </row>
    <row r="5971" spans="18:19">
      <c r="R5971" s="178"/>
      <c r="S5971" s="178"/>
    </row>
    <row r="5972" spans="18:19">
      <c r="R5972" s="178"/>
      <c r="S5972" s="178"/>
    </row>
    <row r="5973" spans="18:19">
      <c r="R5973" s="178"/>
      <c r="S5973" s="178"/>
    </row>
    <row r="5974" spans="18:19">
      <c r="R5974" s="178"/>
      <c r="S5974" s="178"/>
    </row>
    <row r="5975" spans="18:19">
      <c r="R5975" s="178"/>
      <c r="S5975" s="178"/>
    </row>
    <row r="5976" spans="18:19">
      <c r="R5976" s="178"/>
      <c r="S5976" s="178"/>
    </row>
    <row r="5977" spans="18:19">
      <c r="R5977" s="178"/>
      <c r="S5977" s="178"/>
    </row>
    <row r="5978" spans="18:19">
      <c r="R5978" s="178"/>
      <c r="S5978" s="178"/>
    </row>
    <row r="5979" spans="18:19">
      <c r="R5979" s="178"/>
      <c r="S5979" s="178"/>
    </row>
    <row r="5980" spans="18:19">
      <c r="R5980" s="178"/>
      <c r="S5980" s="178"/>
    </row>
    <row r="5981" spans="18:19">
      <c r="R5981" s="178"/>
      <c r="S5981" s="178"/>
    </row>
    <row r="5982" spans="18:19">
      <c r="R5982" s="178"/>
      <c r="S5982" s="178"/>
    </row>
    <row r="5983" spans="18:19">
      <c r="R5983" s="178"/>
      <c r="S5983" s="178"/>
    </row>
    <row r="5984" spans="18:19">
      <c r="R5984" s="178"/>
      <c r="S5984" s="178"/>
    </row>
    <row r="5985" spans="18:19">
      <c r="R5985" s="178"/>
      <c r="S5985" s="178"/>
    </row>
    <row r="5986" spans="18:19">
      <c r="R5986" s="178"/>
      <c r="S5986" s="178"/>
    </row>
    <row r="5987" spans="18:19">
      <c r="R5987" s="178"/>
      <c r="S5987" s="178"/>
    </row>
    <row r="5988" spans="18:19">
      <c r="R5988" s="178"/>
      <c r="S5988" s="178"/>
    </row>
    <row r="5989" spans="18:19">
      <c r="R5989" s="178"/>
      <c r="S5989" s="178"/>
    </row>
    <row r="5990" spans="18:19">
      <c r="R5990" s="178"/>
      <c r="S5990" s="178"/>
    </row>
    <row r="5991" spans="18:19">
      <c r="R5991" s="178"/>
      <c r="S5991" s="178"/>
    </row>
    <row r="5992" spans="18:19">
      <c r="R5992" s="178"/>
      <c r="S5992" s="178"/>
    </row>
    <row r="5993" spans="18:19">
      <c r="R5993" s="178"/>
      <c r="S5993" s="178"/>
    </row>
    <row r="5994" spans="18:19">
      <c r="R5994" s="178"/>
      <c r="S5994" s="178"/>
    </row>
    <row r="5995" spans="18:19">
      <c r="R5995" s="178"/>
      <c r="S5995" s="178"/>
    </row>
    <row r="5996" spans="18:19">
      <c r="R5996" s="178"/>
      <c r="S5996" s="178"/>
    </row>
    <row r="5997" spans="18:19">
      <c r="R5997" s="178"/>
      <c r="S5997" s="178"/>
    </row>
    <row r="5998" spans="18:19">
      <c r="R5998" s="178"/>
      <c r="S5998" s="178"/>
    </row>
    <row r="5999" spans="18:19">
      <c r="R5999" s="178"/>
      <c r="S5999" s="178"/>
    </row>
    <row r="6000" spans="18:19">
      <c r="R6000" s="178"/>
      <c r="S6000" s="178"/>
    </row>
    <row r="6001" spans="18:19">
      <c r="R6001" s="178"/>
      <c r="S6001" s="178"/>
    </row>
    <row r="6002" spans="18:19">
      <c r="R6002" s="178"/>
      <c r="S6002" s="178"/>
    </row>
    <row r="6003" spans="18:19">
      <c r="R6003" s="178"/>
      <c r="S6003" s="178"/>
    </row>
    <row r="6004" spans="18:19">
      <c r="R6004" s="178"/>
      <c r="S6004" s="178"/>
    </row>
    <row r="6005" spans="18:19">
      <c r="R6005" s="178"/>
      <c r="S6005" s="178"/>
    </row>
    <row r="6006" spans="18:19">
      <c r="R6006" s="178"/>
      <c r="S6006" s="178"/>
    </row>
    <row r="6007" spans="18:19">
      <c r="R6007" s="178"/>
      <c r="S6007" s="178"/>
    </row>
    <row r="6008" spans="18:19">
      <c r="R6008" s="178"/>
      <c r="S6008" s="178"/>
    </row>
    <row r="6009" spans="18:19">
      <c r="R6009" s="178"/>
      <c r="S6009" s="178"/>
    </row>
    <row r="6010" spans="18:19">
      <c r="R6010" s="178"/>
      <c r="S6010" s="178"/>
    </row>
    <row r="6011" spans="18:19">
      <c r="R6011" s="178"/>
      <c r="S6011" s="178"/>
    </row>
    <row r="6012" spans="18:19">
      <c r="R6012" s="178"/>
      <c r="S6012" s="178"/>
    </row>
    <row r="6013" spans="18:19">
      <c r="R6013" s="178"/>
      <c r="S6013" s="178"/>
    </row>
    <row r="6014" spans="18:19">
      <c r="R6014" s="178"/>
      <c r="S6014" s="178"/>
    </row>
    <row r="6015" spans="18:19">
      <c r="R6015" s="178"/>
      <c r="S6015" s="178"/>
    </row>
    <row r="6016" spans="18:19">
      <c r="R6016" s="178"/>
      <c r="S6016" s="178"/>
    </row>
    <row r="6017" spans="18:19">
      <c r="R6017" s="178"/>
      <c r="S6017" s="178"/>
    </row>
    <row r="6018" spans="18:19">
      <c r="R6018" s="178"/>
      <c r="S6018" s="178"/>
    </row>
    <row r="6019" spans="18:19">
      <c r="R6019" s="178"/>
      <c r="S6019" s="178"/>
    </row>
    <row r="6020" spans="18:19">
      <c r="R6020" s="178"/>
      <c r="S6020" s="178"/>
    </row>
    <row r="6021" spans="18:19">
      <c r="R6021" s="178"/>
      <c r="S6021" s="178"/>
    </row>
    <row r="6022" spans="18:19">
      <c r="R6022" s="178"/>
      <c r="S6022" s="178"/>
    </row>
    <row r="6023" spans="18:19">
      <c r="R6023" s="178"/>
      <c r="S6023" s="178"/>
    </row>
    <row r="6024" spans="18:19">
      <c r="R6024" s="178"/>
      <c r="S6024" s="178"/>
    </row>
    <row r="6025" spans="18:19">
      <c r="R6025" s="178"/>
      <c r="S6025" s="178"/>
    </row>
    <row r="6026" spans="18:19">
      <c r="R6026" s="178"/>
      <c r="S6026" s="178"/>
    </row>
    <row r="6027" spans="18:19">
      <c r="R6027" s="178"/>
      <c r="S6027" s="178"/>
    </row>
    <row r="6028" spans="18:19">
      <c r="R6028" s="178"/>
      <c r="S6028" s="178"/>
    </row>
    <row r="6029" spans="18:19">
      <c r="R6029" s="178"/>
      <c r="S6029" s="178"/>
    </row>
    <row r="6030" spans="18:19">
      <c r="R6030" s="178"/>
      <c r="S6030" s="178"/>
    </row>
    <row r="6031" spans="18:19">
      <c r="R6031" s="178"/>
      <c r="S6031" s="178"/>
    </row>
    <row r="6032" spans="18:19">
      <c r="R6032" s="178"/>
      <c r="S6032" s="178"/>
    </row>
    <row r="6033" spans="18:19">
      <c r="R6033" s="178"/>
      <c r="S6033" s="178"/>
    </row>
    <row r="6034" spans="18:19">
      <c r="R6034" s="178"/>
      <c r="S6034" s="178"/>
    </row>
    <row r="6035" spans="18:19">
      <c r="R6035" s="178"/>
      <c r="S6035" s="178"/>
    </row>
    <row r="6036" spans="18:19">
      <c r="R6036" s="178"/>
      <c r="S6036" s="178"/>
    </row>
    <row r="6037" spans="18:19">
      <c r="R6037" s="178"/>
      <c r="S6037" s="178"/>
    </row>
    <row r="6038" spans="18:19">
      <c r="R6038" s="178"/>
      <c r="S6038" s="178"/>
    </row>
    <row r="6039" spans="18:19">
      <c r="R6039" s="178"/>
      <c r="S6039" s="178"/>
    </row>
    <row r="6040" spans="18:19">
      <c r="R6040" s="178"/>
      <c r="S6040" s="178"/>
    </row>
    <row r="6041" spans="18:19">
      <c r="R6041" s="178"/>
      <c r="S6041" s="178"/>
    </row>
    <row r="6042" spans="18:19">
      <c r="R6042" s="178"/>
      <c r="S6042" s="178"/>
    </row>
    <row r="6043" spans="18:19">
      <c r="R6043" s="178"/>
      <c r="S6043" s="178"/>
    </row>
    <row r="6044" spans="18:19">
      <c r="R6044" s="178"/>
      <c r="S6044" s="178"/>
    </row>
    <row r="6045" spans="18:19">
      <c r="R6045" s="178"/>
      <c r="S6045" s="178"/>
    </row>
    <row r="6046" spans="18:19">
      <c r="R6046" s="178"/>
      <c r="S6046" s="178"/>
    </row>
    <row r="6047" spans="18:19">
      <c r="R6047" s="178"/>
      <c r="S6047" s="178"/>
    </row>
    <row r="6048" spans="18:19">
      <c r="R6048" s="178"/>
      <c r="S6048" s="178"/>
    </row>
    <row r="6049" spans="18:19">
      <c r="R6049" s="178"/>
      <c r="S6049" s="178"/>
    </row>
    <row r="6050" spans="18:19">
      <c r="R6050" s="178"/>
      <c r="S6050" s="178"/>
    </row>
    <row r="6051" spans="18:19">
      <c r="R6051" s="178"/>
      <c r="S6051" s="178"/>
    </row>
    <row r="6052" spans="18:19">
      <c r="R6052" s="178"/>
      <c r="S6052" s="178"/>
    </row>
    <row r="6053" spans="18:19">
      <c r="R6053" s="178"/>
      <c r="S6053" s="178"/>
    </row>
    <row r="6054" spans="18:19">
      <c r="R6054" s="178"/>
      <c r="S6054" s="178"/>
    </row>
    <row r="6055" spans="18:19">
      <c r="R6055" s="178"/>
      <c r="S6055" s="178"/>
    </row>
    <row r="6056" spans="18:19">
      <c r="R6056" s="178"/>
      <c r="S6056" s="178"/>
    </row>
    <row r="6057" spans="18:19">
      <c r="R6057" s="178"/>
      <c r="S6057" s="178"/>
    </row>
    <row r="6058" spans="18:19">
      <c r="R6058" s="178"/>
      <c r="S6058" s="178"/>
    </row>
    <row r="6059" spans="18:19">
      <c r="R6059" s="178"/>
      <c r="S6059" s="178"/>
    </row>
    <row r="6060" spans="18:19">
      <c r="R6060" s="178"/>
      <c r="S6060" s="178"/>
    </row>
    <row r="6061" spans="18:19">
      <c r="R6061" s="178"/>
      <c r="S6061" s="178"/>
    </row>
    <row r="6062" spans="18:19">
      <c r="R6062" s="178"/>
      <c r="S6062" s="178"/>
    </row>
    <row r="6063" spans="18:19">
      <c r="R6063" s="178"/>
      <c r="S6063" s="178"/>
    </row>
    <row r="6064" spans="18:19">
      <c r="R6064" s="178"/>
      <c r="S6064" s="178"/>
    </row>
    <row r="6065" spans="18:19">
      <c r="R6065" s="178"/>
      <c r="S6065" s="178"/>
    </row>
    <row r="6066" spans="18:19">
      <c r="R6066" s="178"/>
      <c r="S6066" s="178"/>
    </row>
    <row r="6067" spans="18:19">
      <c r="R6067" s="178"/>
      <c r="S6067" s="178"/>
    </row>
    <row r="6068" spans="18:19">
      <c r="R6068" s="178"/>
      <c r="S6068" s="178"/>
    </row>
    <row r="6069" spans="18:19">
      <c r="R6069" s="178"/>
      <c r="S6069" s="178"/>
    </row>
    <row r="6070" spans="18:19">
      <c r="R6070" s="178"/>
      <c r="S6070" s="178"/>
    </row>
    <row r="6071" spans="18:19">
      <c r="R6071" s="178"/>
      <c r="S6071" s="178"/>
    </row>
    <row r="6072" spans="18:19">
      <c r="R6072" s="178"/>
      <c r="S6072" s="178"/>
    </row>
    <row r="6073" spans="18:19">
      <c r="R6073" s="178"/>
      <c r="S6073" s="178"/>
    </row>
    <row r="6074" spans="18:19">
      <c r="R6074" s="178"/>
      <c r="S6074" s="178"/>
    </row>
    <row r="6075" spans="18:19">
      <c r="R6075" s="178"/>
      <c r="S6075" s="178"/>
    </row>
    <row r="6076" spans="18:19">
      <c r="R6076" s="178"/>
      <c r="S6076" s="178"/>
    </row>
    <row r="6077" spans="18:19">
      <c r="R6077" s="178"/>
      <c r="S6077" s="178"/>
    </row>
    <row r="6078" spans="18:19">
      <c r="R6078" s="178"/>
      <c r="S6078" s="178"/>
    </row>
    <row r="6079" spans="18:19">
      <c r="R6079" s="178"/>
      <c r="S6079" s="178"/>
    </row>
    <row r="6080" spans="18:19">
      <c r="R6080" s="178"/>
      <c r="S6080" s="178"/>
    </row>
    <row r="6081" spans="18:19">
      <c r="R6081" s="178"/>
      <c r="S6081" s="178"/>
    </row>
    <row r="6082" spans="18:19">
      <c r="R6082" s="178"/>
      <c r="S6082" s="178"/>
    </row>
    <row r="6083" spans="18:19">
      <c r="R6083" s="178"/>
      <c r="S6083" s="178"/>
    </row>
    <row r="6084" spans="18:19">
      <c r="R6084" s="178"/>
      <c r="S6084" s="178"/>
    </row>
    <row r="6085" spans="18:19">
      <c r="R6085" s="178"/>
      <c r="S6085" s="178"/>
    </row>
    <row r="6086" spans="18:19">
      <c r="R6086" s="178"/>
      <c r="S6086" s="178"/>
    </row>
    <row r="6087" spans="18:19">
      <c r="R6087" s="178"/>
      <c r="S6087" s="178"/>
    </row>
    <row r="6088" spans="18:19">
      <c r="R6088" s="178"/>
      <c r="S6088" s="178"/>
    </row>
    <row r="6089" spans="18:19">
      <c r="R6089" s="178"/>
      <c r="S6089" s="178"/>
    </row>
    <row r="6090" spans="18:19">
      <c r="R6090" s="178"/>
      <c r="S6090" s="178"/>
    </row>
    <row r="6091" spans="18:19">
      <c r="R6091" s="178"/>
      <c r="S6091" s="178"/>
    </row>
    <row r="6092" spans="18:19">
      <c r="R6092" s="178"/>
      <c r="S6092" s="178"/>
    </row>
    <row r="6093" spans="18:19">
      <c r="R6093" s="178"/>
      <c r="S6093" s="178"/>
    </row>
    <row r="6094" spans="18:19">
      <c r="R6094" s="178"/>
      <c r="S6094" s="178"/>
    </row>
    <row r="6095" spans="18:19">
      <c r="R6095" s="178"/>
      <c r="S6095" s="178"/>
    </row>
    <row r="6096" spans="18:19">
      <c r="R6096" s="178"/>
      <c r="S6096" s="178"/>
    </row>
    <row r="6097" spans="18:19">
      <c r="R6097" s="178"/>
      <c r="S6097" s="178"/>
    </row>
    <row r="6098" spans="18:19">
      <c r="R6098" s="178"/>
      <c r="S6098" s="178"/>
    </row>
    <row r="6099" spans="18:19">
      <c r="R6099" s="178"/>
      <c r="S6099" s="178"/>
    </row>
    <row r="6100" spans="18:19">
      <c r="R6100" s="178"/>
      <c r="S6100" s="178"/>
    </row>
    <row r="6101" spans="18:19">
      <c r="R6101" s="178"/>
      <c r="S6101" s="178"/>
    </row>
    <row r="6102" spans="18:19">
      <c r="R6102" s="178"/>
      <c r="S6102" s="178"/>
    </row>
    <row r="6103" spans="18:19">
      <c r="R6103" s="178"/>
      <c r="S6103" s="178"/>
    </row>
    <row r="6104" spans="18:19">
      <c r="R6104" s="178"/>
      <c r="S6104" s="178"/>
    </row>
    <row r="6105" spans="18:19">
      <c r="R6105" s="178"/>
      <c r="S6105" s="178"/>
    </row>
    <row r="6106" spans="18:19">
      <c r="R6106" s="178"/>
      <c r="S6106" s="178"/>
    </row>
    <row r="6107" spans="18:19">
      <c r="R6107" s="178"/>
      <c r="S6107" s="178"/>
    </row>
    <row r="6108" spans="18:19">
      <c r="R6108" s="178"/>
      <c r="S6108" s="178"/>
    </row>
    <row r="6109" spans="18:19">
      <c r="R6109" s="178"/>
      <c r="S6109" s="178"/>
    </row>
    <row r="6110" spans="18:19">
      <c r="R6110" s="178"/>
      <c r="S6110" s="178"/>
    </row>
    <row r="6111" spans="18:19">
      <c r="R6111" s="178"/>
      <c r="S6111" s="178"/>
    </row>
    <row r="6112" spans="18:19">
      <c r="R6112" s="178"/>
      <c r="S6112" s="178"/>
    </row>
    <row r="6113" spans="18:19">
      <c r="R6113" s="178"/>
      <c r="S6113" s="178"/>
    </row>
    <row r="6114" spans="18:19">
      <c r="R6114" s="178"/>
      <c r="S6114" s="178"/>
    </row>
    <row r="6115" spans="18:19">
      <c r="R6115" s="178"/>
      <c r="S6115" s="178"/>
    </row>
    <row r="6116" spans="18:19">
      <c r="R6116" s="178"/>
      <c r="S6116" s="178"/>
    </row>
    <row r="6117" spans="18:19">
      <c r="R6117" s="178"/>
      <c r="S6117" s="178"/>
    </row>
    <row r="6118" spans="18:19">
      <c r="R6118" s="178"/>
      <c r="S6118" s="178"/>
    </row>
    <row r="6119" spans="18:19">
      <c r="R6119" s="178"/>
      <c r="S6119" s="178"/>
    </row>
    <row r="6120" spans="18:19">
      <c r="R6120" s="178"/>
      <c r="S6120" s="178"/>
    </row>
    <row r="6121" spans="18:19">
      <c r="R6121" s="178"/>
      <c r="S6121" s="178"/>
    </row>
    <row r="6122" spans="18:19">
      <c r="R6122" s="178"/>
      <c r="S6122" s="178"/>
    </row>
    <row r="6123" spans="18:19">
      <c r="R6123" s="178"/>
      <c r="S6123" s="178"/>
    </row>
    <row r="6124" spans="18:19">
      <c r="R6124" s="178"/>
      <c r="S6124" s="178"/>
    </row>
    <row r="6125" spans="18:19">
      <c r="R6125" s="178"/>
      <c r="S6125" s="178"/>
    </row>
    <row r="6126" spans="18:19">
      <c r="R6126" s="178"/>
      <c r="S6126" s="178"/>
    </row>
    <row r="6127" spans="18:19">
      <c r="R6127" s="178"/>
      <c r="S6127" s="178"/>
    </row>
    <row r="6128" spans="18:19">
      <c r="R6128" s="178"/>
      <c r="S6128" s="178"/>
    </row>
    <row r="6129" spans="18:19">
      <c r="R6129" s="178"/>
      <c r="S6129" s="178"/>
    </row>
    <row r="6130" spans="18:19">
      <c r="R6130" s="178"/>
      <c r="S6130" s="178"/>
    </row>
    <row r="6131" spans="18:19">
      <c r="R6131" s="178"/>
      <c r="S6131" s="178"/>
    </row>
    <row r="6132" spans="18:19">
      <c r="R6132" s="178"/>
      <c r="S6132" s="178"/>
    </row>
    <row r="6133" spans="18:19">
      <c r="R6133" s="178"/>
      <c r="S6133" s="178"/>
    </row>
    <row r="6134" spans="18:19">
      <c r="R6134" s="178"/>
      <c r="S6134" s="178"/>
    </row>
    <row r="6135" spans="18:19">
      <c r="R6135" s="178"/>
      <c r="S6135" s="178"/>
    </row>
    <row r="6136" spans="18:19">
      <c r="R6136" s="178"/>
      <c r="S6136" s="178"/>
    </row>
    <row r="6137" spans="18:19">
      <c r="R6137" s="178"/>
      <c r="S6137" s="178"/>
    </row>
    <row r="6138" spans="18:19">
      <c r="R6138" s="178"/>
      <c r="S6138" s="178"/>
    </row>
    <row r="6139" spans="18:19">
      <c r="R6139" s="178"/>
      <c r="S6139" s="178"/>
    </row>
    <row r="6140" spans="18:19">
      <c r="R6140" s="178"/>
      <c r="S6140" s="178"/>
    </row>
    <row r="6141" spans="18:19">
      <c r="R6141" s="178"/>
      <c r="S6141" s="178"/>
    </row>
    <row r="6142" spans="18:19">
      <c r="R6142" s="178"/>
      <c r="S6142" s="178"/>
    </row>
    <row r="6143" spans="18:19">
      <c r="R6143" s="178"/>
      <c r="S6143" s="178"/>
    </row>
    <row r="6144" spans="18:19">
      <c r="R6144" s="178"/>
      <c r="S6144" s="178"/>
    </row>
    <row r="6145" spans="18:19">
      <c r="R6145" s="178"/>
      <c r="S6145" s="178"/>
    </row>
    <row r="6146" spans="18:19">
      <c r="R6146" s="178"/>
      <c r="S6146" s="178"/>
    </row>
    <row r="6147" spans="18:19">
      <c r="R6147" s="178"/>
      <c r="S6147" s="178"/>
    </row>
    <row r="6148" spans="18:19">
      <c r="R6148" s="178"/>
      <c r="S6148" s="178"/>
    </row>
    <row r="6149" spans="18:19">
      <c r="R6149" s="178"/>
      <c r="S6149" s="178"/>
    </row>
    <row r="6150" spans="18:19">
      <c r="R6150" s="178"/>
      <c r="S6150" s="178"/>
    </row>
    <row r="6151" spans="18:19">
      <c r="R6151" s="178"/>
      <c r="S6151" s="178"/>
    </row>
    <row r="6152" spans="18:19">
      <c r="R6152" s="178"/>
      <c r="S6152" s="178"/>
    </row>
    <row r="6153" spans="18:19">
      <c r="R6153" s="178"/>
      <c r="S6153" s="178"/>
    </row>
    <row r="6154" spans="18:19">
      <c r="R6154" s="178"/>
      <c r="S6154" s="178"/>
    </row>
    <row r="6155" spans="18:19">
      <c r="R6155" s="178"/>
      <c r="S6155" s="178"/>
    </row>
    <row r="6156" spans="18:19">
      <c r="R6156" s="178"/>
      <c r="S6156" s="178"/>
    </row>
    <row r="6157" spans="18:19">
      <c r="R6157" s="178"/>
      <c r="S6157" s="178"/>
    </row>
    <row r="6158" spans="18:19">
      <c r="R6158" s="178"/>
      <c r="S6158" s="178"/>
    </row>
    <row r="6159" spans="18:19">
      <c r="R6159" s="178"/>
      <c r="S6159" s="178"/>
    </row>
    <row r="6160" spans="18:19">
      <c r="R6160" s="178"/>
      <c r="S6160" s="178"/>
    </row>
    <row r="6161" spans="18:19">
      <c r="R6161" s="178"/>
      <c r="S6161" s="178"/>
    </row>
    <row r="6162" spans="18:19">
      <c r="R6162" s="178"/>
      <c r="S6162" s="178"/>
    </row>
    <row r="6163" spans="18:19">
      <c r="R6163" s="178"/>
      <c r="S6163" s="178"/>
    </row>
    <row r="6164" spans="18:19">
      <c r="R6164" s="178"/>
      <c r="S6164" s="178"/>
    </row>
    <row r="6165" spans="18:19">
      <c r="R6165" s="178"/>
      <c r="S6165" s="178"/>
    </row>
    <row r="6166" spans="18:19">
      <c r="R6166" s="178"/>
      <c r="S6166" s="178"/>
    </row>
    <row r="6167" spans="18:19">
      <c r="R6167" s="178"/>
      <c r="S6167" s="178"/>
    </row>
    <row r="6168" spans="18:19">
      <c r="R6168" s="178"/>
      <c r="S6168" s="178"/>
    </row>
    <row r="6169" spans="18:19">
      <c r="R6169" s="178"/>
      <c r="S6169" s="178"/>
    </row>
    <row r="6170" spans="18:19">
      <c r="R6170" s="178"/>
      <c r="S6170" s="178"/>
    </row>
    <row r="6171" spans="18:19">
      <c r="R6171" s="178"/>
      <c r="S6171" s="178"/>
    </row>
    <row r="6172" spans="18:19">
      <c r="R6172" s="178"/>
      <c r="S6172" s="178"/>
    </row>
    <row r="6173" spans="18:19">
      <c r="R6173" s="178"/>
      <c r="S6173" s="178"/>
    </row>
    <row r="6174" spans="18:19">
      <c r="R6174" s="178"/>
      <c r="S6174" s="178"/>
    </row>
    <row r="6175" spans="18:19">
      <c r="R6175" s="178"/>
      <c r="S6175" s="178"/>
    </row>
    <row r="6176" spans="18:19">
      <c r="R6176" s="178"/>
      <c r="S6176" s="178"/>
    </row>
    <row r="6177" spans="18:19">
      <c r="R6177" s="178"/>
      <c r="S6177" s="178"/>
    </row>
    <row r="6178" spans="18:19">
      <c r="R6178" s="178"/>
      <c r="S6178" s="178"/>
    </row>
    <row r="6179" spans="18:19">
      <c r="R6179" s="178"/>
      <c r="S6179" s="178"/>
    </row>
    <row r="6180" spans="18:19">
      <c r="R6180" s="178"/>
      <c r="S6180" s="178"/>
    </row>
    <row r="6181" spans="18:19">
      <c r="R6181" s="178"/>
      <c r="S6181" s="178"/>
    </row>
    <row r="6182" spans="18:19">
      <c r="R6182" s="178"/>
      <c r="S6182" s="178"/>
    </row>
    <row r="6183" spans="18:19">
      <c r="R6183" s="178"/>
      <c r="S6183" s="178"/>
    </row>
    <row r="6184" spans="18:19">
      <c r="R6184" s="178"/>
      <c r="S6184" s="178"/>
    </row>
    <row r="6185" spans="18:19">
      <c r="R6185" s="178"/>
      <c r="S6185" s="178"/>
    </row>
    <row r="6186" spans="18:19">
      <c r="R6186" s="178"/>
      <c r="S6186" s="178"/>
    </row>
    <row r="6187" spans="18:19">
      <c r="R6187" s="178"/>
      <c r="S6187" s="178"/>
    </row>
    <row r="6188" spans="18:19">
      <c r="R6188" s="178"/>
      <c r="S6188" s="178"/>
    </row>
    <row r="6189" spans="18:19">
      <c r="R6189" s="178"/>
      <c r="S6189" s="178"/>
    </row>
    <row r="6190" spans="18:19">
      <c r="R6190" s="178"/>
      <c r="S6190" s="178"/>
    </row>
    <row r="6191" spans="18:19">
      <c r="R6191" s="178"/>
      <c r="S6191" s="178"/>
    </row>
    <row r="6192" spans="18:19">
      <c r="R6192" s="178"/>
      <c r="S6192" s="178"/>
    </row>
    <row r="6193" spans="18:19">
      <c r="R6193" s="178"/>
      <c r="S6193" s="178"/>
    </row>
    <row r="6194" spans="18:19">
      <c r="R6194" s="178"/>
      <c r="S6194" s="178"/>
    </row>
    <row r="6195" spans="18:19">
      <c r="R6195" s="178"/>
      <c r="S6195" s="178"/>
    </row>
    <row r="6196" spans="18:19">
      <c r="R6196" s="178"/>
      <c r="S6196" s="178"/>
    </row>
    <row r="6197" spans="18:19">
      <c r="R6197" s="178"/>
      <c r="S6197" s="178"/>
    </row>
    <row r="6198" spans="18:19">
      <c r="R6198" s="178"/>
      <c r="S6198" s="178"/>
    </row>
    <row r="6199" spans="18:19">
      <c r="R6199" s="178"/>
      <c r="S6199" s="178"/>
    </row>
    <row r="6200" spans="18:19">
      <c r="R6200" s="178"/>
      <c r="S6200" s="178"/>
    </row>
    <row r="6201" spans="18:19">
      <c r="R6201" s="178"/>
      <c r="S6201" s="178"/>
    </row>
    <row r="6202" spans="18:19">
      <c r="R6202" s="178"/>
      <c r="S6202" s="178"/>
    </row>
    <row r="6203" spans="18:19">
      <c r="R6203" s="178"/>
      <c r="S6203" s="178"/>
    </row>
    <row r="6204" spans="18:19">
      <c r="R6204" s="178"/>
      <c r="S6204" s="178"/>
    </row>
    <row r="6205" spans="18:19">
      <c r="R6205" s="178"/>
      <c r="S6205" s="178"/>
    </row>
    <row r="6206" spans="18:19">
      <c r="R6206" s="178"/>
      <c r="S6206" s="178"/>
    </row>
    <row r="6207" spans="18:19">
      <c r="R6207" s="178"/>
      <c r="S6207" s="178"/>
    </row>
    <row r="6208" spans="18:19">
      <c r="R6208" s="178"/>
      <c r="S6208" s="178"/>
    </row>
    <row r="6209" spans="18:19">
      <c r="R6209" s="178"/>
      <c r="S6209" s="178"/>
    </row>
    <row r="6210" spans="18:19">
      <c r="R6210" s="178"/>
      <c r="S6210" s="178"/>
    </row>
    <row r="6211" spans="18:19">
      <c r="R6211" s="178"/>
      <c r="S6211" s="178"/>
    </row>
    <row r="6212" spans="18:19">
      <c r="R6212" s="178"/>
      <c r="S6212" s="178"/>
    </row>
    <row r="6213" spans="18:19">
      <c r="R6213" s="178"/>
      <c r="S6213" s="178"/>
    </row>
    <row r="6214" spans="18:19">
      <c r="R6214" s="178"/>
      <c r="S6214" s="178"/>
    </row>
    <row r="6215" spans="18:19">
      <c r="R6215" s="178"/>
      <c r="S6215" s="178"/>
    </row>
    <row r="6216" spans="18:19">
      <c r="R6216" s="178"/>
      <c r="S6216" s="178"/>
    </row>
    <row r="6217" spans="18:19">
      <c r="R6217" s="178"/>
      <c r="S6217" s="178"/>
    </row>
    <row r="6218" spans="18:19">
      <c r="R6218" s="178"/>
      <c r="S6218" s="178"/>
    </row>
    <row r="6219" spans="18:19">
      <c r="R6219" s="178"/>
      <c r="S6219" s="178"/>
    </row>
    <row r="6220" spans="18:19">
      <c r="R6220" s="178"/>
      <c r="S6220" s="178"/>
    </row>
    <row r="6221" spans="18:19">
      <c r="R6221" s="178"/>
      <c r="S6221" s="178"/>
    </row>
    <row r="6222" spans="18:19">
      <c r="R6222" s="178"/>
      <c r="S6222" s="178"/>
    </row>
    <row r="6223" spans="18:19">
      <c r="R6223" s="178"/>
      <c r="S6223" s="178"/>
    </row>
    <row r="6224" spans="18:19">
      <c r="R6224" s="178"/>
      <c r="S6224" s="178"/>
    </row>
    <row r="6225" spans="18:19">
      <c r="R6225" s="178"/>
      <c r="S6225" s="178"/>
    </row>
    <row r="6226" spans="18:19">
      <c r="R6226" s="178"/>
      <c r="S6226" s="178"/>
    </row>
    <row r="6227" spans="18:19">
      <c r="R6227" s="178"/>
      <c r="S6227" s="178"/>
    </row>
    <row r="6228" spans="18:19">
      <c r="R6228" s="178"/>
      <c r="S6228" s="178"/>
    </row>
    <row r="6229" spans="18:19">
      <c r="R6229" s="178"/>
      <c r="S6229" s="178"/>
    </row>
    <row r="6230" spans="18:19">
      <c r="R6230" s="178"/>
      <c r="S6230" s="178"/>
    </row>
    <row r="6231" spans="18:19">
      <c r="R6231" s="178"/>
      <c r="S6231" s="178"/>
    </row>
    <row r="6232" spans="18:19">
      <c r="R6232" s="178"/>
      <c r="S6232" s="178"/>
    </row>
    <row r="6233" spans="18:19">
      <c r="R6233" s="178"/>
      <c r="S6233" s="178"/>
    </row>
    <row r="6234" spans="18:19">
      <c r="R6234" s="178"/>
      <c r="S6234" s="178"/>
    </row>
    <row r="6235" spans="18:19">
      <c r="R6235" s="178"/>
      <c r="S6235" s="178"/>
    </row>
    <row r="6236" spans="18:19">
      <c r="R6236" s="178"/>
      <c r="S6236" s="178"/>
    </row>
    <row r="6237" spans="18:19">
      <c r="R6237" s="178"/>
      <c r="S6237" s="178"/>
    </row>
    <row r="6238" spans="18:19">
      <c r="R6238" s="178"/>
      <c r="S6238" s="178"/>
    </row>
    <row r="6239" spans="18:19">
      <c r="R6239" s="178"/>
      <c r="S6239" s="178"/>
    </row>
    <row r="6240" spans="18:19">
      <c r="R6240" s="178"/>
      <c r="S6240" s="178"/>
    </row>
    <row r="6241" spans="18:19">
      <c r="R6241" s="178"/>
      <c r="S6241" s="178"/>
    </row>
    <row r="6242" spans="18:19">
      <c r="R6242" s="178"/>
      <c r="S6242" s="178"/>
    </row>
    <row r="6243" spans="18:19">
      <c r="R6243" s="178"/>
      <c r="S6243" s="178"/>
    </row>
    <row r="6244" spans="18:19">
      <c r="R6244" s="178"/>
      <c r="S6244" s="178"/>
    </row>
    <row r="6245" spans="18:19">
      <c r="R6245" s="178"/>
      <c r="S6245" s="178"/>
    </row>
    <row r="6246" spans="18:19">
      <c r="R6246" s="178"/>
      <c r="S6246" s="178"/>
    </row>
    <row r="6247" spans="18:19">
      <c r="R6247" s="178"/>
      <c r="S6247" s="178"/>
    </row>
    <row r="6248" spans="18:19">
      <c r="R6248" s="178"/>
      <c r="S6248" s="178"/>
    </row>
    <row r="6249" spans="18:19">
      <c r="R6249" s="178"/>
      <c r="S6249" s="178"/>
    </row>
    <row r="6250" spans="18:19">
      <c r="R6250" s="178"/>
      <c r="S6250" s="178"/>
    </row>
    <row r="6251" spans="18:19">
      <c r="R6251" s="178"/>
      <c r="S6251" s="178"/>
    </row>
    <row r="6252" spans="18:19">
      <c r="R6252" s="178"/>
      <c r="S6252" s="178"/>
    </row>
    <row r="6253" spans="18:19">
      <c r="R6253" s="178"/>
      <c r="S6253" s="178"/>
    </row>
    <row r="6254" spans="18:19">
      <c r="R6254" s="178"/>
      <c r="S6254" s="178"/>
    </row>
    <row r="6255" spans="18:19">
      <c r="R6255" s="178"/>
      <c r="S6255" s="178"/>
    </row>
    <row r="6256" spans="18:19">
      <c r="R6256" s="178"/>
      <c r="S6256" s="178"/>
    </row>
    <row r="6257" spans="18:19">
      <c r="R6257" s="178"/>
      <c r="S6257" s="178"/>
    </row>
    <row r="6258" spans="18:19">
      <c r="R6258" s="178"/>
      <c r="S6258" s="178"/>
    </row>
    <row r="6259" spans="18:19">
      <c r="R6259" s="178"/>
      <c r="S6259" s="178"/>
    </row>
    <row r="6260" spans="18:19">
      <c r="R6260" s="178"/>
      <c r="S6260" s="178"/>
    </row>
    <row r="6261" spans="18:19">
      <c r="R6261" s="178"/>
      <c r="S6261" s="178"/>
    </row>
    <row r="6262" spans="18:19">
      <c r="R6262" s="178"/>
      <c r="S6262" s="178"/>
    </row>
    <row r="6263" spans="18:19">
      <c r="R6263" s="178"/>
      <c r="S6263" s="178"/>
    </row>
    <row r="6264" spans="18:19">
      <c r="R6264" s="178"/>
      <c r="S6264" s="178"/>
    </row>
    <row r="6265" spans="18:19">
      <c r="R6265" s="178"/>
      <c r="S6265" s="178"/>
    </row>
    <row r="6266" spans="18:19">
      <c r="R6266" s="178"/>
      <c r="S6266" s="178"/>
    </row>
    <row r="6267" spans="18:19">
      <c r="R6267" s="178"/>
      <c r="S6267" s="178"/>
    </row>
    <row r="6268" spans="18:19">
      <c r="R6268" s="178"/>
      <c r="S6268" s="178"/>
    </row>
    <row r="6269" spans="18:19">
      <c r="R6269" s="178"/>
      <c r="S6269" s="178"/>
    </row>
    <row r="6270" spans="18:19">
      <c r="R6270" s="178"/>
      <c r="S6270" s="178"/>
    </row>
    <row r="6271" spans="18:19">
      <c r="R6271" s="178"/>
      <c r="S6271" s="178"/>
    </row>
    <row r="6272" spans="18:19">
      <c r="R6272" s="178"/>
      <c r="S6272" s="178"/>
    </row>
    <row r="6273" spans="18:19">
      <c r="R6273" s="178"/>
      <c r="S6273" s="178"/>
    </row>
    <row r="6274" spans="18:19">
      <c r="R6274" s="178"/>
      <c r="S6274" s="178"/>
    </row>
    <row r="6275" spans="18:19">
      <c r="R6275" s="178"/>
      <c r="S6275" s="178"/>
    </row>
    <row r="6276" spans="18:19">
      <c r="R6276" s="178"/>
      <c r="S6276" s="178"/>
    </row>
    <row r="6277" spans="18:19">
      <c r="R6277" s="178"/>
      <c r="S6277" s="178"/>
    </row>
    <row r="6278" spans="18:19">
      <c r="R6278" s="178"/>
      <c r="S6278" s="178"/>
    </row>
    <row r="6279" spans="18:19">
      <c r="R6279" s="178"/>
      <c r="S6279" s="178"/>
    </row>
    <row r="6280" spans="18:19">
      <c r="R6280" s="178"/>
      <c r="S6280" s="178"/>
    </row>
    <row r="6281" spans="18:19">
      <c r="R6281" s="178"/>
      <c r="S6281" s="178"/>
    </row>
    <row r="6282" spans="18:19">
      <c r="R6282" s="178"/>
      <c r="S6282" s="178"/>
    </row>
    <row r="6283" spans="18:19">
      <c r="R6283" s="178"/>
      <c r="S6283" s="178"/>
    </row>
    <row r="6284" spans="18:19">
      <c r="R6284" s="178"/>
      <c r="S6284" s="178"/>
    </row>
    <row r="6285" spans="18:19">
      <c r="R6285" s="178"/>
      <c r="S6285" s="178"/>
    </row>
    <row r="6286" spans="18:19">
      <c r="R6286" s="178"/>
      <c r="S6286" s="178"/>
    </row>
    <row r="6287" spans="18:19">
      <c r="R6287" s="178"/>
      <c r="S6287" s="178"/>
    </row>
    <row r="6288" spans="18:19">
      <c r="R6288" s="178"/>
      <c r="S6288" s="178"/>
    </row>
    <row r="6289" spans="18:19">
      <c r="R6289" s="178"/>
      <c r="S6289" s="178"/>
    </row>
    <row r="6290" spans="18:19">
      <c r="R6290" s="178"/>
      <c r="S6290" s="178"/>
    </row>
    <row r="6291" spans="18:19">
      <c r="R6291" s="178"/>
      <c r="S6291" s="178"/>
    </row>
    <row r="6292" spans="18:19">
      <c r="R6292" s="178"/>
      <c r="S6292" s="178"/>
    </row>
    <row r="6293" spans="18:19">
      <c r="R6293" s="178"/>
      <c r="S6293" s="178"/>
    </row>
    <row r="6294" spans="18:19">
      <c r="R6294" s="178"/>
      <c r="S6294" s="178"/>
    </row>
    <row r="6295" spans="18:19">
      <c r="R6295" s="178"/>
      <c r="S6295" s="178"/>
    </row>
    <row r="6296" spans="18:19">
      <c r="R6296" s="178"/>
      <c r="S6296" s="178"/>
    </row>
    <row r="6297" spans="18:19">
      <c r="R6297" s="178"/>
      <c r="S6297" s="178"/>
    </row>
    <row r="6298" spans="18:19">
      <c r="R6298" s="178"/>
      <c r="S6298" s="178"/>
    </row>
    <row r="6299" spans="18:19">
      <c r="R6299" s="178"/>
      <c r="S6299" s="178"/>
    </row>
    <row r="6300" spans="18:19">
      <c r="R6300" s="178"/>
      <c r="S6300" s="178"/>
    </row>
    <row r="6301" spans="18:19">
      <c r="R6301" s="178"/>
      <c r="S6301" s="178"/>
    </row>
    <row r="6302" spans="18:19">
      <c r="R6302" s="178"/>
      <c r="S6302" s="178"/>
    </row>
    <row r="6303" spans="18:19">
      <c r="R6303" s="178"/>
      <c r="S6303" s="178"/>
    </row>
    <row r="6304" spans="18:19">
      <c r="R6304" s="178"/>
      <c r="S6304" s="178"/>
    </row>
    <row r="6305" spans="18:19">
      <c r="R6305" s="178"/>
      <c r="S6305" s="178"/>
    </row>
    <row r="6306" spans="18:19">
      <c r="R6306" s="178"/>
      <c r="S6306" s="178"/>
    </row>
    <row r="6307" spans="18:19">
      <c r="R6307" s="178"/>
      <c r="S6307" s="178"/>
    </row>
    <row r="6308" spans="18:19">
      <c r="R6308" s="178"/>
      <c r="S6308" s="178"/>
    </row>
    <row r="6309" spans="18:19">
      <c r="R6309" s="178"/>
      <c r="S6309" s="178"/>
    </row>
    <row r="6310" spans="18:19">
      <c r="R6310" s="178"/>
      <c r="S6310" s="178"/>
    </row>
    <row r="6311" spans="18:19">
      <c r="R6311" s="178"/>
      <c r="S6311" s="178"/>
    </row>
    <row r="6312" spans="18:19">
      <c r="R6312" s="178"/>
      <c r="S6312" s="178"/>
    </row>
    <row r="6313" spans="18:19">
      <c r="R6313" s="178"/>
      <c r="S6313" s="178"/>
    </row>
    <row r="6314" spans="18:19">
      <c r="R6314" s="178"/>
      <c r="S6314" s="178"/>
    </row>
    <row r="6315" spans="18:19">
      <c r="R6315" s="178"/>
      <c r="S6315" s="178"/>
    </row>
    <row r="6316" spans="18:19">
      <c r="R6316" s="178"/>
      <c r="S6316" s="178"/>
    </row>
    <row r="6317" spans="18:19">
      <c r="R6317" s="178"/>
      <c r="S6317" s="178"/>
    </row>
    <row r="6318" spans="18:19">
      <c r="R6318" s="178"/>
      <c r="S6318" s="178"/>
    </row>
    <row r="6319" spans="18:19">
      <c r="R6319" s="178"/>
      <c r="S6319" s="178"/>
    </row>
    <row r="6320" spans="18:19">
      <c r="R6320" s="178"/>
      <c r="S6320" s="178"/>
    </row>
    <row r="6321" spans="18:19">
      <c r="R6321" s="178"/>
      <c r="S6321" s="178"/>
    </row>
    <row r="6322" spans="18:19">
      <c r="R6322" s="178"/>
      <c r="S6322" s="178"/>
    </row>
    <row r="6323" spans="18:19">
      <c r="R6323" s="178"/>
      <c r="S6323" s="178"/>
    </row>
    <row r="6324" spans="18:19">
      <c r="R6324" s="178"/>
      <c r="S6324" s="178"/>
    </row>
    <row r="6325" spans="18:19">
      <c r="R6325" s="178"/>
      <c r="S6325" s="178"/>
    </row>
    <row r="6326" spans="18:19">
      <c r="R6326" s="178"/>
      <c r="S6326" s="178"/>
    </row>
    <row r="6327" spans="18:19">
      <c r="R6327" s="178"/>
      <c r="S6327" s="178"/>
    </row>
    <row r="6328" spans="18:19">
      <c r="R6328" s="178"/>
      <c r="S6328" s="178"/>
    </row>
    <row r="6329" spans="18:19">
      <c r="R6329" s="178"/>
      <c r="S6329" s="178"/>
    </row>
    <row r="6330" spans="18:19">
      <c r="R6330" s="178"/>
      <c r="S6330" s="178"/>
    </row>
    <row r="6331" spans="18:19">
      <c r="R6331" s="178"/>
      <c r="S6331" s="178"/>
    </row>
    <row r="6332" spans="18:19">
      <c r="R6332" s="178"/>
      <c r="S6332" s="178"/>
    </row>
    <row r="6333" spans="18:19">
      <c r="R6333" s="178"/>
      <c r="S6333" s="178"/>
    </row>
    <row r="6334" spans="18:19">
      <c r="R6334" s="178"/>
      <c r="S6334" s="178"/>
    </row>
    <row r="6335" spans="18:19">
      <c r="R6335" s="178"/>
      <c r="S6335" s="178"/>
    </row>
    <row r="6336" spans="18:19">
      <c r="R6336" s="178"/>
      <c r="S6336" s="178"/>
    </row>
    <row r="6337" spans="18:19">
      <c r="R6337" s="178"/>
      <c r="S6337" s="178"/>
    </row>
    <row r="6338" spans="18:19">
      <c r="R6338" s="178"/>
      <c r="S6338" s="178"/>
    </row>
    <row r="6339" spans="18:19">
      <c r="R6339" s="178"/>
      <c r="S6339" s="178"/>
    </row>
    <row r="6340" spans="18:19">
      <c r="R6340" s="178"/>
      <c r="S6340" s="178"/>
    </row>
    <row r="6341" spans="18:19">
      <c r="R6341" s="178"/>
      <c r="S6341" s="178"/>
    </row>
    <row r="6342" spans="18:19">
      <c r="R6342" s="178"/>
      <c r="S6342" s="178"/>
    </row>
    <row r="6343" spans="18:19">
      <c r="R6343" s="178"/>
      <c r="S6343" s="178"/>
    </row>
    <row r="6344" spans="18:19">
      <c r="R6344" s="178"/>
      <c r="S6344" s="178"/>
    </row>
    <row r="6345" spans="18:19">
      <c r="R6345" s="178"/>
      <c r="S6345" s="178"/>
    </row>
    <row r="6346" spans="18:19">
      <c r="R6346" s="178"/>
      <c r="S6346" s="178"/>
    </row>
    <row r="6347" spans="18:19">
      <c r="R6347" s="178"/>
      <c r="S6347" s="178"/>
    </row>
    <row r="6348" spans="18:19">
      <c r="R6348" s="178"/>
      <c r="S6348" s="178"/>
    </row>
    <row r="6349" spans="18:19">
      <c r="R6349" s="178"/>
      <c r="S6349" s="178"/>
    </row>
    <row r="6350" spans="18:19">
      <c r="R6350" s="178"/>
      <c r="S6350" s="178"/>
    </row>
    <row r="6351" spans="18:19">
      <c r="R6351" s="178"/>
      <c r="S6351" s="178"/>
    </row>
    <row r="6352" spans="18:19">
      <c r="R6352" s="178"/>
      <c r="S6352" s="178"/>
    </row>
    <row r="6353" spans="18:19">
      <c r="R6353" s="178"/>
      <c r="S6353" s="178"/>
    </row>
    <row r="6354" spans="18:19">
      <c r="R6354" s="178"/>
      <c r="S6354" s="178"/>
    </row>
    <row r="6355" spans="18:19">
      <c r="R6355" s="178"/>
      <c r="S6355" s="178"/>
    </row>
    <row r="6356" spans="18:19">
      <c r="R6356" s="178"/>
      <c r="S6356" s="178"/>
    </row>
    <row r="6357" spans="18:19">
      <c r="R6357" s="178"/>
      <c r="S6357" s="178"/>
    </row>
    <row r="6358" spans="18:19">
      <c r="R6358" s="178"/>
      <c r="S6358" s="178"/>
    </row>
    <row r="6359" spans="18:19">
      <c r="R6359" s="178"/>
      <c r="S6359" s="178"/>
    </row>
    <row r="6360" spans="18:19">
      <c r="R6360" s="178"/>
      <c r="S6360" s="178"/>
    </row>
    <row r="6361" spans="18:19">
      <c r="R6361" s="178"/>
      <c r="S6361" s="178"/>
    </row>
    <row r="6362" spans="18:19">
      <c r="R6362" s="178"/>
      <c r="S6362" s="178"/>
    </row>
    <row r="6363" spans="18:19">
      <c r="R6363" s="178"/>
      <c r="S6363" s="178"/>
    </row>
    <row r="6364" spans="18:19">
      <c r="R6364" s="178"/>
      <c r="S6364" s="178"/>
    </row>
    <row r="6365" spans="18:19">
      <c r="R6365" s="178"/>
      <c r="S6365" s="178"/>
    </row>
    <row r="6366" spans="18:19">
      <c r="R6366" s="178"/>
      <c r="S6366" s="178"/>
    </row>
    <row r="6367" spans="18:19">
      <c r="R6367" s="178"/>
      <c r="S6367" s="178"/>
    </row>
    <row r="6368" spans="18:19">
      <c r="R6368" s="178"/>
      <c r="S6368" s="178"/>
    </row>
    <row r="6369" spans="18:19">
      <c r="R6369" s="178"/>
      <c r="S6369" s="178"/>
    </row>
    <row r="6370" spans="18:19">
      <c r="R6370" s="178"/>
      <c r="S6370" s="178"/>
    </row>
    <row r="6371" spans="18:19">
      <c r="R6371" s="178"/>
      <c r="S6371" s="178"/>
    </row>
    <row r="6372" spans="18:19">
      <c r="R6372" s="178"/>
      <c r="S6372" s="178"/>
    </row>
    <row r="6373" spans="18:19">
      <c r="R6373" s="178"/>
      <c r="S6373" s="178"/>
    </row>
    <row r="6374" spans="18:19">
      <c r="R6374" s="178"/>
      <c r="S6374" s="178"/>
    </row>
    <row r="6375" spans="18:19">
      <c r="R6375" s="178"/>
      <c r="S6375" s="178"/>
    </row>
    <row r="6376" spans="18:19">
      <c r="R6376" s="178"/>
      <c r="S6376" s="178"/>
    </row>
    <row r="6377" spans="18:19">
      <c r="R6377" s="178"/>
      <c r="S6377" s="178"/>
    </row>
    <row r="6378" spans="18:19">
      <c r="R6378" s="178"/>
      <c r="S6378" s="178"/>
    </row>
    <row r="6379" spans="18:19">
      <c r="R6379" s="178"/>
      <c r="S6379" s="178"/>
    </row>
    <row r="6380" spans="18:19">
      <c r="R6380" s="178"/>
      <c r="S6380" s="178"/>
    </row>
    <row r="6381" spans="18:19">
      <c r="R6381" s="178"/>
      <c r="S6381" s="178"/>
    </row>
    <row r="6382" spans="18:19">
      <c r="R6382" s="178"/>
      <c r="S6382" s="178"/>
    </row>
    <row r="6383" spans="18:19">
      <c r="R6383" s="178"/>
      <c r="S6383" s="178"/>
    </row>
    <row r="6384" spans="18:19">
      <c r="R6384" s="178"/>
      <c r="S6384" s="178"/>
    </row>
    <row r="6385" spans="18:19">
      <c r="R6385" s="178"/>
      <c r="S6385" s="178"/>
    </row>
    <row r="6386" spans="18:19">
      <c r="R6386" s="178"/>
      <c r="S6386" s="178"/>
    </row>
    <row r="6387" spans="18:19">
      <c r="R6387" s="178"/>
      <c r="S6387" s="178"/>
    </row>
    <row r="6388" spans="18:19">
      <c r="R6388" s="178"/>
      <c r="S6388" s="178"/>
    </row>
    <row r="6389" spans="18:19">
      <c r="R6389" s="178"/>
      <c r="S6389" s="178"/>
    </row>
    <row r="6390" spans="18:19">
      <c r="R6390" s="178"/>
      <c r="S6390" s="178"/>
    </row>
    <row r="6391" spans="18:19">
      <c r="R6391" s="178"/>
      <c r="S6391" s="178"/>
    </row>
    <row r="6392" spans="18:19">
      <c r="R6392" s="178"/>
      <c r="S6392" s="178"/>
    </row>
    <row r="6393" spans="18:19">
      <c r="R6393" s="178"/>
      <c r="S6393" s="178"/>
    </row>
    <row r="6394" spans="18:19">
      <c r="R6394" s="178"/>
      <c r="S6394" s="178"/>
    </row>
    <row r="6395" spans="18:19">
      <c r="R6395" s="178"/>
      <c r="S6395" s="178"/>
    </row>
    <row r="6396" spans="18:19">
      <c r="R6396" s="178"/>
      <c r="S6396" s="178"/>
    </row>
    <row r="6397" spans="18:19">
      <c r="R6397" s="178"/>
      <c r="S6397" s="178"/>
    </row>
    <row r="6398" spans="18:19">
      <c r="R6398" s="178"/>
      <c r="S6398" s="178"/>
    </row>
    <row r="6399" spans="18:19">
      <c r="R6399" s="178"/>
      <c r="S6399" s="178"/>
    </row>
    <row r="6400" spans="18:19">
      <c r="R6400" s="178"/>
      <c r="S6400" s="178"/>
    </row>
    <row r="6401" spans="18:19">
      <c r="R6401" s="178"/>
      <c r="S6401" s="178"/>
    </row>
    <row r="6402" spans="18:19">
      <c r="R6402" s="178"/>
      <c r="S6402" s="178"/>
    </row>
    <row r="6403" spans="18:19">
      <c r="R6403" s="178"/>
      <c r="S6403" s="178"/>
    </row>
    <row r="6404" spans="18:19">
      <c r="R6404" s="178"/>
      <c r="S6404" s="178"/>
    </row>
    <row r="6405" spans="18:19">
      <c r="R6405" s="178"/>
      <c r="S6405" s="178"/>
    </row>
    <row r="6406" spans="18:19">
      <c r="R6406" s="178"/>
      <c r="S6406" s="178"/>
    </row>
    <row r="6407" spans="18:19">
      <c r="R6407" s="178"/>
      <c r="S6407" s="178"/>
    </row>
    <row r="6408" spans="18:19">
      <c r="R6408" s="178"/>
      <c r="S6408" s="178"/>
    </row>
    <row r="6409" spans="18:19">
      <c r="R6409" s="178"/>
      <c r="S6409" s="178"/>
    </row>
    <row r="6410" spans="18:19">
      <c r="R6410" s="178"/>
      <c r="S6410" s="178"/>
    </row>
    <row r="6411" spans="18:19">
      <c r="R6411" s="178"/>
      <c r="S6411" s="178"/>
    </row>
    <row r="6412" spans="18:19">
      <c r="R6412" s="178"/>
      <c r="S6412" s="178"/>
    </row>
    <row r="6413" spans="18:19">
      <c r="R6413" s="178"/>
      <c r="S6413" s="178"/>
    </row>
    <row r="6414" spans="18:19">
      <c r="R6414" s="178"/>
      <c r="S6414" s="178"/>
    </row>
    <row r="6415" spans="18:19">
      <c r="R6415" s="178"/>
      <c r="S6415" s="178"/>
    </row>
    <row r="6416" spans="18:19">
      <c r="R6416" s="178"/>
      <c r="S6416" s="178"/>
    </row>
    <row r="6417" spans="18:19">
      <c r="R6417" s="178"/>
      <c r="S6417" s="178"/>
    </row>
    <row r="6418" spans="18:19">
      <c r="R6418" s="178"/>
      <c r="S6418" s="178"/>
    </row>
    <row r="6419" spans="18:19">
      <c r="R6419" s="178"/>
      <c r="S6419" s="178"/>
    </row>
    <row r="6420" spans="18:19">
      <c r="R6420" s="178"/>
      <c r="S6420" s="178"/>
    </row>
    <row r="6421" spans="18:19">
      <c r="R6421" s="178"/>
      <c r="S6421" s="178"/>
    </row>
    <row r="6422" spans="18:19">
      <c r="R6422" s="178"/>
      <c r="S6422" s="178"/>
    </row>
    <row r="6423" spans="18:19">
      <c r="R6423" s="178"/>
      <c r="S6423" s="178"/>
    </row>
    <row r="6424" spans="18:19">
      <c r="R6424" s="178"/>
      <c r="S6424" s="178"/>
    </row>
    <row r="6425" spans="18:19">
      <c r="R6425" s="178"/>
      <c r="S6425" s="178"/>
    </row>
    <row r="6426" spans="18:19">
      <c r="R6426" s="178"/>
      <c r="S6426" s="178"/>
    </row>
    <row r="6427" spans="18:19">
      <c r="R6427" s="178"/>
      <c r="S6427" s="178"/>
    </row>
    <row r="6428" spans="18:19">
      <c r="R6428" s="178"/>
      <c r="S6428" s="178"/>
    </row>
    <row r="6429" spans="18:19">
      <c r="R6429" s="178"/>
      <c r="S6429" s="178"/>
    </row>
    <row r="6430" spans="18:19">
      <c r="R6430" s="178"/>
      <c r="S6430" s="178"/>
    </row>
    <row r="6431" spans="18:19">
      <c r="R6431" s="178"/>
      <c r="S6431" s="178"/>
    </row>
    <row r="6432" spans="18:19">
      <c r="R6432" s="178"/>
      <c r="S6432" s="178"/>
    </row>
    <row r="6433" spans="18:19">
      <c r="R6433" s="178"/>
      <c r="S6433" s="178"/>
    </row>
    <row r="6434" spans="18:19">
      <c r="R6434" s="178"/>
      <c r="S6434" s="178"/>
    </row>
    <row r="6435" spans="18:19">
      <c r="R6435" s="178"/>
      <c r="S6435" s="178"/>
    </row>
    <row r="6436" spans="18:19">
      <c r="R6436" s="178"/>
      <c r="S6436" s="178"/>
    </row>
    <row r="6437" spans="18:19">
      <c r="R6437" s="178"/>
      <c r="S6437" s="178"/>
    </row>
    <row r="6438" spans="18:19">
      <c r="R6438" s="178"/>
      <c r="S6438" s="178"/>
    </row>
    <row r="6439" spans="18:19">
      <c r="R6439" s="178"/>
      <c r="S6439" s="178"/>
    </row>
    <row r="6440" spans="18:19">
      <c r="R6440" s="178"/>
      <c r="S6440" s="178"/>
    </row>
    <row r="6441" spans="18:19">
      <c r="R6441" s="178"/>
      <c r="S6441" s="178"/>
    </row>
    <row r="6442" spans="18:19">
      <c r="R6442" s="178"/>
      <c r="S6442" s="178"/>
    </row>
    <row r="6443" spans="18:19">
      <c r="R6443" s="178"/>
      <c r="S6443" s="178"/>
    </row>
    <row r="6444" spans="18:19">
      <c r="R6444" s="178"/>
      <c r="S6444" s="178"/>
    </row>
    <row r="6445" spans="18:19">
      <c r="R6445" s="178"/>
      <c r="S6445" s="178"/>
    </row>
    <row r="6446" spans="18:19">
      <c r="R6446" s="178"/>
      <c r="S6446" s="178"/>
    </row>
    <row r="6447" spans="18:19">
      <c r="R6447" s="178"/>
      <c r="S6447" s="178"/>
    </row>
    <row r="6448" spans="18:19">
      <c r="R6448" s="178"/>
      <c r="S6448" s="178"/>
    </row>
    <row r="6449" spans="18:19">
      <c r="R6449" s="178"/>
      <c r="S6449" s="178"/>
    </row>
    <row r="6450" spans="18:19">
      <c r="R6450" s="178"/>
      <c r="S6450" s="178"/>
    </row>
    <row r="6451" spans="18:19">
      <c r="R6451" s="178"/>
      <c r="S6451" s="178"/>
    </row>
    <row r="6452" spans="18:19">
      <c r="R6452" s="178"/>
      <c r="S6452" s="178"/>
    </row>
    <row r="6453" spans="18:19">
      <c r="R6453" s="178"/>
      <c r="S6453" s="178"/>
    </row>
    <row r="6454" spans="18:19">
      <c r="R6454" s="178"/>
      <c r="S6454" s="178"/>
    </row>
    <row r="6455" spans="18:19">
      <c r="R6455" s="178"/>
      <c r="S6455" s="178"/>
    </row>
    <row r="6456" spans="18:19">
      <c r="R6456" s="178"/>
      <c r="S6456" s="178"/>
    </row>
    <row r="6457" spans="18:19">
      <c r="R6457" s="178"/>
      <c r="S6457" s="178"/>
    </row>
    <row r="6458" spans="18:19">
      <c r="R6458" s="178"/>
      <c r="S6458" s="178"/>
    </row>
    <row r="6459" spans="18:19">
      <c r="R6459" s="178"/>
      <c r="S6459" s="178"/>
    </row>
    <row r="6460" spans="18:19">
      <c r="R6460" s="178"/>
      <c r="S6460" s="178"/>
    </row>
    <row r="6461" spans="18:19">
      <c r="R6461" s="178"/>
      <c r="S6461" s="178"/>
    </row>
    <row r="6462" spans="18:19">
      <c r="R6462" s="178"/>
      <c r="S6462" s="178"/>
    </row>
    <row r="6463" spans="18:19">
      <c r="R6463" s="178"/>
      <c r="S6463" s="178"/>
    </row>
    <row r="6464" spans="18:19">
      <c r="R6464" s="178"/>
      <c r="S6464" s="178"/>
    </row>
    <row r="6465" spans="18:19">
      <c r="R6465" s="178"/>
      <c r="S6465" s="178"/>
    </row>
    <row r="6466" spans="18:19">
      <c r="R6466" s="178"/>
      <c r="S6466" s="178"/>
    </row>
    <row r="6467" spans="18:19">
      <c r="R6467" s="178"/>
      <c r="S6467" s="178"/>
    </row>
    <row r="6468" spans="18:19">
      <c r="R6468" s="178"/>
      <c r="S6468" s="178"/>
    </row>
    <row r="6469" spans="18:19">
      <c r="R6469" s="178"/>
      <c r="S6469" s="178"/>
    </row>
    <row r="6470" spans="18:19">
      <c r="R6470" s="178"/>
      <c r="S6470" s="178"/>
    </row>
    <row r="6471" spans="18:19">
      <c r="R6471" s="178"/>
      <c r="S6471" s="178"/>
    </row>
    <row r="6472" spans="18:19">
      <c r="R6472" s="178"/>
      <c r="S6472" s="178"/>
    </row>
    <row r="6473" spans="18:19">
      <c r="R6473" s="178"/>
      <c r="S6473" s="178"/>
    </row>
    <row r="6474" spans="18:19">
      <c r="R6474" s="178"/>
      <c r="S6474" s="178"/>
    </row>
    <row r="6475" spans="18:19">
      <c r="R6475" s="178"/>
      <c r="S6475" s="178"/>
    </row>
    <row r="6476" spans="18:19">
      <c r="R6476" s="178"/>
      <c r="S6476" s="178"/>
    </row>
    <row r="6477" spans="18:19">
      <c r="R6477" s="178"/>
      <c r="S6477" s="178"/>
    </row>
    <row r="6478" spans="18:19">
      <c r="R6478" s="178"/>
      <c r="S6478" s="178"/>
    </row>
    <row r="6479" spans="18:19">
      <c r="R6479" s="178"/>
      <c r="S6479" s="178"/>
    </row>
    <row r="6480" spans="18:19">
      <c r="R6480" s="178"/>
      <c r="S6480" s="178"/>
    </row>
    <row r="6481" spans="18:19">
      <c r="R6481" s="178"/>
      <c r="S6481" s="178"/>
    </row>
    <row r="6482" spans="18:19">
      <c r="R6482" s="178"/>
      <c r="S6482" s="178"/>
    </row>
    <row r="6483" spans="18:19">
      <c r="R6483" s="178"/>
      <c r="S6483" s="178"/>
    </row>
    <row r="6484" spans="18:19">
      <c r="R6484" s="178"/>
      <c r="S6484" s="178"/>
    </row>
    <row r="6485" spans="18:19">
      <c r="R6485" s="178"/>
      <c r="S6485" s="178"/>
    </row>
    <row r="6486" spans="18:19">
      <c r="R6486" s="178"/>
      <c r="S6486" s="178"/>
    </row>
    <row r="6487" spans="18:19">
      <c r="R6487" s="178"/>
      <c r="S6487" s="178"/>
    </row>
    <row r="6488" spans="18:19">
      <c r="R6488" s="178"/>
      <c r="S6488" s="178"/>
    </row>
    <row r="6489" spans="18:19">
      <c r="R6489" s="178"/>
      <c r="S6489" s="178"/>
    </row>
    <row r="6490" spans="18:19">
      <c r="R6490" s="178"/>
      <c r="S6490" s="178"/>
    </row>
    <row r="6491" spans="18:19">
      <c r="R6491" s="178"/>
      <c r="S6491" s="178"/>
    </row>
    <row r="6492" spans="18:19">
      <c r="R6492" s="178"/>
      <c r="S6492" s="178"/>
    </row>
    <row r="6493" spans="18:19">
      <c r="R6493" s="178"/>
      <c r="S6493" s="178"/>
    </row>
    <row r="6494" spans="18:19">
      <c r="R6494" s="178"/>
      <c r="S6494" s="178"/>
    </row>
    <row r="6495" spans="18:19">
      <c r="R6495" s="178"/>
      <c r="S6495" s="178"/>
    </row>
    <row r="6496" spans="18:19">
      <c r="R6496" s="178"/>
      <c r="S6496" s="178"/>
    </row>
    <row r="6497" spans="18:19">
      <c r="R6497" s="178"/>
      <c r="S6497" s="178"/>
    </row>
    <row r="6498" spans="18:19">
      <c r="R6498" s="178"/>
      <c r="S6498" s="178"/>
    </row>
    <row r="6499" spans="18:19">
      <c r="R6499" s="178"/>
      <c r="S6499" s="178"/>
    </row>
    <row r="6500" spans="18:19">
      <c r="R6500" s="178"/>
      <c r="S6500" s="178"/>
    </row>
    <row r="6501" spans="18:19">
      <c r="R6501" s="178"/>
      <c r="S6501" s="178"/>
    </row>
    <row r="6502" spans="18:19">
      <c r="R6502" s="178"/>
      <c r="S6502" s="178"/>
    </row>
    <row r="6503" spans="18:19">
      <c r="R6503" s="178"/>
      <c r="S6503" s="178"/>
    </row>
    <row r="6504" spans="18:19">
      <c r="R6504" s="178"/>
      <c r="S6504" s="178"/>
    </row>
    <row r="6505" spans="18:19">
      <c r="R6505" s="178"/>
      <c r="S6505" s="178"/>
    </row>
    <row r="6506" spans="18:19">
      <c r="R6506" s="178"/>
      <c r="S6506" s="178"/>
    </row>
    <row r="6507" spans="18:19">
      <c r="R6507" s="178"/>
      <c r="S6507" s="178"/>
    </row>
    <row r="6508" spans="18:19">
      <c r="R6508" s="178"/>
      <c r="S6508" s="178"/>
    </row>
    <row r="6509" spans="18:19">
      <c r="R6509" s="178"/>
      <c r="S6509" s="178"/>
    </row>
    <row r="6510" spans="18:19">
      <c r="R6510" s="178"/>
      <c r="S6510" s="178"/>
    </row>
    <row r="6511" spans="18:19">
      <c r="R6511" s="178"/>
      <c r="S6511" s="178"/>
    </row>
    <row r="6512" spans="18:19">
      <c r="R6512" s="178"/>
      <c r="S6512" s="178"/>
    </row>
    <row r="6513" spans="18:19">
      <c r="R6513" s="178"/>
      <c r="S6513" s="178"/>
    </row>
    <row r="6514" spans="18:19">
      <c r="R6514" s="178"/>
      <c r="S6514" s="178"/>
    </row>
    <row r="6515" spans="18:19">
      <c r="R6515" s="178"/>
      <c r="S6515" s="178"/>
    </row>
    <row r="6516" spans="18:19">
      <c r="R6516" s="178"/>
      <c r="S6516" s="178"/>
    </row>
    <row r="6517" spans="18:19">
      <c r="R6517" s="178"/>
      <c r="S6517" s="178"/>
    </row>
    <row r="6518" spans="18:19">
      <c r="R6518" s="178"/>
      <c r="S6518" s="178"/>
    </row>
    <row r="6519" spans="18:19">
      <c r="R6519" s="178"/>
      <c r="S6519" s="178"/>
    </row>
    <row r="6520" spans="18:19">
      <c r="R6520" s="178"/>
      <c r="S6520" s="178"/>
    </row>
    <row r="6521" spans="18:19">
      <c r="R6521" s="178"/>
      <c r="S6521" s="178"/>
    </row>
    <row r="6522" spans="18:19">
      <c r="R6522" s="178"/>
      <c r="S6522" s="178"/>
    </row>
    <row r="6523" spans="18:19">
      <c r="R6523" s="178"/>
      <c r="S6523" s="178"/>
    </row>
    <row r="6524" spans="18:19">
      <c r="R6524" s="178"/>
      <c r="S6524" s="178"/>
    </row>
    <row r="6525" spans="18:19">
      <c r="R6525" s="178"/>
      <c r="S6525" s="178"/>
    </row>
    <row r="6526" spans="18:19">
      <c r="R6526" s="178"/>
      <c r="S6526" s="178"/>
    </row>
    <row r="6527" spans="18:19">
      <c r="R6527" s="178"/>
      <c r="S6527" s="178"/>
    </row>
    <row r="6528" spans="18:19">
      <c r="R6528" s="178"/>
      <c r="S6528" s="178"/>
    </row>
    <row r="6529" spans="18:19">
      <c r="R6529" s="178"/>
      <c r="S6529" s="178"/>
    </row>
    <row r="6530" spans="18:19">
      <c r="R6530" s="178"/>
      <c r="S6530" s="178"/>
    </row>
    <row r="6531" spans="18:19">
      <c r="R6531" s="178"/>
      <c r="S6531" s="178"/>
    </row>
    <row r="6532" spans="18:19">
      <c r="R6532" s="178"/>
      <c r="S6532" s="178"/>
    </row>
    <row r="6533" spans="18:19">
      <c r="R6533" s="178"/>
      <c r="S6533" s="178"/>
    </row>
    <row r="6534" spans="18:19">
      <c r="R6534" s="178"/>
      <c r="S6534" s="178"/>
    </row>
    <row r="6535" spans="18:19">
      <c r="R6535" s="178"/>
      <c r="S6535" s="178"/>
    </row>
    <row r="6536" spans="18:19">
      <c r="R6536" s="178"/>
      <c r="S6536" s="178"/>
    </row>
    <row r="6537" spans="18:19">
      <c r="R6537" s="178"/>
      <c r="S6537" s="178"/>
    </row>
    <row r="6538" spans="18:19">
      <c r="R6538" s="178"/>
      <c r="S6538" s="178"/>
    </row>
    <row r="6539" spans="18:19">
      <c r="R6539" s="178"/>
      <c r="S6539" s="178"/>
    </row>
    <row r="6540" spans="18:19">
      <c r="R6540" s="178"/>
      <c r="S6540" s="178"/>
    </row>
    <row r="6541" spans="18:19">
      <c r="R6541" s="178"/>
      <c r="S6541" s="178"/>
    </row>
    <row r="6542" spans="18:19">
      <c r="R6542" s="178"/>
      <c r="S6542" s="178"/>
    </row>
    <row r="6543" spans="18:19">
      <c r="R6543" s="178"/>
      <c r="S6543" s="178"/>
    </row>
    <row r="6544" spans="18:19">
      <c r="R6544" s="178"/>
      <c r="S6544" s="178"/>
    </row>
    <row r="6545" spans="18:19">
      <c r="R6545" s="178"/>
      <c r="S6545" s="178"/>
    </row>
    <row r="6546" spans="18:19">
      <c r="R6546" s="178"/>
      <c r="S6546" s="178"/>
    </row>
    <row r="6547" spans="18:19">
      <c r="R6547" s="178"/>
      <c r="S6547" s="178"/>
    </row>
    <row r="6548" spans="18:19">
      <c r="R6548" s="178"/>
      <c r="S6548" s="178"/>
    </row>
    <row r="6549" spans="18:19">
      <c r="R6549" s="178"/>
      <c r="S6549" s="178"/>
    </row>
    <row r="6550" spans="18:19">
      <c r="R6550" s="178"/>
      <c r="S6550" s="178"/>
    </row>
    <row r="6551" spans="18:19">
      <c r="R6551" s="178"/>
      <c r="S6551" s="178"/>
    </row>
    <row r="6552" spans="18:19">
      <c r="R6552" s="178"/>
      <c r="S6552" s="178"/>
    </row>
    <row r="6553" spans="18:19">
      <c r="R6553" s="178"/>
      <c r="S6553" s="178"/>
    </row>
    <row r="6554" spans="18:19">
      <c r="R6554" s="178"/>
      <c r="S6554" s="178"/>
    </row>
    <row r="6555" spans="18:19">
      <c r="R6555" s="178"/>
      <c r="S6555" s="178"/>
    </row>
    <row r="6556" spans="18:19">
      <c r="R6556" s="178"/>
      <c r="S6556" s="178"/>
    </row>
    <row r="6557" spans="18:19">
      <c r="R6557" s="178"/>
      <c r="S6557" s="178"/>
    </row>
    <row r="6558" spans="18:19">
      <c r="R6558" s="178"/>
      <c r="S6558" s="178"/>
    </row>
    <row r="6559" spans="18:19">
      <c r="R6559" s="178"/>
      <c r="S6559" s="178"/>
    </row>
    <row r="6560" spans="18:19">
      <c r="R6560" s="178"/>
      <c r="S6560" s="178"/>
    </row>
    <row r="6561" spans="18:19">
      <c r="R6561" s="178"/>
      <c r="S6561" s="178"/>
    </row>
    <row r="6562" spans="18:19">
      <c r="R6562" s="178"/>
      <c r="S6562" s="178"/>
    </row>
    <row r="6563" spans="18:19">
      <c r="R6563" s="178"/>
      <c r="S6563" s="178"/>
    </row>
    <row r="6564" spans="18:19">
      <c r="R6564" s="178"/>
      <c r="S6564" s="178"/>
    </row>
    <row r="6565" spans="18:19">
      <c r="R6565" s="178"/>
      <c r="S6565" s="178"/>
    </row>
    <row r="6566" spans="18:19">
      <c r="R6566" s="178"/>
      <c r="S6566" s="178"/>
    </row>
    <row r="6567" spans="18:19">
      <c r="R6567" s="178"/>
      <c r="S6567" s="178"/>
    </row>
    <row r="6568" spans="18:19">
      <c r="R6568" s="178"/>
      <c r="S6568" s="178"/>
    </row>
    <row r="6569" spans="18:19">
      <c r="R6569" s="178"/>
      <c r="S6569" s="178"/>
    </row>
    <row r="6570" spans="18:19">
      <c r="R6570" s="178"/>
      <c r="S6570" s="178"/>
    </row>
    <row r="6571" spans="18:19">
      <c r="R6571" s="178"/>
      <c r="S6571" s="178"/>
    </row>
    <row r="6572" spans="18:19">
      <c r="R6572" s="178"/>
      <c r="S6572" s="178"/>
    </row>
    <row r="6573" spans="18:19">
      <c r="R6573" s="178"/>
      <c r="S6573" s="178"/>
    </row>
    <row r="6574" spans="18:19">
      <c r="R6574" s="178"/>
      <c r="S6574" s="178"/>
    </row>
    <row r="6575" spans="18:19">
      <c r="R6575" s="178"/>
      <c r="S6575" s="178"/>
    </row>
    <row r="6576" spans="18:19">
      <c r="R6576" s="178"/>
      <c r="S6576" s="178"/>
    </row>
    <row r="6577" spans="18:19">
      <c r="R6577" s="178"/>
      <c r="S6577" s="178"/>
    </row>
    <row r="6578" spans="18:19">
      <c r="R6578" s="178"/>
      <c r="S6578" s="178"/>
    </row>
    <row r="6579" spans="18:19">
      <c r="R6579" s="178"/>
      <c r="S6579" s="178"/>
    </row>
    <row r="6580" spans="18:19">
      <c r="R6580" s="178"/>
      <c r="S6580" s="178"/>
    </row>
    <row r="6581" spans="18:19">
      <c r="R6581" s="178"/>
      <c r="S6581" s="178"/>
    </row>
    <row r="6582" spans="18:19">
      <c r="R6582" s="178"/>
      <c r="S6582" s="178"/>
    </row>
    <row r="6583" spans="18:19">
      <c r="R6583" s="178"/>
      <c r="S6583" s="178"/>
    </row>
    <row r="6584" spans="18:19">
      <c r="R6584" s="178"/>
      <c r="S6584" s="178"/>
    </row>
    <row r="6585" spans="18:19">
      <c r="R6585" s="178"/>
      <c r="S6585" s="178"/>
    </row>
    <row r="6586" spans="18:19">
      <c r="R6586" s="178"/>
      <c r="S6586" s="178"/>
    </row>
    <row r="6587" spans="18:19">
      <c r="R6587" s="178"/>
      <c r="S6587" s="178"/>
    </row>
    <row r="6588" spans="18:19">
      <c r="R6588" s="178"/>
      <c r="S6588" s="178"/>
    </row>
    <row r="6589" spans="18:19">
      <c r="R6589" s="178"/>
      <c r="S6589" s="178"/>
    </row>
    <row r="6590" spans="18:19">
      <c r="R6590" s="178"/>
      <c r="S6590" s="178"/>
    </row>
    <row r="6591" spans="18:19">
      <c r="R6591" s="178"/>
      <c r="S6591" s="178"/>
    </row>
    <row r="6592" spans="18:19">
      <c r="R6592" s="178"/>
      <c r="S6592" s="178"/>
    </row>
    <row r="6593" spans="18:19">
      <c r="R6593" s="178"/>
      <c r="S6593" s="178"/>
    </row>
    <row r="6594" spans="18:19">
      <c r="R6594" s="178"/>
      <c r="S6594" s="178"/>
    </row>
    <row r="6595" spans="18:19">
      <c r="R6595" s="178"/>
      <c r="S6595" s="178"/>
    </row>
    <row r="6596" spans="18:19">
      <c r="R6596" s="178"/>
      <c r="S6596" s="178"/>
    </row>
    <row r="6597" spans="18:19">
      <c r="R6597" s="178"/>
      <c r="S6597" s="178"/>
    </row>
    <row r="6598" spans="18:19">
      <c r="R6598" s="178"/>
      <c r="S6598" s="178"/>
    </row>
    <row r="6599" spans="18:19">
      <c r="R6599" s="178"/>
      <c r="S6599" s="178"/>
    </row>
    <row r="6600" spans="18:19">
      <c r="R6600" s="178"/>
      <c r="S6600" s="178"/>
    </row>
    <row r="6601" spans="18:19">
      <c r="R6601" s="178"/>
      <c r="S6601" s="178"/>
    </row>
    <row r="6602" spans="18:19">
      <c r="R6602" s="178"/>
      <c r="S6602" s="178"/>
    </row>
    <row r="6603" spans="18:19">
      <c r="R6603" s="178"/>
      <c r="S6603" s="178"/>
    </row>
    <row r="6604" spans="18:19">
      <c r="R6604" s="178"/>
      <c r="S6604" s="178"/>
    </row>
    <row r="6605" spans="18:19">
      <c r="R6605" s="178"/>
      <c r="S6605" s="178"/>
    </row>
    <row r="6606" spans="18:19">
      <c r="R6606" s="178"/>
      <c r="S6606" s="178"/>
    </row>
    <row r="6607" spans="18:19">
      <c r="R6607" s="178"/>
      <c r="S6607" s="178"/>
    </row>
    <row r="6608" spans="18:19">
      <c r="R6608" s="178"/>
      <c r="S6608" s="178"/>
    </row>
    <row r="6609" spans="18:19">
      <c r="R6609" s="178"/>
      <c r="S6609" s="178"/>
    </row>
    <row r="6610" spans="18:19">
      <c r="R6610" s="178"/>
      <c r="S6610" s="178"/>
    </row>
    <row r="6611" spans="18:19">
      <c r="R6611" s="178"/>
      <c r="S6611" s="178"/>
    </row>
    <row r="6612" spans="18:19">
      <c r="R6612" s="178"/>
      <c r="S6612" s="178"/>
    </row>
    <row r="6613" spans="18:19">
      <c r="R6613" s="178"/>
      <c r="S6613" s="178"/>
    </row>
    <row r="6614" spans="18:19">
      <c r="R6614" s="178"/>
      <c r="S6614" s="178"/>
    </row>
    <row r="6615" spans="18:19">
      <c r="R6615" s="178"/>
      <c r="S6615" s="178"/>
    </row>
    <row r="6616" spans="18:19">
      <c r="R6616" s="178"/>
      <c r="S6616" s="178"/>
    </row>
    <row r="6617" spans="18:19">
      <c r="R6617" s="178"/>
      <c r="S6617" s="178"/>
    </row>
    <row r="6618" spans="18:19">
      <c r="R6618" s="178"/>
      <c r="S6618" s="178"/>
    </row>
    <row r="6619" spans="18:19">
      <c r="R6619" s="178"/>
      <c r="S6619" s="178"/>
    </row>
    <row r="6620" spans="18:19">
      <c r="R6620" s="178"/>
      <c r="S6620" s="178"/>
    </row>
    <row r="6621" spans="18:19">
      <c r="R6621" s="178"/>
      <c r="S6621" s="178"/>
    </row>
    <row r="6622" spans="18:19">
      <c r="R6622" s="178"/>
      <c r="S6622" s="178"/>
    </row>
    <row r="6623" spans="18:19">
      <c r="R6623" s="178"/>
      <c r="S6623" s="178"/>
    </row>
    <row r="6624" spans="18:19">
      <c r="R6624" s="178"/>
      <c r="S6624" s="178"/>
    </row>
    <row r="6625" spans="18:19">
      <c r="R6625" s="178"/>
      <c r="S6625" s="178"/>
    </row>
    <row r="6626" spans="18:19">
      <c r="R6626" s="178"/>
      <c r="S6626" s="178"/>
    </row>
    <row r="6627" spans="18:19">
      <c r="R6627" s="178"/>
      <c r="S6627" s="178"/>
    </row>
    <row r="6628" spans="18:19">
      <c r="R6628" s="178"/>
      <c r="S6628" s="178"/>
    </row>
    <row r="6629" spans="18:19">
      <c r="R6629" s="178"/>
      <c r="S6629" s="178"/>
    </row>
    <row r="6630" spans="18:19">
      <c r="R6630" s="178"/>
      <c r="S6630" s="178"/>
    </row>
    <row r="6631" spans="18:19">
      <c r="R6631" s="178"/>
      <c r="S6631" s="178"/>
    </row>
    <row r="6632" spans="18:19">
      <c r="R6632" s="178"/>
      <c r="S6632" s="178"/>
    </row>
    <row r="6633" spans="18:19">
      <c r="R6633" s="178"/>
      <c r="S6633" s="178"/>
    </row>
    <row r="6634" spans="18:19">
      <c r="R6634" s="178"/>
      <c r="S6634" s="178"/>
    </row>
    <row r="6635" spans="18:19">
      <c r="R6635" s="178"/>
      <c r="S6635" s="178"/>
    </row>
    <row r="6636" spans="18:19">
      <c r="R6636" s="178"/>
      <c r="S6636" s="178"/>
    </row>
    <row r="6637" spans="18:19">
      <c r="R6637" s="178"/>
      <c r="S6637" s="178"/>
    </row>
    <row r="6638" spans="18:19">
      <c r="R6638" s="178"/>
      <c r="S6638" s="178"/>
    </row>
    <row r="6639" spans="18:19">
      <c r="R6639" s="178"/>
      <c r="S6639" s="178"/>
    </row>
    <row r="6640" spans="18:19">
      <c r="R6640" s="178"/>
      <c r="S6640" s="178"/>
    </row>
    <row r="6641" spans="18:19">
      <c r="R6641" s="178"/>
      <c r="S6641" s="178"/>
    </row>
    <row r="6642" spans="18:19">
      <c r="R6642" s="178"/>
      <c r="S6642" s="178"/>
    </row>
    <row r="6643" spans="18:19">
      <c r="R6643" s="178"/>
      <c r="S6643" s="178"/>
    </row>
    <row r="6644" spans="18:19">
      <c r="R6644" s="178"/>
      <c r="S6644" s="178"/>
    </row>
    <row r="6645" spans="18:19">
      <c r="R6645" s="178"/>
      <c r="S6645" s="178"/>
    </row>
    <row r="6646" spans="18:19">
      <c r="R6646" s="178"/>
      <c r="S6646" s="178"/>
    </row>
    <row r="6647" spans="18:19">
      <c r="R6647" s="178"/>
      <c r="S6647" s="178"/>
    </row>
    <row r="6648" spans="18:19">
      <c r="R6648" s="178"/>
      <c r="S6648" s="178"/>
    </row>
    <row r="6649" spans="18:19">
      <c r="R6649" s="178"/>
      <c r="S6649" s="178"/>
    </row>
    <row r="6650" spans="18:19">
      <c r="R6650" s="178"/>
      <c r="S6650" s="178"/>
    </row>
    <row r="6651" spans="18:19">
      <c r="R6651" s="178"/>
      <c r="S6651" s="178"/>
    </row>
    <row r="6652" spans="18:19">
      <c r="R6652" s="178"/>
      <c r="S6652" s="178"/>
    </row>
    <row r="6653" spans="18:19">
      <c r="R6653" s="178"/>
      <c r="S6653" s="178"/>
    </row>
    <row r="6654" spans="18:19">
      <c r="R6654" s="178"/>
      <c r="S6654" s="178"/>
    </row>
    <row r="6655" spans="18:19">
      <c r="R6655" s="178"/>
      <c r="S6655" s="178"/>
    </row>
    <row r="6656" spans="18:19">
      <c r="R6656" s="178"/>
      <c r="S6656" s="178"/>
    </row>
    <row r="6657" spans="18:19">
      <c r="R6657" s="178"/>
      <c r="S6657" s="178"/>
    </row>
    <row r="6658" spans="18:19">
      <c r="R6658" s="178"/>
      <c r="S6658" s="178"/>
    </row>
    <row r="6659" spans="18:19">
      <c r="R6659" s="178"/>
      <c r="S6659" s="178"/>
    </row>
    <row r="6660" spans="18:19">
      <c r="R6660" s="178"/>
      <c r="S6660" s="178"/>
    </row>
    <row r="6661" spans="18:19">
      <c r="R6661" s="178"/>
      <c r="S6661" s="178"/>
    </row>
    <row r="6662" spans="18:19">
      <c r="R6662" s="178"/>
      <c r="S6662" s="178"/>
    </row>
    <row r="6663" spans="18:19">
      <c r="R6663" s="178"/>
      <c r="S6663" s="178"/>
    </row>
    <row r="6664" spans="18:19">
      <c r="R6664" s="178"/>
      <c r="S6664" s="178"/>
    </row>
    <row r="6665" spans="18:19">
      <c r="R6665" s="178"/>
      <c r="S6665" s="178"/>
    </row>
    <row r="6666" spans="18:19">
      <c r="R6666" s="178"/>
      <c r="S6666" s="178"/>
    </row>
    <row r="6667" spans="18:19">
      <c r="R6667" s="178"/>
      <c r="S6667" s="178"/>
    </row>
    <row r="6668" spans="18:19">
      <c r="R6668" s="178"/>
      <c r="S6668" s="178"/>
    </row>
    <row r="6669" spans="18:19">
      <c r="R6669" s="178"/>
      <c r="S6669" s="178"/>
    </row>
    <row r="6670" spans="18:19">
      <c r="R6670" s="178"/>
      <c r="S6670" s="178"/>
    </row>
    <row r="6671" spans="18:19">
      <c r="R6671" s="178"/>
      <c r="S6671" s="178"/>
    </row>
    <row r="6672" spans="18:19">
      <c r="R6672" s="178"/>
      <c r="S6672" s="178"/>
    </row>
    <row r="6673" spans="18:19">
      <c r="R6673" s="178"/>
      <c r="S6673" s="178"/>
    </row>
    <row r="6674" spans="18:19">
      <c r="R6674" s="178"/>
      <c r="S6674" s="178"/>
    </row>
    <row r="6675" spans="18:19">
      <c r="R6675" s="178"/>
      <c r="S6675" s="178"/>
    </row>
    <row r="6676" spans="18:19">
      <c r="R6676" s="178"/>
      <c r="S6676" s="178"/>
    </row>
    <row r="6677" spans="18:19">
      <c r="R6677" s="178"/>
      <c r="S6677" s="178"/>
    </row>
    <row r="6678" spans="18:19">
      <c r="R6678" s="178"/>
      <c r="S6678" s="178"/>
    </row>
    <row r="6679" spans="18:19">
      <c r="R6679" s="178"/>
      <c r="S6679" s="178"/>
    </row>
    <row r="6680" spans="18:19">
      <c r="R6680" s="178"/>
      <c r="S6680" s="178"/>
    </row>
    <row r="6681" spans="18:19">
      <c r="R6681" s="178"/>
      <c r="S6681" s="178"/>
    </row>
    <row r="6682" spans="18:19">
      <c r="R6682" s="178"/>
      <c r="S6682" s="178"/>
    </row>
    <row r="6683" spans="18:19">
      <c r="R6683" s="178"/>
      <c r="S6683" s="178"/>
    </row>
    <row r="6684" spans="18:19">
      <c r="R6684" s="178"/>
      <c r="S6684" s="178"/>
    </row>
    <row r="6685" spans="18:19">
      <c r="R6685" s="178"/>
      <c r="S6685" s="178"/>
    </row>
    <row r="6686" spans="18:19">
      <c r="R6686" s="178"/>
      <c r="S6686" s="178"/>
    </row>
    <row r="6687" spans="18:19">
      <c r="R6687" s="178"/>
      <c r="S6687" s="178"/>
    </row>
    <row r="6688" spans="18:19">
      <c r="R6688" s="178"/>
      <c r="S6688" s="178"/>
    </row>
    <row r="6689" spans="18:19">
      <c r="R6689" s="178"/>
      <c r="S6689" s="178"/>
    </row>
    <row r="6690" spans="18:19">
      <c r="R6690" s="178"/>
      <c r="S6690" s="178"/>
    </row>
    <row r="6691" spans="18:19">
      <c r="R6691" s="178"/>
      <c r="S6691" s="178"/>
    </row>
    <row r="6692" spans="18:19">
      <c r="R6692" s="178"/>
      <c r="S6692" s="178"/>
    </row>
    <row r="6693" spans="18:19">
      <c r="R6693" s="178"/>
      <c r="S6693" s="178"/>
    </row>
    <row r="6694" spans="18:19">
      <c r="R6694" s="178"/>
      <c r="S6694" s="178"/>
    </row>
    <row r="6695" spans="18:19">
      <c r="R6695" s="178"/>
      <c r="S6695" s="178"/>
    </row>
    <row r="6696" spans="18:19">
      <c r="R6696" s="178"/>
      <c r="S6696" s="178"/>
    </row>
    <row r="6697" spans="18:19">
      <c r="R6697" s="178"/>
      <c r="S6697" s="178"/>
    </row>
    <row r="6698" spans="18:19">
      <c r="R6698" s="178"/>
      <c r="S6698" s="178"/>
    </row>
    <row r="6699" spans="18:19">
      <c r="R6699" s="178"/>
      <c r="S6699" s="178"/>
    </row>
    <row r="6700" spans="18:19">
      <c r="R6700" s="178"/>
      <c r="S6700" s="178"/>
    </row>
    <row r="6701" spans="18:19">
      <c r="R6701" s="178"/>
      <c r="S6701" s="178"/>
    </row>
    <row r="6702" spans="18:19">
      <c r="R6702" s="178"/>
      <c r="S6702" s="178"/>
    </row>
    <row r="6703" spans="18:19">
      <c r="R6703" s="178"/>
      <c r="S6703" s="178"/>
    </row>
    <row r="6704" spans="18:19">
      <c r="R6704" s="178"/>
      <c r="S6704" s="178"/>
    </row>
    <row r="6705" spans="18:19">
      <c r="R6705" s="178"/>
      <c r="S6705" s="178"/>
    </row>
    <row r="6706" spans="18:19">
      <c r="R6706" s="178"/>
      <c r="S6706" s="178"/>
    </row>
    <row r="6707" spans="18:19">
      <c r="R6707" s="178"/>
      <c r="S6707" s="178"/>
    </row>
    <row r="6708" spans="18:19">
      <c r="R6708" s="178"/>
      <c r="S6708" s="178"/>
    </row>
    <row r="6709" spans="18:19">
      <c r="R6709" s="178"/>
      <c r="S6709" s="178"/>
    </row>
    <row r="6710" spans="18:19">
      <c r="R6710" s="178"/>
      <c r="S6710" s="178"/>
    </row>
    <row r="6711" spans="18:19">
      <c r="R6711" s="178"/>
      <c r="S6711" s="178"/>
    </row>
    <row r="6712" spans="18:19">
      <c r="R6712" s="178"/>
      <c r="S6712" s="178"/>
    </row>
    <row r="6713" spans="18:19">
      <c r="R6713" s="178"/>
      <c r="S6713" s="178"/>
    </row>
    <row r="6714" spans="18:19">
      <c r="R6714" s="178"/>
      <c r="S6714" s="178"/>
    </row>
    <row r="6715" spans="18:19">
      <c r="R6715" s="178"/>
      <c r="S6715" s="178"/>
    </row>
    <row r="6716" spans="18:19">
      <c r="R6716" s="178"/>
      <c r="S6716" s="178"/>
    </row>
    <row r="6717" spans="18:19">
      <c r="R6717" s="178"/>
      <c r="S6717" s="178"/>
    </row>
    <row r="6718" spans="18:19">
      <c r="R6718" s="178"/>
      <c r="S6718" s="178"/>
    </row>
    <row r="6719" spans="18:19">
      <c r="R6719" s="178"/>
      <c r="S6719" s="178"/>
    </row>
    <row r="6720" spans="18:19">
      <c r="R6720" s="178"/>
      <c r="S6720" s="178"/>
    </row>
    <row r="6721" spans="18:19">
      <c r="R6721" s="178"/>
      <c r="S6721" s="178"/>
    </row>
    <row r="6722" spans="18:19">
      <c r="R6722" s="178"/>
      <c r="S6722" s="178"/>
    </row>
    <row r="6723" spans="18:19">
      <c r="R6723" s="178"/>
      <c r="S6723" s="178"/>
    </row>
    <row r="6724" spans="18:19">
      <c r="R6724" s="178"/>
      <c r="S6724" s="178"/>
    </row>
    <row r="6725" spans="18:19">
      <c r="R6725" s="178"/>
      <c r="S6725" s="178"/>
    </row>
    <row r="6726" spans="18:19">
      <c r="R6726" s="178"/>
      <c r="S6726" s="178"/>
    </row>
    <row r="6727" spans="18:19">
      <c r="R6727" s="178"/>
      <c r="S6727" s="178"/>
    </row>
    <row r="6728" spans="18:19">
      <c r="R6728" s="178"/>
      <c r="S6728" s="178"/>
    </row>
    <row r="6729" spans="18:19">
      <c r="R6729" s="178"/>
      <c r="S6729" s="178"/>
    </row>
    <row r="6730" spans="18:19">
      <c r="R6730" s="178"/>
      <c r="S6730" s="178"/>
    </row>
    <row r="6731" spans="18:19">
      <c r="R6731" s="178"/>
      <c r="S6731" s="178"/>
    </row>
    <row r="6732" spans="18:19">
      <c r="R6732" s="178"/>
      <c r="S6732" s="178"/>
    </row>
    <row r="6733" spans="18:19">
      <c r="R6733" s="178"/>
      <c r="S6733" s="178"/>
    </row>
    <row r="6734" spans="18:19">
      <c r="R6734" s="178"/>
      <c r="S6734" s="178"/>
    </row>
    <row r="6735" spans="18:19">
      <c r="R6735" s="178"/>
      <c r="S6735" s="178"/>
    </row>
    <row r="6736" spans="18:19">
      <c r="R6736" s="178"/>
      <c r="S6736" s="178"/>
    </row>
    <row r="6737" spans="18:19">
      <c r="R6737" s="178"/>
      <c r="S6737" s="178"/>
    </row>
    <row r="6738" spans="18:19">
      <c r="R6738" s="178"/>
      <c r="S6738" s="178"/>
    </row>
    <row r="6739" spans="18:19">
      <c r="R6739" s="178"/>
      <c r="S6739" s="178"/>
    </row>
    <row r="6740" spans="18:19">
      <c r="R6740" s="178"/>
      <c r="S6740" s="178"/>
    </row>
    <row r="6741" spans="18:19">
      <c r="R6741" s="178"/>
      <c r="S6741" s="178"/>
    </row>
    <row r="6742" spans="18:19">
      <c r="R6742" s="178"/>
      <c r="S6742" s="178"/>
    </row>
    <row r="6743" spans="18:19">
      <c r="R6743" s="178"/>
      <c r="S6743" s="178"/>
    </row>
    <row r="6744" spans="18:19">
      <c r="R6744" s="178"/>
      <c r="S6744" s="178"/>
    </row>
    <row r="6745" spans="18:19">
      <c r="R6745" s="178"/>
      <c r="S6745" s="178"/>
    </row>
    <row r="6746" spans="18:19">
      <c r="R6746" s="178"/>
      <c r="S6746" s="178"/>
    </row>
    <row r="6747" spans="18:19">
      <c r="R6747" s="178"/>
      <c r="S6747" s="178"/>
    </row>
    <row r="6748" spans="18:19">
      <c r="R6748" s="178"/>
      <c r="S6748" s="178"/>
    </row>
    <row r="6749" spans="18:19">
      <c r="R6749" s="178"/>
      <c r="S6749" s="178"/>
    </row>
    <row r="6750" spans="18:19">
      <c r="R6750" s="178"/>
      <c r="S6750" s="178"/>
    </row>
    <row r="6751" spans="18:19">
      <c r="R6751" s="178"/>
      <c r="S6751" s="178"/>
    </row>
    <row r="6752" spans="18:19">
      <c r="R6752" s="178"/>
      <c r="S6752" s="178"/>
    </row>
    <row r="6753" spans="18:19">
      <c r="R6753" s="178"/>
      <c r="S6753" s="178"/>
    </row>
    <row r="6754" spans="18:19">
      <c r="R6754" s="178"/>
      <c r="S6754" s="178"/>
    </row>
    <row r="6755" spans="18:19">
      <c r="R6755" s="178"/>
      <c r="S6755" s="178"/>
    </row>
    <row r="6756" spans="18:19">
      <c r="R6756" s="178"/>
      <c r="S6756" s="178"/>
    </row>
    <row r="6757" spans="18:19">
      <c r="R6757" s="178"/>
      <c r="S6757" s="178"/>
    </row>
    <row r="6758" spans="18:19">
      <c r="R6758" s="178"/>
      <c r="S6758" s="178"/>
    </row>
    <row r="6759" spans="18:19">
      <c r="R6759" s="178"/>
      <c r="S6759" s="178"/>
    </row>
    <row r="6760" spans="18:19">
      <c r="R6760" s="178"/>
      <c r="S6760" s="178"/>
    </row>
    <row r="6761" spans="18:19">
      <c r="R6761" s="178"/>
      <c r="S6761" s="178"/>
    </row>
    <row r="6762" spans="18:19">
      <c r="R6762" s="178"/>
      <c r="S6762" s="178"/>
    </row>
    <row r="6763" spans="18:19">
      <c r="R6763" s="178"/>
      <c r="S6763" s="178"/>
    </row>
    <row r="6764" spans="18:19">
      <c r="R6764" s="178"/>
      <c r="S6764" s="178"/>
    </row>
    <row r="6765" spans="18:19">
      <c r="R6765" s="178"/>
      <c r="S6765" s="178"/>
    </row>
    <row r="6766" spans="18:19">
      <c r="R6766" s="178"/>
      <c r="S6766" s="178"/>
    </row>
    <row r="6767" spans="18:19">
      <c r="R6767" s="178"/>
      <c r="S6767" s="178"/>
    </row>
    <row r="6768" spans="18:19">
      <c r="R6768" s="178"/>
      <c r="S6768" s="178"/>
    </row>
    <row r="6769" spans="18:19">
      <c r="R6769" s="178"/>
      <c r="S6769" s="178"/>
    </row>
    <row r="6770" spans="18:19">
      <c r="R6770" s="178"/>
      <c r="S6770" s="178"/>
    </row>
    <row r="6771" spans="18:19">
      <c r="R6771" s="178"/>
      <c r="S6771" s="178"/>
    </row>
    <row r="6772" spans="18:19">
      <c r="R6772" s="178"/>
      <c r="S6772" s="178"/>
    </row>
    <row r="6773" spans="18:19">
      <c r="R6773" s="178"/>
      <c r="S6773" s="178"/>
    </row>
    <row r="6774" spans="18:19">
      <c r="R6774" s="178"/>
      <c r="S6774" s="178"/>
    </row>
    <row r="6775" spans="18:19">
      <c r="R6775" s="178"/>
      <c r="S6775" s="178"/>
    </row>
    <row r="6776" spans="18:19">
      <c r="R6776" s="178"/>
      <c r="S6776" s="178"/>
    </row>
    <row r="6777" spans="18:19">
      <c r="R6777" s="178"/>
      <c r="S6777" s="178"/>
    </row>
    <row r="6778" spans="18:19">
      <c r="R6778" s="178"/>
      <c r="S6778" s="178"/>
    </row>
    <row r="6779" spans="18:19">
      <c r="R6779" s="178"/>
      <c r="S6779" s="178"/>
    </row>
    <row r="6780" spans="18:19">
      <c r="R6780" s="178"/>
      <c r="S6780" s="178"/>
    </row>
    <row r="6781" spans="18:19">
      <c r="R6781" s="178"/>
      <c r="S6781" s="178"/>
    </row>
    <row r="6782" spans="18:19">
      <c r="R6782" s="178"/>
      <c r="S6782" s="178"/>
    </row>
    <row r="6783" spans="18:19">
      <c r="R6783" s="178"/>
      <c r="S6783" s="178"/>
    </row>
    <row r="6784" spans="18:19">
      <c r="R6784" s="178"/>
      <c r="S6784" s="178"/>
    </row>
    <row r="6785" spans="18:19">
      <c r="R6785" s="178"/>
      <c r="S6785" s="178"/>
    </row>
    <row r="6786" spans="18:19">
      <c r="R6786" s="178"/>
      <c r="S6786" s="178"/>
    </row>
    <row r="6787" spans="18:19">
      <c r="R6787" s="178"/>
      <c r="S6787" s="178"/>
    </row>
    <row r="6788" spans="18:19">
      <c r="R6788" s="178"/>
      <c r="S6788" s="178"/>
    </row>
    <row r="6789" spans="18:19">
      <c r="R6789" s="178"/>
      <c r="S6789" s="178"/>
    </row>
    <row r="6790" spans="18:19">
      <c r="R6790" s="178"/>
      <c r="S6790" s="178"/>
    </row>
    <row r="6791" spans="18:19">
      <c r="R6791" s="178"/>
      <c r="S6791" s="178"/>
    </row>
    <row r="6792" spans="18:19">
      <c r="R6792" s="178"/>
      <c r="S6792" s="178"/>
    </row>
    <row r="6793" spans="18:19">
      <c r="R6793" s="178"/>
      <c r="S6793" s="178"/>
    </row>
    <row r="6794" spans="18:19">
      <c r="R6794" s="178"/>
      <c r="S6794" s="178"/>
    </row>
    <row r="6795" spans="18:19">
      <c r="R6795" s="178"/>
      <c r="S6795" s="178"/>
    </row>
    <row r="6796" spans="18:19">
      <c r="R6796" s="178"/>
      <c r="S6796" s="178"/>
    </row>
    <row r="6797" spans="18:19">
      <c r="R6797" s="178"/>
      <c r="S6797" s="178"/>
    </row>
    <row r="6798" spans="18:19">
      <c r="R6798" s="178"/>
      <c r="S6798" s="178"/>
    </row>
    <row r="6799" spans="18:19">
      <c r="R6799" s="178"/>
      <c r="S6799" s="178"/>
    </row>
    <row r="6800" spans="18:19">
      <c r="R6800" s="178"/>
      <c r="S6800" s="178"/>
    </row>
    <row r="6801" spans="18:19">
      <c r="R6801" s="178"/>
      <c r="S6801" s="178"/>
    </row>
    <row r="6802" spans="18:19">
      <c r="R6802" s="178"/>
      <c r="S6802" s="178"/>
    </row>
    <row r="6803" spans="18:19">
      <c r="R6803" s="178"/>
      <c r="S6803" s="178"/>
    </row>
    <row r="6804" spans="18:19">
      <c r="R6804" s="178"/>
      <c r="S6804" s="178"/>
    </row>
    <row r="6805" spans="18:19">
      <c r="R6805" s="178"/>
      <c r="S6805" s="178"/>
    </row>
    <row r="6806" spans="18:19">
      <c r="R6806" s="178"/>
      <c r="S6806" s="178"/>
    </row>
    <row r="6807" spans="18:19">
      <c r="R6807" s="178"/>
      <c r="S6807" s="178"/>
    </row>
    <row r="6808" spans="18:19">
      <c r="R6808" s="178"/>
      <c r="S6808" s="178"/>
    </row>
    <row r="6809" spans="18:19">
      <c r="R6809" s="178"/>
      <c r="S6809" s="178"/>
    </row>
    <row r="6810" spans="18:19">
      <c r="R6810" s="178"/>
      <c r="S6810" s="178"/>
    </row>
    <row r="6811" spans="18:19">
      <c r="R6811" s="178"/>
      <c r="S6811" s="178"/>
    </row>
    <row r="6812" spans="18:19">
      <c r="R6812" s="178"/>
      <c r="S6812" s="178"/>
    </row>
    <row r="6813" spans="18:19">
      <c r="R6813" s="178"/>
      <c r="S6813" s="178"/>
    </row>
    <row r="6814" spans="18:19">
      <c r="R6814" s="178"/>
      <c r="S6814" s="178"/>
    </row>
    <row r="6815" spans="18:19">
      <c r="R6815" s="178"/>
      <c r="S6815" s="178"/>
    </row>
    <row r="6816" spans="18:19">
      <c r="R6816" s="178"/>
      <c r="S6816" s="178"/>
    </row>
    <row r="6817" spans="18:19">
      <c r="R6817" s="178"/>
      <c r="S6817" s="178"/>
    </row>
    <row r="6818" spans="18:19">
      <c r="R6818" s="178"/>
      <c r="S6818" s="178"/>
    </row>
    <row r="6819" spans="18:19">
      <c r="R6819" s="178"/>
      <c r="S6819" s="178"/>
    </row>
    <row r="6820" spans="18:19">
      <c r="R6820" s="178"/>
      <c r="S6820" s="178"/>
    </row>
    <row r="6821" spans="18:19">
      <c r="R6821" s="178"/>
      <c r="S6821" s="178"/>
    </row>
    <row r="6822" spans="18:19">
      <c r="R6822" s="178"/>
      <c r="S6822" s="178"/>
    </row>
    <row r="6823" spans="18:19">
      <c r="R6823" s="178"/>
      <c r="S6823" s="178"/>
    </row>
    <row r="6824" spans="18:19">
      <c r="R6824" s="178"/>
      <c r="S6824" s="178"/>
    </row>
    <row r="6825" spans="18:19">
      <c r="R6825" s="178"/>
      <c r="S6825" s="178"/>
    </row>
    <row r="6826" spans="18:19">
      <c r="R6826" s="178"/>
      <c r="S6826" s="178"/>
    </row>
    <row r="6827" spans="18:19">
      <c r="R6827" s="178"/>
      <c r="S6827" s="178"/>
    </row>
    <row r="6828" spans="18:19">
      <c r="R6828" s="178"/>
      <c r="S6828" s="178"/>
    </row>
    <row r="6829" spans="18:19">
      <c r="R6829" s="178"/>
      <c r="S6829" s="178"/>
    </row>
    <row r="6830" spans="18:19">
      <c r="R6830" s="178"/>
      <c r="S6830" s="178"/>
    </row>
    <row r="6831" spans="18:19">
      <c r="R6831" s="178"/>
      <c r="S6831" s="178"/>
    </row>
    <row r="6832" spans="18:19">
      <c r="R6832" s="178"/>
      <c r="S6832" s="178"/>
    </row>
    <row r="6833" spans="18:19">
      <c r="R6833" s="178"/>
      <c r="S6833" s="178"/>
    </row>
    <row r="6834" spans="18:19">
      <c r="R6834" s="178"/>
      <c r="S6834" s="178"/>
    </row>
    <row r="6835" spans="18:19">
      <c r="R6835" s="178"/>
      <c r="S6835" s="178"/>
    </row>
    <row r="6836" spans="18:19">
      <c r="R6836" s="178"/>
      <c r="S6836" s="178"/>
    </row>
    <row r="6837" spans="18:19">
      <c r="R6837" s="178"/>
      <c r="S6837" s="178"/>
    </row>
    <row r="6838" spans="18:19">
      <c r="R6838" s="178"/>
      <c r="S6838" s="178"/>
    </row>
    <row r="6839" spans="18:19">
      <c r="R6839" s="178"/>
      <c r="S6839" s="178"/>
    </row>
    <row r="6840" spans="18:19">
      <c r="R6840" s="178"/>
      <c r="S6840" s="178"/>
    </row>
    <row r="6841" spans="18:19">
      <c r="R6841" s="178"/>
      <c r="S6841" s="178"/>
    </row>
    <row r="6842" spans="18:19">
      <c r="R6842" s="178"/>
      <c r="S6842" s="178"/>
    </row>
    <row r="6843" spans="18:19">
      <c r="R6843" s="178"/>
      <c r="S6843" s="178"/>
    </row>
    <row r="6844" spans="18:19">
      <c r="R6844" s="178"/>
      <c r="S6844" s="178"/>
    </row>
    <row r="6845" spans="18:19">
      <c r="R6845" s="178"/>
      <c r="S6845" s="178"/>
    </row>
    <row r="6846" spans="18:19">
      <c r="R6846" s="178"/>
      <c r="S6846" s="178"/>
    </row>
    <row r="6847" spans="18:19">
      <c r="R6847" s="178"/>
      <c r="S6847" s="178"/>
    </row>
    <row r="6848" spans="18:19">
      <c r="R6848" s="178"/>
      <c r="S6848" s="178"/>
    </row>
    <row r="6849" spans="18:19">
      <c r="R6849" s="178"/>
      <c r="S6849" s="178"/>
    </row>
    <row r="6850" spans="18:19">
      <c r="R6850" s="178"/>
      <c r="S6850" s="178"/>
    </row>
    <row r="6851" spans="18:19">
      <c r="R6851" s="178"/>
      <c r="S6851" s="178"/>
    </row>
    <row r="6852" spans="18:19">
      <c r="R6852" s="178"/>
      <c r="S6852" s="178"/>
    </row>
    <row r="6853" spans="18:19">
      <c r="R6853" s="178"/>
      <c r="S6853" s="178"/>
    </row>
    <row r="6854" spans="18:19">
      <c r="R6854" s="178"/>
      <c r="S6854" s="178"/>
    </row>
    <row r="6855" spans="18:19">
      <c r="R6855" s="178"/>
      <c r="S6855" s="178"/>
    </row>
    <row r="6856" spans="18:19">
      <c r="R6856" s="178"/>
      <c r="S6856" s="178"/>
    </row>
    <row r="6857" spans="18:19">
      <c r="R6857" s="178"/>
      <c r="S6857" s="178"/>
    </row>
    <row r="6858" spans="18:19">
      <c r="R6858" s="178"/>
      <c r="S6858" s="178"/>
    </row>
    <row r="6859" spans="18:19">
      <c r="R6859" s="178"/>
      <c r="S6859" s="178"/>
    </row>
    <row r="6860" spans="18:19">
      <c r="R6860" s="178"/>
      <c r="S6860" s="178"/>
    </row>
    <row r="6861" spans="18:19">
      <c r="R6861" s="178"/>
      <c r="S6861" s="178"/>
    </row>
    <row r="6862" spans="18:19">
      <c r="R6862" s="178"/>
      <c r="S6862" s="178"/>
    </row>
    <row r="6863" spans="18:19">
      <c r="R6863" s="178"/>
      <c r="S6863" s="178"/>
    </row>
    <row r="6864" spans="18:19">
      <c r="R6864" s="178"/>
      <c r="S6864" s="178"/>
    </row>
    <row r="6865" spans="18:19">
      <c r="R6865" s="178"/>
      <c r="S6865" s="178"/>
    </row>
    <row r="6866" spans="18:19">
      <c r="R6866" s="178"/>
      <c r="S6866" s="178"/>
    </row>
    <row r="6867" spans="18:19">
      <c r="R6867" s="178"/>
      <c r="S6867" s="178"/>
    </row>
    <row r="6868" spans="18:19">
      <c r="R6868" s="178"/>
      <c r="S6868" s="178"/>
    </row>
    <row r="6869" spans="18:19">
      <c r="R6869" s="178"/>
      <c r="S6869" s="178"/>
    </row>
    <row r="6870" spans="18:19">
      <c r="R6870" s="178"/>
      <c r="S6870" s="178"/>
    </row>
    <row r="6871" spans="18:19">
      <c r="R6871" s="178"/>
      <c r="S6871" s="178"/>
    </row>
    <row r="6872" spans="18:19">
      <c r="R6872" s="178"/>
      <c r="S6872" s="178"/>
    </row>
    <row r="6873" spans="18:19">
      <c r="R6873" s="178"/>
      <c r="S6873" s="178"/>
    </row>
    <row r="6874" spans="18:19">
      <c r="R6874" s="178"/>
      <c r="S6874" s="178"/>
    </row>
    <row r="6875" spans="18:19">
      <c r="R6875" s="178"/>
      <c r="S6875" s="178"/>
    </row>
    <row r="6876" spans="18:19">
      <c r="R6876" s="178"/>
      <c r="S6876" s="178"/>
    </row>
    <row r="6877" spans="18:19">
      <c r="R6877" s="178"/>
      <c r="S6877" s="178"/>
    </row>
    <row r="6878" spans="18:19">
      <c r="R6878" s="178"/>
      <c r="S6878" s="178"/>
    </row>
    <row r="6879" spans="18:19">
      <c r="R6879" s="178"/>
      <c r="S6879" s="178"/>
    </row>
    <row r="6880" spans="18:19">
      <c r="R6880" s="178"/>
      <c r="S6880" s="178"/>
    </row>
    <row r="6881" spans="18:19">
      <c r="R6881" s="178"/>
      <c r="S6881" s="178"/>
    </row>
    <row r="6882" spans="18:19">
      <c r="R6882" s="178"/>
      <c r="S6882" s="178"/>
    </row>
    <row r="6883" spans="18:19">
      <c r="R6883" s="178"/>
      <c r="S6883" s="178"/>
    </row>
    <row r="6884" spans="18:19">
      <c r="R6884" s="178"/>
      <c r="S6884" s="178"/>
    </row>
    <row r="6885" spans="18:19">
      <c r="R6885" s="178"/>
      <c r="S6885" s="178"/>
    </row>
    <row r="6886" spans="18:19">
      <c r="R6886" s="178"/>
      <c r="S6886" s="178"/>
    </row>
    <row r="6887" spans="18:19">
      <c r="R6887" s="178"/>
      <c r="S6887" s="178"/>
    </row>
    <row r="6888" spans="18:19">
      <c r="R6888" s="178"/>
      <c r="S6888" s="178"/>
    </row>
    <row r="6889" spans="18:19">
      <c r="R6889" s="178"/>
      <c r="S6889" s="178"/>
    </row>
    <row r="6890" spans="18:19">
      <c r="R6890" s="178"/>
      <c r="S6890" s="178"/>
    </row>
    <row r="6891" spans="18:19">
      <c r="R6891" s="178"/>
      <c r="S6891" s="178"/>
    </row>
    <row r="6892" spans="18:19">
      <c r="R6892" s="178"/>
      <c r="S6892" s="178"/>
    </row>
    <row r="6893" spans="18:19">
      <c r="R6893" s="178"/>
      <c r="S6893" s="178"/>
    </row>
    <row r="6894" spans="18:19">
      <c r="R6894" s="178"/>
      <c r="S6894" s="178"/>
    </row>
    <row r="6895" spans="18:19">
      <c r="R6895" s="178"/>
      <c r="S6895" s="178"/>
    </row>
    <row r="6896" spans="18:19">
      <c r="R6896" s="178"/>
      <c r="S6896" s="178"/>
    </row>
    <row r="6897" spans="18:19">
      <c r="R6897" s="178"/>
      <c r="S6897" s="178"/>
    </row>
    <row r="6898" spans="18:19">
      <c r="R6898" s="178"/>
      <c r="S6898" s="178"/>
    </row>
    <row r="6899" spans="18:19">
      <c r="R6899" s="178"/>
      <c r="S6899" s="178"/>
    </row>
    <row r="6900" spans="18:19">
      <c r="R6900" s="178"/>
      <c r="S6900" s="178"/>
    </row>
    <row r="6901" spans="18:19">
      <c r="R6901" s="178"/>
      <c r="S6901" s="178"/>
    </row>
    <row r="6902" spans="18:19">
      <c r="R6902" s="178"/>
      <c r="S6902" s="178"/>
    </row>
    <row r="6903" spans="18:19">
      <c r="R6903" s="178"/>
      <c r="S6903" s="178"/>
    </row>
    <row r="6904" spans="18:19">
      <c r="R6904" s="178"/>
      <c r="S6904" s="178"/>
    </row>
    <row r="6905" spans="18:19">
      <c r="R6905" s="178"/>
      <c r="S6905" s="178"/>
    </row>
    <row r="6906" spans="18:19">
      <c r="R6906" s="178"/>
      <c r="S6906" s="178"/>
    </row>
    <row r="6907" spans="18:19">
      <c r="R6907" s="178"/>
      <c r="S6907" s="178"/>
    </row>
    <row r="6908" spans="18:19">
      <c r="R6908" s="178"/>
      <c r="S6908" s="178"/>
    </row>
    <row r="6909" spans="18:19">
      <c r="R6909" s="178"/>
      <c r="S6909" s="178"/>
    </row>
    <row r="6910" spans="18:19">
      <c r="R6910" s="178"/>
      <c r="S6910" s="178"/>
    </row>
    <row r="6911" spans="18:19">
      <c r="R6911" s="178"/>
      <c r="S6911" s="178"/>
    </row>
    <row r="6912" spans="18:19">
      <c r="R6912" s="178"/>
      <c r="S6912" s="178"/>
    </row>
    <row r="6913" spans="18:19">
      <c r="R6913" s="178"/>
      <c r="S6913" s="178"/>
    </row>
    <row r="6914" spans="18:19">
      <c r="R6914" s="178"/>
      <c r="S6914" s="178"/>
    </row>
    <row r="6915" spans="18:19">
      <c r="R6915" s="178"/>
      <c r="S6915" s="178"/>
    </row>
    <row r="6916" spans="18:19">
      <c r="R6916" s="178"/>
      <c r="S6916" s="178"/>
    </row>
    <row r="6917" spans="18:19">
      <c r="R6917" s="178"/>
      <c r="S6917" s="178"/>
    </row>
    <row r="6918" spans="18:19">
      <c r="R6918" s="178"/>
      <c r="S6918" s="178"/>
    </row>
    <row r="6919" spans="18:19">
      <c r="R6919" s="178"/>
      <c r="S6919" s="178"/>
    </row>
    <row r="6920" spans="18:19">
      <c r="R6920" s="178"/>
      <c r="S6920" s="178"/>
    </row>
    <row r="6921" spans="18:19">
      <c r="R6921" s="178"/>
      <c r="S6921" s="178"/>
    </row>
    <row r="6922" spans="18:19">
      <c r="R6922" s="178"/>
      <c r="S6922" s="178"/>
    </row>
    <row r="6923" spans="18:19">
      <c r="R6923" s="178"/>
      <c r="S6923" s="178"/>
    </row>
    <row r="6924" spans="18:19">
      <c r="R6924" s="178"/>
      <c r="S6924" s="178"/>
    </row>
    <row r="6925" spans="18:19">
      <c r="R6925" s="178"/>
      <c r="S6925" s="178"/>
    </row>
    <row r="6926" spans="18:19">
      <c r="R6926" s="178"/>
      <c r="S6926" s="178"/>
    </row>
    <row r="6927" spans="18:19">
      <c r="R6927" s="178"/>
      <c r="S6927" s="178"/>
    </row>
    <row r="6928" spans="18:19">
      <c r="R6928" s="178"/>
      <c r="S6928" s="178"/>
    </row>
    <row r="6929" spans="18:19">
      <c r="R6929" s="178"/>
      <c r="S6929" s="178"/>
    </row>
    <row r="6930" spans="18:19">
      <c r="R6930" s="178"/>
      <c r="S6930" s="178"/>
    </row>
    <row r="6931" spans="18:19">
      <c r="R6931" s="178"/>
      <c r="S6931" s="178"/>
    </row>
    <row r="6932" spans="18:19">
      <c r="R6932" s="178"/>
      <c r="S6932" s="178"/>
    </row>
    <row r="6933" spans="18:19">
      <c r="R6933" s="178"/>
      <c r="S6933" s="178"/>
    </row>
    <row r="6934" spans="18:19">
      <c r="R6934" s="178"/>
      <c r="S6934" s="178"/>
    </row>
    <row r="6935" spans="18:19">
      <c r="R6935" s="178"/>
      <c r="S6935" s="178"/>
    </row>
    <row r="6936" spans="18:19">
      <c r="R6936" s="178"/>
      <c r="S6936" s="178"/>
    </row>
    <row r="6937" spans="18:19">
      <c r="R6937" s="178"/>
      <c r="S6937" s="178"/>
    </row>
    <row r="6938" spans="18:19">
      <c r="R6938" s="178"/>
      <c r="S6938" s="178"/>
    </row>
    <row r="6939" spans="18:19">
      <c r="R6939" s="178"/>
      <c r="S6939" s="178"/>
    </row>
    <row r="6940" spans="18:19">
      <c r="R6940" s="178"/>
      <c r="S6940" s="178"/>
    </row>
    <row r="6941" spans="18:19">
      <c r="R6941" s="178"/>
      <c r="S6941" s="178"/>
    </row>
    <row r="6942" spans="18:19">
      <c r="R6942" s="178"/>
      <c r="S6942" s="178"/>
    </row>
    <row r="6943" spans="18:19">
      <c r="R6943" s="178"/>
      <c r="S6943" s="178"/>
    </row>
    <row r="6944" spans="18:19">
      <c r="R6944" s="178"/>
      <c r="S6944" s="178"/>
    </row>
    <row r="6945" spans="18:19">
      <c r="R6945" s="178"/>
      <c r="S6945" s="178"/>
    </row>
    <row r="6946" spans="18:19">
      <c r="R6946" s="178"/>
      <c r="S6946" s="178"/>
    </row>
    <row r="6947" spans="18:19">
      <c r="R6947" s="178"/>
      <c r="S6947" s="178"/>
    </row>
    <row r="6948" spans="18:19">
      <c r="R6948" s="178"/>
      <c r="S6948" s="178"/>
    </row>
    <row r="6949" spans="18:19">
      <c r="R6949" s="178"/>
      <c r="S6949" s="178"/>
    </row>
    <row r="6950" spans="18:19">
      <c r="R6950" s="178"/>
      <c r="S6950" s="178"/>
    </row>
    <row r="6951" spans="18:19">
      <c r="R6951" s="178"/>
      <c r="S6951" s="178"/>
    </row>
    <row r="6952" spans="18:19">
      <c r="R6952" s="178"/>
      <c r="S6952" s="178"/>
    </row>
    <row r="6953" spans="18:19">
      <c r="R6953" s="178"/>
      <c r="S6953" s="178"/>
    </row>
    <row r="6954" spans="18:19">
      <c r="R6954" s="178"/>
      <c r="S6954" s="178"/>
    </row>
    <row r="6955" spans="18:19">
      <c r="R6955" s="178"/>
      <c r="S6955" s="178"/>
    </row>
    <row r="6956" spans="18:19">
      <c r="R6956" s="178"/>
      <c r="S6956" s="178"/>
    </row>
    <row r="6957" spans="18:19">
      <c r="R6957" s="178"/>
      <c r="S6957" s="178"/>
    </row>
    <row r="6958" spans="18:19">
      <c r="R6958" s="178"/>
      <c r="S6958" s="178"/>
    </row>
    <row r="6959" spans="18:19">
      <c r="R6959" s="178"/>
      <c r="S6959" s="178"/>
    </row>
    <row r="6960" spans="18:19">
      <c r="R6960" s="178"/>
      <c r="S6960" s="178"/>
    </row>
    <row r="6961" spans="18:19">
      <c r="R6961" s="178"/>
      <c r="S6961" s="178"/>
    </row>
    <row r="6962" spans="18:19">
      <c r="R6962" s="178"/>
      <c r="S6962" s="178"/>
    </row>
    <row r="6963" spans="18:19">
      <c r="R6963" s="178"/>
      <c r="S6963" s="178"/>
    </row>
    <row r="6964" spans="18:19">
      <c r="R6964" s="178"/>
      <c r="S6964" s="178"/>
    </row>
    <row r="6965" spans="18:19">
      <c r="R6965" s="178"/>
      <c r="S6965" s="178"/>
    </row>
    <row r="6966" spans="18:19">
      <c r="R6966" s="178"/>
      <c r="S6966" s="178"/>
    </row>
    <row r="6967" spans="18:19">
      <c r="R6967" s="178"/>
      <c r="S6967" s="178"/>
    </row>
    <row r="6968" spans="18:19">
      <c r="R6968" s="178"/>
      <c r="S6968" s="178"/>
    </row>
    <row r="6969" spans="18:19">
      <c r="R6969" s="178"/>
      <c r="S6969" s="178"/>
    </row>
    <row r="6970" spans="18:19">
      <c r="R6970" s="178"/>
      <c r="S6970" s="178"/>
    </row>
    <row r="6971" spans="18:19">
      <c r="R6971" s="178"/>
      <c r="S6971" s="178"/>
    </row>
    <row r="6972" spans="18:19">
      <c r="R6972" s="178"/>
      <c r="S6972" s="178"/>
    </row>
    <row r="6973" spans="18:19">
      <c r="R6973" s="178"/>
      <c r="S6973" s="178"/>
    </row>
    <row r="6974" spans="18:19">
      <c r="R6974" s="178"/>
      <c r="S6974" s="178"/>
    </row>
    <row r="6975" spans="18:19">
      <c r="R6975" s="178"/>
      <c r="S6975" s="178"/>
    </row>
    <row r="6976" spans="18:19">
      <c r="R6976" s="178"/>
      <c r="S6976" s="178"/>
    </row>
    <row r="6977" spans="18:19">
      <c r="R6977" s="178"/>
      <c r="S6977" s="178"/>
    </row>
    <row r="6978" spans="18:19">
      <c r="R6978" s="178"/>
      <c r="S6978" s="178"/>
    </row>
    <row r="6979" spans="18:19">
      <c r="R6979" s="178"/>
      <c r="S6979" s="178"/>
    </row>
    <row r="6980" spans="18:19">
      <c r="R6980" s="178"/>
      <c r="S6980" s="178"/>
    </row>
    <row r="6981" spans="18:19">
      <c r="R6981" s="178"/>
      <c r="S6981" s="178"/>
    </row>
    <row r="6982" spans="18:19">
      <c r="R6982" s="178"/>
      <c r="S6982" s="178"/>
    </row>
    <row r="6983" spans="18:19">
      <c r="R6983" s="178"/>
      <c r="S6983" s="178"/>
    </row>
    <row r="6984" spans="18:19">
      <c r="R6984" s="178"/>
      <c r="S6984" s="178"/>
    </row>
    <row r="6985" spans="18:19">
      <c r="R6985" s="178"/>
      <c r="S6985" s="178"/>
    </row>
    <row r="6986" spans="18:19">
      <c r="R6986" s="178"/>
      <c r="S6986" s="178"/>
    </row>
    <row r="6987" spans="18:19">
      <c r="R6987" s="178"/>
      <c r="S6987" s="178"/>
    </row>
    <row r="6988" spans="18:19">
      <c r="R6988" s="178"/>
      <c r="S6988" s="178"/>
    </row>
    <row r="6989" spans="18:19">
      <c r="R6989" s="178"/>
      <c r="S6989" s="178"/>
    </row>
    <row r="6990" spans="18:19">
      <c r="R6990" s="178"/>
      <c r="S6990" s="178"/>
    </row>
    <row r="6991" spans="18:19">
      <c r="R6991" s="178"/>
      <c r="S6991" s="178"/>
    </row>
    <row r="6992" spans="18:19">
      <c r="R6992" s="178"/>
      <c r="S6992" s="178"/>
    </row>
    <row r="6993" spans="18:19">
      <c r="R6993" s="178"/>
      <c r="S6993" s="178"/>
    </row>
    <row r="6994" spans="18:19">
      <c r="R6994" s="178"/>
      <c r="S6994" s="178"/>
    </row>
    <row r="6995" spans="18:19">
      <c r="R6995" s="178"/>
      <c r="S6995" s="178"/>
    </row>
    <row r="6996" spans="18:19">
      <c r="R6996" s="178"/>
      <c r="S6996" s="178"/>
    </row>
    <row r="6997" spans="18:19">
      <c r="R6997" s="178"/>
      <c r="S6997" s="178"/>
    </row>
    <row r="6998" spans="18:19">
      <c r="R6998" s="178"/>
      <c r="S6998" s="178"/>
    </row>
    <row r="6999" spans="18:19">
      <c r="R6999" s="178"/>
      <c r="S6999" s="178"/>
    </row>
    <row r="7000" spans="18:19">
      <c r="R7000" s="178"/>
      <c r="S7000" s="178"/>
    </row>
    <row r="7001" spans="18:19">
      <c r="R7001" s="178"/>
      <c r="S7001" s="178"/>
    </row>
    <row r="7002" spans="18:19">
      <c r="R7002" s="178"/>
      <c r="S7002" s="178"/>
    </row>
    <row r="7003" spans="18:19">
      <c r="R7003" s="178"/>
      <c r="S7003" s="178"/>
    </row>
    <row r="7004" spans="18:19">
      <c r="R7004" s="178"/>
      <c r="S7004" s="178"/>
    </row>
    <row r="7005" spans="18:19">
      <c r="R7005" s="178"/>
      <c r="S7005" s="178"/>
    </row>
    <row r="7006" spans="18:19">
      <c r="R7006" s="178"/>
      <c r="S7006" s="178"/>
    </row>
    <row r="7007" spans="18:19">
      <c r="R7007" s="178"/>
      <c r="S7007" s="178"/>
    </row>
    <row r="7008" spans="18:19">
      <c r="R7008" s="178"/>
      <c r="S7008" s="178"/>
    </row>
    <row r="7009" spans="18:19">
      <c r="R7009" s="178"/>
      <c r="S7009" s="178"/>
    </row>
    <row r="7010" spans="18:19">
      <c r="R7010" s="178"/>
      <c r="S7010" s="178"/>
    </row>
    <row r="7011" spans="18:19">
      <c r="R7011" s="178"/>
      <c r="S7011" s="178"/>
    </row>
    <row r="7012" spans="18:19">
      <c r="R7012" s="178"/>
      <c r="S7012" s="178"/>
    </row>
    <row r="7013" spans="18:19">
      <c r="R7013" s="178"/>
      <c r="S7013" s="178"/>
    </row>
    <row r="7014" spans="18:19">
      <c r="R7014" s="178"/>
      <c r="S7014" s="178"/>
    </row>
    <row r="7015" spans="18:19">
      <c r="R7015" s="178"/>
      <c r="S7015" s="178"/>
    </row>
    <row r="7016" spans="18:19">
      <c r="R7016" s="178"/>
      <c r="S7016" s="178"/>
    </row>
    <row r="7017" spans="18:19">
      <c r="R7017" s="178"/>
      <c r="S7017" s="178"/>
    </row>
    <row r="7018" spans="18:19">
      <c r="R7018" s="178"/>
      <c r="S7018" s="178"/>
    </row>
    <row r="7019" spans="18:19">
      <c r="R7019" s="178"/>
      <c r="S7019" s="178"/>
    </row>
    <row r="7020" spans="18:19">
      <c r="R7020" s="178"/>
      <c r="S7020" s="178"/>
    </row>
    <row r="7021" spans="18:19">
      <c r="R7021" s="178"/>
      <c r="S7021" s="178"/>
    </row>
    <row r="7022" spans="18:19">
      <c r="R7022" s="178"/>
      <c r="S7022" s="178"/>
    </row>
    <row r="7023" spans="18:19">
      <c r="R7023" s="178"/>
      <c r="S7023" s="178"/>
    </row>
    <row r="7024" spans="18:19">
      <c r="R7024" s="178"/>
      <c r="S7024" s="178"/>
    </row>
    <row r="7025" spans="18:19">
      <c r="R7025" s="178"/>
      <c r="S7025" s="178"/>
    </row>
    <row r="7026" spans="18:19">
      <c r="R7026" s="178"/>
      <c r="S7026" s="178"/>
    </row>
    <row r="7027" spans="18:19">
      <c r="R7027" s="178"/>
      <c r="S7027" s="178"/>
    </row>
    <row r="7028" spans="18:19">
      <c r="R7028" s="178"/>
      <c r="S7028" s="178"/>
    </row>
    <row r="7029" spans="18:19">
      <c r="R7029" s="178"/>
      <c r="S7029" s="178"/>
    </row>
    <row r="7030" spans="18:19">
      <c r="R7030" s="178"/>
      <c r="S7030" s="178"/>
    </row>
    <row r="7031" spans="18:19">
      <c r="R7031" s="178"/>
      <c r="S7031" s="178"/>
    </row>
    <row r="7032" spans="18:19">
      <c r="R7032" s="178"/>
      <c r="S7032" s="178"/>
    </row>
    <row r="7033" spans="18:19">
      <c r="R7033" s="178"/>
      <c r="S7033" s="178"/>
    </row>
    <row r="7034" spans="18:19">
      <c r="R7034" s="178"/>
      <c r="S7034" s="178"/>
    </row>
    <row r="7035" spans="18:19">
      <c r="R7035" s="178"/>
      <c r="S7035" s="178"/>
    </row>
    <row r="7036" spans="18:19">
      <c r="R7036" s="178"/>
      <c r="S7036" s="178"/>
    </row>
    <row r="7037" spans="18:19">
      <c r="R7037" s="178"/>
      <c r="S7037" s="178"/>
    </row>
    <row r="7038" spans="18:19">
      <c r="R7038" s="178"/>
      <c r="S7038" s="178"/>
    </row>
    <row r="7039" spans="18:19">
      <c r="R7039" s="178"/>
      <c r="S7039" s="178"/>
    </row>
    <row r="7040" spans="18:19">
      <c r="R7040" s="178"/>
      <c r="S7040" s="178"/>
    </row>
    <row r="7041" spans="18:19">
      <c r="R7041" s="178"/>
      <c r="S7041" s="178"/>
    </row>
    <row r="7042" spans="18:19">
      <c r="R7042" s="178"/>
      <c r="S7042" s="178"/>
    </row>
    <row r="7043" spans="18:19">
      <c r="R7043" s="178"/>
      <c r="S7043" s="178"/>
    </row>
    <row r="7044" spans="18:19">
      <c r="R7044" s="178"/>
      <c r="S7044" s="178"/>
    </row>
    <row r="7045" spans="18:19">
      <c r="R7045" s="178"/>
      <c r="S7045" s="178"/>
    </row>
    <row r="7046" spans="18:19">
      <c r="R7046" s="178"/>
      <c r="S7046" s="178"/>
    </row>
    <row r="7047" spans="18:19">
      <c r="R7047" s="178"/>
      <c r="S7047" s="178"/>
    </row>
    <row r="7048" spans="18:19">
      <c r="R7048" s="178"/>
      <c r="S7048" s="178"/>
    </row>
    <row r="7049" spans="18:19">
      <c r="R7049" s="178"/>
      <c r="S7049" s="178"/>
    </row>
    <row r="7050" spans="18:19">
      <c r="R7050" s="178"/>
      <c r="S7050" s="178"/>
    </row>
    <row r="7051" spans="18:19">
      <c r="R7051" s="178"/>
      <c r="S7051" s="178"/>
    </row>
    <row r="7052" spans="18:19">
      <c r="R7052" s="178"/>
      <c r="S7052" s="178"/>
    </row>
    <row r="7053" spans="18:19">
      <c r="R7053" s="178"/>
      <c r="S7053" s="178"/>
    </row>
    <row r="7054" spans="18:19">
      <c r="R7054" s="178"/>
      <c r="S7054" s="178"/>
    </row>
    <row r="7055" spans="18:19">
      <c r="R7055" s="178"/>
      <c r="S7055" s="178"/>
    </row>
    <row r="7056" spans="18:19">
      <c r="R7056" s="178"/>
      <c r="S7056" s="178"/>
    </row>
    <row r="7057" spans="18:19">
      <c r="R7057" s="178"/>
      <c r="S7057" s="178"/>
    </row>
    <row r="7058" spans="18:19">
      <c r="R7058" s="178"/>
      <c r="S7058" s="178"/>
    </row>
    <row r="7059" spans="18:19">
      <c r="R7059" s="178"/>
      <c r="S7059" s="178"/>
    </row>
    <row r="7060" spans="18:19">
      <c r="R7060" s="178"/>
      <c r="S7060" s="178"/>
    </row>
    <row r="7061" spans="18:19">
      <c r="R7061" s="178"/>
      <c r="S7061" s="178"/>
    </row>
    <row r="7062" spans="18:19">
      <c r="R7062" s="178"/>
      <c r="S7062" s="178"/>
    </row>
    <row r="7063" spans="18:19">
      <c r="R7063" s="178"/>
      <c r="S7063" s="178"/>
    </row>
    <row r="7064" spans="18:19">
      <c r="R7064" s="178"/>
      <c r="S7064" s="178"/>
    </row>
    <row r="7065" spans="18:19">
      <c r="R7065" s="178"/>
      <c r="S7065" s="178"/>
    </row>
    <row r="7066" spans="18:19">
      <c r="R7066" s="178"/>
      <c r="S7066" s="178"/>
    </row>
    <row r="7067" spans="18:19">
      <c r="R7067" s="178"/>
      <c r="S7067" s="178"/>
    </row>
    <row r="7068" spans="18:19">
      <c r="R7068" s="178"/>
      <c r="S7068" s="178"/>
    </row>
    <row r="7069" spans="18:19">
      <c r="R7069" s="178"/>
      <c r="S7069" s="178"/>
    </row>
    <row r="7070" spans="18:19">
      <c r="R7070" s="178"/>
      <c r="S7070" s="178"/>
    </row>
    <row r="7071" spans="18:19">
      <c r="R7071" s="178"/>
      <c r="S7071" s="178"/>
    </row>
    <row r="7072" spans="18:19">
      <c r="R7072" s="178"/>
      <c r="S7072" s="178"/>
    </row>
    <row r="7073" spans="18:19">
      <c r="R7073" s="178"/>
      <c r="S7073" s="178"/>
    </row>
    <row r="7074" spans="18:19">
      <c r="R7074" s="178"/>
      <c r="S7074" s="178"/>
    </row>
    <row r="7075" spans="18:19">
      <c r="R7075" s="178"/>
      <c r="S7075" s="178"/>
    </row>
    <row r="7076" spans="18:19">
      <c r="R7076" s="178"/>
      <c r="S7076" s="178"/>
    </row>
    <row r="7077" spans="18:19">
      <c r="R7077" s="178"/>
      <c r="S7077" s="178"/>
    </row>
    <row r="7078" spans="18:19">
      <c r="R7078" s="178"/>
      <c r="S7078" s="178"/>
    </row>
    <row r="7079" spans="18:19">
      <c r="R7079" s="178"/>
      <c r="S7079" s="178"/>
    </row>
    <row r="7080" spans="18:19">
      <c r="R7080" s="178"/>
      <c r="S7080" s="178"/>
    </row>
    <row r="7081" spans="18:19">
      <c r="R7081" s="178"/>
      <c r="S7081" s="178"/>
    </row>
    <row r="7082" spans="18:19">
      <c r="R7082" s="178"/>
      <c r="S7082" s="178"/>
    </row>
    <row r="7083" spans="18:19">
      <c r="R7083" s="178"/>
      <c r="S7083" s="178"/>
    </row>
    <row r="7084" spans="18:19">
      <c r="R7084" s="178"/>
      <c r="S7084" s="178"/>
    </row>
    <row r="7085" spans="18:19">
      <c r="R7085" s="178"/>
      <c r="S7085" s="178"/>
    </row>
    <row r="7086" spans="18:19">
      <c r="R7086" s="178"/>
      <c r="S7086" s="178"/>
    </row>
    <row r="7087" spans="18:19">
      <c r="R7087" s="178"/>
      <c r="S7087" s="178"/>
    </row>
    <row r="7088" spans="18:19">
      <c r="R7088" s="178"/>
      <c r="S7088" s="178"/>
    </row>
    <row r="7089" spans="18:19">
      <c r="R7089" s="178"/>
      <c r="S7089" s="178"/>
    </row>
    <row r="7090" spans="18:19">
      <c r="R7090" s="178"/>
      <c r="S7090" s="178"/>
    </row>
    <row r="7091" spans="18:19">
      <c r="R7091" s="178"/>
      <c r="S7091" s="178"/>
    </row>
    <row r="7092" spans="18:19">
      <c r="R7092" s="178"/>
      <c r="S7092" s="178"/>
    </row>
    <row r="7093" spans="18:19">
      <c r="R7093" s="178"/>
      <c r="S7093" s="178"/>
    </row>
    <row r="7094" spans="18:19">
      <c r="R7094" s="178"/>
      <c r="S7094" s="178"/>
    </row>
    <row r="7095" spans="18:19">
      <c r="R7095" s="178"/>
      <c r="S7095" s="178"/>
    </row>
    <row r="7096" spans="18:19">
      <c r="R7096" s="178"/>
      <c r="S7096" s="178"/>
    </row>
    <row r="7097" spans="18:19">
      <c r="R7097" s="178"/>
      <c r="S7097" s="178"/>
    </row>
    <row r="7098" spans="18:19">
      <c r="R7098" s="178"/>
      <c r="S7098" s="178"/>
    </row>
    <row r="7099" spans="18:19">
      <c r="R7099" s="178"/>
      <c r="S7099" s="178"/>
    </row>
    <row r="7100" spans="18:19">
      <c r="R7100" s="178"/>
      <c r="S7100" s="178"/>
    </row>
    <row r="7101" spans="18:19">
      <c r="R7101" s="178"/>
      <c r="S7101" s="178"/>
    </row>
    <row r="7102" spans="18:19">
      <c r="R7102" s="178"/>
      <c r="S7102" s="178"/>
    </row>
    <row r="7103" spans="18:19">
      <c r="R7103" s="178"/>
      <c r="S7103" s="178"/>
    </row>
    <row r="7104" spans="18:19">
      <c r="R7104" s="178"/>
      <c r="S7104" s="178"/>
    </row>
    <row r="7105" spans="18:19">
      <c r="R7105" s="178"/>
      <c r="S7105" s="178"/>
    </row>
    <row r="7106" spans="18:19">
      <c r="R7106" s="178"/>
      <c r="S7106" s="178"/>
    </row>
    <row r="7107" spans="18:19">
      <c r="R7107" s="178"/>
      <c r="S7107" s="178"/>
    </row>
    <row r="7108" spans="18:19">
      <c r="R7108" s="178"/>
      <c r="S7108" s="178"/>
    </row>
    <row r="7109" spans="18:19">
      <c r="R7109" s="178"/>
      <c r="S7109" s="178"/>
    </row>
    <row r="7110" spans="18:19">
      <c r="R7110" s="178"/>
      <c r="S7110" s="178"/>
    </row>
    <row r="7111" spans="18:19">
      <c r="R7111" s="178"/>
      <c r="S7111" s="178"/>
    </row>
    <row r="7112" spans="18:19">
      <c r="R7112" s="178"/>
      <c r="S7112" s="178"/>
    </row>
    <row r="7113" spans="18:19">
      <c r="R7113" s="178"/>
      <c r="S7113" s="178"/>
    </row>
    <row r="7114" spans="18:19">
      <c r="R7114" s="178"/>
      <c r="S7114" s="178"/>
    </row>
    <row r="7115" spans="18:19">
      <c r="R7115" s="178"/>
      <c r="S7115" s="178"/>
    </row>
    <row r="7116" spans="18:19">
      <c r="R7116" s="178"/>
      <c r="S7116" s="178"/>
    </row>
    <row r="7117" spans="18:19">
      <c r="R7117" s="178"/>
      <c r="S7117" s="178"/>
    </row>
    <row r="7118" spans="18:19">
      <c r="R7118" s="178"/>
      <c r="S7118" s="178"/>
    </row>
    <row r="7119" spans="18:19">
      <c r="R7119" s="178"/>
      <c r="S7119" s="178"/>
    </row>
    <row r="7120" spans="18:19">
      <c r="R7120" s="178"/>
      <c r="S7120" s="178"/>
    </row>
    <row r="7121" spans="18:19">
      <c r="R7121" s="178"/>
      <c r="S7121" s="178"/>
    </row>
    <row r="7122" spans="18:19">
      <c r="R7122" s="178"/>
      <c r="S7122" s="178"/>
    </row>
    <row r="7123" spans="18:19">
      <c r="R7123" s="178"/>
      <c r="S7123" s="178"/>
    </row>
    <row r="7124" spans="18:19">
      <c r="R7124" s="178"/>
      <c r="S7124" s="178"/>
    </row>
    <row r="7125" spans="18:19">
      <c r="R7125" s="178"/>
      <c r="S7125" s="178"/>
    </row>
    <row r="7126" spans="18:19">
      <c r="R7126" s="178"/>
      <c r="S7126" s="178"/>
    </row>
    <row r="7127" spans="18:19">
      <c r="R7127" s="178"/>
      <c r="S7127" s="178"/>
    </row>
    <row r="7128" spans="18:19">
      <c r="R7128" s="178"/>
      <c r="S7128" s="178"/>
    </row>
    <row r="7129" spans="18:19">
      <c r="R7129" s="178"/>
      <c r="S7129" s="178"/>
    </row>
    <row r="7130" spans="18:19">
      <c r="R7130" s="178"/>
      <c r="S7130" s="178"/>
    </row>
    <row r="7131" spans="18:19">
      <c r="R7131" s="178"/>
      <c r="S7131" s="178"/>
    </row>
    <row r="7132" spans="18:19">
      <c r="R7132" s="178"/>
      <c r="S7132" s="178"/>
    </row>
    <row r="7133" spans="18:19">
      <c r="R7133" s="178"/>
      <c r="S7133" s="178"/>
    </row>
    <row r="7134" spans="18:19">
      <c r="R7134" s="178"/>
      <c r="S7134" s="178"/>
    </row>
    <row r="7135" spans="18:19">
      <c r="R7135" s="178"/>
      <c r="S7135" s="178"/>
    </row>
    <row r="7136" spans="18:19">
      <c r="R7136" s="178"/>
      <c r="S7136" s="178"/>
    </row>
    <row r="7137" spans="18:19">
      <c r="R7137" s="178"/>
      <c r="S7137" s="178"/>
    </row>
    <row r="7138" spans="18:19">
      <c r="R7138" s="178"/>
      <c r="S7138" s="178"/>
    </row>
    <row r="7139" spans="18:19">
      <c r="R7139" s="178"/>
      <c r="S7139" s="178"/>
    </row>
    <row r="7140" spans="18:19">
      <c r="R7140" s="178"/>
      <c r="S7140" s="178"/>
    </row>
    <row r="7141" spans="18:19">
      <c r="R7141" s="178"/>
      <c r="S7141" s="178"/>
    </row>
    <row r="7142" spans="18:19">
      <c r="R7142" s="178"/>
      <c r="S7142" s="178"/>
    </row>
    <row r="7143" spans="18:19">
      <c r="R7143" s="178"/>
      <c r="S7143" s="178"/>
    </row>
    <row r="7144" spans="18:19">
      <c r="R7144" s="178"/>
      <c r="S7144" s="178"/>
    </row>
    <row r="7145" spans="18:19">
      <c r="R7145" s="178"/>
      <c r="S7145" s="178"/>
    </row>
    <row r="7146" spans="18:19">
      <c r="R7146" s="178"/>
      <c r="S7146" s="178"/>
    </row>
    <row r="7147" spans="18:19">
      <c r="R7147" s="178"/>
      <c r="S7147" s="178"/>
    </row>
    <row r="7148" spans="18:19">
      <c r="R7148" s="178"/>
      <c r="S7148" s="178"/>
    </row>
    <row r="7149" spans="18:19">
      <c r="R7149" s="178"/>
      <c r="S7149" s="178"/>
    </row>
    <row r="7150" spans="18:19">
      <c r="R7150" s="178"/>
      <c r="S7150" s="178"/>
    </row>
    <row r="7151" spans="18:19">
      <c r="R7151" s="178"/>
      <c r="S7151" s="178"/>
    </row>
    <row r="7152" spans="18:19">
      <c r="R7152" s="178"/>
      <c r="S7152" s="178"/>
    </row>
    <row r="7153" spans="18:19">
      <c r="R7153" s="178"/>
      <c r="S7153" s="178"/>
    </row>
    <row r="7154" spans="18:19">
      <c r="R7154" s="178"/>
      <c r="S7154" s="178"/>
    </row>
    <row r="7155" spans="18:19">
      <c r="R7155" s="178"/>
      <c r="S7155" s="178"/>
    </row>
    <row r="7156" spans="18:19">
      <c r="R7156" s="178"/>
      <c r="S7156" s="178"/>
    </row>
    <row r="7157" spans="18:19">
      <c r="R7157" s="178"/>
      <c r="S7157" s="178"/>
    </row>
    <row r="7158" spans="18:19">
      <c r="R7158" s="178"/>
      <c r="S7158" s="178"/>
    </row>
    <row r="7159" spans="18:19">
      <c r="R7159" s="178"/>
      <c r="S7159" s="178"/>
    </row>
    <row r="7160" spans="18:19">
      <c r="R7160" s="178"/>
      <c r="S7160" s="178"/>
    </row>
    <row r="7161" spans="18:19">
      <c r="R7161" s="178"/>
      <c r="S7161" s="178"/>
    </row>
    <row r="7162" spans="18:19">
      <c r="R7162" s="178"/>
      <c r="S7162" s="178"/>
    </row>
    <row r="7163" spans="18:19">
      <c r="R7163" s="178"/>
      <c r="S7163" s="178"/>
    </row>
    <row r="7164" spans="18:19">
      <c r="R7164" s="178"/>
      <c r="S7164" s="178"/>
    </row>
    <row r="7165" spans="18:19">
      <c r="R7165" s="178"/>
      <c r="S7165" s="178"/>
    </row>
    <row r="7166" spans="18:19">
      <c r="R7166" s="178"/>
      <c r="S7166" s="178"/>
    </row>
    <row r="7167" spans="18:19">
      <c r="R7167" s="178"/>
      <c r="S7167" s="178"/>
    </row>
    <row r="7168" spans="18:19">
      <c r="R7168" s="178"/>
      <c r="S7168" s="178"/>
    </row>
    <row r="7169" spans="18:19">
      <c r="R7169" s="178"/>
      <c r="S7169" s="178"/>
    </row>
    <row r="7170" spans="18:19">
      <c r="R7170" s="178"/>
      <c r="S7170" s="178"/>
    </row>
    <row r="7171" spans="18:19">
      <c r="R7171" s="178"/>
      <c r="S7171" s="178"/>
    </row>
    <row r="7172" spans="18:19">
      <c r="R7172" s="178"/>
      <c r="S7172" s="178"/>
    </row>
    <row r="7173" spans="18:19">
      <c r="R7173" s="178"/>
      <c r="S7173" s="178"/>
    </row>
    <row r="7174" spans="18:19">
      <c r="R7174" s="178"/>
      <c r="S7174" s="178"/>
    </row>
    <row r="7175" spans="18:19">
      <c r="R7175" s="178"/>
      <c r="S7175" s="178"/>
    </row>
    <row r="7176" spans="18:19">
      <c r="R7176" s="178"/>
      <c r="S7176" s="178"/>
    </row>
    <row r="7177" spans="18:19">
      <c r="R7177" s="178"/>
      <c r="S7177" s="178"/>
    </row>
    <row r="7178" spans="18:19">
      <c r="R7178" s="178"/>
      <c r="S7178" s="178"/>
    </row>
    <row r="7179" spans="18:19">
      <c r="R7179" s="178"/>
      <c r="S7179" s="178"/>
    </row>
    <row r="7180" spans="18:19">
      <c r="R7180" s="178"/>
      <c r="S7180" s="178"/>
    </row>
    <row r="7181" spans="18:19">
      <c r="R7181" s="178"/>
      <c r="S7181" s="178"/>
    </row>
    <row r="7182" spans="18:19">
      <c r="R7182" s="178"/>
      <c r="S7182" s="178"/>
    </row>
    <row r="7183" spans="18:19">
      <c r="R7183" s="178"/>
      <c r="S7183" s="178"/>
    </row>
    <row r="7184" spans="18:19">
      <c r="R7184" s="178"/>
      <c r="S7184" s="178"/>
    </row>
    <row r="7185" spans="18:19">
      <c r="R7185" s="178"/>
      <c r="S7185" s="178"/>
    </row>
    <row r="7186" spans="18:19">
      <c r="R7186" s="178"/>
      <c r="S7186" s="178"/>
    </row>
    <row r="7187" spans="18:19">
      <c r="R7187" s="178"/>
      <c r="S7187" s="178"/>
    </row>
    <row r="7188" spans="18:19">
      <c r="R7188" s="178"/>
      <c r="S7188" s="178"/>
    </row>
    <row r="7189" spans="18:19">
      <c r="R7189" s="178"/>
      <c r="S7189" s="178"/>
    </row>
    <row r="7190" spans="18:19">
      <c r="R7190" s="178"/>
      <c r="S7190" s="178"/>
    </row>
    <row r="7191" spans="18:19">
      <c r="R7191" s="178"/>
      <c r="S7191" s="178"/>
    </row>
    <row r="7192" spans="18:19">
      <c r="R7192" s="178"/>
      <c r="S7192" s="178"/>
    </row>
    <row r="7193" spans="18:19">
      <c r="R7193" s="178"/>
      <c r="S7193" s="178"/>
    </row>
    <row r="7194" spans="18:19">
      <c r="R7194" s="178"/>
      <c r="S7194" s="178"/>
    </row>
    <row r="7195" spans="18:19">
      <c r="R7195" s="178"/>
      <c r="S7195" s="178"/>
    </row>
    <row r="7196" spans="18:19">
      <c r="R7196" s="178"/>
      <c r="S7196" s="178"/>
    </row>
    <row r="7197" spans="18:19">
      <c r="R7197" s="178"/>
      <c r="S7197" s="178"/>
    </row>
    <row r="7198" spans="18:19">
      <c r="R7198" s="178"/>
      <c r="S7198" s="178"/>
    </row>
    <row r="7199" spans="18:19">
      <c r="R7199" s="178"/>
      <c r="S7199" s="178"/>
    </row>
    <row r="7200" spans="18:19">
      <c r="R7200" s="178"/>
      <c r="S7200" s="178"/>
    </row>
    <row r="7201" spans="18:19">
      <c r="R7201" s="178"/>
      <c r="S7201" s="178"/>
    </row>
    <row r="7202" spans="18:19">
      <c r="R7202" s="178"/>
      <c r="S7202" s="178"/>
    </row>
    <row r="7203" spans="18:19">
      <c r="R7203" s="178"/>
      <c r="S7203" s="178"/>
    </row>
    <row r="7204" spans="18:19">
      <c r="R7204" s="178"/>
      <c r="S7204" s="178"/>
    </row>
    <row r="7205" spans="18:19">
      <c r="R7205" s="178"/>
      <c r="S7205" s="178"/>
    </row>
    <row r="7206" spans="18:19">
      <c r="R7206" s="178"/>
      <c r="S7206" s="178"/>
    </row>
    <row r="7207" spans="18:19">
      <c r="R7207" s="178"/>
      <c r="S7207" s="178"/>
    </row>
    <row r="7208" spans="18:19">
      <c r="R7208" s="178"/>
      <c r="S7208" s="178"/>
    </row>
    <row r="7209" spans="18:19">
      <c r="R7209" s="178"/>
      <c r="S7209" s="178"/>
    </row>
    <row r="7210" spans="18:19">
      <c r="R7210" s="178"/>
      <c r="S7210" s="178"/>
    </row>
    <row r="7211" spans="18:19">
      <c r="R7211" s="178"/>
      <c r="S7211" s="178"/>
    </row>
    <row r="7212" spans="18:19">
      <c r="R7212" s="178"/>
      <c r="S7212" s="178"/>
    </row>
    <row r="7213" spans="18:19">
      <c r="R7213" s="178"/>
      <c r="S7213" s="178"/>
    </row>
    <row r="7214" spans="18:19">
      <c r="R7214" s="178"/>
      <c r="S7214" s="178"/>
    </row>
    <row r="7215" spans="18:19">
      <c r="R7215" s="178"/>
      <c r="S7215" s="178"/>
    </row>
    <row r="7216" spans="18:19">
      <c r="R7216" s="178"/>
      <c r="S7216" s="178"/>
    </row>
    <row r="7217" spans="18:19">
      <c r="R7217" s="178"/>
      <c r="S7217" s="178"/>
    </row>
    <row r="7218" spans="18:19">
      <c r="R7218" s="178"/>
      <c r="S7218" s="178"/>
    </row>
    <row r="7219" spans="18:19">
      <c r="R7219" s="178"/>
      <c r="S7219" s="178"/>
    </row>
    <row r="7220" spans="18:19">
      <c r="R7220" s="178"/>
      <c r="S7220" s="178"/>
    </row>
    <row r="7221" spans="18:19">
      <c r="R7221" s="178"/>
      <c r="S7221" s="178"/>
    </row>
    <row r="7222" spans="18:19">
      <c r="R7222" s="178"/>
      <c r="S7222" s="178"/>
    </row>
    <row r="7223" spans="18:19">
      <c r="R7223" s="178"/>
      <c r="S7223" s="178"/>
    </row>
    <row r="7224" spans="18:19">
      <c r="R7224" s="178"/>
      <c r="S7224" s="178"/>
    </row>
    <row r="7225" spans="18:19">
      <c r="R7225" s="178"/>
      <c r="S7225" s="178"/>
    </row>
    <row r="7226" spans="18:19">
      <c r="R7226" s="178"/>
      <c r="S7226" s="178"/>
    </row>
    <row r="7227" spans="18:19">
      <c r="R7227" s="178"/>
      <c r="S7227" s="178"/>
    </row>
    <row r="7228" spans="18:19">
      <c r="R7228" s="178"/>
      <c r="S7228" s="178"/>
    </row>
    <row r="7229" spans="18:19">
      <c r="R7229" s="178"/>
      <c r="S7229" s="178"/>
    </row>
    <row r="7230" spans="18:19">
      <c r="R7230" s="178"/>
      <c r="S7230" s="178"/>
    </row>
    <row r="7231" spans="18:19">
      <c r="R7231" s="178"/>
      <c r="S7231" s="178"/>
    </row>
    <row r="7232" spans="18:19">
      <c r="R7232" s="178"/>
      <c r="S7232" s="178"/>
    </row>
    <row r="7233" spans="18:19">
      <c r="R7233" s="178"/>
      <c r="S7233" s="178"/>
    </row>
    <row r="7234" spans="18:19">
      <c r="R7234" s="178"/>
      <c r="S7234" s="178"/>
    </row>
    <row r="7235" spans="18:19">
      <c r="R7235" s="178"/>
      <c r="S7235" s="178"/>
    </row>
    <row r="7236" spans="18:19">
      <c r="R7236" s="178"/>
      <c r="S7236" s="178"/>
    </row>
    <row r="7237" spans="18:19">
      <c r="R7237" s="178"/>
      <c r="S7237" s="178"/>
    </row>
    <row r="7238" spans="18:19">
      <c r="R7238" s="178"/>
      <c r="S7238" s="178"/>
    </row>
    <row r="7239" spans="18:19">
      <c r="R7239" s="178"/>
      <c r="S7239" s="178"/>
    </row>
    <row r="7240" spans="18:19">
      <c r="R7240" s="178"/>
      <c r="S7240" s="178"/>
    </row>
    <row r="7241" spans="18:19">
      <c r="R7241" s="178"/>
      <c r="S7241" s="178"/>
    </row>
    <row r="7242" spans="18:19">
      <c r="R7242" s="178"/>
      <c r="S7242" s="178"/>
    </row>
    <row r="7243" spans="18:19">
      <c r="R7243" s="178"/>
      <c r="S7243" s="178"/>
    </row>
    <row r="7244" spans="18:19">
      <c r="R7244" s="178"/>
      <c r="S7244" s="178"/>
    </row>
    <row r="7245" spans="18:19">
      <c r="R7245" s="178"/>
      <c r="S7245" s="178"/>
    </row>
    <row r="7246" spans="18:19">
      <c r="R7246" s="178"/>
      <c r="S7246" s="178"/>
    </row>
    <row r="7247" spans="18:19">
      <c r="R7247" s="178"/>
      <c r="S7247" s="178"/>
    </row>
    <row r="7248" spans="18:19">
      <c r="R7248" s="178"/>
      <c r="S7248" s="178"/>
    </row>
    <row r="7249" spans="18:19">
      <c r="R7249" s="178"/>
      <c r="S7249" s="178"/>
    </row>
    <row r="7250" spans="18:19">
      <c r="R7250" s="178"/>
      <c r="S7250" s="178"/>
    </row>
    <row r="7251" spans="18:19">
      <c r="R7251" s="178"/>
      <c r="S7251" s="178"/>
    </row>
    <row r="7252" spans="18:19">
      <c r="R7252" s="178"/>
      <c r="S7252" s="178"/>
    </row>
    <row r="7253" spans="18:19">
      <c r="R7253" s="178"/>
      <c r="S7253" s="178"/>
    </row>
    <row r="7254" spans="18:19">
      <c r="R7254" s="178"/>
      <c r="S7254" s="178"/>
    </row>
    <row r="7255" spans="18:19">
      <c r="R7255" s="178"/>
      <c r="S7255" s="178"/>
    </row>
    <row r="7256" spans="18:19">
      <c r="R7256" s="178"/>
      <c r="S7256" s="178"/>
    </row>
    <row r="7257" spans="18:19">
      <c r="R7257" s="178"/>
      <c r="S7257" s="178"/>
    </row>
    <row r="7258" spans="18:19">
      <c r="R7258" s="178"/>
      <c r="S7258" s="178"/>
    </row>
    <row r="7259" spans="18:19">
      <c r="R7259" s="178"/>
      <c r="S7259" s="178"/>
    </row>
    <row r="7260" spans="18:19">
      <c r="R7260" s="178"/>
      <c r="S7260" s="178"/>
    </row>
    <row r="7261" spans="18:19">
      <c r="R7261" s="178"/>
      <c r="S7261" s="178"/>
    </row>
    <row r="7262" spans="18:19">
      <c r="R7262" s="178"/>
      <c r="S7262" s="178"/>
    </row>
    <row r="7263" spans="18:19">
      <c r="R7263" s="178"/>
      <c r="S7263" s="178"/>
    </row>
    <row r="7264" spans="18:19">
      <c r="R7264" s="178"/>
      <c r="S7264" s="178"/>
    </row>
    <row r="7265" spans="18:19">
      <c r="R7265" s="178"/>
      <c r="S7265" s="178"/>
    </row>
    <row r="7266" spans="18:19">
      <c r="R7266" s="178"/>
      <c r="S7266" s="178"/>
    </row>
    <row r="7267" spans="18:19">
      <c r="R7267" s="178"/>
      <c r="S7267" s="178"/>
    </row>
    <row r="7268" spans="18:19">
      <c r="R7268" s="178"/>
      <c r="S7268" s="178"/>
    </row>
    <row r="7269" spans="18:19">
      <c r="R7269" s="178"/>
      <c r="S7269" s="178"/>
    </row>
    <row r="7270" spans="18:19">
      <c r="R7270" s="178"/>
      <c r="S7270" s="178"/>
    </row>
    <row r="7271" spans="18:19">
      <c r="R7271" s="178"/>
      <c r="S7271" s="178"/>
    </row>
    <row r="7272" spans="18:19">
      <c r="R7272" s="178"/>
      <c r="S7272" s="178"/>
    </row>
    <row r="7273" spans="18:19">
      <c r="R7273" s="178"/>
      <c r="S7273" s="178"/>
    </row>
    <row r="7274" spans="18:19">
      <c r="R7274" s="178"/>
      <c r="S7274" s="178"/>
    </row>
    <row r="7275" spans="18:19">
      <c r="R7275" s="178"/>
      <c r="S7275" s="178"/>
    </row>
    <row r="7276" spans="18:19">
      <c r="R7276" s="178"/>
      <c r="S7276" s="178"/>
    </row>
    <row r="7277" spans="18:19">
      <c r="R7277" s="178"/>
      <c r="S7277" s="178"/>
    </row>
    <row r="7278" spans="18:19">
      <c r="R7278" s="178"/>
      <c r="S7278" s="178"/>
    </row>
    <row r="7279" spans="18:19">
      <c r="R7279" s="178"/>
      <c r="S7279" s="178"/>
    </row>
    <row r="7280" spans="18:19">
      <c r="R7280" s="178"/>
      <c r="S7280" s="178"/>
    </row>
    <row r="7281" spans="18:19">
      <c r="R7281" s="178"/>
      <c r="S7281" s="178"/>
    </row>
    <row r="7282" spans="18:19">
      <c r="R7282" s="178"/>
      <c r="S7282" s="178"/>
    </row>
    <row r="7283" spans="18:19">
      <c r="R7283" s="178"/>
      <c r="S7283" s="178"/>
    </row>
    <row r="7284" spans="18:19">
      <c r="R7284" s="178"/>
      <c r="S7284" s="178"/>
    </row>
    <row r="7285" spans="18:19">
      <c r="R7285" s="178"/>
      <c r="S7285" s="178"/>
    </row>
    <row r="7286" spans="18:19">
      <c r="R7286" s="178"/>
      <c r="S7286" s="178"/>
    </row>
    <row r="7287" spans="18:19">
      <c r="R7287" s="178"/>
      <c r="S7287" s="178"/>
    </row>
    <row r="7288" spans="18:19">
      <c r="R7288" s="178"/>
      <c r="S7288" s="178"/>
    </row>
    <row r="7289" spans="18:19">
      <c r="R7289" s="178"/>
      <c r="S7289" s="178"/>
    </row>
    <row r="7290" spans="18:19">
      <c r="R7290" s="178"/>
      <c r="S7290" s="178"/>
    </row>
    <row r="7291" spans="18:19">
      <c r="R7291" s="178"/>
      <c r="S7291" s="178"/>
    </row>
    <row r="7292" spans="18:19">
      <c r="R7292" s="178"/>
      <c r="S7292" s="178"/>
    </row>
    <row r="7293" spans="18:19">
      <c r="R7293" s="178"/>
      <c r="S7293" s="178"/>
    </row>
    <row r="7294" spans="18:19">
      <c r="R7294" s="178"/>
      <c r="S7294" s="178"/>
    </row>
    <row r="7295" spans="18:19">
      <c r="R7295" s="178"/>
      <c r="S7295" s="178"/>
    </row>
    <row r="7296" spans="18:19">
      <c r="R7296" s="178"/>
      <c r="S7296" s="178"/>
    </row>
    <row r="7297" spans="18:19">
      <c r="R7297" s="178"/>
      <c r="S7297" s="178"/>
    </row>
    <row r="7298" spans="18:19">
      <c r="R7298" s="178"/>
      <c r="S7298" s="178"/>
    </row>
    <row r="7299" spans="18:19">
      <c r="R7299" s="178"/>
      <c r="S7299" s="178"/>
    </row>
    <row r="7300" spans="18:19">
      <c r="R7300" s="178"/>
      <c r="S7300" s="178"/>
    </row>
    <row r="7301" spans="18:19">
      <c r="R7301" s="178"/>
      <c r="S7301" s="178"/>
    </row>
    <row r="7302" spans="18:19">
      <c r="R7302" s="178"/>
      <c r="S7302" s="178"/>
    </row>
    <row r="7303" spans="18:19">
      <c r="R7303" s="178"/>
      <c r="S7303" s="178"/>
    </row>
    <row r="7304" spans="18:19">
      <c r="R7304" s="178"/>
      <c r="S7304" s="178"/>
    </row>
    <row r="7305" spans="18:19">
      <c r="R7305" s="178"/>
      <c r="S7305" s="178"/>
    </row>
    <row r="7306" spans="18:19">
      <c r="R7306" s="178"/>
      <c r="S7306" s="178"/>
    </row>
    <row r="7307" spans="18:19">
      <c r="R7307" s="178"/>
      <c r="S7307" s="178"/>
    </row>
    <row r="7308" spans="18:19">
      <c r="R7308" s="178"/>
      <c r="S7308" s="178"/>
    </row>
    <row r="7309" spans="18:19">
      <c r="R7309" s="178"/>
      <c r="S7309" s="178"/>
    </row>
    <row r="7310" spans="18:19">
      <c r="R7310" s="178"/>
      <c r="S7310" s="178"/>
    </row>
    <row r="7311" spans="18:19">
      <c r="R7311" s="178"/>
      <c r="S7311" s="178"/>
    </row>
    <row r="7312" spans="18:19">
      <c r="R7312" s="178"/>
      <c r="S7312" s="178"/>
    </row>
    <row r="7313" spans="18:19">
      <c r="R7313" s="178"/>
      <c r="S7313" s="178"/>
    </row>
    <row r="7314" spans="18:19">
      <c r="R7314" s="178"/>
      <c r="S7314" s="178"/>
    </row>
    <row r="7315" spans="18:19">
      <c r="R7315" s="178"/>
      <c r="S7315" s="178"/>
    </row>
    <row r="7316" spans="18:19">
      <c r="R7316" s="178"/>
      <c r="S7316" s="178"/>
    </row>
    <row r="7317" spans="18:19">
      <c r="R7317" s="178"/>
      <c r="S7317" s="178"/>
    </row>
    <row r="7318" spans="18:19">
      <c r="R7318" s="178"/>
      <c r="S7318" s="178"/>
    </row>
    <row r="7319" spans="18:19">
      <c r="R7319" s="178"/>
      <c r="S7319" s="178"/>
    </row>
    <row r="7320" spans="18:19">
      <c r="R7320" s="178"/>
      <c r="S7320" s="178"/>
    </row>
    <row r="7321" spans="18:19">
      <c r="R7321" s="178"/>
      <c r="S7321" s="178"/>
    </row>
    <row r="7322" spans="18:19">
      <c r="R7322" s="178"/>
      <c r="S7322" s="178"/>
    </row>
    <row r="7323" spans="18:19">
      <c r="R7323" s="178"/>
      <c r="S7323" s="178"/>
    </row>
    <row r="7324" spans="18:19">
      <c r="R7324" s="178"/>
      <c r="S7324" s="178"/>
    </row>
    <row r="7325" spans="18:19">
      <c r="R7325" s="178"/>
      <c r="S7325" s="178"/>
    </row>
    <row r="7326" spans="18:19">
      <c r="R7326" s="178"/>
      <c r="S7326" s="178"/>
    </row>
    <row r="7327" spans="18:19">
      <c r="R7327" s="178"/>
      <c r="S7327" s="178"/>
    </row>
    <row r="7328" spans="18:19">
      <c r="R7328" s="178"/>
      <c r="S7328" s="178"/>
    </row>
    <row r="7329" spans="18:19">
      <c r="R7329" s="178"/>
      <c r="S7329" s="178"/>
    </row>
    <row r="7330" spans="18:19">
      <c r="R7330" s="178"/>
      <c r="S7330" s="178"/>
    </row>
    <row r="7331" spans="18:19">
      <c r="R7331" s="178"/>
      <c r="S7331" s="178"/>
    </row>
    <row r="7332" spans="18:19">
      <c r="R7332" s="178"/>
      <c r="S7332" s="178"/>
    </row>
    <row r="7333" spans="18:19">
      <c r="R7333" s="178"/>
      <c r="S7333" s="178"/>
    </row>
    <row r="7334" spans="18:19">
      <c r="R7334" s="178"/>
      <c r="S7334" s="178"/>
    </row>
    <row r="7335" spans="18:19">
      <c r="R7335" s="178"/>
      <c r="S7335" s="178"/>
    </row>
    <row r="7336" spans="18:19">
      <c r="R7336" s="178"/>
      <c r="S7336" s="178"/>
    </row>
    <row r="7337" spans="18:19">
      <c r="R7337" s="178"/>
      <c r="S7337" s="178"/>
    </row>
    <row r="7338" spans="18:19">
      <c r="R7338" s="178"/>
      <c r="S7338" s="178"/>
    </row>
    <row r="7339" spans="18:19">
      <c r="R7339" s="178"/>
      <c r="S7339" s="178"/>
    </row>
    <row r="7340" spans="18:19">
      <c r="R7340" s="178"/>
      <c r="S7340" s="178"/>
    </row>
    <row r="7341" spans="18:19">
      <c r="R7341" s="178"/>
      <c r="S7341" s="178"/>
    </row>
    <row r="7342" spans="18:19">
      <c r="R7342" s="178"/>
      <c r="S7342" s="178"/>
    </row>
    <row r="7343" spans="18:19">
      <c r="R7343" s="178"/>
      <c r="S7343" s="178"/>
    </row>
    <row r="7344" spans="18:19">
      <c r="R7344" s="178"/>
      <c r="S7344" s="178"/>
    </row>
    <row r="7345" spans="18:19">
      <c r="R7345" s="178"/>
      <c r="S7345" s="178"/>
    </row>
    <row r="7346" spans="18:19">
      <c r="R7346" s="178"/>
      <c r="S7346" s="178"/>
    </row>
    <row r="7347" spans="18:19">
      <c r="R7347" s="178"/>
      <c r="S7347" s="178"/>
    </row>
    <row r="7348" spans="18:19">
      <c r="R7348" s="178"/>
      <c r="S7348" s="178"/>
    </row>
    <row r="7349" spans="18:19">
      <c r="R7349" s="178"/>
      <c r="S7349" s="178"/>
    </row>
    <row r="7350" spans="18:19">
      <c r="R7350" s="178"/>
      <c r="S7350" s="178"/>
    </row>
    <row r="7351" spans="18:19">
      <c r="R7351" s="178"/>
      <c r="S7351" s="178"/>
    </row>
    <row r="7352" spans="18:19">
      <c r="R7352" s="178"/>
      <c r="S7352" s="178"/>
    </row>
    <row r="7353" spans="18:19">
      <c r="R7353" s="178"/>
      <c r="S7353" s="178"/>
    </row>
    <row r="7354" spans="18:19">
      <c r="R7354" s="178"/>
      <c r="S7354" s="178"/>
    </row>
    <row r="7355" spans="18:19">
      <c r="R7355" s="178"/>
      <c r="S7355" s="178"/>
    </row>
    <row r="7356" spans="18:19">
      <c r="R7356" s="178"/>
      <c r="S7356" s="178"/>
    </row>
    <row r="7357" spans="18:19">
      <c r="R7357" s="178"/>
      <c r="S7357" s="178"/>
    </row>
    <row r="7358" spans="18:19">
      <c r="R7358" s="178"/>
      <c r="S7358" s="178"/>
    </row>
    <row r="7359" spans="18:19">
      <c r="R7359" s="178"/>
      <c r="S7359" s="178"/>
    </row>
    <row r="7360" spans="18:19">
      <c r="R7360" s="178"/>
      <c r="S7360" s="178"/>
    </row>
    <row r="7361" spans="18:19">
      <c r="R7361" s="178"/>
      <c r="S7361" s="178"/>
    </row>
    <row r="7362" spans="18:19">
      <c r="R7362" s="178"/>
      <c r="S7362" s="178"/>
    </row>
    <row r="7363" spans="18:19">
      <c r="R7363" s="178"/>
      <c r="S7363" s="178"/>
    </row>
    <row r="7364" spans="18:19">
      <c r="R7364" s="178"/>
      <c r="S7364" s="178"/>
    </row>
    <row r="7365" spans="18:19">
      <c r="R7365" s="178"/>
      <c r="S7365" s="178"/>
    </row>
    <row r="7366" spans="18:19">
      <c r="R7366" s="178"/>
      <c r="S7366" s="178"/>
    </row>
    <row r="7367" spans="18:19">
      <c r="R7367" s="178"/>
      <c r="S7367" s="178"/>
    </row>
    <row r="7368" spans="18:19">
      <c r="R7368" s="178"/>
      <c r="S7368" s="178"/>
    </row>
    <row r="7369" spans="18:19">
      <c r="R7369" s="178"/>
      <c r="S7369" s="178"/>
    </row>
    <row r="7370" spans="18:19">
      <c r="R7370" s="178"/>
      <c r="S7370" s="178"/>
    </row>
    <row r="7371" spans="18:19">
      <c r="R7371" s="178"/>
      <c r="S7371" s="178"/>
    </row>
    <row r="7372" spans="18:19">
      <c r="R7372" s="178"/>
      <c r="S7372" s="178"/>
    </row>
    <row r="7373" spans="18:19">
      <c r="R7373" s="178"/>
      <c r="S7373" s="178"/>
    </row>
    <row r="7374" spans="18:19">
      <c r="R7374" s="178"/>
      <c r="S7374" s="178"/>
    </row>
    <row r="7375" spans="18:19">
      <c r="R7375" s="178"/>
      <c r="S7375" s="178"/>
    </row>
    <row r="7376" spans="18:19">
      <c r="R7376" s="178"/>
      <c r="S7376" s="178"/>
    </row>
    <row r="7377" spans="18:19">
      <c r="R7377" s="178"/>
      <c r="S7377" s="178"/>
    </row>
    <row r="7378" spans="18:19">
      <c r="R7378" s="178"/>
      <c r="S7378" s="178"/>
    </row>
    <row r="7379" spans="18:19">
      <c r="R7379" s="178"/>
      <c r="S7379" s="178"/>
    </row>
    <row r="7380" spans="18:19">
      <c r="R7380" s="178"/>
      <c r="S7380" s="178"/>
    </row>
    <row r="7381" spans="18:19">
      <c r="R7381" s="178"/>
      <c r="S7381" s="178"/>
    </row>
    <row r="7382" spans="18:19">
      <c r="R7382" s="178"/>
      <c r="S7382" s="178"/>
    </row>
    <row r="7383" spans="18:19">
      <c r="R7383" s="178"/>
      <c r="S7383" s="178"/>
    </row>
    <row r="7384" spans="18:19">
      <c r="R7384" s="178"/>
      <c r="S7384" s="178"/>
    </row>
    <row r="7385" spans="18:19">
      <c r="R7385" s="178"/>
      <c r="S7385" s="178"/>
    </row>
    <row r="7386" spans="18:19">
      <c r="R7386" s="178"/>
      <c r="S7386" s="178"/>
    </row>
    <row r="7387" spans="18:19">
      <c r="R7387" s="178"/>
      <c r="S7387" s="178"/>
    </row>
    <row r="7388" spans="18:19">
      <c r="R7388" s="178"/>
      <c r="S7388" s="178"/>
    </row>
    <row r="7389" spans="18:19">
      <c r="R7389" s="178"/>
      <c r="S7389" s="178"/>
    </row>
    <row r="7390" spans="18:19">
      <c r="R7390" s="178"/>
      <c r="S7390" s="178"/>
    </row>
    <row r="7391" spans="18:19">
      <c r="R7391" s="178"/>
      <c r="S7391" s="178"/>
    </row>
    <row r="7392" spans="18:19">
      <c r="R7392" s="178"/>
      <c r="S7392" s="178"/>
    </row>
    <row r="7393" spans="18:19">
      <c r="R7393" s="178"/>
      <c r="S7393" s="178"/>
    </row>
    <row r="7394" spans="18:19">
      <c r="R7394" s="178"/>
      <c r="S7394" s="178"/>
    </row>
    <row r="7395" spans="18:19">
      <c r="R7395" s="178"/>
      <c r="S7395" s="178"/>
    </row>
    <row r="7396" spans="18:19">
      <c r="R7396" s="178"/>
      <c r="S7396" s="178"/>
    </row>
    <row r="7397" spans="18:19">
      <c r="R7397" s="178"/>
      <c r="S7397" s="178"/>
    </row>
    <row r="7398" spans="18:19">
      <c r="R7398" s="178"/>
      <c r="S7398" s="178"/>
    </row>
    <row r="7399" spans="18:19">
      <c r="R7399" s="178"/>
      <c r="S7399" s="178"/>
    </row>
    <row r="7400" spans="18:19">
      <c r="R7400" s="178"/>
      <c r="S7400" s="178"/>
    </row>
    <row r="7401" spans="18:19">
      <c r="R7401" s="178"/>
      <c r="S7401" s="178"/>
    </row>
    <row r="7402" spans="18:19">
      <c r="R7402" s="178"/>
      <c r="S7402" s="178"/>
    </row>
    <row r="7403" spans="18:19">
      <c r="R7403" s="178"/>
      <c r="S7403" s="178"/>
    </row>
    <row r="7404" spans="18:19">
      <c r="R7404" s="178"/>
      <c r="S7404" s="178"/>
    </row>
    <row r="7405" spans="18:19">
      <c r="R7405" s="178"/>
      <c r="S7405" s="178"/>
    </row>
    <row r="7406" spans="18:19">
      <c r="R7406" s="178"/>
      <c r="S7406" s="178"/>
    </row>
    <row r="7407" spans="18:19">
      <c r="R7407" s="178"/>
      <c r="S7407" s="178"/>
    </row>
    <row r="7408" spans="18:19">
      <c r="R7408" s="178"/>
      <c r="S7408" s="178"/>
    </row>
    <row r="7409" spans="18:19">
      <c r="R7409" s="178"/>
      <c r="S7409" s="178"/>
    </row>
    <row r="7410" spans="18:19">
      <c r="R7410" s="178"/>
      <c r="S7410" s="178"/>
    </row>
    <row r="7411" spans="18:19">
      <c r="R7411" s="178"/>
      <c r="S7411" s="178"/>
    </row>
    <row r="7412" spans="18:19">
      <c r="R7412" s="178"/>
      <c r="S7412" s="178"/>
    </row>
    <row r="7413" spans="18:19">
      <c r="R7413" s="178"/>
      <c r="S7413" s="178"/>
    </row>
    <row r="7414" spans="18:19">
      <c r="R7414" s="178"/>
      <c r="S7414" s="178"/>
    </row>
    <row r="7415" spans="18:19">
      <c r="R7415" s="178"/>
      <c r="S7415" s="178"/>
    </row>
    <row r="7416" spans="18:19">
      <c r="R7416" s="178"/>
      <c r="S7416" s="178"/>
    </row>
    <row r="7417" spans="18:19">
      <c r="R7417" s="178"/>
      <c r="S7417" s="178"/>
    </row>
    <row r="7418" spans="18:19">
      <c r="R7418" s="178"/>
      <c r="S7418" s="178"/>
    </row>
    <row r="7419" spans="18:19">
      <c r="R7419" s="178"/>
      <c r="S7419" s="178"/>
    </row>
    <row r="7420" spans="18:19">
      <c r="R7420" s="178"/>
      <c r="S7420" s="178"/>
    </row>
    <row r="7421" spans="18:19">
      <c r="R7421" s="178"/>
      <c r="S7421" s="178"/>
    </row>
    <row r="7422" spans="18:19">
      <c r="R7422" s="178"/>
      <c r="S7422" s="178"/>
    </row>
    <row r="7423" spans="18:19">
      <c r="R7423" s="178"/>
      <c r="S7423" s="178"/>
    </row>
    <row r="7424" spans="18:19">
      <c r="R7424" s="178"/>
      <c r="S7424" s="178"/>
    </row>
    <row r="7425" spans="18:19">
      <c r="R7425" s="178"/>
      <c r="S7425" s="178"/>
    </row>
    <row r="7426" spans="18:19">
      <c r="R7426" s="178"/>
      <c r="S7426" s="178"/>
    </row>
    <row r="7427" spans="18:19">
      <c r="R7427" s="178"/>
      <c r="S7427" s="178"/>
    </row>
    <row r="7428" spans="18:19">
      <c r="R7428" s="178"/>
      <c r="S7428" s="178"/>
    </row>
    <row r="7429" spans="18:19">
      <c r="R7429" s="178"/>
      <c r="S7429" s="178"/>
    </row>
    <row r="7430" spans="18:19">
      <c r="R7430" s="178"/>
      <c r="S7430" s="178"/>
    </row>
    <row r="7431" spans="18:19">
      <c r="R7431" s="178"/>
      <c r="S7431" s="178"/>
    </row>
    <row r="7432" spans="18:19">
      <c r="R7432" s="178"/>
      <c r="S7432" s="178"/>
    </row>
    <row r="7433" spans="18:19">
      <c r="R7433" s="178"/>
      <c r="S7433" s="178"/>
    </row>
    <row r="7434" spans="18:19">
      <c r="R7434" s="178"/>
      <c r="S7434" s="178"/>
    </row>
    <row r="7435" spans="18:19">
      <c r="R7435" s="178"/>
      <c r="S7435" s="178"/>
    </row>
    <row r="7436" spans="18:19">
      <c r="R7436" s="178"/>
      <c r="S7436" s="178"/>
    </row>
    <row r="7437" spans="18:19">
      <c r="R7437" s="178"/>
      <c r="S7437" s="178"/>
    </row>
    <row r="7438" spans="18:19">
      <c r="R7438" s="178"/>
      <c r="S7438" s="178"/>
    </row>
    <row r="7439" spans="18:19">
      <c r="R7439" s="178"/>
      <c r="S7439" s="178"/>
    </row>
    <row r="7440" spans="18:19">
      <c r="R7440" s="178"/>
      <c r="S7440" s="178"/>
    </row>
    <row r="7441" spans="18:19">
      <c r="R7441" s="178"/>
      <c r="S7441" s="178"/>
    </row>
    <row r="7442" spans="18:19">
      <c r="R7442" s="178"/>
      <c r="S7442" s="178"/>
    </row>
    <row r="7443" spans="18:19">
      <c r="R7443" s="178"/>
      <c r="S7443" s="178"/>
    </row>
    <row r="7444" spans="18:19">
      <c r="R7444" s="178"/>
      <c r="S7444" s="178"/>
    </row>
    <row r="7445" spans="18:19">
      <c r="R7445" s="178"/>
      <c r="S7445" s="178"/>
    </row>
    <row r="7446" spans="18:19">
      <c r="R7446" s="178"/>
      <c r="S7446" s="178"/>
    </row>
    <row r="7447" spans="18:19">
      <c r="R7447" s="178"/>
      <c r="S7447" s="178"/>
    </row>
    <row r="7448" spans="18:19">
      <c r="R7448" s="178"/>
      <c r="S7448" s="178"/>
    </row>
    <row r="7449" spans="18:19">
      <c r="R7449" s="178"/>
      <c r="S7449" s="178"/>
    </row>
    <row r="7450" spans="18:19">
      <c r="R7450" s="178"/>
      <c r="S7450" s="178"/>
    </row>
    <row r="7451" spans="18:19">
      <c r="R7451" s="178"/>
      <c r="S7451" s="178"/>
    </row>
    <row r="7452" spans="18:19">
      <c r="R7452" s="178"/>
      <c r="S7452" s="178"/>
    </row>
    <row r="7453" spans="18:19">
      <c r="R7453" s="178"/>
      <c r="S7453" s="178"/>
    </row>
    <row r="7454" spans="18:19">
      <c r="R7454" s="178"/>
      <c r="S7454" s="178"/>
    </row>
    <row r="7455" spans="18:19">
      <c r="R7455" s="178"/>
      <c r="S7455" s="178"/>
    </row>
    <row r="7456" spans="18:19">
      <c r="R7456" s="178"/>
      <c r="S7456" s="178"/>
    </row>
    <row r="7457" spans="18:19">
      <c r="R7457" s="178"/>
      <c r="S7457" s="178"/>
    </row>
    <row r="7458" spans="18:19">
      <c r="R7458" s="178"/>
      <c r="S7458" s="178"/>
    </row>
    <row r="7459" spans="18:19">
      <c r="R7459" s="178"/>
      <c r="S7459" s="178"/>
    </row>
    <row r="7460" spans="18:19">
      <c r="R7460" s="178"/>
      <c r="S7460" s="178"/>
    </row>
    <row r="7461" spans="18:19">
      <c r="R7461" s="178"/>
      <c r="S7461" s="178"/>
    </row>
    <row r="7462" spans="18:19">
      <c r="R7462" s="178"/>
      <c r="S7462" s="178"/>
    </row>
    <row r="7463" spans="18:19">
      <c r="R7463" s="178"/>
      <c r="S7463" s="178"/>
    </row>
    <row r="7464" spans="18:19">
      <c r="R7464" s="178"/>
      <c r="S7464" s="178"/>
    </row>
    <row r="7465" spans="18:19">
      <c r="R7465" s="178"/>
      <c r="S7465" s="178"/>
    </row>
    <row r="7466" spans="18:19">
      <c r="R7466" s="178"/>
      <c r="S7466" s="178"/>
    </row>
    <row r="7467" spans="18:19">
      <c r="R7467" s="178"/>
      <c r="S7467" s="178"/>
    </row>
    <row r="7468" spans="18:19">
      <c r="R7468" s="178"/>
      <c r="S7468" s="178"/>
    </row>
    <row r="7469" spans="18:19">
      <c r="R7469" s="178"/>
      <c r="S7469" s="178"/>
    </row>
    <row r="7470" spans="18:19">
      <c r="R7470" s="178"/>
      <c r="S7470" s="178"/>
    </row>
    <row r="7471" spans="18:19">
      <c r="R7471" s="178"/>
      <c r="S7471" s="178"/>
    </row>
    <row r="7472" spans="18:19">
      <c r="R7472" s="178"/>
      <c r="S7472" s="178"/>
    </row>
    <row r="7473" spans="18:19">
      <c r="R7473" s="178"/>
      <c r="S7473" s="178"/>
    </row>
    <row r="7474" spans="18:19">
      <c r="R7474" s="178"/>
      <c r="S7474" s="178"/>
    </row>
    <row r="7475" spans="18:19">
      <c r="R7475" s="178"/>
      <c r="S7475" s="178"/>
    </row>
    <row r="7476" spans="18:19">
      <c r="R7476" s="178"/>
      <c r="S7476" s="178"/>
    </row>
    <row r="7477" spans="18:19">
      <c r="R7477" s="178"/>
      <c r="S7477" s="178"/>
    </row>
    <row r="7478" spans="18:19">
      <c r="R7478" s="178"/>
      <c r="S7478" s="178"/>
    </row>
    <row r="7479" spans="18:19">
      <c r="R7479" s="178"/>
      <c r="S7479" s="178"/>
    </row>
    <row r="7480" spans="18:19">
      <c r="R7480" s="178"/>
      <c r="S7480" s="178"/>
    </row>
    <row r="7481" spans="18:19">
      <c r="R7481" s="178"/>
      <c r="S7481" s="178"/>
    </row>
    <row r="7482" spans="18:19">
      <c r="R7482" s="178"/>
      <c r="S7482" s="178"/>
    </row>
    <row r="7483" spans="18:19">
      <c r="R7483" s="178"/>
      <c r="S7483" s="178"/>
    </row>
    <row r="7484" spans="18:19">
      <c r="R7484" s="178"/>
      <c r="S7484" s="178"/>
    </row>
    <row r="7485" spans="18:19">
      <c r="R7485" s="178"/>
      <c r="S7485" s="178"/>
    </row>
    <row r="7486" spans="18:19">
      <c r="R7486" s="178"/>
      <c r="S7486" s="178"/>
    </row>
    <row r="7487" spans="18:19">
      <c r="R7487" s="178"/>
      <c r="S7487" s="178"/>
    </row>
    <row r="7488" spans="18:19">
      <c r="R7488" s="178"/>
      <c r="S7488" s="178"/>
    </row>
    <row r="7489" spans="18:19">
      <c r="R7489" s="178"/>
      <c r="S7489" s="178"/>
    </row>
    <row r="7490" spans="18:19">
      <c r="R7490" s="178"/>
      <c r="S7490" s="178"/>
    </row>
    <row r="7491" spans="18:19">
      <c r="R7491" s="178"/>
      <c r="S7491" s="178"/>
    </row>
    <row r="7492" spans="18:19">
      <c r="R7492" s="178"/>
      <c r="S7492" s="178"/>
    </row>
    <row r="7493" spans="18:19">
      <c r="R7493" s="178"/>
      <c r="S7493" s="178"/>
    </row>
    <row r="7494" spans="18:19">
      <c r="R7494" s="178"/>
      <c r="S7494" s="178"/>
    </row>
    <row r="7495" spans="18:19">
      <c r="R7495" s="178"/>
      <c r="S7495" s="178"/>
    </row>
    <row r="7496" spans="18:19">
      <c r="R7496" s="178"/>
      <c r="S7496" s="178"/>
    </row>
    <row r="7497" spans="18:19">
      <c r="R7497" s="178"/>
      <c r="S7497" s="178"/>
    </row>
    <row r="7498" spans="18:19">
      <c r="R7498" s="178"/>
      <c r="S7498" s="178"/>
    </row>
    <row r="7499" spans="18:19">
      <c r="R7499" s="178"/>
      <c r="S7499" s="178"/>
    </row>
    <row r="7500" spans="18:19">
      <c r="R7500" s="178"/>
      <c r="S7500" s="178"/>
    </row>
    <row r="7501" spans="18:19">
      <c r="R7501" s="178"/>
      <c r="S7501" s="178"/>
    </row>
    <row r="7502" spans="18:19">
      <c r="R7502" s="178"/>
      <c r="S7502" s="178"/>
    </row>
    <row r="7503" spans="18:19">
      <c r="R7503" s="178"/>
      <c r="S7503" s="178"/>
    </row>
    <row r="7504" spans="18:19">
      <c r="R7504" s="178"/>
      <c r="S7504" s="178"/>
    </row>
    <row r="7505" spans="18:19">
      <c r="R7505" s="178"/>
      <c r="S7505" s="178"/>
    </row>
    <row r="7506" spans="18:19">
      <c r="R7506" s="178"/>
      <c r="S7506" s="178"/>
    </row>
    <row r="7507" spans="18:19">
      <c r="R7507" s="178"/>
      <c r="S7507" s="178"/>
    </row>
    <row r="7508" spans="18:19">
      <c r="R7508" s="178"/>
      <c r="S7508" s="178"/>
    </row>
    <row r="7509" spans="18:19">
      <c r="R7509" s="178"/>
      <c r="S7509" s="178"/>
    </row>
    <row r="7510" spans="18:19">
      <c r="R7510" s="178"/>
      <c r="S7510" s="178"/>
    </row>
    <row r="7511" spans="18:19">
      <c r="R7511" s="178"/>
      <c r="S7511" s="178"/>
    </row>
    <row r="7512" spans="18:19">
      <c r="R7512" s="178"/>
      <c r="S7512" s="178"/>
    </row>
    <row r="7513" spans="18:19">
      <c r="R7513" s="178"/>
      <c r="S7513" s="178"/>
    </row>
    <row r="7514" spans="18:19">
      <c r="R7514" s="178"/>
      <c r="S7514" s="178"/>
    </row>
    <row r="7515" spans="18:19">
      <c r="R7515" s="178"/>
      <c r="S7515" s="178"/>
    </row>
    <row r="7516" spans="18:19">
      <c r="R7516" s="178"/>
      <c r="S7516" s="178"/>
    </row>
    <row r="7517" spans="18:19">
      <c r="R7517" s="178"/>
      <c r="S7517" s="178"/>
    </row>
    <row r="7518" spans="18:19">
      <c r="R7518" s="178"/>
      <c r="S7518" s="178"/>
    </row>
    <row r="7519" spans="18:19">
      <c r="R7519" s="178"/>
      <c r="S7519" s="178"/>
    </row>
    <row r="7520" spans="18:19">
      <c r="R7520" s="178"/>
      <c r="S7520" s="178"/>
    </row>
    <row r="7521" spans="18:19">
      <c r="R7521" s="178"/>
      <c r="S7521" s="178"/>
    </row>
    <row r="7522" spans="18:19">
      <c r="R7522" s="178"/>
      <c r="S7522" s="178"/>
    </row>
    <row r="7523" spans="18:19">
      <c r="R7523" s="178"/>
      <c r="S7523" s="178"/>
    </row>
    <row r="7524" spans="18:19">
      <c r="R7524" s="178"/>
      <c r="S7524" s="178"/>
    </row>
    <row r="7525" spans="18:19">
      <c r="R7525" s="178"/>
      <c r="S7525" s="178"/>
    </row>
    <row r="7526" spans="18:19">
      <c r="R7526" s="178"/>
      <c r="S7526" s="178"/>
    </row>
    <row r="7527" spans="18:19">
      <c r="R7527" s="178"/>
      <c r="S7527" s="178"/>
    </row>
    <row r="7528" spans="18:19">
      <c r="R7528" s="178"/>
      <c r="S7528" s="178"/>
    </row>
    <row r="7529" spans="18:19">
      <c r="R7529" s="178"/>
      <c r="S7529" s="178"/>
    </row>
    <row r="7530" spans="18:19">
      <c r="R7530" s="178"/>
      <c r="S7530" s="178"/>
    </row>
    <row r="7531" spans="18:19">
      <c r="R7531" s="178"/>
      <c r="S7531" s="178"/>
    </row>
    <row r="7532" spans="18:19">
      <c r="R7532" s="178"/>
      <c r="S7532" s="178"/>
    </row>
    <row r="7533" spans="18:19">
      <c r="R7533" s="178"/>
      <c r="S7533" s="178"/>
    </row>
    <row r="7534" spans="18:19">
      <c r="R7534" s="178"/>
      <c r="S7534" s="178"/>
    </row>
    <row r="7535" spans="18:19">
      <c r="R7535" s="178"/>
      <c r="S7535" s="178"/>
    </row>
    <row r="7536" spans="18:19">
      <c r="R7536" s="178"/>
      <c r="S7536" s="178"/>
    </row>
    <row r="7537" spans="18:19">
      <c r="R7537" s="178"/>
      <c r="S7537" s="178"/>
    </row>
    <row r="7538" spans="18:19">
      <c r="R7538" s="178"/>
      <c r="S7538" s="178"/>
    </row>
    <row r="7539" spans="18:19">
      <c r="R7539" s="178"/>
      <c r="S7539" s="178"/>
    </row>
    <row r="7540" spans="18:19">
      <c r="R7540" s="178"/>
      <c r="S7540" s="178"/>
    </row>
    <row r="7541" spans="18:19">
      <c r="R7541" s="178"/>
      <c r="S7541" s="178"/>
    </row>
    <row r="7542" spans="18:19">
      <c r="R7542" s="178"/>
      <c r="S7542" s="178"/>
    </row>
    <row r="7543" spans="18:19">
      <c r="R7543" s="178"/>
      <c r="S7543" s="178"/>
    </row>
    <row r="7544" spans="18:19">
      <c r="R7544" s="178"/>
      <c r="S7544" s="178"/>
    </row>
    <row r="7545" spans="18:19">
      <c r="R7545" s="178"/>
      <c r="S7545" s="178"/>
    </row>
    <row r="7546" spans="18:19">
      <c r="R7546" s="178"/>
      <c r="S7546" s="178"/>
    </row>
    <row r="7547" spans="18:19">
      <c r="R7547" s="178"/>
      <c r="S7547" s="178"/>
    </row>
    <row r="7548" spans="18:19">
      <c r="R7548" s="178"/>
      <c r="S7548" s="178"/>
    </row>
    <row r="7549" spans="18:19">
      <c r="R7549" s="178"/>
      <c r="S7549" s="178"/>
    </row>
    <row r="7550" spans="18:19">
      <c r="R7550" s="178"/>
      <c r="S7550" s="178"/>
    </row>
    <row r="7551" spans="18:19">
      <c r="R7551" s="178"/>
      <c r="S7551" s="178"/>
    </row>
    <row r="7552" spans="18:19">
      <c r="R7552" s="178"/>
      <c r="S7552" s="178"/>
    </row>
    <row r="7553" spans="18:19">
      <c r="R7553" s="178"/>
      <c r="S7553" s="178"/>
    </row>
    <row r="7554" spans="18:19">
      <c r="R7554" s="178"/>
      <c r="S7554" s="178"/>
    </row>
    <row r="7555" spans="18:19">
      <c r="R7555" s="178"/>
      <c r="S7555" s="178"/>
    </row>
    <row r="7556" spans="18:19">
      <c r="R7556" s="178"/>
      <c r="S7556" s="178"/>
    </row>
    <row r="7557" spans="18:19">
      <c r="R7557" s="178"/>
      <c r="S7557" s="178"/>
    </row>
    <row r="7558" spans="18:19">
      <c r="R7558" s="178"/>
      <c r="S7558" s="178"/>
    </row>
    <row r="7559" spans="18:19">
      <c r="R7559" s="178"/>
      <c r="S7559" s="178"/>
    </row>
    <row r="7560" spans="18:19">
      <c r="R7560" s="178"/>
      <c r="S7560" s="178"/>
    </row>
    <row r="7561" spans="18:19">
      <c r="R7561" s="178"/>
      <c r="S7561" s="178"/>
    </row>
    <row r="7562" spans="18:19">
      <c r="R7562" s="178"/>
      <c r="S7562" s="178"/>
    </row>
    <row r="7563" spans="18:19">
      <c r="R7563" s="178"/>
      <c r="S7563" s="178"/>
    </row>
    <row r="7564" spans="18:19">
      <c r="R7564" s="178"/>
      <c r="S7564" s="178"/>
    </row>
    <row r="7565" spans="18:19">
      <c r="R7565" s="178"/>
      <c r="S7565" s="178"/>
    </row>
    <row r="7566" spans="18:19">
      <c r="R7566" s="178"/>
      <c r="S7566" s="178"/>
    </row>
    <row r="7567" spans="18:19">
      <c r="R7567" s="178"/>
      <c r="S7567" s="178"/>
    </row>
    <row r="7568" spans="18:19">
      <c r="R7568" s="178"/>
      <c r="S7568" s="178"/>
    </row>
    <row r="7569" spans="18:19">
      <c r="R7569" s="178"/>
      <c r="S7569" s="178"/>
    </row>
    <row r="7570" spans="18:19">
      <c r="R7570" s="178"/>
      <c r="S7570" s="178"/>
    </row>
    <row r="7571" spans="18:19">
      <c r="R7571" s="178"/>
      <c r="S7571" s="178"/>
    </row>
    <row r="7572" spans="18:19">
      <c r="R7572" s="178"/>
      <c r="S7572" s="178"/>
    </row>
    <row r="7573" spans="18:19">
      <c r="R7573" s="178"/>
      <c r="S7573" s="178"/>
    </row>
    <row r="7574" spans="18:19">
      <c r="R7574" s="178"/>
      <c r="S7574" s="178"/>
    </row>
    <row r="7575" spans="18:19">
      <c r="R7575" s="178"/>
      <c r="S7575" s="178"/>
    </row>
    <row r="7576" spans="18:19">
      <c r="R7576" s="178"/>
      <c r="S7576" s="178"/>
    </row>
    <row r="7577" spans="18:19">
      <c r="R7577" s="178"/>
      <c r="S7577" s="178"/>
    </row>
    <row r="7578" spans="18:19">
      <c r="R7578" s="178"/>
      <c r="S7578" s="178"/>
    </row>
    <row r="7579" spans="18:19">
      <c r="R7579" s="178"/>
      <c r="S7579" s="178"/>
    </row>
    <row r="7580" spans="18:19">
      <c r="R7580" s="178"/>
      <c r="S7580" s="178"/>
    </row>
    <row r="7581" spans="18:19">
      <c r="R7581" s="178"/>
      <c r="S7581" s="178"/>
    </row>
    <row r="7582" spans="18:19">
      <c r="R7582" s="178"/>
      <c r="S7582" s="178"/>
    </row>
    <row r="7583" spans="18:19">
      <c r="R7583" s="178"/>
      <c r="S7583" s="178"/>
    </row>
    <row r="7584" spans="18:19">
      <c r="R7584" s="178"/>
      <c r="S7584" s="178"/>
    </row>
    <row r="7585" spans="18:19">
      <c r="R7585" s="178"/>
      <c r="S7585" s="178"/>
    </row>
    <row r="7586" spans="18:19">
      <c r="R7586" s="178"/>
      <c r="S7586" s="178"/>
    </row>
    <row r="7587" spans="18:19">
      <c r="R7587" s="178"/>
      <c r="S7587" s="178"/>
    </row>
    <row r="7588" spans="18:19">
      <c r="R7588" s="178"/>
      <c r="S7588" s="178"/>
    </row>
    <row r="7589" spans="18:19">
      <c r="R7589" s="178"/>
      <c r="S7589" s="178"/>
    </row>
    <row r="7590" spans="18:19">
      <c r="R7590" s="178"/>
      <c r="S7590" s="178"/>
    </row>
    <row r="7591" spans="18:19">
      <c r="R7591" s="178"/>
      <c r="S7591" s="178"/>
    </row>
    <row r="7592" spans="18:19">
      <c r="R7592" s="178"/>
      <c r="S7592" s="178"/>
    </row>
    <row r="7593" spans="18:19">
      <c r="R7593" s="178"/>
      <c r="S7593" s="178"/>
    </row>
    <row r="7594" spans="18:19">
      <c r="R7594" s="178"/>
      <c r="S7594" s="178"/>
    </row>
    <row r="7595" spans="18:19">
      <c r="R7595" s="178"/>
      <c r="S7595" s="178"/>
    </row>
    <row r="7596" spans="18:19">
      <c r="R7596" s="178"/>
      <c r="S7596" s="178"/>
    </row>
    <row r="7597" spans="18:19">
      <c r="R7597" s="178"/>
      <c r="S7597" s="178"/>
    </row>
    <row r="7598" spans="18:19">
      <c r="R7598" s="178"/>
      <c r="S7598" s="178"/>
    </row>
    <row r="7599" spans="18:19">
      <c r="R7599" s="178"/>
      <c r="S7599" s="178"/>
    </row>
    <row r="7600" spans="18:19">
      <c r="R7600" s="178"/>
      <c r="S7600" s="178"/>
    </row>
    <row r="7601" spans="18:19">
      <c r="R7601" s="178"/>
      <c r="S7601" s="178"/>
    </row>
    <row r="7602" spans="18:19">
      <c r="R7602" s="178"/>
      <c r="S7602" s="178"/>
    </row>
    <row r="7603" spans="18:19">
      <c r="R7603" s="178"/>
      <c r="S7603" s="178"/>
    </row>
    <row r="7604" spans="18:19">
      <c r="R7604" s="178"/>
      <c r="S7604" s="178"/>
    </row>
    <row r="7605" spans="18:19">
      <c r="R7605" s="178"/>
      <c r="S7605" s="178"/>
    </row>
    <row r="7606" spans="18:19">
      <c r="R7606" s="178"/>
      <c r="S7606" s="178"/>
    </row>
    <row r="7607" spans="18:19">
      <c r="R7607" s="178"/>
      <c r="S7607" s="178"/>
    </row>
    <row r="7608" spans="18:19">
      <c r="R7608" s="178"/>
      <c r="S7608" s="178"/>
    </row>
    <row r="7609" spans="18:19">
      <c r="R7609" s="178"/>
      <c r="S7609" s="178"/>
    </row>
    <row r="7610" spans="18:19">
      <c r="R7610" s="178"/>
      <c r="S7610" s="178"/>
    </row>
    <row r="7611" spans="18:19">
      <c r="R7611" s="178"/>
      <c r="S7611" s="178"/>
    </row>
    <row r="7612" spans="18:19">
      <c r="R7612" s="178"/>
      <c r="S7612" s="178"/>
    </row>
    <row r="7613" spans="18:19">
      <c r="R7613" s="178"/>
      <c r="S7613" s="178"/>
    </row>
    <row r="7614" spans="18:19">
      <c r="R7614" s="178"/>
      <c r="S7614" s="178"/>
    </row>
    <row r="7615" spans="18:19">
      <c r="R7615" s="178"/>
      <c r="S7615" s="178"/>
    </row>
    <row r="7616" spans="18:19">
      <c r="R7616" s="178"/>
      <c r="S7616" s="178"/>
    </row>
    <row r="7617" spans="18:19">
      <c r="R7617" s="178"/>
      <c r="S7617" s="178"/>
    </row>
    <row r="7618" spans="18:19">
      <c r="R7618" s="178"/>
      <c r="S7618" s="178"/>
    </row>
    <row r="7619" spans="18:19">
      <c r="R7619" s="178"/>
      <c r="S7619" s="178"/>
    </row>
    <row r="7620" spans="18:19">
      <c r="R7620" s="178"/>
      <c r="S7620" s="178"/>
    </row>
    <row r="7621" spans="18:19">
      <c r="R7621" s="178"/>
      <c r="S7621" s="178"/>
    </row>
    <row r="7622" spans="18:19">
      <c r="R7622" s="178"/>
      <c r="S7622" s="178"/>
    </row>
    <row r="7623" spans="18:19">
      <c r="R7623" s="178"/>
      <c r="S7623" s="178"/>
    </row>
    <row r="7624" spans="18:19">
      <c r="R7624" s="178"/>
      <c r="S7624" s="178"/>
    </row>
    <row r="7625" spans="18:19">
      <c r="R7625" s="178"/>
      <c r="S7625" s="178"/>
    </row>
    <row r="7626" spans="18:19">
      <c r="R7626" s="178"/>
      <c r="S7626" s="178"/>
    </row>
    <row r="7627" spans="18:19">
      <c r="R7627" s="178"/>
      <c r="S7627" s="178"/>
    </row>
    <row r="7628" spans="18:19">
      <c r="R7628" s="178"/>
      <c r="S7628" s="178"/>
    </row>
    <row r="7629" spans="18:19">
      <c r="R7629" s="178"/>
      <c r="S7629" s="178"/>
    </row>
    <row r="7630" spans="18:19">
      <c r="R7630" s="178"/>
      <c r="S7630" s="178"/>
    </row>
    <row r="7631" spans="18:19">
      <c r="R7631" s="178"/>
      <c r="S7631" s="178"/>
    </row>
    <row r="7632" spans="18:19">
      <c r="R7632" s="178"/>
      <c r="S7632" s="178"/>
    </row>
    <row r="7633" spans="18:19">
      <c r="R7633" s="178"/>
      <c r="S7633" s="178"/>
    </row>
    <row r="7634" spans="18:19">
      <c r="R7634" s="178"/>
      <c r="S7634" s="178"/>
    </row>
    <row r="7635" spans="18:19">
      <c r="R7635" s="178"/>
      <c r="S7635" s="178"/>
    </row>
    <row r="7636" spans="18:19">
      <c r="R7636" s="178"/>
      <c r="S7636" s="178"/>
    </row>
    <row r="7637" spans="18:19">
      <c r="R7637" s="178"/>
      <c r="S7637" s="178"/>
    </row>
    <row r="7638" spans="18:19">
      <c r="R7638" s="178"/>
      <c r="S7638" s="178"/>
    </row>
    <row r="7639" spans="18:19">
      <c r="R7639" s="178"/>
      <c r="S7639" s="178"/>
    </row>
    <row r="7640" spans="18:19">
      <c r="R7640" s="178"/>
      <c r="S7640" s="178"/>
    </row>
    <row r="7641" spans="18:19">
      <c r="R7641" s="178"/>
      <c r="S7641" s="178"/>
    </row>
    <row r="7642" spans="18:19">
      <c r="R7642" s="178"/>
      <c r="S7642" s="178"/>
    </row>
    <row r="7643" spans="18:19">
      <c r="R7643" s="178"/>
      <c r="S7643" s="178"/>
    </row>
    <row r="7644" spans="18:19">
      <c r="R7644" s="178"/>
      <c r="S7644" s="178"/>
    </row>
    <row r="7645" spans="18:19">
      <c r="R7645" s="178"/>
      <c r="S7645" s="178"/>
    </row>
    <row r="7646" spans="18:19">
      <c r="R7646" s="178"/>
      <c r="S7646" s="178"/>
    </row>
    <row r="7647" spans="18:19">
      <c r="R7647" s="178"/>
      <c r="S7647" s="178"/>
    </row>
    <row r="7648" spans="18:19">
      <c r="R7648" s="178"/>
      <c r="S7648" s="178"/>
    </row>
    <row r="7649" spans="18:19">
      <c r="R7649" s="178"/>
      <c r="S7649" s="178"/>
    </row>
    <row r="7650" spans="18:19">
      <c r="R7650" s="178"/>
      <c r="S7650" s="178"/>
    </row>
    <row r="7651" spans="18:19">
      <c r="R7651" s="178"/>
      <c r="S7651" s="178"/>
    </row>
    <row r="7652" spans="18:19">
      <c r="R7652" s="178"/>
      <c r="S7652" s="178"/>
    </row>
    <row r="7653" spans="18:19">
      <c r="R7653" s="178"/>
      <c r="S7653" s="178"/>
    </row>
    <row r="7654" spans="18:19">
      <c r="R7654" s="178"/>
      <c r="S7654" s="178"/>
    </row>
    <row r="7655" spans="18:19">
      <c r="R7655" s="178"/>
      <c r="S7655" s="178"/>
    </row>
    <row r="7656" spans="18:19">
      <c r="R7656" s="178"/>
      <c r="S7656" s="178"/>
    </row>
    <row r="7657" spans="18:19">
      <c r="R7657" s="178"/>
      <c r="S7657" s="178"/>
    </row>
    <row r="7658" spans="18:19">
      <c r="R7658" s="178"/>
      <c r="S7658" s="178"/>
    </row>
    <row r="7659" spans="18:19">
      <c r="R7659" s="178"/>
      <c r="S7659" s="178"/>
    </row>
    <row r="7660" spans="18:19">
      <c r="R7660" s="178"/>
      <c r="S7660" s="178"/>
    </row>
    <row r="7661" spans="18:19">
      <c r="R7661" s="178"/>
      <c r="S7661" s="178"/>
    </row>
    <row r="7662" spans="18:19">
      <c r="R7662" s="178"/>
      <c r="S7662" s="178"/>
    </row>
    <row r="7663" spans="18:19">
      <c r="R7663" s="178"/>
      <c r="S7663" s="178"/>
    </row>
    <row r="7664" spans="18:19">
      <c r="R7664" s="178"/>
      <c r="S7664" s="178"/>
    </row>
    <row r="7665" spans="18:19">
      <c r="R7665" s="178"/>
      <c r="S7665" s="178"/>
    </row>
    <row r="7666" spans="18:19">
      <c r="R7666" s="178"/>
      <c r="S7666" s="178"/>
    </row>
    <row r="7667" spans="18:19">
      <c r="R7667" s="178"/>
      <c r="S7667" s="178"/>
    </row>
    <row r="7668" spans="18:19">
      <c r="R7668" s="178"/>
      <c r="S7668" s="178"/>
    </row>
    <row r="7669" spans="18:19">
      <c r="R7669" s="178"/>
      <c r="S7669" s="178"/>
    </row>
    <row r="7670" spans="18:19">
      <c r="R7670" s="178"/>
      <c r="S7670" s="178"/>
    </row>
    <row r="7671" spans="18:19">
      <c r="R7671" s="178"/>
      <c r="S7671" s="178"/>
    </row>
    <row r="7672" spans="18:19">
      <c r="R7672" s="178"/>
      <c r="S7672" s="178"/>
    </row>
    <row r="7673" spans="18:19">
      <c r="R7673" s="178"/>
      <c r="S7673" s="178"/>
    </row>
    <row r="7674" spans="18:19">
      <c r="R7674" s="178"/>
      <c r="S7674" s="178"/>
    </row>
    <row r="7675" spans="18:19">
      <c r="R7675" s="178"/>
      <c r="S7675" s="178"/>
    </row>
    <row r="7676" spans="18:19">
      <c r="R7676" s="178"/>
      <c r="S7676" s="178"/>
    </row>
    <row r="7677" spans="18:19">
      <c r="R7677" s="178"/>
      <c r="S7677" s="178"/>
    </row>
    <row r="7678" spans="18:19">
      <c r="R7678" s="178"/>
      <c r="S7678" s="178"/>
    </row>
    <row r="7679" spans="18:19">
      <c r="R7679" s="178"/>
      <c r="S7679" s="178"/>
    </row>
    <row r="7680" spans="18:19">
      <c r="R7680" s="178"/>
      <c r="S7680" s="178"/>
    </row>
    <row r="7681" spans="18:19">
      <c r="R7681" s="178"/>
      <c r="S7681" s="178"/>
    </row>
    <row r="7682" spans="18:19">
      <c r="R7682" s="178"/>
      <c r="S7682" s="178"/>
    </row>
    <row r="7683" spans="18:19">
      <c r="R7683" s="178"/>
      <c r="S7683" s="178"/>
    </row>
    <row r="7684" spans="18:19">
      <c r="R7684" s="178"/>
      <c r="S7684" s="178"/>
    </row>
    <row r="7685" spans="18:19">
      <c r="R7685" s="178"/>
      <c r="S7685" s="178"/>
    </row>
    <row r="7686" spans="18:19">
      <c r="R7686" s="178"/>
      <c r="S7686" s="178"/>
    </row>
    <row r="7687" spans="18:19">
      <c r="R7687" s="178"/>
      <c r="S7687" s="178"/>
    </row>
    <row r="7688" spans="18:19">
      <c r="R7688" s="178"/>
      <c r="S7688" s="178"/>
    </row>
    <row r="7689" spans="18:19">
      <c r="R7689" s="178"/>
      <c r="S7689" s="178"/>
    </row>
    <row r="7690" spans="18:19">
      <c r="R7690" s="178"/>
      <c r="S7690" s="178"/>
    </row>
    <row r="7691" spans="18:19">
      <c r="R7691" s="178"/>
      <c r="S7691" s="178"/>
    </row>
    <row r="7692" spans="18:19">
      <c r="R7692" s="178"/>
      <c r="S7692" s="178"/>
    </row>
    <row r="7693" spans="18:19">
      <c r="R7693" s="178"/>
      <c r="S7693" s="178"/>
    </row>
    <row r="7694" spans="18:19">
      <c r="R7694" s="178"/>
      <c r="S7694" s="178"/>
    </row>
    <row r="7695" spans="18:19">
      <c r="R7695" s="178"/>
      <c r="S7695" s="178"/>
    </row>
    <row r="7696" spans="18:19">
      <c r="R7696" s="178"/>
      <c r="S7696" s="178"/>
    </row>
    <row r="7697" spans="18:19">
      <c r="R7697" s="178"/>
      <c r="S7697" s="178"/>
    </row>
    <row r="7698" spans="18:19">
      <c r="R7698" s="178"/>
      <c r="S7698" s="178"/>
    </row>
    <row r="7699" spans="18:19">
      <c r="R7699" s="178"/>
      <c r="S7699" s="178"/>
    </row>
    <row r="7700" spans="18:19">
      <c r="R7700" s="178"/>
      <c r="S7700" s="178"/>
    </row>
    <row r="7701" spans="18:19">
      <c r="R7701" s="178"/>
      <c r="S7701" s="178"/>
    </row>
    <row r="7702" spans="18:19">
      <c r="R7702" s="178"/>
      <c r="S7702" s="178"/>
    </row>
    <row r="7703" spans="18:19">
      <c r="R7703" s="178"/>
      <c r="S7703" s="178"/>
    </row>
    <row r="7704" spans="18:19">
      <c r="R7704" s="178"/>
      <c r="S7704" s="178"/>
    </row>
    <row r="7705" spans="18:19">
      <c r="R7705" s="178"/>
      <c r="S7705" s="178"/>
    </row>
    <row r="7706" spans="18:19">
      <c r="R7706" s="178"/>
      <c r="S7706" s="178"/>
    </row>
    <row r="7707" spans="18:19">
      <c r="R7707" s="178"/>
      <c r="S7707" s="178"/>
    </row>
    <row r="7708" spans="18:19">
      <c r="R7708" s="178"/>
      <c r="S7708" s="178"/>
    </row>
    <row r="7709" spans="18:19">
      <c r="R7709" s="178"/>
      <c r="S7709" s="178"/>
    </row>
    <row r="7710" spans="18:19">
      <c r="R7710" s="178"/>
      <c r="S7710" s="178"/>
    </row>
    <row r="7711" spans="18:19">
      <c r="R7711" s="178"/>
      <c r="S7711" s="178"/>
    </row>
    <row r="7712" spans="18:19">
      <c r="R7712" s="178"/>
      <c r="S7712" s="178"/>
    </row>
    <row r="7713" spans="18:19">
      <c r="R7713" s="178"/>
      <c r="S7713" s="178"/>
    </row>
    <row r="7714" spans="18:19">
      <c r="R7714" s="178"/>
      <c r="S7714" s="178"/>
    </row>
    <row r="7715" spans="18:19">
      <c r="R7715" s="178"/>
      <c r="S7715" s="178"/>
    </row>
    <row r="7716" spans="18:19">
      <c r="R7716" s="178"/>
      <c r="S7716" s="178"/>
    </row>
    <row r="7717" spans="18:19">
      <c r="R7717" s="178"/>
      <c r="S7717" s="178"/>
    </row>
    <row r="7718" spans="18:19">
      <c r="R7718" s="178"/>
      <c r="S7718" s="178"/>
    </row>
    <row r="7719" spans="18:19">
      <c r="R7719" s="178"/>
      <c r="S7719" s="178"/>
    </row>
    <row r="7720" spans="18:19">
      <c r="R7720" s="178"/>
      <c r="S7720" s="178"/>
    </row>
    <row r="7721" spans="18:19">
      <c r="R7721" s="178"/>
      <c r="S7721" s="178"/>
    </row>
    <row r="7722" spans="18:19">
      <c r="R7722" s="178"/>
      <c r="S7722" s="178"/>
    </row>
    <row r="7723" spans="18:19">
      <c r="R7723" s="178"/>
      <c r="S7723" s="178"/>
    </row>
    <row r="7724" spans="18:19">
      <c r="R7724" s="178"/>
      <c r="S7724" s="178"/>
    </row>
    <row r="7725" spans="18:19">
      <c r="R7725" s="178"/>
      <c r="S7725" s="178"/>
    </row>
    <row r="7726" spans="18:19">
      <c r="R7726" s="178"/>
      <c r="S7726" s="178"/>
    </row>
    <row r="7727" spans="18:19">
      <c r="R7727" s="178"/>
      <c r="S7727" s="178"/>
    </row>
    <row r="7728" spans="18:19">
      <c r="R7728" s="178"/>
      <c r="S7728" s="178"/>
    </row>
    <row r="7729" spans="18:19">
      <c r="R7729" s="178"/>
      <c r="S7729" s="178"/>
    </row>
    <row r="7730" spans="18:19">
      <c r="R7730" s="178"/>
      <c r="S7730" s="178"/>
    </row>
    <row r="7731" spans="18:19">
      <c r="R7731" s="178"/>
      <c r="S7731" s="178"/>
    </row>
    <row r="7732" spans="18:19">
      <c r="R7732" s="178"/>
      <c r="S7732" s="178"/>
    </row>
    <row r="7733" spans="18:19">
      <c r="R7733" s="178"/>
      <c r="S7733" s="178"/>
    </row>
    <row r="7734" spans="18:19">
      <c r="R7734" s="178"/>
      <c r="S7734" s="178"/>
    </row>
    <row r="7735" spans="18:19">
      <c r="R7735" s="178"/>
      <c r="S7735" s="178"/>
    </row>
    <row r="7736" spans="18:19">
      <c r="R7736" s="178"/>
      <c r="S7736" s="178"/>
    </row>
    <row r="7737" spans="18:19">
      <c r="R7737" s="178"/>
      <c r="S7737" s="178"/>
    </row>
    <row r="7738" spans="18:19">
      <c r="R7738" s="178"/>
      <c r="S7738" s="178"/>
    </row>
    <row r="7739" spans="18:19">
      <c r="R7739" s="178"/>
      <c r="S7739" s="178"/>
    </row>
    <row r="7740" spans="18:19">
      <c r="R7740" s="178"/>
      <c r="S7740" s="178"/>
    </row>
    <row r="7741" spans="18:19">
      <c r="R7741" s="178"/>
      <c r="S7741" s="178"/>
    </row>
    <row r="7742" spans="18:19">
      <c r="R7742" s="178"/>
      <c r="S7742" s="178"/>
    </row>
    <row r="7743" spans="18:19">
      <c r="R7743" s="178"/>
      <c r="S7743" s="178"/>
    </row>
    <row r="7744" spans="18:19">
      <c r="R7744" s="178"/>
      <c r="S7744" s="178"/>
    </row>
    <row r="7745" spans="18:19">
      <c r="R7745" s="178"/>
      <c r="S7745" s="178"/>
    </row>
    <row r="7746" spans="18:19">
      <c r="R7746" s="178"/>
      <c r="S7746" s="178"/>
    </row>
    <row r="7747" spans="18:19">
      <c r="R7747" s="178"/>
      <c r="S7747" s="178"/>
    </row>
    <row r="7748" spans="18:19">
      <c r="R7748" s="178"/>
      <c r="S7748" s="178"/>
    </row>
    <row r="7749" spans="18:19">
      <c r="R7749" s="178"/>
      <c r="S7749" s="178"/>
    </row>
    <row r="7750" spans="18:19">
      <c r="R7750" s="178"/>
      <c r="S7750" s="178"/>
    </row>
    <row r="7751" spans="18:19">
      <c r="R7751" s="178"/>
      <c r="S7751" s="178"/>
    </row>
    <row r="7752" spans="18:19">
      <c r="R7752" s="178"/>
      <c r="S7752" s="178"/>
    </row>
    <row r="7753" spans="18:19">
      <c r="R7753" s="178"/>
      <c r="S7753" s="178"/>
    </row>
    <row r="7754" spans="18:19">
      <c r="R7754" s="178"/>
      <c r="S7754" s="178"/>
    </row>
    <row r="7755" spans="18:19">
      <c r="R7755" s="178"/>
      <c r="S7755" s="178"/>
    </row>
    <row r="7756" spans="18:19">
      <c r="R7756" s="178"/>
      <c r="S7756" s="178"/>
    </row>
    <row r="7757" spans="18:19">
      <c r="R7757" s="178"/>
      <c r="S7757" s="178"/>
    </row>
    <row r="7758" spans="18:19">
      <c r="R7758" s="178"/>
      <c r="S7758" s="178"/>
    </row>
    <row r="7759" spans="18:19">
      <c r="R7759" s="178"/>
      <c r="S7759" s="178"/>
    </row>
    <row r="7760" spans="18:19">
      <c r="R7760" s="178"/>
      <c r="S7760" s="178"/>
    </row>
    <row r="7761" spans="18:19">
      <c r="R7761" s="178"/>
      <c r="S7761" s="178"/>
    </row>
    <row r="7762" spans="18:19">
      <c r="R7762" s="178"/>
      <c r="S7762" s="178"/>
    </row>
    <row r="7763" spans="18:19">
      <c r="R7763" s="178"/>
      <c r="S7763" s="178"/>
    </row>
    <row r="7764" spans="18:19">
      <c r="R7764" s="178"/>
      <c r="S7764" s="178"/>
    </row>
    <row r="7765" spans="18:19">
      <c r="R7765" s="178"/>
      <c r="S7765" s="178"/>
    </row>
    <row r="7766" spans="18:19">
      <c r="R7766" s="178"/>
      <c r="S7766" s="178"/>
    </row>
    <row r="7767" spans="18:19">
      <c r="R7767" s="178"/>
      <c r="S7767" s="178"/>
    </row>
    <row r="7768" spans="18:19">
      <c r="R7768" s="178"/>
      <c r="S7768" s="178"/>
    </row>
    <row r="7769" spans="18:19">
      <c r="R7769" s="178"/>
      <c r="S7769" s="178"/>
    </row>
    <row r="7770" spans="18:19">
      <c r="R7770" s="178"/>
      <c r="S7770" s="178"/>
    </row>
    <row r="7771" spans="18:19">
      <c r="R7771" s="178"/>
      <c r="S7771" s="178"/>
    </row>
    <row r="7772" spans="18:19">
      <c r="R7772" s="178"/>
      <c r="S7772" s="178"/>
    </row>
    <row r="7773" spans="18:19">
      <c r="R7773" s="178"/>
      <c r="S7773" s="178"/>
    </row>
    <row r="7774" spans="18:19">
      <c r="R7774" s="178"/>
      <c r="S7774" s="178"/>
    </row>
    <row r="7775" spans="18:19">
      <c r="R7775" s="178"/>
      <c r="S7775" s="178"/>
    </row>
    <row r="7776" spans="18:19">
      <c r="R7776" s="178"/>
      <c r="S7776" s="178"/>
    </row>
    <row r="7777" spans="18:19">
      <c r="R7777" s="178"/>
      <c r="S7777" s="178"/>
    </row>
    <row r="7778" spans="18:19">
      <c r="R7778" s="178"/>
      <c r="S7778" s="178"/>
    </row>
    <row r="7779" spans="18:19">
      <c r="R7779" s="178"/>
      <c r="S7779" s="178"/>
    </row>
    <row r="7780" spans="18:19">
      <c r="R7780" s="178"/>
      <c r="S7780" s="178"/>
    </row>
    <row r="7781" spans="18:19">
      <c r="R7781" s="178"/>
      <c r="S7781" s="178"/>
    </row>
    <row r="7782" spans="18:19">
      <c r="R7782" s="178"/>
      <c r="S7782" s="178"/>
    </row>
    <row r="7783" spans="18:19">
      <c r="R7783" s="178"/>
      <c r="S7783" s="178"/>
    </row>
    <row r="7784" spans="18:19">
      <c r="R7784" s="178"/>
      <c r="S7784" s="178"/>
    </row>
    <row r="7785" spans="18:19">
      <c r="R7785" s="178"/>
      <c r="S7785" s="178"/>
    </row>
    <row r="7786" spans="18:19">
      <c r="R7786" s="178"/>
      <c r="S7786" s="178"/>
    </row>
    <row r="7787" spans="18:19">
      <c r="R7787" s="178"/>
      <c r="S7787" s="178"/>
    </row>
    <row r="7788" spans="18:19">
      <c r="R7788" s="178"/>
      <c r="S7788" s="178"/>
    </row>
    <row r="7789" spans="18:19">
      <c r="R7789" s="178"/>
      <c r="S7789" s="178"/>
    </row>
    <row r="7790" spans="18:19">
      <c r="R7790" s="178"/>
      <c r="S7790" s="178"/>
    </row>
    <row r="7791" spans="18:19">
      <c r="R7791" s="178"/>
      <c r="S7791" s="178"/>
    </row>
    <row r="7792" spans="18:19">
      <c r="R7792" s="178"/>
      <c r="S7792" s="178"/>
    </row>
    <row r="7793" spans="18:19">
      <c r="R7793" s="178"/>
      <c r="S7793" s="178"/>
    </row>
    <row r="7794" spans="18:19">
      <c r="R7794" s="178"/>
      <c r="S7794" s="178"/>
    </row>
    <row r="7795" spans="18:19">
      <c r="R7795" s="178"/>
      <c r="S7795" s="178"/>
    </row>
    <row r="7796" spans="18:19">
      <c r="R7796" s="178"/>
      <c r="S7796" s="178"/>
    </row>
    <row r="7797" spans="18:19">
      <c r="R7797" s="178"/>
      <c r="S7797" s="178"/>
    </row>
    <row r="7798" spans="18:19">
      <c r="R7798" s="178"/>
      <c r="S7798" s="178"/>
    </row>
    <row r="7799" spans="18:19">
      <c r="R7799" s="178"/>
      <c r="S7799" s="178"/>
    </row>
    <row r="7800" spans="18:19">
      <c r="R7800" s="178"/>
      <c r="S7800" s="178"/>
    </row>
    <row r="7801" spans="18:19">
      <c r="R7801" s="178"/>
      <c r="S7801" s="178"/>
    </row>
    <row r="7802" spans="18:19">
      <c r="R7802" s="178"/>
      <c r="S7802" s="178"/>
    </row>
    <row r="7803" spans="18:19">
      <c r="R7803" s="178"/>
      <c r="S7803" s="178"/>
    </row>
    <row r="7804" spans="18:19">
      <c r="R7804" s="178"/>
      <c r="S7804" s="178"/>
    </row>
    <row r="7805" spans="18:19">
      <c r="R7805" s="178"/>
      <c r="S7805" s="178"/>
    </row>
    <row r="7806" spans="18:19">
      <c r="R7806" s="178"/>
      <c r="S7806" s="178"/>
    </row>
    <row r="7807" spans="18:19">
      <c r="R7807" s="178"/>
      <c r="S7807" s="178"/>
    </row>
    <row r="7808" spans="18:19">
      <c r="R7808" s="178"/>
      <c r="S7808" s="178"/>
    </row>
    <row r="7809" spans="18:19">
      <c r="R7809" s="178"/>
      <c r="S7809" s="178"/>
    </row>
    <row r="7810" spans="18:19">
      <c r="R7810" s="178"/>
      <c r="S7810" s="178"/>
    </row>
    <row r="7811" spans="18:19">
      <c r="R7811" s="178"/>
      <c r="S7811" s="178"/>
    </row>
    <row r="7812" spans="18:19">
      <c r="R7812" s="178"/>
      <c r="S7812" s="178"/>
    </row>
    <row r="7813" spans="18:19">
      <c r="R7813" s="178"/>
      <c r="S7813" s="178"/>
    </row>
    <row r="7814" spans="18:19">
      <c r="R7814" s="178"/>
      <c r="S7814" s="178"/>
    </row>
    <row r="7815" spans="18:19">
      <c r="R7815" s="178"/>
      <c r="S7815" s="178"/>
    </row>
    <row r="7816" spans="18:19">
      <c r="R7816" s="178"/>
      <c r="S7816" s="178"/>
    </row>
    <row r="7817" spans="18:19">
      <c r="R7817" s="178"/>
      <c r="S7817" s="178"/>
    </row>
    <row r="7818" spans="18:19">
      <c r="R7818" s="178"/>
      <c r="S7818" s="178"/>
    </row>
    <row r="7819" spans="18:19">
      <c r="R7819" s="178"/>
      <c r="S7819" s="178"/>
    </row>
    <row r="7820" spans="18:19">
      <c r="R7820" s="178"/>
      <c r="S7820" s="178"/>
    </row>
    <row r="7821" spans="18:19">
      <c r="R7821" s="178"/>
      <c r="S7821" s="178"/>
    </row>
    <row r="7822" spans="18:19">
      <c r="R7822" s="178"/>
      <c r="S7822" s="178"/>
    </row>
    <row r="7823" spans="18:19">
      <c r="R7823" s="178"/>
      <c r="S7823" s="178"/>
    </row>
    <row r="7824" spans="18:19">
      <c r="R7824" s="178"/>
      <c r="S7824" s="178"/>
    </row>
    <row r="7825" spans="18:19">
      <c r="R7825" s="178"/>
      <c r="S7825" s="178"/>
    </row>
    <row r="7826" spans="18:19">
      <c r="R7826" s="178"/>
      <c r="S7826" s="178"/>
    </row>
    <row r="7827" spans="18:19">
      <c r="R7827" s="178"/>
      <c r="S7827" s="178"/>
    </row>
    <row r="7828" spans="18:19">
      <c r="R7828" s="178"/>
      <c r="S7828" s="178"/>
    </row>
    <row r="7829" spans="18:19">
      <c r="R7829" s="178"/>
      <c r="S7829" s="178"/>
    </row>
    <row r="7830" spans="18:19">
      <c r="R7830" s="178"/>
      <c r="S7830" s="178"/>
    </row>
    <row r="7831" spans="18:19">
      <c r="R7831" s="178"/>
      <c r="S7831" s="178"/>
    </row>
    <row r="7832" spans="18:19">
      <c r="R7832" s="178"/>
      <c r="S7832" s="178"/>
    </row>
    <row r="7833" spans="18:19">
      <c r="R7833" s="178"/>
      <c r="S7833" s="178"/>
    </row>
    <row r="7834" spans="18:19">
      <c r="R7834" s="178"/>
      <c r="S7834" s="178"/>
    </row>
    <row r="7835" spans="18:19">
      <c r="R7835" s="178"/>
      <c r="S7835" s="178"/>
    </row>
    <row r="7836" spans="18:19">
      <c r="R7836" s="178"/>
      <c r="S7836" s="178"/>
    </row>
    <row r="7837" spans="18:19">
      <c r="R7837" s="178"/>
      <c r="S7837" s="178"/>
    </row>
    <row r="7838" spans="18:19">
      <c r="R7838" s="178"/>
      <c r="S7838" s="178"/>
    </row>
    <row r="7839" spans="18:19">
      <c r="R7839" s="178"/>
      <c r="S7839" s="178"/>
    </row>
    <row r="7840" spans="18:19">
      <c r="R7840" s="178"/>
      <c r="S7840" s="178"/>
    </row>
    <row r="7841" spans="18:19">
      <c r="R7841" s="178"/>
      <c r="S7841" s="178"/>
    </row>
    <row r="7842" spans="18:19">
      <c r="R7842" s="178"/>
      <c r="S7842" s="178"/>
    </row>
    <row r="7843" spans="18:19">
      <c r="R7843" s="178"/>
      <c r="S7843" s="178"/>
    </row>
    <row r="7844" spans="18:19">
      <c r="R7844" s="178"/>
      <c r="S7844" s="178"/>
    </row>
    <row r="7845" spans="18:19">
      <c r="R7845" s="178"/>
      <c r="S7845" s="178"/>
    </row>
    <row r="7846" spans="18:19">
      <c r="R7846" s="178"/>
      <c r="S7846" s="178"/>
    </row>
    <row r="7847" spans="18:19">
      <c r="R7847" s="178"/>
      <c r="S7847" s="178"/>
    </row>
    <row r="7848" spans="18:19">
      <c r="R7848" s="178"/>
      <c r="S7848" s="178"/>
    </row>
    <row r="7849" spans="18:19">
      <c r="R7849" s="178"/>
      <c r="S7849" s="178"/>
    </row>
    <row r="7850" spans="18:19">
      <c r="R7850" s="178"/>
      <c r="S7850" s="178"/>
    </row>
    <row r="7851" spans="18:19">
      <c r="R7851" s="178"/>
      <c r="S7851" s="178"/>
    </row>
    <row r="7852" spans="18:19">
      <c r="R7852" s="178"/>
      <c r="S7852" s="178"/>
    </row>
    <row r="7853" spans="18:19">
      <c r="R7853" s="178"/>
      <c r="S7853" s="178"/>
    </row>
    <row r="7854" spans="18:19">
      <c r="R7854" s="178"/>
      <c r="S7854" s="178"/>
    </row>
    <row r="7855" spans="18:19">
      <c r="R7855" s="178"/>
      <c r="S7855" s="178"/>
    </row>
    <row r="7856" spans="18:19">
      <c r="R7856" s="178"/>
      <c r="S7856" s="178"/>
    </row>
    <row r="7857" spans="18:19">
      <c r="R7857" s="178"/>
      <c r="S7857" s="178"/>
    </row>
    <row r="7858" spans="18:19">
      <c r="R7858" s="178"/>
      <c r="S7858" s="178"/>
    </row>
    <row r="7859" spans="18:19">
      <c r="R7859" s="178"/>
      <c r="S7859" s="178"/>
    </row>
    <row r="7860" spans="18:19">
      <c r="R7860" s="178"/>
      <c r="S7860" s="178"/>
    </row>
    <row r="7861" spans="18:19">
      <c r="R7861" s="178"/>
      <c r="S7861" s="178"/>
    </row>
    <row r="7862" spans="18:19">
      <c r="R7862" s="178"/>
      <c r="S7862" s="178"/>
    </row>
    <row r="7863" spans="18:19">
      <c r="R7863" s="178"/>
      <c r="S7863" s="178"/>
    </row>
    <row r="7864" spans="18:19">
      <c r="R7864" s="178"/>
      <c r="S7864" s="178"/>
    </row>
    <row r="7865" spans="18:19">
      <c r="R7865" s="178"/>
      <c r="S7865" s="178"/>
    </row>
    <row r="7866" spans="18:19">
      <c r="R7866" s="178"/>
      <c r="S7866" s="178"/>
    </row>
    <row r="7867" spans="18:19">
      <c r="R7867" s="178"/>
      <c r="S7867" s="178"/>
    </row>
    <row r="7868" spans="18:19">
      <c r="R7868" s="178"/>
      <c r="S7868" s="178"/>
    </row>
    <row r="7869" spans="18:19">
      <c r="R7869" s="178"/>
      <c r="S7869" s="178"/>
    </row>
    <row r="7870" spans="18:19">
      <c r="R7870" s="178"/>
      <c r="S7870" s="178"/>
    </row>
    <row r="7871" spans="18:19">
      <c r="R7871" s="178"/>
      <c r="S7871" s="178"/>
    </row>
    <row r="7872" spans="18:19">
      <c r="R7872" s="178"/>
      <c r="S7872" s="178"/>
    </row>
    <row r="7873" spans="18:19">
      <c r="R7873" s="178"/>
      <c r="S7873" s="178"/>
    </row>
    <row r="7874" spans="18:19">
      <c r="R7874" s="178"/>
      <c r="S7874" s="178"/>
    </row>
    <row r="7875" spans="18:19">
      <c r="R7875" s="178"/>
      <c r="S7875" s="178"/>
    </row>
    <row r="7876" spans="18:19">
      <c r="R7876" s="178"/>
      <c r="S7876" s="178"/>
    </row>
    <row r="7877" spans="18:19">
      <c r="R7877" s="178"/>
      <c r="S7877" s="178"/>
    </row>
    <row r="7878" spans="18:19">
      <c r="R7878" s="178"/>
      <c r="S7878" s="178"/>
    </row>
    <row r="7879" spans="18:19">
      <c r="R7879" s="178"/>
      <c r="S7879" s="178"/>
    </row>
    <row r="7880" spans="18:19">
      <c r="R7880" s="178"/>
      <c r="S7880" s="178"/>
    </row>
    <row r="7881" spans="18:19">
      <c r="R7881" s="178"/>
      <c r="S7881" s="178"/>
    </row>
    <row r="7882" spans="18:19">
      <c r="R7882" s="178"/>
      <c r="S7882" s="178"/>
    </row>
    <row r="7883" spans="18:19">
      <c r="R7883" s="178"/>
      <c r="S7883" s="178"/>
    </row>
    <row r="7884" spans="18:19">
      <c r="R7884" s="178"/>
      <c r="S7884" s="178"/>
    </row>
    <row r="7885" spans="18:19">
      <c r="R7885" s="178"/>
      <c r="S7885" s="178"/>
    </row>
    <row r="7886" spans="18:19">
      <c r="R7886" s="178"/>
      <c r="S7886" s="178"/>
    </row>
    <row r="7887" spans="18:19">
      <c r="R7887" s="178"/>
      <c r="S7887" s="178"/>
    </row>
    <row r="7888" spans="18:19">
      <c r="R7888" s="178"/>
      <c r="S7888" s="178"/>
    </row>
    <row r="7889" spans="18:19">
      <c r="R7889" s="178"/>
      <c r="S7889" s="178"/>
    </row>
    <row r="7890" spans="18:19">
      <c r="R7890" s="178"/>
      <c r="S7890" s="178"/>
    </row>
    <row r="7891" spans="18:19">
      <c r="R7891" s="178"/>
      <c r="S7891" s="178"/>
    </row>
    <row r="7892" spans="18:19">
      <c r="R7892" s="178"/>
      <c r="S7892" s="178"/>
    </row>
    <row r="7893" spans="18:19">
      <c r="R7893" s="178"/>
      <c r="S7893" s="178"/>
    </row>
    <row r="7894" spans="18:19">
      <c r="R7894" s="178"/>
      <c r="S7894" s="178"/>
    </row>
    <row r="7895" spans="18:19">
      <c r="R7895" s="178"/>
      <c r="S7895" s="178"/>
    </row>
    <row r="7896" spans="18:19">
      <c r="R7896" s="178"/>
      <c r="S7896" s="178"/>
    </row>
    <row r="7897" spans="18:19">
      <c r="R7897" s="178"/>
      <c r="S7897" s="178"/>
    </row>
    <row r="7898" spans="18:19">
      <c r="R7898" s="178"/>
      <c r="S7898" s="178"/>
    </row>
    <row r="7899" spans="18:19">
      <c r="R7899" s="178"/>
      <c r="S7899" s="178"/>
    </row>
    <row r="7900" spans="18:19">
      <c r="R7900" s="178"/>
      <c r="S7900" s="178"/>
    </row>
    <row r="7901" spans="18:19">
      <c r="R7901" s="178"/>
      <c r="S7901" s="178"/>
    </row>
    <row r="7902" spans="18:19">
      <c r="R7902" s="178"/>
      <c r="S7902" s="178"/>
    </row>
    <row r="7903" spans="18:19">
      <c r="R7903" s="178"/>
      <c r="S7903" s="178"/>
    </row>
    <row r="7904" spans="18:19">
      <c r="R7904" s="178"/>
      <c r="S7904" s="178"/>
    </row>
    <row r="7905" spans="18:19">
      <c r="R7905" s="178"/>
      <c r="S7905" s="178"/>
    </row>
    <row r="7906" spans="18:19">
      <c r="R7906" s="178"/>
      <c r="S7906" s="178"/>
    </row>
    <row r="7907" spans="18:19">
      <c r="R7907" s="178"/>
      <c r="S7907" s="178"/>
    </row>
    <row r="7908" spans="18:19">
      <c r="R7908" s="178"/>
      <c r="S7908" s="178"/>
    </row>
    <row r="7909" spans="18:19">
      <c r="R7909" s="178"/>
      <c r="S7909" s="178"/>
    </row>
    <row r="7910" spans="18:19">
      <c r="R7910" s="178"/>
      <c r="S7910" s="178"/>
    </row>
    <row r="7911" spans="18:19">
      <c r="R7911" s="178"/>
      <c r="S7911" s="178"/>
    </row>
    <row r="7912" spans="18:19">
      <c r="R7912" s="178"/>
      <c r="S7912" s="178"/>
    </row>
    <row r="7913" spans="18:19">
      <c r="R7913" s="178"/>
      <c r="S7913" s="178"/>
    </row>
    <row r="7914" spans="18:19">
      <c r="R7914" s="178"/>
      <c r="S7914" s="178"/>
    </row>
    <row r="7915" spans="18:19">
      <c r="R7915" s="178"/>
      <c r="S7915" s="178"/>
    </row>
    <row r="7916" spans="18:19">
      <c r="R7916" s="178"/>
      <c r="S7916" s="178"/>
    </row>
    <row r="7917" spans="18:19">
      <c r="R7917" s="178"/>
      <c r="S7917" s="178"/>
    </row>
    <row r="7918" spans="18:19">
      <c r="R7918" s="178"/>
      <c r="S7918" s="178"/>
    </row>
    <row r="7919" spans="18:19">
      <c r="R7919" s="178"/>
      <c r="S7919" s="178"/>
    </row>
    <row r="7920" spans="18:19">
      <c r="R7920" s="178"/>
      <c r="S7920" s="178"/>
    </row>
    <row r="7921" spans="18:19">
      <c r="R7921" s="178"/>
      <c r="S7921" s="178"/>
    </row>
    <row r="7922" spans="18:19">
      <c r="R7922" s="178"/>
      <c r="S7922" s="178"/>
    </row>
    <row r="7923" spans="18:19">
      <c r="R7923" s="178"/>
      <c r="S7923" s="178"/>
    </row>
    <row r="7924" spans="18:19">
      <c r="R7924" s="178"/>
      <c r="S7924" s="178"/>
    </row>
    <row r="7925" spans="18:19">
      <c r="R7925" s="178"/>
      <c r="S7925" s="178"/>
    </row>
    <row r="7926" spans="18:19">
      <c r="R7926" s="178"/>
      <c r="S7926" s="178"/>
    </row>
    <row r="7927" spans="18:19">
      <c r="R7927" s="178"/>
      <c r="S7927" s="178"/>
    </row>
    <row r="7928" spans="18:19">
      <c r="R7928" s="178"/>
      <c r="S7928" s="178"/>
    </row>
    <row r="7929" spans="18:19">
      <c r="R7929" s="178"/>
      <c r="S7929" s="178"/>
    </row>
    <row r="7930" spans="18:19">
      <c r="R7930" s="178"/>
      <c r="S7930" s="178"/>
    </row>
    <row r="7931" spans="18:19">
      <c r="R7931" s="178"/>
      <c r="S7931" s="178"/>
    </row>
    <row r="7932" spans="18:19">
      <c r="R7932" s="178"/>
      <c r="S7932" s="178"/>
    </row>
    <row r="7933" spans="18:19">
      <c r="R7933" s="178"/>
      <c r="S7933" s="178"/>
    </row>
    <row r="7934" spans="18:19">
      <c r="R7934" s="178"/>
      <c r="S7934" s="178"/>
    </row>
    <row r="7935" spans="18:19">
      <c r="R7935" s="178"/>
      <c r="S7935" s="178"/>
    </row>
    <row r="7936" spans="18:19">
      <c r="R7936" s="178"/>
      <c r="S7936" s="178"/>
    </row>
    <row r="7937" spans="18:19">
      <c r="R7937" s="178"/>
      <c r="S7937" s="178"/>
    </row>
    <row r="7938" spans="18:19">
      <c r="R7938" s="178"/>
      <c r="S7938" s="178"/>
    </row>
    <row r="7939" spans="18:19">
      <c r="R7939" s="178"/>
      <c r="S7939" s="178"/>
    </row>
    <row r="7940" spans="18:19">
      <c r="R7940" s="178"/>
      <c r="S7940" s="178"/>
    </row>
    <row r="7941" spans="18:19">
      <c r="R7941" s="178"/>
      <c r="S7941" s="178"/>
    </row>
    <row r="7942" spans="18:19">
      <c r="R7942" s="178"/>
      <c r="S7942" s="178"/>
    </row>
    <row r="7943" spans="18:19">
      <c r="R7943" s="178"/>
      <c r="S7943" s="178"/>
    </row>
    <row r="7944" spans="18:19">
      <c r="R7944" s="178"/>
      <c r="S7944" s="178"/>
    </row>
    <row r="7945" spans="18:19">
      <c r="R7945" s="178"/>
      <c r="S7945" s="178"/>
    </row>
    <row r="7946" spans="18:19">
      <c r="R7946" s="178"/>
      <c r="S7946" s="178"/>
    </row>
    <row r="7947" spans="18:19">
      <c r="R7947" s="178"/>
      <c r="S7947" s="178"/>
    </row>
    <row r="7948" spans="18:19">
      <c r="R7948" s="178"/>
      <c r="S7948" s="178"/>
    </row>
    <row r="7949" spans="18:19">
      <c r="R7949" s="178"/>
      <c r="S7949" s="178"/>
    </row>
    <row r="7950" spans="18:19">
      <c r="R7950" s="178"/>
      <c r="S7950" s="178"/>
    </row>
    <row r="7951" spans="18:19">
      <c r="R7951" s="178"/>
      <c r="S7951" s="178"/>
    </row>
    <row r="7952" spans="18:19">
      <c r="R7952" s="178"/>
      <c r="S7952" s="178"/>
    </row>
    <row r="7953" spans="18:19">
      <c r="R7953" s="178"/>
      <c r="S7953" s="178"/>
    </row>
    <row r="7954" spans="18:19">
      <c r="R7954" s="178"/>
      <c r="S7954" s="178"/>
    </row>
    <row r="7955" spans="18:19">
      <c r="R7955" s="178"/>
      <c r="S7955" s="178"/>
    </row>
    <row r="7956" spans="18:19">
      <c r="R7956" s="178"/>
      <c r="S7956" s="178"/>
    </row>
    <row r="7957" spans="18:19">
      <c r="R7957" s="178"/>
      <c r="S7957" s="178"/>
    </row>
    <row r="7958" spans="18:19">
      <c r="R7958" s="178"/>
      <c r="S7958" s="178"/>
    </row>
    <row r="7959" spans="18:19">
      <c r="R7959" s="178"/>
      <c r="S7959" s="178"/>
    </row>
    <row r="7960" spans="18:19">
      <c r="R7960" s="178"/>
      <c r="S7960" s="178"/>
    </row>
    <row r="7961" spans="18:19">
      <c r="R7961" s="178"/>
      <c r="S7961" s="178"/>
    </row>
    <row r="7962" spans="18:19">
      <c r="R7962" s="178"/>
      <c r="S7962" s="178"/>
    </row>
    <row r="7963" spans="18:19">
      <c r="R7963" s="178"/>
      <c r="S7963" s="178"/>
    </row>
    <row r="7964" spans="18:19">
      <c r="R7964" s="178"/>
      <c r="S7964" s="178"/>
    </row>
    <row r="7965" spans="18:19">
      <c r="R7965" s="178"/>
      <c r="S7965" s="178"/>
    </row>
    <row r="7966" spans="18:19">
      <c r="R7966" s="178"/>
      <c r="S7966" s="178"/>
    </row>
    <row r="7967" spans="18:19">
      <c r="R7967" s="178"/>
      <c r="S7967" s="178"/>
    </row>
    <row r="7968" spans="18:19">
      <c r="R7968" s="178"/>
      <c r="S7968" s="178"/>
    </row>
    <row r="7969" spans="18:19">
      <c r="R7969" s="178"/>
      <c r="S7969" s="178"/>
    </row>
    <row r="7970" spans="18:19">
      <c r="R7970" s="178"/>
      <c r="S7970" s="178"/>
    </row>
    <row r="7971" spans="18:19">
      <c r="R7971" s="178"/>
      <c r="S7971" s="178"/>
    </row>
    <row r="7972" spans="18:19">
      <c r="R7972" s="178"/>
      <c r="S7972" s="178"/>
    </row>
    <row r="7973" spans="18:19">
      <c r="R7973" s="178"/>
      <c r="S7973" s="178"/>
    </row>
    <row r="7974" spans="18:19">
      <c r="R7974" s="178"/>
      <c r="S7974" s="178"/>
    </row>
    <row r="7975" spans="18:19">
      <c r="R7975" s="178"/>
      <c r="S7975" s="178"/>
    </row>
    <row r="7976" spans="18:19">
      <c r="R7976" s="178"/>
      <c r="S7976" s="178"/>
    </row>
    <row r="7977" spans="18:19">
      <c r="R7977" s="178"/>
      <c r="S7977" s="178"/>
    </row>
    <row r="7978" spans="18:19">
      <c r="R7978" s="178"/>
      <c r="S7978" s="178"/>
    </row>
    <row r="7979" spans="18:19">
      <c r="R7979" s="178"/>
      <c r="S7979" s="178"/>
    </row>
    <row r="7980" spans="18:19">
      <c r="R7980" s="178"/>
      <c r="S7980" s="178"/>
    </row>
    <row r="7981" spans="18:19">
      <c r="R7981" s="178"/>
      <c r="S7981" s="178"/>
    </row>
    <row r="7982" spans="18:19">
      <c r="R7982" s="178"/>
      <c r="S7982" s="178"/>
    </row>
    <row r="7983" spans="18:19">
      <c r="R7983" s="178"/>
      <c r="S7983" s="178"/>
    </row>
    <row r="7984" spans="18:19">
      <c r="R7984" s="178"/>
      <c r="S7984" s="178"/>
    </row>
    <row r="7985" spans="18:19">
      <c r="R7985" s="178"/>
      <c r="S7985" s="178"/>
    </row>
    <row r="7986" spans="18:19">
      <c r="R7986" s="178"/>
      <c r="S7986" s="178"/>
    </row>
    <row r="7987" spans="18:19">
      <c r="R7987" s="178"/>
      <c r="S7987" s="178"/>
    </row>
    <row r="7988" spans="18:19">
      <c r="R7988" s="178"/>
      <c r="S7988" s="178"/>
    </row>
    <row r="7989" spans="18:19">
      <c r="R7989" s="178"/>
      <c r="S7989" s="178"/>
    </row>
    <row r="7990" spans="18:19">
      <c r="R7990" s="178"/>
      <c r="S7990" s="178"/>
    </row>
    <row r="7991" spans="18:19">
      <c r="R7991" s="178"/>
      <c r="S7991" s="178"/>
    </row>
    <row r="7992" spans="18:19">
      <c r="R7992" s="178"/>
      <c r="S7992" s="178"/>
    </row>
    <row r="7993" spans="18:19">
      <c r="R7993" s="178"/>
      <c r="S7993" s="178"/>
    </row>
    <row r="7994" spans="18:19">
      <c r="R7994" s="178"/>
      <c r="S7994" s="178"/>
    </row>
    <row r="7995" spans="18:19">
      <c r="R7995" s="178"/>
      <c r="S7995" s="178"/>
    </row>
    <row r="7996" spans="18:19">
      <c r="R7996" s="178"/>
      <c r="S7996" s="178"/>
    </row>
    <row r="7997" spans="18:19">
      <c r="R7997" s="178"/>
      <c r="S7997" s="178"/>
    </row>
    <row r="7998" spans="18:19">
      <c r="R7998" s="178"/>
      <c r="S7998" s="178"/>
    </row>
    <row r="7999" spans="18:19">
      <c r="R7999" s="178"/>
      <c r="S7999" s="178"/>
    </row>
    <row r="8000" spans="18:19">
      <c r="R8000" s="178"/>
      <c r="S8000" s="178"/>
    </row>
    <row r="8001" spans="18:19">
      <c r="R8001" s="178"/>
      <c r="S8001" s="178"/>
    </row>
    <row r="8002" spans="18:19">
      <c r="R8002" s="178"/>
      <c r="S8002" s="178"/>
    </row>
    <row r="8003" spans="18:19">
      <c r="R8003" s="178"/>
      <c r="S8003" s="178"/>
    </row>
    <row r="8004" spans="18:19">
      <c r="R8004" s="178"/>
      <c r="S8004" s="178"/>
    </row>
    <row r="8005" spans="18:19">
      <c r="R8005" s="178"/>
      <c r="S8005" s="178"/>
    </row>
    <row r="8006" spans="18:19">
      <c r="R8006" s="178"/>
      <c r="S8006" s="178"/>
    </row>
    <row r="8007" spans="18:19">
      <c r="R8007" s="178"/>
      <c r="S8007" s="178"/>
    </row>
    <row r="8008" spans="18:19">
      <c r="R8008" s="178"/>
      <c r="S8008" s="178"/>
    </row>
    <row r="8009" spans="18:19">
      <c r="R8009" s="178"/>
      <c r="S8009" s="178"/>
    </row>
    <row r="8010" spans="18:19">
      <c r="R8010" s="178"/>
      <c r="S8010" s="178"/>
    </row>
    <row r="8011" spans="18:19">
      <c r="R8011" s="178"/>
      <c r="S8011" s="178"/>
    </row>
    <row r="8012" spans="18:19">
      <c r="R8012" s="178"/>
      <c r="S8012" s="178"/>
    </row>
    <row r="8013" spans="18:19">
      <c r="R8013" s="178"/>
      <c r="S8013" s="178"/>
    </row>
    <row r="8014" spans="18:19">
      <c r="R8014" s="178"/>
      <c r="S8014" s="178"/>
    </row>
    <row r="8015" spans="18:19">
      <c r="R8015" s="178"/>
      <c r="S8015" s="178"/>
    </row>
    <row r="8016" spans="18:19">
      <c r="R8016" s="178"/>
      <c r="S8016" s="178"/>
    </row>
    <row r="8017" spans="18:19">
      <c r="R8017" s="178"/>
      <c r="S8017" s="178"/>
    </row>
    <row r="8018" spans="18:19">
      <c r="R8018" s="178"/>
      <c r="S8018" s="178"/>
    </row>
    <row r="8019" spans="18:19">
      <c r="R8019" s="178"/>
      <c r="S8019" s="178"/>
    </row>
    <row r="8020" spans="18:19">
      <c r="R8020" s="178"/>
      <c r="S8020" s="178"/>
    </row>
    <row r="8021" spans="18:19">
      <c r="R8021" s="178"/>
      <c r="S8021" s="178"/>
    </row>
    <row r="8022" spans="18:19">
      <c r="R8022" s="178"/>
      <c r="S8022" s="178"/>
    </row>
    <row r="8023" spans="18:19">
      <c r="R8023" s="178"/>
      <c r="S8023" s="178"/>
    </row>
    <row r="8024" spans="18:19">
      <c r="R8024" s="178"/>
      <c r="S8024" s="178"/>
    </row>
    <row r="8025" spans="18:19">
      <c r="R8025" s="178"/>
      <c r="S8025" s="178"/>
    </row>
    <row r="8026" spans="18:19">
      <c r="R8026" s="178"/>
      <c r="S8026" s="178"/>
    </row>
    <row r="8027" spans="18:19">
      <c r="R8027" s="178"/>
      <c r="S8027" s="178"/>
    </row>
    <row r="8028" spans="18:19">
      <c r="R8028" s="178"/>
      <c r="S8028" s="178"/>
    </row>
    <row r="8029" spans="18:19">
      <c r="R8029" s="178"/>
      <c r="S8029" s="178"/>
    </row>
    <row r="8030" spans="18:19">
      <c r="R8030" s="178"/>
      <c r="S8030" s="178"/>
    </row>
    <row r="8031" spans="18:19">
      <c r="R8031" s="178"/>
      <c r="S8031" s="178"/>
    </row>
    <row r="8032" spans="18:19">
      <c r="R8032" s="178"/>
      <c r="S8032" s="178"/>
    </row>
    <row r="8033" spans="18:19">
      <c r="R8033" s="178"/>
      <c r="S8033" s="178"/>
    </row>
    <row r="8034" spans="18:19">
      <c r="R8034" s="178"/>
      <c r="S8034" s="178"/>
    </row>
    <row r="8035" spans="18:19">
      <c r="R8035" s="178"/>
      <c r="S8035" s="178"/>
    </row>
    <row r="8036" spans="18:19">
      <c r="R8036" s="178"/>
      <c r="S8036" s="178"/>
    </row>
    <row r="8037" spans="18:19">
      <c r="R8037" s="178"/>
      <c r="S8037" s="178"/>
    </row>
    <row r="8038" spans="18:19">
      <c r="R8038" s="178"/>
      <c r="S8038" s="178"/>
    </row>
    <row r="8039" spans="18:19">
      <c r="R8039" s="178"/>
      <c r="S8039" s="178"/>
    </row>
    <row r="8040" spans="18:19">
      <c r="R8040" s="178"/>
      <c r="S8040" s="178"/>
    </row>
    <row r="8041" spans="18:19">
      <c r="R8041" s="178"/>
      <c r="S8041" s="178"/>
    </row>
    <row r="8042" spans="18:19">
      <c r="R8042" s="178"/>
      <c r="S8042" s="178"/>
    </row>
    <row r="8043" spans="18:19">
      <c r="R8043" s="178"/>
      <c r="S8043" s="178"/>
    </row>
    <row r="8044" spans="18:19">
      <c r="R8044" s="178"/>
      <c r="S8044" s="178"/>
    </row>
    <row r="8045" spans="18:19">
      <c r="R8045" s="178"/>
      <c r="S8045" s="178"/>
    </row>
    <row r="8046" spans="18:19">
      <c r="R8046" s="178"/>
      <c r="S8046" s="178"/>
    </row>
    <row r="8047" spans="18:19">
      <c r="R8047" s="178"/>
      <c r="S8047" s="178"/>
    </row>
    <row r="8048" spans="18:19">
      <c r="R8048" s="178"/>
      <c r="S8048" s="178"/>
    </row>
    <row r="8049" spans="18:19">
      <c r="R8049" s="178"/>
      <c r="S8049" s="178"/>
    </row>
    <row r="8050" spans="18:19">
      <c r="R8050" s="178"/>
      <c r="S8050" s="178"/>
    </row>
    <row r="8051" spans="18:19">
      <c r="R8051" s="178"/>
      <c r="S8051" s="178"/>
    </row>
    <row r="8052" spans="18:19">
      <c r="R8052" s="178"/>
      <c r="S8052" s="178"/>
    </row>
    <row r="8053" spans="18:19">
      <c r="R8053" s="178"/>
      <c r="S8053" s="178"/>
    </row>
    <row r="8054" spans="18:19">
      <c r="R8054" s="178"/>
      <c r="S8054" s="178"/>
    </row>
    <row r="8055" spans="18:19">
      <c r="R8055" s="178"/>
      <c r="S8055" s="178"/>
    </row>
    <row r="8056" spans="18:19">
      <c r="R8056" s="178"/>
      <c r="S8056" s="178"/>
    </row>
    <row r="8057" spans="18:19">
      <c r="R8057" s="178"/>
      <c r="S8057" s="178"/>
    </row>
    <row r="8058" spans="18:19">
      <c r="R8058" s="178"/>
      <c r="S8058" s="178"/>
    </row>
    <row r="8059" spans="18:19">
      <c r="R8059" s="178"/>
      <c r="S8059" s="178"/>
    </row>
    <row r="8060" spans="18:19">
      <c r="R8060" s="178"/>
      <c r="S8060" s="178"/>
    </row>
    <row r="8061" spans="18:19">
      <c r="R8061" s="178"/>
      <c r="S8061" s="178"/>
    </row>
    <row r="8062" spans="18:19">
      <c r="R8062" s="178"/>
      <c r="S8062" s="178"/>
    </row>
    <row r="8063" spans="18:19">
      <c r="R8063" s="178"/>
      <c r="S8063" s="178"/>
    </row>
    <row r="8064" spans="18:19">
      <c r="R8064" s="178"/>
      <c r="S8064" s="178"/>
    </row>
    <row r="8065" spans="18:19">
      <c r="R8065" s="178"/>
      <c r="S8065" s="178"/>
    </row>
    <row r="8066" spans="18:19">
      <c r="R8066" s="178"/>
      <c r="S8066" s="178"/>
    </row>
    <row r="8067" spans="18:19">
      <c r="R8067" s="178"/>
      <c r="S8067" s="178"/>
    </row>
    <row r="8068" spans="18:19">
      <c r="R8068" s="178"/>
      <c r="S8068" s="178"/>
    </row>
    <row r="8069" spans="18:19">
      <c r="R8069" s="178"/>
      <c r="S8069" s="178"/>
    </row>
    <row r="8070" spans="18:19">
      <c r="R8070" s="178"/>
      <c r="S8070" s="178"/>
    </row>
    <row r="8071" spans="18:19">
      <c r="R8071" s="178"/>
      <c r="S8071" s="178"/>
    </row>
    <row r="8072" spans="18:19">
      <c r="R8072" s="178"/>
      <c r="S8072" s="178"/>
    </row>
    <row r="8073" spans="18:19">
      <c r="R8073" s="178"/>
      <c r="S8073" s="178"/>
    </row>
    <row r="8074" spans="18:19">
      <c r="R8074" s="178"/>
      <c r="S8074" s="178"/>
    </row>
    <row r="8075" spans="18:19">
      <c r="R8075" s="178"/>
      <c r="S8075" s="178"/>
    </row>
    <row r="8076" spans="18:19">
      <c r="R8076" s="178"/>
      <c r="S8076" s="178"/>
    </row>
    <row r="8077" spans="18:19">
      <c r="R8077" s="178"/>
      <c r="S8077" s="178"/>
    </row>
    <row r="8078" spans="18:19">
      <c r="R8078" s="178"/>
      <c r="S8078" s="178"/>
    </row>
    <row r="8079" spans="18:19">
      <c r="R8079" s="178"/>
      <c r="S8079" s="178"/>
    </row>
    <row r="8080" spans="18:19">
      <c r="R8080" s="178"/>
      <c r="S8080" s="178"/>
    </row>
    <row r="8081" spans="18:19">
      <c r="R8081" s="178"/>
      <c r="S8081" s="178"/>
    </row>
    <row r="8082" spans="18:19">
      <c r="R8082" s="178"/>
      <c r="S8082" s="178"/>
    </row>
    <row r="8083" spans="18:19">
      <c r="R8083" s="178"/>
      <c r="S8083" s="178"/>
    </row>
    <row r="8084" spans="18:19">
      <c r="R8084" s="178"/>
      <c r="S8084" s="178"/>
    </row>
    <row r="8085" spans="18:19">
      <c r="R8085" s="178"/>
      <c r="S8085" s="178"/>
    </row>
    <row r="8086" spans="18:19">
      <c r="R8086" s="178"/>
      <c r="S8086" s="178"/>
    </row>
    <row r="8087" spans="18:19">
      <c r="R8087" s="178"/>
      <c r="S8087" s="178"/>
    </row>
    <row r="8088" spans="18:19">
      <c r="R8088" s="178"/>
      <c r="S8088" s="178"/>
    </row>
    <row r="8089" spans="18:19">
      <c r="R8089" s="178"/>
      <c r="S8089" s="178"/>
    </row>
    <row r="8090" spans="18:19">
      <c r="R8090" s="178"/>
      <c r="S8090" s="178"/>
    </row>
    <row r="8091" spans="18:19">
      <c r="R8091" s="178"/>
      <c r="S8091" s="178"/>
    </row>
    <row r="8092" spans="18:19">
      <c r="R8092" s="178"/>
      <c r="S8092" s="178"/>
    </row>
    <row r="8093" spans="18:19">
      <c r="R8093" s="178"/>
      <c r="S8093" s="178"/>
    </row>
    <row r="8094" spans="18:19">
      <c r="R8094" s="178"/>
      <c r="S8094" s="178"/>
    </row>
    <row r="8095" spans="18:19">
      <c r="R8095" s="178"/>
      <c r="S8095" s="178"/>
    </row>
    <row r="8096" spans="18:19">
      <c r="R8096" s="178"/>
      <c r="S8096" s="178"/>
    </row>
    <row r="8097" spans="18:19">
      <c r="R8097" s="178"/>
      <c r="S8097" s="178"/>
    </row>
    <row r="8098" spans="18:19">
      <c r="R8098" s="178"/>
      <c r="S8098" s="178"/>
    </row>
    <row r="8099" spans="18:19">
      <c r="R8099" s="178"/>
      <c r="S8099" s="178"/>
    </row>
    <row r="8100" spans="18:19">
      <c r="R8100" s="178"/>
      <c r="S8100" s="178"/>
    </row>
    <row r="8101" spans="18:19">
      <c r="R8101" s="178"/>
      <c r="S8101" s="178"/>
    </row>
    <row r="8102" spans="18:19">
      <c r="R8102" s="178"/>
      <c r="S8102" s="178"/>
    </row>
    <row r="8103" spans="18:19">
      <c r="R8103" s="178"/>
      <c r="S8103" s="178"/>
    </row>
    <row r="8104" spans="18:19">
      <c r="R8104" s="178"/>
      <c r="S8104" s="178"/>
    </row>
    <row r="8105" spans="18:19">
      <c r="R8105" s="178"/>
      <c r="S8105" s="178"/>
    </row>
    <row r="8106" spans="18:19">
      <c r="R8106" s="178"/>
      <c r="S8106" s="178"/>
    </row>
    <row r="8107" spans="18:19">
      <c r="R8107" s="178"/>
      <c r="S8107" s="178"/>
    </row>
    <row r="8108" spans="18:19">
      <c r="R8108" s="178"/>
      <c r="S8108" s="178"/>
    </row>
    <row r="8109" spans="18:19">
      <c r="R8109" s="178"/>
      <c r="S8109" s="178"/>
    </row>
    <row r="8110" spans="18:19">
      <c r="R8110" s="178"/>
      <c r="S8110" s="178"/>
    </row>
    <row r="8111" spans="18:19">
      <c r="R8111" s="178"/>
      <c r="S8111" s="178"/>
    </row>
    <row r="8112" spans="18:19">
      <c r="R8112" s="178"/>
      <c r="S8112" s="178"/>
    </row>
    <row r="8113" spans="18:19">
      <c r="R8113" s="178"/>
      <c r="S8113" s="178"/>
    </row>
    <row r="8114" spans="18:19">
      <c r="R8114" s="178"/>
      <c r="S8114" s="178"/>
    </row>
    <row r="8115" spans="18:19">
      <c r="R8115" s="178"/>
      <c r="S8115" s="178"/>
    </row>
    <row r="8116" spans="18:19">
      <c r="R8116" s="178"/>
      <c r="S8116" s="178"/>
    </row>
    <row r="8117" spans="18:19">
      <c r="R8117" s="178"/>
      <c r="S8117" s="178"/>
    </row>
    <row r="8118" spans="18:19">
      <c r="R8118" s="178"/>
      <c r="S8118" s="178"/>
    </row>
    <row r="8119" spans="18:19">
      <c r="R8119" s="178"/>
      <c r="S8119" s="178"/>
    </row>
    <row r="8120" spans="18:19">
      <c r="R8120" s="178"/>
      <c r="S8120" s="178"/>
    </row>
    <row r="8121" spans="18:19">
      <c r="R8121" s="178"/>
      <c r="S8121" s="178"/>
    </row>
    <row r="8122" spans="18:19">
      <c r="R8122" s="178"/>
      <c r="S8122" s="178"/>
    </row>
    <row r="8123" spans="18:19">
      <c r="R8123" s="178"/>
      <c r="S8123" s="178"/>
    </row>
    <row r="8124" spans="18:19">
      <c r="R8124" s="178"/>
      <c r="S8124" s="178"/>
    </row>
    <row r="8125" spans="18:19">
      <c r="R8125" s="178"/>
      <c r="S8125" s="178"/>
    </row>
    <row r="8126" spans="18:19">
      <c r="R8126" s="178"/>
      <c r="S8126" s="178"/>
    </row>
    <row r="8127" spans="18:19">
      <c r="R8127" s="178"/>
      <c r="S8127" s="178"/>
    </row>
    <row r="8128" spans="18:19">
      <c r="R8128" s="178"/>
      <c r="S8128" s="178"/>
    </row>
    <row r="8129" spans="18:19">
      <c r="R8129" s="178"/>
      <c r="S8129" s="178"/>
    </row>
    <row r="8130" spans="18:19">
      <c r="R8130" s="178"/>
      <c r="S8130" s="178"/>
    </row>
    <row r="8131" spans="18:19">
      <c r="R8131" s="178"/>
      <c r="S8131" s="178"/>
    </row>
    <row r="8132" spans="18:19">
      <c r="R8132" s="178"/>
      <c r="S8132" s="178"/>
    </row>
    <row r="8133" spans="18:19">
      <c r="R8133" s="178"/>
      <c r="S8133" s="178"/>
    </row>
    <row r="8134" spans="18:19">
      <c r="R8134" s="178"/>
      <c r="S8134" s="178"/>
    </row>
    <row r="8135" spans="18:19">
      <c r="R8135" s="178"/>
      <c r="S8135" s="178"/>
    </row>
    <row r="8136" spans="18:19">
      <c r="R8136" s="178"/>
      <c r="S8136" s="178"/>
    </row>
    <row r="8137" spans="18:19">
      <c r="R8137" s="178"/>
      <c r="S8137" s="178"/>
    </row>
    <row r="8138" spans="18:19">
      <c r="R8138" s="178"/>
      <c r="S8138" s="178"/>
    </row>
    <row r="8139" spans="18:19">
      <c r="R8139" s="178"/>
      <c r="S8139" s="178"/>
    </row>
    <row r="8140" spans="18:19">
      <c r="R8140" s="178"/>
      <c r="S8140" s="178"/>
    </row>
    <row r="8141" spans="18:19">
      <c r="R8141" s="178"/>
      <c r="S8141" s="178"/>
    </row>
    <row r="8142" spans="18:19">
      <c r="R8142" s="178"/>
      <c r="S8142" s="178"/>
    </row>
    <row r="8143" spans="18:19">
      <c r="R8143" s="178"/>
      <c r="S8143" s="178"/>
    </row>
    <row r="8144" spans="18:19">
      <c r="R8144" s="178"/>
      <c r="S8144" s="178"/>
    </row>
    <row r="8145" spans="18:19">
      <c r="R8145" s="178"/>
      <c r="S8145" s="178"/>
    </row>
    <row r="8146" spans="18:19">
      <c r="R8146" s="178"/>
      <c r="S8146" s="178"/>
    </row>
    <row r="8147" spans="18:19">
      <c r="R8147" s="178"/>
      <c r="S8147" s="178"/>
    </row>
    <row r="8148" spans="18:19">
      <c r="R8148" s="178"/>
      <c r="S8148" s="178"/>
    </row>
    <row r="8149" spans="18:19">
      <c r="R8149" s="178"/>
      <c r="S8149" s="178"/>
    </row>
    <row r="8150" spans="18:19">
      <c r="R8150" s="178"/>
      <c r="S8150" s="178"/>
    </row>
    <row r="8151" spans="18:19">
      <c r="R8151" s="178"/>
      <c r="S8151" s="178"/>
    </row>
    <row r="8152" spans="18:19">
      <c r="R8152" s="178"/>
      <c r="S8152" s="178"/>
    </row>
    <row r="8153" spans="18:19">
      <c r="R8153" s="178"/>
      <c r="S8153" s="178"/>
    </row>
    <row r="8154" spans="18:19">
      <c r="R8154" s="178"/>
      <c r="S8154" s="178"/>
    </row>
    <row r="8155" spans="18:19">
      <c r="R8155" s="178"/>
      <c r="S8155" s="178"/>
    </row>
    <row r="8156" spans="18:19">
      <c r="R8156" s="178"/>
      <c r="S8156" s="178"/>
    </row>
    <row r="8157" spans="18:19">
      <c r="R8157" s="178"/>
      <c r="S8157" s="178"/>
    </row>
    <row r="8158" spans="18:19">
      <c r="R8158" s="178"/>
      <c r="S8158" s="178"/>
    </row>
    <row r="8159" spans="18:19">
      <c r="R8159" s="178"/>
      <c r="S8159" s="178"/>
    </row>
    <row r="8160" spans="18:19">
      <c r="R8160" s="178"/>
      <c r="S8160" s="178"/>
    </row>
    <row r="8161" spans="18:19">
      <c r="R8161" s="178"/>
      <c r="S8161" s="178"/>
    </row>
    <row r="8162" spans="18:19">
      <c r="R8162" s="178"/>
      <c r="S8162" s="178"/>
    </row>
    <row r="8163" spans="18:19">
      <c r="R8163" s="178"/>
      <c r="S8163" s="178"/>
    </row>
    <row r="8164" spans="18:19">
      <c r="R8164" s="178"/>
      <c r="S8164" s="178"/>
    </row>
    <row r="8165" spans="18:19">
      <c r="R8165" s="178"/>
      <c r="S8165" s="178"/>
    </row>
    <row r="8166" spans="18:19">
      <c r="R8166" s="178"/>
      <c r="S8166" s="178"/>
    </row>
    <row r="8167" spans="18:19">
      <c r="R8167" s="178"/>
      <c r="S8167" s="178"/>
    </row>
    <row r="8168" spans="18:19">
      <c r="R8168" s="178"/>
      <c r="S8168" s="178"/>
    </row>
    <row r="8169" spans="18:19">
      <c r="R8169" s="178"/>
      <c r="S8169" s="178"/>
    </row>
    <row r="8170" spans="18:19">
      <c r="R8170" s="178"/>
      <c r="S8170" s="178"/>
    </row>
    <row r="8171" spans="18:19">
      <c r="R8171" s="178"/>
      <c r="S8171" s="178"/>
    </row>
    <row r="8172" spans="18:19">
      <c r="R8172" s="178"/>
      <c r="S8172" s="178"/>
    </row>
    <row r="8173" spans="18:19">
      <c r="R8173" s="178"/>
      <c r="S8173" s="178"/>
    </row>
    <row r="8174" spans="18:19">
      <c r="R8174" s="178"/>
      <c r="S8174" s="178"/>
    </row>
    <row r="8175" spans="18:19">
      <c r="R8175" s="178"/>
      <c r="S8175" s="178"/>
    </row>
    <row r="8176" spans="18:19">
      <c r="R8176" s="178"/>
      <c r="S8176" s="178"/>
    </row>
    <row r="8177" spans="18:19">
      <c r="R8177" s="178"/>
      <c r="S8177" s="178"/>
    </row>
    <row r="8178" spans="18:19">
      <c r="R8178" s="178"/>
      <c r="S8178" s="178"/>
    </row>
    <row r="8179" spans="18:19">
      <c r="R8179" s="178"/>
      <c r="S8179" s="178"/>
    </row>
    <row r="8180" spans="18:19">
      <c r="R8180" s="178"/>
      <c r="S8180" s="178"/>
    </row>
    <row r="8181" spans="18:19">
      <c r="R8181" s="178"/>
      <c r="S8181" s="178"/>
    </row>
    <row r="8182" spans="18:19">
      <c r="R8182" s="178"/>
      <c r="S8182" s="178"/>
    </row>
    <row r="8183" spans="18:19">
      <c r="R8183" s="178"/>
      <c r="S8183" s="178"/>
    </row>
    <row r="8184" spans="18:19">
      <c r="R8184" s="178"/>
      <c r="S8184" s="178"/>
    </row>
    <row r="8185" spans="18:19">
      <c r="R8185" s="178"/>
      <c r="S8185" s="178"/>
    </row>
    <row r="8186" spans="18:19">
      <c r="R8186" s="178"/>
      <c r="S8186" s="178"/>
    </row>
    <row r="8187" spans="18:19">
      <c r="R8187" s="178"/>
      <c r="S8187" s="178"/>
    </row>
    <row r="8188" spans="18:19">
      <c r="R8188" s="178"/>
      <c r="S8188" s="178"/>
    </row>
    <row r="8189" spans="18:19">
      <c r="R8189" s="178"/>
      <c r="S8189" s="178"/>
    </row>
    <row r="8190" spans="18:19">
      <c r="R8190" s="178"/>
      <c r="S8190" s="178"/>
    </row>
    <row r="8191" spans="18:19">
      <c r="R8191" s="178"/>
      <c r="S8191" s="178"/>
    </row>
    <row r="8192" spans="18:19">
      <c r="R8192" s="178"/>
      <c r="S8192" s="178"/>
    </row>
    <row r="8193" spans="18:19">
      <c r="R8193" s="178"/>
      <c r="S8193" s="178"/>
    </row>
    <row r="8194" spans="18:19">
      <c r="R8194" s="178"/>
      <c r="S8194" s="178"/>
    </row>
    <row r="8195" spans="18:19">
      <c r="R8195" s="178"/>
      <c r="S8195" s="178"/>
    </row>
    <row r="8196" spans="18:19">
      <c r="R8196" s="178"/>
      <c r="S8196" s="178"/>
    </row>
    <row r="8197" spans="18:19">
      <c r="R8197" s="178"/>
      <c r="S8197" s="178"/>
    </row>
    <row r="8198" spans="18:19">
      <c r="R8198" s="178"/>
      <c r="S8198" s="178"/>
    </row>
    <row r="8199" spans="18:19">
      <c r="R8199" s="178"/>
      <c r="S8199" s="178"/>
    </row>
    <row r="8200" spans="18:19">
      <c r="R8200" s="178"/>
      <c r="S8200" s="178"/>
    </row>
    <row r="8201" spans="18:19">
      <c r="R8201" s="178"/>
      <c r="S8201" s="178"/>
    </row>
    <row r="8202" spans="18:19">
      <c r="R8202" s="178"/>
      <c r="S8202" s="178"/>
    </row>
    <row r="8203" spans="18:19">
      <c r="R8203" s="178"/>
      <c r="S8203" s="178"/>
    </row>
    <row r="8204" spans="18:19">
      <c r="R8204" s="178"/>
      <c r="S8204" s="178"/>
    </row>
    <row r="8205" spans="18:19">
      <c r="R8205" s="178"/>
      <c r="S8205" s="178"/>
    </row>
    <row r="8206" spans="18:19">
      <c r="R8206" s="178"/>
      <c r="S8206" s="178"/>
    </row>
    <row r="8207" spans="18:19">
      <c r="R8207" s="178"/>
      <c r="S8207" s="178"/>
    </row>
    <row r="8208" spans="18:19">
      <c r="R8208" s="178"/>
      <c r="S8208" s="178"/>
    </row>
    <row r="8209" spans="18:19">
      <c r="R8209" s="178"/>
      <c r="S8209" s="178"/>
    </row>
    <row r="8210" spans="18:19">
      <c r="R8210" s="178"/>
      <c r="S8210" s="178"/>
    </row>
    <row r="8211" spans="18:19">
      <c r="R8211" s="178"/>
      <c r="S8211" s="178"/>
    </row>
    <row r="8212" spans="18:19">
      <c r="R8212" s="178"/>
      <c r="S8212" s="178"/>
    </row>
    <row r="8213" spans="18:19">
      <c r="R8213" s="178"/>
      <c r="S8213" s="178"/>
    </row>
    <row r="8214" spans="18:19">
      <c r="R8214" s="178"/>
      <c r="S8214" s="178"/>
    </row>
    <row r="8215" spans="18:19">
      <c r="R8215" s="178"/>
      <c r="S8215" s="178"/>
    </row>
    <row r="8216" spans="18:19">
      <c r="R8216" s="178"/>
      <c r="S8216" s="178"/>
    </row>
    <row r="8217" spans="18:19">
      <c r="R8217" s="178"/>
      <c r="S8217" s="178"/>
    </row>
    <row r="8218" spans="18:19">
      <c r="R8218" s="178"/>
      <c r="S8218" s="178"/>
    </row>
    <row r="8219" spans="18:19">
      <c r="R8219" s="178"/>
      <c r="S8219" s="178"/>
    </row>
    <row r="8220" spans="18:19">
      <c r="R8220" s="178"/>
      <c r="S8220" s="178"/>
    </row>
    <row r="8221" spans="18:19">
      <c r="R8221" s="178"/>
      <c r="S8221" s="178"/>
    </row>
    <row r="8222" spans="18:19">
      <c r="R8222" s="178"/>
      <c r="S8222" s="178"/>
    </row>
    <row r="8223" spans="18:19">
      <c r="R8223" s="178"/>
      <c r="S8223" s="178"/>
    </row>
    <row r="8224" spans="18:19">
      <c r="R8224" s="178"/>
      <c r="S8224" s="178"/>
    </row>
    <row r="8225" spans="18:19">
      <c r="R8225" s="178"/>
      <c r="S8225" s="178"/>
    </row>
    <row r="8226" spans="18:19">
      <c r="R8226" s="178"/>
      <c r="S8226" s="178"/>
    </row>
    <row r="8227" spans="18:19">
      <c r="R8227" s="178"/>
      <c r="S8227" s="178"/>
    </row>
    <row r="8228" spans="18:19">
      <c r="R8228" s="178"/>
      <c r="S8228" s="178"/>
    </row>
    <row r="8229" spans="18:19">
      <c r="R8229" s="178"/>
      <c r="S8229" s="178"/>
    </row>
    <row r="8230" spans="18:19">
      <c r="R8230" s="178"/>
      <c r="S8230" s="178"/>
    </row>
    <row r="8231" spans="18:19">
      <c r="R8231" s="178"/>
      <c r="S8231" s="178"/>
    </row>
    <row r="8232" spans="18:19">
      <c r="R8232" s="178"/>
      <c r="S8232" s="178"/>
    </row>
    <row r="8233" spans="18:19">
      <c r="R8233" s="178"/>
      <c r="S8233" s="178"/>
    </row>
    <row r="8234" spans="18:19">
      <c r="R8234" s="178"/>
      <c r="S8234" s="178"/>
    </row>
    <row r="8235" spans="18:19">
      <c r="R8235" s="178"/>
      <c r="S8235" s="178"/>
    </row>
    <row r="8236" spans="18:19">
      <c r="R8236" s="178"/>
      <c r="S8236" s="178"/>
    </row>
    <row r="8237" spans="18:19">
      <c r="R8237" s="178"/>
      <c r="S8237" s="178"/>
    </row>
    <row r="8238" spans="18:19">
      <c r="R8238" s="178"/>
      <c r="S8238" s="178"/>
    </row>
    <row r="8239" spans="18:19">
      <c r="R8239" s="178"/>
      <c r="S8239" s="178"/>
    </row>
    <row r="8240" spans="18:19">
      <c r="R8240" s="178"/>
      <c r="S8240" s="178"/>
    </row>
    <row r="8241" spans="18:19">
      <c r="R8241" s="178"/>
      <c r="S8241" s="178"/>
    </row>
    <row r="8242" spans="18:19">
      <c r="R8242" s="178"/>
      <c r="S8242" s="178"/>
    </row>
    <row r="8243" spans="18:19">
      <c r="R8243" s="178"/>
      <c r="S8243" s="178"/>
    </row>
    <row r="8244" spans="18:19">
      <c r="R8244" s="178"/>
      <c r="S8244" s="178"/>
    </row>
    <row r="8245" spans="18:19">
      <c r="R8245" s="178"/>
      <c r="S8245" s="178"/>
    </row>
    <row r="8246" spans="18:19">
      <c r="R8246" s="178"/>
      <c r="S8246" s="178"/>
    </row>
    <row r="8247" spans="18:19">
      <c r="R8247" s="178"/>
      <c r="S8247" s="178"/>
    </row>
    <row r="8248" spans="18:19">
      <c r="R8248" s="178"/>
      <c r="S8248" s="178"/>
    </row>
    <row r="8249" spans="18:19">
      <c r="R8249" s="178"/>
      <c r="S8249" s="178"/>
    </row>
    <row r="8250" spans="18:19">
      <c r="R8250" s="178"/>
      <c r="S8250" s="178"/>
    </row>
    <row r="8251" spans="18:19">
      <c r="R8251" s="178"/>
      <c r="S8251" s="178"/>
    </row>
    <row r="8252" spans="18:19">
      <c r="R8252" s="178"/>
      <c r="S8252" s="178"/>
    </row>
    <row r="8253" spans="18:19">
      <c r="R8253" s="178"/>
      <c r="S8253" s="178"/>
    </row>
    <row r="8254" spans="18:19">
      <c r="R8254" s="178"/>
      <c r="S8254" s="178"/>
    </row>
    <row r="8255" spans="18:19">
      <c r="R8255" s="178"/>
      <c r="S8255" s="178"/>
    </row>
    <row r="8256" spans="18:19">
      <c r="R8256" s="178"/>
      <c r="S8256" s="178"/>
    </row>
    <row r="8257" spans="18:19">
      <c r="R8257" s="178"/>
      <c r="S8257" s="178"/>
    </row>
    <row r="8258" spans="18:19">
      <c r="R8258" s="178"/>
      <c r="S8258" s="178"/>
    </row>
    <row r="8259" spans="18:19">
      <c r="R8259" s="178"/>
      <c r="S8259" s="178"/>
    </row>
    <row r="8260" spans="18:19">
      <c r="R8260" s="178"/>
      <c r="S8260" s="178"/>
    </row>
    <row r="8261" spans="18:19">
      <c r="R8261" s="178"/>
      <c r="S8261" s="178"/>
    </row>
    <row r="8262" spans="18:19">
      <c r="R8262" s="178"/>
      <c r="S8262" s="178"/>
    </row>
    <row r="8263" spans="18:19">
      <c r="R8263" s="178"/>
      <c r="S8263" s="178"/>
    </row>
    <row r="8264" spans="18:19">
      <c r="R8264" s="178"/>
      <c r="S8264" s="178"/>
    </row>
    <row r="8265" spans="18:19">
      <c r="R8265" s="178"/>
      <c r="S8265" s="178"/>
    </row>
    <row r="8266" spans="18:19">
      <c r="R8266" s="178"/>
      <c r="S8266" s="178"/>
    </row>
    <row r="8267" spans="18:19">
      <c r="R8267" s="178"/>
      <c r="S8267" s="178"/>
    </row>
    <row r="8268" spans="18:19">
      <c r="R8268" s="178"/>
      <c r="S8268" s="178"/>
    </row>
    <row r="8269" spans="18:19">
      <c r="R8269" s="178"/>
      <c r="S8269" s="178"/>
    </row>
    <row r="8270" spans="18:19">
      <c r="R8270" s="178"/>
      <c r="S8270" s="178"/>
    </row>
    <row r="8271" spans="18:19">
      <c r="R8271" s="178"/>
      <c r="S8271" s="178"/>
    </row>
    <row r="8272" spans="18:19">
      <c r="R8272" s="178"/>
      <c r="S8272" s="178"/>
    </row>
    <row r="8273" spans="18:19">
      <c r="R8273" s="178"/>
      <c r="S8273" s="178"/>
    </row>
    <row r="8274" spans="18:19">
      <c r="R8274" s="178"/>
      <c r="S8274" s="178"/>
    </row>
    <row r="8275" spans="18:19">
      <c r="R8275" s="178"/>
      <c r="S8275" s="178"/>
    </row>
    <row r="8276" spans="18:19">
      <c r="R8276" s="178"/>
      <c r="S8276" s="178"/>
    </row>
    <row r="8277" spans="18:19">
      <c r="R8277" s="178"/>
      <c r="S8277" s="178"/>
    </row>
    <row r="8278" spans="18:19">
      <c r="R8278" s="178"/>
      <c r="S8278" s="178"/>
    </row>
    <row r="8279" spans="18:19">
      <c r="R8279" s="178"/>
      <c r="S8279" s="178"/>
    </row>
    <row r="8280" spans="18:19">
      <c r="R8280" s="178"/>
      <c r="S8280" s="178"/>
    </row>
    <row r="8281" spans="18:19">
      <c r="R8281" s="178"/>
      <c r="S8281" s="178"/>
    </row>
    <row r="8282" spans="18:19">
      <c r="R8282" s="178"/>
      <c r="S8282" s="178"/>
    </row>
    <row r="8283" spans="18:19">
      <c r="R8283" s="178"/>
      <c r="S8283" s="178"/>
    </row>
    <row r="8284" spans="18:19">
      <c r="R8284" s="178"/>
      <c r="S8284" s="178"/>
    </row>
    <row r="8285" spans="18:19">
      <c r="R8285" s="178"/>
      <c r="S8285" s="178"/>
    </row>
    <row r="8286" spans="18:19">
      <c r="R8286" s="178"/>
      <c r="S8286" s="178"/>
    </row>
    <row r="8287" spans="18:19">
      <c r="R8287" s="178"/>
      <c r="S8287" s="178"/>
    </row>
    <row r="8288" spans="18:19">
      <c r="R8288" s="178"/>
      <c r="S8288" s="178"/>
    </row>
    <row r="8289" spans="18:19">
      <c r="R8289" s="178"/>
      <c r="S8289" s="178"/>
    </row>
    <row r="8290" spans="18:19">
      <c r="R8290" s="178"/>
      <c r="S8290" s="178"/>
    </row>
    <row r="8291" spans="18:19">
      <c r="R8291" s="178"/>
      <c r="S8291" s="178"/>
    </row>
    <row r="8292" spans="18:19">
      <c r="R8292" s="178"/>
      <c r="S8292" s="178"/>
    </row>
    <row r="8293" spans="18:19">
      <c r="R8293" s="178"/>
      <c r="S8293" s="178"/>
    </row>
    <row r="8294" spans="18:19">
      <c r="R8294" s="178"/>
      <c r="S8294" s="178"/>
    </row>
    <row r="8295" spans="18:19">
      <c r="R8295" s="178"/>
      <c r="S8295" s="178"/>
    </row>
    <row r="8296" spans="18:19">
      <c r="R8296" s="178"/>
      <c r="S8296" s="178"/>
    </row>
    <row r="8297" spans="18:19">
      <c r="R8297" s="178"/>
      <c r="S8297" s="178"/>
    </row>
    <row r="8298" spans="18:19">
      <c r="R8298" s="178"/>
      <c r="S8298" s="178"/>
    </row>
    <row r="8299" spans="18:19">
      <c r="R8299" s="178"/>
      <c r="S8299" s="178"/>
    </row>
    <row r="8300" spans="18:19">
      <c r="R8300" s="178"/>
      <c r="S8300" s="178"/>
    </row>
    <row r="8301" spans="18:19">
      <c r="R8301" s="178"/>
      <c r="S8301" s="178"/>
    </row>
    <row r="8302" spans="18:19">
      <c r="R8302" s="178"/>
      <c r="S8302" s="178"/>
    </row>
    <row r="8303" spans="18:19">
      <c r="R8303" s="178"/>
      <c r="S8303" s="178"/>
    </row>
    <row r="8304" spans="18:19">
      <c r="R8304" s="178"/>
      <c r="S8304" s="178"/>
    </row>
    <row r="8305" spans="18:19">
      <c r="R8305" s="178"/>
      <c r="S8305" s="178"/>
    </row>
    <row r="8306" spans="18:19">
      <c r="R8306" s="178"/>
      <c r="S8306" s="178"/>
    </row>
    <row r="8307" spans="18:19">
      <c r="R8307" s="178"/>
      <c r="S8307" s="178"/>
    </row>
    <row r="8308" spans="18:19">
      <c r="R8308" s="178"/>
      <c r="S8308" s="178"/>
    </row>
    <row r="8309" spans="18:19">
      <c r="R8309" s="178"/>
      <c r="S8309" s="178"/>
    </row>
    <row r="8310" spans="18:19">
      <c r="R8310" s="178"/>
      <c r="S8310" s="178"/>
    </row>
    <row r="8311" spans="18:19">
      <c r="R8311" s="178"/>
      <c r="S8311" s="178"/>
    </row>
    <row r="8312" spans="18:19">
      <c r="R8312" s="178"/>
      <c r="S8312" s="178"/>
    </row>
    <row r="8313" spans="18:19">
      <c r="R8313" s="178"/>
      <c r="S8313" s="178"/>
    </row>
    <row r="8314" spans="18:19">
      <c r="R8314" s="178"/>
      <c r="S8314" s="178"/>
    </row>
    <row r="8315" spans="18:19">
      <c r="R8315" s="178"/>
      <c r="S8315" s="178"/>
    </row>
    <row r="8316" spans="18:19">
      <c r="R8316" s="178"/>
      <c r="S8316" s="178"/>
    </row>
    <row r="8317" spans="18:19">
      <c r="R8317" s="178"/>
      <c r="S8317" s="178"/>
    </row>
    <row r="8318" spans="18:19">
      <c r="R8318" s="178"/>
      <c r="S8318" s="178"/>
    </row>
    <row r="8319" spans="18:19">
      <c r="R8319" s="178"/>
      <c r="S8319" s="178"/>
    </row>
    <row r="8320" spans="18:19">
      <c r="R8320" s="178"/>
      <c r="S8320" s="178"/>
    </row>
    <row r="8321" spans="18:19">
      <c r="R8321" s="178"/>
      <c r="S8321" s="178"/>
    </row>
    <row r="8322" spans="18:19">
      <c r="R8322" s="178"/>
      <c r="S8322" s="178"/>
    </row>
    <row r="8323" spans="18:19">
      <c r="R8323" s="178"/>
      <c r="S8323" s="178"/>
    </row>
    <row r="8324" spans="18:19">
      <c r="R8324" s="178"/>
      <c r="S8324" s="178"/>
    </row>
    <row r="8325" spans="18:19">
      <c r="R8325" s="178"/>
      <c r="S8325" s="178"/>
    </row>
    <row r="8326" spans="18:19">
      <c r="R8326" s="178"/>
      <c r="S8326" s="178"/>
    </row>
    <row r="8327" spans="18:19">
      <c r="R8327" s="178"/>
      <c r="S8327" s="178"/>
    </row>
    <row r="8328" spans="18:19">
      <c r="R8328" s="178"/>
      <c r="S8328" s="178"/>
    </row>
    <row r="8329" spans="18:19">
      <c r="R8329" s="178"/>
      <c r="S8329" s="178"/>
    </row>
    <row r="8330" spans="18:19">
      <c r="R8330" s="178"/>
      <c r="S8330" s="178"/>
    </row>
    <row r="8331" spans="18:19">
      <c r="R8331" s="178"/>
      <c r="S8331" s="178"/>
    </row>
    <row r="8332" spans="18:19">
      <c r="R8332" s="178"/>
      <c r="S8332" s="178"/>
    </row>
    <row r="8333" spans="18:19">
      <c r="R8333" s="178"/>
      <c r="S8333" s="178"/>
    </row>
    <row r="8334" spans="18:19">
      <c r="R8334" s="178"/>
      <c r="S8334" s="178"/>
    </row>
    <row r="8335" spans="18:19">
      <c r="R8335" s="178"/>
      <c r="S8335" s="178"/>
    </row>
    <row r="8336" spans="18:19">
      <c r="R8336" s="178"/>
      <c r="S8336" s="178"/>
    </row>
    <row r="8337" spans="18:19">
      <c r="R8337" s="178"/>
      <c r="S8337" s="178"/>
    </row>
    <row r="8338" spans="18:19">
      <c r="R8338" s="178"/>
      <c r="S8338" s="178"/>
    </row>
    <row r="8339" spans="18:19">
      <c r="R8339" s="178"/>
      <c r="S8339" s="178"/>
    </row>
    <row r="8340" spans="18:19">
      <c r="R8340" s="178"/>
      <c r="S8340" s="178"/>
    </row>
    <row r="8341" spans="18:19">
      <c r="R8341" s="178"/>
      <c r="S8341" s="178"/>
    </row>
    <row r="8342" spans="18:19">
      <c r="R8342" s="178"/>
      <c r="S8342" s="178"/>
    </row>
    <row r="8343" spans="18:19">
      <c r="R8343" s="178"/>
      <c r="S8343" s="178"/>
    </row>
    <row r="8344" spans="18:19">
      <c r="R8344" s="178"/>
      <c r="S8344" s="178"/>
    </row>
    <row r="8345" spans="18:19">
      <c r="R8345" s="178"/>
      <c r="S8345" s="178"/>
    </row>
    <row r="8346" spans="18:19">
      <c r="R8346" s="178"/>
      <c r="S8346" s="178"/>
    </row>
    <row r="8347" spans="18:19">
      <c r="R8347" s="178"/>
      <c r="S8347" s="178"/>
    </row>
    <row r="8348" spans="18:19">
      <c r="R8348" s="178"/>
      <c r="S8348" s="178"/>
    </row>
    <row r="8349" spans="18:19">
      <c r="R8349" s="178"/>
      <c r="S8349" s="178"/>
    </row>
    <row r="8350" spans="18:19">
      <c r="R8350" s="178"/>
      <c r="S8350" s="178"/>
    </row>
    <row r="8351" spans="18:19">
      <c r="R8351" s="178"/>
      <c r="S8351" s="178"/>
    </row>
    <row r="8352" spans="18:19">
      <c r="R8352" s="178"/>
      <c r="S8352" s="178"/>
    </row>
    <row r="8353" spans="18:19">
      <c r="R8353" s="178"/>
      <c r="S8353" s="178"/>
    </row>
    <row r="8354" spans="18:19">
      <c r="R8354" s="178"/>
      <c r="S8354" s="178"/>
    </row>
    <row r="8355" spans="18:19">
      <c r="R8355" s="178"/>
      <c r="S8355" s="178"/>
    </row>
    <row r="8356" spans="18:19">
      <c r="R8356" s="178"/>
      <c r="S8356" s="178"/>
    </row>
    <row r="8357" spans="18:19">
      <c r="R8357" s="178"/>
      <c r="S8357" s="178"/>
    </row>
    <row r="8358" spans="18:19">
      <c r="R8358" s="178"/>
      <c r="S8358" s="178"/>
    </row>
    <row r="8359" spans="18:19">
      <c r="R8359" s="178"/>
      <c r="S8359" s="178"/>
    </row>
    <row r="8360" spans="18:19">
      <c r="R8360" s="178"/>
      <c r="S8360" s="178"/>
    </row>
    <row r="8361" spans="18:19">
      <c r="R8361" s="178"/>
      <c r="S8361" s="178"/>
    </row>
    <row r="8362" spans="18:19">
      <c r="R8362" s="178"/>
      <c r="S8362" s="178"/>
    </row>
    <row r="8363" spans="18:19">
      <c r="R8363" s="178"/>
      <c r="S8363" s="178"/>
    </row>
    <row r="8364" spans="18:19">
      <c r="R8364" s="178"/>
      <c r="S8364" s="178"/>
    </row>
    <row r="8365" spans="18:19">
      <c r="R8365" s="178"/>
      <c r="S8365" s="178"/>
    </row>
    <row r="8366" spans="18:19">
      <c r="R8366" s="178"/>
      <c r="S8366" s="178"/>
    </row>
    <row r="8367" spans="18:19">
      <c r="R8367" s="178"/>
      <c r="S8367" s="178"/>
    </row>
    <row r="8368" spans="18:19">
      <c r="R8368" s="178"/>
      <c r="S8368" s="178"/>
    </row>
    <row r="8369" spans="18:19">
      <c r="R8369" s="178"/>
      <c r="S8369" s="178"/>
    </row>
    <row r="8370" spans="18:19">
      <c r="R8370" s="178"/>
      <c r="S8370" s="178"/>
    </row>
    <row r="8371" spans="18:19">
      <c r="R8371" s="178"/>
      <c r="S8371" s="178"/>
    </row>
    <row r="8372" spans="18:19">
      <c r="R8372" s="178"/>
      <c r="S8372" s="178"/>
    </row>
    <row r="8373" spans="18:19">
      <c r="R8373" s="178"/>
      <c r="S8373" s="178"/>
    </row>
    <row r="8374" spans="18:19">
      <c r="R8374" s="178"/>
      <c r="S8374" s="178"/>
    </row>
    <row r="8375" spans="18:19">
      <c r="R8375" s="178"/>
      <c r="S8375" s="178"/>
    </row>
    <row r="8376" spans="18:19">
      <c r="R8376" s="178"/>
      <c r="S8376" s="178"/>
    </row>
    <row r="8377" spans="18:19">
      <c r="R8377" s="178"/>
      <c r="S8377" s="178"/>
    </row>
    <row r="8378" spans="18:19">
      <c r="R8378" s="178"/>
      <c r="S8378" s="178"/>
    </row>
    <row r="8379" spans="18:19">
      <c r="R8379" s="178"/>
      <c r="S8379" s="178"/>
    </row>
    <row r="8380" spans="18:19">
      <c r="R8380" s="178"/>
      <c r="S8380" s="178"/>
    </row>
    <row r="8381" spans="18:19">
      <c r="R8381" s="178"/>
      <c r="S8381" s="178"/>
    </row>
    <row r="8382" spans="18:19">
      <c r="R8382" s="178"/>
      <c r="S8382" s="178"/>
    </row>
    <row r="8383" spans="18:19">
      <c r="R8383" s="178"/>
      <c r="S8383" s="178"/>
    </row>
    <row r="8384" spans="18:19">
      <c r="R8384" s="178"/>
      <c r="S8384" s="178"/>
    </row>
    <row r="8385" spans="18:19">
      <c r="R8385" s="178"/>
      <c r="S8385" s="178"/>
    </row>
    <row r="8386" spans="18:19">
      <c r="R8386" s="178"/>
      <c r="S8386" s="178"/>
    </row>
    <row r="8387" spans="18:19">
      <c r="R8387" s="178"/>
      <c r="S8387" s="178"/>
    </row>
    <row r="8388" spans="18:19">
      <c r="R8388" s="178"/>
      <c r="S8388" s="178"/>
    </row>
    <row r="8389" spans="18:19">
      <c r="R8389" s="178"/>
      <c r="S8389" s="178"/>
    </row>
    <row r="8390" spans="18:19">
      <c r="R8390" s="178"/>
      <c r="S8390" s="178"/>
    </row>
    <row r="8391" spans="18:19">
      <c r="R8391" s="178"/>
      <c r="S8391" s="178"/>
    </row>
    <row r="8392" spans="18:19">
      <c r="R8392" s="178"/>
      <c r="S8392" s="178"/>
    </row>
    <row r="8393" spans="18:19">
      <c r="R8393" s="178"/>
      <c r="S8393" s="178"/>
    </row>
    <row r="8394" spans="18:19">
      <c r="R8394" s="178"/>
      <c r="S8394" s="178"/>
    </row>
    <row r="8395" spans="18:19">
      <c r="R8395" s="178"/>
      <c r="S8395" s="178"/>
    </row>
    <row r="8396" spans="18:19">
      <c r="R8396" s="178"/>
      <c r="S8396" s="178"/>
    </row>
    <row r="8397" spans="18:19">
      <c r="R8397" s="178"/>
      <c r="S8397" s="178"/>
    </row>
    <row r="8398" spans="18:19">
      <c r="R8398" s="178"/>
      <c r="S8398" s="178"/>
    </row>
    <row r="8399" spans="18:19">
      <c r="R8399" s="178"/>
      <c r="S8399" s="178"/>
    </row>
    <row r="8400" spans="18:19">
      <c r="R8400" s="178"/>
      <c r="S8400" s="178"/>
    </row>
    <row r="8401" spans="18:19">
      <c r="R8401" s="178"/>
      <c r="S8401" s="178"/>
    </row>
    <row r="8402" spans="18:19">
      <c r="R8402" s="178"/>
      <c r="S8402" s="178"/>
    </row>
    <row r="8403" spans="18:19">
      <c r="R8403" s="178"/>
      <c r="S8403" s="178"/>
    </row>
    <row r="8404" spans="18:19">
      <c r="R8404" s="178"/>
      <c r="S8404" s="178"/>
    </row>
    <row r="8405" spans="18:19">
      <c r="R8405" s="178"/>
      <c r="S8405" s="178"/>
    </row>
    <row r="8406" spans="18:19">
      <c r="R8406" s="178"/>
      <c r="S8406" s="178"/>
    </row>
    <row r="8407" spans="18:19">
      <c r="R8407" s="178"/>
      <c r="S8407" s="178"/>
    </row>
    <row r="8408" spans="18:19">
      <c r="R8408" s="178"/>
      <c r="S8408" s="178"/>
    </row>
    <row r="8409" spans="18:19">
      <c r="R8409" s="178"/>
      <c r="S8409" s="178"/>
    </row>
    <row r="8410" spans="18:19">
      <c r="R8410" s="178"/>
      <c r="S8410" s="178"/>
    </row>
    <row r="8411" spans="18:19">
      <c r="R8411" s="178"/>
      <c r="S8411" s="178"/>
    </row>
    <row r="8412" spans="18:19">
      <c r="R8412" s="178"/>
      <c r="S8412" s="178"/>
    </row>
    <row r="8413" spans="18:19">
      <c r="R8413" s="178"/>
      <c r="S8413" s="178"/>
    </row>
    <row r="8414" spans="18:19">
      <c r="R8414" s="178"/>
      <c r="S8414" s="178"/>
    </row>
    <row r="8415" spans="18:19">
      <c r="R8415" s="178"/>
      <c r="S8415" s="178"/>
    </row>
    <row r="8416" spans="18:19">
      <c r="R8416" s="178"/>
      <c r="S8416" s="178"/>
    </row>
    <row r="8417" spans="18:19">
      <c r="R8417" s="178"/>
      <c r="S8417" s="178"/>
    </row>
    <row r="8418" spans="18:19">
      <c r="R8418" s="178"/>
      <c r="S8418" s="178"/>
    </row>
    <row r="8419" spans="18:19">
      <c r="R8419" s="178"/>
      <c r="S8419" s="178"/>
    </row>
    <row r="8420" spans="18:19">
      <c r="R8420" s="178"/>
      <c r="S8420" s="178"/>
    </row>
    <row r="8421" spans="18:19">
      <c r="R8421" s="178"/>
      <c r="S8421" s="178"/>
    </row>
    <row r="8422" spans="18:19">
      <c r="R8422" s="178"/>
      <c r="S8422" s="178"/>
    </row>
    <row r="8423" spans="18:19">
      <c r="R8423" s="178"/>
      <c r="S8423" s="178"/>
    </row>
    <row r="8424" spans="18:19">
      <c r="R8424" s="178"/>
      <c r="S8424" s="178"/>
    </row>
    <row r="8425" spans="18:19">
      <c r="R8425" s="178"/>
      <c r="S8425" s="178"/>
    </row>
    <row r="8426" spans="18:19">
      <c r="R8426" s="178"/>
      <c r="S8426" s="178"/>
    </row>
    <row r="8427" spans="18:19">
      <c r="R8427" s="178"/>
      <c r="S8427" s="178"/>
    </row>
    <row r="8428" spans="18:19">
      <c r="R8428" s="178"/>
      <c r="S8428" s="178"/>
    </row>
    <row r="8429" spans="18:19">
      <c r="R8429" s="178"/>
      <c r="S8429" s="178"/>
    </row>
    <row r="8430" spans="18:19">
      <c r="R8430" s="178"/>
      <c r="S8430" s="178"/>
    </row>
    <row r="8431" spans="18:19">
      <c r="R8431" s="178"/>
      <c r="S8431" s="178"/>
    </row>
    <row r="8432" spans="18:19">
      <c r="R8432" s="178"/>
      <c r="S8432" s="178"/>
    </row>
    <row r="8433" spans="18:19">
      <c r="R8433" s="178"/>
      <c r="S8433" s="178"/>
    </row>
    <row r="8434" spans="18:19">
      <c r="R8434" s="178"/>
      <c r="S8434" s="178"/>
    </row>
    <row r="8435" spans="18:19">
      <c r="R8435" s="178"/>
      <c r="S8435" s="178"/>
    </row>
    <row r="8436" spans="18:19">
      <c r="R8436" s="178"/>
      <c r="S8436" s="178"/>
    </row>
    <row r="8437" spans="18:19">
      <c r="R8437" s="178"/>
      <c r="S8437" s="178"/>
    </row>
    <row r="8438" spans="18:19">
      <c r="R8438" s="178"/>
      <c r="S8438" s="178"/>
    </row>
    <row r="8439" spans="18:19">
      <c r="R8439" s="178"/>
      <c r="S8439" s="178"/>
    </row>
    <row r="8440" spans="18:19">
      <c r="R8440" s="178"/>
      <c r="S8440" s="178"/>
    </row>
    <row r="8441" spans="18:19">
      <c r="R8441" s="178"/>
      <c r="S8441" s="178"/>
    </row>
    <row r="8442" spans="18:19">
      <c r="R8442" s="178"/>
      <c r="S8442" s="178"/>
    </row>
    <row r="8443" spans="18:19">
      <c r="R8443" s="178"/>
      <c r="S8443" s="178"/>
    </row>
    <row r="8444" spans="18:19">
      <c r="R8444" s="178"/>
      <c r="S8444" s="178"/>
    </row>
    <row r="8445" spans="18:19">
      <c r="R8445" s="178"/>
      <c r="S8445" s="178"/>
    </row>
    <row r="8446" spans="18:19">
      <c r="R8446" s="178"/>
      <c r="S8446" s="178"/>
    </row>
    <row r="8447" spans="18:19">
      <c r="R8447" s="178"/>
      <c r="S8447" s="178"/>
    </row>
    <row r="8448" spans="18:19">
      <c r="R8448" s="178"/>
      <c r="S8448" s="178"/>
    </row>
    <row r="8449" spans="18:19">
      <c r="R8449" s="178"/>
      <c r="S8449" s="178"/>
    </row>
    <row r="8450" spans="18:19">
      <c r="R8450" s="178"/>
      <c r="S8450" s="178"/>
    </row>
    <row r="8451" spans="18:19">
      <c r="R8451" s="178"/>
      <c r="S8451" s="178"/>
    </row>
    <row r="8452" spans="18:19">
      <c r="R8452" s="178"/>
      <c r="S8452" s="178"/>
    </row>
    <row r="8453" spans="18:19">
      <c r="R8453" s="178"/>
      <c r="S8453" s="178"/>
    </row>
    <row r="8454" spans="18:19">
      <c r="R8454" s="178"/>
      <c r="S8454" s="178"/>
    </row>
    <row r="8455" spans="18:19">
      <c r="R8455" s="178"/>
      <c r="S8455" s="178"/>
    </row>
    <row r="8456" spans="18:19">
      <c r="R8456" s="178"/>
      <c r="S8456" s="178"/>
    </row>
    <row r="8457" spans="18:19">
      <c r="R8457" s="178"/>
      <c r="S8457" s="178"/>
    </row>
    <row r="8458" spans="18:19">
      <c r="R8458" s="178"/>
      <c r="S8458" s="178"/>
    </row>
    <row r="8459" spans="18:19">
      <c r="R8459" s="178"/>
      <c r="S8459" s="178"/>
    </row>
    <row r="8460" spans="18:19">
      <c r="R8460" s="178"/>
      <c r="S8460" s="178"/>
    </row>
    <row r="8461" spans="18:19">
      <c r="R8461" s="178"/>
      <c r="S8461" s="178"/>
    </row>
    <row r="8462" spans="18:19">
      <c r="R8462" s="178"/>
      <c r="S8462" s="178"/>
    </row>
    <row r="8463" spans="18:19">
      <c r="R8463" s="178"/>
      <c r="S8463" s="178"/>
    </row>
    <row r="8464" spans="18:19">
      <c r="R8464" s="178"/>
      <c r="S8464" s="178"/>
    </row>
    <row r="8465" spans="18:19">
      <c r="R8465" s="178"/>
      <c r="S8465" s="178"/>
    </row>
    <row r="8466" spans="18:19">
      <c r="R8466" s="178"/>
      <c r="S8466" s="178"/>
    </row>
    <row r="8467" spans="18:19">
      <c r="R8467" s="178"/>
      <c r="S8467" s="178"/>
    </row>
    <row r="8468" spans="18:19">
      <c r="R8468" s="178"/>
      <c r="S8468" s="178"/>
    </row>
    <row r="8469" spans="18:19">
      <c r="R8469" s="178"/>
      <c r="S8469" s="178"/>
    </row>
    <row r="8470" spans="18:19">
      <c r="R8470" s="178"/>
      <c r="S8470" s="178"/>
    </row>
    <row r="8471" spans="18:19">
      <c r="R8471" s="178"/>
      <c r="S8471" s="178"/>
    </row>
    <row r="8472" spans="18:19">
      <c r="R8472" s="178"/>
      <c r="S8472" s="178"/>
    </row>
    <row r="8473" spans="18:19">
      <c r="R8473" s="178"/>
      <c r="S8473" s="178"/>
    </row>
    <row r="8474" spans="18:19">
      <c r="R8474" s="178"/>
      <c r="S8474" s="178"/>
    </row>
    <row r="8475" spans="18:19">
      <c r="R8475" s="178"/>
      <c r="S8475" s="178"/>
    </row>
    <row r="8476" spans="18:19">
      <c r="R8476" s="178"/>
      <c r="S8476" s="178"/>
    </row>
    <row r="8477" spans="18:19">
      <c r="R8477" s="178"/>
      <c r="S8477" s="178"/>
    </row>
    <row r="8478" spans="18:19">
      <c r="R8478" s="178"/>
      <c r="S8478" s="178"/>
    </row>
    <row r="8479" spans="18:19">
      <c r="R8479" s="178"/>
      <c r="S8479" s="178"/>
    </row>
    <row r="8480" spans="18:19">
      <c r="R8480" s="178"/>
      <c r="S8480" s="178"/>
    </row>
    <row r="8481" spans="18:19">
      <c r="R8481" s="178"/>
      <c r="S8481" s="178"/>
    </row>
    <row r="8482" spans="18:19">
      <c r="R8482" s="178"/>
      <c r="S8482" s="178"/>
    </row>
    <row r="8483" spans="18:19">
      <c r="R8483" s="178"/>
      <c r="S8483" s="178"/>
    </row>
    <row r="8484" spans="18:19">
      <c r="R8484" s="178"/>
      <c r="S8484" s="178"/>
    </row>
    <row r="8485" spans="18:19">
      <c r="R8485" s="178"/>
      <c r="S8485" s="178"/>
    </row>
    <row r="8486" spans="18:19">
      <c r="R8486" s="178"/>
      <c r="S8486" s="178"/>
    </row>
    <row r="8487" spans="18:19">
      <c r="R8487" s="178"/>
      <c r="S8487" s="178"/>
    </row>
    <row r="8488" spans="18:19">
      <c r="R8488" s="178"/>
      <c r="S8488" s="178"/>
    </row>
    <row r="8489" spans="18:19">
      <c r="R8489" s="178"/>
      <c r="S8489" s="178"/>
    </row>
    <row r="8490" spans="18:19">
      <c r="R8490" s="178"/>
      <c r="S8490" s="178"/>
    </row>
    <row r="8491" spans="18:19">
      <c r="R8491" s="178"/>
      <c r="S8491" s="178"/>
    </row>
    <row r="8492" spans="18:19">
      <c r="R8492" s="178"/>
      <c r="S8492" s="178"/>
    </row>
    <row r="8493" spans="18:19">
      <c r="R8493" s="178"/>
      <c r="S8493" s="178"/>
    </row>
    <row r="8494" spans="18:19">
      <c r="R8494" s="178"/>
      <c r="S8494" s="178"/>
    </row>
    <row r="8495" spans="18:19">
      <c r="R8495" s="178"/>
      <c r="S8495" s="178"/>
    </row>
    <row r="8496" spans="18:19">
      <c r="R8496" s="178"/>
      <c r="S8496" s="178"/>
    </row>
    <row r="8497" spans="18:19">
      <c r="R8497" s="178"/>
      <c r="S8497" s="178"/>
    </row>
    <row r="8498" spans="18:19">
      <c r="R8498" s="178"/>
      <c r="S8498" s="178"/>
    </row>
    <row r="8499" spans="18:19">
      <c r="R8499" s="178"/>
      <c r="S8499" s="178"/>
    </row>
    <row r="8500" spans="18:19">
      <c r="R8500" s="178"/>
      <c r="S8500" s="178"/>
    </row>
    <row r="8501" spans="18:19">
      <c r="R8501" s="178"/>
      <c r="S8501" s="178"/>
    </row>
    <row r="8502" spans="18:19">
      <c r="R8502" s="178"/>
      <c r="S8502" s="178"/>
    </row>
    <row r="8503" spans="18:19">
      <c r="R8503" s="178"/>
      <c r="S8503" s="178"/>
    </row>
    <row r="8504" spans="18:19">
      <c r="R8504" s="178"/>
      <c r="S8504" s="178"/>
    </row>
    <row r="8505" spans="18:19">
      <c r="R8505" s="178"/>
      <c r="S8505" s="178"/>
    </row>
    <row r="8506" spans="18:19">
      <c r="R8506" s="178"/>
      <c r="S8506" s="178"/>
    </row>
    <row r="8507" spans="18:19">
      <c r="R8507" s="178"/>
      <c r="S8507" s="178"/>
    </row>
    <row r="8508" spans="18:19">
      <c r="R8508" s="178"/>
      <c r="S8508" s="178"/>
    </row>
    <row r="8509" spans="18:19">
      <c r="R8509" s="178"/>
      <c r="S8509" s="178"/>
    </row>
    <row r="8510" spans="18:19">
      <c r="R8510" s="178"/>
      <c r="S8510" s="178"/>
    </row>
    <row r="8511" spans="18:19">
      <c r="R8511" s="178"/>
      <c r="S8511" s="178"/>
    </row>
    <row r="8512" spans="18:19">
      <c r="R8512" s="178"/>
      <c r="S8512" s="178"/>
    </row>
    <row r="8513" spans="18:19">
      <c r="R8513" s="178"/>
      <c r="S8513" s="178"/>
    </row>
    <row r="8514" spans="18:19">
      <c r="R8514" s="178"/>
      <c r="S8514" s="178"/>
    </row>
    <row r="8515" spans="18:19">
      <c r="R8515" s="178"/>
      <c r="S8515" s="178"/>
    </row>
    <row r="8516" spans="18:19">
      <c r="R8516" s="178"/>
      <c r="S8516" s="178"/>
    </row>
    <row r="8517" spans="18:19">
      <c r="R8517" s="178"/>
      <c r="S8517" s="178"/>
    </row>
    <row r="8518" spans="18:19">
      <c r="R8518" s="178"/>
      <c r="S8518" s="178"/>
    </row>
    <row r="8519" spans="18:19">
      <c r="R8519" s="178"/>
      <c r="S8519" s="178"/>
    </row>
    <row r="8520" spans="18:19">
      <c r="R8520" s="178"/>
      <c r="S8520" s="178"/>
    </row>
    <row r="8521" spans="18:19">
      <c r="R8521" s="178"/>
      <c r="S8521" s="178"/>
    </row>
    <row r="8522" spans="18:19">
      <c r="R8522" s="178"/>
      <c r="S8522" s="178"/>
    </row>
    <row r="8523" spans="18:19">
      <c r="R8523" s="178"/>
      <c r="S8523" s="178"/>
    </row>
    <row r="8524" spans="18:19">
      <c r="R8524" s="178"/>
      <c r="S8524" s="178"/>
    </row>
    <row r="8525" spans="18:19">
      <c r="R8525" s="178"/>
      <c r="S8525" s="178"/>
    </row>
    <row r="8526" spans="18:19">
      <c r="R8526" s="178"/>
      <c r="S8526" s="178"/>
    </row>
    <row r="8527" spans="18:19">
      <c r="R8527" s="178"/>
      <c r="S8527" s="178"/>
    </row>
    <row r="8528" spans="18:19">
      <c r="R8528" s="178"/>
      <c r="S8528" s="178"/>
    </row>
    <row r="8529" spans="18:19">
      <c r="R8529" s="178"/>
      <c r="S8529" s="178"/>
    </row>
    <row r="8530" spans="18:19">
      <c r="R8530" s="178"/>
      <c r="S8530" s="178"/>
    </row>
    <row r="8531" spans="18:19">
      <c r="R8531" s="178"/>
      <c r="S8531" s="178"/>
    </row>
    <row r="8532" spans="18:19">
      <c r="R8532" s="178"/>
      <c r="S8532" s="178"/>
    </row>
    <row r="8533" spans="18:19">
      <c r="R8533" s="178"/>
      <c r="S8533" s="178"/>
    </row>
    <row r="8534" spans="18:19">
      <c r="R8534" s="178"/>
      <c r="S8534" s="178"/>
    </row>
    <row r="8535" spans="18:19">
      <c r="R8535" s="178"/>
      <c r="S8535" s="178"/>
    </row>
    <row r="8536" spans="18:19">
      <c r="R8536" s="178"/>
      <c r="S8536" s="178"/>
    </row>
    <row r="8537" spans="18:19">
      <c r="R8537" s="178"/>
      <c r="S8537" s="178"/>
    </row>
    <row r="8538" spans="18:19">
      <c r="R8538" s="178"/>
      <c r="S8538" s="178"/>
    </row>
    <row r="8539" spans="18:19">
      <c r="R8539" s="178"/>
      <c r="S8539" s="178"/>
    </row>
    <row r="8540" spans="18:19">
      <c r="R8540" s="178"/>
      <c r="S8540" s="178"/>
    </row>
    <row r="8541" spans="18:19">
      <c r="R8541" s="178"/>
      <c r="S8541" s="178"/>
    </row>
    <row r="8542" spans="18:19">
      <c r="R8542" s="178"/>
      <c r="S8542" s="178"/>
    </row>
    <row r="8543" spans="18:19">
      <c r="R8543" s="178"/>
      <c r="S8543" s="178"/>
    </row>
    <row r="8544" spans="18:19">
      <c r="R8544" s="178"/>
      <c r="S8544" s="178"/>
    </row>
    <row r="8545" spans="18:19">
      <c r="R8545" s="178"/>
      <c r="S8545" s="178"/>
    </row>
    <row r="8546" spans="18:19">
      <c r="R8546" s="178"/>
      <c r="S8546" s="178"/>
    </row>
    <row r="8547" spans="18:19">
      <c r="R8547" s="178"/>
      <c r="S8547" s="178"/>
    </row>
    <row r="8548" spans="18:19">
      <c r="R8548" s="178"/>
      <c r="S8548" s="178"/>
    </row>
    <row r="8549" spans="18:19">
      <c r="R8549" s="178"/>
      <c r="S8549" s="178"/>
    </row>
    <row r="8550" spans="18:19">
      <c r="R8550" s="178"/>
      <c r="S8550" s="178"/>
    </row>
    <row r="8551" spans="18:19">
      <c r="R8551" s="178"/>
      <c r="S8551" s="178"/>
    </row>
    <row r="8552" spans="18:19">
      <c r="R8552" s="178"/>
      <c r="S8552" s="178"/>
    </row>
    <row r="8553" spans="18:19">
      <c r="R8553" s="178"/>
      <c r="S8553" s="178"/>
    </row>
    <row r="8554" spans="18:19">
      <c r="R8554" s="178"/>
      <c r="S8554" s="178"/>
    </row>
    <row r="8555" spans="18:19">
      <c r="R8555" s="178"/>
      <c r="S8555" s="178"/>
    </row>
    <row r="8556" spans="18:19">
      <c r="R8556" s="178"/>
      <c r="S8556" s="178"/>
    </row>
    <row r="8557" spans="18:19">
      <c r="R8557" s="178"/>
      <c r="S8557" s="178"/>
    </row>
    <row r="8558" spans="18:19">
      <c r="R8558" s="178"/>
      <c r="S8558" s="178"/>
    </row>
    <row r="8559" spans="18:19">
      <c r="R8559" s="178"/>
      <c r="S8559" s="178"/>
    </row>
    <row r="8560" spans="18:19">
      <c r="R8560" s="178"/>
      <c r="S8560" s="178"/>
    </row>
    <row r="8561" spans="18:19">
      <c r="R8561" s="178"/>
      <c r="S8561" s="178"/>
    </row>
    <row r="8562" spans="18:19">
      <c r="R8562" s="178"/>
      <c r="S8562" s="178"/>
    </row>
    <row r="8563" spans="18:19">
      <c r="R8563" s="178"/>
      <c r="S8563" s="178"/>
    </row>
    <row r="8564" spans="18:19">
      <c r="R8564" s="178"/>
      <c r="S8564" s="178"/>
    </row>
    <row r="8565" spans="18:19">
      <c r="R8565" s="178"/>
      <c r="S8565" s="178"/>
    </row>
    <row r="8566" spans="18:19">
      <c r="R8566" s="178"/>
      <c r="S8566" s="178"/>
    </row>
    <row r="8567" spans="18:19">
      <c r="R8567" s="178"/>
      <c r="S8567" s="178"/>
    </row>
    <row r="8568" spans="18:19">
      <c r="R8568" s="178"/>
      <c r="S8568" s="178"/>
    </row>
    <row r="8569" spans="18:19">
      <c r="R8569" s="178"/>
      <c r="S8569" s="178"/>
    </row>
    <row r="8570" spans="18:19">
      <c r="R8570" s="178"/>
      <c r="S8570" s="178"/>
    </row>
    <row r="8571" spans="18:19">
      <c r="R8571" s="178"/>
      <c r="S8571" s="178"/>
    </row>
    <row r="8572" spans="18:19">
      <c r="R8572" s="178"/>
      <c r="S8572" s="178"/>
    </row>
    <row r="8573" spans="18:19">
      <c r="R8573" s="178"/>
      <c r="S8573" s="178"/>
    </row>
    <row r="8574" spans="18:19">
      <c r="R8574" s="178"/>
      <c r="S8574" s="178"/>
    </row>
    <row r="8575" spans="18:19">
      <c r="R8575" s="178"/>
      <c r="S8575" s="178"/>
    </row>
    <row r="8576" spans="18:19">
      <c r="R8576" s="178"/>
      <c r="S8576" s="178"/>
    </row>
    <row r="8577" spans="18:19">
      <c r="R8577" s="178"/>
      <c r="S8577" s="178"/>
    </row>
    <row r="8578" spans="18:19">
      <c r="R8578" s="178"/>
      <c r="S8578" s="178"/>
    </row>
    <row r="8579" spans="18:19">
      <c r="R8579" s="178"/>
      <c r="S8579" s="178"/>
    </row>
    <row r="8580" spans="18:19">
      <c r="R8580" s="178"/>
      <c r="S8580" s="178"/>
    </row>
    <row r="8581" spans="18:19">
      <c r="R8581" s="178"/>
      <c r="S8581" s="178"/>
    </row>
    <row r="8582" spans="18:19">
      <c r="R8582" s="178"/>
      <c r="S8582" s="178"/>
    </row>
    <row r="8583" spans="18:19">
      <c r="R8583" s="178"/>
      <c r="S8583" s="178"/>
    </row>
    <row r="8584" spans="18:19">
      <c r="R8584" s="178"/>
      <c r="S8584" s="178"/>
    </row>
    <row r="8585" spans="18:19">
      <c r="R8585" s="178"/>
      <c r="S8585" s="178"/>
    </row>
    <row r="8586" spans="18:19">
      <c r="R8586" s="178"/>
      <c r="S8586" s="178"/>
    </row>
    <row r="8587" spans="18:19">
      <c r="R8587" s="178"/>
      <c r="S8587" s="178"/>
    </row>
    <row r="8588" spans="18:19">
      <c r="R8588" s="178"/>
      <c r="S8588" s="178"/>
    </row>
    <row r="8589" spans="18:19">
      <c r="R8589" s="178"/>
      <c r="S8589" s="178"/>
    </row>
    <row r="8590" spans="18:19">
      <c r="R8590" s="178"/>
      <c r="S8590" s="178"/>
    </row>
    <row r="8591" spans="18:19">
      <c r="R8591" s="178"/>
      <c r="S8591" s="178"/>
    </row>
    <row r="8592" spans="18:19">
      <c r="R8592" s="178"/>
      <c r="S8592" s="178"/>
    </row>
    <row r="8593" spans="18:19">
      <c r="R8593" s="178"/>
      <c r="S8593" s="178"/>
    </row>
    <row r="8594" spans="18:19">
      <c r="R8594" s="178"/>
      <c r="S8594" s="178"/>
    </row>
    <row r="8595" spans="18:19">
      <c r="R8595" s="178"/>
      <c r="S8595" s="178"/>
    </row>
    <row r="8596" spans="18:19">
      <c r="R8596" s="178"/>
      <c r="S8596" s="178"/>
    </row>
    <row r="8597" spans="18:19">
      <c r="R8597" s="178"/>
      <c r="S8597" s="178"/>
    </row>
    <row r="8598" spans="18:19">
      <c r="R8598" s="178"/>
      <c r="S8598" s="178"/>
    </row>
    <row r="8599" spans="18:19">
      <c r="R8599" s="178"/>
      <c r="S8599" s="178"/>
    </row>
    <row r="8600" spans="18:19">
      <c r="R8600" s="178"/>
      <c r="S8600" s="178"/>
    </row>
    <row r="8601" spans="18:19">
      <c r="R8601" s="178"/>
      <c r="S8601" s="178"/>
    </row>
    <row r="8602" spans="18:19">
      <c r="R8602" s="178"/>
      <c r="S8602" s="178"/>
    </row>
    <row r="8603" spans="18:19">
      <c r="R8603" s="178"/>
      <c r="S8603" s="178"/>
    </row>
    <row r="8604" spans="18:19">
      <c r="R8604" s="178"/>
      <c r="S8604" s="178"/>
    </row>
    <row r="8605" spans="18:19">
      <c r="R8605" s="178"/>
      <c r="S8605" s="178"/>
    </row>
    <row r="8606" spans="18:19">
      <c r="R8606" s="178"/>
      <c r="S8606" s="178"/>
    </row>
    <row r="8607" spans="18:19">
      <c r="R8607" s="178"/>
      <c r="S8607" s="178"/>
    </row>
    <row r="8608" spans="18:19">
      <c r="R8608" s="178"/>
      <c r="S8608" s="178"/>
    </row>
    <row r="8609" spans="18:19">
      <c r="R8609" s="178"/>
      <c r="S8609" s="178"/>
    </row>
    <row r="8610" spans="18:19">
      <c r="R8610" s="178"/>
      <c r="S8610" s="178"/>
    </row>
    <row r="8611" spans="18:19">
      <c r="R8611" s="178"/>
      <c r="S8611" s="178"/>
    </row>
    <row r="8612" spans="18:19">
      <c r="R8612" s="178"/>
      <c r="S8612" s="178"/>
    </row>
    <row r="8613" spans="18:19">
      <c r="R8613" s="178"/>
      <c r="S8613" s="178"/>
    </row>
    <row r="8614" spans="18:19">
      <c r="R8614" s="178"/>
      <c r="S8614" s="178"/>
    </row>
    <row r="8615" spans="18:19">
      <c r="R8615" s="178"/>
      <c r="S8615" s="178"/>
    </row>
    <row r="8616" spans="18:19">
      <c r="R8616" s="178"/>
      <c r="S8616" s="178"/>
    </row>
    <row r="8617" spans="18:19">
      <c r="R8617" s="178"/>
      <c r="S8617" s="178"/>
    </row>
    <row r="8618" spans="18:19">
      <c r="R8618" s="178"/>
      <c r="S8618" s="178"/>
    </row>
    <row r="8619" spans="18:19">
      <c r="R8619" s="178"/>
      <c r="S8619" s="178"/>
    </row>
    <row r="8620" spans="18:19">
      <c r="R8620" s="178"/>
      <c r="S8620" s="178"/>
    </row>
    <row r="8621" spans="18:19">
      <c r="R8621" s="178"/>
      <c r="S8621" s="178"/>
    </row>
    <row r="8622" spans="18:19">
      <c r="R8622" s="178"/>
      <c r="S8622" s="178"/>
    </row>
    <row r="8623" spans="18:19">
      <c r="R8623" s="178"/>
      <c r="S8623" s="178"/>
    </row>
    <row r="8624" spans="18:19">
      <c r="R8624" s="178"/>
      <c r="S8624" s="178"/>
    </row>
    <row r="8625" spans="18:19">
      <c r="R8625" s="178"/>
      <c r="S8625" s="178"/>
    </row>
    <row r="8626" spans="18:19">
      <c r="R8626" s="178"/>
      <c r="S8626" s="178"/>
    </row>
    <row r="8627" spans="18:19">
      <c r="R8627" s="178"/>
      <c r="S8627" s="178"/>
    </row>
    <row r="8628" spans="18:19">
      <c r="R8628" s="178"/>
      <c r="S8628" s="178"/>
    </row>
    <row r="8629" spans="18:19">
      <c r="R8629" s="178"/>
      <c r="S8629" s="178"/>
    </row>
    <row r="8630" spans="18:19">
      <c r="R8630" s="178"/>
      <c r="S8630" s="178"/>
    </row>
    <row r="8631" spans="18:19">
      <c r="R8631" s="178"/>
      <c r="S8631" s="178"/>
    </row>
    <row r="8632" spans="18:19">
      <c r="R8632" s="178"/>
      <c r="S8632" s="178"/>
    </row>
    <row r="8633" spans="18:19">
      <c r="R8633" s="178"/>
      <c r="S8633" s="178"/>
    </row>
    <row r="8634" spans="18:19">
      <c r="R8634" s="178"/>
      <c r="S8634" s="178"/>
    </row>
    <row r="8635" spans="18:19">
      <c r="R8635" s="178"/>
      <c r="S8635" s="178"/>
    </row>
    <row r="8636" spans="18:19">
      <c r="R8636" s="178"/>
      <c r="S8636" s="178"/>
    </row>
    <row r="8637" spans="18:19">
      <c r="R8637" s="178"/>
      <c r="S8637" s="178"/>
    </row>
    <row r="8638" spans="18:19">
      <c r="R8638" s="178"/>
      <c r="S8638" s="178"/>
    </row>
    <row r="8639" spans="18:19">
      <c r="R8639" s="178"/>
      <c r="S8639" s="178"/>
    </row>
    <row r="8640" spans="18:19">
      <c r="R8640" s="178"/>
      <c r="S8640" s="178"/>
    </row>
    <row r="8641" spans="18:19">
      <c r="R8641" s="178"/>
      <c r="S8641" s="178"/>
    </row>
    <row r="8642" spans="18:19">
      <c r="R8642" s="178"/>
      <c r="S8642" s="178"/>
    </row>
    <row r="8643" spans="18:19">
      <c r="R8643" s="178"/>
      <c r="S8643" s="178"/>
    </row>
    <row r="8644" spans="18:19">
      <c r="R8644" s="178"/>
      <c r="S8644" s="178"/>
    </row>
    <row r="8645" spans="18:19">
      <c r="R8645" s="178"/>
      <c r="S8645" s="178"/>
    </row>
    <row r="8646" spans="18:19">
      <c r="R8646" s="178"/>
      <c r="S8646" s="178"/>
    </row>
    <row r="8647" spans="18:19">
      <c r="R8647" s="178"/>
      <c r="S8647" s="178"/>
    </row>
    <row r="8648" spans="18:19">
      <c r="R8648" s="178"/>
      <c r="S8648" s="178"/>
    </row>
    <row r="8649" spans="18:19">
      <c r="R8649" s="178"/>
      <c r="S8649" s="178"/>
    </row>
    <row r="8650" spans="18:19">
      <c r="R8650" s="178"/>
      <c r="S8650" s="178"/>
    </row>
    <row r="8651" spans="18:19">
      <c r="R8651" s="178"/>
      <c r="S8651" s="178"/>
    </row>
    <row r="8652" spans="18:19">
      <c r="R8652" s="178"/>
      <c r="S8652" s="178"/>
    </row>
    <row r="8653" spans="18:19">
      <c r="R8653" s="178"/>
      <c r="S8653" s="178"/>
    </row>
    <row r="8654" spans="18:19">
      <c r="R8654" s="178"/>
      <c r="S8654" s="178"/>
    </row>
    <row r="8655" spans="18:19">
      <c r="R8655" s="178"/>
      <c r="S8655" s="178"/>
    </row>
    <row r="8656" spans="18:19">
      <c r="R8656" s="178"/>
      <c r="S8656" s="178"/>
    </row>
    <row r="8657" spans="18:19">
      <c r="R8657" s="178"/>
      <c r="S8657" s="178"/>
    </row>
    <row r="8658" spans="18:19">
      <c r="R8658" s="178"/>
      <c r="S8658" s="178"/>
    </row>
    <row r="8659" spans="18:19">
      <c r="R8659" s="178"/>
      <c r="S8659" s="178"/>
    </row>
    <row r="8660" spans="18:19">
      <c r="R8660" s="178"/>
      <c r="S8660" s="178"/>
    </row>
    <row r="8661" spans="18:19">
      <c r="R8661" s="178"/>
      <c r="S8661" s="178"/>
    </row>
    <row r="8662" spans="18:19">
      <c r="R8662" s="178"/>
      <c r="S8662" s="178"/>
    </row>
    <row r="8663" spans="18:19">
      <c r="R8663" s="178"/>
      <c r="S8663" s="178"/>
    </row>
    <row r="8664" spans="18:19">
      <c r="R8664" s="178"/>
      <c r="S8664" s="178"/>
    </row>
    <row r="8665" spans="18:19">
      <c r="R8665" s="178"/>
      <c r="S8665" s="178"/>
    </row>
    <row r="8666" spans="18:19">
      <c r="R8666" s="178"/>
      <c r="S8666" s="178"/>
    </row>
    <row r="8667" spans="18:19">
      <c r="R8667" s="178"/>
      <c r="S8667" s="178"/>
    </row>
    <row r="8668" spans="18:19">
      <c r="R8668" s="178"/>
      <c r="S8668" s="178"/>
    </row>
    <row r="8669" spans="18:19">
      <c r="R8669" s="178"/>
      <c r="S8669" s="178"/>
    </row>
    <row r="8670" spans="18:19">
      <c r="R8670" s="178"/>
      <c r="S8670" s="178"/>
    </row>
    <row r="8671" spans="18:19">
      <c r="R8671" s="178"/>
      <c r="S8671" s="178"/>
    </row>
    <row r="8672" spans="18:19">
      <c r="R8672" s="178"/>
      <c r="S8672" s="178"/>
    </row>
    <row r="8673" spans="18:19">
      <c r="R8673" s="178"/>
      <c r="S8673" s="178"/>
    </row>
    <row r="8674" spans="18:19">
      <c r="R8674" s="178"/>
      <c r="S8674" s="178"/>
    </row>
    <row r="8675" spans="18:19">
      <c r="R8675" s="178"/>
      <c r="S8675" s="178"/>
    </row>
    <row r="8676" spans="18:19">
      <c r="R8676" s="178"/>
      <c r="S8676" s="178"/>
    </row>
    <row r="8677" spans="18:19">
      <c r="R8677" s="178"/>
      <c r="S8677" s="178"/>
    </row>
    <row r="8678" spans="18:19">
      <c r="R8678" s="178"/>
      <c r="S8678" s="178"/>
    </row>
    <row r="8679" spans="18:19">
      <c r="R8679" s="178"/>
      <c r="S8679" s="178"/>
    </row>
    <row r="8680" spans="18:19">
      <c r="R8680" s="178"/>
      <c r="S8680" s="178"/>
    </row>
    <row r="8681" spans="18:19">
      <c r="R8681" s="178"/>
      <c r="S8681" s="178"/>
    </row>
    <row r="8682" spans="18:19">
      <c r="R8682" s="178"/>
      <c r="S8682" s="178"/>
    </row>
    <row r="8683" spans="18:19">
      <c r="R8683" s="178"/>
      <c r="S8683" s="178"/>
    </row>
    <row r="8684" spans="18:19">
      <c r="R8684" s="178"/>
      <c r="S8684" s="178"/>
    </row>
    <row r="8685" spans="18:19">
      <c r="R8685" s="178"/>
      <c r="S8685" s="178"/>
    </row>
    <row r="8686" spans="18:19">
      <c r="R8686" s="178"/>
      <c r="S8686" s="178"/>
    </row>
    <row r="8687" spans="18:19">
      <c r="R8687" s="178"/>
      <c r="S8687" s="178"/>
    </row>
    <row r="8688" spans="18:19">
      <c r="R8688" s="178"/>
      <c r="S8688" s="178"/>
    </row>
    <row r="8689" spans="18:19">
      <c r="R8689" s="178"/>
      <c r="S8689" s="178"/>
    </row>
    <row r="8690" spans="18:19">
      <c r="R8690" s="178"/>
      <c r="S8690" s="178"/>
    </row>
    <row r="8691" spans="18:19">
      <c r="R8691" s="178"/>
      <c r="S8691" s="178"/>
    </row>
    <row r="8692" spans="18:19">
      <c r="R8692" s="178"/>
      <c r="S8692" s="178"/>
    </row>
    <row r="8693" spans="18:19">
      <c r="R8693" s="178"/>
      <c r="S8693" s="178"/>
    </row>
    <row r="8694" spans="18:19">
      <c r="R8694" s="178"/>
      <c r="S8694" s="178"/>
    </row>
    <row r="8695" spans="18:19">
      <c r="R8695" s="178"/>
      <c r="S8695" s="178"/>
    </row>
    <row r="8696" spans="18:19">
      <c r="R8696" s="178"/>
      <c r="S8696" s="178"/>
    </row>
    <row r="8697" spans="18:19">
      <c r="R8697" s="178"/>
      <c r="S8697" s="178"/>
    </row>
    <row r="8698" spans="18:19">
      <c r="R8698" s="178"/>
      <c r="S8698" s="178"/>
    </row>
    <row r="8699" spans="18:19">
      <c r="R8699" s="178"/>
      <c r="S8699" s="178"/>
    </row>
    <row r="8700" spans="18:19">
      <c r="R8700" s="178"/>
      <c r="S8700" s="178"/>
    </row>
    <row r="8701" spans="18:19">
      <c r="R8701" s="178"/>
      <c r="S8701" s="178"/>
    </row>
    <row r="8702" spans="18:19">
      <c r="R8702" s="178"/>
      <c r="S8702" s="178"/>
    </row>
    <row r="8703" spans="18:19">
      <c r="R8703" s="178"/>
      <c r="S8703" s="178"/>
    </row>
    <row r="8704" spans="18:19">
      <c r="R8704" s="178"/>
      <c r="S8704" s="178"/>
    </row>
    <row r="8705" spans="18:19">
      <c r="R8705" s="178"/>
      <c r="S8705" s="178"/>
    </row>
    <row r="8706" spans="18:19">
      <c r="R8706" s="178"/>
      <c r="S8706" s="178"/>
    </row>
    <row r="8707" spans="18:19">
      <c r="R8707" s="178"/>
      <c r="S8707" s="178"/>
    </row>
    <row r="8708" spans="18:19">
      <c r="R8708" s="178"/>
      <c r="S8708" s="178"/>
    </row>
    <row r="8709" spans="18:19">
      <c r="R8709" s="178"/>
      <c r="S8709" s="178"/>
    </row>
    <row r="8710" spans="18:19">
      <c r="R8710" s="178"/>
      <c r="S8710" s="178"/>
    </row>
    <row r="8711" spans="18:19">
      <c r="R8711" s="178"/>
      <c r="S8711" s="178"/>
    </row>
    <row r="8712" spans="18:19">
      <c r="R8712" s="178"/>
      <c r="S8712" s="178"/>
    </row>
    <row r="8713" spans="18:19">
      <c r="R8713" s="178"/>
      <c r="S8713" s="178"/>
    </row>
    <row r="8714" spans="18:19">
      <c r="R8714" s="178"/>
      <c r="S8714" s="178"/>
    </row>
    <row r="8715" spans="18:19">
      <c r="R8715" s="178"/>
      <c r="S8715" s="178"/>
    </row>
    <row r="8716" spans="18:19">
      <c r="R8716" s="178"/>
      <c r="S8716" s="178"/>
    </row>
    <row r="8717" spans="18:19">
      <c r="R8717" s="178"/>
      <c r="S8717" s="178"/>
    </row>
    <row r="8718" spans="18:19">
      <c r="R8718" s="178"/>
      <c r="S8718" s="178"/>
    </row>
    <row r="8719" spans="18:19">
      <c r="R8719" s="178"/>
      <c r="S8719" s="178"/>
    </row>
    <row r="8720" spans="18:19">
      <c r="R8720" s="178"/>
      <c r="S8720" s="178"/>
    </row>
    <row r="8721" spans="18:19">
      <c r="R8721" s="178"/>
      <c r="S8721" s="178"/>
    </row>
    <row r="8722" spans="18:19">
      <c r="R8722" s="178"/>
      <c r="S8722" s="178"/>
    </row>
    <row r="8723" spans="18:19">
      <c r="R8723" s="178"/>
      <c r="S8723" s="178"/>
    </row>
    <row r="8724" spans="18:19">
      <c r="R8724" s="178"/>
      <c r="S8724" s="178"/>
    </row>
    <row r="8725" spans="18:19">
      <c r="R8725" s="178"/>
      <c r="S8725" s="178"/>
    </row>
    <row r="8726" spans="18:19">
      <c r="R8726" s="178"/>
      <c r="S8726" s="178"/>
    </row>
    <row r="8727" spans="18:19">
      <c r="R8727" s="178"/>
      <c r="S8727" s="178"/>
    </row>
    <row r="8728" spans="18:19">
      <c r="R8728" s="178"/>
      <c r="S8728" s="178"/>
    </row>
    <row r="8729" spans="18:19">
      <c r="R8729" s="178"/>
      <c r="S8729" s="178"/>
    </row>
    <row r="8730" spans="18:19">
      <c r="R8730" s="178"/>
      <c r="S8730" s="178"/>
    </row>
    <row r="8731" spans="18:19">
      <c r="R8731" s="178"/>
      <c r="S8731" s="178"/>
    </row>
    <row r="8732" spans="18:19">
      <c r="R8732" s="178"/>
      <c r="S8732" s="178"/>
    </row>
    <row r="8733" spans="18:19">
      <c r="R8733" s="178"/>
      <c r="S8733" s="178"/>
    </row>
    <row r="8734" spans="18:19">
      <c r="R8734" s="178"/>
      <c r="S8734" s="178"/>
    </row>
    <row r="8735" spans="18:19">
      <c r="R8735" s="178"/>
      <c r="S8735" s="178"/>
    </row>
    <row r="8736" spans="18:19">
      <c r="R8736" s="178"/>
      <c r="S8736" s="178"/>
    </row>
    <row r="8737" spans="18:19">
      <c r="R8737" s="178"/>
      <c r="S8737" s="178"/>
    </row>
    <row r="8738" spans="18:19">
      <c r="R8738" s="178"/>
      <c r="S8738" s="178"/>
    </row>
    <row r="8739" spans="18:19">
      <c r="R8739" s="178"/>
      <c r="S8739" s="178"/>
    </row>
    <row r="8740" spans="18:19">
      <c r="R8740" s="178"/>
      <c r="S8740" s="178"/>
    </row>
    <row r="8741" spans="18:19">
      <c r="R8741" s="178"/>
      <c r="S8741" s="178"/>
    </row>
    <row r="8742" spans="18:19">
      <c r="R8742" s="178"/>
      <c r="S8742" s="178"/>
    </row>
    <row r="8743" spans="18:19">
      <c r="R8743" s="178"/>
      <c r="S8743" s="178"/>
    </row>
    <row r="8744" spans="18:19">
      <c r="R8744" s="178"/>
      <c r="S8744" s="178"/>
    </row>
    <row r="8745" spans="18:19">
      <c r="R8745" s="178"/>
      <c r="S8745" s="178"/>
    </row>
    <row r="8746" spans="18:19">
      <c r="R8746" s="178"/>
      <c r="S8746" s="178"/>
    </row>
    <row r="8747" spans="18:19">
      <c r="R8747" s="178"/>
      <c r="S8747" s="178"/>
    </row>
    <row r="8748" spans="18:19">
      <c r="R8748" s="178"/>
      <c r="S8748" s="178"/>
    </row>
    <row r="8749" spans="18:19">
      <c r="R8749" s="178"/>
      <c r="S8749" s="178"/>
    </row>
    <row r="8750" spans="18:19">
      <c r="R8750" s="178"/>
      <c r="S8750" s="178"/>
    </row>
    <row r="8751" spans="18:19">
      <c r="R8751" s="178"/>
      <c r="S8751" s="178"/>
    </row>
    <row r="8752" spans="18:19">
      <c r="R8752" s="178"/>
      <c r="S8752" s="178"/>
    </row>
    <row r="8753" spans="18:19">
      <c r="R8753" s="178"/>
      <c r="S8753" s="178"/>
    </row>
    <row r="8754" spans="18:19">
      <c r="R8754" s="178"/>
      <c r="S8754" s="178"/>
    </row>
    <row r="8755" spans="18:19">
      <c r="R8755" s="178"/>
      <c r="S8755" s="178"/>
    </row>
    <row r="8756" spans="18:19">
      <c r="R8756" s="178"/>
      <c r="S8756" s="178"/>
    </row>
    <row r="8757" spans="18:19">
      <c r="R8757" s="178"/>
      <c r="S8757" s="178"/>
    </row>
    <row r="8758" spans="18:19">
      <c r="R8758" s="178"/>
      <c r="S8758" s="178"/>
    </row>
    <row r="8759" spans="18:19">
      <c r="R8759" s="178"/>
      <c r="S8759" s="178"/>
    </row>
    <row r="8760" spans="18:19">
      <c r="R8760" s="178"/>
      <c r="S8760" s="178"/>
    </row>
    <row r="8761" spans="18:19">
      <c r="R8761" s="178"/>
      <c r="S8761" s="178"/>
    </row>
    <row r="8762" spans="18:19">
      <c r="R8762" s="178"/>
      <c r="S8762" s="178"/>
    </row>
    <row r="8763" spans="18:19">
      <c r="R8763" s="178"/>
      <c r="S8763" s="178"/>
    </row>
    <row r="8764" spans="18:19">
      <c r="R8764" s="178"/>
      <c r="S8764" s="178"/>
    </row>
    <row r="8765" spans="18:19">
      <c r="R8765" s="178"/>
      <c r="S8765" s="178"/>
    </row>
    <row r="8766" spans="18:19">
      <c r="R8766" s="178"/>
      <c r="S8766" s="178"/>
    </row>
    <row r="8767" spans="18:19">
      <c r="R8767" s="178"/>
      <c r="S8767" s="178"/>
    </row>
    <row r="8768" spans="18:19">
      <c r="R8768" s="178"/>
      <c r="S8768" s="178"/>
    </row>
    <row r="8769" spans="18:19">
      <c r="R8769" s="178"/>
      <c r="S8769" s="178"/>
    </row>
    <row r="8770" spans="18:19">
      <c r="R8770" s="178"/>
      <c r="S8770" s="178"/>
    </row>
    <row r="8771" spans="18:19">
      <c r="R8771" s="178"/>
      <c r="S8771" s="178"/>
    </row>
    <row r="8772" spans="18:19">
      <c r="R8772" s="178"/>
      <c r="S8772" s="178"/>
    </row>
    <row r="8773" spans="18:19">
      <c r="R8773" s="178"/>
      <c r="S8773" s="178"/>
    </row>
    <row r="8774" spans="18:19">
      <c r="R8774" s="178"/>
      <c r="S8774" s="178"/>
    </row>
    <row r="8775" spans="18:19">
      <c r="R8775" s="178"/>
      <c r="S8775" s="178"/>
    </row>
    <row r="8776" spans="18:19">
      <c r="R8776" s="178"/>
      <c r="S8776" s="178"/>
    </row>
    <row r="8777" spans="18:19">
      <c r="R8777" s="178"/>
      <c r="S8777" s="178"/>
    </row>
    <row r="8778" spans="18:19">
      <c r="R8778" s="178"/>
      <c r="S8778" s="178"/>
    </row>
    <row r="8779" spans="18:19">
      <c r="R8779" s="178"/>
      <c r="S8779" s="178"/>
    </row>
    <row r="8780" spans="18:19">
      <c r="R8780" s="178"/>
      <c r="S8780" s="178"/>
    </row>
    <row r="8781" spans="18:19">
      <c r="R8781" s="178"/>
      <c r="S8781" s="178"/>
    </row>
    <row r="8782" spans="18:19">
      <c r="R8782" s="178"/>
      <c r="S8782" s="178"/>
    </row>
    <row r="8783" spans="18:19">
      <c r="R8783" s="178"/>
      <c r="S8783" s="178"/>
    </row>
    <row r="8784" spans="18:19">
      <c r="R8784" s="178"/>
      <c r="S8784" s="178"/>
    </row>
    <row r="8785" spans="18:19">
      <c r="R8785" s="178"/>
      <c r="S8785" s="178"/>
    </row>
    <row r="8786" spans="18:19">
      <c r="R8786" s="178"/>
      <c r="S8786" s="178"/>
    </row>
    <row r="8787" spans="18:19">
      <c r="R8787" s="178"/>
      <c r="S8787" s="178"/>
    </row>
    <row r="8788" spans="18:19">
      <c r="R8788" s="178"/>
      <c r="S8788" s="178"/>
    </row>
    <row r="8789" spans="18:19">
      <c r="R8789" s="178"/>
      <c r="S8789" s="178"/>
    </row>
    <row r="8790" spans="18:19">
      <c r="R8790" s="178"/>
      <c r="S8790" s="178"/>
    </row>
    <row r="8791" spans="18:19">
      <c r="R8791" s="178"/>
      <c r="S8791" s="178"/>
    </row>
    <row r="8792" spans="18:19">
      <c r="R8792" s="178"/>
      <c r="S8792" s="178"/>
    </row>
    <row r="8793" spans="18:19">
      <c r="R8793" s="178"/>
      <c r="S8793" s="178"/>
    </row>
    <row r="8794" spans="18:19">
      <c r="R8794" s="178"/>
      <c r="S8794" s="178"/>
    </row>
    <row r="8795" spans="18:19">
      <c r="R8795" s="178"/>
      <c r="S8795" s="178"/>
    </row>
    <row r="8796" spans="18:19">
      <c r="R8796" s="178"/>
      <c r="S8796" s="178"/>
    </row>
    <row r="8797" spans="18:19">
      <c r="R8797" s="178"/>
      <c r="S8797" s="178"/>
    </row>
    <row r="8798" spans="18:19">
      <c r="R8798" s="178"/>
      <c r="S8798" s="178"/>
    </row>
    <row r="8799" spans="18:19">
      <c r="R8799" s="178"/>
      <c r="S8799" s="178"/>
    </row>
    <row r="8800" spans="18:19">
      <c r="R8800" s="178"/>
      <c r="S8800" s="178"/>
    </row>
    <row r="8801" spans="18:19">
      <c r="R8801" s="178"/>
      <c r="S8801" s="178"/>
    </row>
    <row r="8802" spans="18:19">
      <c r="R8802" s="178"/>
      <c r="S8802" s="178"/>
    </row>
    <row r="8803" spans="18:19">
      <c r="R8803" s="178"/>
      <c r="S8803" s="178"/>
    </row>
    <row r="8804" spans="18:19">
      <c r="R8804" s="178"/>
      <c r="S8804" s="178"/>
    </row>
    <row r="8805" spans="18:19">
      <c r="R8805" s="178"/>
      <c r="S8805" s="178"/>
    </row>
    <row r="8806" spans="18:19">
      <c r="R8806" s="178"/>
      <c r="S8806" s="178"/>
    </row>
    <row r="8807" spans="18:19">
      <c r="R8807" s="178"/>
      <c r="S8807" s="178"/>
    </row>
    <row r="8808" spans="18:19">
      <c r="R8808" s="178"/>
      <c r="S8808" s="178"/>
    </row>
    <row r="8809" spans="18:19">
      <c r="R8809" s="178"/>
      <c r="S8809" s="178"/>
    </row>
    <row r="8810" spans="18:19">
      <c r="R8810" s="178"/>
      <c r="S8810" s="178"/>
    </row>
    <row r="8811" spans="18:19">
      <c r="R8811" s="178"/>
      <c r="S8811" s="178"/>
    </row>
    <row r="8812" spans="18:19">
      <c r="R8812" s="178"/>
      <c r="S8812" s="178"/>
    </row>
    <row r="8813" spans="18:19">
      <c r="R8813" s="178"/>
      <c r="S8813" s="178"/>
    </row>
    <row r="8814" spans="18:19">
      <c r="R8814" s="178"/>
      <c r="S8814" s="178"/>
    </row>
    <row r="8815" spans="18:19">
      <c r="R8815" s="178"/>
      <c r="S8815" s="178"/>
    </row>
    <row r="8816" spans="18:19">
      <c r="R8816" s="178"/>
      <c r="S8816" s="178"/>
    </row>
    <row r="8817" spans="18:19">
      <c r="R8817" s="178"/>
      <c r="S8817" s="178"/>
    </row>
    <row r="8818" spans="18:19">
      <c r="R8818" s="178"/>
      <c r="S8818" s="178"/>
    </row>
    <row r="8819" spans="18:19">
      <c r="R8819" s="178"/>
      <c r="S8819" s="178"/>
    </row>
    <row r="8820" spans="18:19">
      <c r="R8820" s="178"/>
      <c r="S8820" s="178"/>
    </row>
    <row r="8821" spans="18:19">
      <c r="R8821" s="178"/>
      <c r="S8821" s="178"/>
    </row>
    <row r="8822" spans="18:19">
      <c r="R8822" s="178"/>
      <c r="S8822" s="178"/>
    </row>
    <row r="8823" spans="18:19">
      <c r="R8823" s="178"/>
      <c r="S8823" s="178"/>
    </row>
    <row r="8824" spans="18:19">
      <c r="R8824" s="178"/>
      <c r="S8824" s="178"/>
    </row>
    <row r="8825" spans="18:19">
      <c r="R8825" s="178"/>
      <c r="S8825" s="178"/>
    </row>
    <row r="8826" spans="18:19">
      <c r="R8826" s="178"/>
      <c r="S8826" s="178"/>
    </row>
    <row r="8827" spans="18:19">
      <c r="R8827" s="178"/>
      <c r="S8827" s="178"/>
    </row>
    <row r="8828" spans="18:19">
      <c r="R8828" s="178"/>
      <c r="S8828" s="178"/>
    </row>
    <row r="8829" spans="18:19">
      <c r="R8829" s="178"/>
      <c r="S8829" s="178"/>
    </row>
    <row r="8830" spans="18:19">
      <c r="R8830" s="178"/>
      <c r="S8830" s="178"/>
    </row>
    <row r="8831" spans="18:19">
      <c r="R8831" s="178"/>
      <c r="S8831" s="178"/>
    </row>
    <row r="8832" spans="18:19">
      <c r="R8832" s="178"/>
      <c r="S8832" s="178"/>
    </row>
    <row r="8833" spans="18:19">
      <c r="R8833" s="178"/>
      <c r="S8833" s="178"/>
    </row>
    <row r="8834" spans="18:19">
      <c r="R8834" s="178"/>
      <c r="S8834" s="178"/>
    </row>
    <row r="8835" spans="18:19">
      <c r="R8835" s="178"/>
      <c r="S8835" s="178"/>
    </row>
    <row r="8836" spans="18:19">
      <c r="R8836" s="178"/>
      <c r="S8836" s="178"/>
    </row>
    <row r="8837" spans="18:19">
      <c r="R8837" s="178"/>
      <c r="S8837" s="178"/>
    </row>
    <row r="8838" spans="18:19">
      <c r="R8838" s="178"/>
      <c r="S8838" s="178"/>
    </row>
    <row r="8839" spans="18:19">
      <c r="R8839" s="178"/>
      <c r="S8839" s="178"/>
    </row>
    <row r="8840" spans="18:19">
      <c r="R8840" s="178"/>
      <c r="S8840" s="178"/>
    </row>
    <row r="8841" spans="18:19">
      <c r="R8841" s="178"/>
      <c r="S8841" s="178"/>
    </row>
    <row r="8842" spans="18:19">
      <c r="R8842" s="178"/>
      <c r="S8842" s="178"/>
    </row>
    <row r="8843" spans="18:19">
      <c r="R8843" s="178"/>
      <c r="S8843" s="178"/>
    </row>
    <row r="8844" spans="18:19">
      <c r="R8844" s="178"/>
      <c r="S8844" s="178"/>
    </row>
    <row r="8845" spans="18:19">
      <c r="R8845" s="178"/>
      <c r="S8845" s="178"/>
    </row>
    <row r="8846" spans="18:19">
      <c r="R8846" s="178"/>
      <c r="S8846" s="178"/>
    </row>
    <row r="8847" spans="18:19">
      <c r="R8847" s="178"/>
      <c r="S8847" s="178"/>
    </row>
    <row r="8848" spans="18:19">
      <c r="R8848" s="178"/>
      <c r="S8848" s="178"/>
    </row>
    <row r="8849" spans="18:19">
      <c r="R8849" s="178"/>
      <c r="S8849" s="178"/>
    </row>
    <row r="8850" spans="18:19">
      <c r="R8850" s="178"/>
      <c r="S8850" s="178"/>
    </row>
    <row r="8851" spans="18:19">
      <c r="R8851" s="178"/>
      <c r="S8851" s="178"/>
    </row>
    <row r="8852" spans="18:19">
      <c r="R8852" s="178"/>
      <c r="S8852" s="178"/>
    </row>
    <row r="8853" spans="18:19">
      <c r="R8853" s="178"/>
      <c r="S8853" s="178"/>
    </row>
    <row r="8854" spans="18:19">
      <c r="R8854" s="178"/>
      <c r="S8854" s="178"/>
    </row>
    <row r="8855" spans="18:19">
      <c r="R8855" s="178"/>
      <c r="S8855" s="178"/>
    </row>
    <row r="8856" spans="18:19">
      <c r="R8856" s="178"/>
      <c r="S8856" s="178"/>
    </row>
    <row r="8857" spans="18:19">
      <c r="R8857" s="178"/>
      <c r="S8857" s="178"/>
    </row>
    <row r="8858" spans="18:19">
      <c r="R8858" s="178"/>
      <c r="S8858" s="178"/>
    </row>
    <row r="8859" spans="18:19">
      <c r="R8859" s="178"/>
      <c r="S8859" s="178"/>
    </row>
    <row r="8860" spans="18:19">
      <c r="R8860" s="178"/>
      <c r="S8860" s="178"/>
    </row>
    <row r="8861" spans="18:19">
      <c r="R8861" s="178"/>
      <c r="S8861" s="178"/>
    </row>
    <row r="8862" spans="18:19">
      <c r="R8862" s="178"/>
      <c r="S8862" s="178"/>
    </row>
    <row r="8863" spans="18:19">
      <c r="R8863" s="178"/>
      <c r="S8863" s="178"/>
    </row>
    <row r="8864" spans="18:19">
      <c r="R8864" s="178"/>
      <c r="S8864" s="178"/>
    </row>
    <row r="8865" spans="18:19">
      <c r="R8865" s="178"/>
      <c r="S8865" s="178"/>
    </row>
    <row r="8866" spans="18:19">
      <c r="R8866" s="178"/>
      <c r="S8866" s="178"/>
    </row>
    <row r="8867" spans="18:19">
      <c r="R8867" s="178"/>
      <c r="S8867" s="178"/>
    </row>
    <row r="8868" spans="18:19">
      <c r="R8868" s="178"/>
      <c r="S8868" s="178"/>
    </row>
    <row r="8869" spans="18:19">
      <c r="R8869" s="178"/>
      <c r="S8869" s="178"/>
    </row>
    <row r="8870" spans="18:19">
      <c r="R8870" s="178"/>
      <c r="S8870" s="178"/>
    </row>
    <row r="8871" spans="18:19">
      <c r="R8871" s="178"/>
      <c r="S8871" s="178"/>
    </row>
    <row r="8872" spans="18:19">
      <c r="R8872" s="178"/>
      <c r="S8872" s="178"/>
    </row>
    <row r="8873" spans="18:19">
      <c r="R8873" s="178"/>
      <c r="S8873" s="178"/>
    </row>
    <row r="8874" spans="18:19">
      <c r="R8874" s="178"/>
      <c r="S8874" s="178"/>
    </row>
    <row r="8875" spans="18:19">
      <c r="R8875" s="178"/>
      <c r="S8875" s="178"/>
    </row>
    <row r="8876" spans="18:19">
      <c r="R8876" s="178"/>
      <c r="S8876" s="178"/>
    </row>
    <row r="8877" spans="18:19">
      <c r="R8877" s="178"/>
      <c r="S8877" s="178"/>
    </row>
    <row r="8878" spans="18:19">
      <c r="R8878" s="178"/>
      <c r="S8878" s="178"/>
    </row>
    <row r="8879" spans="18:19">
      <c r="R8879" s="178"/>
      <c r="S8879" s="178"/>
    </row>
    <row r="8880" spans="18:19">
      <c r="R8880" s="178"/>
      <c r="S8880" s="178"/>
    </row>
    <row r="8881" spans="18:19">
      <c r="R8881" s="178"/>
      <c r="S8881" s="178"/>
    </row>
    <row r="8882" spans="18:19">
      <c r="R8882" s="178"/>
      <c r="S8882" s="178"/>
    </row>
    <row r="8883" spans="18:19">
      <c r="R8883" s="178"/>
      <c r="S8883" s="178"/>
    </row>
    <row r="8884" spans="18:19">
      <c r="R8884" s="178"/>
      <c r="S8884" s="178"/>
    </row>
    <row r="8885" spans="18:19">
      <c r="R8885" s="178"/>
      <c r="S8885" s="178"/>
    </row>
    <row r="8886" spans="18:19">
      <c r="R8886" s="178"/>
      <c r="S8886" s="178"/>
    </row>
    <row r="8887" spans="18:19">
      <c r="R8887" s="178"/>
      <c r="S8887" s="178"/>
    </row>
    <row r="8888" spans="18:19">
      <c r="R8888" s="178"/>
      <c r="S8888" s="178"/>
    </row>
    <row r="8889" spans="18:19">
      <c r="R8889" s="178"/>
      <c r="S8889" s="178"/>
    </row>
    <row r="8890" spans="18:19">
      <c r="R8890" s="178"/>
      <c r="S8890" s="178"/>
    </row>
    <row r="8891" spans="18:19">
      <c r="R8891" s="178"/>
      <c r="S8891" s="178"/>
    </row>
    <row r="8892" spans="18:19">
      <c r="R8892" s="178"/>
      <c r="S8892" s="178"/>
    </row>
    <row r="8893" spans="18:19">
      <c r="R8893" s="178"/>
      <c r="S8893" s="178"/>
    </row>
    <row r="8894" spans="18:19">
      <c r="R8894" s="178"/>
      <c r="S8894" s="178"/>
    </row>
    <row r="8895" spans="18:19">
      <c r="R8895" s="178"/>
      <c r="S8895" s="178"/>
    </row>
    <row r="8896" spans="18:19">
      <c r="R8896" s="178"/>
      <c r="S8896" s="178"/>
    </row>
    <row r="8897" spans="18:19">
      <c r="R8897" s="178"/>
      <c r="S8897" s="178"/>
    </row>
    <row r="8898" spans="18:19">
      <c r="R8898" s="178"/>
      <c r="S8898" s="178"/>
    </row>
    <row r="8899" spans="18:19">
      <c r="R8899" s="178"/>
      <c r="S8899" s="178"/>
    </row>
    <row r="8900" spans="18:19">
      <c r="R8900" s="178"/>
      <c r="S8900" s="178"/>
    </row>
    <row r="8901" spans="18:19">
      <c r="R8901" s="178"/>
      <c r="S8901" s="178"/>
    </row>
    <row r="8902" spans="18:19">
      <c r="R8902" s="178"/>
      <c r="S8902" s="178"/>
    </row>
    <row r="8903" spans="18:19">
      <c r="R8903" s="178"/>
      <c r="S8903" s="178"/>
    </row>
    <row r="8904" spans="18:19">
      <c r="R8904" s="178"/>
      <c r="S8904" s="178"/>
    </row>
    <row r="8905" spans="18:19">
      <c r="R8905" s="178"/>
      <c r="S8905" s="178"/>
    </row>
    <row r="8906" spans="18:19">
      <c r="R8906" s="178"/>
      <c r="S8906" s="178"/>
    </row>
    <row r="8907" spans="18:19">
      <c r="R8907" s="178"/>
      <c r="S8907" s="178"/>
    </row>
    <row r="8908" spans="18:19">
      <c r="R8908" s="178"/>
      <c r="S8908" s="178"/>
    </row>
    <row r="8909" spans="18:19">
      <c r="R8909" s="178"/>
      <c r="S8909" s="178"/>
    </row>
    <row r="8910" spans="18:19">
      <c r="R8910" s="178"/>
      <c r="S8910" s="178"/>
    </row>
    <row r="8911" spans="18:19">
      <c r="R8911" s="178"/>
      <c r="S8911" s="178"/>
    </row>
    <row r="8912" spans="18:19">
      <c r="R8912" s="178"/>
      <c r="S8912" s="178"/>
    </row>
    <row r="8913" spans="18:19">
      <c r="R8913" s="178"/>
      <c r="S8913" s="178"/>
    </row>
    <row r="8914" spans="18:19">
      <c r="R8914" s="178"/>
      <c r="S8914" s="178"/>
    </row>
    <row r="8915" spans="18:19">
      <c r="R8915" s="178"/>
      <c r="S8915" s="178"/>
    </row>
    <row r="8916" spans="18:19">
      <c r="R8916" s="178"/>
      <c r="S8916" s="178"/>
    </row>
    <row r="8917" spans="18:19">
      <c r="R8917" s="178"/>
      <c r="S8917" s="178"/>
    </row>
    <row r="8918" spans="18:19">
      <c r="R8918" s="178"/>
      <c r="S8918" s="178"/>
    </row>
    <row r="8919" spans="18:19">
      <c r="R8919" s="178"/>
      <c r="S8919" s="178"/>
    </row>
    <row r="8920" spans="18:19">
      <c r="R8920" s="178"/>
      <c r="S8920" s="178"/>
    </row>
    <row r="8921" spans="18:19">
      <c r="R8921" s="178"/>
      <c r="S8921" s="178"/>
    </row>
    <row r="8922" spans="18:19">
      <c r="R8922" s="178"/>
      <c r="S8922" s="178"/>
    </row>
    <row r="8923" spans="18:19">
      <c r="R8923" s="178"/>
      <c r="S8923" s="178"/>
    </row>
    <row r="8924" spans="18:19">
      <c r="R8924" s="178"/>
      <c r="S8924" s="178"/>
    </row>
    <row r="8925" spans="18:19">
      <c r="R8925" s="178"/>
      <c r="S8925" s="178"/>
    </row>
    <row r="8926" spans="18:19">
      <c r="R8926" s="178"/>
      <c r="S8926" s="178"/>
    </row>
    <row r="8927" spans="18:19">
      <c r="R8927" s="178"/>
      <c r="S8927" s="178"/>
    </row>
    <row r="8928" spans="18:19">
      <c r="R8928" s="178"/>
      <c r="S8928" s="178"/>
    </row>
    <row r="8929" spans="18:19">
      <c r="R8929" s="178"/>
      <c r="S8929" s="178"/>
    </row>
    <row r="8930" spans="18:19">
      <c r="R8930" s="178"/>
      <c r="S8930" s="178"/>
    </row>
    <row r="8931" spans="18:19">
      <c r="R8931" s="178"/>
      <c r="S8931" s="178"/>
    </row>
    <row r="8932" spans="18:19">
      <c r="R8932" s="178"/>
      <c r="S8932" s="178"/>
    </row>
    <row r="8933" spans="18:19">
      <c r="R8933" s="178"/>
      <c r="S8933" s="178"/>
    </row>
    <row r="8934" spans="18:19">
      <c r="R8934" s="178"/>
      <c r="S8934" s="178"/>
    </row>
    <row r="8935" spans="18:19">
      <c r="R8935" s="178"/>
      <c r="S8935" s="178"/>
    </row>
    <row r="8936" spans="18:19">
      <c r="R8936" s="178"/>
      <c r="S8936" s="178"/>
    </row>
    <row r="8937" spans="18:19">
      <c r="R8937" s="178"/>
      <c r="S8937" s="178"/>
    </row>
    <row r="8938" spans="18:19">
      <c r="R8938" s="178"/>
      <c r="S8938" s="178"/>
    </row>
    <row r="8939" spans="18:19">
      <c r="R8939" s="178"/>
      <c r="S8939" s="178"/>
    </row>
    <row r="8940" spans="18:19">
      <c r="R8940" s="178"/>
      <c r="S8940" s="178"/>
    </row>
    <row r="8941" spans="18:19">
      <c r="R8941" s="178"/>
      <c r="S8941" s="178"/>
    </row>
    <row r="8942" spans="18:19">
      <c r="R8942" s="178"/>
      <c r="S8942" s="178"/>
    </row>
    <row r="8943" spans="18:19">
      <c r="R8943" s="178"/>
      <c r="S8943" s="178"/>
    </row>
    <row r="8944" spans="18:19">
      <c r="R8944" s="178"/>
      <c r="S8944" s="178"/>
    </row>
    <row r="8945" spans="18:19">
      <c r="R8945" s="178"/>
      <c r="S8945" s="178"/>
    </row>
    <row r="8946" spans="18:19">
      <c r="R8946" s="178"/>
      <c r="S8946" s="178"/>
    </row>
    <row r="8947" spans="18:19">
      <c r="R8947" s="178"/>
      <c r="S8947" s="178"/>
    </row>
    <row r="8948" spans="18:19">
      <c r="R8948" s="178"/>
      <c r="S8948" s="178"/>
    </row>
    <row r="8949" spans="18:19">
      <c r="R8949" s="178"/>
      <c r="S8949" s="178"/>
    </row>
    <row r="8950" spans="18:19">
      <c r="R8950" s="178"/>
      <c r="S8950" s="178"/>
    </row>
    <row r="8951" spans="18:19">
      <c r="R8951" s="178"/>
      <c r="S8951" s="178"/>
    </row>
    <row r="8952" spans="18:19">
      <c r="R8952" s="178"/>
      <c r="S8952" s="178"/>
    </row>
    <row r="8953" spans="18:19">
      <c r="R8953" s="178"/>
      <c r="S8953" s="178"/>
    </row>
    <row r="8954" spans="18:19">
      <c r="R8954" s="178"/>
      <c r="S8954" s="178"/>
    </row>
    <row r="8955" spans="18:19">
      <c r="R8955" s="178"/>
      <c r="S8955" s="178"/>
    </row>
    <row r="8956" spans="18:19">
      <c r="R8956" s="178"/>
      <c r="S8956" s="178"/>
    </row>
    <row r="8957" spans="18:19">
      <c r="R8957" s="178"/>
      <c r="S8957" s="178"/>
    </row>
    <row r="8958" spans="18:19">
      <c r="R8958" s="178"/>
      <c r="S8958" s="178"/>
    </row>
    <row r="8959" spans="18:19">
      <c r="R8959" s="178"/>
      <c r="S8959" s="178"/>
    </row>
    <row r="8960" spans="18:19">
      <c r="R8960" s="178"/>
      <c r="S8960" s="178"/>
    </row>
    <row r="8961" spans="18:19">
      <c r="R8961" s="178"/>
      <c r="S8961" s="178"/>
    </row>
    <row r="8962" spans="18:19">
      <c r="R8962" s="178"/>
      <c r="S8962" s="178"/>
    </row>
    <row r="8963" spans="18:19">
      <c r="R8963" s="178"/>
      <c r="S8963" s="178"/>
    </row>
    <row r="8964" spans="18:19">
      <c r="R8964" s="178"/>
      <c r="S8964" s="178"/>
    </row>
    <row r="8965" spans="18:19">
      <c r="R8965" s="178"/>
      <c r="S8965" s="178"/>
    </row>
    <row r="8966" spans="18:19">
      <c r="R8966" s="178"/>
      <c r="S8966" s="178"/>
    </row>
    <row r="8967" spans="18:19">
      <c r="R8967" s="178"/>
      <c r="S8967" s="178"/>
    </row>
    <row r="8968" spans="18:19">
      <c r="R8968" s="178"/>
      <c r="S8968" s="178"/>
    </row>
    <row r="8969" spans="18:19">
      <c r="R8969" s="178"/>
      <c r="S8969" s="178"/>
    </row>
    <row r="8970" spans="18:19">
      <c r="R8970" s="178"/>
      <c r="S8970" s="178"/>
    </row>
    <row r="8971" spans="18:19">
      <c r="R8971" s="178"/>
      <c r="S8971" s="178"/>
    </row>
    <row r="8972" spans="18:19">
      <c r="R8972" s="178"/>
      <c r="S8972" s="178"/>
    </row>
    <row r="8973" spans="18:19">
      <c r="R8973" s="178"/>
      <c r="S8973" s="178"/>
    </row>
    <row r="8974" spans="18:19">
      <c r="R8974" s="178"/>
      <c r="S8974" s="178"/>
    </row>
    <row r="8975" spans="18:19">
      <c r="R8975" s="178"/>
      <c r="S8975" s="178"/>
    </row>
    <row r="8976" spans="18:19">
      <c r="R8976" s="178"/>
      <c r="S8976" s="178"/>
    </row>
    <row r="8977" spans="18:19">
      <c r="R8977" s="178"/>
      <c r="S8977" s="178"/>
    </row>
    <row r="8978" spans="18:19">
      <c r="R8978" s="178"/>
      <c r="S8978" s="178"/>
    </row>
    <row r="8979" spans="18:19">
      <c r="R8979" s="178"/>
      <c r="S8979" s="178"/>
    </row>
    <row r="8980" spans="18:19">
      <c r="R8980" s="178"/>
      <c r="S8980" s="178"/>
    </row>
    <row r="8981" spans="18:19">
      <c r="R8981" s="178"/>
      <c r="S8981" s="178"/>
    </row>
    <row r="8982" spans="18:19">
      <c r="R8982" s="178"/>
      <c r="S8982" s="178"/>
    </row>
    <row r="8983" spans="18:19">
      <c r="R8983" s="178"/>
      <c r="S8983" s="178"/>
    </row>
    <row r="8984" spans="18:19">
      <c r="R8984" s="178"/>
      <c r="S8984" s="178"/>
    </row>
    <row r="8985" spans="18:19">
      <c r="R8985" s="178"/>
      <c r="S8985" s="178"/>
    </row>
    <row r="8986" spans="18:19">
      <c r="R8986" s="178"/>
      <c r="S8986" s="178"/>
    </row>
    <row r="8987" spans="18:19">
      <c r="R8987" s="178"/>
      <c r="S8987" s="178"/>
    </row>
    <row r="8988" spans="18:19">
      <c r="R8988" s="178"/>
      <c r="S8988" s="178"/>
    </row>
    <row r="8989" spans="18:19">
      <c r="R8989" s="178"/>
      <c r="S8989" s="178"/>
    </row>
    <row r="8990" spans="18:19">
      <c r="R8990" s="178"/>
      <c r="S8990" s="178"/>
    </row>
    <row r="8991" spans="18:19">
      <c r="R8991" s="178"/>
      <c r="S8991" s="178"/>
    </row>
    <row r="8992" spans="18:19">
      <c r="R8992" s="178"/>
      <c r="S8992" s="178"/>
    </row>
    <row r="8993" spans="18:19">
      <c r="R8993" s="178"/>
      <c r="S8993" s="178"/>
    </row>
    <row r="8994" spans="18:19">
      <c r="R8994" s="178"/>
      <c r="S8994" s="178"/>
    </row>
    <row r="8995" spans="18:19">
      <c r="R8995" s="178"/>
      <c r="S8995" s="178"/>
    </row>
    <row r="8996" spans="18:19">
      <c r="R8996" s="178"/>
      <c r="S8996" s="178"/>
    </row>
    <row r="8997" spans="18:19">
      <c r="R8997" s="178"/>
      <c r="S8997" s="178"/>
    </row>
    <row r="8998" spans="18:19">
      <c r="R8998" s="178"/>
      <c r="S8998" s="178"/>
    </row>
    <row r="8999" spans="18:19">
      <c r="R8999" s="178"/>
      <c r="S8999" s="178"/>
    </row>
    <row r="9000" spans="18:19">
      <c r="R9000" s="178"/>
      <c r="S9000" s="178"/>
    </row>
    <row r="9001" spans="18:19">
      <c r="R9001" s="178"/>
      <c r="S9001" s="178"/>
    </row>
    <row r="9002" spans="18:19">
      <c r="R9002" s="178"/>
      <c r="S9002" s="178"/>
    </row>
    <row r="9003" spans="18:19">
      <c r="R9003" s="178"/>
      <c r="S9003" s="178"/>
    </row>
    <row r="9004" spans="18:19">
      <c r="R9004" s="178"/>
      <c r="S9004" s="178"/>
    </row>
    <row r="9005" spans="18:19">
      <c r="R9005" s="178"/>
      <c r="S9005" s="178"/>
    </row>
    <row r="9006" spans="18:19">
      <c r="R9006" s="178"/>
      <c r="S9006" s="178"/>
    </row>
    <row r="9007" spans="18:19">
      <c r="R9007" s="178"/>
      <c r="S9007" s="178"/>
    </row>
    <row r="9008" spans="18:19">
      <c r="R9008" s="178"/>
      <c r="S9008" s="178"/>
    </row>
    <row r="9009" spans="18:19">
      <c r="R9009" s="178"/>
      <c r="S9009" s="178"/>
    </row>
    <row r="9010" spans="18:19">
      <c r="R9010" s="178"/>
      <c r="S9010" s="178"/>
    </row>
    <row r="9011" spans="18:19">
      <c r="R9011" s="178"/>
      <c r="S9011" s="178"/>
    </row>
    <row r="9012" spans="18:19">
      <c r="R9012" s="178"/>
      <c r="S9012" s="178"/>
    </row>
    <row r="9013" spans="18:19">
      <c r="R9013" s="178"/>
      <c r="S9013" s="178"/>
    </row>
    <row r="9014" spans="18:19">
      <c r="R9014" s="178"/>
      <c r="S9014" s="178"/>
    </row>
    <row r="9015" spans="18:19">
      <c r="R9015" s="178"/>
      <c r="S9015" s="178"/>
    </row>
    <row r="9016" spans="18:19">
      <c r="R9016" s="178"/>
      <c r="S9016" s="178"/>
    </row>
    <row r="9017" spans="18:19">
      <c r="R9017" s="178"/>
      <c r="S9017" s="178"/>
    </row>
    <row r="9018" spans="18:19">
      <c r="R9018" s="178"/>
      <c r="S9018" s="178"/>
    </row>
    <row r="9019" spans="18:19">
      <c r="R9019" s="178"/>
      <c r="S9019" s="178"/>
    </row>
    <row r="9020" spans="18:19">
      <c r="R9020" s="178"/>
      <c r="S9020" s="178"/>
    </row>
    <row r="9021" spans="18:19">
      <c r="R9021" s="178"/>
      <c r="S9021" s="178"/>
    </row>
    <row r="9022" spans="18:19">
      <c r="R9022" s="178"/>
      <c r="S9022" s="178"/>
    </row>
    <row r="9023" spans="18:19">
      <c r="R9023" s="178"/>
      <c r="S9023" s="178"/>
    </row>
    <row r="9024" spans="18:19">
      <c r="R9024" s="178"/>
      <c r="S9024" s="178"/>
    </row>
    <row r="9025" spans="18:19">
      <c r="R9025" s="178"/>
      <c r="S9025" s="178"/>
    </row>
    <row r="9026" spans="18:19">
      <c r="R9026" s="178"/>
      <c r="S9026" s="178"/>
    </row>
    <row r="9027" spans="18:19">
      <c r="R9027" s="178"/>
      <c r="S9027" s="178"/>
    </row>
    <row r="9028" spans="18:19">
      <c r="R9028" s="178"/>
      <c r="S9028" s="178"/>
    </row>
    <row r="9029" spans="18:19">
      <c r="R9029" s="178"/>
      <c r="S9029" s="178"/>
    </row>
    <row r="9030" spans="18:19">
      <c r="R9030" s="178"/>
      <c r="S9030" s="178"/>
    </row>
    <row r="9031" spans="18:19">
      <c r="R9031" s="178"/>
      <c r="S9031" s="178"/>
    </row>
    <row r="9032" spans="18:19">
      <c r="R9032" s="178"/>
      <c r="S9032" s="178"/>
    </row>
    <row r="9033" spans="18:19">
      <c r="R9033" s="178"/>
      <c r="S9033" s="178"/>
    </row>
    <row r="9034" spans="18:19">
      <c r="R9034" s="178"/>
      <c r="S9034" s="178"/>
    </row>
    <row r="9035" spans="18:19">
      <c r="R9035" s="178"/>
      <c r="S9035" s="178"/>
    </row>
    <row r="9036" spans="18:19">
      <c r="R9036" s="178"/>
      <c r="S9036" s="178"/>
    </row>
    <row r="9037" spans="18:19">
      <c r="R9037" s="178"/>
      <c r="S9037" s="178"/>
    </row>
    <row r="9038" spans="18:19">
      <c r="R9038" s="178"/>
      <c r="S9038" s="178"/>
    </row>
    <row r="9039" spans="18:19">
      <c r="R9039" s="178"/>
      <c r="S9039" s="178"/>
    </row>
    <row r="9040" spans="18:19">
      <c r="R9040" s="178"/>
      <c r="S9040" s="178"/>
    </row>
    <row r="9041" spans="18:19">
      <c r="R9041" s="178"/>
      <c r="S9041" s="178"/>
    </row>
    <row r="9042" spans="18:19">
      <c r="R9042" s="178"/>
      <c r="S9042" s="178"/>
    </row>
    <row r="9043" spans="18:19">
      <c r="R9043" s="178"/>
      <c r="S9043" s="178"/>
    </row>
    <row r="9044" spans="18:19">
      <c r="R9044" s="178"/>
      <c r="S9044" s="178"/>
    </row>
    <row r="9045" spans="18:19">
      <c r="R9045" s="178"/>
      <c r="S9045" s="178"/>
    </row>
    <row r="9046" spans="18:19">
      <c r="R9046" s="178"/>
      <c r="S9046" s="178"/>
    </row>
    <row r="9047" spans="18:19">
      <c r="R9047" s="178"/>
      <c r="S9047" s="178"/>
    </row>
    <row r="9048" spans="18:19">
      <c r="R9048" s="178"/>
      <c r="S9048" s="178"/>
    </row>
    <row r="9049" spans="18:19">
      <c r="R9049" s="178"/>
      <c r="S9049" s="178"/>
    </row>
    <row r="9050" spans="18:19">
      <c r="R9050" s="178"/>
      <c r="S9050" s="178"/>
    </row>
    <row r="9051" spans="18:19">
      <c r="R9051" s="178"/>
      <c r="S9051" s="178"/>
    </row>
    <row r="9052" spans="18:19">
      <c r="R9052" s="178"/>
      <c r="S9052" s="178"/>
    </row>
    <row r="9053" spans="18:19">
      <c r="R9053" s="178"/>
      <c r="S9053" s="178"/>
    </row>
    <row r="9054" spans="18:19">
      <c r="R9054" s="178"/>
      <c r="S9054" s="178"/>
    </row>
    <row r="9055" spans="18:19">
      <c r="R9055" s="178"/>
      <c r="S9055" s="178"/>
    </row>
    <row r="9056" spans="18:19">
      <c r="R9056" s="178"/>
      <c r="S9056" s="178"/>
    </row>
    <row r="9057" spans="18:19">
      <c r="R9057" s="178"/>
      <c r="S9057" s="178"/>
    </row>
    <row r="9058" spans="18:19">
      <c r="R9058" s="178"/>
      <c r="S9058" s="178"/>
    </row>
    <row r="9059" spans="18:19">
      <c r="R9059" s="178"/>
      <c r="S9059" s="178"/>
    </row>
    <row r="9060" spans="18:19">
      <c r="R9060" s="178"/>
      <c r="S9060" s="178"/>
    </row>
    <row r="9061" spans="18:19">
      <c r="R9061" s="178"/>
      <c r="S9061" s="178"/>
    </row>
    <row r="9062" spans="18:19">
      <c r="R9062" s="178"/>
      <c r="S9062" s="178"/>
    </row>
    <row r="9063" spans="18:19">
      <c r="R9063" s="178"/>
      <c r="S9063" s="178"/>
    </row>
    <row r="9064" spans="18:19">
      <c r="R9064" s="178"/>
      <c r="S9064" s="178"/>
    </row>
    <row r="9065" spans="18:19">
      <c r="R9065" s="178"/>
      <c r="S9065" s="178"/>
    </row>
    <row r="9066" spans="18:19">
      <c r="R9066" s="178"/>
      <c r="S9066" s="178"/>
    </row>
    <row r="9067" spans="18:19">
      <c r="R9067" s="178"/>
      <c r="S9067" s="178"/>
    </row>
    <row r="9068" spans="18:19">
      <c r="R9068" s="178"/>
      <c r="S9068" s="178"/>
    </row>
    <row r="9069" spans="18:19">
      <c r="R9069" s="178"/>
      <c r="S9069" s="178"/>
    </row>
    <row r="9070" spans="18:19">
      <c r="R9070" s="178"/>
      <c r="S9070" s="178"/>
    </row>
    <row r="9071" spans="18:19">
      <c r="R9071" s="178"/>
      <c r="S9071" s="178"/>
    </row>
    <row r="9072" spans="18:19">
      <c r="R9072" s="178"/>
      <c r="S9072" s="178"/>
    </row>
    <row r="9073" spans="18:19">
      <c r="R9073" s="178"/>
      <c r="S9073" s="178"/>
    </row>
    <row r="9074" spans="18:19">
      <c r="R9074" s="178"/>
      <c r="S9074" s="178"/>
    </row>
    <row r="9075" spans="18:19">
      <c r="R9075" s="178"/>
      <c r="S9075" s="178"/>
    </row>
    <row r="9076" spans="18:19">
      <c r="R9076" s="178"/>
      <c r="S9076" s="178"/>
    </row>
    <row r="9077" spans="18:19">
      <c r="R9077" s="178"/>
      <c r="S9077" s="178"/>
    </row>
    <row r="9078" spans="18:19">
      <c r="R9078" s="178"/>
      <c r="S9078" s="178"/>
    </row>
    <row r="9079" spans="18:19">
      <c r="R9079" s="178"/>
      <c r="S9079" s="178"/>
    </row>
    <row r="9080" spans="18:19">
      <c r="R9080" s="178"/>
      <c r="S9080" s="178"/>
    </row>
    <row r="9081" spans="18:19">
      <c r="R9081" s="178"/>
      <c r="S9081" s="178"/>
    </row>
    <row r="9082" spans="18:19">
      <c r="R9082" s="178"/>
      <c r="S9082" s="178"/>
    </row>
    <row r="9083" spans="18:19">
      <c r="R9083" s="178"/>
      <c r="S9083" s="178"/>
    </row>
    <row r="9084" spans="18:19">
      <c r="R9084" s="178"/>
      <c r="S9084" s="178"/>
    </row>
    <row r="9085" spans="18:19">
      <c r="R9085" s="178"/>
      <c r="S9085" s="178"/>
    </row>
    <row r="9086" spans="18:19">
      <c r="R9086" s="178"/>
      <c r="S9086" s="178"/>
    </row>
    <row r="9087" spans="18:19">
      <c r="R9087" s="178"/>
      <c r="S9087" s="178"/>
    </row>
    <row r="9088" spans="18:19">
      <c r="R9088" s="178"/>
      <c r="S9088" s="178"/>
    </row>
    <row r="9089" spans="18:19">
      <c r="R9089" s="178"/>
      <c r="S9089" s="178"/>
    </row>
    <row r="9090" spans="18:19">
      <c r="R9090" s="178"/>
      <c r="S9090" s="178"/>
    </row>
    <row r="9091" spans="18:19">
      <c r="R9091" s="178"/>
      <c r="S9091" s="178"/>
    </row>
    <row r="9092" spans="18:19">
      <c r="R9092" s="178"/>
      <c r="S9092" s="178"/>
    </row>
    <row r="9093" spans="18:19">
      <c r="R9093" s="178"/>
      <c r="S9093" s="178"/>
    </row>
    <row r="9094" spans="18:19">
      <c r="R9094" s="178"/>
      <c r="S9094" s="178"/>
    </row>
    <row r="9095" spans="18:19">
      <c r="R9095" s="178"/>
      <c r="S9095" s="178"/>
    </row>
    <row r="9096" spans="18:19">
      <c r="R9096" s="178"/>
      <c r="S9096" s="178"/>
    </row>
    <row r="9097" spans="18:19">
      <c r="R9097" s="178"/>
      <c r="S9097" s="178"/>
    </row>
    <row r="9098" spans="18:19">
      <c r="R9098" s="178"/>
      <c r="S9098" s="178"/>
    </row>
    <row r="9099" spans="18:19">
      <c r="R9099" s="178"/>
      <c r="S9099" s="178"/>
    </row>
    <row r="9100" spans="18:19">
      <c r="R9100" s="178"/>
      <c r="S9100" s="178"/>
    </row>
    <row r="9101" spans="18:19">
      <c r="R9101" s="178"/>
      <c r="S9101" s="178"/>
    </row>
    <row r="9102" spans="18:19">
      <c r="R9102" s="178"/>
      <c r="S9102" s="178"/>
    </row>
    <row r="9103" spans="18:19">
      <c r="R9103" s="178"/>
      <c r="S9103" s="178"/>
    </row>
    <row r="9104" spans="18:19">
      <c r="R9104" s="178"/>
      <c r="S9104" s="178"/>
    </row>
    <row r="9105" spans="18:19">
      <c r="R9105" s="178"/>
      <c r="S9105" s="178"/>
    </row>
    <row r="9106" spans="18:19">
      <c r="R9106" s="178"/>
      <c r="S9106" s="178"/>
    </row>
    <row r="9107" spans="18:19">
      <c r="R9107" s="178"/>
      <c r="S9107" s="178"/>
    </row>
    <row r="9108" spans="18:19">
      <c r="R9108" s="178"/>
      <c r="S9108" s="178"/>
    </row>
    <row r="9109" spans="18:19">
      <c r="R9109" s="178"/>
      <c r="S9109" s="178"/>
    </row>
    <row r="9110" spans="18:19">
      <c r="R9110" s="178"/>
      <c r="S9110" s="178"/>
    </row>
    <row r="9111" spans="18:19">
      <c r="R9111" s="178"/>
      <c r="S9111" s="178"/>
    </row>
    <row r="9112" spans="18:19">
      <c r="R9112" s="178"/>
      <c r="S9112" s="178"/>
    </row>
    <row r="9113" spans="18:19">
      <c r="R9113" s="178"/>
      <c r="S9113" s="178"/>
    </row>
    <row r="9114" spans="18:19">
      <c r="R9114" s="178"/>
      <c r="S9114" s="178"/>
    </row>
    <row r="9115" spans="18:19">
      <c r="R9115" s="178"/>
      <c r="S9115" s="178"/>
    </row>
    <row r="9116" spans="18:19">
      <c r="R9116" s="178"/>
      <c r="S9116" s="178"/>
    </row>
    <row r="9117" spans="18:19">
      <c r="R9117" s="178"/>
      <c r="S9117" s="178"/>
    </row>
    <row r="9118" spans="18:19">
      <c r="R9118" s="178"/>
      <c r="S9118" s="178"/>
    </row>
    <row r="9119" spans="18:19">
      <c r="R9119" s="178"/>
      <c r="S9119" s="178"/>
    </row>
    <row r="9120" spans="18:19">
      <c r="R9120" s="178"/>
      <c r="S9120" s="178"/>
    </row>
    <row r="9121" spans="18:19">
      <c r="R9121" s="178"/>
      <c r="S9121" s="178"/>
    </row>
    <row r="9122" spans="18:19">
      <c r="R9122" s="178"/>
      <c r="S9122" s="178"/>
    </row>
    <row r="9123" spans="18:19">
      <c r="R9123" s="178"/>
      <c r="S9123" s="178"/>
    </row>
    <row r="9124" spans="18:19">
      <c r="R9124" s="178"/>
      <c r="S9124" s="178"/>
    </row>
    <row r="9125" spans="18:19">
      <c r="R9125" s="178"/>
      <c r="S9125" s="178"/>
    </row>
    <row r="9126" spans="18:19">
      <c r="R9126" s="178"/>
      <c r="S9126" s="178"/>
    </row>
    <row r="9127" spans="18:19">
      <c r="R9127" s="178"/>
      <c r="S9127" s="178"/>
    </row>
    <row r="9128" spans="18:19">
      <c r="R9128" s="178"/>
      <c r="S9128" s="178"/>
    </row>
    <row r="9129" spans="18:19">
      <c r="R9129" s="178"/>
      <c r="S9129" s="178"/>
    </row>
    <row r="9130" spans="18:19">
      <c r="R9130" s="178"/>
      <c r="S9130" s="178"/>
    </row>
    <row r="9131" spans="18:19">
      <c r="R9131" s="178"/>
      <c r="S9131" s="178"/>
    </row>
    <row r="9132" spans="18:19">
      <c r="R9132" s="178"/>
      <c r="S9132" s="178"/>
    </row>
    <row r="9133" spans="18:19">
      <c r="R9133" s="178"/>
      <c r="S9133" s="178"/>
    </row>
    <row r="9134" spans="18:19">
      <c r="R9134" s="178"/>
      <c r="S9134" s="178"/>
    </row>
    <row r="9135" spans="18:19">
      <c r="R9135" s="178"/>
      <c r="S9135" s="178"/>
    </row>
    <row r="9136" spans="18:19">
      <c r="R9136" s="178"/>
      <c r="S9136" s="178"/>
    </row>
    <row r="9137" spans="18:19">
      <c r="R9137" s="178"/>
      <c r="S9137" s="178"/>
    </row>
    <row r="9138" spans="18:19">
      <c r="R9138" s="178"/>
      <c r="S9138" s="178"/>
    </row>
    <row r="9139" spans="18:19">
      <c r="R9139" s="178"/>
      <c r="S9139" s="178"/>
    </row>
    <row r="9140" spans="18:19">
      <c r="R9140" s="178"/>
      <c r="S9140" s="178"/>
    </row>
    <row r="9141" spans="18:19">
      <c r="R9141" s="178"/>
      <c r="S9141" s="178"/>
    </row>
    <row r="9142" spans="18:19">
      <c r="R9142" s="178"/>
      <c r="S9142" s="178"/>
    </row>
    <row r="9143" spans="18:19">
      <c r="R9143" s="178"/>
      <c r="S9143" s="178"/>
    </row>
    <row r="9144" spans="18:19">
      <c r="R9144" s="178"/>
      <c r="S9144" s="178"/>
    </row>
    <row r="9145" spans="18:19">
      <c r="R9145" s="178"/>
      <c r="S9145" s="178"/>
    </row>
    <row r="9146" spans="18:19">
      <c r="R9146" s="178"/>
      <c r="S9146" s="178"/>
    </row>
    <row r="9147" spans="18:19">
      <c r="R9147" s="178"/>
      <c r="S9147" s="178"/>
    </row>
    <row r="9148" spans="18:19">
      <c r="R9148" s="178"/>
      <c r="S9148" s="178"/>
    </row>
    <row r="9149" spans="18:19">
      <c r="R9149" s="178"/>
      <c r="S9149" s="178"/>
    </row>
    <row r="9150" spans="18:19">
      <c r="R9150" s="178"/>
      <c r="S9150" s="178"/>
    </row>
    <row r="9151" spans="18:19">
      <c r="R9151" s="178"/>
      <c r="S9151" s="178"/>
    </row>
    <row r="9152" spans="18:19">
      <c r="R9152" s="178"/>
      <c r="S9152" s="178"/>
    </row>
    <row r="9153" spans="18:19">
      <c r="R9153" s="178"/>
      <c r="S9153" s="178"/>
    </row>
    <row r="9154" spans="18:19">
      <c r="R9154" s="178"/>
      <c r="S9154" s="178"/>
    </row>
    <row r="9155" spans="18:19">
      <c r="R9155" s="178"/>
      <c r="S9155" s="178"/>
    </row>
    <row r="9156" spans="18:19">
      <c r="R9156" s="178"/>
      <c r="S9156" s="178"/>
    </row>
    <row r="9157" spans="18:19">
      <c r="R9157" s="178"/>
      <c r="S9157" s="178"/>
    </row>
    <row r="9158" spans="18:19">
      <c r="R9158" s="178"/>
      <c r="S9158" s="178"/>
    </row>
    <row r="9159" spans="18:19">
      <c r="R9159" s="178"/>
      <c r="S9159" s="178"/>
    </row>
    <row r="9160" spans="18:19">
      <c r="R9160" s="178"/>
      <c r="S9160" s="178"/>
    </row>
    <row r="9161" spans="18:19">
      <c r="R9161" s="178"/>
      <c r="S9161" s="178"/>
    </row>
    <row r="9162" spans="18:19">
      <c r="R9162" s="178"/>
      <c r="S9162" s="178"/>
    </row>
    <row r="9163" spans="18:19">
      <c r="R9163" s="178"/>
      <c r="S9163" s="178"/>
    </row>
    <row r="9164" spans="18:19">
      <c r="R9164" s="178"/>
      <c r="S9164" s="178"/>
    </row>
    <row r="9165" spans="18:19">
      <c r="R9165" s="178"/>
      <c r="S9165" s="178"/>
    </row>
    <row r="9166" spans="18:19">
      <c r="R9166" s="178"/>
      <c r="S9166" s="178"/>
    </row>
    <row r="9167" spans="18:19">
      <c r="R9167" s="178"/>
      <c r="S9167" s="178"/>
    </row>
    <row r="9168" spans="18:19">
      <c r="R9168" s="178"/>
      <c r="S9168" s="178"/>
    </row>
    <row r="9169" spans="18:19">
      <c r="R9169" s="178"/>
      <c r="S9169" s="178"/>
    </row>
    <row r="9170" spans="18:19">
      <c r="R9170" s="178"/>
      <c r="S9170" s="178"/>
    </row>
    <row r="9171" spans="18:19">
      <c r="R9171" s="178"/>
      <c r="S9171" s="178"/>
    </row>
    <row r="9172" spans="18:19">
      <c r="R9172" s="178"/>
      <c r="S9172" s="178"/>
    </row>
    <row r="9173" spans="18:19">
      <c r="R9173" s="178"/>
      <c r="S9173" s="178"/>
    </row>
    <row r="9174" spans="18:19">
      <c r="R9174" s="178"/>
      <c r="S9174" s="178"/>
    </row>
    <row r="9175" spans="18:19">
      <c r="R9175" s="178"/>
      <c r="S9175" s="178"/>
    </row>
    <row r="9176" spans="18:19">
      <c r="R9176" s="178"/>
      <c r="S9176" s="178"/>
    </row>
    <row r="9177" spans="18:19">
      <c r="R9177" s="178"/>
      <c r="S9177" s="178"/>
    </row>
    <row r="9178" spans="18:19">
      <c r="R9178" s="178"/>
      <c r="S9178" s="178"/>
    </row>
    <row r="9179" spans="18:19">
      <c r="R9179" s="178"/>
      <c r="S9179" s="178"/>
    </row>
    <row r="9180" spans="18:19">
      <c r="R9180" s="178"/>
      <c r="S9180" s="178"/>
    </row>
    <row r="9181" spans="18:19">
      <c r="R9181" s="178"/>
      <c r="S9181" s="178"/>
    </row>
    <row r="9182" spans="18:19">
      <c r="R9182" s="178"/>
      <c r="S9182" s="178"/>
    </row>
    <row r="9183" spans="18:19">
      <c r="R9183" s="178"/>
      <c r="S9183" s="178"/>
    </row>
    <row r="9184" spans="18:19">
      <c r="R9184" s="178"/>
      <c r="S9184" s="178"/>
    </row>
    <row r="9185" spans="18:19">
      <c r="R9185" s="178"/>
      <c r="S9185" s="178"/>
    </row>
    <row r="9186" spans="18:19">
      <c r="R9186" s="178"/>
      <c r="S9186" s="178"/>
    </row>
    <row r="9187" spans="18:19">
      <c r="R9187" s="178"/>
      <c r="S9187" s="178"/>
    </row>
    <row r="9188" spans="18:19">
      <c r="R9188" s="178"/>
      <c r="S9188" s="178"/>
    </row>
    <row r="9189" spans="18:19">
      <c r="R9189" s="178"/>
      <c r="S9189" s="178"/>
    </row>
    <row r="9190" spans="18:19">
      <c r="R9190" s="178"/>
      <c r="S9190" s="178"/>
    </row>
    <row r="9191" spans="18:19">
      <c r="R9191" s="178"/>
      <c r="S9191" s="178"/>
    </row>
    <row r="9192" spans="18:19">
      <c r="R9192" s="178"/>
      <c r="S9192" s="178"/>
    </row>
    <row r="9193" spans="18:19">
      <c r="R9193" s="178"/>
      <c r="S9193" s="178"/>
    </row>
    <row r="9194" spans="18:19">
      <c r="R9194" s="178"/>
      <c r="S9194" s="178"/>
    </row>
    <row r="9195" spans="18:19">
      <c r="R9195" s="178"/>
      <c r="S9195" s="178"/>
    </row>
    <row r="9196" spans="18:19">
      <c r="R9196" s="178"/>
      <c r="S9196" s="178"/>
    </row>
    <row r="9197" spans="18:19">
      <c r="R9197" s="178"/>
      <c r="S9197" s="178"/>
    </row>
    <row r="9198" spans="18:19">
      <c r="R9198" s="178"/>
      <c r="S9198" s="178"/>
    </row>
    <row r="9199" spans="18:19">
      <c r="R9199" s="178"/>
      <c r="S9199" s="178"/>
    </row>
    <row r="9200" spans="18:19">
      <c r="R9200" s="178"/>
      <c r="S9200" s="178"/>
    </row>
    <row r="9201" spans="18:19">
      <c r="R9201" s="178"/>
      <c r="S9201" s="178"/>
    </row>
    <row r="9202" spans="18:19">
      <c r="R9202" s="178"/>
      <c r="S9202" s="178"/>
    </row>
    <row r="9203" spans="18:19">
      <c r="R9203" s="178"/>
      <c r="S9203" s="178"/>
    </row>
    <row r="9204" spans="18:19">
      <c r="R9204" s="178"/>
      <c r="S9204" s="178"/>
    </row>
    <row r="9205" spans="18:19">
      <c r="R9205" s="178"/>
      <c r="S9205" s="178"/>
    </row>
    <row r="9206" spans="18:19">
      <c r="R9206" s="178"/>
      <c r="S9206" s="178"/>
    </row>
    <row r="9207" spans="18:19">
      <c r="R9207" s="178"/>
      <c r="S9207" s="178"/>
    </row>
    <row r="9208" spans="18:19">
      <c r="R9208" s="178"/>
      <c r="S9208" s="178"/>
    </row>
    <row r="9209" spans="18:19">
      <c r="R9209" s="178"/>
      <c r="S9209" s="178"/>
    </row>
    <row r="9210" spans="18:19">
      <c r="R9210" s="178"/>
      <c r="S9210" s="178"/>
    </row>
    <row r="9211" spans="18:19">
      <c r="R9211" s="178"/>
      <c r="S9211" s="178"/>
    </row>
    <row r="9212" spans="18:19">
      <c r="R9212" s="178"/>
      <c r="S9212" s="178"/>
    </row>
    <row r="9213" spans="18:19">
      <c r="R9213" s="178"/>
      <c r="S9213" s="178"/>
    </row>
    <row r="9214" spans="18:19">
      <c r="R9214" s="178"/>
      <c r="S9214" s="178"/>
    </row>
    <row r="9215" spans="18:19">
      <c r="R9215" s="178"/>
      <c r="S9215" s="178"/>
    </row>
    <row r="9216" spans="18:19">
      <c r="R9216" s="178"/>
      <c r="S9216" s="178"/>
    </row>
    <row r="9217" spans="18:19">
      <c r="R9217" s="178"/>
      <c r="S9217" s="178"/>
    </row>
    <row r="9218" spans="18:19">
      <c r="R9218" s="178"/>
      <c r="S9218" s="178"/>
    </row>
    <row r="9219" spans="18:19">
      <c r="R9219" s="178"/>
      <c r="S9219" s="178"/>
    </row>
    <row r="9220" spans="18:19">
      <c r="R9220" s="178"/>
      <c r="S9220" s="178"/>
    </row>
    <row r="9221" spans="18:19">
      <c r="R9221" s="178"/>
      <c r="S9221" s="178"/>
    </row>
    <row r="9222" spans="18:19">
      <c r="R9222" s="178"/>
      <c r="S9222" s="178"/>
    </row>
    <row r="9223" spans="18:19">
      <c r="R9223" s="178"/>
      <c r="S9223" s="178"/>
    </row>
    <row r="9224" spans="18:19">
      <c r="R9224" s="178"/>
      <c r="S9224" s="178"/>
    </row>
    <row r="9225" spans="18:19">
      <c r="R9225" s="178"/>
      <c r="S9225" s="178"/>
    </row>
    <row r="9226" spans="18:19">
      <c r="R9226" s="178"/>
      <c r="S9226" s="178"/>
    </row>
    <row r="9227" spans="18:19">
      <c r="R9227" s="178"/>
      <c r="S9227" s="178"/>
    </row>
    <row r="9228" spans="18:19">
      <c r="R9228" s="178"/>
      <c r="S9228" s="178"/>
    </row>
    <row r="9229" spans="18:19">
      <c r="R9229" s="178"/>
      <c r="S9229" s="178"/>
    </row>
    <row r="9230" spans="18:19">
      <c r="R9230" s="178"/>
      <c r="S9230" s="178"/>
    </row>
    <row r="9231" spans="18:19">
      <c r="R9231" s="178"/>
      <c r="S9231" s="178"/>
    </row>
    <row r="9232" spans="18:19">
      <c r="R9232" s="178"/>
      <c r="S9232" s="178"/>
    </row>
    <row r="9233" spans="18:19">
      <c r="R9233" s="178"/>
      <c r="S9233" s="178"/>
    </row>
    <row r="9234" spans="18:19">
      <c r="R9234" s="178"/>
      <c r="S9234" s="178"/>
    </row>
    <row r="9235" spans="18:19">
      <c r="R9235" s="178"/>
      <c r="S9235" s="178"/>
    </row>
    <row r="9236" spans="18:19">
      <c r="R9236" s="178"/>
      <c r="S9236" s="178"/>
    </row>
    <row r="9237" spans="18:19">
      <c r="R9237" s="178"/>
      <c r="S9237" s="178"/>
    </row>
    <row r="9238" spans="18:19">
      <c r="R9238" s="178"/>
      <c r="S9238" s="178"/>
    </row>
    <row r="9239" spans="18:19">
      <c r="R9239" s="178"/>
      <c r="S9239" s="178"/>
    </row>
    <row r="9240" spans="18:19">
      <c r="R9240" s="178"/>
      <c r="S9240" s="178"/>
    </row>
    <row r="9241" spans="18:19">
      <c r="R9241" s="178"/>
      <c r="S9241" s="178"/>
    </row>
    <row r="9242" spans="18:19">
      <c r="R9242" s="178"/>
      <c r="S9242" s="178"/>
    </row>
    <row r="9243" spans="18:19">
      <c r="R9243" s="178"/>
      <c r="S9243" s="178"/>
    </row>
    <row r="9244" spans="18:19">
      <c r="R9244" s="178"/>
      <c r="S9244" s="178"/>
    </row>
    <row r="9245" spans="18:19">
      <c r="R9245" s="178"/>
      <c r="S9245" s="178"/>
    </row>
    <row r="9246" spans="18:19">
      <c r="R9246" s="178"/>
      <c r="S9246" s="178"/>
    </row>
    <row r="9247" spans="18:19">
      <c r="R9247" s="178"/>
      <c r="S9247" s="178"/>
    </row>
    <row r="9248" spans="18:19">
      <c r="R9248" s="178"/>
      <c r="S9248" s="178"/>
    </row>
    <row r="9249" spans="18:19">
      <c r="R9249" s="178"/>
      <c r="S9249" s="178"/>
    </row>
    <row r="9250" spans="18:19">
      <c r="R9250" s="178"/>
      <c r="S9250" s="178"/>
    </row>
    <row r="9251" spans="18:19">
      <c r="R9251" s="178"/>
      <c r="S9251" s="178"/>
    </row>
    <row r="9252" spans="18:19">
      <c r="R9252" s="178"/>
      <c r="S9252" s="178"/>
    </row>
    <row r="9253" spans="18:19">
      <c r="R9253" s="178"/>
      <c r="S9253" s="178"/>
    </row>
    <row r="9254" spans="18:19">
      <c r="R9254" s="178"/>
      <c r="S9254" s="178"/>
    </row>
    <row r="9255" spans="18:19">
      <c r="R9255" s="178"/>
      <c r="S9255" s="178"/>
    </row>
    <row r="9256" spans="18:19">
      <c r="R9256" s="178"/>
      <c r="S9256" s="178"/>
    </row>
    <row r="9257" spans="18:19">
      <c r="R9257" s="178"/>
      <c r="S9257" s="178"/>
    </row>
    <row r="9258" spans="18:19">
      <c r="R9258" s="178"/>
      <c r="S9258" s="178"/>
    </row>
    <row r="9259" spans="18:19">
      <c r="R9259" s="178"/>
      <c r="S9259" s="178"/>
    </row>
    <row r="9260" spans="18:19">
      <c r="R9260" s="178"/>
      <c r="S9260" s="178"/>
    </row>
    <row r="9261" spans="18:19">
      <c r="R9261" s="178"/>
      <c r="S9261" s="178"/>
    </row>
    <row r="9262" spans="18:19">
      <c r="R9262" s="178"/>
      <c r="S9262" s="178"/>
    </row>
    <row r="9263" spans="18:19">
      <c r="R9263" s="178"/>
      <c r="S9263" s="178"/>
    </row>
    <row r="9264" spans="18:19">
      <c r="R9264" s="178"/>
      <c r="S9264" s="178"/>
    </row>
    <row r="9265" spans="18:19">
      <c r="R9265" s="178"/>
      <c r="S9265" s="178"/>
    </row>
    <row r="9266" spans="18:19">
      <c r="R9266" s="178"/>
      <c r="S9266" s="178"/>
    </row>
    <row r="9267" spans="18:19">
      <c r="R9267" s="178"/>
      <c r="S9267" s="178"/>
    </row>
    <row r="9268" spans="18:19">
      <c r="R9268" s="178"/>
      <c r="S9268" s="178"/>
    </row>
    <row r="9269" spans="18:19">
      <c r="R9269" s="178"/>
      <c r="S9269" s="178"/>
    </row>
    <row r="9270" spans="18:19">
      <c r="R9270" s="178"/>
      <c r="S9270" s="178"/>
    </row>
    <row r="9271" spans="18:19">
      <c r="R9271" s="178"/>
      <c r="S9271" s="178"/>
    </row>
    <row r="9272" spans="18:19">
      <c r="R9272" s="178"/>
      <c r="S9272" s="178"/>
    </row>
    <row r="9273" spans="18:19">
      <c r="R9273" s="178"/>
      <c r="S9273" s="178"/>
    </row>
    <row r="9274" spans="18:19">
      <c r="R9274" s="178"/>
      <c r="S9274" s="178"/>
    </row>
    <row r="9275" spans="18:19">
      <c r="R9275" s="178"/>
      <c r="S9275" s="178"/>
    </row>
    <row r="9276" spans="18:19">
      <c r="R9276" s="178"/>
      <c r="S9276" s="178"/>
    </row>
    <row r="9277" spans="18:19">
      <c r="R9277" s="178"/>
      <c r="S9277" s="178"/>
    </row>
    <row r="9278" spans="18:19">
      <c r="R9278" s="178"/>
      <c r="S9278" s="178"/>
    </row>
    <row r="9279" spans="18:19">
      <c r="R9279" s="178"/>
      <c r="S9279" s="178"/>
    </row>
    <row r="9280" spans="18:19">
      <c r="R9280" s="178"/>
      <c r="S9280" s="178"/>
    </row>
    <row r="9281" spans="18:19">
      <c r="R9281" s="178"/>
      <c r="S9281" s="178"/>
    </row>
    <row r="9282" spans="18:19">
      <c r="R9282" s="178"/>
      <c r="S9282" s="178"/>
    </row>
    <row r="9283" spans="18:19">
      <c r="R9283" s="178"/>
      <c r="S9283" s="178"/>
    </row>
    <row r="9284" spans="18:19">
      <c r="R9284" s="178"/>
      <c r="S9284" s="178"/>
    </row>
    <row r="9285" spans="18:19">
      <c r="R9285" s="178"/>
      <c r="S9285" s="178"/>
    </row>
    <row r="9286" spans="18:19">
      <c r="R9286" s="178"/>
      <c r="S9286" s="178"/>
    </row>
    <row r="9287" spans="18:19">
      <c r="R9287" s="178"/>
      <c r="S9287" s="178"/>
    </row>
    <row r="9288" spans="18:19">
      <c r="R9288" s="178"/>
      <c r="S9288" s="178"/>
    </row>
    <row r="9289" spans="18:19">
      <c r="R9289" s="178"/>
      <c r="S9289" s="178"/>
    </row>
    <row r="9290" spans="18:19">
      <c r="R9290" s="178"/>
      <c r="S9290" s="178"/>
    </row>
    <row r="9291" spans="18:19">
      <c r="R9291" s="178"/>
      <c r="S9291" s="178"/>
    </row>
    <row r="9292" spans="18:19">
      <c r="R9292" s="178"/>
      <c r="S9292" s="178"/>
    </row>
    <row r="9293" spans="18:19">
      <c r="R9293" s="178"/>
      <c r="S9293" s="178"/>
    </row>
    <row r="9294" spans="18:19">
      <c r="R9294" s="178"/>
      <c r="S9294" s="178"/>
    </row>
    <row r="9295" spans="18:19">
      <c r="R9295" s="178"/>
      <c r="S9295" s="178"/>
    </row>
    <row r="9296" spans="18:19">
      <c r="R9296" s="178"/>
      <c r="S9296" s="178"/>
    </row>
    <row r="9297" spans="18:19">
      <c r="R9297" s="178"/>
      <c r="S9297" s="178"/>
    </row>
    <row r="9298" spans="18:19">
      <c r="R9298" s="178"/>
      <c r="S9298" s="178"/>
    </row>
    <row r="9299" spans="18:19">
      <c r="R9299" s="178"/>
      <c r="S9299" s="178"/>
    </row>
    <row r="9300" spans="18:19">
      <c r="R9300" s="178"/>
      <c r="S9300" s="178"/>
    </row>
    <row r="9301" spans="18:19">
      <c r="R9301" s="178"/>
      <c r="S9301" s="178"/>
    </row>
    <row r="9302" spans="18:19">
      <c r="R9302" s="178"/>
      <c r="S9302" s="178"/>
    </row>
    <row r="9303" spans="18:19">
      <c r="R9303" s="178"/>
      <c r="S9303" s="178"/>
    </row>
    <row r="9304" spans="18:19">
      <c r="R9304" s="178"/>
      <c r="S9304" s="178"/>
    </row>
    <row r="9305" spans="18:19">
      <c r="R9305" s="178"/>
      <c r="S9305" s="178"/>
    </row>
    <row r="9306" spans="18:19">
      <c r="R9306" s="178"/>
      <c r="S9306" s="178"/>
    </row>
    <row r="9307" spans="18:19">
      <c r="R9307" s="178"/>
      <c r="S9307" s="178"/>
    </row>
    <row r="9308" spans="18:19">
      <c r="R9308" s="178"/>
      <c r="S9308" s="178"/>
    </row>
    <row r="9309" spans="18:19">
      <c r="R9309" s="178"/>
      <c r="S9309" s="178"/>
    </row>
    <row r="9310" spans="18:19">
      <c r="R9310" s="178"/>
      <c r="S9310" s="178"/>
    </row>
    <row r="9311" spans="18:19">
      <c r="R9311" s="178"/>
      <c r="S9311" s="178"/>
    </row>
    <row r="9312" spans="18:19">
      <c r="R9312" s="178"/>
      <c r="S9312" s="178"/>
    </row>
    <row r="9313" spans="18:19">
      <c r="R9313" s="178"/>
      <c r="S9313" s="178"/>
    </row>
    <row r="9314" spans="18:19">
      <c r="R9314" s="178"/>
      <c r="S9314" s="178"/>
    </row>
    <row r="9315" spans="18:19">
      <c r="R9315" s="178"/>
      <c r="S9315" s="178"/>
    </row>
    <row r="9316" spans="18:19">
      <c r="R9316" s="178"/>
      <c r="S9316" s="178"/>
    </row>
    <row r="9317" spans="18:19">
      <c r="R9317" s="178"/>
      <c r="S9317" s="178"/>
    </row>
    <row r="9318" spans="18:19">
      <c r="R9318" s="178"/>
      <c r="S9318" s="178"/>
    </row>
    <row r="9319" spans="18:19">
      <c r="R9319" s="178"/>
      <c r="S9319" s="178"/>
    </row>
    <row r="9320" spans="18:19">
      <c r="R9320" s="178"/>
      <c r="S9320" s="178"/>
    </row>
    <row r="9321" spans="18:19">
      <c r="R9321" s="178"/>
      <c r="S9321" s="178"/>
    </row>
    <row r="9322" spans="18:19">
      <c r="R9322" s="178"/>
      <c r="S9322" s="178"/>
    </row>
    <row r="9323" spans="18:19">
      <c r="R9323" s="178"/>
      <c r="S9323" s="178"/>
    </row>
    <row r="9324" spans="18:19">
      <c r="R9324" s="178"/>
      <c r="S9324" s="178"/>
    </row>
    <row r="9325" spans="18:19">
      <c r="R9325" s="178"/>
      <c r="S9325" s="178"/>
    </row>
    <row r="9326" spans="18:19">
      <c r="R9326" s="178"/>
      <c r="S9326" s="178"/>
    </row>
    <row r="9327" spans="18:19">
      <c r="R9327" s="178"/>
      <c r="S9327" s="178"/>
    </row>
    <row r="9328" spans="18:19">
      <c r="R9328" s="178"/>
      <c r="S9328" s="178"/>
    </row>
    <row r="9329" spans="18:19">
      <c r="R9329" s="178"/>
      <c r="S9329" s="178"/>
    </row>
    <row r="9330" spans="18:19">
      <c r="R9330" s="178"/>
      <c r="S9330" s="178"/>
    </row>
    <row r="9331" spans="18:19">
      <c r="R9331" s="178"/>
      <c r="S9331" s="178"/>
    </row>
    <row r="9332" spans="18:19">
      <c r="R9332" s="178"/>
      <c r="S9332" s="178"/>
    </row>
    <row r="9333" spans="18:19">
      <c r="R9333" s="178"/>
      <c r="S9333" s="178"/>
    </row>
    <row r="9334" spans="18:19">
      <c r="R9334" s="178"/>
      <c r="S9334" s="178"/>
    </row>
    <row r="9335" spans="18:19">
      <c r="R9335" s="178"/>
      <c r="S9335" s="178"/>
    </row>
    <row r="9336" spans="18:19">
      <c r="R9336" s="178"/>
      <c r="S9336" s="178"/>
    </row>
    <row r="9337" spans="18:19">
      <c r="R9337" s="178"/>
      <c r="S9337" s="178"/>
    </row>
    <row r="9338" spans="18:19">
      <c r="R9338" s="178"/>
      <c r="S9338" s="178"/>
    </row>
    <row r="9339" spans="18:19">
      <c r="R9339" s="178"/>
      <c r="S9339" s="178"/>
    </row>
    <row r="9340" spans="18:19">
      <c r="R9340" s="178"/>
      <c r="S9340" s="178"/>
    </row>
    <row r="9341" spans="18:19">
      <c r="R9341" s="178"/>
      <c r="S9341" s="178"/>
    </row>
    <row r="9342" spans="18:19">
      <c r="R9342" s="178"/>
      <c r="S9342" s="178"/>
    </row>
    <row r="9343" spans="18:19">
      <c r="R9343" s="178"/>
      <c r="S9343" s="178"/>
    </row>
    <row r="9344" spans="18:19">
      <c r="R9344" s="178"/>
      <c r="S9344" s="178"/>
    </row>
    <row r="9345" spans="18:19">
      <c r="R9345" s="178"/>
      <c r="S9345" s="178"/>
    </row>
    <row r="9346" spans="18:19">
      <c r="R9346" s="178"/>
      <c r="S9346" s="178"/>
    </row>
    <row r="9347" spans="18:19">
      <c r="R9347" s="178"/>
      <c r="S9347" s="178"/>
    </row>
    <row r="9348" spans="18:19">
      <c r="R9348" s="178"/>
      <c r="S9348" s="178"/>
    </row>
    <row r="9349" spans="18:19">
      <c r="R9349" s="178"/>
      <c r="S9349" s="178"/>
    </row>
    <row r="9350" spans="18:19">
      <c r="R9350" s="178"/>
      <c r="S9350" s="178"/>
    </row>
    <row r="9351" spans="18:19">
      <c r="R9351" s="178"/>
      <c r="S9351" s="178"/>
    </row>
    <row r="9352" spans="18:19">
      <c r="R9352" s="178"/>
      <c r="S9352" s="178"/>
    </row>
    <row r="9353" spans="18:19">
      <c r="R9353" s="178"/>
      <c r="S9353" s="178"/>
    </row>
    <row r="9354" spans="18:19">
      <c r="R9354" s="178"/>
      <c r="S9354" s="178"/>
    </row>
    <row r="9355" spans="18:19">
      <c r="R9355" s="178"/>
      <c r="S9355" s="178"/>
    </row>
    <row r="9356" spans="18:19">
      <c r="R9356" s="178"/>
      <c r="S9356" s="178"/>
    </row>
    <row r="9357" spans="18:19">
      <c r="R9357" s="178"/>
      <c r="S9357" s="178"/>
    </row>
    <row r="9358" spans="18:19">
      <c r="R9358" s="178"/>
      <c r="S9358" s="178"/>
    </row>
    <row r="9359" spans="18:19">
      <c r="R9359" s="178"/>
      <c r="S9359" s="178"/>
    </row>
    <row r="9360" spans="18:19">
      <c r="R9360" s="178"/>
      <c r="S9360" s="178"/>
    </row>
    <row r="9361" spans="18:19">
      <c r="R9361" s="178"/>
      <c r="S9361" s="178"/>
    </row>
    <row r="9362" spans="18:19">
      <c r="R9362" s="178"/>
      <c r="S9362" s="178"/>
    </row>
    <row r="9363" spans="18:19">
      <c r="R9363" s="178"/>
      <c r="S9363" s="178"/>
    </row>
    <row r="9364" spans="18:19">
      <c r="R9364" s="178"/>
      <c r="S9364" s="178"/>
    </row>
    <row r="9365" spans="18:19">
      <c r="R9365" s="178"/>
      <c r="S9365" s="178"/>
    </row>
    <row r="9366" spans="18:19">
      <c r="R9366" s="178"/>
      <c r="S9366" s="178"/>
    </row>
    <row r="9367" spans="18:19">
      <c r="R9367" s="178"/>
      <c r="S9367" s="178"/>
    </row>
    <row r="9368" spans="18:19">
      <c r="R9368" s="178"/>
      <c r="S9368" s="178"/>
    </row>
    <row r="9369" spans="18:19">
      <c r="R9369" s="178"/>
      <c r="S9369" s="178"/>
    </row>
    <row r="9370" spans="18:19">
      <c r="R9370" s="178"/>
      <c r="S9370" s="178"/>
    </row>
    <row r="9371" spans="18:19">
      <c r="R9371" s="178"/>
      <c r="S9371" s="178"/>
    </row>
    <row r="9372" spans="18:19">
      <c r="R9372" s="178"/>
      <c r="S9372" s="178"/>
    </row>
    <row r="9373" spans="18:19">
      <c r="R9373" s="178"/>
      <c r="S9373" s="178"/>
    </row>
    <row r="9374" spans="18:19">
      <c r="R9374" s="178"/>
      <c r="S9374" s="178"/>
    </row>
    <row r="9375" spans="18:19">
      <c r="R9375" s="178"/>
      <c r="S9375" s="178"/>
    </row>
    <row r="9376" spans="18:19">
      <c r="R9376" s="178"/>
      <c r="S9376" s="178"/>
    </row>
    <row r="9377" spans="18:19">
      <c r="R9377" s="178"/>
      <c r="S9377" s="178"/>
    </row>
    <row r="9378" spans="18:19">
      <c r="R9378" s="178"/>
      <c r="S9378" s="178"/>
    </row>
    <row r="9379" spans="18:19">
      <c r="R9379" s="178"/>
      <c r="S9379" s="178"/>
    </row>
    <row r="9380" spans="18:19">
      <c r="R9380" s="178"/>
      <c r="S9380" s="178"/>
    </row>
    <row r="9381" spans="18:19">
      <c r="R9381" s="178"/>
      <c r="S9381" s="178"/>
    </row>
    <row r="9382" spans="18:19">
      <c r="R9382" s="178"/>
      <c r="S9382" s="178"/>
    </row>
    <row r="9383" spans="18:19">
      <c r="R9383" s="178"/>
      <c r="S9383" s="178"/>
    </row>
    <row r="9384" spans="18:19">
      <c r="R9384" s="178"/>
      <c r="S9384" s="178"/>
    </row>
    <row r="9385" spans="18:19">
      <c r="R9385" s="178"/>
      <c r="S9385" s="178"/>
    </row>
    <row r="9386" spans="18:19">
      <c r="R9386" s="178"/>
      <c r="S9386" s="178"/>
    </row>
    <row r="9387" spans="18:19">
      <c r="R9387" s="178"/>
      <c r="S9387" s="178"/>
    </row>
    <row r="9388" spans="18:19">
      <c r="R9388" s="178"/>
      <c r="S9388" s="178"/>
    </row>
    <row r="9389" spans="18:19">
      <c r="R9389" s="178"/>
      <c r="S9389" s="178"/>
    </row>
    <row r="9390" spans="18:19">
      <c r="R9390" s="178"/>
      <c r="S9390" s="178"/>
    </row>
    <row r="9391" spans="18:19">
      <c r="R9391" s="178"/>
      <c r="S9391" s="178"/>
    </row>
    <row r="9392" spans="18:19">
      <c r="R9392" s="178"/>
      <c r="S9392" s="178"/>
    </row>
    <row r="9393" spans="18:19">
      <c r="R9393" s="178"/>
      <c r="S9393" s="178"/>
    </row>
    <row r="9394" spans="18:19">
      <c r="R9394" s="178"/>
      <c r="S9394" s="178"/>
    </row>
    <row r="9395" spans="18:19">
      <c r="R9395" s="178"/>
      <c r="S9395" s="178"/>
    </row>
    <row r="9396" spans="18:19">
      <c r="R9396" s="178"/>
      <c r="S9396" s="178"/>
    </row>
    <row r="9397" spans="18:19">
      <c r="R9397" s="178"/>
      <c r="S9397" s="178"/>
    </row>
    <row r="9398" spans="18:19">
      <c r="R9398" s="178"/>
      <c r="S9398" s="178"/>
    </row>
    <row r="9399" spans="18:19">
      <c r="R9399" s="178"/>
      <c r="S9399" s="178"/>
    </row>
    <row r="9400" spans="18:19">
      <c r="R9400" s="178"/>
      <c r="S9400" s="178"/>
    </row>
    <row r="9401" spans="18:19">
      <c r="R9401" s="178"/>
      <c r="S9401" s="178"/>
    </row>
    <row r="9402" spans="18:19">
      <c r="R9402" s="178"/>
      <c r="S9402" s="178"/>
    </row>
    <row r="9403" spans="18:19">
      <c r="R9403" s="178"/>
      <c r="S9403" s="178"/>
    </row>
    <row r="9404" spans="18:19">
      <c r="R9404" s="178"/>
      <c r="S9404" s="178"/>
    </row>
    <row r="9405" spans="18:19">
      <c r="R9405" s="178"/>
      <c r="S9405" s="178"/>
    </row>
    <row r="9406" spans="18:19">
      <c r="R9406" s="178"/>
      <c r="S9406" s="178"/>
    </row>
    <row r="9407" spans="18:19">
      <c r="R9407" s="178"/>
      <c r="S9407" s="178"/>
    </row>
    <row r="9408" spans="18:19">
      <c r="R9408" s="178"/>
      <c r="S9408" s="178"/>
    </row>
    <row r="9409" spans="18:19">
      <c r="R9409" s="178"/>
      <c r="S9409" s="178"/>
    </row>
    <row r="9410" spans="18:19">
      <c r="R9410" s="178"/>
      <c r="S9410" s="178"/>
    </row>
    <row r="9411" spans="18:19">
      <c r="R9411" s="178"/>
      <c r="S9411" s="178"/>
    </row>
    <row r="9412" spans="18:19">
      <c r="R9412" s="178"/>
      <c r="S9412" s="178"/>
    </row>
    <row r="9413" spans="18:19">
      <c r="R9413" s="178"/>
      <c r="S9413" s="178"/>
    </row>
    <row r="9414" spans="18:19">
      <c r="R9414" s="178"/>
      <c r="S9414" s="178"/>
    </row>
    <row r="9415" spans="18:19">
      <c r="R9415" s="178"/>
      <c r="S9415" s="178"/>
    </row>
    <row r="9416" spans="18:19">
      <c r="R9416" s="178"/>
      <c r="S9416" s="178"/>
    </row>
    <row r="9417" spans="18:19">
      <c r="R9417" s="178"/>
      <c r="S9417" s="178"/>
    </row>
    <row r="9418" spans="18:19">
      <c r="R9418" s="178"/>
      <c r="S9418" s="178"/>
    </row>
    <row r="9419" spans="18:19">
      <c r="R9419" s="178"/>
      <c r="S9419" s="178"/>
    </row>
    <row r="9420" spans="18:19">
      <c r="R9420" s="178"/>
      <c r="S9420" s="178"/>
    </row>
    <row r="9421" spans="18:19">
      <c r="R9421" s="178"/>
      <c r="S9421" s="178"/>
    </row>
    <row r="9422" spans="18:19">
      <c r="R9422" s="178"/>
      <c r="S9422" s="178"/>
    </row>
    <row r="9423" spans="18:19">
      <c r="R9423" s="178"/>
      <c r="S9423" s="178"/>
    </row>
    <row r="9424" spans="18:19">
      <c r="R9424" s="178"/>
      <c r="S9424" s="178"/>
    </row>
    <row r="9425" spans="18:19">
      <c r="R9425" s="178"/>
      <c r="S9425" s="178"/>
    </row>
    <row r="9426" spans="18:19">
      <c r="R9426" s="178"/>
      <c r="S9426" s="178"/>
    </row>
    <row r="9427" spans="18:19">
      <c r="R9427" s="178"/>
      <c r="S9427" s="178"/>
    </row>
    <row r="9428" spans="18:19">
      <c r="R9428" s="178"/>
      <c r="S9428" s="178"/>
    </row>
    <row r="9429" spans="18:19">
      <c r="R9429" s="178"/>
      <c r="S9429" s="178"/>
    </row>
    <row r="9430" spans="18:19">
      <c r="R9430" s="178"/>
      <c r="S9430" s="178"/>
    </row>
    <row r="9431" spans="18:19">
      <c r="R9431" s="178"/>
      <c r="S9431" s="178"/>
    </row>
    <row r="9432" spans="18:19">
      <c r="R9432" s="178"/>
      <c r="S9432" s="178"/>
    </row>
    <row r="9433" spans="18:19">
      <c r="R9433" s="178"/>
      <c r="S9433" s="178"/>
    </row>
    <row r="9434" spans="18:19">
      <c r="R9434" s="178"/>
      <c r="S9434" s="178"/>
    </row>
    <row r="9435" spans="18:19">
      <c r="R9435" s="178"/>
      <c r="S9435" s="178"/>
    </row>
    <row r="9436" spans="18:19">
      <c r="R9436" s="178"/>
      <c r="S9436" s="178"/>
    </row>
    <row r="9437" spans="18:19">
      <c r="R9437" s="178"/>
      <c r="S9437" s="178"/>
    </row>
    <row r="9438" spans="18:19">
      <c r="R9438" s="178"/>
      <c r="S9438" s="178"/>
    </row>
    <row r="9439" spans="18:19">
      <c r="R9439" s="178"/>
      <c r="S9439" s="178"/>
    </row>
    <row r="9440" spans="18:19">
      <c r="R9440" s="178"/>
      <c r="S9440" s="178"/>
    </row>
    <row r="9441" spans="18:19">
      <c r="R9441" s="178"/>
      <c r="S9441" s="178"/>
    </row>
    <row r="9442" spans="18:19">
      <c r="R9442" s="178"/>
      <c r="S9442" s="178"/>
    </row>
    <row r="9443" spans="18:19">
      <c r="R9443" s="178"/>
      <c r="S9443" s="178"/>
    </row>
    <row r="9444" spans="18:19">
      <c r="R9444" s="178"/>
      <c r="S9444" s="178"/>
    </row>
    <row r="9445" spans="18:19">
      <c r="R9445" s="178"/>
      <c r="S9445" s="178"/>
    </row>
    <row r="9446" spans="18:19">
      <c r="R9446" s="178"/>
      <c r="S9446" s="178"/>
    </row>
    <row r="9447" spans="18:19">
      <c r="R9447" s="178"/>
      <c r="S9447" s="178"/>
    </row>
    <row r="9448" spans="18:19">
      <c r="R9448" s="178"/>
      <c r="S9448" s="178"/>
    </row>
    <row r="9449" spans="18:19">
      <c r="R9449" s="178"/>
      <c r="S9449" s="178"/>
    </row>
    <row r="9450" spans="18:19">
      <c r="R9450" s="178"/>
      <c r="S9450" s="178"/>
    </row>
    <row r="9451" spans="18:19">
      <c r="R9451" s="178"/>
      <c r="S9451" s="178"/>
    </row>
    <row r="9452" spans="18:19">
      <c r="R9452" s="178"/>
      <c r="S9452" s="178"/>
    </row>
    <row r="9453" spans="18:19">
      <c r="R9453" s="178"/>
      <c r="S9453" s="178"/>
    </row>
    <row r="9454" spans="18:19">
      <c r="R9454" s="178"/>
      <c r="S9454" s="178"/>
    </row>
    <row r="9455" spans="18:19">
      <c r="R9455" s="178"/>
      <c r="S9455" s="178"/>
    </row>
    <row r="9456" spans="18:19">
      <c r="R9456" s="178"/>
      <c r="S9456" s="178"/>
    </row>
    <row r="9457" spans="18:19">
      <c r="R9457" s="178"/>
      <c r="S9457" s="178"/>
    </row>
    <row r="9458" spans="18:19">
      <c r="R9458" s="178"/>
      <c r="S9458" s="178"/>
    </row>
    <row r="9459" spans="18:19">
      <c r="R9459" s="178"/>
      <c r="S9459" s="178"/>
    </row>
    <row r="9460" spans="18:19">
      <c r="R9460" s="178"/>
      <c r="S9460" s="178"/>
    </row>
    <row r="9461" spans="18:19">
      <c r="R9461" s="178"/>
      <c r="S9461" s="178"/>
    </row>
    <row r="9462" spans="18:19">
      <c r="R9462" s="178"/>
      <c r="S9462" s="178"/>
    </row>
    <row r="9463" spans="18:19">
      <c r="R9463" s="178"/>
      <c r="S9463" s="178"/>
    </row>
    <row r="9464" spans="18:19">
      <c r="R9464" s="178"/>
      <c r="S9464" s="178"/>
    </row>
    <row r="9465" spans="18:19">
      <c r="R9465" s="178"/>
      <c r="S9465" s="178"/>
    </row>
    <row r="9466" spans="18:19">
      <c r="R9466" s="178"/>
      <c r="S9466" s="178"/>
    </row>
    <row r="9467" spans="18:19">
      <c r="R9467" s="178"/>
      <c r="S9467" s="178"/>
    </row>
    <row r="9468" spans="18:19">
      <c r="R9468" s="178"/>
      <c r="S9468" s="178"/>
    </row>
    <row r="9469" spans="18:19">
      <c r="R9469" s="178"/>
      <c r="S9469" s="178"/>
    </row>
    <row r="9470" spans="18:19">
      <c r="R9470" s="178"/>
      <c r="S9470" s="178"/>
    </row>
    <row r="9471" spans="18:19">
      <c r="R9471" s="178"/>
      <c r="S9471" s="178"/>
    </row>
    <row r="9472" spans="18:19">
      <c r="R9472" s="178"/>
      <c r="S9472" s="178"/>
    </row>
    <row r="9473" spans="18:19">
      <c r="R9473" s="178"/>
      <c r="S9473" s="178"/>
    </row>
    <row r="9474" spans="18:19">
      <c r="R9474" s="178"/>
      <c r="S9474" s="178"/>
    </row>
    <row r="9475" spans="18:19">
      <c r="R9475" s="178"/>
      <c r="S9475" s="178"/>
    </row>
    <row r="9476" spans="18:19">
      <c r="R9476" s="178"/>
      <c r="S9476" s="178"/>
    </row>
    <row r="9477" spans="18:19">
      <c r="R9477" s="178"/>
      <c r="S9477" s="178"/>
    </row>
    <row r="9478" spans="18:19">
      <c r="R9478" s="178"/>
      <c r="S9478" s="178"/>
    </row>
    <row r="9479" spans="18:19">
      <c r="R9479" s="178"/>
      <c r="S9479" s="178"/>
    </row>
    <row r="9480" spans="18:19">
      <c r="R9480" s="178"/>
      <c r="S9480" s="178"/>
    </row>
    <row r="9481" spans="18:19">
      <c r="R9481" s="178"/>
      <c r="S9481" s="178"/>
    </row>
    <row r="9482" spans="18:19">
      <c r="R9482" s="178"/>
      <c r="S9482" s="178"/>
    </row>
    <row r="9483" spans="18:19">
      <c r="R9483" s="178"/>
      <c r="S9483" s="178"/>
    </row>
    <row r="9484" spans="18:19">
      <c r="R9484" s="178"/>
      <c r="S9484" s="178"/>
    </row>
    <row r="9485" spans="18:19">
      <c r="R9485" s="178"/>
      <c r="S9485" s="178"/>
    </row>
    <row r="9486" spans="18:19">
      <c r="R9486" s="178"/>
      <c r="S9486" s="178"/>
    </row>
    <row r="9487" spans="18:19">
      <c r="R9487" s="178"/>
      <c r="S9487" s="178"/>
    </row>
    <row r="9488" spans="18:19">
      <c r="R9488" s="178"/>
      <c r="S9488" s="178"/>
    </row>
    <row r="9489" spans="18:19">
      <c r="R9489" s="178"/>
      <c r="S9489" s="178"/>
    </row>
    <row r="9490" spans="18:19">
      <c r="R9490" s="178"/>
      <c r="S9490" s="178"/>
    </row>
    <row r="9491" spans="18:19">
      <c r="R9491" s="178"/>
      <c r="S9491" s="178"/>
    </row>
    <row r="9492" spans="18:19">
      <c r="R9492" s="178"/>
      <c r="S9492" s="178"/>
    </row>
    <row r="9493" spans="18:19">
      <c r="R9493" s="178"/>
      <c r="S9493" s="178"/>
    </row>
    <row r="9494" spans="18:19">
      <c r="R9494" s="178"/>
      <c r="S9494" s="178"/>
    </row>
    <row r="9495" spans="18:19">
      <c r="R9495" s="178"/>
      <c r="S9495" s="178"/>
    </row>
    <row r="9496" spans="18:19">
      <c r="R9496" s="178"/>
      <c r="S9496" s="178"/>
    </row>
    <row r="9497" spans="18:19">
      <c r="R9497" s="178"/>
      <c r="S9497" s="178"/>
    </row>
    <row r="9498" spans="18:19">
      <c r="R9498" s="178"/>
      <c r="S9498" s="178"/>
    </row>
    <row r="9499" spans="18:19">
      <c r="R9499" s="178"/>
      <c r="S9499" s="178"/>
    </row>
    <row r="9500" spans="18:19">
      <c r="R9500" s="178"/>
      <c r="S9500" s="178"/>
    </row>
    <row r="9501" spans="18:19">
      <c r="R9501" s="178"/>
      <c r="S9501" s="178"/>
    </row>
    <row r="9502" spans="18:19">
      <c r="R9502" s="178"/>
      <c r="S9502" s="178"/>
    </row>
    <row r="9503" spans="18:19">
      <c r="R9503" s="178"/>
      <c r="S9503" s="178"/>
    </row>
    <row r="9504" spans="18:19">
      <c r="R9504" s="178"/>
      <c r="S9504" s="178"/>
    </row>
    <row r="9505" spans="18:19">
      <c r="R9505" s="178"/>
      <c r="S9505" s="178"/>
    </row>
    <row r="9506" spans="18:19">
      <c r="R9506" s="178"/>
      <c r="S9506" s="178"/>
    </row>
    <row r="9507" spans="18:19">
      <c r="R9507" s="178"/>
      <c r="S9507" s="178"/>
    </row>
    <row r="9508" spans="18:19">
      <c r="R9508" s="178"/>
      <c r="S9508" s="178"/>
    </row>
    <row r="9509" spans="18:19">
      <c r="R9509" s="178"/>
      <c r="S9509" s="178"/>
    </row>
    <row r="9510" spans="18:19">
      <c r="R9510" s="178"/>
      <c r="S9510" s="178"/>
    </row>
    <row r="9511" spans="18:19">
      <c r="R9511" s="178"/>
      <c r="S9511" s="178"/>
    </row>
    <row r="9512" spans="18:19">
      <c r="R9512" s="178"/>
      <c r="S9512" s="178"/>
    </row>
    <row r="9513" spans="18:19">
      <c r="R9513" s="178"/>
      <c r="S9513" s="178"/>
    </row>
    <row r="9514" spans="18:19">
      <c r="R9514" s="178"/>
      <c r="S9514" s="178"/>
    </row>
    <row r="9515" spans="18:19">
      <c r="R9515" s="178"/>
      <c r="S9515" s="178"/>
    </row>
    <row r="9516" spans="18:19">
      <c r="R9516" s="178"/>
      <c r="S9516" s="178"/>
    </row>
    <row r="9517" spans="18:19">
      <c r="R9517" s="178"/>
      <c r="S9517" s="178"/>
    </row>
    <row r="9518" spans="18:19">
      <c r="R9518" s="178"/>
      <c r="S9518" s="178"/>
    </row>
    <row r="9519" spans="18:19">
      <c r="R9519" s="178"/>
      <c r="S9519" s="178"/>
    </row>
    <row r="9520" spans="18:19">
      <c r="R9520" s="178"/>
      <c r="S9520" s="178"/>
    </row>
    <row r="9521" spans="18:19">
      <c r="R9521" s="178"/>
      <c r="S9521" s="178"/>
    </row>
    <row r="9522" spans="18:19">
      <c r="R9522" s="178"/>
      <c r="S9522" s="178"/>
    </row>
    <row r="9523" spans="18:19">
      <c r="R9523" s="178"/>
      <c r="S9523" s="178"/>
    </row>
    <row r="9524" spans="18:19">
      <c r="R9524" s="178"/>
      <c r="S9524" s="178"/>
    </row>
    <row r="9525" spans="18:19">
      <c r="R9525" s="178"/>
      <c r="S9525" s="178"/>
    </row>
    <row r="9526" spans="18:19">
      <c r="R9526" s="178"/>
      <c r="S9526" s="178"/>
    </row>
    <row r="9527" spans="18:19">
      <c r="R9527" s="178"/>
      <c r="S9527" s="178"/>
    </row>
    <row r="9528" spans="18:19">
      <c r="R9528" s="178"/>
      <c r="S9528" s="178"/>
    </row>
    <row r="9529" spans="18:19">
      <c r="R9529" s="178"/>
      <c r="S9529" s="178"/>
    </row>
    <row r="9530" spans="18:19">
      <c r="R9530" s="178"/>
      <c r="S9530" s="178"/>
    </row>
    <row r="9531" spans="18:19">
      <c r="R9531" s="178"/>
      <c r="S9531" s="178"/>
    </row>
    <row r="9532" spans="18:19">
      <c r="R9532" s="178"/>
      <c r="S9532" s="178"/>
    </row>
    <row r="9533" spans="18:19">
      <c r="R9533" s="178"/>
      <c r="S9533" s="178"/>
    </row>
    <row r="9534" spans="18:19">
      <c r="R9534" s="178"/>
      <c r="S9534" s="178"/>
    </row>
    <row r="9535" spans="18:19">
      <c r="R9535" s="178"/>
      <c r="S9535" s="178"/>
    </row>
    <row r="9536" spans="18:19">
      <c r="R9536" s="178"/>
      <c r="S9536" s="178"/>
    </row>
    <row r="9537" spans="18:19">
      <c r="R9537" s="178"/>
      <c r="S9537" s="178"/>
    </row>
    <row r="9538" spans="18:19">
      <c r="R9538" s="178"/>
      <c r="S9538" s="178"/>
    </row>
    <row r="9539" spans="18:19">
      <c r="R9539" s="178"/>
      <c r="S9539" s="178"/>
    </row>
    <row r="9540" spans="18:19">
      <c r="R9540" s="178"/>
      <c r="S9540" s="178"/>
    </row>
    <row r="9541" spans="18:19">
      <c r="R9541" s="178"/>
      <c r="S9541" s="178"/>
    </row>
    <row r="9542" spans="18:19">
      <c r="R9542" s="178"/>
      <c r="S9542" s="178"/>
    </row>
    <row r="9543" spans="18:19">
      <c r="R9543" s="178"/>
      <c r="S9543" s="178"/>
    </row>
    <row r="9544" spans="18:19">
      <c r="R9544" s="178"/>
      <c r="S9544" s="178"/>
    </row>
    <row r="9545" spans="18:19">
      <c r="R9545" s="178"/>
      <c r="S9545" s="178"/>
    </row>
    <row r="9546" spans="18:19">
      <c r="R9546" s="178"/>
      <c r="S9546" s="178"/>
    </row>
    <row r="9547" spans="18:19">
      <c r="R9547" s="178"/>
      <c r="S9547" s="178"/>
    </row>
    <row r="9548" spans="18:19">
      <c r="R9548" s="178"/>
      <c r="S9548" s="178"/>
    </row>
    <row r="9549" spans="18:19">
      <c r="R9549" s="178"/>
      <c r="S9549" s="178"/>
    </row>
    <row r="9550" spans="18:19">
      <c r="R9550" s="178"/>
      <c r="S9550" s="178"/>
    </row>
    <row r="9551" spans="18:19">
      <c r="R9551" s="178"/>
      <c r="S9551" s="178"/>
    </row>
    <row r="9552" spans="18:19">
      <c r="R9552" s="178"/>
      <c r="S9552" s="178"/>
    </row>
    <row r="9553" spans="18:19">
      <c r="R9553" s="178"/>
      <c r="S9553" s="178"/>
    </row>
    <row r="9554" spans="18:19">
      <c r="R9554" s="178"/>
      <c r="S9554" s="178"/>
    </row>
    <row r="9555" spans="18:19">
      <c r="R9555" s="178"/>
      <c r="S9555" s="178"/>
    </row>
    <row r="9556" spans="18:19">
      <c r="R9556" s="178"/>
      <c r="S9556" s="178"/>
    </row>
    <row r="9557" spans="18:19">
      <c r="R9557" s="178"/>
      <c r="S9557" s="178"/>
    </row>
    <row r="9558" spans="18:19">
      <c r="R9558" s="178"/>
      <c r="S9558" s="178"/>
    </row>
    <row r="9559" spans="18:19">
      <c r="R9559" s="178"/>
      <c r="S9559" s="178"/>
    </row>
    <row r="9560" spans="18:19">
      <c r="R9560" s="178"/>
      <c r="S9560" s="178"/>
    </row>
    <row r="9561" spans="18:19">
      <c r="R9561" s="178"/>
      <c r="S9561" s="178"/>
    </row>
    <row r="9562" spans="18:19">
      <c r="R9562" s="178"/>
      <c r="S9562" s="178"/>
    </row>
    <row r="9563" spans="18:19">
      <c r="R9563" s="178"/>
      <c r="S9563" s="178"/>
    </row>
    <row r="9564" spans="18:19">
      <c r="R9564" s="178"/>
      <c r="S9564" s="178"/>
    </row>
    <row r="9565" spans="18:19">
      <c r="R9565" s="178"/>
      <c r="S9565" s="178"/>
    </row>
    <row r="9566" spans="18:19">
      <c r="R9566" s="178"/>
      <c r="S9566" s="178"/>
    </row>
    <row r="9567" spans="18:19">
      <c r="R9567" s="178"/>
      <c r="S9567" s="178"/>
    </row>
    <row r="9568" spans="18:19">
      <c r="R9568" s="178"/>
      <c r="S9568" s="178"/>
    </row>
    <row r="9569" spans="18:19">
      <c r="R9569" s="178"/>
      <c r="S9569" s="178"/>
    </row>
    <row r="9570" spans="18:19">
      <c r="R9570" s="178"/>
      <c r="S9570" s="178"/>
    </row>
    <row r="9571" spans="18:19">
      <c r="R9571" s="178"/>
      <c r="S9571" s="178"/>
    </row>
    <row r="9572" spans="18:19">
      <c r="R9572" s="178"/>
      <c r="S9572" s="178"/>
    </row>
    <row r="9573" spans="18:19">
      <c r="R9573" s="178"/>
      <c r="S9573" s="178"/>
    </row>
    <row r="9574" spans="18:19">
      <c r="R9574" s="178"/>
      <c r="S9574" s="178"/>
    </row>
    <row r="9575" spans="18:19">
      <c r="R9575" s="178"/>
      <c r="S9575" s="178"/>
    </row>
    <row r="9576" spans="18:19">
      <c r="R9576" s="178"/>
      <c r="S9576" s="178"/>
    </row>
    <row r="9577" spans="18:19">
      <c r="R9577" s="178"/>
      <c r="S9577" s="178"/>
    </row>
    <row r="9578" spans="18:19">
      <c r="R9578" s="178"/>
      <c r="S9578" s="178"/>
    </row>
    <row r="9579" spans="18:19">
      <c r="R9579" s="178"/>
      <c r="S9579" s="178"/>
    </row>
    <row r="9580" spans="18:19">
      <c r="R9580" s="178"/>
      <c r="S9580" s="178"/>
    </row>
    <row r="9581" spans="18:19">
      <c r="R9581" s="178"/>
      <c r="S9581" s="178"/>
    </row>
    <row r="9582" spans="18:19">
      <c r="R9582" s="178"/>
      <c r="S9582" s="178"/>
    </row>
    <row r="9583" spans="18:19">
      <c r="R9583" s="178"/>
      <c r="S9583" s="178"/>
    </row>
    <row r="9584" spans="18:19">
      <c r="R9584" s="178"/>
      <c r="S9584" s="178"/>
    </row>
    <row r="9585" spans="18:19">
      <c r="R9585" s="178"/>
      <c r="S9585" s="178"/>
    </row>
    <row r="9586" spans="18:19">
      <c r="R9586" s="178"/>
      <c r="S9586" s="178"/>
    </row>
    <row r="9587" spans="18:19">
      <c r="R9587" s="178"/>
      <c r="S9587" s="178"/>
    </row>
    <row r="9588" spans="18:19">
      <c r="R9588" s="178"/>
      <c r="S9588" s="178"/>
    </row>
    <row r="9589" spans="18:19">
      <c r="R9589" s="178"/>
      <c r="S9589" s="178"/>
    </row>
    <row r="9590" spans="18:19">
      <c r="R9590" s="178"/>
      <c r="S9590" s="178"/>
    </row>
    <row r="9591" spans="18:19">
      <c r="R9591" s="178"/>
      <c r="S9591" s="178"/>
    </row>
    <row r="9592" spans="18:19">
      <c r="R9592" s="178"/>
      <c r="S9592" s="178"/>
    </row>
    <row r="9593" spans="18:19">
      <c r="R9593" s="178"/>
      <c r="S9593" s="178"/>
    </row>
    <row r="9594" spans="18:19">
      <c r="R9594" s="178"/>
      <c r="S9594" s="178"/>
    </row>
    <row r="9595" spans="18:19">
      <c r="R9595" s="178"/>
      <c r="S9595" s="178"/>
    </row>
    <row r="9596" spans="18:19">
      <c r="R9596" s="178"/>
      <c r="S9596" s="178"/>
    </row>
    <row r="9597" spans="18:19">
      <c r="R9597" s="178"/>
      <c r="S9597" s="178"/>
    </row>
    <row r="9598" spans="18:19">
      <c r="R9598" s="178"/>
      <c r="S9598" s="178"/>
    </row>
    <row r="9599" spans="18:19">
      <c r="R9599" s="178"/>
      <c r="S9599" s="178"/>
    </row>
    <row r="9600" spans="18:19">
      <c r="R9600" s="178"/>
      <c r="S9600" s="178"/>
    </row>
    <row r="9601" spans="18:19">
      <c r="R9601" s="178"/>
      <c r="S9601" s="178"/>
    </row>
    <row r="9602" spans="18:19">
      <c r="R9602" s="178"/>
      <c r="S9602" s="178"/>
    </row>
    <row r="9603" spans="18:19">
      <c r="R9603" s="178"/>
      <c r="S9603" s="178"/>
    </row>
    <row r="9604" spans="18:19">
      <c r="R9604" s="178"/>
      <c r="S9604" s="178"/>
    </row>
    <row r="9605" spans="18:19">
      <c r="R9605" s="178"/>
      <c r="S9605" s="178"/>
    </row>
    <row r="9606" spans="18:19">
      <c r="R9606" s="178"/>
      <c r="S9606" s="178"/>
    </row>
    <row r="9607" spans="18:19">
      <c r="R9607" s="178"/>
      <c r="S9607" s="178"/>
    </row>
    <row r="9608" spans="18:19">
      <c r="R9608" s="178"/>
      <c r="S9608" s="178"/>
    </row>
    <row r="9609" spans="18:19">
      <c r="R9609" s="178"/>
      <c r="S9609" s="178"/>
    </row>
    <row r="9610" spans="18:19">
      <c r="R9610" s="178"/>
      <c r="S9610" s="178"/>
    </row>
    <row r="9611" spans="18:19">
      <c r="R9611" s="178"/>
      <c r="S9611" s="178"/>
    </row>
    <row r="9612" spans="18:19">
      <c r="R9612" s="178"/>
      <c r="S9612" s="178"/>
    </row>
    <row r="9613" spans="18:19">
      <c r="R9613" s="178"/>
      <c r="S9613" s="178"/>
    </row>
    <row r="9614" spans="18:19">
      <c r="R9614" s="178"/>
      <c r="S9614" s="178"/>
    </row>
    <row r="9615" spans="18:19">
      <c r="R9615" s="178"/>
      <c r="S9615" s="178"/>
    </row>
    <row r="9616" spans="18:19">
      <c r="R9616" s="178"/>
      <c r="S9616" s="178"/>
    </row>
    <row r="9617" spans="18:19">
      <c r="R9617" s="178"/>
      <c r="S9617" s="178"/>
    </row>
    <row r="9618" spans="18:19">
      <c r="R9618" s="178"/>
      <c r="S9618" s="178"/>
    </row>
    <row r="9619" spans="18:19">
      <c r="R9619" s="178"/>
      <c r="S9619" s="178"/>
    </row>
    <row r="9620" spans="18:19">
      <c r="R9620" s="178"/>
      <c r="S9620" s="178"/>
    </row>
    <row r="9621" spans="18:19">
      <c r="R9621" s="178"/>
      <c r="S9621" s="178"/>
    </row>
    <row r="9622" spans="18:19">
      <c r="R9622" s="178"/>
      <c r="S9622" s="178"/>
    </row>
    <row r="9623" spans="18:19">
      <c r="R9623" s="178"/>
      <c r="S9623" s="178"/>
    </row>
    <row r="9624" spans="18:19">
      <c r="R9624" s="178"/>
      <c r="S9624" s="178"/>
    </row>
    <row r="9625" spans="18:19">
      <c r="R9625" s="178"/>
      <c r="S9625" s="178"/>
    </row>
    <row r="9626" spans="18:19">
      <c r="R9626" s="178"/>
      <c r="S9626" s="178"/>
    </row>
    <row r="9627" spans="18:19">
      <c r="R9627" s="178"/>
      <c r="S9627" s="178"/>
    </row>
    <row r="9628" spans="18:19">
      <c r="R9628" s="178"/>
      <c r="S9628" s="178"/>
    </row>
    <row r="9629" spans="18:19">
      <c r="R9629" s="178"/>
      <c r="S9629" s="178"/>
    </row>
    <row r="9630" spans="18:19">
      <c r="R9630" s="178"/>
      <c r="S9630" s="178"/>
    </row>
    <row r="9631" spans="18:19">
      <c r="R9631" s="178"/>
      <c r="S9631" s="178"/>
    </row>
    <row r="9632" spans="18:19">
      <c r="R9632" s="178"/>
      <c r="S9632" s="178"/>
    </row>
    <row r="9633" spans="18:19">
      <c r="R9633" s="178"/>
      <c r="S9633" s="178"/>
    </row>
    <row r="9634" spans="18:19">
      <c r="R9634" s="178"/>
      <c r="S9634" s="178"/>
    </row>
    <row r="9635" spans="18:19">
      <c r="R9635" s="178"/>
      <c r="S9635" s="178"/>
    </row>
    <row r="9636" spans="18:19">
      <c r="R9636" s="178"/>
      <c r="S9636" s="178"/>
    </row>
    <row r="9637" spans="18:19">
      <c r="R9637" s="178"/>
      <c r="S9637" s="178"/>
    </row>
    <row r="9638" spans="18:19">
      <c r="R9638" s="178"/>
      <c r="S9638" s="178"/>
    </row>
    <row r="9639" spans="18:19">
      <c r="R9639" s="178"/>
      <c r="S9639" s="178"/>
    </row>
    <row r="9640" spans="18:19">
      <c r="R9640" s="178"/>
      <c r="S9640" s="178"/>
    </row>
    <row r="9641" spans="18:19">
      <c r="R9641" s="178"/>
      <c r="S9641" s="178"/>
    </row>
    <row r="9642" spans="18:19">
      <c r="R9642" s="178"/>
      <c r="S9642" s="178"/>
    </row>
    <row r="9643" spans="18:19">
      <c r="R9643" s="178"/>
      <c r="S9643" s="178"/>
    </row>
    <row r="9644" spans="18:19">
      <c r="R9644" s="178"/>
      <c r="S9644" s="178"/>
    </row>
    <row r="9645" spans="18:19">
      <c r="R9645" s="178"/>
      <c r="S9645" s="178"/>
    </row>
    <row r="9646" spans="18:19">
      <c r="R9646" s="178"/>
      <c r="S9646" s="178"/>
    </row>
    <row r="9647" spans="18:19">
      <c r="R9647" s="178"/>
      <c r="S9647" s="178"/>
    </row>
    <row r="9648" spans="18:19">
      <c r="R9648" s="178"/>
      <c r="S9648" s="178"/>
    </row>
    <row r="9649" spans="18:19">
      <c r="R9649" s="178"/>
      <c r="S9649" s="178"/>
    </row>
    <row r="9650" spans="18:19">
      <c r="R9650" s="178"/>
      <c r="S9650" s="178"/>
    </row>
    <row r="9651" spans="18:19">
      <c r="R9651" s="178"/>
      <c r="S9651" s="178"/>
    </row>
    <row r="9652" spans="18:19">
      <c r="R9652" s="178"/>
      <c r="S9652" s="178"/>
    </row>
    <row r="9653" spans="18:19">
      <c r="R9653" s="178"/>
      <c r="S9653" s="178"/>
    </row>
    <row r="9654" spans="18:19">
      <c r="R9654" s="178"/>
      <c r="S9654" s="178"/>
    </row>
    <row r="9655" spans="18:19">
      <c r="R9655" s="178"/>
      <c r="S9655" s="178"/>
    </row>
    <row r="9656" spans="18:19">
      <c r="R9656" s="178"/>
      <c r="S9656" s="178"/>
    </row>
    <row r="9657" spans="18:19">
      <c r="R9657" s="178"/>
      <c r="S9657" s="178"/>
    </row>
    <row r="9658" spans="18:19">
      <c r="R9658" s="178"/>
      <c r="S9658" s="178"/>
    </row>
    <row r="9659" spans="18:19">
      <c r="R9659" s="178"/>
      <c r="S9659" s="178"/>
    </row>
    <row r="9660" spans="18:19">
      <c r="R9660" s="178"/>
      <c r="S9660" s="178"/>
    </row>
    <row r="9661" spans="18:19">
      <c r="R9661" s="178"/>
      <c r="S9661" s="178"/>
    </row>
    <row r="9662" spans="18:19">
      <c r="R9662" s="178"/>
      <c r="S9662" s="178"/>
    </row>
    <row r="9663" spans="18:19">
      <c r="R9663" s="178"/>
      <c r="S9663" s="178"/>
    </row>
    <row r="9664" spans="18:19">
      <c r="R9664" s="178"/>
      <c r="S9664" s="178"/>
    </row>
    <row r="9665" spans="18:19">
      <c r="R9665" s="178"/>
      <c r="S9665" s="178"/>
    </row>
    <row r="9666" spans="18:19">
      <c r="R9666" s="178"/>
      <c r="S9666" s="178"/>
    </row>
    <row r="9667" spans="18:19">
      <c r="R9667" s="178"/>
      <c r="S9667" s="178"/>
    </row>
    <row r="9668" spans="18:19">
      <c r="R9668" s="178"/>
      <c r="S9668" s="178"/>
    </row>
    <row r="9669" spans="18:19">
      <c r="R9669" s="178"/>
      <c r="S9669" s="178"/>
    </row>
    <row r="9670" spans="18:19">
      <c r="R9670" s="178"/>
      <c r="S9670" s="178"/>
    </row>
    <row r="9671" spans="18:19">
      <c r="R9671" s="178"/>
      <c r="S9671" s="178"/>
    </row>
    <row r="9672" spans="18:19">
      <c r="R9672" s="178"/>
      <c r="S9672" s="178"/>
    </row>
    <row r="9673" spans="18:19">
      <c r="R9673" s="178"/>
      <c r="S9673" s="178"/>
    </row>
    <row r="9674" spans="18:19">
      <c r="R9674" s="178"/>
      <c r="S9674" s="178"/>
    </row>
    <row r="9675" spans="18:19">
      <c r="R9675" s="178"/>
      <c r="S9675" s="178"/>
    </row>
    <row r="9676" spans="18:19">
      <c r="R9676" s="178"/>
      <c r="S9676" s="178"/>
    </row>
    <row r="9677" spans="18:19">
      <c r="R9677" s="178"/>
      <c r="S9677" s="178"/>
    </row>
    <row r="9678" spans="18:19">
      <c r="R9678" s="178"/>
      <c r="S9678" s="178"/>
    </row>
    <row r="9679" spans="18:19">
      <c r="R9679" s="178"/>
      <c r="S9679" s="178"/>
    </row>
    <row r="9680" spans="18:19">
      <c r="R9680" s="178"/>
      <c r="S9680" s="178"/>
    </row>
    <row r="9681" spans="18:19">
      <c r="R9681" s="178"/>
      <c r="S9681" s="178"/>
    </row>
    <row r="9682" spans="18:19">
      <c r="R9682" s="178"/>
      <c r="S9682" s="178"/>
    </row>
    <row r="9683" spans="18:19">
      <c r="R9683" s="178"/>
      <c r="S9683" s="178"/>
    </row>
    <row r="9684" spans="18:19">
      <c r="R9684" s="178"/>
      <c r="S9684" s="178"/>
    </row>
    <row r="9685" spans="18:19">
      <c r="R9685" s="178"/>
      <c r="S9685" s="178"/>
    </row>
    <row r="9686" spans="18:19">
      <c r="R9686" s="178"/>
      <c r="S9686" s="178"/>
    </row>
    <row r="9687" spans="18:19">
      <c r="R9687" s="178"/>
      <c r="S9687" s="178"/>
    </row>
    <row r="9688" spans="18:19">
      <c r="R9688" s="178"/>
      <c r="S9688" s="178"/>
    </row>
    <row r="9689" spans="18:19">
      <c r="R9689" s="178"/>
      <c r="S9689" s="178"/>
    </row>
    <row r="9690" spans="18:19">
      <c r="R9690" s="178"/>
      <c r="S9690" s="178"/>
    </row>
    <row r="9691" spans="18:19">
      <c r="R9691" s="178"/>
      <c r="S9691" s="178"/>
    </row>
    <row r="9692" spans="18:19">
      <c r="R9692" s="178"/>
      <c r="S9692" s="178"/>
    </row>
    <row r="9693" spans="18:19">
      <c r="R9693" s="178"/>
      <c r="S9693" s="178"/>
    </row>
    <row r="9694" spans="18:19">
      <c r="R9694" s="178"/>
      <c r="S9694" s="178"/>
    </row>
    <row r="9695" spans="18:19">
      <c r="R9695" s="178"/>
      <c r="S9695" s="178"/>
    </row>
    <row r="9696" spans="18:19">
      <c r="R9696" s="178"/>
      <c r="S9696" s="178"/>
    </row>
    <row r="9697" spans="18:19">
      <c r="R9697" s="178"/>
      <c r="S9697" s="178"/>
    </row>
    <row r="9698" spans="18:19">
      <c r="R9698" s="178"/>
      <c r="S9698" s="178"/>
    </row>
    <row r="9699" spans="18:19">
      <c r="R9699" s="178"/>
      <c r="S9699" s="178"/>
    </row>
    <row r="9700" spans="18:19">
      <c r="R9700" s="178"/>
      <c r="S9700" s="178"/>
    </row>
    <row r="9701" spans="18:19">
      <c r="R9701" s="178"/>
      <c r="S9701" s="178"/>
    </row>
    <row r="9702" spans="18:19">
      <c r="R9702" s="178"/>
      <c r="S9702" s="178"/>
    </row>
    <row r="9703" spans="18:19">
      <c r="R9703" s="178"/>
      <c r="S9703" s="178"/>
    </row>
    <row r="9704" spans="18:19">
      <c r="R9704" s="178"/>
      <c r="S9704" s="178"/>
    </row>
    <row r="9705" spans="18:19">
      <c r="R9705" s="178"/>
      <c r="S9705" s="178"/>
    </row>
    <row r="9706" spans="18:19">
      <c r="R9706" s="178"/>
      <c r="S9706" s="178"/>
    </row>
    <row r="9707" spans="18:19">
      <c r="R9707" s="178"/>
      <c r="S9707" s="178"/>
    </row>
    <row r="9708" spans="18:19">
      <c r="R9708" s="178"/>
      <c r="S9708" s="178"/>
    </row>
    <row r="9709" spans="18:19">
      <c r="R9709" s="178"/>
      <c r="S9709" s="178"/>
    </row>
    <row r="9710" spans="18:19">
      <c r="R9710" s="178"/>
      <c r="S9710" s="178"/>
    </row>
    <row r="9711" spans="18:19">
      <c r="R9711" s="178"/>
      <c r="S9711" s="178"/>
    </row>
    <row r="9712" spans="18:19">
      <c r="R9712" s="178"/>
      <c r="S9712" s="178"/>
    </row>
    <row r="9713" spans="18:19">
      <c r="R9713" s="178"/>
      <c r="S9713" s="178"/>
    </row>
    <row r="9714" spans="18:19">
      <c r="R9714" s="178"/>
      <c r="S9714" s="178"/>
    </row>
    <row r="9715" spans="18:19">
      <c r="R9715" s="178"/>
      <c r="S9715" s="178"/>
    </row>
    <row r="9716" spans="18:19">
      <c r="R9716" s="178"/>
      <c r="S9716" s="178"/>
    </row>
    <row r="9717" spans="18:19">
      <c r="R9717" s="178"/>
      <c r="S9717" s="178"/>
    </row>
    <row r="9718" spans="18:19">
      <c r="R9718" s="178"/>
      <c r="S9718" s="178"/>
    </row>
    <row r="9719" spans="18:19">
      <c r="R9719" s="178"/>
      <c r="S9719" s="178"/>
    </row>
    <row r="9720" spans="18:19">
      <c r="R9720" s="178"/>
      <c r="S9720" s="178"/>
    </row>
    <row r="9721" spans="18:19">
      <c r="R9721" s="178"/>
      <c r="S9721" s="178"/>
    </row>
    <row r="9722" spans="18:19">
      <c r="R9722" s="178"/>
      <c r="S9722" s="178"/>
    </row>
    <row r="9723" spans="18:19">
      <c r="R9723" s="178"/>
      <c r="S9723" s="178"/>
    </row>
    <row r="9724" spans="18:19">
      <c r="R9724" s="178"/>
      <c r="S9724" s="178"/>
    </row>
    <row r="9725" spans="18:19">
      <c r="R9725" s="178"/>
      <c r="S9725" s="178"/>
    </row>
    <row r="9726" spans="18:19">
      <c r="R9726" s="178"/>
      <c r="S9726" s="178"/>
    </row>
    <row r="9727" spans="18:19">
      <c r="R9727" s="178"/>
      <c r="S9727" s="178"/>
    </row>
    <row r="9728" spans="18:19">
      <c r="R9728" s="178"/>
      <c r="S9728" s="178"/>
    </row>
    <row r="9729" spans="18:19">
      <c r="R9729" s="178"/>
      <c r="S9729" s="178"/>
    </row>
    <row r="9730" spans="18:19">
      <c r="R9730" s="178"/>
      <c r="S9730" s="178"/>
    </row>
    <row r="9731" spans="18:19">
      <c r="R9731" s="178"/>
      <c r="S9731" s="178"/>
    </row>
    <row r="9732" spans="18:19">
      <c r="R9732" s="178"/>
      <c r="S9732" s="178"/>
    </row>
    <row r="9733" spans="18:19">
      <c r="R9733" s="178"/>
      <c r="S9733" s="178"/>
    </row>
    <row r="9734" spans="18:19">
      <c r="R9734" s="178"/>
      <c r="S9734" s="178"/>
    </row>
    <row r="9735" spans="18:19">
      <c r="R9735" s="178"/>
      <c r="S9735" s="178"/>
    </row>
    <row r="9736" spans="18:19">
      <c r="R9736" s="178"/>
      <c r="S9736" s="178"/>
    </row>
    <row r="9737" spans="18:19">
      <c r="R9737" s="178"/>
      <c r="S9737" s="178"/>
    </row>
    <row r="9738" spans="18:19">
      <c r="R9738" s="178"/>
      <c r="S9738" s="178"/>
    </row>
    <row r="9739" spans="18:19">
      <c r="R9739" s="178"/>
      <c r="S9739" s="178"/>
    </row>
    <row r="9740" spans="18:19">
      <c r="R9740" s="178"/>
      <c r="S9740" s="178"/>
    </row>
    <row r="9741" spans="18:19">
      <c r="R9741" s="178"/>
      <c r="S9741" s="178"/>
    </row>
    <row r="9742" spans="18:19">
      <c r="R9742" s="178"/>
      <c r="S9742" s="178"/>
    </row>
    <row r="9743" spans="18:19">
      <c r="R9743" s="178"/>
      <c r="S9743" s="178"/>
    </row>
    <row r="9744" spans="18:19">
      <c r="R9744" s="178"/>
      <c r="S9744" s="178"/>
    </row>
    <row r="9745" spans="18:19">
      <c r="R9745" s="178"/>
      <c r="S9745" s="178"/>
    </row>
    <row r="9746" spans="18:19">
      <c r="R9746" s="178"/>
      <c r="S9746" s="178"/>
    </row>
    <row r="9747" spans="18:19">
      <c r="R9747" s="178"/>
      <c r="S9747" s="178"/>
    </row>
    <row r="9748" spans="18:19">
      <c r="R9748" s="178"/>
      <c r="S9748" s="178"/>
    </row>
    <row r="9749" spans="18:19">
      <c r="R9749" s="178"/>
      <c r="S9749" s="178"/>
    </row>
    <row r="9750" spans="18:19">
      <c r="R9750" s="178"/>
      <c r="S9750" s="178"/>
    </row>
    <row r="9751" spans="18:19">
      <c r="R9751" s="178"/>
      <c r="S9751" s="178"/>
    </row>
    <row r="9752" spans="18:19">
      <c r="R9752" s="178"/>
      <c r="S9752" s="178"/>
    </row>
    <row r="9753" spans="18:19">
      <c r="R9753" s="178"/>
      <c r="S9753" s="178"/>
    </row>
    <row r="9754" spans="18:19">
      <c r="R9754" s="178"/>
      <c r="S9754" s="178"/>
    </row>
    <row r="9755" spans="18:19">
      <c r="R9755" s="178"/>
      <c r="S9755" s="178"/>
    </row>
    <row r="9756" spans="18:19">
      <c r="R9756" s="178"/>
      <c r="S9756" s="178"/>
    </row>
    <row r="9757" spans="18:19">
      <c r="R9757" s="178"/>
      <c r="S9757" s="178"/>
    </row>
    <row r="9758" spans="18:19">
      <c r="R9758" s="178"/>
      <c r="S9758" s="178"/>
    </row>
    <row r="9759" spans="18:19">
      <c r="R9759" s="178"/>
      <c r="S9759" s="178"/>
    </row>
    <row r="9760" spans="18:19">
      <c r="R9760" s="178"/>
      <c r="S9760" s="178"/>
    </row>
    <row r="9761" spans="18:19">
      <c r="R9761" s="178"/>
      <c r="S9761" s="178"/>
    </row>
    <row r="9762" spans="18:19">
      <c r="R9762" s="178"/>
      <c r="S9762" s="178"/>
    </row>
    <row r="9763" spans="18:19">
      <c r="R9763" s="178"/>
      <c r="S9763" s="178"/>
    </row>
    <row r="9764" spans="18:19">
      <c r="R9764" s="178"/>
      <c r="S9764" s="178"/>
    </row>
    <row r="9765" spans="18:19">
      <c r="R9765" s="178"/>
      <c r="S9765" s="178"/>
    </row>
    <row r="9766" spans="18:19">
      <c r="R9766" s="178"/>
      <c r="S9766" s="178"/>
    </row>
    <row r="9767" spans="18:19">
      <c r="R9767" s="178"/>
      <c r="S9767" s="178"/>
    </row>
    <row r="9768" spans="18:19">
      <c r="R9768" s="178"/>
      <c r="S9768" s="178"/>
    </row>
    <row r="9769" spans="18:19">
      <c r="R9769" s="178"/>
      <c r="S9769" s="178"/>
    </row>
    <row r="9770" spans="18:19">
      <c r="R9770" s="178"/>
      <c r="S9770" s="178"/>
    </row>
    <row r="9771" spans="18:19">
      <c r="R9771" s="178"/>
      <c r="S9771" s="178"/>
    </row>
    <row r="9772" spans="18:19">
      <c r="R9772" s="178"/>
      <c r="S9772" s="178"/>
    </row>
    <row r="9773" spans="18:19">
      <c r="R9773" s="178"/>
      <c r="S9773" s="178"/>
    </row>
    <row r="9774" spans="18:19">
      <c r="R9774" s="178"/>
      <c r="S9774" s="178"/>
    </row>
    <row r="9775" spans="18:19">
      <c r="R9775" s="178"/>
      <c r="S9775" s="178"/>
    </row>
    <row r="9776" spans="18:19">
      <c r="R9776" s="178"/>
      <c r="S9776" s="178"/>
    </row>
    <row r="9777" spans="18:19">
      <c r="R9777" s="178"/>
      <c r="S9777" s="178"/>
    </row>
    <row r="9778" spans="18:19">
      <c r="R9778" s="178"/>
      <c r="S9778" s="178"/>
    </row>
    <row r="9779" spans="18:19">
      <c r="R9779" s="178"/>
      <c r="S9779" s="178"/>
    </row>
    <row r="9780" spans="18:19">
      <c r="R9780" s="178"/>
      <c r="S9780" s="178"/>
    </row>
    <row r="9781" spans="18:19">
      <c r="R9781" s="178"/>
      <c r="S9781" s="178"/>
    </row>
    <row r="9782" spans="18:19">
      <c r="R9782" s="178"/>
      <c r="S9782" s="178"/>
    </row>
    <row r="9783" spans="18:19">
      <c r="R9783" s="178"/>
      <c r="S9783" s="178"/>
    </row>
    <row r="9784" spans="18:19">
      <c r="R9784" s="178"/>
      <c r="S9784" s="178"/>
    </row>
    <row r="9785" spans="18:19">
      <c r="R9785" s="178"/>
      <c r="S9785" s="178"/>
    </row>
    <row r="9786" spans="18:19">
      <c r="R9786" s="178"/>
      <c r="S9786" s="178"/>
    </row>
    <row r="9787" spans="18:19">
      <c r="R9787" s="178"/>
      <c r="S9787" s="178"/>
    </row>
    <row r="9788" spans="18:19">
      <c r="R9788" s="178"/>
      <c r="S9788" s="178"/>
    </row>
    <row r="9789" spans="18:19">
      <c r="R9789" s="178"/>
      <c r="S9789" s="178"/>
    </row>
    <row r="9790" spans="18:19">
      <c r="R9790" s="178"/>
      <c r="S9790" s="178"/>
    </row>
    <row r="9791" spans="18:19">
      <c r="R9791" s="178"/>
      <c r="S9791" s="178"/>
    </row>
    <row r="9792" spans="18:19">
      <c r="R9792" s="178"/>
      <c r="S9792" s="178"/>
    </row>
    <row r="9793" spans="18:19">
      <c r="R9793" s="178"/>
      <c r="S9793" s="178"/>
    </row>
    <row r="9794" spans="18:19">
      <c r="R9794" s="178"/>
      <c r="S9794" s="178"/>
    </row>
    <row r="9795" spans="18:19">
      <c r="R9795" s="178"/>
      <c r="S9795" s="178"/>
    </row>
    <row r="9796" spans="18:19">
      <c r="R9796" s="178"/>
      <c r="S9796" s="178"/>
    </row>
    <row r="9797" spans="18:19">
      <c r="R9797" s="178"/>
      <c r="S9797" s="178"/>
    </row>
    <row r="9798" spans="18:19">
      <c r="R9798" s="178"/>
      <c r="S9798" s="178"/>
    </row>
    <row r="9799" spans="18:19">
      <c r="R9799" s="178"/>
      <c r="S9799" s="178"/>
    </row>
    <row r="9800" spans="18:19">
      <c r="R9800" s="178"/>
      <c r="S9800" s="178"/>
    </row>
    <row r="9801" spans="18:19">
      <c r="R9801" s="178"/>
      <c r="S9801" s="178"/>
    </row>
    <row r="9802" spans="18:19">
      <c r="R9802" s="178"/>
      <c r="S9802" s="178"/>
    </row>
    <row r="9803" spans="18:19">
      <c r="R9803" s="178"/>
      <c r="S9803" s="178"/>
    </row>
    <row r="9804" spans="18:19">
      <c r="R9804" s="178"/>
      <c r="S9804" s="178"/>
    </row>
    <row r="9805" spans="18:19">
      <c r="R9805" s="178"/>
      <c r="S9805" s="178"/>
    </row>
    <row r="9806" spans="18:19">
      <c r="R9806" s="178"/>
      <c r="S9806" s="178"/>
    </row>
    <row r="9807" spans="18:19">
      <c r="R9807" s="178"/>
      <c r="S9807" s="178"/>
    </row>
    <row r="9808" spans="18:19">
      <c r="R9808" s="178"/>
      <c r="S9808" s="178"/>
    </row>
    <row r="9809" spans="18:19">
      <c r="R9809" s="178"/>
      <c r="S9809" s="178"/>
    </row>
    <row r="9810" spans="18:19">
      <c r="R9810" s="178"/>
      <c r="S9810" s="178"/>
    </row>
    <row r="9811" spans="18:19">
      <c r="R9811" s="178"/>
      <c r="S9811" s="178"/>
    </row>
    <row r="9812" spans="18:19">
      <c r="R9812" s="178"/>
      <c r="S9812" s="178"/>
    </row>
    <row r="9813" spans="18:19">
      <c r="R9813" s="178"/>
      <c r="S9813" s="178"/>
    </row>
    <row r="9814" spans="18:19">
      <c r="R9814" s="178"/>
      <c r="S9814" s="178"/>
    </row>
    <row r="9815" spans="18:19">
      <c r="R9815" s="178"/>
      <c r="S9815" s="178"/>
    </row>
    <row r="9816" spans="18:19">
      <c r="R9816" s="178"/>
      <c r="S9816" s="178"/>
    </row>
    <row r="9817" spans="18:19">
      <c r="R9817" s="178"/>
      <c r="S9817" s="178"/>
    </row>
    <row r="9818" spans="18:19">
      <c r="R9818" s="178"/>
      <c r="S9818" s="178"/>
    </row>
    <row r="9819" spans="18:19">
      <c r="R9819" s="178"/>
      <c r="S9819" s="178"/>
    </row>
    <row r="9820" spans="18:19">
      <c r="R9820" s="178"/>
      <c r="S9820" s="178"/>
    </row>
    <row r="9821" spans="18:19">
      <c r="R9821" s="178"/>
      <c r="S9821" s="178"/>
    </row>
    <row r="9822" spans="18:19">
      <c r="R9822" s="178"/>
      <c r="S9822" s="178"/>
    </row>
    <row r="9823" spans="18:19">
      <c r="R9823" s="178"/>
      <c r="S9823" s="178"/>
    </row>
    <row r="9824" spans="18:19">
      <c r="R9824" s="178"/>
      <c r="S9824" s="178"/>
    </row>
    <row r="9825" spans="18:19">
      <c r="R9825" s="178"/>
      <c r="S9825" s="178"/>
    </row>
    <row r="9826" spans="18:19">
      <c r="R9826" s="178"/>
      <c r="S9826" s="178"/>
    </row>
    <row r="9827" spans="18:19">
      <c r="R9827" s="178"/>
      <c r="S9827" s="178"/>
    </row>
    <row r="9828" spans="18:19">
      <c r="R9828" s="178"/>
      <c r="S9828" s="178"/>
    </row>
    <row r="9829" spans="18:19">
      <c r="R9829" s="178"/>
      <c r="S9829" s="178"/>
    </row>
    <row r="9830" spans="18:19">
      <c r="R9830" s="178"/>
      <c r="S9830" s="178"/>
    </row>
    <row r="9831" spans="18:19">
      <c r="R9831" s="178"/>
      <c r="S9831" s="178"/>
    </row>
    <row r="9832" spans="18:19">
      <c r="R9832" s="178"/>
      <c r="S9832" s="178"/>
    </row>
    <row r="9833" spans="18:19">
      <c r="R9833" s="178"/>
      <c r="S9833" s="178"/>
    </row>
    <row r="9834" spans="18:19">
      <c r="R9834" s="178"/>
      <c r="S9834" s="178"/>
    </row>
    <row r="9835" spans="18:19">
      <c r="R9835" s="178"/>
      <c r="S9835" s="178"/>
    </row>
    <row r="9836" spans="18:19">
      <c r="R9836" s="178"/>
      <c r="S9836" s="178"/>
    </row>
    <row r="9837" spans="18:19">
      <c r="R9837" s="178"/>
      <c r="S9837" s="178"/>
    </row>
    <row r="9838" spans="18:19">
      <c r="R9838" s="178"/>
      <c r="S9838" s="178"/>
    </row>
    <row r="9839" spans="18:19">
      <c r="R9839" s="178"/>
      <c r="S9839" s="178"/>
    </row>
    <row r="9840" spans="18:19">
      <c r="R9840" s="178"/>
      <c r="S9840" s="178"/>
    </row>
    <row r="9841" spans="18:19">
      <c r="R9841" s="178"/>
      <c r="S9841" s="178"/>
    </row>
    <row r="9842" spans="18:19">
      <c r="R9842" s="178"/>
      <c r="S9842" s="178"/>
    </row>
    <row r="9843" spans="18:19">
      <c r="R9843" s="178"/>
      <c r="S9843" s="178"/>
    </row>
    <row r="9844" spans="18:19">
      <c r="R9844" s="178"/>
      <c r="S9844" s="178"/>
    </row>
    <row r="9845" spans="18:19">
      <c r="R9845" s="178"/>
      <c r="S9845" s="178"/>
    </row>
    <row r="9846" spans="18:19">
      <c r="R9846" s="178"/>
      <c r="S9846" s="178"/>
    </row>
    <row r="9847" spans="18:19">
      <c r="R9847" s="178"/>
      <c r="S9847" s="178"/>
    </row>
    <row r="9848" spans="18:19">
      <c r="R9848" s="178"/>
      <c r="S9848" s="178"/>
    </row>
    <row r="9849" spans="18:19">
      <c r="R9849" s="178"/>
      <c r="S9849" s="178"/>
    </row>
    <row r="9850" spans="18:19">
      <c r="R9850" s="178"/>
      <c r="S9850" s="178"/>
    </row>
    <row r="9851" spans="18:19">
      <c r="R9851" s="178"/>
      <c r="S9851" s="178"/>
    </row>
    <row r="9852" spans="18:19">
      <c r="R9852" s="178"/>
      <c r="S9852" s="178"/>
    </row>
    <row r="9853" spans="18:19">
      <c r="R9853" s="178"/>
      <c r="S9853" s="178"/>
    </row>
    <row r="9854" spans="18:19">
      <c r="R9854" s="178"/>
      <c r="S9854" s="178"/>
    </row>
    <row r="9855" spans="18:19">
      <c r="R9855" s="178"/>
      <c r="S9855" s="178"/>
    </row>
    <row r="9856" spans="18:19">
      <c r="R9856" s="178"/>
      <c r="S9856" s="178"/>
    </row>
    <row r="9857" spans="18:19">
      <c r="R9857" s="178"/>
      <c r="S9857" s="178"/>
    </row>
    <row r="9858" spans="18:19">
      <c r="R9858" s="178"/>
      <c r="S9858" s="178"/>
    </row>
    <row r="9859" spans="18:19">
      <c r="R9859" s="178"/>
      <c r="S9859" s="178"/>
    </row>
    <row r="9860" spans="18:19">
      <c r="R9860" s="178"/>
      <c r="S9860" s="178"/>
    </row>
    <row r="9861" spans="18:19">
      <c r="R9861" s="178"/>
      <c r="S9861" s="178"/>
    </row>
    <row r="9862" spans="18:19">
      <c r="R9862" s="178"/>
      <c r="S9862" s="178"/>
    </row>
    <row r="9863" spans="18:19">
      <c r="R9863" s="178"/>
      <c r="S9863" s="178"/>
    </row>
    <row r="9864" spans="18:19">
      <c r="R9864" s="178"/>
      <c r="S9864" s="178"/>
    </row>
    <row r="9865" spans="18:19">
      <c r="R9865" s="178"/>
      <c r="S9865" s="178"/>
    </row>
    <row r="9866" spans="18:19">
      <c r="R9866" s="178"/>
      <c r="S9866" s="178"/>
    </row>
    <row r="9867" spans="18:19">
      <c r="R9867" s="178"/>
      <c r="S9867" s="178"/>
    </row>
    <row r="9868" spans="18:19">
      <c r="R9868" s="178"/>
      <c r="S9868" s="178"/>
    </row>
    <row r="9869" spans="18:19">
      <c r="R9869" s="178"/>
      <c r="S9869" s="178"/>
    </row>
    <row r="9870" spans="18:19">
      <c r="R9870" s="178"/>
      <c r="S9870" s="178"/>
    </row>
    <row r="9871" spans="18:19">
      <c r="R9871" s="178"/>
      <c r="S9871" s="178"/>
    </row>
    <row r="9872" spans="18:19">
      <c r="R9872" s="178"/>
      <c r="S9872" s="178"/>
    </row>
    <row r="9873" spans="18:19">
      <c r="R9873" s="178"/>
      <c r="S9873" s="178"/>
    </row>
    <row r="9874" spans="18:19">
      <c r="R9874" s="178"/>
      <c r="S9874" s="178"/>
    </row>
    <row r="9875" spans="18:19">
      <c r="R9875" s="178"/>
      <c r="S9875" s="178"/>
    </row>
    <row r="9876" spans="18:19">
      <c r="R9876" s="178"/>
      <c r="S9876" s="178"/>
    </row>
    <row r="9877" spans="18:19">
      <c r="R9877" s="178"/>
      <c r="S9877" s="178"/>
    </row>
    <row r="9878" spans="18:19">
      <c r="R9878" s="178"/>
      <c r="S9878" s="178"/>
    </row>
    <row r="9879" spans="18:19">
      <c r="R9879" s="178"/>
      <c r="S9879" s="178"/>
    </row>
    <row r="9880" spans="18:19">
      <c r="R9880" s="178"/>
      <c r="S9880" s="178"/>
    </row>
    <row r="9881" spans="18:19">
      <c r="R9881" s="178"/>
      <c r="S9881" s="178"/>
    </row>
    <row r="9882" spans="18:19">
      <c r="R9882" s="178"/>
      <c r="S9882" s="178"/>
    </row>
    <row r="9883" spans="18:19">
      <c r="R9883" s="178"/>
      <c r="S9883" s="178"/>
    </row>
    <row r="9884" spans="18:19">
      <c r="R9884" s="178"/>
      <c r="S9884" s="178"/>
    </row>
    <row r="9885" spans="18:19">
      <c r="R9885" s="178"/>
      <c r="S9885" s="178"/>
    </row>
    <row r="9886" spans="18:19">
      <c r="R9886" s="178"/>
      <c r="S9886" s="178"/>
    </row>
    <row r="9887" spans="18:19">
      <c r="R9887" s="178"/>
      <c r="S9887" s="178"/>
    </row>
    <row r="9888" spans="18:19">
      <c r="R9888" s="178"/>
      <c r="S9888" s="178"/>
    </row>
    <row r="9889" spans="18:19">
      <c r="R9889" s="178"/>
      <c r="S9889" s="178"/>
    </row>
    <row r="9890" spans="18:19">
      <c r="R9890" s="178"/>
      <c r="S9890" s="178"/>
    </row>
    <row r="9891" spans="18:19">
      <c r="R9891" s="178"/>
      <c r="S9891" s="178"/>
    </row>
    <row r="9892" spans="18:19">
      <c r="R9892" s="178"/>
      <c r="S9892" s="178"/>
    </row>
    <row r="9893" spans="18:19">
      <c r="R9893" s="178"/>
      <c r="S9893" s="178"/>
    </row>
    <row r="9894" spans="18:19">
      <c r="R9894" s="178"/>
      <c r="S9894" s="178"/>
    </row>
    <row r="9895" spans="18:19">
      <c r="R9895" s="178"/>
      <c r="S9895" s="178"/>
    </row>
    <row r="9896" spans="18:19">
      <c r="R9896" s="178"/>
      <c r="S9896" s="178"/>
    </row>
    <row r="9897" spans="18:19">
      <c r="R9897" s="178"/>
      <c r="S9897" s="178"/>
    </row>
    <row r="9898" spans="18:19">
      <c r="R9898" s="178"/>
      <c r="S9898" s="178"/>
    </row>
    <row r="9899" spans="18:19">
      <c r="R9899" s="178"/>
      <c r="S9899" s="178"/>
    </row>
    <row r="9900" spans="18:19">
      <c r="R9900" s="178"/>
      <c r="S9900" s="178"/>
    </row>
    <row r="9901" spans="18:19">
      <c r="R9901" s="178"/>
      <c r="S9901" s="178"/>
    </row>
    <row r="9902" spans="18:19">
      <c r="R9902" s="178"/>
      <c r="S9902" s="178"/>
    </row>
    <row r="9903" spans="18:19">
      <c r="R9903" s="178"/>
      <c r="S9903" s="178"/>
    </row>
    <row r="9904" spans="18:19">
      <c r="R9904" s="178"/>
      <c r="S9904" s="178"/>
    </row>
    <row r="9905" spans="18:19">
      <c r="R9905" s="178"/>
      <c r="S9905" s="178"/>
    </row>
    <row r="9906" spans="18:19">
      <c r="R9906" s="178"/>
      <c r="S9906" s="178"/>
    </row>
    <row r="9907" spans="18:19">
      <c r="R9907" s="178"/>
      <c r="S9907" s="178"/>
    </row>
    <row r="9908" spans="18:19">
      <c r="R9908" s="178"/>
      <c r="S9908" s="178"/>
    </row>
    <row r="9909" spans="18:19">
      <c r="R9909" s="178"/>
      <c r="S9909" s="178"/>
    </row>
    <row r="9910" spans="18:19">
      <c r="R9910" s="178"/>
      <c r="S9910" s="178"/>
    </row>
    <row r="9911" spans="18:19">
      <c r="R9911" s="178"/>
      <c r="S9911" s="178"/>
    </row>
    <row r="9912" spans="18:19">
      <c r="R9912" s="178"/>
      <c r="S9912" s="178"/>
    </row>
    <row r="9913" spans="18:19">
      <c r="R9913" s="178"/>
      <c r="S9913" s="178"/>
    </row>
    <row r="9914" spans="18:19">
      <c r="R9914" s="178"/>
      <c r="S9914" s="178"/>
    </row>
    <row r="9915" spans="18:19">
      <c r="R9915" s="178"/>
      <c r="S9915" s="178"/>
    </row>
    <row r="9916" spans="18:19">
      <c r="R9916" s="178"/>
      <c r="S9916" s="178"/>
    </row>
    <row r="9917" spans="18:19">
      <c r="R9917" s="178"/>
      <c r="S9917" s="178"/>
    </row>
    <row r="9918" spans="18:19">
      <c r="R9918" s="178"/>
      <c r="S9918" s="178"/>
    </row>
    <row r="9919" spans="18:19">
      <c r="R9919" s="178"/>
      <c r="S9919" s="178"/>
    </row>
    <row r="9920" spans="18:19">
      <c r="R9920" s="178"/>
      <c r="S9920" s="178"/>
    </row>
    <row r="9921" spans="18:19">
      <c r="R9921" s="178"/>
      <c r="S9921" s="178"/>
    </row>
    <row r="9922" spans="18:19">
      <c r="R9922" s="178"/>
      <c r="S9922" s="178"/>
    </row>
    <row r="9923" spans="18:19">
      <c r="R9923" s="178"/>
      <c r="S9923" s="178"/>
    </row>
    <row r="9924" spans="18:19">
      <c r="R9924" s="178"/>
      <c r="S9924" s="178"/>
    </row>
    <row r="9925" spans="18:19">
      <c r="R9925" s="178"/>
      <c r="S9925" s="178"/>
    </row>
    <row r="9926" spans="18:19">
      <c r="R9926" s="178"/>
      <c r="S9926" s="178"/>
    </row>
    <row r="9927" spans="18:19">
      <c r="R9927" s="178"/>
      <c r="S9927" s="178"/>
    </row>
    <row r="9928" spans="18:19">
      <c r="R9928" s="178"/>
      <c r="S9928" s="178"/>
    </row>
    <row r="9929" spans="18:19">
      <c r="R9929" s="178"/>
      <c r="S9929" s="178"/>
    </row>
    <row r="9930" spans="18:19">
      <c r="R9930" s="178"/>
      <c r="S9930" s="178"/>
    </row>
    <row r="9931" spans="18:19">
      <c r="R9931" s="178"/>
      <c r="S9931" s="178"/>
    </row>
    <row r="9932" spans="18:19">
      <c r="R9932" s="178"/>
      <c r="S9932" s="178"/>
    </row>
    <row r="9933" spans="18:19">
      <c r="R9933" s="178"/>
      <c r="S9933" s="178"/>
    </row>
    <row r="9934" spans="18:19">
      <c r="R9934" s="178"/>
      <c r="S9934" s="178"/>
    </row>
    <row r="9935" spans="18:19">
      <c r="R9935" s="178"/>
      <c r="S9935" s="178"/>
    </row>
    <row r="9936" spans="18:19">
      <c r="R9936" s="178"/>
      <c r="S9936" s="178"/>
    </row>
    <row r="9937" spans="18:19">
      <c r="R9937" s="178"/>
      <c r="S9937" s="178"/>
    </row>
    <row r="9938" spans="18:19">
      <c r="R9938" s="178"/>
      <c r="S9938" s="178"/>
    </row>
    <row r="9939" spans="18:19">
      <c r="R9939" s="178"/>
      <c r="S9939" s="178"/>
    </row>
    <row r="9940" spans="18:19">
      <c r="R9940" s="178"/>
      <c r="S9940" s="178"/>
    </row>
    <row r="9941" spans="18:19">
      <c r="R9941" s="178"/>
      <c r="S9941" s="178"/>
    </row>
    <row r="9942" spans="18:19">
      <c r="R9942" s="178"/>
      <c r="S9942" s="178"/>
    </row>
    <row r="9943" spans="18:19">
      <c r="R9943" s="178"/>
      <c r="S9943" s="178"/>
    </row>
    <row r="9944" spans="18:19">
      <c r="R9944" s="178"/>
      <c r="S9944" s="178"/>
    </row>
    <row r="9945" spans="18:19">
      <c r="R9945" s="178"/>
      <c r="S9945" s="178"/>
    </row>
    <row r="9946" spans="18:19">
      <c r="R9946" s="178"/>
      <c r="S9946" s="178"/>
    </row>
    <row r="9947" spans="18:19">
      <c r="R9947" s="178"/>
      <c r="S9947" s="178"/>
    </row>
    <row r="9948" spans="18:19">
      <c r="R9948" s="178"/>
      <c r="S9948" s="178"/>
    </row>
    <row r="9949" spans="18:19">
      <c r="R9949" s="178"/>
      <c r="S9949" s="178"/>
    </row>
    <row r="9950" spans="18:19">
      <c r="R9950" s="178"/>
      <c r="S9950" s="178"/>
    </row>
    <row r="9951" spans="18:19">
      <c r="R9951" s="178"/>
      <c r="S9951" s="178"/>
    </row>
    <row r="9952" spans="18:19">
      <c r="R9952" s="178"/>
      <c r="S9952" s="178"/>
    </row>
    <row r="9953" spans="18:19">
      <c r="R9953" s="178"/>
      <c r="S9953" s="178"/>
    </row>
    <row r="9954" spans="18:19">
      <c r="R9954" s="178"/>
      <c r="S9954" s="178"/>
    </row>
    <row r="9955" spans="18:19">
      <c r="R9955" s="178"/>
      <c r="S9955" s="178"/>
    </row>
    <row r="9956" spans="18:19">
      <c r="R9956" s="178"/>
      <c r="S9956" s="178"/>
    </row>
    <row r="9957" spans="18:19">
      <c r="R9957" s="178"/>
      <c r="S9957" s="178"/>
    </row>
    <row r="9958" spans="18:19">
      <c r="R9958" s="178"/>
      <c r="S9958" s="178"/>
    </row>
    <row r="9959" spans="18:19">
      <c r="R9959" s="178"/>
      <c r="S9959" s="178"/>
    </row>
    <row r="9960" spans="18:19">
      <c r="R9960" s="178"/>
      <c r="S9960" s="178"/>
    </row>
    <row r="9961" spans="18:19">
      <c r="R9961" s="178"/>
      <c r="S9961" s="178"/>
    </row>
    <row r="9962" spans="18:19">
      <c r="R9962" s="178"/>
      <c r="S9962" s="178"/>
    </row>
    <row r="9963" spans="18:19">
      <c r="R9963" s="178"/>
      <c r="S9963" s="178"/>
    </row>
    <row r="9964" spans="18:19">
      <c r="R9964" s="178"/>
      <c r="S9964" s="178"/>
    </row>
    <row r="9965" spans="18:19">
      <c r="R9965" s="178"/>
      <c r="S9965" s="178"/>
    </row>
    <row r="9966" spans="18:19">
      <c r="R9966" s="178"/>
      <c r="S9966" s="178"/>
    </row>
    <row r="9967" spans="18:19">
      <c r="R9967" s="178"/>
      <c r="S9967" s="178"/>
    </row>
    <row r="9968" spans="18:19">
      <c r="R9968" s="178"/>
      <c r="S9968" s="178"/>
    </row>
    <row r="9969" spans="18:19">
      <c r="R9969" s="178"/>
      <c r="S9969" s="178"/>
    </row>
    <row r="9970" spans="18:19">
      <c r="R9970" s="178"/>
      <c r="S9970" s="178"/>
    </row>
    <row r="9971" spans="18:19">
      <c r="R9971" s="178"/>
      <c r="S9971" s="178"/>
    </row>
    <row r="9972" spans="18:19">
      <c r="R9972" s="178"/>
      <c r="S9972" s="178"/>
    </row>
    <row r="9973" spans="18:19">
      <c r="R9973" s="178"/>
      <c r="S9973" s="178"/>
    </row>
    <row r="9974" spans="18:19">
      <c r="R9974" s="178"/>
      <c r="S9974" s="178"/>
    </row>
    <row r="9975" spans="18:19">
      <c r="R9975" s="178"/>
      <c r="S9975" s="178"/>
    </row>
    <row r="9976" spans="18:19">
      <c r="R9976" s="178"/>
      <c r="S9976" s="178"/>
    </row>
    <row r="9977" spans="18:19">
      <c r="R9977" s="178"/>
      <c r="S9977" s="178"/>
    </row>
    <row r="9978" spans="18:19">
      <c r="R9978" s="178"/>
      <c r="S9978" s="178"/>
    </row>
    <row r="9979" spans="18:19">
      <c r="R9979" s="178"/>
      <c r="S9979" s="178"/>
    </row>
    <row r="9980" spans="18:19">
      <c r="R9980" s="178"/>
      <c r="S9980" s="178"/>
    </row>
    <row r="9981" spans="18:19">
      <c r="R9981" s="178"/>
      <c r="S9981" s="178"/>
    </row>
    <row r="9982" spans="18:19">
      <c r="R9982" s="178"/>
      <c r="S9982" s="178"/>
    </row>
    <row r="9983" spans="18:19">
      <c r="R9983" s="178"/>
      <c r="S9983" s="178"/>
    </row>
    <row r="9984" spans="18:19">
      <c r="R9984" s="178"/>
      <c r="S9984" s="178"/>
    </row>
    <row r="9985" spans="18:19">
      <c r="R9985" s="178"/>
      <c r="S9985" s="178"/>
    </row>
    <row r="9986" spans="18:19">
      <c r="R9986" s="178"/>
      <c r="S9986" s="178"/>
    </row>
    <row r="9987" spans="18:19">
      <c r="R9987" s="178"/>
      <c r="S9987" s="178"/>
    </row>
    <row r="9988" spans="18:19">
      <c r="R9988" s="178"/>
      <c r="S9988" s="178"/>
    </row>
    <row r="9989" spans="18:19">
      <c r="R9989" s="178"/>
      <c r="S9989" s="178"/>
    </row>
    <row r="9990" spans="18:19">
      <c r="R9990" s="178"/>
      <c r="S9990" s="178"/>
    </row>
    <row r="9991" spans="18:19">
      <c r="R9991" s="178"/>
      <c r="S9991" s="178"/>
    </row>
    <row r="9992" spans="18:19">
      <c r="R9992" s="178"/>
      <c r="S9992" s="178"/>
    </row>
    <row r="9993" spans="18:19">
      <c r="R9993" s="178"/>
      <c r="S9993" s="178"/>
    </row>
    <row r="9994" spans="18:19">
      <c r="R9994" s="178"/>
      <c r="S9994" s="178"/>
    </row>
    <row r="9995" spans="18:19">
      <c r="R9995" s="178"/>
      <c r="S9995" s="178"/>
    </row>
    <row r="9996" spans="18:19">
      <c r="R9996" s="178"/>
      <c r="S9996" s="178"/>
    </row>
    <row r="9997" spans="18:19">
      <c r="R9997" s="178"/>
      <c r="S9997" s="178"/>
    </row>
    <row r="9998" spans="18:19">
      <c r="R9998" s="178"/>
      <c r="S9998" s="178"/>
    </row>
    <row r="9999" spans="18:19">
      <c r="R9999" s="178"/>
      <c r="S9999" s="178"/>
    </row>
    <row r="10000" spans="18:19">
      <c r="R10000" s="178"/>
      <c r="S10000" s="178"/>
    </row>
    <row r="10001" spans="18:19">
      <c r="R10001" s="178"/>
      <c r="S10001" s="178"/>
    </row>
    <row r="10002" spans="18:19">
      <c r="R10002" s="178"/>
      <c r="S10002" s="178"/>
    </row>
    <row r="10003" spans="18:19">
      <c r="R10003" s="178"/>
      <c r="S10003" s="178"/>
    </row>
    <row r="10004" spans="18:19">
      <c r="R10004" s="178"/>
      <c r="S10004" s="178"/>
    </row>
    <row r="10005" spans="18:19">
      <c r="R10005" s="178"/>
      <c r="S10005" s="178"/>
    </row>
    <row r="10006" spans="18:19">
      <c r="R10006" s="178"/>
      <c r="S10006" s="178"/>
    </row>
    <row r="10007" spans="18:19">
      <c r="R10007" s="178"/>
      <c r="S10007" s="178"/>
    </row>
    <row r="10008" spans="18:19">
      <c r="R10008" s="178"/>
      <c r="S10008" s="178"/>
    </row>
    <row r="10009" spans="18:19">
      <c r="R10009" s="178"/>
      <c r="S10009" s="178"/>
    </row>
    <row r="10010" spans="18:19">
      <c r="R10010" s="178"/>
      <c r="S10010" s="178"/>
    </row>
    <row r="10011" spans="18:19">
      <c r="R10011" s="178"/>
      <c r="S10011" s="178"/>
    </row>
    <row r="10012" spans="18:19">
      <c r="R10012" s="178"/>
      <c r="S10012" s="178"/>
    </row>
    <row r="10013" spans="18:19">
      <c r="R10013" s="178"/>
      <c r="S10013" s="178"/>
    </row>
    <row r="10014" spans="18:19">
      <c r="R10014" s="178"/>
      <c r="S10014" s="178"/>
    </row>
    <row r="10015" spans="18:19">
      <c r="R10015" s="178"/>
      <c r="S10015" s="178"/>
    </row>
    <row r="10016" spans="18:19">
      <c r="R10016" s="178"/>
      <c r="S10016" s="178"/>
    </row>
    <row r="10017" spans="18:19">
      <c r="R10017" s="178"/>
      <c r="S10017" s="178"/>
    </row>
    <row r="10018" spans="18:19">
      <c r="R10018" s="178"/>
      <c r="S10018" s="178"/>
    </row>
    <row r="10019" spans="18:19">
      <c r="R10019" s="178"/>
      <c r="S10019" s="178"/>
    </row>
    <row r="10020" spans="18:19">
      <c r="R10020" s="178"/>
      <c r="S10020" s="178"/>
    </row>
    <row r="10021" spans="18:19">
      <c r="R10021" s="178"/>
      <c r="S10021" s="178"/>
    </row>
    <row r="10022" spans="18:19">
      <c r="R10022" s="178"/>
      <c r="S10022" s="178"/>
    </row>
    <row r="10023" spans="18:19">
      <c r="R10023" s="178"/>
      <c r="S10023" s="178"/>
    </row>
    <row r="10024" spans="18:19">
      <c r="R10024" s="178"/>
      <c r="S10024" s="178"/>
    </row>
    <row r="10025" spans="18:19">
      <c r="R10025" s="178"/>
      <c r="S10025" s="178"/>
    </row>
    <row r="10026" spans="18:19">
      <c r="R10026" s="178"/>
      <c r="S10026" s="178"/>
    </row>
    <row r="10027" spans="18:19">
      <c r="R10027" s="178"/>
      <c r="S10027" s="178"/>
    </row>
    <row r="10028" spans="18:19">
      <c r="R10028" s="178"/>
      <c r="S10028" s="178"/>
    </row>
    <row r="10029" spans="18:19">
      <c r="R10029" s="178"/>
      <c r="S10029" s="178"/>
    </row>
    <row r="10030" spans="18:19">
      <c r="R10030" s="178"/>
      <c r="S10030" s="178"/>
    </row>
    <row r="10031" spans="18:19">
      <c r="R10031" s="178"/>
      <c r="S10031" s="178"/>
    </row>
    <row r="10032" spans="18:19">
      <c r="R10032" s="178"/>
      <c r="S10032" s="178"/>
    </row>
    <row r="10033" spans="18:19">
      <c r="R10033" s="178"/>
      <c r="S10033" s="178"/>
    </row>
    <row r="10034" spans="18:19">
      <c r="R10034" s="178"/>
      <c r="S10034" s="178"/>
    </row>
    <row r="10035" spans="18:19">
      <c r="R10035" s="178"/>
      <c r="S10035" s="178"/>
    </row>
    <row r="10036" spans="18:19">
      <c r="R10036" s="178"/>
      <c r="S10036" s="178"/>
    </row>
    <row r="10037" spans="18:19">
      <c r="R10037" s="178"/>
      <c r="S10037" s="178"/>
    </row>
    <row r="10038" spans="18:19">
      <c r="R10038" s="178"/>
      <c r="S10038" s="178"/>
    </row>
    <row r="10039" spans="18:19">
      <c r="R10039" s="178"/>
      <c r="S10039" s="178"/>
    </row>
    <row r="10040" spans="18:19">
      <c r="R10040" s="178"/>
      <c r="S10040" s="178"/>
    </row>
    <row r="10041" spans="18:19">
      <c r="R10041" s="178"/>
      <c r="S10041" s="178"/>
    </row>
    <row r="10042" spans="18:19">
      <c r="R10042" s="178"/>
      <c r="S10042" s="178"/>
    </row>
    <row r="10043" spans="18:19">
      <c r="R10043" s="178"/>
      <c r="S10043" s="178"/>
    </row>
    <row r="10044" spans="18:19">
      <c r="R10044" s="178"/>
      <c r="S10044" s="178"/>
    </row>
    <row r="10045" spans="18:19">
      <c r="R10045" s="178"/>
      <c r="S10045" s="178"/>
    </row>
    <row r="10046" spans="18:19">
      <c r="R10046" s="178"/>
      <c r="S10046" s="178"/>
    </row>
    <row r="10047" spans="18:19">
      <c r="R10047" s="178"/>
      <c r="S10047" s="178"/>
    </row>
    <row r="10048" spans="18:19">
      <c r="R10048" s="178"/>
      <c r="S10048" s="178"/>
    </row>
    <row r="10049" spans="18:19">
      <c r="R10049" s="178"/>
      <c r="S10049" s="178"/>
    </row>
    <row r="10050" spans="18:19">
      <c r="R10050" s="178"/>
      <c r="S10050" s="178"/>
    </row>
    <row r="10051" spans="18:19">
      <c r="R10051" s="178"/>
      <c r="S10051" s="178"/>
    </row>
    <row r="10052" spans="18:19">
      <c r="R10052" s="178"/>
      <c r="S10052" s="178"/>
    </row>
    <row r="10053" spans="18:19">
      <c r="R10053" s="178"/>
      <c r="S10053" s="178"/>
    </row>
    <row r="10054" spans="18:19">
      <c r="R10054" s="178"/>
      <c r="S10054" s="178"/>
    </row>
    <row r="10055" spans="18:19">
      <c r="R10055" s="178"/>
      <c r="S10055" s="178"/>
    </row>
    <row r="10056" spans="18:19">
      <c r="R10056" s="178"/>
      <c r="S10056" s="178"/>
    </row>
    <row r="10057" spans="18:19">
      <c r="R10057" s="178"/>
      <c r="S10057" s="178"/>
    </row>
    <row r="10058" spans="18:19">
      <c r="R10058" s="178"/>
      <c r="S10058" s="178"/>
    </row>
    <row r="10059" spans="18:19">
      <c r="R10059" s="178"/>
      <c r="S10059" s="178"/>
    </row>
    <row r="10060" spans="18:19">
      <c r="R10060" s="178"/>
      <c r="S10060" s="178"/>
    </row>
    <row r="10061" spans="18:19">
      <c r="R10061" s="178"/>
      <c r="S10061" s="178"/>
    </row>
    <row r="10062" spans="18:19">
      <c r="R10062" s="178"/>
      <c r="S10062" s="178"/>
    </row>
    <row r="10063" spans="18:19">
      <c r="R10063" s="178"/>
      <c r="S10063" s="178"/>
    </row>
    <row r="10064" spans="18:19">
      <c r="R10064" s="178"/>
      <c r="S10064" s="178"/>
    </row>
    <row r="10065" spans="18:19">
      <c r="R10065" s="178"/>
      <c r="S10065" s="178"/>
    </row>
    <row r="10066" spans="18:19">
      <c r="R10066" s="178"/>
      <c r="S10066" s="178"/>
    </row>
    <row r="10067" spans="18:19">
      <c r="R10067" s="178"/>
      <c r="S10067" s="178"/>
    </row>
    <row r="10068" spans="18:19">
      <c r="R10068" s="178"/>
      <c r="S10068" s="178"/>
    </row>
    <row r="10069" spans="18:19">
      <c r="R10069" s="178"/>
      <c r="S10069" s="178"/>
    </row>
    <row r="10070" spans="18:19">
      <c r="R10070" s="178"/>
      <c r="S10070" s="178"/>
    </row>
    <row r="10071" spans="18:19">
      <c r="R10071" s="178"/>
      <c r="S10071" s="178"/>
    </row>
    <row r="10072" spans="18:19">
      <c r="R10072" s="178"/>
      <c r="S10072" s="178"/>
    </row>
    <row r="10073" spans="18:19">
      <c r="R10073" s="178"/>
      <c r="S10073" s="178"/>
    </row>
    <row r="10074" spans="18:19">
      <c r="R10074" s="178"/>
      <c r="S10074" s="178"/>
    </row>
    <row r="10075" spans="18:19">
      <c r="R10075" s="178"/>
      <c r="S10075" s="178"/>
    </row>
    <row r="10076" spans="18:19">
      <c r="R10076" s="178"/>
      <c r="S10076" s="178"/>
    </row>
    <row r="10077" spans="18:19">
      <c r="R10077" s="178"/>
      <c r="S10077" s="178"/>
    </row>
    <row r="10078" spans="18:19">
      <c r="R10078" s="178"/>
      <c r="S10078" s="178"/>
    </row>
    <row r="10079" spans="18:19">
      <c r="R10079" s="178"/>
      <c r="S10079" s="178"/>
    </row>
    <row r="10080" spans="18:19">
      <c r="R10080" s="178"/>
      <c r="S10080" s="178"/>
    </row>
    <row r="10081" spans="18:19">
      <c r="R10081" s="178"/>
      <c r="S10081" s="178"/>
    </row>
    <row r="10082" spans="18:19">
      <c r="R10082" s="178"/>
      <c r="S10082" s="178"/>
    </row>
    <row r="10083" spans="18:19">
      <c r="R10083" s="178"/>
      <c r="S10083" s="178"/>
    </row>
    <row r="10084" spans="18:19">
      <c r="R10084" s="178"/>
      <c r="S10084" s="178"/>
    </row>
    <row r="10085" spans="18:19">
      <c r="R10085" s="178"/>
      <c r="S10085" s="178"/>
    </row>
    <row r="10086" spans="18:19">
      <c r="R10086" s="178"/>
      <c r="S10086" s="178"/>
    </row>
    <row r="10087" spans="18:19">
      <c r="R10087" s="178"/>
      <c r="S10087" s="178"/>
    </row>
    <row r="10088" spans="18:19">
      <c r="R10088" s="178"/>
      <c r="S10088" s="178"/>
    </row>
    <row r="10089" spans="18:19">
      <c r="R10089" s="178"/>
      <c r="S10089" s="178"/>
    </row>
    <row r="10090" spans="18:19">
      <c r="R10090" s="178"/>
      <c r="S10090" s="178"/>
    </row>
    <row r="10091" spans="18:19">
      <c r="R10091" s="178"/>
      <c r="S10091" s="178"/>
    </row>
    <row r="10092" spans="18:19">
      <c r="R10092" s="178"/>
      <c r="S10092" s="178"/>
    </row>
    <row r="10093" spans="18:19">
      <c r="R10093" s="178"/>
      <c r="S10093" s="178"/>
    </row>
    <row r="10094" spans="18:19">
      <c r="R10094" s="178"/>
      <c r="S10094" s="178"/>
    </row>
    <row r="10095" spans="18:19">
      <c r="R10095" s="178"/>
      <c r="S10095" s="178"/>
    </row>
    <row r="10096" spans="18:19">
      <c r="R10096" s="178"/>
      <c r="S10096" s="178"/>
    </row>
    <row r="10097" spans="18:19">
      <c r="R10097" s="178"/>
      <c r="S10097" s="178"/>
    </row>
    <row r="10098" spans="18:19">
      <c r="R10098" s="178"/>
      <c r="S10098" s="178"/>
    </row>
    <row r="10099" spans="18:19">
      <c r="R10099" s="178"/>
      <c r="S10099" s="178"/>
    </row>
    <row r="10100" spans="18:19">
      <c r="R10100" s="178"/>
      <c r="S10100" s="178"/>
    </row>
    <row r="10101" spans="18:19">
      <c r="R10101" s="178"/>
      <c r="S10101" s="178"/>
    </row>
    <row r="10102" spans="18:19">
      <c r="R10102" s="178"/>
      <c r="S10102" s="178"/>
    </row>
    <row r="10103" spans="18:19">
      <c r="R10103" s="178"/>
      <c r="S10103" s="178"/>
    </row>
    <row r="10104" spans="18:19">
      <c r="R10104" s="178"/>
      <c r="S10104" s="178"/>
    </row>
    <row r="10105" spans="18:19">
      <c r="R10105" s="178"/>
      <c r="S10105" s="178"/>
    </row>
    <row r="10106" spans="18:19">
      <c r="R10106" s="178"/>
      <c r="S10106" s="178"/>
    </row>
    <row r="10107" spans="18:19">
      <c r="R10107" s="178"/>
      <c r="S10107" s="178"/>
    </row>
    <row r="10108" spans="18:19">
      <c r="R10108" s="178"/>
      <c r="S10108" s="178"/>
    </row>
    <row r="10109" spans="18:19">
      <c r="R10109" s="178"/>
      <c r="S10109" s="178"/>
    </row>
    <row r="10110" spans="18:19">
      <c r="R10110" s="178"/>
      <c r="S10110" s="178"/>
    </row>
    <row r="10111" spans="18:19">
      <c r="R10111" s="178"/>
      <c r="S10111" s="178"/>
    </row>
    <row r="10112" spans="18:19">
      <c r="R10112" s="178"/>
      <c r="S10112" s="178"/>
    </row>
    <row r="10113" spans="18:19">
      <c r="R10113" s="178"/>
      <c r="S10113" s="178"/>
    </row>
    <row r="10114" spans="18:19">
      <c r="R10114" s="178"/>
      <c r="S10114" s="178"/>
    </row>
    <row r="10115" spans="18:19">
      <c r="R10115" s="178"/>
      <c r="S10115" s="178"/>
    </row>
    <row r="10116" spans="18:19">
      <c r="R10116" s="178"/>
      <c r="S10116" s="178"/>
    </row>
    <row r="10117" spans="18:19">
      <c r="R10117" s="178"/>
      <c r="S10117" s="178"/>
    </row>
    <row r="10118" spans="18:19">
      <c r="R10118" s="178"/>
      <c r="S10118" s="178"/>
    </row>
    <row r="10119" spans="18:19">
      <c r="R10119" s="178"/>
      <c r="S10119" s="178"/>
    </row>
    <row r="10120" spans="18:19">
      <c r="R10120" s="178"/>
      <c r="S10120" s="178"/>
    </row>
    <row r="10121" spans="18:19">
      <c r="R10121" s="178"/>
      <c r="S10121" s="178"/>
    </row>
    <row r="10122" spans="18:19">
      <c r="R10122" s="178"/>
      <c r="S10122" s="178"/>
    </row>
    <row r="10123" spans="18:19">
      <c r="R10123" s="178"/>
      <c r="S10123" s="178"/>
    </row>
    <row r="10124" spans="18:19">
      <c r="R10124" s="178"/>
      <c r="S10124" s="178"/>
    </row>
    <row r="10125" spans="18:19">
      <c r="R10125" s="178"/>
      <c r="S10125" s="178"/>
    </row>
    <row r="10126" spans="18:19">
      <c r="R10126" s="178"/>
      <c r="S10126" s="178"/>
    </row>
    <row r="10127" spans="18:19">
      <c r="R10127" s="178"/>
      <c r="S10127" s="178"/>
    </row>
    <row r="10128" spans="18:19">
      <c r="R10128" s="178"/>
      <c r="S10128" s="178"/>
    </row>
    <row r="10129" spans="18:19">
      <c r="R10129" s="178"/>
      <c r="S10129" s="178"/>
    </row>
    <row r="10130" spans="18:19">
      <c r="R10130" s="178"/>
      <c r="S10130" s="178"/>
    </row>
    <row r="10131" spans="18:19">
      <c r="R10131" s="178"/>
      <c r="S10131" s="178"/>
    </row>
    <row r="10132" spans="18:19">
      <c r="R10132" s="178"/>
      <c r="S10132" s="178"/>
    </row>
    <row r="10133" spans="18:19">
      <c r="R10133" s="178"/>
      <c r="S10133" s="178"/>
    </row>
    <row r="10134" spans="18:19">
      <c r="R10134" s="178"/>
      <c r="S10134" s="178"/>
    </row>
    <row r="10135" spans="18:19">
      <c r="R10135" s="178"/>
      <c r="S10135" s="178"/>
    </row>
    <row r="10136" spans="18:19">
      <c r="R10136" s="178"/>
      <c r="S10136" s="178"/>
    </row>
    <row r="10137" spans="18:19">
      <c r="R10137" s="178"/>
      <c r="S10137" s="178"/>
    </row>
    <row r="10138" spans="18:19">
      <c r="R10138" s="178"/>
      <c r="S10138" s="178"/>
    </row>
    <row r="10139" spans="18:19">
      <c r="R10139" s="178"/>
      <c r="S10139" s="178"/>
    </row>
    <row r="10140" spans="18:19">
      <c r="R10140" s="178"/>
      <c r="S10140" s="178"/>
    </row>
    <row r="10141" spans="18:19">
      <c r="R10141" s="178"/>
      <c r="S10141" s="178"/>
    </row>
    <row r="10142" spans="18:19">
      <c r="R10142" s="178"/>
      <c r="S10142" s="178"/>
    </row>
    <row r="10143" spans="18:19">
      <c r="R10143" s="178"/>
      <c r="S10143" s="178"/>
    </row>
    <row r="10144" spans="18:19">
      <c r="R10144" s="178"/>
      <c r="S10144" s="178"/>
    </row>
    <row r="10145" spans="18:19">
      <c r="R10145" s="178"/>
      <c r="S10145" s="178"/>
    </row>
    <row r="10146" spans="18:19">
      <c r="R10146" s="178"/>
      <c r="S10146" s="178"/>
    </row>
    <row r="10147" spans="18:19">
      <c r="R10147" s="178"/>
      <c r="S10147" s="178"/>
    </row>
    <row r="10148" spans="18:19">
      <c r="R10148" s="178"/>
      <c r="S10148" s="178"/>
    </row>
    <row r="10149" spans="18:19">
      <c r="R10149" s="178"/>
      <c r="S10149" s="178"/>
    </row>
    <row r="10150" spans="18:19">
      <c r="R10150" s="178"/>
      <c r="S10150" s="178"/>
    </row>
    <row r="10151" spans="18:19">
      <c r="R10151" s="178"/>
      <c r="S10151" s="178"/>
    </row>
    <row r="10152" spans="18:19">
      <c r="R10152" s="178"/>
      <c r="S10152" s="178"/>
    </row>
    <row r="10153" spans="18:19">
      <c r="R10153" s="178"/>
      <c r="S10153" s="178"/>
    </row>
    <row r="10154" spans="18:19">
      <c r="R10154" s="178"/>
      <c r="S10154" s="178"/>
    </row>
    <row r="10155" spans="18:19">
      <c r="R10155" s="178"/>
      <c r="S10155" s="178"/>
    </row>
    <row r="10156" spans="18:19">
      <c r="R10156" s="178"/>
      <c r="S10156" s="178"/>
    </row>
    <row r="10157" spans="18:19">
      <c r="R10157" s="178"/>
      <c r="S10157" s="178"/>
    </row>
    <row r="10158" spans="18:19">
      <c r="R10158" s="178"/>
      <c r="S10158" s="178"/>
    </row>
    <row r="10159" spans="18:19">
      <c r="R10159" s="178"/>
      <c r="S10159" s="178"/>
    </row>
    <row r="10160" spans="18:19">
      <c r="R10160" s="178"/>
      <c r="S10160" s="178"/>
    </row>
    <row r="10161" spans="18:19">
      <c r="R10161" s="178"/>
      <c r="S10161" s="178"/>
    </row>
    <row r="10162" spans="18:19">
      <c r="R10162" s="178"/>
      <c r="S10162" s="178"/>
    </row>
    <row r="10163" spans="18:19">
      <c r="R10163" s="178"/>
      <c r="S10163" s="178"/>
    </row>
    <row r="10164" spans="18:19">
      <c r="R10164" s="178"/>
      <c r="S10164" s="178"/>
    </row>
    <row r="10165" spans="18:19">
      <c r="R10165" s="178"/>
      <c r="S10165" s="178"/>
    </row>
    <row r="10166" spans="18:19">
      <c r="R10166" s="178"/>
      <c r="S10166" s="178"/>
    </row>
    <row r="10167" spans="18:19">
      <c r="R10167" s="178"/>
      <c r="S10167" s="178"/>
    </row>
    <row r="10168" spans="18:19">
      <c r="R10168" s="178"/>
      <c r="S10168" s="178"/>
    </row>
    <row r="10169" spans="18:19">
      <c r="R10169" s="178"/>
      <c r="S10169" s="178"/>
    </row>
    <row r="10170" spans="18:19">
      <c r="R10170" s="178"/>
      <c r="S10170" s="178"/>
    </row>
    <row r="10171" spans="18:19">
      <c r="R10171" s="178"/>
      <c r="S10171" s="178"/>
    </row>
    <row r="10172" spans="18:19">
      <c r="R10172" s="178"/>
      <c r="S10172" s="178"/>
    </row>
    <row r="10173" spans="18:19">
      <c r="R10173" s="178"/>
      <c r="S10173" s="178"/>
    </row>
    <row r="10174" spans="18:19">
      <c r="R10174" s="178"/>
      <c r="S10174" s="178"/>
    </row>
    <row r="10175" spans="18:19">
      <c r="R10175" s="178"/>
      <c r="S10175" s="178"/>
    </row>
    <row r="10176" spans="18:19">
      <c r="R10176" s="178"/>
      <c r="S10176" s="178"/>
    </row>
    <row r="10177" spans="18:19">
      <c r="R10177" s="178"/>
      <c r="S10177" s="178"/>
    </row>
    <row r="10178" spans="18:19">
      <c r="R10178" s="178"/>
      <c r="S10178" s="178"/>
    </row>
    <row r="10179" spans="18:19">
      <c r="R10179" s="178"/>
      <c r="S10179" s="178"/>
    </row>
    <row r="10180" spans="18:19">
      <c r="R10180" s="178"/>
      <c r="S10180" s="178"/>
    </row>
    <row r="10181" spans="18:19">
      <c r="R10181" s="178"/>
      <c r="S10181" s="178"/>
    </row>
    <row r="10182" spans="18:19">
      <c r="R10182" s="178"/>
      <c r="S10182" s="178"/>
    </row>
    <row r="10183" spans="18:19">
      <c r="R10183" s="178"/>
      <c r="S10183" s="178"/>
    </row>
    <row r="10184" spans="18:19">
      <c r="R10184" s="178"/>
      <c r="S10184" s="178"/>
    </row>
    <row r="10185" spans="18:19">
      <c r="R10185" s="178"/>
      <c r="S10185" s="178"/>
    </row>
    <row r="10186" spans="18:19">
      <c r="R10186" s="178"/>
      <c r="S10186" s="178"/>
    </row>
    <row r="10187" spans="18:19">
      <c r="R10187" s="178"/>
      <c r="S10187" s="178"/>
    </row>
    <row r="10188" spans="18:19">
      <c r="R10188" s="178"/>
      <c r="S10188" s="178"/>
    </row>
    <row r="10189" spans="18:19">
      <c r="R10189" s="178"/>
      <c r="S10189" s="178"/>
    </row>
    <row r="10190" spans="18:19">
      <c r="R10190" s="178"/>
      <c r="S10190" s="178"/>
    </row>
    <row r="10191" spans="18:19">
      <c r="R10191" s="178"/>
      <c r="S10191" s="178"/>
    </row>
    <row r="10192" spans="18:19">
      <c r="R10192" s="178"/>
      <c r="S10192" s="178"/>
    </row>
    <row r="10193" spans="18:19">
      <c r="R10193" s="178"/>
      <c r="S10193" s="178"/>
    </row>
    <row r="10194" spans="18:19">
      <c r="R10194" s="178"/>
      <c r="S10194" s="178"/>
    </row>
    <row r="10195" spans="18:19">
      <c r="R10195" s="178"/>
      <c r="S10195" s="178"/>
    </row>
    <row r="10196" spans="18:19">
      <c r="R10196" s="178"/>
      <c r="S10196" s="178"/>
    </row>
    <row r="10197" spans="18:19">
      <c r="R10197" s="178"/>
      <c r="S10197" s="178"/>
    </row>
    <row r="10198" spans="18:19">
      <c r="R10198" s="178"/>
      <c r="S10198" s="178"/>
    </row>
    <row r="10199" spans="18:19">
      <c r="R10199" s="178"/>
      <c r="S10199" s="178"/>
    </row>
    <row r="10200" spans="18:19">
      <c r="R10200" s="178"/>
      <c r="S10200" s="178"/>
    </row>
    <row r="10201" spans="18:19">
      <c r="R10201" s="178"/>
      <c r="S10201" s="178"/>
    </row>
    <row r="10202" spans="18:19">
      <c r="R10202" s="178"/>
      <c r="S10202" s="178"/>
    </row>
    <row r="10203" spans="18:19">
      <c r="R10203" s="178"/>
      <c r="S10203" s="178"/>
    </row>
    <row r="10204" spans="18:19">
      <c r="R10204" s="178"/>
      <c r="S10204" s="178"/>
    </row>
    <row r="10205" spans="18:19">
      <c r="R10205" s="178"/>
      <c r="S10205" s="178"/>
    </row>
    <row r="10206" spans="18:19">
      <c r="R10206" s="178"/>
      <c r="S10206" s="178"/>
    </row>
    <row r="10207" spans="18:19">
      <c r="R10207" s="178"/>
      <c r="S10207" s="178"/>
    </row>
    <row r="10208" spans="18:19">
      <c r="R10208" s="178"/>
      <c r="S10208" s="178"/>
    </row>
    <row r="10209" spans="18:19">
      <c r="R10209" s="178"/>
      <c r="S10209" s="178"/>
    </row>
    <row r="10210" spans="18:19">
      <c r="R10210" s="178"/>
      <c r="S10210" s="178"/>
    </row>
    <row r="10211" spans="18:19">
      <c r="R10211" s="178"/>
      <c r="S10211" s="178"/>
    </row>
    <row r="10212" spans="18:19">
      <c r="R10212" s="178"/>
      <c r="S10212" s="178"/>
    </row>
    <row r="10213" spans="18:19">
      <c r="R10213" s="178"/>
      <c r="S10213" s="178"/>
    </row>
    <row r="10214" spans="18:19">
      <c r="R10214" s="178"/>
      <c r="S10214" s="178"/>
    </row>
    <row r="10215" spans="18:19">
      <c r="R10215" s="178"/>
      <c r="S10215" s="178"/>
    </row>
    <row r="10216" spans="18:19">
      <c r="R10216" s="178"/>
      <c r="S10216" s="178"/>
    </row>
    <row r="10217" spans="18:19">
      <c r="R10217" s="178"/>
      <c r="S10217" s="178"/>
    </row>
    <row r="10218" spans="18:19">
      <c r="R10218" s="178"/>
      <c r="S10218" s="178"/>
    </row>
    <row r="10219" spans="18:19">
      <c r="R10219" s="178"/>
      <c r="S10219" s="178"/>
    </row>
    <row r="10220" spans="18:19">
      <c r="R10220" s="178"/>
      <c r="S10220" s="178"/>
    </row>
    <row r="10221" spans="18:19">
      <c r="R10221" s="178"/>
      <c r="S10221" s="178"/>
    </row>
    <row r="10222" spans="18:19">
      <c r="R10222" s="178"/>
      <c r="S10222" s="178"/>
    </row>
    <row r="10223" spans="18:19">
      <c r="R10223" s="178"/>
      <c r="S10223" s="178"/>
    </row>
    <row r="10224" spans="18:19">
      <c r="R10224" s="178"/>
      <c r="S10224" s="178"/>
    </row>
    <row r="10225" spans="18:19">
      <c r="R10225" s="178"/>
      <c r="S10225" s="178"/>
    </row>
    <row r="10226" spans="18:19">
      <c r="R10226" s="178"/>
      <c r="S10226" s="178"/>
    </row>
    <row r="10227" spans="18:19">
      <c r="R10227" s="178"/>
      <c r="S10227" s="178"/>
    </row>
    <row r="10228" spans="18:19">
      <c r="R10228" s="178"/>
      <c r="S10228" s="178"/>
    </row>
    <row r="10229" spans="18:19">
      <c r="R10229" s="178"/>
      <c r="S10229" s="178"/>
    </row>
    <row r="10230" spans="18:19">
      <c r="R10230" s="178"/>
      <c r="S10230" s="178"/>
    </row>
    <row r="10231" spans="18:19">
      <c r="R10231" s="178"/>
      <c r="S10231" s="178"/>
    </row>
    <row r="10232" spans="18:19">
      <c r="R10232" s="178"/>
      <c r="S10232" s="178"/>
    </row>
    <row r="10233" spans="18:19">
      <c r="R10233" s="178"/>
      <c r="S10233" s="178"/>
    </row>
    <row r="10234" spans="18:19">
      <c r="R10234" s="178"/>
      <c r="S10234" s="178"/>
    </row>
    <row r="10235" spans="18:19">
      <c r="R10235" s="178"/>
      <c r="S10235" s="178"/>
    </row>
    <row r="10236" spans="18:19">
      <c r="R10236" s="178"/>
      <c r="S10236" s="178"/>
    </row>
    <row r="10237" spans="18:19">
      <c r="R10237" s="178"/>
      <c r="S10237" s="178"/>
    </row>
    <row r="10238" spans="18:19">
      <c r="R10238" s="178"/>
      <c r="S10238" s="178"/>
    </row>
    <row r="10239" spans="18:19">
      <c r="R10239" s="178"/>
      <c r="S10239" s="178"/>
    </row>
    <row r="10240" spans="18:19">
      <c r="R10240" s="178"/>
      <c r="S10240" s="178"/>
    </row>
    <row r="10241" spans="18:19">
      <c r="R10241" s="178"/>
      <c r="S10241" s="178"/>
    </row>
    <row r="10242" spans="18:19">
      <c r="R10242" s="178"/>
      <c r="S10242" s="178"/>
    </row>
    <row r="10243" spans="18:19">
      <c r="R10243" s="178"/>
      <c r="S10243" s="178"/>
    </row>
    <row r="10244" spans="18:19">
      <c r="R10244" s="178"/>
      <c r="S10244" s="178"/>
    </row>
    <row r="10245" spans="18:19">
      <c r="R10245" s="178"/>
      <c r="S10245" s="178"/>
    </row>
    <row r="10246" spans="18:19">
      <c r="R10246" s="178"/>
      <c r="S10246" s="178"/>
    </row>
    <row r="10247" spans="18:19">
      <c r="R10247" s="178"/>
      <c r="S10247" s="178"/>
    </row>
    <row r="10248" spans="18:19">
      <c r="R10248" s="178"/>
      <c r="S10248" s="178"/>
    </row>
    <row r="10249" spans="18:19">
      <c r="R10249" s="178"/>
      <c r="S10249" s="178"/>
    </row>
    <row r="10250" spans="18:19">
      <c r="R10250" s="178"/>
      <c r="S10250" s="178"/>
    </row>
    <row r="10251" spans="18:19">
      <c r="R10251" s="178"/>
      <c r="S10251" s="178"/>
    </row>
    <row r="10252" spans="18:19">
      <c r="R10252" s="178"/>
      <c r="S10252" s="178"/>
    </row>
    <row r="10253" spans="18:19">
      <c r="R10253" s="178"/>
      <c r="S10253" s="178"/>
    </row>
    <row r="10254" spans="18:19">
      <c r="R10254" s="178"/>
      <c r="S10254" s="178"/>
    </row>
    <row r="10255" spans="18:19">
      <c r="R10255" s="178"/>
      <c r="S10255" s="178"/>
    </row>
    <row r="10256" spans="18:19">
      <c r="R10256" s="178"/>
      <c r="S10256" s="178"/>
    </row>
    <row r="10257" spans="18:19">
      <c r="R10257" s="178"/>
      <c r="S10257" s="178"/>
    </row>
    <row r="10258" spans="18:19">
      <c r="R10258" s="178"/>
      <c r="S10258" s="178"/>
    </row>
    <row r="10259" spans="18:19">
      <c r="R10259" s="178"/>
      <c r="S10259" s="178"/>
    </row>
    <row r="10260" spans="18:19">
      <c r="R10260" s="178"/>
      <c r="S10260" s="178"/>
    </row>
    <row r="10261" spans="18:19">
      <c r="R10261" s="178"/>
      <c r="S10261" s="178"/>
    </row>
    <row r="10262" spans="18:19">
      <c r="R10262" s="178"/>
      <c r="S10262" s="178"/>
    </row>
    <row r="10263" spans="18:19">
      <c r="R10263" s="178"/>
      <c r="S10263" s="178"/>
    </row>
    <row r="10264" spans="18:19">
      <c r="R10264" s="178"/>
      <c r="S10264" s="178"/>
    </row>
    <row r="10265" spans="18:19">
      <c r="R10265" s="178"/>
      <c r="S10265" s="178"/>
    </row>
    <row r="10266" spans="18:19">
      <c r="R10266" s="178"/>
      <c r="S10266" s="178"/>
    </row>
    <row r="10267" spans="18:19">
      <c r="R10267" s="178"/>
      <c r="S10267" s="178"/>
    </row>
    <row r="10268" spans="18:19">
      <c r="R10268" s="178"/>
      <c r="S10268" s="178"/>
    </row>
    <row r="10269" spans="18:19">
      <c r="R10269" s="178"/>
      <c r="S10269" s="178"/>
    </row>
    <row r="10270" spans="18:19">
      <c r="R10270" s="178"/>
      <c r="S10270" s="178"/>
    </row>
    <row r="10271" spans="18:19">
      <c r="R10271" s="178"/>
      <c r="S10271" s="178"/>
    </row>
    <row r="10272" spans="18:19">
      <c r="R10272" s="178"/>
      <c r="S10272" s="178"/>
    </row>
    <row r="10273" spans="18:19">
      <c r="R10273" s="178"/>
      <c r="S10273" s="178"/>
    </row>
    <row r="10274" spans="18:19">
      <c r="R10274" s="178"/>
      <c r="S10274" s="178"/>
    </row>
    <row r="10275" spans="18:19">
      <c r="R10275" s="178"/>
      <c r="S10275" s="178"/>
    </row>
    <row r="10276" spans="18:19">
      <c r="R10276" s="178"/>
      <c r="S10276" s="178"/>
    </row>
    <row r="10277" spans="18:19">
      <c r="R10277" s="178"/>
      <c r="S10277" s="178"/>
    </row>
    <row r="10278" spans="18:19">
      <c r="R10278" s="178"/>
      <c r="S10278" s="178"/>
    </row>
    <row r="10279" spans="18:19">
      <c r="R10279" s="178"/>
      <c r="S10279" s="178"/>
    </row>
    <row r="10280" spans="18:19">
      <c r="R10280" s="178"/>
      <c r="S10280" s="178"/>
    </row>
    <row r="10281" spans="18:19">
      <c r="R10281" s="178"/>
      <c r="S10281" s="178"/>
    </row>
    <row r="10282" spans="18:19">
      <c r="R10282" s="178"/>
      <c r="S10282" s="178"/>
    </row>
    <row r="10283" spans="18:19">
      <c r="R10283" s="178"/>
      <c r="S10283" s="178"/>
    </row>
    <row r="10284" spans="18:19">
      <c r="R10284" s="178"/>
      <c r="S10284" s="178"/>
    </row>
    <row r="10285" spans="18:19">
      <c r="R10285" s="178"/>
      <c r="S10285" s="178"/>
    </row>
    <row r="10286" spans="18:19">
      <c r="R10286" s="178"/>
      <c r="S10286" s="178"/>
    </row>
    <row r="10287" spans="18:19">
      <c r="R10287" s="178"/>
      <c r="S10287" s="178"/>
    </row>
    <row r="10288" spans="18:19">
      <c r="R10288" s="178"/>
      <c r="S10288" s="178"/>
    </row>
    <row r="10289" spans="18:19">
      <c r="R10289" s="178"/>
      <c r="S10289" s="178"/>
    </row>
    <row r="10290" spans="18:19">
      <c r="R10290" s="178"/>
      <c r="S10290" s="178"/>
    </row>
    <row r="10291" spans="18:19">
      <c r="R10291" s="178"/>
      <c r="S10291" s="178"/>
    </row>
    <row r="10292" spans="18:19">
      <c r="R10292" s="178"/>
      <c r="S10292" s="178"/>
    </row>
    <row r="10293" spans="18:19">
      <c r="R10293" s="178"/>
      <c r="S10293" s="178"/>
    </row>
    <row r="10294" spans="18:19">
      <c r="R10294" s="178"/>
      <c r="S10294" s="178"/>
    </row>
    <row r="10295" spans="18:19">
      <c r="R10295" s="178"/>
      <c r="S10295" s="178"/>
    </row>
    <row r="10296" spans="18:19">
      <c r="R10296" s="178"/>
      <c r="S10296" s="178"/>
    </row>
    <row r="10297" spans="18:19">
      <c r="R10297" s="178"/>
      <c r="S10297" s="178"/>
    </row>
    <row r="10298" spans="18:19">
      <c r="R10298" s="178"/>
      <c r="S10298" s="178"/>
    </row>
    <row r="10299" spans="18:19">
      <c r="R10299" s="178"/>
      <c r="S10299" s="178"/>
    </row>
    <row r="10300" spans="18:19">
      <c r="R10300" s="178"/>
      <c r="S10300" s="178"/>
    </row>
    <row r="10301" spans="18:19">
      <c r="R10301" s="178"/>
      <c r="S10301" s="178"/>
    </row>
    <row r="10302" spans="18:19">
      <c r="R10302" s="178"/>
      <c r="S10302" s="178"/>
    </row>
    <row r="10303" spans="18:19">
      <c r="R10303" s="178"/>
      <c r="S10303" s="178"/>
    </row>
    <row r="10304" spans="18:19">
      <c r="R10304" s="178"/>
      <c r="S10304" s="178"/>
    </row>
    <row r="10305" spans="18:19">
      <c r="R10305" s="178"/>
      <c r="S10305" s="178"/>
    </row>
    <row r="10306" spans="18:19">
      <c r="R10306" s="178"/>
      <c r="S10306" s="178"/>
    </row>
    <row r="10307" spans="18:19">
      <c r="R10307" s="178"/>
      <c r="S10307" s="178"/>
    </row>
    <row r="10308" spans="18:19">
      <c r="R10308" s="178"/>
      <c r="S10308" s="178"/>
    </row>
    <row r="10309" spans="18:19">
      <c r="R10309" s="178"/>
      <c r="S10309" s="178"/>
    </row>
    <row r="10310" spans="18:19">
      <c r="R10310" s="178"/>
      <c r="S10310" s="178"/>
    </row>
    <row r="10311" spans="18:19">
      <c r="R10311" s="178"/>
      <c r="S10311" s="178"/>
    </row>
    <row r="10312" spans="18:19">
      <c r="R10312" s="178"/>
      <c r="S10312" s="178"/>
    </row>
    <row r="10313" spans="18:19">
      <c r="R10313" s="178"/>
      <c r="S10313" s="178"/>
    </row>
    <row r="10314" spans="18:19">
      <c r="R10314" s="178"/>
      <c r="S10314" s="178"/>
    </row>
    <row r="10315" spans="18:19">
      <c r="R10315" s="178"/>
      <c r="S10315" s="178"/>
    </row>
    <row r="10316" spans="18:19">
      <c r="R10316" s="178"/>
      <c r="S10316" s="178"/>
    </row>
    <row r="10317" spans="18:19">
      <c r="R10317" s="178"/>
      <c r="S10317" s="178"/>
    </row>
    <row r="10318" spans="18:19">
      <c r="R10318" s="178"/>
      <c r="S10318" s="178"/>
    </row>
    <row r="10319" spans="18:19">
      <c r="R10319" s="178"/>
      <c r="S10319" s="178"/>
    </row>
    <row r="10320" spans="18:19">
      <c r="R10320" s="178"/>
      <c r="S10320" s="178"/>
    </row>
    <row r="10321" spans="18:19">
      <c r="R10321" s="178"/>
      <c r="S10321" s="178"/>
    </row>
    <row r="10322" spans="18:19">
      <c r="R10322" s="178"/>
      <c r="S10322" s="178"/>
    </row>
    <row r="10323" spans="18:19">
      <c r="R10323" s="178"/>
      <c r="S10323" s="178"/>
    </row>
    <row r="10324" spans="18:19">
      <c r="R10324" s="178"/>
      <c r="S10324" s="178"/>
    </row>
    <row r="10325" spans="18:19">
      <c r="R10325" s="178"/>
      <c r="S10325" s="178"/>
    </row>
    <row r="10326" spans="18:19">
      <c r="R10326" s="178"/>
      <c r="S10326" s="178"/>
    </row>
    <row r="10327" spans="18:19">
      <c r="R10327" s="178"/>
      <c r="S10327" s="178"/>
    </row>
    <row r="10328" spans="18:19">
      <c r="R10328" s="178"/>
      <c r="S10328" s="178"/>
    </row>
    <row r="10329" spans="18:19">
      <c r="R10329" s="178"/>
      <c r="S10329" s="178"/>
    </row>
    <row r="10330" spans="18:19">
      <c r="R10330" s="178"/>
      <c r="S10330" s="178"/>
    </row>
    <row r="10331" spans="18:19">
      <c r="R10331" s="178"/>
      <c r="S10331" s="178"/>
    </row>
    <row r="10332" spans="18:19">
      <c r="R10332" s="178"/>
      <c r="S10332" s="178"/>
    </row>
    <row r="10333" spans="18:19">
      <c r="R10333" s="178"/>
      <c r="S10333" s="178"/>
    </row>
    <row r="10334" spans="18:19">
      <c r="R10334" s="178"/>
      <c r="S10334" s="178"/>
    </row>
    <row r="10335" spans="18:19">
      <c r="R10335" s="178"/>
      <c r="S10335" s="178"/>
    </row>
    <row r="10336" spans="18:19">
      <c r="R10336" s="178"/>
      <c r="S10336" s="178"/>
    </row>
    <row r="10337" spans="18:19">
      <c r="R10337" s="178"/>
      <c r="S10337" s="178"/>
    </row>
    <row r="10338" spans="18:19">
      <c r="R10338" s="178"/>
      <c r="S10338" s="178"/>
    </row>
    <row r="10339" spans="18:19">
      <c r="R10339" s="178"/>
      <c r="S10339" s="178"/>
    </row>
    <row r="10340" spans="18:19">
      <c r="R10340" s="178"/>
      <c r="S10340" s="178"/>
    </row>
    <row r="10341" spans="18:19">
      <c r="R10341" s="178"/>
      <c r="S10341" s="178"/>
    </row>
    <row r="10342" spans="18:19">
      <c r="R10342" s="178"/>
      <c r="S10342" s="178"/>
    </row>
    <row r="10343" spans="18:19">
      <c r="R10343" s="178"/>
      <c r="S10343" s="178"/>
    </row>
    <row r="10344" spans="18:19">
      <c r="R10344" s="178"/>
      <c r="S10344" s="178"/>
    </row>
    <row r="10345" spans="18:19">
      <c r="R10345" s="178"/>
      <c r="S10345" s="178"/>
    </row>
    <row r="10346" spans="18:19">
      <c r="R10346" s="178"/>
      <c r="S10346" s="178"/>
    </row>
    <row r="10347" spans="18:19">
      <c r="R10347" s="178"/>
      <c r="S10347" s="178"/>
    </row>
    <row r="10348" spans="18:19">
      <c r="R10348" s="178"/>
      <c r="S10348" s="178"/>
    </row>
    <row r="10349" spans="18:19">
      <c r="R10349" s="178"/>
      <c r="S10349" s="178"/>
    </row>
    <row r="10350" spans="18:19">
      <c r="R10350" s="178"/>
      <c r="S10350" s="178"/>
    </row>
    <row r="10351" spans="18:19">
      <c r="R10351" s="178"/>
      <c r="S10351" s="178"/>
    </row>
    <row r="10352" spans="18:19">
      <c r="R10352" s="178"/>
      <c r="S10352" s="178"/>
    </row>
    <row r="10353" spans="18:19">
      <c r="R10353" s="178"/>
      <c r="S10353" s="178"/>
    </row>
    <row r="10354" spans="18:19">
      <c r="R10354" s="178"/>
      <c r="S10354" s="178"/>
    </row>
    <row r="10355" spans="18:19">
      <c r="R10355" s="178"/>
      <c r="S10355" s="178"/>
    </row>
    <row r="10356" spans="18:19">
      <c r="R10356" s="178"/>
      <c r="S10356" s="178"/>
    </row>
    <row r="10357" spans="18:19">
      <c r="R10357" s="178"/>
      <c r="S10357" s="178"/>
    </row>
    <row r="10358" spans="18:19">
      <c r="R10358" s="178"/>
      <c r="S10358" s="178"/>
    </row>
    <row r="10359" spans="18:19">
      <c r="R10359" s="178"/>
      <c r="S10359" s="178"/>
    </row>
    <row r="10360" spans="18:19">
      <c r="R10360" s="178"/>
      <c r="S10360" s="178"/>
    </row>
    <row r="10361" spans="18:19">
      <c r="R10361" s="178"/>
      <c r="S10361" s="178"/>
    </row>
    <row r="10362" spans="18:19">
      <c r="R10362" s="178"/>
      <c r="S10362" s="178"/>
    </row>
    <row r="10363" spans="18:19">
      <c r="R10363" s="178"/>
      <c r="S10363" s="178"/>
    </row>
    <row r="10364" spans="18:19">
      <c r="R10364" s="178"/>
      <c r="S10364" s="178"/>
    </row>
    <row r="10365" spans="18:19">
      <c r="R10365" s="178"/>
      <c r="S10365" s="178"/>
    </row>
    <row r="10366" spans="18:19">
      <c r="R10366" s="178"/>
      <c r="S10366" s="178"/>
    </row>
    <row r="10367" spans="18:19">
      <c r="R10367" s="178"/>
      <c r="S10367" s="178"/>
    </row>
    <row r="10368" spans="18:19">
      <c r="R10368" s="178"/>
      <c r="S10368" s="178"/>
    </row>
    <row r="10369" spans="18:19">
      <c r="R10369" s="178"/>
      <c r="S10369" s="178"/>
    </row>
    <row r="10370" spans="18:19">
      <c r="R10370" s="178"/>
      <c r="S10370" s="178"/>
    </row>
    <row r="10371" spans="18:19">
      <c r="R10371" s="178"/>
      <c r="S10371" s="178"/>
    </row>
    <row r="10372" spans="18:19">
      <c r="R10372" s="178"/>
      <c r="S10372" s="178"/>
    </row>
    <row r="10373" spans="18:19">
      <c r="R10373" s="178"/>
      <c r="S10373" s="178"/>
    </row>
    <row r="10374" spans="18:19">
      <c r="R10374" s="178"/>
      <c r="S10374" s="178"/>
    </row>
    <row r="10375" spans="18:19">
      <c r="R10375" s="178"/>
      <c r="S10375" s="178"/>
    </row>
    <row r="10376" spans="18:19">
      <c r="R10376" s="178"/>
      <c r="S10376" s="178"/>
    </row>
    <row r="10377" spans="18:19">
      <c r="R10377" s="178"/>
      <c r="S10377" s="178"/>
    </row>
    <row r="10378" spans="18:19">
      <c r="R10378" s="178"/>
      <c r="S10378" s="178"/>
    </row>
    <row r="10379" spans="18:19">
      <c r="R10379" s="178"/>
      <c r="S10379" s="178"/>
    </row>
    <row r="10380" spans="18:19">
      <c r="R10380" s="178"/>
      <c r="S10380" s="178"/>
    </row>
    <row r="10381" spans="18:19">
      <c r="R10381" s="178"/>
      <c r="S10381" s="178"/>
    </row>
    <row r="10382" spans="18:19">
      <c r="R10382" s="178"/>
      <c r="S10382" s="178"/>
    </row>
    <row r="10383" spans="18:19">
      <c r="R10383" s="178"/>
      <c r="S10383" s="178"/>
    </row>
    <row r="10384" spans="18:19">
      <c r="R10384" s="178"/>
      <c r="S10384" s="178"/>
    </row>
    <row r="10385" spans="18:19">
      <c r="R10385" s="178"/>
      <c r="S10385" s="178"/>
    </row>
    <row r="10386" spans="18:19">
      <c r="R10386" s="178"/>
      <c r="S10386" s="178"/>
    </row>
    <row r="10387" spans="18:19">
      <c r="R10387" s="178"/>
      <c r="S10387" s="178"/>
    </row>
    <row r="10388" spans="18:19">
      <c r="R10388" s="178"/>
      <c r="S10388" s="178"/>
    </row>
    <row r="10389" spans="18:19">
      <c r="R10389" s="178"/>
      <c r="S10389" s="178"/>
    </row>
    <row r="10390" spans="18:19">
      <c r="R10390" s="178"/>
      <c r="S10390" s="178"/>
    </row>
    <row r="10391" spans="18:19">
      <c r="R10391" s="178"/>
      <c r="S10391" s="178"/>
    </row>
    <row r="10392" spans="18:19">
      <c r="R10392" s="178"/>
      <c r="S10392" s="178"/>
    </row>
    <row r="10393" spans="18:19">
      <c r="R10393" s="178"/>
      <c r="S10393" s="178"/>
    </row>
    <row r="10394" spans="18:19">
      <c r="R10394" s="178"/>
      <c r="S10394" s="178"/>
    </row>
    <row r="10395" spans="18:19">
      <c r="R10395" s="178"/>
      <c r="S10395" s="178"/>
    </row>
    <row r="10396" spans="18:19">
      <c r="R10396" s="178"/>
      <c r="S10396" s="178"/>
    </row>
    <row r="10397" spans="18:19">
      <c r="R10397" s="178"/>
      <c r="S10397" s="178"/>
    </row>
    <row r="10398" spans="18:19">
      <c r="R10398" s="178"/>
      <c r="S10398" s="178"/>
    </row>
    <row r="10399" spans="18:19">
      <c r="R10399" s="178"/>
      <c r="S10399" s="178"/>
    </row>
    <row r="10400" spans="18:19">
      <c r="R10400" s="178"/>
      <c r="S10400" s="178"/>
    </row>
    <row r="10401" spans="18:19">
      <c r="R10401" s="178"/>
      <c r="S10401" s="178"/>
    </row>
    <row r="10402" spans="18:19">
      <c r="R10402" s="178"/>
      <c r="S10402" s="178"/>
    </row>
    <row r="10403" spans="18:19">
      <c r="R10403" s="178"/>
      <c r="S10403" s="178"/>
    </row>
    <row r="10404" spans="18:19">
      <c r="R10404" s="178"/>
      <c r="S10404" s="178"/>
    </row>
    <row r="10405" spans="18:19">
      <c r="R10405" s="178"/>
      <c r="S10405" s="178"/>
    </row>
    <row r="10406" spans="18:19">
      <c r="R10406" s="178"/>
      <c r="S10406" s="178"/>
    </row>
    <row r="10407" spans="18:19">
      <c r="R10407" s="178"/>
      <c r="S10407" s="178"/>
    </row>
    <row r="10408" spans="18:19">
      <c r="R10408" s="178"/>
      <c r="S10408" s="178"/>
    </row>
    <row r="10409" spans="18:19">
      <c r="R10409" s="178"/>
      <c r="S10409" s="178"/>
    </row>
    <row r="10410" spans="18:19">
      <c r="R10410" s="178"/>
      <c r="S10410" s="178"/>
    </row>
    <row r="10411" spans="18:19">
      <c r="R10411" s="178"/>
      <c r="S10411" s="178"/>
    </row>
    <row r="10412" spans="18:19">
      <c r="R10412" s="178"/>
      <c r="S10412" s="178"/>
    </row>
    <row r="10413" spans="18:19">
      <c r="R10413" s="178"/>
      <c r="S10413" s="178"/>
    </row>
    <row r="10414" spans="18:19">
      <c r="R10414" s="178"/>
      <c r="S10414" s="178"/>
    </row>
    <row r="10415" spans="18:19">
      <c r="R10415" s="178"/>
      <c r="S10415" s="178"/>
    </row>
    <row r="10416" spans="18:19">
      <c r="R10416" s="178"/>
      <c r="S10416" s="178"/>
    </row>
    <row r="10417" spans="18:19">
      <c r="R10417" s="178"/>
      <c r="S10417" s="178"/>
    </row>
    <row r="10418" spans="18:19">
      <c r="R10418" s="178"/>
      <c r="S10418" s="178"/>
    </row>
    <row r="10419" spans="18:19">
      <c r="R10419" s="178"/>
      <c r="S10419" s="178"/>
    </row>
    <row r="10420" spans="18:19">
      <c r="R10420" s="178"/>
      <c r="S10420" s="178"/>
    </row>
    <row r="10421" spans="18:19">
      <c r="R10421" s="178"/>
      <c r="S10421" s="178"/>
    </row>
    <row r="10422" spans="18:19">
      <c r="R10422" s="178"/>
      <c r="S10422" s="178"/>
    </row>
    <row r="10423" spans="18:19">
      <c r="R10423" s="178"/>
      <c r="S10423" s="178"/>
    </row>
    <row r="10424" spans="18:19">
      <c r="R10424" s="178"/>
      <c r="S10424" s="178"/>
    </row>
    <row r="10425" spans="18:19">
      <c r="R10425" s="178"/>
      <c r="S10425" s="178"/>
    </row>
    <row r="10426" spans="18:19">
      <c r="R10426" s="178"/>
      <c r="S10426" s="178"/>
    </row>
    <row r="10427" spans="18:19">
      <c r="R10427" s="178"/>
      <c r="S10427" s="178"/>
    </row>
    <row r="10428" spans="18:19">
      <c r="R10428" s="178"/>
      <c r="S10428" s="178"/>
    </row>
    <row r="10429" spans="18:19">
      <c r="R10429" s="178"/>
      <c r="S10429" s="178"/>
    </row>
    <row r="10430" spans="18:19">
      <c r="R10430" s="178"/>
      <c r="S10430" s="178"/>
    </row>
    <row r="10431" spans="18:19">
      <c r="R10431" s="178"/>
      <c r="S10431" s="178"/>
    </row>
    <row r="10432" spans="18:19">
      <c r="R10432" s="178"/>
      <c r="S10432" s="178"/>
    </row>
    <row r="10433" spans="18:19">
      <c r="R10433" s="178"/>
      <c r="S10433" s="178"/>
    </row>
    <row r="10434" spans="18:19">
      <c r="R10434" s="178"/>
      <c r="S10434" s="178"/>
    </row>
    <row r="10435" spans="18:19">
      <c r="R10435" s="178"/>
      <c r="S10435" s="178"/>
    </row>
    <row r="10436" spans="18:19">
      <c r="R10436" s="178"/>
      <c r="S10436" s="178"/>
    </row>
    <row r="10437" spans="18:19">
      <c r="R10437" s="178"/>
      <c r="S10437" s="178"/>
    </row>
    <row r="10438" spans="18:19">
      <c r="R10438" s="178"/>
      <c r="S10438" s="178"/>
    </row>
    <row r="10439" spans="18:19">
      <c r="R10439" s="178"/>
      <c r="S10439" s="178"/>
    </row>
    <row r="10440" spans="18:19">
      <c r="R10440" s="178"/>
      <c r="S10440" s="178"/>
    </row>
    <row r="10441" spans="18:19">
      <c r="R10441" s="178"/>
      <c r="S10441" s="178"/>
    </row>
    <row r="10442" spans="18:19">
      <c r="R10442" s="178"/>
      <c r="S10442" s="178"/>
    </row>
    <row r="10443" spans="18:19">
      <c r="R10443" s="178"/>
      <c r="S10443" s="178"/>
    </row>
    <row r="10444" spans="18:19">
      <c r="R10444" s="178"/>
      <c r="S10444" s="178"/>
    </row>
    <row r="10445" spans="18:19">
      <c r="R10445" s="178"/>
      <c r="S10445" s="178"/>
    </row>
    <row r="10446" spans="18:19">
      <c r="R10446" s="178"/>
      <c r="S10446" s="178"/>
    </row>
    <row r="10447" spans="18:19">
      <c r="R10447" s="178"/>
      <c r="S10447" s="178"/>
    </row>
    <row r="10448" spans="18:19">
      <c r="R10448" s="178"/>
      <c r="S10448" s="178"/>
    </row>
    <row r="10449" spans="18:19">
      <c r="R10449" s="178"/>
      <c r="S10449" s="178"/>
    </row>
    <row r="10450" spans="18:19">
      <c r="R10450" s="178"/>
      <c r="S10450" s="178"/>
    </row>
    <row r="10451" spans="18:19">
      <c r="R10451" s="178"/>
      <c r="S10451" s="178"/>
    </row>
    <row r="10452" spans="18:19">
      <c r="R10452" s="178"/>
      <c r="S10452" s="178"/>
    </row>
    <row r="10453" spans="18:19">
      <c r="R10453" s="178"/>
      <c r="S10453" s="178"/>
    </row>
    <row r="10454" spans="18:19">
      <c r="R10454" s="178"/>
      <c r="S10454" s="178"/>
    </row>
    <row r="10455" spans="18:19">
      <c r="R10455" s="178"/>
      <c r="S10455" s="178"/>
    </row>
    <row r="10456" spans="18:19">
      <c r="R10456" s="178"/>
      <c r="S10456" s="178"/>
    </row>
    <row r="10457" spans="18:19">
      <c r="R10457" s="178"/>
      <c r="S10457" s="178"/>
    </row>
    <row r="10458" spans="18:19">
      <c r="R10458" s="178"/>
      <c r="S10458" s="178"/>
    </row>
    <row r="10459" spans="18:19">
      <c r="R10459" s="178"/>
      <c r="S10459" s="178"/>
    </row>
    <row r="10460" spans="18:19">
      <c r="R10460" s="178"/>
      <c r="S10460" s="178"/>
    </row>
    <row r="10461" spans="18:19">
      <c r="R10461" s="178"/>
      <c r="S10461" s="178"/>
    </row>
    <row r="10462" spans="18:19">
      <c r="R10462" s="178"/>
      <c r="S10462" s="178"/>
    </row>
    <row r="10463" spans="18:19">
      <c r="R10463" s="178"/>
      <c r="S10463" s="178"/>
    </row>
    <row r="10464" spans="18:19">
      <c r="R10464" s="178"/>
      <c r="S10464" s="178"/>
    </row>
    <row r="10465" spans="18:19">
      <c r="R10465" s="178"/>
      <c r="S10465" s="178"/>
    </row>
    <row r="10466" spans="18:19">
      <c r="R10466" s="178"/>
      <c r="S10466" s="178"/>
    </row>
    <row r="10467" spans="18:19">
      <c r="R10467" s="178"/>
      <c r="S10467" s="178"/>
    </row>
    <row r="10468" spans="18:19">
      <c r="R10468" s="178"/>
      <c r="S10468" s="178"/>
    </row>
    <row r="10469" spans="18:19">
      <c r="R10469" s="178"/>
      <c r="S10469" s="178"/>
    </row>
    <row r="10470" spans="18:19">
      <c r="R10470" s="178"/>
      <c r="S10470" s="178"/>
    </row>
    <row r="10471" spans="18:19">
      <c r="R10471" s="178"/>
      <c r="S10471" s="178"/>
    </row>
    <row r="10472" spans="18:19">
      <c r="R10472" s="178"/>
      <c r="S10472" s="178"/>
    </row>
    <row r="10473" spans="18:19">
      <c r="R10473" s="178"/>
      <c r="S10473" s="178"/>
    </row>
    <row r="10474" spans="18:19">
      <c r="R10474" s="178"/>
      <c r="S10474" s="178"/>
    </row>
    <row r="10475" spans="18:19">
      <c r="R10475" s="178"/>
      <c r="S10475" s="178"/>
    </row>
    <row r="10476" spans="18:19">
      <c r="R10476" s="178"/>
      <c r="S10476" s="178"/>
    </row>
    <row r="10477" spans="18:19">
      <c r="R10477" s="178"/>
      <c r="S10477" s="178"/>
    </row>
    <row r="10478" spans="18:19">
      <c r="R10478" s="178"/>
      <c r="S10478" s="178"/>
    </row>
    <row r="10479" spans="18:19">
      <c r="R10479" s="178"/>
      <c r="S10479" s="178"/>
    </row>
    <row r="10480" spans="18:19">
      <c r="R10480" s="178"/>
      <c r="S10480" s="178"/>
    </row>
    <row r="10481" spans="18:19">
      <c r="R10481" s="178"/>
      <c r="S10481" s="178"/>
    </row>
    <row r="10482" spans="18:19">
      <c r="R10482" s="178"/>
      <c r="S10482" s="178"/>
    </row>
    <row r="10483" spans="18:19">
      <c r="R10483" s="178"/>
      <c r="S10483" s="178"/>
    </row>
    <row r="10484" spans="18:19">
      <c r="R10484" s="178"/>
      <c r="S10484" s="178"/>
    </row>
    <row r="10485" spans="18:19">
      <c r="R10485" s="178"/>
      <c r="S10485" s="178"/>
    </row>
    <row r="10486" spans="18:19">
      <c r="R10486" s="178"/>
      <c r="S10486" s="178"/>
    </row>
    <row r="10487" spans="18:19">
      <c r="R10487" s="178"/>
      <c r="S10487" s="178"/>
    </row>
    <row r="10488" spans="18:19">
      <c r="R10488" s="178"/>
      <c r="S10488" s="178"/>
    </row>
    <row r="10489" spans="18:19">
      <c r="R10489" s="178"/>
      <c r="S10489" s="178"/>
    </row>
    <row r="10490" spans="18:19">
      <c r="R10490" s="178"/>
      <c r="S10490" s="178"/>
    </row>
    <row r="10491" spans="18:19">
      <c r="R10491" s="178"/>
      <c r="S10491" s="178"/>
    </row>
    <row r="10492" spans="18:19">
      <c r="R10492" s="178"/>
      <c r="S10492" s="178"/>
    </row>
    <row r="10493" spans="18:19">
      <c r="R10493" s="178"/>
      <c r="S10493" s="178"/>
    </row>
    <row r="10494" spans="18:19">
      <c r="R10494" s="178"/>
      <c r="S10494" s="178"/>
    </row>
    <row r="10495" spans="18:19">
      <c r="R10495" s="178"/>
      <c r="S10495" s="178"/>
    </row>
    <row r="10496" spans="18:19">
      <c r="R10496" s="178"/>
      <c r="S10496" s="178"/>
    </row>
    <row r="10497" spans="18:19">
      <c r="R10497" s="178"/>
      <c r="S10497" s="178"/>
    </row>
    <row r="10498" spans="18:19">
      <c r="R10498" s="178"/>
      <c r="S10498" s="178"/>
    </row>
    <row r="10499" spans="18:19">
      <c r="R10499" s="178"/>
      <c r="S10499" s="178"/>
    </row>
    <row r="10500" spans="18:19">
      <c r="R10500" s="178"/>
      <c r="S10500" s="178"/>
    </row>
    <row r="10501" spans="18:19">
      <c r="R10501" s="178"/>
      <c r="S10501" s="178"/>
    </row>
    <row r="10502" spans="18:19">
      <c r="R10502" s="178"/>
      <c r="S10502" s="178"/>
    </row>
    <row r="10503" spans="18:19">
      <c r="R10503" s="178"/>
      <c r="S10503" s="178"/>
    </row>
    <row r="10504" spans="18:19">
      <c r="R10504" s="178"/>
      <c r="S10504" s="178"/>
    </row>
    <row r="10505" spans="18:19">
      <c r="R10505" s="178"/>
      <c r="S10505" s="178"/>
    </row>
    <row r="10506" spans="18:19">
      <c r="R10506" s="178"/>
      <c r="S10506" s="178"/>
    </row>
    <row r="10507" spans="18:19">
      <c r="R10507" s="178"/>
      <c r="S10507" s="178"/>
    </row>
    <row r="10508" spans="18:19">
      <c r="R10508" s="178"/>
      <c r="S10508" s="178"/>
    </row>
    <row r="10509" spans="18:19">
      <c r="R10509" s="178"/>
      <c r="S10509" s="178"/>
    </row>
    <row r="10510" spans="18:19">
      <c r="R10510" s="178"/>
      <c r="S10510" s="178"/>
    </row>
    <row r="10511" spans="18:19">
      <c r="R10511" s="178"/>
      <c r="S10511" s="178"/>
    </row>
    <row r="10512" spans="18:19">
      <c r="R10512" s="178"/>
      <c r="S10512" s="178"/>
    </row>
    <row r="10513" spans="18:19">
      <c r="R10513" s="178"/>
      <c r="S10513" s="178"/>
    </row>
    <row r="10514" spans="18:19">
      <c r="R10514" s="178"/>
      <c r="S10514" s="178"/>
    </row>
    <row r="10515" spans="18:19">
      <c r="R10515" s="178"/>
      <c r="S10515" s="178"/>
    </row>
    <row r="10516" spans="18:19">
      <c r="R10516" s="178"/>
      <c r="S10516" s="178"/>
    </row>
    <row r="10517" spans="18:19">
      <c r="R10517" s="178"/>
      <c r="S10517" s="178"/>
    </row>
    <row r="10518" spans="18:19">
      <c r="R10518" s="178"/>
      <c r="S10518" s="178"/>
    </row>
    <row r="10519" spans="18:19">
      <c r="R10519" s="178"/>
      <c r="S10519" s="178"/>
    </row>
    <row r="10520" spans="18:19">
      <c r="R10520" s="178"/>
      <c r="S10520" s="178"/>
    </row>
    <row r="10521" spans="18:19">
      <c r="R10521" s="178"/>
      <c r="S10521" s="178"/>
    </row>
    <row r="10522" spans="18:19">
      <c r="R10522" s="178"/>
      <c r="S10522" s="178"/>
    </row>
    <row r="10523" spans="18:19">
      <c r="R10523" s="178"/>
      <c r="S10523" s="178"/>
    </row>
    <row r="10524" spans="18:19">
      <c r="R10524" s="178"/>
      <c r="S10524" s="178"/>
    </row>
    <row r="10525" spans="18:19">
      <c r="R10525" s="178"/>
      <c r="S10525" s="178"/>
    </row>
    <row r="10526" spans="18:19">
      <c r="R10526" s="178"/>
      <c r="S10526" s="178"/>
    </row>
    <row r="10527" spans="18:19">
      <c r="R10527" s="178"/>
      <c r="S10527" s="178"/>
    </row>
    <row r="10528" spans="18:19">
      <c r="R10528" s="178"/>
      <c r="S10528" s="178"/>
    </row>
    <row r="10529" spans="18:19">
      <c r="R10529" s="178"/>
      <c r="S10529" s="178"/>
    </row>
    <row r="10530" spans="18:19">
      <c r="R10530" s="178"/>
      <c r="S10530" s="178"/>
    </row>
    <row r="10531" spans="18:19">
      <c r="R10531" s="178"/>
      <c r="S10531" s="178"/>
    </row>
    <row r="10532" spans="18:19">
      <c r="R10532" s="178"/>
      <c r="S10532" s="178"/>
    </row>
    <row r="10533" spans="18:19">
      <c r="R10533" s="178"/>
      <c r="S10533" s="178"/>
    </row>
    <row r="10534" spans="18:19">
      <c r="R10534" s="178"/>
      <c r="S10534" s="178"/>
    </row>
    <row r="10535" spans="18:19">
      <c r="R10535" s="178"/>
      <c r="S10535" s="178"/>
    </row>
    <row r="10536" spans="18:19">
      <c r="R10536" s="178"/>
      <c r="S10536" s="178"/>
    </row>
    <row r="10537" spans="18:19">
      <c r="R10537" s="178"/>
      <c r="S10537" s="178"/>
    </row>
    <row r="10538" spans="18:19">
      <c r="R10538" s="178"/>
      <c r="S10538" s="178"/>
    </row>
    <row r="10539" spans="18:19">
      <c r="R10539" s="178"/>
      <c r="S10539" s="178"/>
    </row>
    <row r="10540" spans="18:19">
      <c r="R10540" s="178"/>
      <c r="S10540" s="178"/>
    </row>
    <row r="10541" spans="18:19">
      <c r="R10541" s="178"/>
      <c r="S10541" s="178"/>
    </row>
    <row r="10542" spans="18:19">
      <c r="R10542" s="178"/>
      <c r="S10542" s="178"/>
    </row>
    <row r="10543" spans="18:19">
      <c r="R10543" s="178"/>
      <c r="S10543" s="178"/>
    </row>
    <row r="10544" spans="18:19">
      <c r="R10544" s="178"/>
      <c r="S10544" s="178"/>
    </row>
    <row r="10545" spans="18:19">
      <c r="R10545" s="178"/>
      <c r="S10545" s="178"/>
    </row>
    <row r="10546" spans="18:19">
      <c r="R10546" s="178"/>
      <c r="S10546" s="178"/>
    </row>
    <row r="10547" spans="18:19">
      <c r="R10547" s="178"/>
      <c r="S10547" s="178"/>
    </row>
    <row r="10548" spans="18:19">
      <c r="R10548" s="178"/>
      <c r="S10548" s="178"/>
    </row>
    <row r="10549" spans="18:19">
      <c r="R10549" s="178"/>
      <c r="S10549" s="178"/>
    </row>
    <row r="10550" spans="18:19">
      <c r="R10550" s="178"/>
      <c r="S10550" s="178"/>
    </row>
    <row r="10551" spans="18:19">
      <c r="R10551" s="178"/>
      <c r="S10551" s="178"/>
    </row>
    <row r="10552" spans="18:19">
      <c r="R10552" s="178"/>
      <c r="S10552" s="178"/>
    </row>
    <row r="10553" spans="18:19">
      <c r="R10553" s="178"/>
      <c r="S10553" s="178"/>
    </row>
    <row r="10554" spans="18:19">
      <c r="R10554" s="178"/>
      <c r="S10554" s="178"/>
    </row>
    <row r="10555" spans="18:19">
      <c r="R10555" s="178"/>
      <c r="S10555" s="178"/>
    </row>
    <row r="10556" spans="18:19">
      <c r="R10556" s="178"/>
      <c r="S10556" s="178"/>
    </row>
    <row r="10557" spans="18:19">
      <c r="R10557" s="178"/>
      <c r="S10557" s="178"/>
    </row>
    <row r="10558" spans="18:19">
      <c r="R10558" s="178"/>
      <c r="S10558" s="178"/>
    </row>
    <row r="10559" spans="18:19">
      <c r="R10559" s="178"/>
      <c r="S10559" s="178"/>
    </row>
    <row r="10560" spans="18:19">
      <c r="R10560" s="178"/>
      <c r="S10560" s="178"/>
    </row>
    <row r="10561" spans="18:19">
      <c r="R10561" s="178"/>
      <c r="S10561" s="178"/>
    </row>
    <row r="10562" spans="18:19">
      <c r="R10562" s="178"/>
      <c r="S10562" s="178"/>
    </row>
    <row r="10563" spans="18:19">
      <c r="R10563" s="178"/>
      <c r="S10563" s="178"/>
    </row>
    <row r="10564" spans="18:19">
      <c r="R10564" s="178"/>
      <c r="S10564" s="178"/>
    </row>
    <row r="10565" spans="18:19">
      <c r="R10565" s="178"/>
      <c r="S10565" s="178"/>
    </row>
    <row r="10566" spans="18:19">
      <c r="R10566" s="178"/>
      <c r="S10566" s="178"/>
    </row>
    <row r="10567" spans="18:19">
      <c r="R10567" s="178"/>
      <c r="S10567" s="178"/>
    </row>
    <row r="10568" spans="18:19">
      <c r="R10568" s="178"/>
      <c r="S10568" s="178"/>
    </row>
    <row r="10569" spans="18:19">
      <c r="R10569" s="178"/>
      <c r="S10569" s="178"/>
    </row>
    <row r="10570" spans="18:19">
      <c r="R10570" s="178"/>
      <c r="S10570" s="178"/>
    </row>
    <row r="10571" spans="18:19">
      <c r="R10571" s="178"/>
      <c r="S10571" s="178"/>
    </row>
    <row r="10572" spans="18:19">
      <c r="R10572" s="178"/>
      <c r="S10572" s="178"/>
    </row>
    <row r="10573" spans="18:19">
      <c r="R10573" s="178"/>
      <c r="S10573" s="178"/>
    </row>
    <row r="10574" spans="18:19">
      <c r="R10574" s="178"/>
      <c r="S10574" s="178"/>
    </row>
    <row r="10575" spans="18:19">
      <c r="R10575" s="178"/>
      <c r="S10575" s="178"/>
    </row>
    <row r="10576" spans="18:19">
      <c r="R10576" s="178"/>
      <c r="S10576" s="178"/>
    </row>
    <row r="10577" spans="18:19">
      <c r="R10577" s="178"/>
      <c r="S10577" s="178"/>
    </row>
    <row r="10578" spans="18:19">
      <c r="R10578" s="178"/>
      <c r="S10578" s="178"/>
    </row>
    <row r="10579" spans="18:19">
      <c r="R10579" s="178"/>
      <c r="S10579" s="178"/>
    </row>
    <row r="10580" spans="18:19">
      <c r="R10580" s="178"/>
      <c r="S10580" s="178"/>
    </row>
    <row r="10581" spans="18:19">
      <c r="R10581" s="178"/>
      <c r="S10581" s="178"/>
    </row>
    <row r="10582" spans="18:19">
      <c r="R10582" s="178"/>
      <c r="S10582" s="178"/>
    </row>
    <row r="10583" spans="18:19">
      <c r="R10583" s="178"/>
      <c r="S10583" s="178"/>
    </row>
    <row r="10584" spans="18:19">
      <c r="R10584" s="178"/>
      <c r="S10584" s="178"/>
    </row>
    <row r="10585" spans="18:19">
      <c r="R10585" s="178"/>
      <c r="S10585" s="178"/>
    </row>
    <row r="10586" spans="18:19">
      <c r="R10586" s="178"/>
      <c r="S10586" s="178"/>
    </row>
    <row r="10587" spans="18:19">
      <c r="R10587" s="178"/>
      <c r="S10587" s="178"/>
    </row>
    <row r="10588" spans="18:19">
      <c r="R10588" s="178"/>
      <c r="S10588" s="178"/>
    </row>
    <row r="10589" spans="18:19">
      <c r="R10589" s="178"/>
      <c r="S10589" s="178"/>
    </row>
    <row r="10590" spans="18:19">
      <c r="R10590" s="178"/>
      <c r="S10590" s="178"/>
    </row>
    <row r="10591" spans="18:19">
      <c r="R10591" s="178"/>
      <c r="S10591" s="178"/>
    </row>
    <row r="10592" spans="18:19">
      <c r="R10592" s="178"/>
      <c r="S10592" s="178"/>
    </row>
    <row r="10593" spans="18:19">
      <c r="R10593" s="178"/>
      <c r="S10593" s="178"/>
    </row>
    <row r="10594" spans="18:19">
      <c r="R10594" s="178"/>
      <c r="S10594" s="178"/>
    </row>
    <row r="10595" spans="18:19">
      <c r="R10595" s="178"/>
      <c r="S10595" s="178"/>
    </row>
    <row r="10596" spans="18:19">
      <c r="R10596" s="178"/>
      <c r="S10596" s="178"/>
    </row>
    <row r="10597" spans="18:19">
      <c r="R10597" s="178"/>
      <c r="S10597" s="178"/>
    </row>
    <row r="10598" spans="18:19">
      <c r="R10598" s="178"/>
      <c r="S10598" s="178"/>
    </row>
    <row r="10599" spans="18:19">
      <c r="R10599" s="178"/>
      <c r="S10599" s="178"/>
    </row>
    <row r="10600" spans="18:19">
      <c r="R10600" s="178"/>
      <c r="S10600" s="178"/>
    </row>
    <row r="10601" spans="18:19">
      <c r="R10601" s="178"/>
      <c r="S10601" s="178"/>
    </row>
    <row r="10602" spans="18:19">
      <c r="R10602" s="178"/>
      <c r="S10602" s="178"/>
    </row>
    <row r="10603" spans="18:19">
      <c r="R10603" s="178"/>
      <c r="S10603" s="178"/>
    </row>
    <row r="10604" spans="18:19">
      <c r="R10604" s="178"/>
      <c r="S10604" s="178"/>
    </row>
    <row r="10605" spans="18:19">
      <c r="R10605" s="178"/>
      <c r="S10605" s="178"/>
    </row>
    <row r="10606" spans="18:19">
      <c r="R10606" s="178"/>
      <c r="S10606" s="178"/>
    </row>
    <row r="10607" spans="18:19">
      <c r="R10607" s="178"/>
      <c r="S10607" s="178"/>
    </row>
    <row r="10608" spans="18:19">
      <c r="R10608" s="178"/>
      <c r="S10608" s="178"/>
    </row>
    <row r="10609" spans="18:19">
      <c r="R10609" s="178"/>
      <c r="S10609" s="178"/>
    </row>
    <row r="10610" spans="18:19">
      <c r="R10610" s="178"/>
      <c r="S10610" s="178"/>
    </row>
    <row r="10611" spans="18:19">
      <c r="R10611" s="178"/>
      <c r="S10611" s="178"/>
    </row>
    <row r="10612" spans="18:19">
      <c r="R10612" s="178"/>
      <c r="S10612" s="178"/>
    </row>
    <row r="10613" spans="18:19">
      <c r="R10613" s="178"/>
      <c r="S10613" s="178"/>
    </row>
    <row r="10614" spans="18:19">
      <c r="R10614" s="178"/>
      <c r="S10614" s="178"/>
    </row>
    <row r="10615" spans="18:19">
      <c r="R10615" s="178"/>
      <c r="S10615" s="178"/>
    </row>
    <row r="10616" spans="18:19">
      <c r="R10616" s="178"/>
      <c r="S10616" s="178"/>
    </row>
    <row r="10617" spans="18:19">
      <c r="R10617" s="178"/>
      <c r="S10617" s="178"/>
    </row>
    <row r="10618" spans="18:19">
      <c r="R10618" s="178"/>
      <c r="S10618" s="178"/>
    </row>
    <row r="10619" spans="18:19">
      <c r="R10619" s="178"/>
      <c r="S10619" s="178"/>
    </row>
    <row r="10620" spans="18:19">
      <c r="R10620" s="178"/>
      <c r="S10620" s="178"/>
    </row>
    <row r="10621" spans="18:19">
      <c r="R10621" s="178"/>
      <c r="S10621" s="178"/>
    </row>
    <row r="10622" spans="18:19">
      <c r="R10622" s="178"/>
      <c r="S10622" s="178"/>
    </row>
    <row r="10623" spans="18:19">
      <c r="R10623" s="178"/>
      <c r="S10623" s="178"/>
    </row>
    <row r="10624" spans="18:19">
      <c r="R10624" s="178"/>
      <c r="S10624" s="178"/>
    </row>
    <row r="10625" spans="18:19">
      <c r="R10625" s="178"/>
      <c r="S10625" s="178"/>
    </row>
    <row r="10626" spans="18:19">
      <c r="R10626" s="178"/>
      <c r="S10626" s="178"/>
    </row>
    <row r="10627" spans="18:19">
      <c r="R10627" s="178"/>
      <c r="S10627" s="178"/>
    </row>
    <row r="10628" spans="18:19">
      <c r="R10628" s="178"/>
      <c r="S10628" s="178"/>
    </row>
    <row r="10629" spans="18:19">
      <c r="R10629" s="178"/>
      <c r="S10629" s="178"/>
    </row>
    <row r="10630" spans="18:19">
      <c r="R10630" s="178"/>
      <c r="S10630" s="178"/>
    </row>
    <row r="10631" spans="18:19">
      <c r="R10631" s="178"/>
      <c r="S10631" s="178"/>
    </row>
    <row r="10632" spans="18:19">
      <c r="R10632" s="178"/>
      <c r="S10632" s="178"/>
    </row>
    <row r="10633" spans="18:19">
      <c r="R10633" s="178"/>
      <c r="S10633" s="178"/>
    </row>
    <row r="10634" spans="18:19">
      <c r="R10634" s="178"/>
      <c r="S10634" s="178"/>
    </row>
    <row r="10635" spans="18:19">
      <c r="R10635" s="178"/>
      <c r="S10635" s="178"/>
    </row>
    <row r="10636" spans="18:19">
      <c r="R10636" s="178"/>
      <c r="S10636" s="178"/>
    </row>
    <row r="10637" spans="18:19">
      <c r="R10637" s="178"/>
      <c r="S10637" s="178"/>
    </row>
    <row r="10638" spans="18:19">
      <c r="R10638" s="178"/>
      <c r="S10638" s="178"/>
    </row>
    <row r="10639" spans="18:19">
      <c r="R10639" s="178"/>
      <c r="S10639" s="178"/>
    </row>
    <row r="10640" spans="18:19">
      <c r="R10640" s="178"/>
      <c r="S10640" s="178"/>
    </row>
    <row r="10641" spans="18:19">
      <c r="R10641" s="178"/>
      <c r="S10641" s="178"/>
    </row>
    <row r="10642" spans="18:19">
      <c r="R10642" s="178"/>
      <c r="S10642" s="178"/>
    </row>
    <row r="10643" spans="18:19">
      <c r="R10643" s="178"/>
      <c r="S10643" s="178"/>
    </row>
    <row r="10644" spans="18:19">
      <c r="R10644" s="178"/>
      <c r="S10644" s="178"/>
    </row>
    <row r="10645" spans="18:19">
      <c r="R10645" s="178"/>
      <c r="S10645" s="178"/>
    </row>
    <row r="10646" spans="18:19">
      <c r="R10646" s="178"/>
      <c r="S10646" s="178"/>
    </row>
    <row r="10647" spans="18:19">
      <c r="R10647" s="178"/>
      <c r="S10647" s="178"/>
    </row>
    <row r="10648" spans="18:19">
      <c r="R10648" s="178"/>
      <c r="S10648" s="178"/>
    </row>
    <row r="10649" spans="18:19">
      <c r="R10649" s="178"/>
      <c r="S10649" s="178"/>
    </row>
    <row r="10650" spans="18:19">
      <c r="R10650" s="178"/>
      <c r="S10650" s="178"/>
    </row>
    <row r="10651" spans="18:19">
      <c r="R10651" s="178"/>
      <c r="S10651" s="178"/>
    </row>
    <row r="10652" spans="18:19">
      <c r="R10652" s="178"/>
      <c r="S10652" s="178"/>
    </row>
    <row r="10653" spans="18:19">
      <c r="R10653" s="178"/>
      <c r="S10653" s="178"/>
    </row>
    <row r="10654" spans="18:19">
      <c r="R10654" s="178"/>
      <c r="S10654" s="178"/>
    </row>
    <row r="10655" spans="18:19">
      <c r="R10655" s="178"/>
      <c r="S10655" s="178"/>
    </row>
    <row r="10656" spans="18:19">
      <c r="R10656" s="178"/>
      <c r="S10656" s="178"/>
    </row>
    <row r="10657" spans="18:19">
      <c r="R10657" s="178"/>
      <c r="S10657" s="178"/>
    </row>
    <row r="10658" spans="18:19">
      <c r="R10658" s="178"/>
      <c r="S10658" s="178"/>
    </row>
    <row r="10659" spans="18:19">
      <c r="R10659" s="178"/>
      <c r="S10659" s="178"/>
    </row>
    <row r="10660" spans="18:19">
      <c r="R10660" s="178"/>
      <c r="S10660" s="178"/>
    </row>
    <row r="10661" spans="18:19">
      <c r="R10661" s="178"/>
      <c r="S10661" s="178"/>
    </row>
    <row r="10662" spans="18:19">
      <c r="R10662" s="178"/>
      <c r="S10662" s="178"/>
    </row>
    <row r="10663" spans="18:19">
      <c r="R10663" s="178"/>
      <c r="S10663" s="178"/>
    </row>
    <row r="10664" spans="18:19">
      <c r="R10664" s="178"/>
      <c r="S10664" s="178"/>
    </row>
    <row r="10665" spans="18:19">
      <c r="R10665" s="178"/>
      <c r="S10665" s="178"/>
    </row>
    <row r="10666" spans="18:19">
      <c r="R10666" s="178"/>
      <c r="S10666" s="178"/>
    </row>
    <row r="10667" spans="18:19">
      <c r="R10667" s="178"/>
      <c r="S10667" s="178"/>
    </row>
    <row r="10668" spans="18:19">
      <c r="R10668" s="178"/>
      <c r="S10668" s="178"/>
    </row>
    <row r="10669" spans="18:19">
      <c r="R10669" s="178"/>
      <c r="S10669" s="178"/>
    </row>
    <row r="10670" spans="18:19">
      <c r="R10670" s="178"/>
      <c r="S10670" s="178"/>
    </row>
    <row r="10671" spans="18:19">
      <c r="R10671" s="178"/>
      <c r="S10671" s="178"/>
    </row>
    <row r="10672" spans="18:19">
      <c r="R10672" s="178"/>
      <c r="S10672" s="178"/>
    </row>
    <row r="10673" spans="18:19">
      <c r="R10673" s="178"/>
      <c r="S10673" s="178"/>
    </row>
    <row r="10674" spans="18:19">
      <c r="R10674" s="178"/>
      <c r="S10674" s="178"/>
    </row>
    <row r="10675" spans="18:19">
      <c r="R10675" s="178"/>
      <c r="S10675" s="178"/>
    </row>
    <row r="10676" spans="18:19">
      <c r="R10676" s="178"/>
      <c r="S10676" s="178"/>
    </row>
    <row r="10677" spans="18:19">
      <c r="R10677" s="178"/>
      <c r="S10677" s="178"/>
    </row>
    <row r="10678" spans="18:19">
      <c r="R10678" s="178"/>
      <c r="S10678" s="178"/>
    </row>
    <row r="10679" spans="18:19">
      <c r="R10679" s="178"/>
      <c r="S10679" s="178"/>
    </row>
    <row r="10680" spans="18:19">
      <c r="R10680" s="178"/>
      <c r="S10680" s="178"/>
    </row>
    <row r="10681" spans="18:19">
      <c r="R10681" s="178"/>
      <c r="S10681" s="178"/>
    </row>
    <row r="10682" spans="18:19">
      <c r="R10682" s="178"/>
      <c r="S10682" s="178"/>
    </row>
    <row r="10683" spans="18:19">
      <c r="R10683" s="178"/>
      <c r="S10683" s="178"/>
    </row>
    <row r="10684" spans="18:19">
      <c r="R10684" s="178"/>
      <c r="S10684" s="178"/>
    </row>
    <row r="10685" spans="18:19">
      <c r="R10685" s="178"/>
      <c r="S10685" s="178"/>
    </row>
    <row r="10686" spans="18:19">
      <c r="R10686" s="178"/>
      <c r="S10686" s="178"/>
    </row>
    <row r="10687" spans="18:19">
      <c r="R10687" s="178"/>
      <c r="S10687" s="178"/>
    </row>
    <row r="10688" spans="18:19">
      <c r="R10688" s="178"/>
      <c r="S10688" s="178"/>
    </row>
    <row r="10689" spans="18:19">
      <c r="R10689" s="178"/>
      <c r="S10689" s="178"/>
    </row>
    <row r="10690" spans="18:19">
      <c r="R10690" s="178"/>
      <c r="S10690" s="178"/>
    </row>
    <row r="10691" spans="18:19">
      <c r="R10691" s="178"/>
      <c r="S10691" s="178"/>
    </row>
    <row r="10692" spans="18:19">
      <c r="R10692" s="178"/>
      <c r="S10692" s="178"/>
    </row>
    <row r="10693" spans="18:19">
      <c r="R10693" s="178"/>
      <c r="S10693" s="178"/>
    </row>
    <row r="10694" spans="18:19">
      <c r="R10694" s="178"/>
      <c r="S10694" s="178"/>
    </row>
    <row r="10695" spans="18:19">
      <c r="R10695" s="178"/>
      <c r="S10695" s="178"/>
    </row>
    <row r="10696" spans="18:19">
      <c r="R10696" s="178"/>
      <c r="S10696" s="178"/>
    </row>
    <row r="10697" spans="18:19">
      <c r="R10697" s="178"/>
      <c r="S10697" s="178"/>
    </row>
    <row r="10698" spans="18:19">
      <c r="R10698" s="178"/>
      <c r="S10698" s="178"/>
    </row>
    <row r="10699" spans="18:19">
      <c r="R10699" s="178"/>
      <c r="S10699" s="178"/>
    </row>
    <row r="10700" spans="18:19">
      <c r="R10700" s="178"/>
      <c r="S10700" s="178"/>
    </row>
    <row r="10701" spans="18:19">
      <c r="R10701" s="178"/>
      <c r="S10701" s="178"/>
    </row>
    <row r="10702" spans="18:19">
      <c r="R10702" s="178"/>
      <c r="S10702" s="178"/>
    </row>
    <row r="10703" spans="18:19">
      <c r="R10703" s="178"/>
      <c r="S10703" s="178"/>
    </row>
    <row r="10704" spans="18:19">
      <c r="R10704" s="178"/>
      <c r="S10704" s="178"/>
    </row>
    <row r="10705" spans="18:19">
      <c r="R10705" s="178"/>
      <c r="S10705" s="178"/>
    </row>
    <row r="10706" spans="18:19">
      <c r="R10706" s="178"/>
      <c r="S10706" s="178"/>
    </row>
    <row r="10707" spans="18:19">
      <c r="R10707" s="178"/>
      <c r="S10707" s="178"/>
    </row>
    <row r="10708" spans="18:19">
      <c r="R10708" s="178"/>
      <c r="S10708" s="178"/>
    </row>
    <row r="10709" spans="18:19">
      <c r="R10709" s="178"/>
      <c r="S10709" s="178"/>
    </row>
    <row r="10710" spans="18:19">
      <c r="R10710" s="178"/>
      <c r="S10710" s="178"/>
    </row>
    <row r="10711" spans="18:19">
      <c r="R10711" s="178"/>
      <c r="S10711" s="178"/>
    </row>
    <row r="10712" spans="18:19">
      <c r="R10712" s="178"/>
      <c r="S10712" s="178"/>
    </row>
    <row r="10713" spans="18:19">
      <c r="R10713" s="178"/>
      <c r="S10713" s="178"/>
    </row>
    <row r="10714" spans="18:19">
      <c r="R10714" s="178"/>
      <c r="S10714" s="178"/>
    </row>
    <row r="10715" spans="18:19">
      <c r="R10715" s="178"/>
      <c r="S10715" s="178"/>
    </row>
    <row r="10716" spans="18:19">
      <c r="R10716" s="178"/>
      <c r="S10716" s="178"/>
    </row>
    <row r="10717" spans="18:19">
      <c r="R10717" s="178"/>
      <c r="S10717" s="178"/>
    </row>
    <row r="10718" spans="18:19">
      <c r="R10718" s="178"/>
      <c r="S10718" s="178"/>
    </row>
    <row r="10719" spans="18:19">
      <c r="R10719" s="178"/>
      <c r="S10719" s="178"/>
    </row>
    <row r="10720" spans="18:19">
      <c r="R10720" s="178"/>
      <c r="S10720" s="178"/>
    </row>
    <row r="10721" spans="18:19">
      <c r="R10721" s="178"/>
      <c r="S10721" s="178"/>
    </row>
    <row r="10722" spans="18:19">
      <c r="R10722" s="178"/>
      <c r="S10722" s="178"/>
    </row>
    <row r="10723" spans="18:19">
      <c r="R10723" s="178"/>
      <c r="S10723" s="178"/>
    </row>
    <row r="10724" spans="18:19">
      <c r="R10724" s="178"/>
      <c r="S10724" s="178"/>
    </row>
    <row r="10725" spans="18:19">
      <c r="R10725" s="178"/>
      <c r="S10725" s="178"/>
    </row>
    <row r="10726" spans="18:19">
      <c r="R10726" s="178"/>
      <c r="S10726" s="178"/>
    </row>
    <row r="10727" spans="18:19">
      <c r="R10727" s="178"/>
      <c r="S10727" s="178"/>
    </row>
    <row r="10728" spans="18:19">
      <c r="R10728" s="178"/>
      <c r="S10728" s="178"/>
    </row>
    <row r="10729" spans="18:19">
      <c r="R10729" s="178"/>
      <c r="S10729" s="178"/>
    </row>
    <row r="10730" spans="18:19">
      <c r="R10730" s="178"/>
      <c r="S10730" s="178"/>
    </row>
    <row r="10731" spans="18:19">
      <c r="R10731" s="178"/>
      <c r="S10731" s="178"/>
    </row>
    <row r="10732" spans="18:19">
      <c r="R10732" s="178"/>
      <c r="S10732" s="178"/>
    </row>
    <row r="10733" spans="18:19">
      <c r="R10733" s="178"/>
      <c r="S10733" s="178"/>
    </row>
    <row r="10734" spans="18:19">
      <c r="R10734" s="178"/>
      <c r="S10734" s="178"/>
    </row>
    <row r="10735" spans="18:19">
      <c r="R10735" s="178"/>
      <c r="S10735" s="178"/>
    </row>
    <row r="10736" spans="18:19">
      <c r="R10736" s="178"/>
      <c r="S10736" s="178"/>
    </row>
    <row r="10737" spans="18:19">
      <c r="R10737" s="178"/>
      <c r="S10737" s="178"/>
    </row>
    <row r="10738" spans="18:19">
      <c r="R10738" s="178"/>
      <c r="S10738" s="178"/>
    </row>
    <row r="10739" spans="18:19">
      <c r="R10739" s="178"/>
      <c r="S10739" s="178"/>
    </row>
    <row r="10740" spans="18:19">
      <c r="R10740" s="178"/>
      <c r="S10740" s="178"/>
    </row>
    <row r="10741" spans="18:19">
      <c r="R10741" s="178"/>
      <c r="S10741" s="178"/>
    </row>
    <row r="10742" spans="18:19">
      <c r="R10742" s="178"/>
      <c r="S10742" s="178"/>
    </row>
    <row r="10743" spans="18:19">
      <c r="R10743" s="178"/>
      <c r="S10743" s="178"/>
    </row>
    <row r="10744" spans="18:19">
      <c r="R10744" s="178"/>
      <c r="S10744" s="178"/>
    </row>
    <row r="10745" spans="18:19">
      <c r="R10745" s="178"/>
      <c r="S10745" s="178"/>
    </row>
    <row r="10746" spans="18:19">
      <c r="R10746" s="178"/>
      <c r="S10746" s="178"/>
    </row>
    <row r="10747" spans="18:19">
      <c r="R10747" s="178"/>
      <c r="S10747" s="178"/>
    </row>
    <row r="10748" spans="18:19">
      <c r="R10748" s="178"/>
      <c r="S10748" s="178"/>
    </row>
    <row r="10749" spans="18:19">
      <c r="R10749" s="178"/>
      <c r="S10749" s="178"/>
    </row>
    <row r="10750" spans="18:19">
      <c r="R10750" s="178"/>
      <c r="S10750" s="178"/>
    </row>
    <row r="10751" spans="18:19">
      <c r="R10751" s="178"/>
      <c r="S10751" s="178"/>
    </row>
    <row r="10752" spans="18:19">
      <c r="R10752" s="178"/>
      <c r="S10752" s="178"/>
    </row>
    <row r="10753" spans="18:19">
      <c r="R10753" s="178"/>
      <c r="S10753" s="178"/>
    </row>
    <row r="10754" spans="18:19">
      <c r="R10754" s="178"/>
      <c r="S10754" s="178"/>
    </row>
    <row r="10755" spans="18:19">
      <c r="R10755" s="178"/>
      <c r="S10755" s="178"/>
    </row>
    <row r="10756" spans="18:19">
      <c r="R10756" s="178"/>
      <c r="S10756" s="178"/>
    </row>
    <row r="10757" spans="18:19">
      <c r="R10757" s="178"/>
      <c r="S10757" s="178"/>
    </row>
    <row r="10758" spans="18:19">
      <c r="R10758" s="178"/>
      <c r="S10758" s="178"/>
    </row>
    <row r="10759" spans="18:19">
      <c r="R10759" s="178"/>
      <c r="S10759" s="178"/>
    </row>
    <row r="10760" spans="18:19">
      <c r="R10760" s="178"/>
      <c r="S10760" s="178"/>
    </row>
    <row r="10761" spans="18:19">
      <c r="R10761" s="178"/>
      <c r="S10761" s="178"/>
    </row>
    <row r="10762" spans="18:19">
      <c r="R10762" s="178"/>
      <c r="S10762" s="178"/>
    </row>
    <row r="10763" spans="18:19">
      <c r="R10763" s="178"/>
      <c r="S10763" s="178"/>
    </row>
    <row r="10764" spans="18:19">
      <c r="R10764" s="178"/>
      <c r="S10764" s="178"/>
    </row>
    <row r="10765" spans="18:19">
      <c r="R10765" s="178"/>
      <c r="S10765" s="178"/>
    </row>
    <row r="10766" spans="18:19">
      <c r="R10766" s="178"/>
      <c r="S10766" s="178"/>
    </row>
    <row r="10767" spans="18:19">
      <c r="R10767" s="178"/>
      <c r="S10767" s="178"/>
    </row>
    <row r="10768" spans="18:19">
      <c r="R10768" s="178"/>
      <c r="S10768" s="178"/>
    </row>
    <row r="10769" spans="18:19">
      <c r="R10769" s="178"/>
      <c r="S10769" s="178"/>
    </row>
    <row r="10770" spans="18:19">
      <c r="R10770" s="178"/>
      <c r="S10770" s="178"/>
    </row>
    <row r="10771" spans="18:19">
      <c r="R10771" s="178"/>
      <c r="S10771" s="178"/>
    </row>
    <row r="10772" spans="18:19">
      <c r="R10772" s="178"/>
      <c r="S10772" s="178"/>
    </row>
    <row r="10773" spans="18:19">
      <c r="R10773" s="178"/>
      <c r="S10773" s="178"/>
    </row>
    <row r="10774" spans="18:19">
      <c r="R10774" s="178"/>
      <c r="S10774" s="178"/>
    </row>
    <row r="10775" spans="18:19">
      <c r="R10775" s="178"/>
      <c r="S10775" s="178"/>
    </row>
    <row r="10776" spans="18:19">
      <c r="R10776" s="178"/>
      <c r="S10776" s="178"/>
    </row>
    <row r="10777" spans="18:19">
      <c r="R10777" s="178"/>
      <c r="S10777" s="178"/>
    </row>
    <row r="10778" spans="18:19">
      <c r="R10778" s="178"/>
      <c r="S10778" s="178"/>
    </row>
    <row r="10779" spans="18:19">
      <c r="R10779" s="178"/>
      <c r="S10779" s="178"/>
    </row>
    <row r="10780" spans="18:19">
      <c r="R10780" s="178"/>
      <c r="S10780" s="178"/>
    </row>
    <row r="10781" spans="18:19">
      <c r="R10781" s="178"/>
      <c r="S10781" s="178"/>
    </row>
    <row r="10782" spans="18:19">
      <c r="R10782" s="178"/>
      <c r="S10782" s="178"/>
    </row>
    <row r="10783" spans="18:19">
      <c r="R10783" s="178"/>
      <c r="S10783" s="178"/>
    </row>
    <row r="10784" spans="18:19">
      <c r="R10784" s="178"/>
      <c r="S10784" s="178"/>
    </row>
    <row r="10785" spans="18:19">
      <c r="R10785" s="178"/>
      <c r="S10785" s="178"/>
    </row>
    <row r="10786" spans="18:19">
      <c r="R10786" s="178"/>
      <c r="S10786" s="178"/>
    </row>
    <row r="10787" spans="18:19">
      <c r="R10787" s="178"/>
      <c r="S10787" s="178"/>
    </row>
    <row r="10788" spans="18:19">
      <c r="R10788" s="178"/>
      <c r="S10788" s="178"/>
    </row>
    <row r="10789" spans="18:19">
      <c r="R10789" s="178"/>
      <c r="S10789" s="178"/>
    </row>
    <row r="10790" spans="18:19">
      <c r="R10790" s="178"/>
      <c r="S10790" s="178"/>
    </row>
    <row r="10791" spans="18:19">
      <c r="R10791" s="178"/>
      <c r="S10791" s="178"/>
    </row>
    <row r="10792" spans="18:19">
      <c r="R10792" s="178"/>
      <c r="S10792" s="178"/>
    </row>
    <row r="10793" spans="18:19">
      <c r="R10793" s="178"/>
      <c r="S10793" s="178"/>
    </row>
    <row r="10794" spans="18:19">
      <c r="R10794" s="178"/>
      <c r="S10794" s="178"/>
    </row>
    <row r="10795" spans="18:19">
      <c r="R10795" s="178"/>
      <c r="S10795" s="178"/>
    </row>
    <row r="10796" spans="18:19">
      <c r="R10796" s="178"/>
      <c r="S10796" s="178"/>
    </row>
    <row r="10797" spans="18:19">
      <c r="R10797" s="178"/>
      <c r="S10797" s="178"/>
    </row>
    <row r="10798" spans="18:19">
      <c r="R10798" s="178"/>
      <c r="S10798" s="178"/>
    </row>
    <row r="10799" spans="18:19">
      <c r="R10799" s="178"/>
      <c r="S10799" s="178"/>
    </row>
    <row r="10800" spans="18:19">
      <c r="R10800" s="178"/>
      <c r="S10800" s="178"/>
    </row>
    <row r="10801" spans="18:19">
      <c r="R10801" s="178"/>
      <c r="S10801" s="178"/>
    </row>
    <row r="10802" spans="18:19">
      <c r="R10802" s="178"/>
      <c r="S10802" s="178"/>
    </row>
    <row r="10803" spans="18:19">
      <c r="R10803" s="178"/>
      <c r="S10803" s="178"/>
    </row>
    <row r="10804" spans="18:19">
      <c r="R10804" s="178"/>
      <c r="S10804" s="178"/>
    </row>
    <row r="10805" spans="18:19">
      <c r="R10805" s="178"/>
      <c r="S10805" s="178"/>
    </row>
    <row r="10806" spans="18:19">
      <c r="R10806" s="178"/>
      <c r="S10806" s="178"/>
    </row>
    <row r="10807" spans="18:19">
      <c r="R10807" s="178"/>
      <c r="S10807" s="178"/>
    </row>
    <row r="10808" spans="18:19">
      <c r="R10808" s="178"/>
      <c r="S10808" s="178"/>
    </row>
    <row r="10809" spans="18:19">
      <c r="R10809" s="178"/>
      <c r="S10809" s="178"/>
    </row>
    <row r="10810" spans="18:19">
      <c r="R10810" s="178"/>
      <c r="S10810" s="178"/>
    </row>
    <row r="10811" spans="18:19">
      <c r="R10811" s="178"/>
      <c r="S10811" s="178"/>
    </row>
    <row r="10812" spans="18:19">
      <c r="R10812" s="178"/>
      <c r="S10812" s="178"/>
    </row>
    <row r="10813" spans="18:19">
      <c r="R10813" s="178"/>
      <c r="S10813" s="178"/>
    </row>
    <row r="10814" spans="18:19">
      <c r="R10814" s="178"/>
      <c r="S10814" s="178"/>
    </row>
    <row r="10815" spans="18:19">
      <c r="R10815" s="178"/>
      <c r="S10815" s="178"/>
    </row>
    <row r="10816" spans="18:19">
      <c r="R10816" s="178"/>
      <c r="S10816" s="178"/>
    </row>
    <row r="10817" spans="18:19">
      <c r="R10817" s="178"/>
      <c r="S10817" s="178"/>
    </row>
    <row r="10818" spans="18:19">
      <c r="R10818" s="178"/>
      <c r="S10818" s="178"/>
    </row>
    <row r="10819" spans="18:19">
      <c r="R10819" s="178"/>
      <c r="S10819" s="178"/>
    </row>
    <row r="10820" spans="18:19">
      <c r="R10820" s="178"/>
      <c r="S10820" s="178"/>
    </row>
    <row r="10821" spans="18:19">
      <c r="R10821" s="178"/>
      <c r="S10821" s="178"/>
    </row>
    <row r="10822" spans="18:19">
      <c r="R10822" s="178"/>
      <c r="S10822" s="178"/>
    </row>
    <row r="10823" spans="18:19">
      <c r="R10823" s="178"/>
      <c r="S10823" s="178"/>
    </row>
    <row r="10824" spans="18:19">
      <c r="R10824" s="178"/>
      <c r="S10824" s="178"/>
    </row>
    <row r="10825" spans="18:19">
      <c r="R10825" s="178"/>
      <c r="S10825" s="178"/>
    </row>
    <row r="10826" spans="18:19">
      <c r="R10826" s="178"/>
      <c r="S10826" s="178"/>
    </row>
    <row r="10827" spans="18:19">
      <c r="R10827" s="178"/>
      <c r="S10827" s="178"/>
    </row>
    <row r="10828" spans="18:19">
      <c r="R10828" s="178"/>
      <c r="S10828" s="178"/>
    </row>
    <row r="10829" spans="18:19">
      <c r="R10829" s="178"/>
      <c r="S10829" s="178"/>
    </row>
    <row r="10830" spans="18:19">
      <c r="R10830" s="178"/>
      <c r="S10830" s="178"/>
    </row>
    <row r="10831" spans="18:19">
      <c r="R10831" s="178"/>
      <c r="S10831" s="178"/>
    </row>
    <row r="10832" spans="18:19">
      <c r="R10832" s="178"/>
      <c r="S10832" s="178"/>
    </row>
    <row r="10833" spans="18:19">
      <c r="R10833" s="178"/>
      <c r="S10833" s="178"/>
    </row>
    <row r="10834" spans="18:19">
      <c r="R10834" s="178"/>
      <c r="S10834" s="178"/>
    </row>
    <row r="10835" spans="18:19">
      <c r="R10835" s="178"/>
      <c r="S10835" s="178"/>
    </row>
    <row r="10836" spans="18:19">
      <c r="R10836" s="178"/>
      <c r="S10836" s="178"/>
    </row>
    <row r="10837" spans="18:19">
      <c r="R10837" s="178"/>
      <c r="S10837" s="178"/>
    </row>
    <row r="10838" spans="18:19">
      <c r="R10838" s="178"/>
      <c r="S10838" s="178"/>
    </row>
    <row r="10839" spans="18:19">
      <c r="R10839" s="178"/>
      <c r="S10839" s="178"/>
    </row>
    <row r="10840" spans="18:19">
      <c r="R10840" s="178"/>
      <c r="S10840" s="178"/>
    </row>
    <row r="10841" spans="18:19">
      <c r="R10841" s="178"/>
      <c r="S10841" s="178"/>
    </row>
    <row r="10842" spans="18:19">
      <c r="R10842" s="178"/>
      <c r="S10842" s="178"/>
    </row>
    <row r="10843" spans="18:19">
      <c r="R10843" s="178"/>
      <c r="S10843" s="178"/>
    </row>
    <row r="10844" spans="18:19">
      <c r="R10844" s="178"/>
      <c r="S10844" s="178"/>
    </row>
    <row r="10845" spans="18:19">
      <c r="R10845" s="178"/>
      <c r="S10845" s="178"/>
    </row>
    <row r="10846" spans="18:19">
      <c r="R10846" s="178"/>
      <c r="S10846" s="178"/>
    </row>
    <row r="10847" spans="18:19">
      <c r="R10847" s="178"/>
      <c r="S10847" s="178"/>
    </row>
    <row r="10848" spans="18:19">
      <c r="R10848" s="178"/>
      <c r="S10848" s="178"/>
    </row>
    <row r="10849" spans="18:19">
      <c r="R10849" s="178"/>
      <c r="S10849" s="178"/>
    </row>
    <row r="10850" spans="18:19">
      <c r="R10850" s="178"/>
      <c r="S10850" s="178"/>
    </row>
    <row r="10851" spans="18:19">
      <c r="R10851" s="178"/>
      <c r="S10851" s="178"/>
    </row>
    <row r="10852" spans="18:19">
      <c r="R10852" s="178"/>
      <c r="S10852" s="178"/>
    </row>
    <row r="10853" spans="18:19">
      <c r="R10853" s="178"/>
      <c r="S10853" s="178"/>
    </row>
    <row r="10854" spans="18:19">
      <c r="R10854" s="178"/>
      <c r="S10854" s="178"/>
    </row>
    <row r="10855" spans="18:19">
      <c r="R10855" s="178"/>
      <c r="S10855" s="178"/>
    </row>
    <row r="10856" spans="18:19">
      <c r="R10856" s="178"/>
      <c r="S10856" s="178"/>
    </row>
    <row r="10857" spans="18:19">
      <c r="R10857" s="178"/>
      <c r="S10857" s="178"/>
    </row>
    <row r="10858" spans="18:19">
      <c r="R10858" s="178"/>
      <c r="S10858" s="178"/>
    </row>
    <row r="10859" spans="18:19">
      <c r="R10859" s="178"/>
      <c r="S10859" s="178"/>
    </row>
    <row r="10860" spans="18:19">
      <c r="R10860" s="178"/>
      <c r="S10860" s="178"/>
    </row>
    <row r="10861" spans="18:19">
      <c r="R10861" s="178"/>
      <c r="S10861" s="178"/>
    </row>
    <row r="10862" spans="18:19">
      <c r="R10862" s="178"/>
      <c r="S10862" s="178"/>
    </row>
    <row r="10863" spans="18:19">
      <c r="R10863" s="178"/>
      <c r="S10863" s="178"/>
    </row>
    <row r="10864" spans="18:19">
      <c r="R10864" s="178"/>
      <c r="S10864" s="178"/>
    </row>
    <row r="10865" spans="18:19">
      <c r="R10865" s="178"/>
      <c r="S10865" s="178"/>
    </row>
    <row r="10866" spans="18:19">
      <c r="R10866" s="178"/>
      <c r="S10866" s="178"/>
    </row>
    <row r="10867" spans="18:19">
      <c r="R10867" s="178"/>
      <c r="S10867" s="178"/>
    </row>
    <row r="10868" spans="18:19">
      <c r="R10868" s="178"/>
      <c r="S10868" s="178"/>
    </row>
    <row r="10869" spans="18:19">
      <c r="R10869" s="178"/>
      <c r="S10869" s="178"/>
    </row>
    <row r="10870" spans="18:19">
      <c r="R10870" s="178"/>
      <c r="S10870" s="178"/>
    </row>
    <row r="10871" spans="18:19">
      <c r="R10871" s="178"/>
      <c r="S10871" s="178"/>
    </row>
    <row r="10872" spans="18:19">
      <c r="R10872" s="178"/>
      <c r="S10872" s="178"/>
    </row>
    <row r="10873" spans="18:19">
      <c r="R10873" s="178"/>
      <c r="S10873" s="178"/>
    </row>
    <row r="10874" spans="18:19">
      <c r="R10874" s="178"/>
      <c r="S10874" s="178"/>
    </row>
    <row r="10875" spans="18:19">
      <c r="R10875" s="178"/>
      <c r="S10875" s="178"/>
    </row>
    <row r="10876" spans="18:19">
      <c r="R10876" s="178"/>
      <c r="S10876" s="178"/>
    </row>
    <row r="10877" spans="18:19">
      <c r="R10877" s="178"/>
      <c r="S10877" s="178"/>
    </row>
    <row r="10878" spans="18:19">
      <c r="R10878" s="178"/>
      <c r="S10878" s="178"/>
    </row>
    <row r="10879" spans="18:19">
      <c r="R10879" s="178"/>
      <c r="S10879" s="178"/>
    </row>
    <row r="10880" spans="18:19">
      <c r="R10880" s="178"/>
      <c r="S10880" s="178"/>
    </row>
    <row r="10881" spans="18:19">
      <c r="R10881" s="178"/>
      <c r="S10881" s="178"/>
    </row>
    <row r="10882" spans="18:19">
      <c r="R10882" s="178"/>
      <c r="S10882" s="178"/>
    </row>
    <row r="10883" spans="18:19">
      <c r="R10883" s="178"/>
      <c r="S10883" s="178"/>
    </row>
    <row r="10884" spans="18:19">
      <c r="R10884" s="178"/>
      <c r="S10884" s="178"/>
    </row>
    <row r="10885" spans="18:19">
      <c r="R10885" s="178"/>
      <c r="S10885" s="178"/>
    </row>
    <row r="10886" spans="18:19">
      <c r="R10886" s="178"/>
      <c r="S10886" s="178"/>
    </row>
    <row r="10887" spans="18:19">
      <c r="R10887" s="178"/>
      <c r="S10887" s="178"/>
    </row>
    <row r="10888" spans="18:19">
      <c r="R10888" s="178"/>
      <c r="S10888" s="178"/>
    </row>
    <row r="10889" spans="18:19">
      <c r="R10889" s="178"/>
      <c r="S10889" s="178"/>
    </row>
    <row r="10890" spans="18:19">
      <c r="R10890" s="178"/>
      <c r="S10890" s="178"/>
    </row>
    <row r="10891" spans="18:19">
      <c r="R10891" s="178"/>
      <c r="S10891" s="178"/>
    </row>
    <row r="10892" spans="18:19">
      <c r="R10892" s="178"/>
      <c r="S10892" s="178"/>
    </row>
    <row r="10893" spans="18:19">
      <c r="R10893" s="178"/>
      <c r="S10893" s="178"/>
    </row>
    <row r="10894" spans="18:19">
      <c r="R10894" s="178"/>
      <c r="S10894" s="178"/>
    </row>
    <row r="10895" spans="18:19">
      <c r="R10895" s="178"/>
      <c r="S10895" s="178"/>
    </row>
    <row r="10896" spans="18:19">
      <c r="R10896" s="178"/>
      <c r="S10896" s="178"/>
    </row>
    <row r="10897" spans="18:19">
      <c r="R10897" s="178"/>
      <c r="S10897" s="178"/>
    </row>
    <row r="10898" spans="18:19">
      <c r="R10898" s="178"/>
      <c r="S10898" s="178"/>
    </row>
    <row r="10899" spans="18:19">
      <c r="R10899" s="178"/>
      <c r="S10899" s="178"/>
    </row>
    <row r="10900" spans="18:19">
      <c r="R10900" s="178"/>
      <c r="S10900" s="178"/>
    </row>
    <row r="10901" spans="18:19">
      <c r="R10901" s="178"/>
      <c r="S10901" s="178"/>
    </row>
    <row r="10902" spans="18:19">
      <c r="R10902" s="178"/>
      <c r="S10902" s="178"/>
    </row>
    <row r="10903" spans="18:19">
      <c r="R10903" s="178"/>
      <c r="S10903" s="178"/>
    </row>
    <row r="10904" spans="18:19">
      <c r="R10904" s="178"/>
      <c r="S10904" s="178"/>
    </row>
    <row r="10905" spans="18:19">
      <c r="R10905" s="178"/>
      <c r="S10905" s="178"/>
    </row>
    <row r="10906" spans="18:19">
      <c r="R10906" s="178"/>
      <c r="S10906" s="178"/>
    </row>
    <row r="10907" spans="18:19">
      <c r="R10907" s="178"/>
      <c r="S10907" s="178"/>
    </row>
    <row r="10908" spans="18:19">
      <c r="R10908" s="178"/>
      <c r="S10908" s="178"/>
    </row>
    <row r="10909" spans="18:19">
      <c r="R10909" s="178"/>
      <c r="S10909" s="178"/>
    </row>
    <row r="10910" spans="18:19">
      <c r="R10910" s="178"/>
      <c r="S10910" s="178"/>
    </row>
    <row r="10911" spans="18:19">
      <c r="R10911" s="178"/>
      <c r="S10911" s="178"/>
    </row>
    <row r="10912" spans="18:19">
      <c r="R10912" s="178"/>
      <c r="S10912" s="178"/>
    </row>
    <row r="10913" spans="18:19">
      <c r="R10913" s="178"/>
      <c r="S10913" s="178"/>
    </row>
    <row r="10914" spans="18:19">
      <c r="R10914" s="178"/>
      <c r="S10914" s="178"/>
    </row>
    <row r="10915" spans="18:19">
      <c r="R10915" s="178"/>
      <c r="S10915" s="178"/>
    </row>
    <row r="10916" spans="18:19">
      <c r="R10916" s="178"/>
      <c r="S10916" s="178"/>
    </row>
    <row r="10917" spans="18:19">
      <c r="R10917" s="178"/>
      <c r="S10917" s="178"/>
    </row>
    <row r="10918" spans="18:19">
      <c r="R10918" s="178"/>
      <c r="S10918" s="178"/>
    </row>
    <row r="10919" spans="18:19">
      <c r="R10919" s="178"/>
      <c r="S10919" s="178"/>
    </row>
    <row r="10920" spans="18:19">
      <c r="R10920" s="178"/>
      <c r="S10920" s="178"/>
    </row>
    <row r="10921" spans="18:19">
      <c r="R10921" s="178"/>
      <c r="S10921" s="178"/>
    </row>
    <row r="10922" spans="18:19">
      <c r="R10922" s="178"/>
      <c r="S10922" s="178"/>
    </row>
    <row r="10923" spans="18:19">
      <c r="R10923" s="178"/>
      <c r="S10923" s="178"/>
    </row>
    <row r="10924" spans="18:19">
      <c r="R10924" s="178"/>
      <c r="S10924" s="178"/>
    </row>
    <row r="10925" spans="18:19">
      <c r="R10925" s="178"/>
      <c r="S10925" s="178"/>
    </row>
    <row r="10926" spans="18:19">
      <c r="R10926" s="178"/>
      <c r="S10926" s="178"/>
    </row>
    <row r="10927" spans="18:19">
      <c r="R10927" s="178"/>
      <c r="S10927" s="178"/>
    </row>
    <row r="10928" spans="18:19">
      <c r="R10928" s="178"/>
      <c r="S10928" s="178"/>
    </row>
    <row r="10929" spans="18:19">
      <c r="R10929" s="178"/>
      <c r="S10929" s="178"/>
    </row>
    <row r="10930" spans="18:19">
      <c r="R10930" s="178"/>
      <c r="S10930" s="178"/>
    </row>
    <row r="10931" spans="18:19">
      <c r="R10931" s="178"/>
      <c r="S10931" s="178"/>
    </row>
    <row r="10932" spans="18:19">
      <c r="R10932" s="178"/>
      <c r="S10932" s="178"/>
    </row>
    <row r="10933" spans="18:19">
      <c r="R10933" s="178"/>
      <c r="S10933" s="178"/>
    </row>
    <row r="10934" spans="18:19">
      <c r="R10934" s="178"/>
      <c r="S10934" s="178"/>
    </row>
    <row r="10935" spans="18:19">
      <c r="R10935" s="178"/>
      <c r="S10935" s="178"/>
    </row>
    <row r="10936" spans="18:19">
      <c r="R10936" s="178"/>
      <c r="S10936" s="178"/>
    </row>
    <row r="10937" spans="18:19">
      <c r="R10937" s="178"/>
      <c r="S10937" s="178"/>
    </row>
    <row r="10938" spans="18:19">
      <c r="R10938" s="178"/>
      <c r="S10938" s="178"/>
    </row>
    <row r="10939" spans="18:19">
      <c r="R10939" s="178"/>
      <c r="S10939" s="178"/>
    </row>
    <row r="10940" spans="18:19">
      <c r="R10940" s="178"/>
      <c r="S10940" s="178"/>
    </row>
    <row r="10941" spans="18:19">
      <c r="R10941" s="178"/>
      <c r="S10941" s="178"/>
    </row>
    <row r="10942" spans="18:19">
      <c r="R10942" s="178"/>
      <c r="S10942" s="178"/>
    </row>
    <row r="10943" spans="18:19">
      <c r="R10943" s="178"/>
      <c r="S10943" s="178"/>
    </row>
    <row r="10944" spans="18:19">
      <c r="R10944" s="178"/>
      <c r="S10944" s="178"/>
    </row>
    <row r="10945" spans="18:19">
      <c r="R10945" s="178"/>
      <c r="S10945" s="178"/>
    </row>
    <row r="10946" spans="18:19">
      <c r="R10946" s="178"/>
      <c r="S10946" s="178"/>
    </row>
    <row r="10947" spans="18:19">
      <c r="R10947" s="178"/>
      <c r="S10947" s="178"/>
    </row>
    <row r="10948" spans="18:19">
      <c r="R10948" s="178"/>
      <c r="S10948" s="178"/>
    </row>
    <row r="10949" spans="18:19">
      <c r="R10949" s="178"/>
      <c r="S10949" s="178"/>
    </row>
    <row r="10950" spans="18:19">
      <c r="R10950" s="178"/>
      <c r="S10950" s="178"/>
    </row>
    <row r="10951" spans="18:19">
      <c r="R10951" s="178"/>
      <c r="S10951" s="178"/>
    </row>
    <row r="10952" spans="18:19">
      <c r="R10952" s="178"/>
      <c r="S10952" s="178"/>
    </row>
    <row r="10953" spans="18:19">
      <c r="R10953" s="178"/>
      <c r="S10953" s="178"/>
    </row>
    <row r="10954" spans="18:19">
      <c r="R10954" s="178"/>
      <c r="S10954" s="178"/>
    </row>
    <row r="10955" spans="18:19">
      <c r="R10955" s="178"/>
      <c r="S10955" s="178"/>
    </row>
    <row r="10956" spans="18:19">
      <c r="R10956" s="178"/>
      <c r="S10956" s="178"/>
    </row>
    <row r="10957" spans="18:19">
      <c r="R10957" s="178"/>
      <c r="S10957" s="178"/>
    </row>
    <row r="10958" spans="18:19">
      <c r="R10958" s="178"/>
      <c r="S10958" s="178"/>
    </row>
    <row r="10959" spans="18:19">
      <c r="R10959" s="178"/>
      <c r="S10959" s="178"/>
    </row>
    <row r="10960" spans="18:19">
      <c r="R10960" s="178"/>
      <c r="S10960" s="178"/>
    </row>
    <row r="10961" spans="18:19">
      <c r="R10961" s="178"/>
      <c r="S10961" s="178"/>
    </row>
    <row r="10962" spans="18:19">
      <c r="R10962" s="178"/>
      <c r="S10962" s="178"/>
    </row>
    <row r="10963" spans="18:19">
      <c r="R10963" s="178"/>
      <c r="S10963" s="178"/>
    </row>
    <row r="10964" spans="18:19">
      <c r="R10964" s="178"/>
      <c r="S10964" s="178"/>
    </row>
    <row r="10965" spans="18:19">
      <c r="R10965" s="178"/>
      <c r="S10965" s="178"/>
    </row>
    <row r="10966" spans="18:19">
      <c r="R10966" s="178"/>
      <c r="S10966" s="178"/>
    </row>
    <row r="10967" spans="18:19">
      <c r="R10967" s="178"/>
      <c r="S10967" s="178"/>
    </row>
    <row r="10968" spans="18:19">
      <c r="R10968" s="178"/>
      <c r="S10968" s="178"/>
    </row>
    <row r="10969" spans="18:19">
      <c r="R10969" s="178"/>
      <c r="S10969" s="178"/>
    </row>
    <row r="10970" spans="18:19">
      <c r="R10970" s="178"/>
      <c r="S10970" s="178"/>
    </row>
    <row r="10971" spans="18:19">
      <c r="R10971" s="178"/>
      <c r="S10971" s="178"/>
    </row>
    <row r="10972" spans="18:19">
      <c r="R10972" s="178"/>
      <c r="S10972" s="178"/>
    </row>
    <row r="10973" spans="18:19">
      <c r="R10973" s="178"/>
      <c r="S10973" s="178"/>
    </row>
    <row r="10974" spans="18:19">
      <c r="R10974" s="178"/>
      <c r="S10974" s="178"/>
    </row>
    <row r="10975" spans="18:19">
      <c r="R10975" s="178"/>
      <c r="S10975" s="178"/>
    </row>
    <row r="10976" spans="18:19">
      <c r="R10976" s="178"/>
      <c r="S10976" s="178"/>
    </row>
    <row r="10977" spans="18:19">
      <c r="R10977" s="178"/>
      <c r="S10977" s="178"/>
    </row>
    <row r="10978" spans="18:19">
      <c r="R10978" s="178"/>
      <c r="S10978" s="178"/>
    </row>
    <row r="10979" spans="18:19">
      <c r="R10979" s="178"/>
      <c r="S10979" s="178"/>
    </row>
    <row r="10980" spans="18:19">
      <c r="R10980" s="178"/>
      <c r="S10980" s="178"/>
    </row>
    <row r="10981" spans="18:19">
      <c r="R10981" s="178"/>
      <c r="S10981" s="178"/>
    </row>
    <row r="10982" spans="18:19">
      <c r="R10982" s="178"/>
      <c r="S10982" s="178"/>
    </row>
    <row r="10983" spans="18:19">
      <c r="R10983" s="178"/>
      <c r="S10983" s="178"/>
    </row>
    <row r="10984" spans="18:19">
      <c r="R10984" s="178"/>
      <c r="S10984" s="178"/>
    </row>
    <row r="10985" spans="18:19">
      <c r="R10985" s="178"/>
      <c r="S10985" s="178"/>
    </row>
    <row r="10986" spans="18:19">
      <c r="R10986" s="178"/>
      <c r="S10986" s="178"/>
    </row>
    <row r="10987" spans="18:19">
      <c r="R10987" s="178"/>
      <c r="S10987" s="178"/>
    </row>
    <row r="10988" spans="18:19">
      <c r="R10988" s="178"/>
      <c r="S10988" s="178"/>
    </row>
    <row r="10989" spans="18:19">
      <c r="R10989" s="178"/>
      <c r="S10989" s="178"/>
    </row>
    <row r="10990" spans="18:19">
      <c r="R10990" s="178"/>
      <c r="S10990" s="178"/>
    </row>
    <row r="10991" spans="18:19">
      <c r="R10991" s="178"/>
      <c r="S10991" s="178"/>
    </row>
    <row r="10992" spans="18:19">
      <c r="R10992" s="178"/>
      <c r="S10992" s="178"/>
    </row>
    <row r="10993" spans="18:19">
      <c r="R10993" s="178"/>
      <c r="S10993" s="178"/>
    </row>
    <row r="10994" spans="18:19">
      <c r="R10994" s="178"/>
      <c r="S10994" s="178"/>
    </row>
    <row r="10995" spans="18:19">
      <c r="R10995" s="178"/>
      <c r="S10995" s="178"/>
    </row>
    <row r="10996" spans="18:19">
      <c r="R10996" s="178"/>
      <c r="S10996" s="178"/>
    </row>
    <row r="10997" spans="18:19">
      <c r="R10997" s="178"/>
      <c r="S10997" s="178"/>
    </row>
    <row r="10998" spans="18:19">
      <c r="R10998" s="178"/>
      <c r="S10998" s="178"/>
    </row>
    <row r="10999" spans="18:19">
      <c r="R10999" s="178"/>
      <c r="S10999" s="178"/>
    </row>
    <row r="11000" spans="18:19">
      <c r="R11000" s="178"/>
      <c r="S11000" s="178"/>
    </row>
    <row r="11001" spans="18:19">
      <c r="R11001" s="178"/>
      <c r="S11001" s="178"/>
    </row>
    <row r="11002" spans="18:19">
      <c r="R11002" s="178"/>
      <c r="S11002" s="178"/>
    </row>
    <row r="11003" spans="18:19">
      <c r="R11003" s="178"/>
      <c r="S11003" s="178"/>
    </row>
    <row r="11004" spans="18:19">
      <c r="R11004" s="178"/>
      <c r="S11004" s="178"/>
    </row>
    <row r="11005" spans="18:19">
      <c r="R11005" s="178"/>
      <c r="S11005" s="178"/>
    </row>
    <row r="11006" spans="18:19">
      <c r="R11006" s="178"/>
      <c r="S11006" s="178"/>
    </row>
    <row r="11007" spans="18:19">
      <c r="R11007" s="178"/>
      <c r="S11007" s="178"/>
    </row>
    <row r="11008" spans="18:19">
      <c r="R11008" s="178"/>
      <c r="S11008" s="178"/>
    </row>
    <row r="11009" spans="18:19">
      <c r="R11009" s="178"/>
      <c r="S11009" s="178"/>
    </row>
    <row r="11010" spans="18:19">
      <c r="R11010" s="178"/>
      <c r="S11010" s="178"/>
    </row>
    <row r="11011" spans="18:19">
      <c r="R11011" s="178"/>
      <c r="S11011" s="178"/>
    </row>
    <row r="11012" spans="18:19">
      <c r="R11012" s="178"/>
      <c r="S11012" s="178"/>
    </row>
    <row r="11013" spans="18:19">
      <c r="R11013" s="178"/>
      <c r="S11013" s="178"/>
    </row>
    <row r="11014" spans="18:19">
      <c r="R11014" s="178"/>
      <c r="S11014" s="178"/>
    </row>
    <row r="11015" spans="18:19">
      <c r="R11015" s="178"/>
      <c r="S11015" s="178"/>
    </row>
    <row r="11016" spans="18:19">
      <c r="R11016" s="178"/>
      <c r="S11016" s="178"/>
    </row>
    <row r="11017" spans="18:19">
      <c r="R11017" s="178"/>
      <c r="S11017" s="178"/>
    </row>
    <row r="11018" spans="18:19">
      <c r="R11018" s="178"/>
      <c r="S11018" s="178"/>
    </row>
    <row r="11019" spans="18:19">
      <c r="R11019" s="178"/>
      <c r="S11019" s="178"/>
    </row>
    <row r="11020" spans="18:19">
      <c r="R11020" s="178"/>
      <c r="S11020" s="178"/>
    </row>
    <row r="11021" spans="18:19">
      <c r="R11021" s="178"/>
      <c r="S11021" s="178"/>
    </row>
    <row r="11022" spans="18:19">
      <c r="R11022" s="178"/>
      <c r="S11022" s="178"/>
    </row>
    <row r="11023" spans="18:19">
      <c r="R11023" s="178"/>
      <c r="S11023" s="178"/>
    </row>
    <row r="11024" spans="18:19">
      <c r="R11024" s="178"/>
      <c r="S11024" s="178"/>
    </row>
    <row r="11025" spans="18:19">
      <c r="R11025" s="178"/>
      <c r="S11025" s="178"/>
    </row>
    <row r="11026" spans="18:19">
      <c r="R11026" s="178"/>
      <c r="S11026" s="178"/>
    </row>
    <row r="11027" spans="18:19">
      <c r="R11027" s="178"/>
      <c r="S11027" s="178"/>
    </row>
    <row r="11028" spans="18:19">
      <c r="R11028" s="178"/>
      <c r="S11028" s="178"/>
    </row>
    <row r="11029" spans="18:19">
      <c r="R11029" s="178"/>
      <c r="S11029" s="178"/>
    </row>
    <row r="11030" spans="18:19">
      <c r="R11030" s="178"/>
      <c r="S11030" s="178"/>
    </row>
    <row r="11031" spans="18:19">
      <c r="R11031" s="178"/>
      <c r="S11031" s="178"/>
    </row>
    <row r="11032" spans="18:19">
      <c r="R11032" s="178"/>
      <c r="S11032" s="178"/>
    </row>
    <row r="11033" spans="18:19">
      <c r="R11033" s="178"/>
      <c r="S11033" s="178"/>
    </row>
    <row r="11034" spans="18:19">
      <c r="R11034" s="178"/>
      <c r="S11034" s="178"/>
    </row>
    <row r="11035" spans="18:19">
      <c r="R11035" s="178"/>
      <c r="S11035" s="178"/>
    </row>
    <row r="11036" spans="18:19">
      <c r="R11036" s="178"/>
      <c r="S11036" s="178"/>
    </row>
    <row r="11037" spans="18:19">
      <c r="R11037" s="178"/>
      <c r="S11037" s="178"/>
    </row>
    <row r="11038" spans="18:19">
      <c r="R11038" s="178"/>
      <c r="S11038" s="178"/>
    </row>
    <row r="11039" spans="18:19">
      <c r="R11039" s="178"/>
      <c r="S11039" s="178"/>
    </row>
    <row r="11040" spans="18:19">
      <c r="R11040" s="178"/>
      <c r="S11040" s="178"/>
    </row>
    <row r="11041" spans="18:19">
      <c r="R11041" s="178"/>
      <c r="S11041" s="178"/>
    </row>
    <row r="11042" spans="18:19">
      <c r="R11042" s="178"/>
      <c r="S11042" s="178"/>
    </row>
    <row r="11043" spans="18:19">
      <c r="R11043" s="178"/>
      <c r="S11043" s="178"/>
    </row>
    <row r="11044" spans="18:19">
      <c r="R11044" s="178"/>
      <c r="S11044" s="178"/>
    </row>
    <row r="11045" spans="18:19">
      <c r="R11045" s="178"/>
      <c r="S11045" s="178"/>
    </row>
    <row r="11046" spans="18:19">
      <c r="R11046" s="178"/>
      <c r="S11046" s="178"/>
    </row>
    <row r="11047" spans="18:19">
      <c r="R11047" s="178"/>
      <c r="S11047" s="178"/>
    </row>
    <row r="11048" spans="18:19">
      <c r="R11048" s="178"/>
      <c r="S11048" s="178"/>
    </row>
    <row r="11049" spans="18:19">
      <c r="R11049" s="178"/>
      <c r="S11049" s="178"/>
    </row>
    <row r="11050" spans="18:19">
      <c r="R11050" s="178"/>
      <c r="S11050" s="178"/>
    </row>
    <row r="11051" spans="18:19">
      <c r="R11051" s="178"/>
      <c r="S11051" s="178"/>
    </row>
    <row r="11052" spans="18:19">
      <c r="R11052" s="178"/>
      <c r="S11052" s="178"/>
    </row>
    <row r="11053" spans="18:19">
      <c r="R11053" s="178"/>
      <c r="S11053" s="178"/>
    </row>
    <row r="11054" spans="18:19">
      <c r="R11054" s="178"/>
      <c r="S11054" s="178"/>
    </row>
    <row r="11055" spans="18:19">
      <c r="R11055" s="178"/>
      <c r="S11055" s="178"/>
    </row>
    <row r="11056" spans="18:19">
      <c r="R11056" s="178"/>
      <c r="S11056" s="178"/>
    </row>
    <row r="11057" spans="18:19">
      <c r="R11057" s="178"/>
      <c r="S11057" s="178"/>
    </row>
    <row r="11058" spans="18:19">
      <c r="R11058" s="178"/>
      <c r="S11058" s="178"/>
    </row>
    <row r="11059" spans="18:19">
      <c r="R11059" s="178"/>
      <c r="S11059" s="178"/>
    </row>
    <row r="11060" spans="18:19">
      <c r="R11060" s="178"/>
      <c r="S11060" s="178"/>
    </row>
    <row r="11061" spans="18:19">
      <c r="R11061" s="178"/>
      <c r="S11061" s="178"/>
    </row>
    <row r="11062" spans="18:19">
      <c r="R11062" s="178"/>
      <c r="S11062" s="178"/>
    </row>
    <row r="11063" spans="18:19">
      <c r="R11063" s="178"/>
      <c r="S11063" s="178"/>
    </row>
    <row r="11064" spans="18:19">
      <c r="R11064" s="178"/>
      <c r="S11064" s="178"/>
    </row>
    <row r="11065" spans="18:19">
      <c r="R11065" s="178"/>
      <c r="S11065" s="178"/>
    </row>
    <row r="11066" spans="18:19">
      <c r="R11066" s="178"/>
      <c r="S11066" s="178"/>
    </row>
    <row r="11067" spans="18:19">
      <c r="R11067" s="178"/>
      <c r="S11067" s="178"/>
    </row>
    <row r="11068" spans="18:19">
      <c r="R11068" s="178"/>
      <c r="S11068" s="178"/>
    </row>
    <row r="11069" spans="18:19">
      <c r="R11069" s="178"/>
      <c r="S11069" s="178"/>
    </row>
    <row r="11070" spans="18:19">
      <c r="R11070" s="178"/>
      <c r="S11070" s="178"/>
    </row>
    <row r="11071" spans="18:19">
      <c r="R11071" s="178"/>
      <c r="S11071" s="178"/>
    </row>
    <row r="11072" spans="18:19">
      <c r="R11072" s="178"/>
      <c r="S11072" s="178"/>
    </row>
    <row r="11073" spans="18:19">
      <c r="R11073" s="178"/>
      <c r="S11073" s="178"/>
    </row>
    <row r="11074" spans="18:19">
      <c r="R11074" s="178"/>
      <c r="S11074" s="178"/>
    </row>
    <row r="11075" spans="18:19">
      <c r="R11075" s="178"/>
      <c r="S11075" s="178"/>
    </row>
    <row r="11076" spans="18:19">
      <c r="R11076" s="178"/>
      <c r="S11076" s="178"/>
    </row>
    <row r="11077" spans="18:19">
      <c r="R11077" s="178"/>
      <c r="S11077" s="178"/>
    </row>
    <row r="11078" spans="18:19">
      <c r="R11078" s="178"/>
      <c r="S11078" s="178"/>
    </row>
    <row r="11079" spans="18:19">
      <c r="R11079" s="178"/>
      <c r="S11079" s="178"/>
    </row>
    <row r="11080" spans="18:19">
      <c r="R11080" s="178"/>
      <c r="S11080" s="178"/>
    </row>
    <row r="11081" spans="18:19">
      <c r="R11081" s="178"/>
      <c r="S11081" s="178"/>
    </row>
    <row r="11082" spans="18:19">
      <c r="R11082" s="178"/>
      <c r="S11082" s="178"/>
    </row>
    <row r="11083" spans="18:19">
      <c r="R11083" s="178"/>
      <c r="S11083" s="178"/>
    </row>
    <row r="11084" spans="18:19">
      <c r="R11084" s="178"/>
      <c r="S11084" s="178"/>
    </row>
    <row r="11085" spans="18:19">
      <c r="R11085" s="178"/>
      <c r="S11085" s="178"/>
    </row>
    <row r="11086" spans="18:19">
      <c r="R11086" s="178"/>
      <c r="S11086" s="178"/>
    </row>
    <row r="11087" spans="18:19">
      <c r="R11087" s="178"/>
      <c r="S11087" s="178"/>
    </row>
    <row r="11088" spans="18:19">
      <c r="R11088" s="178"/>
      <c r="S11088" s="178"/>
    </row>
    <row r="11089" spans="18:19">
      <c r="R11089" s="178"/>
      <c r="S11089" s="178"/>
    </row>
    <row r="11090" spans="18:19">
      <c r="R11090" s="178"/>
      <c r="S11090" s="178"/>
    </row>
    <row r="11091" spans="18:19">
      <c r="R11091" s="178"/>
      <c r="S11091" s="178"/>
    </row>
    <row r="11092" spans="18:19">
      <c r="R11092" s="178"/>
      <c r="S11092" s="178"/>
    </row>
    <row r="11093" spans="18:19">
      <c r="R11093" s="178"/>
      <c r="S11093" s="178"/>
    </row>
    <row r="11094" spans="18:19">
      <c r="R11094" s="178"/>
      <c r="S11094" s="178"/>
    </row>
    <row r="11095" spans="18:19">
      <c r="R11095" s="178"/>
      <c r="S11095" s="178"/>
    </row>
    <row r="11096" spans="18:19">
      <c r="R11096" s="178"/>
      <c r="S11096" s="178"/>
    </row>
    <row r="11097" spans="18:19">
      <c r="R11097" s="178"/>
      <c r="S11097" s="178"/>
    </row>
    <row r="11098" spans="18:19">
      <c r="R11098" s="178"/>
      <c r="S11098" s="178"/>
    </row>
    <row r="11099" spans="18:19">
      <c r="R11099" s="178"/>
      <c r="S11099" s="178"/>
    </row>
    <row r="11100" spans="18:19">
      <c r="R11100" s="178"/>
      <c r="S11100" s="178"/>
    </row>
    <row r="11101" spans="18:19">
      <c r="R11101" s="178"/>
      <c r="S11101" s="178"/>
    </row>
    <row r="11102" spans="18:19">
      <c r="R11102" s="178"/>
      <c r="S11102" s="178"/>
    </row>
    <row r="11103" spans="18:19">
      <c r="R11103" s="178"/>
      <c r="S11103" s="178"/>
    </row>
    <row r="11104" spans="18:19">
      <c r="R11104" s="178"/>
      <c r="S11104" s="178"/>
    </row>
    <row r="11105" spans="18:19">
      <c r="R11105" s="178"/>
      <c r="S11105" s="178"/>
    </row>
    <row r="11106" spans="18:19">
      <c r="R11106" s="178"/>
      <c r="S11106" s="178"/>
    </row>
    <row r="11107" spans="18:19">
      <c r="R11107" s="178"/>
      <c r="S11107" s="178"/>
    </row>
    <row r="11108" spans="18:19">
      <c r="R11108" s="178"/>
      <c r="S11108" s="178"/>
    </row>
    <row r="11109" spans="18:19">
      <c r="R11109" s="178"/>
      <c r="S11109" s="178"/>
    </row>
    <row r="11110" spans="18:19">
      <c r="R11110" s="178"/>
      <c r="S11110" s="178"/>
    </row>
    <row r="11111" spans="18:19">
      <c r="R11111" s="178"/>
      <c r="S11111" s="178"/>
    </row>
    <row r="11112" spans="18:19">
      <c r="R11112" s="178"/>
      <c r="S11112" s="178"/>
    </row>
    <row r="11113" spans="18:19">
      <c r="R11113" s="178"/>
      <c r="S11113" s="178"/>
    </row>
    <row r="11114" spans="18:19">
      <c r="R11114" s="178"/>
      <c r="S11114" s="178"/>
    </row>
    <row r="11115" spans="18:19">
      <c r="R11115" s="178"/>
      <c r="S11115" s="178"/>
    </row>
    <row r="11116" spans="18:19">
      <c r="R11116" s="178"/>
      <c r="S11116" s="178"/>
    </row>
    <row r="11117" spans="18:19">
      <c r="R11117" s="178"/>
      <c r="S11117" s="178"/>
    </row>
    <row r="11118" spans="18:19">
      <c r="R11118" s="178"/>
      <c r="S11118" s="178"/>
    </row>
    <row r="11119" spans="18:19">
      <c r="R11119" s="178"/>
      <c r="S11119" s="178"/>
    </row>
    <row r="11120" spans="18:19">
      <c r="R11120" s="178"/>
      <c r="S11120" s="178"/>
    </row>
    <row r="11121" spans="18:19">
      <c r="R11121" s="178"/>
      <c r="S11121" s="178"/>
    </row>
    <row r="11122" spans="18:19">
      <c r="R11122" s="178"/>
      <c r="S11122" s="178"/>
    </row>
    <row r="11123" spans="18:19">
      <c r="R11123" s="178"/>
      <c r="S11123" s="178"/>
    </row>
    <row r="11124" spans="18:19">
      <c r="R11124" s="178"/>
      <c r="S11124" s="178"/>
    </row>
    <row r="11125" spans="18:19">
      <c r="R11125" s="178"/>
      <c r="S11125" s="178"/>
    </row>
    <row r="11126" spans="18:19">
      <c r="R11126" s="178"/>
      <c r="S11126" s="178"/>
    </row>
    <row r="11127" spans="18:19">
      <c r="R11127" s="178"/>
      <c r="S11127" s="178"/>
    </row>
    <row r="11128" spans="18:19">
      <c r="R11128" s="178"/>
      <c r="S11128" s="178"/>
    </row>
    <row r="11129" spans="18:19">
      <c r="R11129" s="178"/>
      <c r="S11129" s="178"/>
    </row>
    <row r="11130" spans="18:19">
      <c r="R11130" s="178"/>
      <c r="S11130" s="178"/>
    </row>
    <row r="11131" spans="18:19">
      <c r="R11131" s="178"/>
      <c r="S11131" s="178"/>
    </row>
    <row r="11132" spans="18:19">
      <c r="R11132" s="178"/>
      <c r="S11132" s="178"/>
    </row>
    <row r="11133" spans="18:19">
      <c r="R11133" s="178"/>
      <c r="S11133" s="178"/>
    </row>
    <row r="11134" spans="18:19">
      <c r="R11134" s="178"/>
      <c r="S11134" s="178"/>
    </row>
    <row r="11135" spans="18:19">
      <c r="R11135" s="178"/>
      <c r="S11135" s="178"/>
    </row>
    <row r="11136" spans="18:19">
      <c r="R11136" s="178"/>
      <c r="S11136" s="178"/>
    </row>
    <row r="11137" spans="18:19">
      <c r="R11137" s="178"/>
      <c r="S11137" s="178"/>
    </row>
    <row r="11138" spans="18:19">
      <c r="R11138" s="178"/>
      <c r="S11138" s="178"/>
    </row>
    <row r="11139" spans="18:19">
      <c r="R11139" s="178"/>
      <c r="S11139" s="178"/>
    </row>
    <row r="11140" spans="18:19">
      <c r="R11140" s="178"/>
      <c r="S11140" s="178"/>
    </row>
    <row r="11141" spans="18:19">
      <c r="R11141" s="178"/>
      <c r="S11141" s="178"/>
    </row>
    <row r="11142" spans="18:19">
      <c r="R11142" s="178"/>
      <c r="S11142" s="178"/>
    </row>
    <row r="11143" spans="18:19">
      <c r="R11143" s="178"/>
      <c r="S11143" s="178"/>
    </row>
    <row r="11144" spans="18:19">
      <c r="R11144" s="178"/>
      <c r="S11144" s="178"/>
    </row>
    <row r="11145" spans="18:19">
      <c r="R11145" s="178"/>
      <c r="S11145" s="178"/>
    </row>
    <row r="11146" spans="18:19">
      <c r="R11146" s="178"/>
      <c r="S11146" s="178"/>
    </row>
    <row r="11147" spans="18:19">
      <c r="R11147" s="178"/>
      <c r="S11147" s="178"/>
    </row>
    <row r="11148" spans="18:19">
      <c r="R11148" s="178"/>
      <c r="S11148" s="178"/>
    </row>
    <row r="11149" spans="18:19">
      <c r="R11149" s="178"/>
      <c r="S11149" s="178"/>
    </row>
    <row r="11150" spans="18:19">
      <c r="R11150" s="178"/>
      <c r="S11150" s="178"/>
    </row>
    <row r="11151" spans="18:19">
      <c r="R11151" s="178"/>
      <c r="S11151" s="178"/>
    </row>
    <row r="11152" spans="18:19">
      <c r="R11152" s="178"/>
      <c r="S11152" s="178"/>
    </row>
    <row r="11153" spans="18:19">
      <c r="R11153" s="178"/>
      <c r="S11153" s="178"/>
    </row>
    <row r="11154" spans="18:19">
      <c r="R11154" s="178"/>
      <c r="S11154" s="178"/>
    </row>
    <row r="11155" spans="18:19">
      <c r="R11155" s="178"/>
      <c r="S11155" s="178"/>
    </row>
    <row r="11156" spans="18:19">
      <c r="R11156" s="178"/>
      <c r="S11156" s="178"/>
    </row>
    <row r="11157" spans="18:19">
      <c r="R11157" s="178"/>
      <c r="S11157" s="178"/>
    </row>
    <row r="11158" spans="18:19">
      <c r="R11158" s="178"/>
      <c r="S11158" s="178"/>
    </row>
    <row r="11159" spans="18:19">
      <c r="R11159" s="178"/>
      <c r="S11159" s="178"/>
    </row>
    <row r="11160" spans="18:19">
      <c r="R11160" s="178"/>
      <c r="S11160" s="178"/>
    </row>
    <row r="11161" spans="18:19">
      <c r="R11161" s="178"/>
      <c r="S11161" s="178"/>
    </row>
    <row r="11162" spans="18:19">
      <c r="R11162" s="178"/>
      <c r="S11162" s="178"/>
    </row>
    <row r="11163" spans="18:19">
      <c r="R11163" s="178"/>
      <c r="S11163" s="178"/>
    </row>
    <row r="11164" spans="18:19">
      <c r="R11164" s="178"/>
      <c r="S11164" s="178"/>
    </row>
    <row r="11165" spans="18:19">
      <c r="R11165" s="178"/>
      <c r="S11165" s="178"/>
    </row>
    <row r="11166" spans="18:19">
      <c r="R11166" s="178"/>
      <c r="S11166" s="178"/>
    </row>
    <row r="11167" spans="18:19">
      <c r="R11167" s="178"/>
      <c r="S11167" s="178"/>
    </row>
    <row r="11168" spans="18:19">
      <c r="R11168" s="178"/>
      <c r="S11168" s="178"/>
    </row>
    <row r="11169" spans="18:19">
      <c r="R11169" s="178"/>
      <c r="S11169" s="178"/>
    </row>
    <row r="11170" spans="18:19">
      <c r="R11170" s="178"/>
      <c r="S11170" s="178"/>
    </row>
    <row r="11171" spans="18:19">
      <c r="R11171" s="178"/>
      <c r="S11171" s="178"/>
    </row>
    <row r="11172" spans="18:19">
      <c r="R11172" s="178"/>
      <c r="S11172" s="178"/>
    </row>
    <row r="11173" spans="18:19">
      <c r="R11173" s="178"/>
      <c r="S11173" s="178"/>
    </row>
    <row r="11174" spans="18:19">
      <c r="R11174" s="178"/>
      <c r="S11174" s="178"/>
    </row>
    <row r="11175" spans="18:19">
      <c r="R11175" s="178"/>
      <c r="S11175" s="178"/>
    </row>
    <row r="11176" spans="18:19">
      <c r="R11176" s="178"/>
      <c r="S11176" s="178"/>
    </row>
    <row r="11177" spans="18:19">
      <c r="R11177" s="178"/>
      <c r="S11177" s="178"/>
    </row>
    <row r="11178" spans="18:19">
      <c r="R11178" s="178"/>
      <c r="S11178" s="178"/>
    </row>
    <row r="11179" spans="18:19">
      <c r="R11179" s="178"/>
      <c r="S11179" s="178"/>
    </row>
    <row r="11180" spans="18:19">
      <c r="R11180" s="178"/>
      <c r="S11180" s="178"/>
    </row>
    <row r="11181" spans="18:19">
      <c r="R11181" s="178"/>
      <c r="S11181" s="178"/>
    </row>
    <row r="11182" spans="18:19">
      <c r="R11182" s="178"/>
      <c r="S11182" s="178"/>
    </row>
    <row r="11183" spans="18:19">
      <c r="R11183" s="178"/>
      <c r="S11183" s="178"/>
    </row>
    <row r="11184" spans="18:19">
      <c r="R11184" s="178"/>
      <c r="S11184" s="178"/>
    </row>
    <row r="11185" spans="18:19">
      <c r="R11185" s="178"/>
      <c r="S11185" s="178"/>
    </row>
    <row r="11186" spans="18:19">
      <c r="R11186" s="178"/>
      <c r="S11186" s="178"/>
    </row>
    <row r="11187" spans="18:19">
      <c r="R11187" s="178"/>
      <c r="S11187" s="178"/>
    </row>
    <row r="11188" spans="18:19">
      <c r="R11188" s="178"/>
      <c r="S11188" s="178"/>
    </row>
    <row r="11189" spans="18:19">
      <c r="R11189" s="178"/>
      <c r="S11189" s="178"/>
    </row>
    <row r="11190" spans="18:19">
      <c r="R11190" s="178"/>
      <c r="S11190" s="178"/>
    </row>
    <row r="11191" spans="18:19">
      <c r="R11191" s="178"/>
      <c r="S11191" s="178"/>
    </row>
    <row r="11192" spans="18:19">
      <c r="R11192" s="178"/>
      <c r="S11192" s="178"/>
    </row>
    <row r="11193" spans="18:19">
      <c r="R11193" s="178"/>
      <c r="S11193" s="178"/>
    </row>
    <row r="11194" spans="18:19">
      <c r="R11194" s="178"/>
      <c r="S11194" s="178"/>
    </row>
    <row r="11195" spans="18:19">
      <c r="R11195" s="178"/>
      <c r="S11195" s="178"/>
    </row>
    <row r="11196" spans="18:19">
      <c r="R11196" s="178"/>
      <c r="S11196" s="178"/>
    </row>
    <row r="11197" spans="18:19">
      <c r="R11197" s="178"/>
      <c r="S11197" s="178"/>
    </row>
    <row r="11198" spans="18:19">
      <c r="R11198" s="178"/>
      <c r="S11198" s="178"/>
    </row>
    <row r="11199" spans="18:19">
      <c r="R11199" s="178"/>
      <c r="S11199" s="178"/>
    </row>
    <row r="11200" spans="18:19">
      <c r="R11200" s="178"/>
      <c r="S11200" s="178"/>
    </row>
    <row r="11201" spans="18:19">
      <c r="R11201" s="178"/>
      <c r="S11201" s="178"/>
    </row>
    <row r="11202" spans="18:19">
      <c r="R11202" s="178"/>
      <c r="S11202" s="178"/>
    </row>
    <row r="11203" spans="18:19">
      <c r="R11203" s="178"/>
      <c r="S11203" s="178"/>
    </row>
    <row r="11204" spans="18:19">
      <c r="R11204" s="178"/>
      <c r="S11204" s="178"/>
    </row>
    <row r="11205" spans="18:19">
      <c r="R11205" s="178"/>
      <c r="S11205" s="178"/>
    </row>
    <row r="11206" spans="18:19">
      <c r="R11206" s="178"/>
      <c r="S11206" s="178"/>
    </row>
    <row r="11207" spans="18:19">
      <c r="R11207" s="178"/>
      <c r="S11207" s="178"/>
    </row>
    <row r="11208" spans="18:19">
      <c r="R11208" s="178"/>
      <c r="S11208" s="178"/>
    </row>
    <row r="11209" spans="18:19">
      <c r="R11209" s="178"/>
      <c r="S11209" s="178"/>
    </row>
    <row r="11210" spans="18:19">
      <c r="R11210" s="178"/>
      <c r="S11210" s="178"/>
    </row>
    <row r="11211" spans="18:19">
      <c r="R11211" s="178"/>
      <c r="S11211" s="178"/>
    </row>
    <row r="11212" spans="18:19">
      <c r="R11212" s="178"/>
      <c r="S11212" s="178"/>
    </row>
    <row r="11213" spans="18:19">
      <c r="R11213" s="178"/>
      <c r="S11213" s="178"/>
    </row>
    <row r="11214" spans="18:19">
      <c r="R11214" s="178"/>
      <c r="S11214" s="178"/>
    </row>
    <row r="11215" spans="18:19">
      <c r="R11215" s="178"/>
      <c r="S11215" s="178"/>
    </row>
    <row r="11216" spans="18:19">
      <c r="R11216" s="178"/>
      <c r="S11216" s="178"/>
    </row>
    <row r="11217" spans="18:19">
      <c r="R11217" s="178"/>
      <c r="S11217" s="178"/>
    </row>
    <row r="11218" spans="18:19">
      <c r="R11218" s="178"/>
      <c r="S11218" s="178"/>
    </row>
    <row r="11219" spans="18:19">
      <c r="R11219" s="178"/>
      <c r="S11219" s="178"/>
    </row>
    <row r="11220" spans="18:19">
      <c r="R11220" s="178"/>
      <c r="S11220" s="178"/>
    </row>
    <row r="11221" spans="18:19">
      <c r="R11221" s="178"/>
      <c r="S11221" s="178"/>
    </row>
    <row r="11222" spans="18:19">
      <c r="R11222" s="178"/>
      <c r="S11222" s="178"/>
    </row>
    <row r="11223" spans="18:19">
      <c r="R11223" s="178"/>
      <c r="S11223" s="178"/>
    </row>
    <row r="11224" spans="18:19">
      <c r="R11224" s="178"/>
      <c r="S11224" s="178"/>
    </row>
    <row r="11225" spans="18:19">
      <c r="R11225" s="178"/>
      <c r="S11225" s="178"/>
    </row>
    <row r="11226" spans="18:19">
      <c r="R11226" s="178"/>
      <c r="S11226" s="178"/>
    </row>
    <row r="11227" spans="18:19">
      <c r="R11227" s="178"/>
      <c r="S11227" s="178"/>
    </row>
    <row r="11228" spans="18:19">
      <c r="R11228" s="178"/>
      <c r="S11228" s="178"/>
    </row>
    <row r="11229" spans="18:19">
      <c r="R11229" s="178"/>
      <c r="S11229" s="178"/>
    </row>
    <row r="11230" spans="18:19">
      <c r="R11230" s="178"/>
      <c r="S11230" s="178"/>
    </row>
    <row r="11231" spans="18:19">
      <c r="R11231" s="178"/>
      <c r="S11231" s="178"/>
    </row>
    <row r="11232" spans="18:19">
      <c r="R11232" s="178"/>
      <c r="S11232" s="178"/>
    </row>
    <row r="11233" spans="18:19">
      <c r="R11233" s="178"/>
      <c r="S11233" s="178"/>
    </row>
    <row r="11234" spans="18:19">
      <c r="R11234" s="178"/>
      <c r="S11234" s="178"/>
    </row>
    <row r="11235" spans="18:19">
      <c r="R11235" s="178"/>
      <c r="S11235" s="178"/>
    </row>
    <row r="11236" spans="18:19">
      <c r="R11236" s="178"/>
      <c r="S11236" s="178"/>
    </row>
    <row r="11237" spans="18:19">
      <c r="R11237" s="178"/>
      <c r="S11237" s="178"/>
    </row>
    <row r="11238" spans="18:19">
      <c r="R11238" s="178"/>
      <c r="S11238" s="178"/>
    </row>
    <row r="11239" spans="18:19">
      <c r="R11239" s="178"/>
      <c r="S11239" s="178"/>
    </row>
    <row r="11240" spans="18:19">
      <c r="R11240" s="178"/>
      <c r="S11240" s="178"/>
    </row>
    <row r="11241" spans="18:19">
      <c r="R11241" s="178"/>
      <c r="S11241" s="178"/>
    </row>
    <row r="11242" spans="18:19">
      <c r="R11242" s="178"/>
      <c r="S11242" s="178"/>
    </row>
    <row r="11243" spans="18:19">
      <c r="R11243" s="178"/>
      <c r="S11243" s="178"/>
    </row>
    <row r="11244" spans="18:19">
      <c r="R11244" s="178"/>
      <c r="S11244" s="178"/>
    </row>
    <row r="11245" spans="18:19">
      <c r="R11245" s="178"/>
      <c r="S11245" s="178"/>
    </row>
    <row r="11246" spans="18:19">
      <c r="R11246" s="178"/>
      <c r="S11246" s="178"/>
    </row>
    <row r="11247" spans="18:19">
      <c r="R11247" s="178"/>
      <c r="S11247" s="178"/>
    </row>
    <row r="11248" spans="18:19">
      <c r="R11248" s="178"/>
      <c r="S11248" s="178"/>
    </row>
    <row r="11249" spans="18:19">
      <c r="R11249" s="178"/>
      <c r="S11249" s="178"/>
    </row>
    <row r="11250" spans="18:19">
      <c r="R11250" s="178"/>
      <c r="S11250" s="178"/>
    </row>
    <row r="11251" spans="18:19">
      <c r="R11251" s="178"/>
      <c r="S11251" s="178"/>
    </row>
    <row r="11252" spans="18:19">
      <c r="R11252" s="178"/>
      <c r="S11252" s="178"/>
    </row>
    <row r="11253" spans="18:19">
      <c r="R11253" s="178"/>
      <c r="S11253" s="178"/>
    </row>
    <row r="11254" spans="18:19">
      <c r="R11254" s="178"/>
      <c r="S11254" s="178"/>
    </row>
    <row r="11255" spans="18:19">
      <c r="R11255" s="178"/>
      <c r="S11255" s="178"/>
    </row>
    <row r="11256" spans="18:19">
      <c r="R11256" s="178"/>
      <c r="S11256" s="178"/>
    </row>
    <row r="11257" spans="18:19">
      <c r="R11257" s="178"/>
      <c r="S11257" s="178"/>
    </row>
    <row r="11258" spans="18:19">
      <c r="R11258" s="178"/>
      <c r="S11258" s="178"/>
    </row>
    <row r="11259" spans="18:19">
      <c r="R11259" s="178"/>
      <c r="S11259" s="178"/>
    </row>
    <row r="11260" spans="18:19">
      <c r="R11260" s="178"/>
      <c r="S11260" s="178"/>
    </row>
    <row r="11261" spans="18:19">
      <c r="R11261" s="178"/>
      <c r="S11261" s="178"/>
    </row>
    <row r="11262" spans="18:19">
      <c r="R11262" s="178"/>
      <c r="S11262" s="178"/>
    </row>
    <row r="11263" spans="18:19">
      <c r="R11263" s="178"/>
      <c r="S11263" s="178"/>
    </row>
    <row r="11264" spans="18:19">
      <c r="R11264" s="178"/>
      <c r="S11264" s="178"/>
    </row>
    <row r="11265" spans="18:19">
      <c r="R11265" s="178"/>
      <c r="S11265" s="178"/>
    </row>
    <row r="11266" spans="18:19">
      <c r="R11266" s="178"/>
      <c r="S11266" s="178"/>
    </row>
    <row r="11267" spans="18:19">
      <c r="R11267" s="178"/>
      <c r="S11267" s="178"/>
    </row>
    <row r="11268" spans="18:19">
      <c r="R11268" s="178"/>
      <c r="S11268" s="178"/>
    </row>
    <row r="11269" spans="18:19">
      <c r="R11269" s="178"/>
      <c r="S11269" s="178"/>
    </row>
    <row r="11270" spans="18:19">
      <c r="R11270" s="178"/>
      <c r="S11270" s="178"/>
    </row>
    <row r="11271" spans="18:19">
      <c r="R11271" s="178"/>
      <c r="S11271" s="178"/>
    </row>
    <row r="11272" spans="18:19">
      <c r="R11272" s="178"/>
      <c r="S11272" s="178"/>
    </row>
    <row r="11273" spans="18:19">
      <c r="R11273" s="178"/>
      <c r="S11273" s="178"/>
    </row>
    <row r="11274" spans="18:19">
      <c r="R11274" s="178"/>
      <c r="S11274" s="178"/>
    </row>
    <row r="11275" spans="18:19">
      <c r="R11275" s="178"/>
      <c r="S11275" s="178"/>
    </row>
    <row r="11276" spans="18:19">
      <c r="R11276" s="178"/>
      <c r="S11276" s="178"/>
    </row>
    <row r="11277" spans="18:19">
      <c r="R11277" s="178"/>
      <c r="S11277" s="178"/>
    </row>
    <row r="11278" spans="18:19">
      <c r="R11278" s="178"/>
      <c r="S11278" s="178"/>
    </row>
    <row r="11279" spans="18:19">
      <c r="R11279" s="178"/>
      <c r="S11279" s="178"/>
    </row>
    <row r="11280" spans="18:19">
      <c r="R11280" s="178"/>
      <c r="S11280" s="178"/>
    </row>
    <row r="11281" spans="18:19">
      <c r="R11281" s="178"/>
      <c r="S11281" s="178"/>
    </row>
    <row r="11282" spans="18:19">
      <c r="R11282" s="178"/>
      <c r="S11282" s="178"/>
    </row>
    <row r="11283" spans="18:19">
      <c r="R11283" s="178"/>
      <c r="S11283" s="178"/>
    </row>
    <row r="11284" spans="18:19">
      <c r="R11284" s="178"/>
      <c r="S11284" s="178"/>
    </row>
    <row r="11285" spans="18:19">
      <c r="R11285" s="178"/>
      <c r="S11285" s="178"/>
    </row>
    <row r="11286" spans="18:19">
      <c r="R11286" s="178"/>
      <c r="S11286" s="178"/>
    </row>
    <row r="11287" spans="18:19">
      <c r="R11287" s="178"/>
      <c r="S11287" s="178"/>
    </row>
    <row r="11288" spans="18:19">
      <c r="R11288" s="178"/>
      <c r="S11288" s="178"/>
    </row>
    <row r="11289" spans="18:19">
      <c r="R11289" s="178"/>
      <c r="S11289" s="178"/>
    </row>
    <row r="11290" spans="18:19">
      <c r="R11290" s="178"/>
      <c r="S11290" s="178"/>
    </row>
    <row r="11291" spans="18:19">
      <c r="R11291" s="178"/>
      <c r="S11291" s="178"/>
    </row>
    <row r="11292" spans="18:19">
      <c r="R11292" s="178"/>
      <c r="S11292" s="178"/>
    </row>
    <row r="11293" spans="18:19">
      <c r="R11293" s="178"/>
      <c r="S11293" s="178"/>
    </row>
    <row r="11294" spans="18:19">
      <c r="R11294" s="178"/>
      <c r="S11294" s="178"/>
    </row>
    <row r="11295" spans="18:19">
      <c r="R11295" s="178"/>
      <c r="S11295" s="178"/>
    </row>
    <row r="11296" spans="18:19">
      <c r="R11296" s="178"/>
      <c r="S11296" s="178"/>
    </row>
    <row r="11297" spans="18:19">
      <c r="R11297" s="178"/>
      <c r="S11297" s="178"/>
    </row>
    <row r="11298" spans="18:19">
      <c r="R11298" s="178"/>
      <c r="S11298" s="178"/>
    </row>
    <row r="11299" spans="18:19">
      <c r="R11299" s="178"/>
      <c r="S11299" s="178"/>
    </row>
    <row r="11300" spans="18:19">
      <c r="R11300" s="178"/>
      <c r="S11300" s="178"/>
    </row>
    <row r="11301" spans="18:19">
      <c r="R11301" s="178"/>
      <c r="S11301" s="178"/>
    </row>
    <row r="11302" spans="18:19">
      <c r="R11302" s="178"/>
      <c r="S11302" s="178"/>
    </row>
    <row r="11303" spans="18:19">
      <c r="R11303" s="178"/>
      <c r="S11303" s="178"/>
    </row>
    <row r="11304" spans="18:19">
      <c r="R11304" s="178"/>
      <c r="S11304" s="178"/>
    </row>
    <row r="11305" spans="18:19">
      <c r="R11305" s="178"/>
      <c r="S11305" s="178"/>
    </row>
    <row r="11306" spans="18:19">
      <c r="R11306" s="178"/>
      <c r="S11306" s="178"/>
    </row>
    <row r="11307" spans="18:19">
      <c r="R11307" s="178"/>
      <c r="S11307" s="178"/>
    </row>
    <row r="11308" spans="18:19">
      <c r="R11308" s="178"/>
      <c r="S11308" s="178"/>
    </row>
    <row r="11309" spans="18:19">
      <c r="R11309" s="178"/>
      <c r="S11309" s="178"/>
    </row>
    <row r="11310" spans="18:19">
      <c r="R11310" s="178"/>
      <c r="S11310" s="178"/>
    </row>
    <row r="11311" spans="18:19">
      <c r="R11311" s="178"/>
      <c r="S11311" s="178"/>
    </row>
    <row r="11312" spans="18:19">
      <c r="R11312" s="178"/>
      <c r="S11312" s="178"/>
    </row>
    <row r="11313" spans="18:19">
      <c r="R11313" s="178"/>
      <c r="S11313" s="178"/>
    </row>
    <row r="11314" spans="18:19">
      <c r="R11314" s="178"/>
      <c r="S11314" s="178"/>
    </row>
    <row r="11315" spans="18:19">
      <c r="R11315" s="178"/>
      <c r="S11315" s="178"/>
    </row>
    <row r="11316" spans="18:19">
      <c r="R11316" s="178"/>
      <c r="S11316" s="178"/>
    </row>
    <row r="11317" spans="18:19">
      <c r="R11317" s="178"/>
      <c r="S11317" s="178"/>
    </row>
    <row r="11318" spans="18:19">
      <c r="R11318" s="178"/>
      <c r="S11318" s="178"/>
    </row>
    <row r="11319" spans="18:19">
      <c r="R11319" s="178"/>
      <c r="S11319" s="178"/>
    </row>
    <row r="11320" spans="18:19">
      <c r="R11320" s="178"/>
      <c r="S11320" s="178"/>
    </row>
    <row r="11321" spans="18:19">
      <c r="R11321" s="178"/>
      <c r="S11321" s="178"/>
    </row>
    <row r="11322" spans="18:19">
      <c r="R11322" s="178"/>
      <c r="S11322" s="178"/>
    </row>
    <row r="11323" spans="18:19">
      <c r="R11323" s="178"/>
      <c r="S11323" s="178"/>
    </row>
    <row r="11324" spans="18:19">
      <c r="R11324" s="178"/>
      <c r="S11324" s="178"/>
    </row>
    <row r="11325" spans="18:19">
      <c r="R11325" s="178"/>
      <c r="S11325" s="178"/>
    </row>
    <row r="11326" spans="18:19">
      <c r="R11326" s="178"/>
      <c r="S11326" s="178"/>
    </row>
    <row r="11327" spans="18:19">
      <c r="R11327" s="178"/>
      <c r="S11327" s="178"/>
    </row>
    <row r="11328" spans="18:19">
      <c r="R11328" s="178"/>
      <c r="S11328" s="178"/>
    </row>
    <row r="11329" spans="18:19">
      <c r="R11329" s="178"/>
      <c r="S11329" s="178"/>
    </row>
    <row r="11330" spans="18:19">
      <c r="R11330" s="178"/>
      <c r="S11330" s="178"/>
    </row>
    <row r="11331" spans="18:19">
      <c r="R11331" s="178"/>
      <c r="S11331" s="178"/>
    </row>
    <row r="11332" spans="18:19">
      <c r="R11332" s="178"/>
      <c r="S11332" s="178"/>
    </row>
    <row r="11333" spans="18:19">
      <c r="R11333" s="178"/>
      <c r="S11333" s="178"/>
    </row>
    <row r="11334" spans="18:19">
      <c r="R11334" s="178"/>
      <c r="S11334" s="178"/>
    </row>
    <row r="11335" spans="18:19">
      <c r="R11335" s="178"/>
      <c r="S11335" s="178"/>
    </row>
    <row r="11336" spans="18:19">
      <c r="R11336" s="178"/>
      <c r="S11336" s="178"/>
    </row>
    <row r="11337" spans="18:19">
      <c r="R11337" s="178"/>
      <c r="S11337" s="178"/>
    </row>
    <row r="11338" spans="18:19">
      <c r="R11338" s="178"/>
      <c r="S11338" s="178"/>
    </row>
    <row r="11339" spans="18:19">
      <c r="R11339" s="178"/>
      <c r="S11339" s="178"/>
    </row>
    <row r="11340" spans="18:19">
      <c r="R11340" s="178"/>
      <c r="S11340" s="178"/>
    </row>
    <row r="11341" spans="18:19">
      <c r="R11341" s="178"/>
      <c r="S11341" s="178"/>
    </row>
    <row r="11342" spans="18:19">
      <c r="R11342" s="178"/>
      <c r="S11342" s="178"/>
    </row>
    <row r="11343" spans="18:19">
      <c r="R11343" s="178"/>
      <c r="S11343" s="178"/>
    </row>
    <row r="11344" spans="18:19">
      <c r="R11344" s="178"/>
      <c r="S11344" s="178"/>
    </row>
    <row r="11345" spans="18:19">
      <c r="R11345" s="178"/>
      <c r="S11345" s="178"/>
    </row>
    <row r="11346" spans="18:19">
      <c r="R11346" s="178"/>
      <c r="S11346" s="178"/>
    </row>
    <row r="11347" spans="18:19">
      <c r="R11347" s="178"/>
      <c r="S11347" s="178"/>
    </row>
    <row r="11348" spans="18:19">
      <c r="R11348" s="178"/>
      <c r="S11348" s="178"/>
    </row>
    <row r="11349" spans="18:19">
      <c r="R11349" s="178"/>
      <c r="S11349" s="178"/>
    </row>
    <row r="11350" spans="18:19">
      <c r="R11350" s="178"/>
      <c r="S11350" s="178"/>
    </row>
    <row r="11351" spans="18:19">
      <c r="R11351" s="178"/>
      <c r="S11351" s="178"/>
    </row>
    <row r="11352" spans="18:19">
      <c r="R11352" s="178"/>
      <c r="S11352" s="178"/>
    </row>
    <row r="11353" spans="18:19">
      <c r="R11353" s="178"/>
      <c r="S11353" s="178"/>
    </row>
    <row r="11354" spans="18:19">
      <c r="R11354" s="178"/>
      <c r="S11354" s="178"/>
    </row>
    <row r="11355" spans="18:19">
      <c r="R11355" s="178"/>
      <c r="S11355" s="178"/>
    </row>
    <row r="11356" spans="18:19">
      <c r="R11356" s="178"/>
      <c r="S11356" s="178"/>
    </row>
    <row r="11357" spans="18:19">
      <c r="R11357" s="178"/>
      <c r="S11357" s="178"/>
    </row>
    <row r="11358" spans="18:19">
      <c r="R11358" s="178"/>
      <c r="S11358" s="178"/>
    </row>
    <row r="11359" spans="18:19">
      <c r="R11359" s="178"/>
      <c r="S11359" s="178"/>
    </row>
    <row r="11360" spans="18:19">
      <c r="R11360" s="178"/>
      <c r="S11360" s="178"/>
    </row>
    <row r="11361" spans="18:19">
      <c r="R11361" s="178"/>
      <c r="S11361" s="178"/>
    </row>
    <row r="11362" spans="18:19">
      <c r="R11362" s="178"/>
      <c r="S11362" s="178"/>
    </row>
    <row r="11363" spans="18:19">
      <c r="R11363" s="178"/>
      <c r="S11363" s="178"/>
    </row>
    <row r="11364" spans="18:19">
      <c r="R11364" s="178"/>
      <c r="S11364" s="178"/>
    </row>
    <row r="11365" spans="18:19">
      <c r="R11365" s="178"/>
      <c r="S11365" s="178"/>
    </row>
    <row r="11366" spans="18:19">
      <c r="R11366" s="178"/>
      <c r="S11366" s="178"/>
    </row>
    <row r="11367" spans="18:19">
      <c r="R11367" s="178"/>
      <c r="S11367" s="178"/>
    </row>
    <row r="11368" spans="18:19">
      <c r="R11368" s="178"/>
      <c r="S11368" s="178"/>
    </row>
    <row r="11369" spans="18:19">
      <c r="R11369" s="178"/>
      <c r="S11369" s="178"/>
    </row>
    <row r="11370" spans="18:19">
      <c r="R11370" s="178"/>
      <c r="S11370" s="178"/>
    </row>
    <row r="11371" spans="18:19">
      <c r="R11371" s="178"/>
      <c r="S11371" s="178"/>
    </row>
    <row r="11372" spans="18:19">
      <c r="R11372" s="178"/>
      <c r="S11372" s="178"/>
    </row>
    <row r="11373" spans="18:19">
      <c r="R11373" s="178"/>
      <c r="S11373" s="178"/>
    </row>
    <row r="11374" spans="18:19">
      <c r="R11374" s="178"/>
      <c r="S11374" s="178"/>
    </row>
    <row r="11375" spans="18:19">
      <c r="R11375" s="178"/>
      <c r="S11375" s="178"/>
    </row>
    <row r="11376" spans="18:19">
      <c r="R11376" s="178"/>
      <c r="S11376" s="178"/>
    </row>
    <row r="11377" spans="18:19">
      <c r="R11377" s="178"/>
      <c r="S11377" s="178"/>
    </row>
    <row r="11378" spans="18:19">
      <c r="R11378" s="178"/>
      <c r="S11378" s="178"/>
    </row>
    <row r="11379" spans="18:19">
      <c r="R11379" s="178"/>
      <c r="S11379" s="178"/>
    </row>
    <row r="11380" spans="18:19">
      <c r="R11380" s="178"/>
      <c r="S11380" s="178"/>
    </row>
    <row r="11381" spans="18:19">
      <c r="R11381" s="178"/>
      <c r="S11381" s="178"/>
    </row>
    <row r="11382" spans="18:19">
      <c r="R11382" s="178"/>
      <c r="S11382" s="178"/>
    </row>
    <row r="11383" spans="18:19">
      <c r="R11383" s="178"/>
      <c r="S11383" s="178"/>
    </row>
    <row r="11384" spans="18:19">
      <c r="R11384" s="178"/>
      <c r="S11384" s="178"/>
    </row>
    <row r="11385" spans="18:19">
      <c r="R11385" s="178"/>
      <c r="S11385" s="178"/>
    </row>
    <row r="11386" spans="18:19">
      <c r="R11386" s="178"/>
      <c r="S11386" s="178"/>
    </row>
    <row r="11387" spans="18:19">
      <c r="R11387" s="178"/>
      <c r="S11387" s="178"/>
    </row>
    <row r="11388" spans="18:19">
      <c r="R11388" s="178"/>
      <c r="S11388" s="178"/>
    </row>
    <row r="11389" spans="18:19">
      <c r="R11389" s="178"/>
      <c r="S11389" s="178"/>
    </row>
    <row r="11390" spans="18:19">
      <c r="R11390" s="178"/>
      <c r="S11390" s="178"/>
    </row>
    <row r="11391" spans="18:19">
      <c r="R11391" s="178"/>
      <c r="S11391" s="178"/>
    </row>
    <row r="11392" spans="18:19">
      <c r="R11392" s="178"/>
      <c r="S11392" s="178"/>
    </row>
    <row r="11393" spans="18:19">
      <c r="R11393" s="178"/>
      <c r="S11393" s="178"/>
    </row>
    <row r="11394" spans="18:19">
      <c r="R11394" s="178"/>
      <c r="S11394" s="178"/>
    </row>
    <row r="11395" spans="18:19">
      <c r="R11395" s="178"/>
      <c r="S11395" s="178"/>
    </row>
    <row r="11396" spans="18:19">
      <c r="R11396" s="178"/>
      <c r="S11396" s="178"/>
    </row>
    <row r="11397" spans="18:19">
      <c r="R11397" s="178"/>
      <c r="S11397" s="178"/>
    </row>
    <row r="11398" spans="18:19">
      <c r="R11398" s="178"/>
      <c r="S11398" s="178"/>
    </row>
    <row r="11399" spans="18:19">
      <c r="R11399" s="178"/>
      <c r="S11399" s="178"/>
    </row>
    <row r="11400" spans="18:19">
      <c r="R11400" s="178"/>
      <c r="S11400" s="178"/>
    </row>
    <row r="11401" spans="18:19">
      <c r="R11401" s="178"/>
      <c r="S11401" s="178"/>
    </row>
    <row r="11402" spans="18:19">
      <c r="R11402" s="178"/>
      <c r="S11402" s="178"/>
    </row>
    <row r="11403" spans="18:19">
      <c r="R11403" s="178"/>
      <c r="S11403" s="178"/>
    </row>
    <row r="11404" spans="18:19">
      <c r="R11404" s="178"/>
      <c r="S11404" s="178"/>
    </row>
    <row r="11405" spans="18:19">
      <c r="R11405" s="178"/>
      <c r="S11405" s="178"/>
    </row>
    <row r="11406" spans="18:19">
      <c r="R11406" s="178"/>
      <c r="S11406" s="178"/>
    </row>
    <row r="11407" spans="18:19">
      <c r="R11407" s="178"/>
      <c r="S11407" s="178"/>
    </row>
    <row r="11408" spans="18:19">
      <c r="R11408" s="178"/>
      <c r="S11408" s="178"/>
    </row>
    <row r="11409" spans="18:19">
      <c r="R11409" s="178"/>
      <c r="S11409" s="178"/>
    </row>
    <row r="11410" spans="18:19">
      <c r="R11410" s="178"/>
      <c r="S11410" s="178"/>
    </row>
    <row r="11411" spans="18:19">
      <c r="R11411" s="178"/>
      <c r="S11411" s="178"/>
    </row>
    <row r="11412" spans="18:19">
      <c r="R11412" s="178"/>
      <c r="S11412" s="178"/>
    </row>
    <row r="11413" spans="18:19">
      <c r="R11413" s="178"/>
      <c r="S11413" s="178"/>
    </row>
    <row r="11414" spans="18:19">
      <c r="R11414" s="178"/>
      <c r="S11414" s="178"/>
    </row>
    <row r="11415" spans="18:19">
      <c r="R11415" s="178"/>
      <c r="S11415" s="178"/>
    </row>
    <row r="11416" spans="18:19">
      <c r="R11416" s="178"/>
      <c r="S11416" s="178"/>
    </row>
    <row r="11417" spans="18:19">
      <c r="R11417" s="178"/>
      <c r="S11417" s="178"/>
    </row>
    <row r="11418" spans="18:19">
      <c r="R11418" s="178"/>
      <c r="S11418" s="178"/>
    </row>
    <row r="11419" spans="18:19">
      <c r="R11419" s="178"/>
      <c r="S11419" s="178"/>
    </row>
    <row r="11420" spans="18:19">
      <c r="R11420" s="178"/>
      <c r="S11420" s="178"/>
    </row>
    <row r="11421" spans="18:19">
      <c r="R11421" s="178"/>
      <c r="S11421" s="178"/>
    </row>
    <row r="11422" spans="18:19">
      <c r="R11422" s="178"/>
      <c r="S11422" s="178"/>
    </row>
    <row r="11423" spans="18:19">
      <c r="R11423" s="178"/>
      <c r="S11423" s="178"/>
    </row>
    <row r="11424" spans="18:19">
      <c r="R11424" s="178"/>
      <c r="S11424" s="178"/>
    </row>
    <row r="11425" spans="18:19">
      <c r="R11425" s="178"/>
      <c r="S11425" s="178"/>
    </row>
    <row r="11426" spans="18:19">
      <c r="R11426" s="178"/>
      <c r="S11426" s="178"/>
    </row>
    <row r="11427" spans="18:19">
      <c r="R11427" s="178"/>
      <c r="S11427" s="178"/>
    </row>
    <row r="11428" spans="18:19">
      <c r="R11428" s="178"/>
      <c r="S11428" s="178"/>
    </row>
    <row r="11429" spans="18:19">
      <c r="R11429" s="178"/>
      <c r="S11429" s="178"/>
    </row>
    <row r="11430" spans="18:19">
      <c r="R11430" s="178"/>
      <c r="S11430" s="178"/>
    </row>
    <row r="11431" spans="18:19">
      <c r="R11431" s="178"/>
      <c r="S11431" s="178"/>
    </row>
    <row r="11432" spans="18:19">
      <c r="R11432" s="178"/>
      <c r="S11432" s="178"/>
    </row>
    <row r="11433" spans="18:19">
      <c r="R11433" s="178"/>
      <c r="S11433" s="178"/>
    </row>
    <row r="11434" spans="18:19">
      <c r="R11434" s="178"/>
      <c r="S11434" s="178"/>
    </row>
    <row r="11435" spans="18:19">
      <c r="R11435" s="178"/>
      <c r="S11435" s="178"/>
    </row>
    <row r="11436" spans="18:19">
      <c r="R11436" s="178"/>
      <c r="S11436" s="178"/>
    </row>
    <row r="11437" spans="18:19">
      <c r="R11437" s="178"/>
      <c r="S11437" s="178"/>
    </row>
    <row r="11438" spans="18:19">
      <c r="R11438" s="178"/>
      <c r="S11438" s="178"/>
    </row>
    <row r="11439" spans="18:19">
      <c r="R11439" s="178"/>
      <c r="S11439" s="178"/>
    </row>
    <row r="11440" spans="18:19">
      <c r="R11440" s="178"/>
      <c r="S11440" s="178"/>
    </row>
    <row r="11441" spans="18:19">
      <c r="R11441" s="178"/>
      <c r="S11441" s="178"/>
    </row>
    <row r="11442" spans="18:19">
      <c r="R11442" s="178"/>
      <c r="S11442" s="178"/>
    </row>
    <row r="11443" spans="18:19">
      <c r="R11443" s="178"/>
      <c r="S11443" s="178"/>
    </row>
    <row r="11444" spans="18:19">
      <c r="R11444" s="178"/>
      <c r="S11444" s="178"/>
    </row>
    <row r="11445" spans="18:19">
      <c r="R11445" s="178"/>
      <c r="S11445" s="178"/>
    </row>
    <row r="11446" spans="18:19">
      <c r="R11446" s="178"/>
      <c r="S11446" s="178"/>
    </row>
    <row r="11447" spans="18:19">
      <c r="R11447" s="178"/>
      <c r="S11447" s="178"/>
    </row>
    <row r="11448" spans="18:19">
      <c r="R11448" s="178"/>
      <c r="S11448" s="178"/>
    </row>
    <row r="11449" spans="18:19">
      <c r="R11449" s="178"/>
      <c r="S11449" s="178"/>
    </row>
    <row r="11450" spans="18:19">
      <c r="R11450" s="178"/>
      <c r="S11450" s="178"/>
    </row>
    <row r="11451" spans="18:19">
      <c r="R11451" s="178"/>
      <c r="S11451" s="178"/>
    </row>
    <row r="11452" spans="18:19">
      <c r="R11452" s="178"/>
      <c r="S11452" s="178"/>
    </row>
    <row r="11453" spans="18:19">
      <c r="R11453" s="178"/>
      <c r="S11453" s="178"/>
    </row>
    <row r="11454" spans="18:19">
      <c r="R11454" s="178"/>
      <c r="S11454" s="178"/>
    </row>
    <row r="11455" spans="18:19">
      <c r="R11455" s="178"/>
      <c r="S11455" s="178"/>
    </row>
    <row r="11456" spans="18:19">
      <c r="R11456" s="178"/>
      <c r="S11456" s="178"/>
    </row>
    <row r="11457" spans="18:19">
      <c r="R11457" s="178"/>
      <c r="S11457" s="178"/>
    </row>
    <row r="11458" spans="18:19">
      <c r="R11458" s="178"/>
      <c r="S11458" s="178"/>
    </row>
    <row r="11459" spans="18:19">
      <c r="R11459" s="178"/>
      <c r="S11459" s="178"/>
    </row>
    <row r="11460" spans="18:19">
      <c r="R11460" s="178"/>
      <c r="S11460" s="178"/>
    </row>
    <row r="11461" spans="18:19">
      <c r="R11461" s="178"/>
      <c r="S11461" s="178"/>
    </row>
    <row r="11462" spans="18:19">
      <c r="R11462" s="178"/>
      <c r="S11462" s="178"/>
    </row>
    <row r="11463" spans="18:19">
      <c r="R11463" s="178"/>
      <c r="S11463" s="178"/>
    </row>
    <row r="11464" spans="18:19">
      <c r="R11464" s="178"/>
      <c r="S11464" s="178"/>
    </row>
    <row r="11465" spans="18:19">
      <c r="R11465" s="178"/>
      <c r="S11465" s="178"/>
    </row>
    <row r="11466" spans="18:19">
      <c r="R11466" s="178"/>
      <c r="S11466" s="178"/>
    </row>
    <row r="11467" spans="18:19">
      <c r="R11467" s="178"/>
      <c r="S11467" s="178"/>
    </row>
    <row r="11468" spans="18:19">
      <c r="R11468" s="178"/>
      <c r="S11468" s="178"/>
    </row>
    <row r="11469" spans="18:19">
      <c r="R11469" s="178"/>
      <c r="S11469" s="178"/>
    </row>
    <row r="11470" spans="18:19">
      <c r="R11470" s="178"/>
      <c r="S11470" s="178"/>
    </row>
    <row r="11471" spans="18:19">
      <c r="R11471" s="178"/>
      <c r="S11471" s="178"/>
    </row>
    <row r="11472" spans="18:19">
      <c r="R11472" s="178"/>
      <c r="S11472" s="178"/>
    </row>
    <row r="11473" spans="18:19">
      <c r="R11473" s="178"/>
      <c r="S11473" s="178"/>
    </row>
    <row r="11474" spans="18:19">
      <c r="R11474" s="178"/>
      <c r="S11474" s="178"/>
    </row>
    <row r="11475" spans="18:19">
      <c r="R11475" s="178"/>
      <c r="S11475" s="178"/>
    </row>
    <row r="11476" spans="18:19">
      <c r="R11476" s="178"/>
      <c r="S11476" s="178"/>
    </row>
    <row r="11477" spans="18:19">
      <c r="R11477" s="178"/>
      <c r="S11477" s="178"/>
    </row>
    <row r="11478" spans="18:19">
      <c r="R11478" s="178"/>
      <c r="S11478" s="178"/>
    </row>
    <row r="11479" spans="18:19">
      <c r="R11479" s="178"/>
      <c r="S11479" s="178"/>
    </row>
    <row r="11480" spans="18:19">
      <c r="R11480" s="178"/>
      <c r="S11480" s="178"/>
    </row>
    <row r="11481" spans="18:19">
      <c r="R11481" s="178"/>
      <c r="S11481" s="178"/>
    </row>
    <row r="11482" spans="18:19">
      <c r="R11482" s="178"/>
      <c r="S11482" s="178"/>
    </row>
    <row r="11483" spans="18:19">
      <c r="R11483" s="178"/>
      <c r="S11483" s="178"/>
    </row>
    <row r="11484" spans="18:19">
      <c r="R11484" s="178"/>
      <c r="S11484" s="178"/>
    </row>
    <row r="11485" spans="18:19">
      <c r="R11485" s="178"/>
      <c r="S11485" s="178"/>
    </row>
    <row r="11486" spans="18:19">
      <c r="R11486" s="178"/>
      <c r="S11486" s="178"/>
    </row>
    <row r="11487" spans="18:19">
      <c r="R11487" s="178"/>
      <c r="S11487" s="178"/>
    </row>
    <row r="11488" spans="18:19">
      <c r="R11488" s="178"/>
      <c r="S11488" s="178"/>
    </row>
    <row r="11489" spans="18:19">
      <c r="R11489" s="178"/>
      <c r="S11489" s="178"/>
    </row>
    <row r="11490" spans="18:19">
      <c r="R11490" s="178"/>
      <c r="S11490" s="178"/>
    </row>
    <row r="11491" spans="18:19">
      <c r="R11491" s="178"/>
      <c r="S11491" s="178"/>
    </row>
    <row r="11492" spans="18:19">
      <c r="R11492" s="178"/>
      <c r="S11492" s="178"/>
    </row>
    <row r="11493" spans="18:19">
      <c r="R11493" s="178"/>
      <c r="S11493" s="178"/>
    </row>
    <row r="11494" spans="18:19">
      <c r="R11494" s="178"/>
      <c r="S11494" s="178"/>
    </row>
    <row r="11495" spans="18:19">
      <c r="R11495" s="178"/>
      <c r="S11495" s="178"/>
    </row>
    <row r="11496" spans="18:19">
      <c r="R11496" s="178"/>
      <c r="S11496" s="178"/>
    </row>
    <row r="11497" spans="18:19">
      <c r="R11497" s="178"/>
      <c r="S11497" s="178"/>
    </row>
    <row r="11498" spans="18:19">
      <c r="R11498" s="178"/>
      <c r="S11498" s="178"/>
    </row>
    <row r="11499" spans="18:19">
      <c r="R11499" s="178"/>
      <c r="S11499" s="178"/>
    </row>
    <row r="11500" spans="18:19">
      <c r="R11500" s="178"/>
      <c r="S11500" s="178"/>
    </row>
    <row r="11501" spans="18:19">
      <c r="R11501" s="178"/>
      <c r="S11501" s="178"/>
    </row>
    <row r="11502" spans="18:19">
      <c r="R11502" s="178"/>
      <c r="S11502" s="178"/>
    </row>
    <row r="11503" spans="18:19">
      <c r="R11503" s="178"/>
      <c r="S11503" s="178"/>
    </row>
    <row r="11504" spans="18:19">
      <c r="R11504" s="178"/>
      <c r="S11504" s="178"/>
    </row>
    <row r="11505" spans="18:19">
      <c r="R11505" s="178"/>
      <c r="S11505" s="178"/>
    </row>
    <row r="11506" spans="18:19">
      <c r="R11506" s="178"/>
      <c r="S11506" s="178"/>
    </row>
    <row r="11507" spans="18:19">
      <c r="R11507" s="178"/>
      <c r="S11507" s="178"/>
    </row>
    <row r="11508" spans="18:19">
      <c r="R11508" s="178"/>
      <c r="S11508" s="178"/>
    </row>
    <row r="11509" spans="18:19">
      <c r="R11509" s="178"/>
      <c r="S11509" s="178"/>
    </row>
    <row r="11510" spans="18:19">
      <c r="R11510" s="178"/>
      <c r="S11510" s="178"/>
    </row>
    <row r="11511" spans="18:19">
      <c r="R11511" s="178"/>
      <c r="S11511" s="178"/>
    </row>
    <row r="11512" spans="18:19">
      <c r="R11512" s="178"/>
      <c r="S11512" s="178"/>
    </row>
    <row r="11513" spans="18:19">
      <c r="R11513" s="178"/>
      <c r="S11513" s="178"/>
    </row>
    <row r="11514" spans="18:19">
      <c r="R11514" s="178"/>
      <c r="S11514" s="178"/>
    </row>
    <row r="11515" spans="18:19">
      <c r="R11515" s="178"/>
      <c r="S11515" s="178"/>
    </row>
    <row r="11516" spans="18:19">
      <c r="R11516" s="178"/>
      <c r="S11516" s="178"/>
    </row>
    <row r="11517" spans="18:19">
      <c r="R11517" s="178"/>
      <c r="S11517" s="178"/>
    </row>
    <row r="11518" spans="18:19">
      <c r="R11518" s="178"/>
      <c r="S11518" s="178"/>
    </row>
    <row r="11519" spans="18:19">
      <c r="R11519" s="178"/>
      <c r="S11519" s="178"/>
    </row>
    <row r="11520" spans="18:19">
      <c r="R11520" s="178"/>
      <c r="S11520" s="178"/>
    </row>
    <row r="11521" spans="18:19">
      <c r="R11521" s="178"/>
      <c r="S11521" s="178"/>
    </row>
    <row r="11522" spans="18:19">
      <c r="R11522" s="178"/>
      <c r="S11522" s="178"/>
    </row>
    <row r="11523" spans="18:19">
      <c r="R11523" s="178"/>
      <c r="S11523" s="178"/>
    </row>
    <row r="11524" spans="18:19">
      <c r="R11524" s="178"/>
      <c r="S11524" s="178"/>
    </row>
    <row r="11525" spans="18:19">
      <c r="R11525" s="178"/>
      <c r="S11525" s="178"/>
    </row>
    <row r="11526" spans="18:19">
      <c r="R11526" s="178"/>
      <c r="S11526" s="178"/>
    </row>
    <row r="11527" spans="18:19">
      <c r="R11527" s="178"/>
      <c r="S11527" s="178"/>
    </row>
    <row r="11528" spans="18:19">
      <c r="R11528" s="178"/>
      <c r="S11528" s="178"/>
    </row>
    <row r="11529" spans="18:19">
      <c r="R11529" s="178"/>
      <c r="S11529" s="178"/>
    </row>
    <row r="11530" spans="18:19">
      <c r="R11530" s="178"/>
      <c r="S11530" s="178"/>
    </row>
    <row r="11531" spans="18:19">
      <c r="R11531" s="178"/>
      <c r="S11531" s="178"/>
    </row>
    <row r="11532" spans="18:19">
      <c r="R11532" s="178"/>
      <c r="S11532" s="178"/>
    </row>
    <row r="11533" spans="18:19">
      <c r="R11533" s="178"/>
      <c r="S11533" s="178"/>
    </row>
    <row r="11534" spans="18:19">
      <c r="R11534" s="178"/>
      <c r="S11534" s="178"/>
    </row>
    <row r="11535" spans="18:19">
      <c r="R11535" s="178"/>
      <c r="S11535" s="178"/>
    </row>
    <row r="11536" spans="18:19">
      <c r="R11536" s="178"/>
      <c r="S11536" s="178"/>
    </row>
    <row r="11537" spans="18:19">
      <c r="R11537" s="178"/>
      <c r="S11537" s="178"/>
    </row>
    <row r="11538" spans="18:19">
      <c r="R11538" s="178"/>
      <c r="S11538" s="178"/>
    </row>
    <row r="11539" spans="18:19">
      <c r="R11539" s="178"/>
      <c r="S11539" s="178"/>
    </row>
    <row r="11540" spans="18:19">
      <c r="R11540" s="178"/>
      <c r="S11540" s="178"/>
    </row>
    <row r="11541" spans="18:19">
      <c r="R11541" s="178"/>
      <c r="S11541" s="178"/>
    </row>
    <row r="11542" spans="18:19">
      <c r="R11542" s="178"/>
      <c r="S11542" s="178"/>
    </row>
    <row r="11543" spans="18:19">
      <c r="R11543" s="178"/>
      <c r="S11543" s="178"/>
    </row>
    <row r="11544" spans="18:19">
      <c r="R11544" s="178"/>
      <c r="S11544" s="178"/>
    </row>
    <row r="11545" spans="18:19">
      <c r="R11545" s="178"/>
      <c r="S11545" s="178"/>
    </row>
    <row r="11546" spans="18:19">
      <c r="R11546" s="178"/>
      <c r="S11546" s="178"/>
    </row>
    <row r="11547" spans="18:19">
      <c r="R11547" s="178"/>
      <c r="S11547" s="178"/>
    </row>
    <row r="11548" spans="18:19">
      <c r="R11548" s="178"/>
      <c r="S11548" s="178"/>
    </row>
    <row r="11549" spans="18:19">
      <c r="R11549" s="178"/>
      <c r="S11549" s="178"/>
    </row>
    <row r="11550" spans="18:19">
      <c r="R11550" s="178"/>
      <c r="S11550" s="178"/>
    </row>
    <row r="11551" spans="18:19">
      <c r="R11551" s="178"/>
      <c r="S11551" s="178"/>
    </row>
    <row r="11552" spans="18:19">
      <c r="R11552" s="178"/>
      <c r="S11552" s="178"/>
    </row>
    <row r="11553" spans="18:19">
      <c r="R11553" s="178"/>
      <c r="S11553" s="178"/>
    </row>
    <row r="11554" spans="18:19">
      <c r="R11554" s="178"/>
      <c r="S11554" s="178"/>
    </row>
    <row r="11555" spans="18:19">
      <c r="R11555" s="178"/>
      <c r="S11555" s="178"/>
    </row>
    <row r="11556" spans="18:19">
      <c r="R11556" s="178"/>
      <c r="S11556" s="178"/>
    </row>
    <row r="11557" spans="18:19">
      <c r="R11557" s="178"/>
      <c r="S11557" s="178"/>
    </row>
    <row r="11558" spans="18:19">
      <c r="R11558" s="178"/>
      <c r="S11558" s="178"/>
    </row>
    <row r="11559" spans="18:19">
      <c r="R11559" s="178"/>
      <c r="S11559" s="178"/>
    </row>
    <row r="11560" spans="18:19">
      <c r="R11560" s="178"/>
      <c r="S11560" s="178"/>
    </row>
    <row r="11561" spans="18:19">
      <c r="R11561" s="178"/>
      <c r="S11561" s="178"/>
    </row>
    <row r="11562" spans="18:19">
      <c r="R11562" s="178"/>
      <c r="S11562" s="178"/>
    </row>
    <row r="11563" spans="18:19">
      <c r="R11563" s="178"/>
      <c r="S11563" s="178"/>
    </row>
    <row r="11564" spans="18:19">
      <c r="R11564" s="178"/>
      <c r="S11564" s="178"/>
    </row>
    <row r="11565" spans="18:19">
      <c r="R11565" s="178"/>
      <c r="S11565" s="178"/>
    </row>
    <row r="11566" spans="18:19">
      <c r="R11566" s="178"/>
      <c r="S11566" s="178"/>
    </row>
    <row r="11567" spans="18:19">
      <c r="R11567" s="178"/>
      <c r="S11567" s="178"/>
    </row>
    <row r="11568" spans="18:19">
      <c r="R11568" s="178"/>
      <c r="S11568" s="178"/>
    </row>
    <row r="11569" spans="18:19">
      <c r="R11569" s="178"/>
      <c r="S11569" s="178"/>
    </row>
    <row r="11570" spans="18:19">
      <c r="R11570" s="178"/>
      <c r="S11570" s="178"/>
    </row>
    <row r="11571" spans="18:19">
      <c r="R11571" s="178"/>
      <c r="S11571" s="178"/>
    </row>
    <row r="11572" spans="18:19">
      <c r="R11572" s="178"/>
      <c r="S11572" s="178"/>
    </row>
    <row r="11573" spans="18:19">
      <c r="R11573" s="178"/>
      <c r="S11573" s="178"/>
    </row>
    <row r="11574" spans="18:19">
      <c r="R11574" s="178"/>
      <c r="S11574" s="178"/>
    </row>
    <row r="11575" spans="18:19">
      <c r="R11575" s="178"/>
      <c r="S11575" s="178"/>
    </row>
    <row r="11576" spans="18:19">
      <c r="R11576" s="178"/>
      <c r="S11576" s="178"/>
    </row>
    <row r="11577" spans="18:19">
      <c r="R11577" s="178"/>
      <c r="S11577" s="178"/>
    </row>
    <row r="11578" spans="18:19">
      <c r="R11578" s="178"/>
      <c r="S11578" s="178"/>
    </row>
    <row r="11579" spans="18:19">
      <c r="R11579" s="178"/>
      <c r="S11579" s="178"/>
    </row>
    <row r="11580" spans="18:19">
      <c r="R11580" s="178"/>
      <c r="S11580" s="178"/>
    </row>
    <row r="11581" spans="18:19">
      <c r="R11581" s="178"/>
      <c r="S11581" s="178"/>
    </row>
    <row r="11582" spans="18:19">
      <c r="R11582" s="178"/>
      <c r="S11582" s="178"/>
    </row>
    <row r="11583" spans="18:19">
      <c r="R11583" s="178"/>
      <c r="S11583" s="178"/>
    </row>
    <row r="11584" spans="18:19">
      <c r="R11584" s="178"/>
      <c r="S11584" s="178"/>
    </row>
    <row r="11585" spans="18:19">
      <c r="R11585" s="178"/>
      <c r="S11585" s="178"/>
    </row>
    <row r="11586" spans="18:19">
      <c r="R11586" s="178"/>
      <c r="S11586" s="178"/>
    </row>
    <row r="11587" spans="18:19">
      <c r="R11587" s="178"/>
      <c r="S11587" s="178"/>
    </row>
    <row r="11588" spans="18:19">
      <c r="R11588" s="178"/>
      <c r="S11588" s="178"/>
    </row>
    <row r="11589" spans="18:19">
      <c r="R11589" s="178"/>
      <c r="S11589" s="178"/>
    </row>
    <row r="11590" spans="18:19">
      <c r="R11590" s="178"/>
      <c r="S11590" s="178"/>
    </row>
    <row r="11591" spans="18:19">
      <c r="R11591" s="178"/>
      <c r="S11591" s="178"/>
    </row>
    <row r="11592" spans="18:19">
      <c r="R11592" s="178"/>
      <c r="S11592" s="178"/>
    </row>
    <row r="11593" spans="18:19">
      <c r="R11593" s="178"/>
      <c r="S11593" s="178"/>
    </row>
    <row r="11594" spans="18:19">
      <c r="R11594" s="178"/>
      <c r="S11594" s="178"/>
    </row>
    <row r="11595" spans="18:19">
      <c r="R11595" s="178"/>
      <c r="S11595" s="178"/>
    </row>
    <row r="11596" spans="18:19">
      <c r="R11596" s="178"/>
      <c r="S11596" s="178"/>
    </row>
    <row r="11597" spans="18:19">
      <c r="R11597" s="178"/>
      <c r="S11597" s="178"/>
    </row>
    <row r="11598" spans="18:19">
      <c r="R11598" s="178"/>
      <c r="S11598" s="178"/>
    </row>
    <row r="11599" spans="18:19">
      <c r="R11599" s="178"/>
      <c r="S11599" s="178"/>
    </row>
    <row r="11600" spans="18:19">
      <c r="R11600" s="178"/>
      <c r="S11600" s="178"/>
    </row>
    <row r="11601" spans="18:19">
      <c r="R11601" s="178"/>
      <c r="S11601" s="178"/>
    </row>
    <row r="11602" spans="18:19">
      <c r="R11602" s="178"/>
      <c r="S11602" s="178"/>
    </row>
    <row r="11603" spans="18:19">
      <c r="R11603" s="178"/>
      <c r="S11603" s="178"/>
    </row>
    <row r="11604" spans="18:19">
      <c r="R11604" s="178"/>
      <c r="S11604" s="178"/>
    </row>
    <row r="11605" spans="18:19">
      <c r="R11605" s="178"/>
      <c r="S11605" s="178"/>
    </row>
    <row r="11606" spans="18:19">
      <c r="R11606" s="178"/>
      <c r="S11606" s="178"/>
    </row>
    <row r="11607" spans="18:19">
      <c r="R11607" s="178"/>
      <c r="S11607" s="178"/>
    </row>
    <row r="11608" spans="18:19">
      <c r="R11608" s="178"/>
      <c r="S11608" s="178"/>
    </row>
    <row r="11609" spans="18:19">
      <c r="R11609" s="178"/>
      <c r="S11609" s="178"/>
    </row>
    <row r="11610" spans="18:19">
      <c r="R11610" s="178"/>
      <c r="S11610" s="178"/>
    </row>
    <row r="11611" spans="18:19">
      <c r="R11611" s="178"/>
      <c r="S11611" s="178"/>
    </row>
    <row r="11612" spans="18:19">
      <c r="R11612" s="178"/>
      <c r="S11612" s="178"/>
    </row>
    <row r="11613" spans="18:19">
      <c r="R11613" s="178"/>
      <c r="S11613" s="178"/>
    </row>
    <row r="11614" spans="18:19">
      <c r="R11614" s="178"/>
      <c r="S11614" s="178"/>
    </row>
    <row r="11615" spans="18:19">
      <c r="R11615" s="178"/>
      <c r="S11615" s="178"/>
    </row>
    <row r="11616" spans="18:19">
      <c r="R11616" s="178"/>
      <c r="S11616" s="178"/>
    </row>
    <row r="11617" spans="18:19">
      <c r="R11617" s="178"/>
      <c r="S11617" s="178"/>
    </row>
    <row r="11618" spans="18:19">
      <c r="R11618" s="178"/>
      <c r="S11618" s="178"/>
    </row>
    <row r="11619" spans="18:19">
      <c r="R11619" s="178"/>
      <c r="S11619" s="178"/>
    </row>
    <row r="11620" spans="18:19">
      <c r="R11620" s="178"/>
      <c r="S11620" s="178"/>
    </row>
    <row r="11621" spans="18:19">
      <c r="R11621" s="178"/>
      <c r="S11621" s="178"/>
    </row>
    <row r="11622" spans="18:19">
      <c r="R11622" s="178"/>
      <c r="S11622" s="178"/>
    </row>
    <row r="11623" spans="18:19">
      <c r="R11623" s="178"/>
      <c r="S11623" s="178"/>
    </row>
    <row r="11624" spans="18:19">
      <c r="R11624" s="178"/>
      <c r="S11624" s="178"/>
    </row>
    <row r="11625" spans="18:19">
      <c r="R11625" s="178"/>
      <c r="S11625" s="178"/>
    </row>
    <row r="11626" spans="18:19">
      <c r="R11626" s="178"/>
      <c r="S11626" s="178"/>
    </row>
    <row r="11627" spans="18:19">
      <c r="R11627" s="178"/>
      <c r="S11627" s="178"/>
    </row>
    <row r="11628" spans="18:19">
      <c r="R11628" s="178"/>
      <c r="S11628" s="178"/>
    </row>
    <row r="11629" spans="18:19">
      <c r="R11629" s="178"/>
      <c r="S11629" s="178"/>
    </row>
    <row r="11630" spans="18:19">
      <c r="R11630" s="178"/>
      <c r="S11630" s="178"/>
    </row>
    <row r="11631" spans="18:19">
      <c r="R11631" s="178"/>
      <c r="S11631" s="178"/>
    </row>
    <row r="11632" spans="18:19">
      <c r="R11632" s="178"/>
      <c r="S11632" s="178"/>
    </row>
    <row r="11633" spans="18:19">
      <c r="R11633" s="178"/>
      <c r="S11633" s="178"/>
    </row>
    <row r="11634" spans="18:19">
      <c r="R11634" s="178"/>
      <c r="S11634" s="178"/>
    </row>
    <row r="11635" spans="18:19">
      <c r="R11635" s="178"/>
      <c r="S11635" s="178"/>
    </row>
    <row r="11636" spans="18:19">
      <c r="R11636" s="178"/>
      <c r="S11636" s="178"/>
    </row>
    <row r="11637" spans="18:19">
      <c r="R11637" s="178"/>
      <c r="S11637" s="178"/>
    </row>
    <row r="11638" spans="18:19">
      <c r="R11638" s="178"/>
      <c r="S11638" s="178"/>
    </row>
    <row r="11639" spans="18:19">
      <c r="R11639" s="178"/>
      <c r="S11639" s="178"/>
    </row>
    <row r="11640" spans="18:19">
      <c r="R11640" s="178"/>
      <c r="S11640" s="178"/>
    </row>
    <row r="11641" spans="18:19">
      <c r="R11641" s="178"/>
      <c r="S11641" s="178"/>
    </row>
    <row r="11642" spans="18:19">
      <c r="R11642" s="178"/>
      <c r="S11642" s="178"/>
    </row>
    <row r="11643" spans="18:19">
      <c r="R11643" s="178"/>
      <c r="S11643" s="178"/>
    </row>
    <row r="11644" spans="18:19">
      <c r="R11644" s="178"/>
      <c r="S11644" s="178"/>
    </row>
    <row r="11645" spans="18:19">
      <c r="R11645" s="178"/>
      <c r="S11645" s="178"/>
    </row>
    <row r="11646" spans="18:19">
      <c r="R11646" s="178"/>
      <c r="S11646" s="178"/>
    </row>
    <row r="11647" spans="18:19">
      <c r="R11647" s="178"/>
      <c r="S11647" s="178"/>
    </row>
    <row r="11648" spans="18:19">
      <c r="R11648" s="178"/>
      <c r="S11648" s="178"/>
    </row>
    <row r="11649" spans="18:19">
      <c r="R11649" s="178"/>
      <c r="S11649" s="178"/>
    </row>
    <row r="11650" spans="18:19">
      <c r="R11650" s="178"/>
      <c r="S11650" s="178"/>
    </row>
    <row r="11651" spans="18:19">
      <c r="R11651" s="178"/>
      <c r="S11651" s="178"/>
    </row>
    <row r="11652" spans="18:19">
      <c r="R11652" s="178"/>
      <c r="S11652" s="178"/>
    </row>
    <row r="11653" spans="18:19">
      <c r="R11653" s="178"/>
      <c r="S11653" s="178"/>
    </row>
    <row r="11654" spans="18:19">
      <c r="R11654" s="178"/>
      <c r="S11654" s="178"/>
    </row>
    <row r="11655" spans="18:19">
      <c r="R11655" s="178"/>
      <c r="S11655" s="178"/>
    </row>
    <row r="11656" spans="18:19">
      <c r="R11656" s="178"/>
      <c r="S11656" s="178"/>
    </row>
    <row r="11657" spans="18:19">
      <c r="R11657" s="178"/>
      <c r="S11657" s="178"/>
    </row>
    <row r="11658" spans="18:19">
      <c r="R11658" s="178"/>
      <c r="S11658" s="178"/>
    </row>
    <row r="11659" spans="18:19">
      <c r="R11659" s="178"/>
      <c r="S11659" s="178"/>
    </row>
    <row r="11660" spans="18:19">
      <c r="R11660" s="178"/>
      <c r="S11660" s="178"/>
    </row>
    <row r="11661" spans="18:19">
      <c r="R11661" s="178"/>
      <c r="S11661" s="178"/>
    </row>
    <row r="11662" spans="18:19">
      <c r="R11662" s="178"/>
      <c r="S11662" s="178"/>
    </row>
    <row r="11663" spans="18:19">
      <c r="R11663" s="178"/>
      <c r="S11663" s="178"/>
    </row>
    <row r="11664" spans="18:19">
      <c r="R11664" s="178"/>
      <c r="S11664" s="178"/>
    </row>
    <row r="11665" spans="18:19">
      <c r="R11665" s="178"/>
      <c r="S11665" s="178"/>
    </row>
    <row r="11666" spans="18:19">
      <c r="R11666" s="178"/>
      <c r="S11666" s="178"/>
    </row>
    <row r="11667" spans="18:19">
      <c r="R11667" s="178"/>
      <c r="S11667" s="178"/>
    </row>
    <row r="11668" spans="18:19">
      <c r="R11668" s="178"/>
      <c r="S11668" s="178"/>
    </row>
    <row r="11669" spans="18:19">
      <c r="R11669" s="178"/>
      <c r="S11669" s="178"/>
    </row>
    <row r="11670" spans="18:19">
      <c r="R11670" s="178"/>
      <c r="S11670" s="178"/>
    </row>
    <row r="11671" spans="18:19">
      <c r="R11671" s="178"/>
      <c r="S11671" s="178"/>
    </row>
    <row r="11672" spans="18:19">
      <c r="R11672" s="178"/>
      <c r="S11672" s="178"/>
    </row>
    <row r="11673" spans="18:19">
      <c r="R11673" s="178"/>
      <c r="S11673" s="178"/>
    </row>
    <row r="11674" spans="18:19">
      <c r="R11674" s="178"/>
      <c r="S11674" s="178"/>
    </row>
    <row r="11675" spans="18:19">
      <c r="R11675" s="178"/>
      <c r="S11675" s="178"/>
    </row>
    <row r="11676" spans="18:19">
      <c r="R11676" s="178"/>
      <c r="S11676" s="178"/>
    </row>
    <row r="11677" spans="18:19">
      <c r="R11677" s="178"/>
      <c r="S11677" s="178"/>
    </row>
    <row r="11678" spans="18:19">
      <c r="R11678" s="178"/>
      <c r="S11678" s="178"/>
    </row>
    <row r="11679" spans="18:19">
      <c r="R11679" s="178"/>
      <c r="S11679" s="178"/>
    </row>
    <row r="11680" spans="18:19">
      <c r="R11680" s="178"/>
      <c r="S11680" s="178"/>
    </row>
    <row r="11681" spans="18:19">
      <c r="R11681" s="178"/>
      <c r="S11681" s="178"/>
    </row>
    <row r="11682" spans="18:19">
      <c r="R11682" s="178"/>
      <c r="S11682" s="178"/>
    </row>
    <row r="11683" spans="18:19">
      <c r="R11683" s="178"/>
      <c r="S11683" s="178"/>
    </row>
    <row r="11684" spans="18:19">
      <c r="R11684" s="178"/>
      <c r="S11684" s="178"/>
    </row>
    <row r="11685" spans="18:19">
      <c r="R11685" s="178"/>
      <c r="S11685" s="178"/>
    </row>
    <row r="11686" spans="18:19">
      <c r="R11686" s="178"/>
      <c r="S11686" s="178"/>
    </row>
    <row r="11687" spans="18:19">
      <c r="R11687" s="178"/>
      <c r="S11687" s="178"/>
    </row>
    <row r="11688" spans="18:19">
      <c r="R11688" s="178"/>
      <c r="S11688" s="178"/>
    </row>
    <row r="11689" spans="18:19">
      <c r="R11689" s="178"/>
      <c r="S11689" s="178"/>
    </row>
    <row r="11690" spans="18:19">
      <c r="R11690" s="178"/>
      <c r="S11690" s="178"/>
    </row>
    <row r="11691" spans="18:19">
      <c r="R11691" s="178"/>
      <c r="S11691" s="178"/>
    </row>
    <row r="11692" spans="18:19">
      <c r="R11692" s="178"/>
      <c r="S11692" s="178"/>
    </row>
    <row r="11693" spans="18:19">
      <c r="R11693" s="178"/>
      <c r="S11693" s="178"/>
    </row>
    <row r="11694" spans="18:19">
      <c r="R11694" s="178"/>
      <c r="S11694" s="178"/>
    </row>
    <row r="11695" spans="18:19">
      <c r="R11695" s="178"/>
      <c r="S11695" s="178"/>
    </row>
    <row r="11696" spans="18:19">
      <c r="R11696" s="178"/>
      <c r="S11696" s="178"/>
    </row>
    <row r="11697" spans="18:19">
      <c r="R11697" s="178"/>
      <c r="S11697" s="178"/>
    </row>
    <row r="11698" spans="18:19">
      <c r="R11698" s="178"/>
      <c r="S11698" s="178"/>
    </row>
    <row r="11699" spans="18:19">
      <c r="R11699" s="178"/>
      <c r="S11699" s="178"/>
    </row>
    <row r="11700" spans="18:19">
      <c r="R11700" s="178"/>
      <c r="S11700" s="178"/>
    </row>
    <row r="11701" spans="18:19">
      <c r="R11701" s="178"/>
      <c r="S11701" s="178"/>
    </row>
    <row r="11702" spans="18:19">
      <c r="R11702" s="178"/>
      <c r="S11702" s="178"/>
    </row>
    <row r="11703" spans="18:19">
      <c r="R11703" s="178"/>
      <c r="S11703" s="178"/>
    </row>
    <row r="11704" spans="18:19">
      <c r="R11704" s="178"/>
      <c r="S11704" s="178"/>
    </row>
    <row r="11705" spans="18:19">
      <c r="R11705" s="178"/>
      <c r="S11705" s="178"/>
    </row>
    <row r="11706" spans="18:19">
      <c r="R11706" s="178"/>
      <c r="S11706" s="178"/>
    </row>
    <row r="11707" spans="18:19">
      <c r="R11707" s="178"/>
      <c r="S11707" s="178"/>
    </row>
    <row r="11708" spans="18:19">
      <c r="R11708" s="178"/>
      <c r="S11708" s="178"/>
    </row>
    <row r="11709" spans="18:19">
      <c r="R11709" s="178"/>
      <c r="S11709" s="178"/>
    </row>
    <row r="11710" spans="18:19">
      <c r="R11710" s="178"/>
      <c r="S11710" s="178"/>
    </row>
    <row r="11711" spans="18:19">
      <c r="R11711" s="178"/>
      <c r="S11711" s="178"/>
    </row>
    <row r="11712" spans="18:19">
      <c r="R11712" s="178"/>
      <c r="S11712" s="178"/>
    </row>
    <row r="11713" spans="18:19">
      <c r="R11713" s="178"/>
      <c r="S11713" s="178"/>
    </row>
    <row r="11714" spans="18:19">
      <c r="R11714" s="178"/>
      <c r="S11714" s="178"/>
    </row>
    <row r="11715" spans="18:19">
      <c r="R11715" s="178"/>
      <c r="S11715" s="178"/>
    </row>
    <row r="11716" spans="18:19">
      <c r="R11716" s="178"/>
      <c r="S11716" s="178"/>
    </row>
    <row r="11717" spans="18:19">
      <c r="R11717" s="178"/>
      <c r="S11717" s="178"/>
    </row>
    <row r="11718" spans="18:19">
      <c r="R11718" s="178"/>
      <c r="S11718" s="178"/>
    </row>
    <row r="11719" spans="18:19">
      <c r="R11719" s="178"/>
      <c r="S11719" s="178"/>
    </row>
    <row r="11720" spans="18:19">
      <c r="R11720" s="178"/>
      <c r="S11720" s="178"/>
    </row>
    <row r="11721" spans="18:19">
      <c r="R11721" s="178"/>
      <c r="S11721" s="178"/>
    </row>
    <row r="11722" spans="18:19">
      <c r="R11722" s="178"/>
      <c r="S11722" s="178"/>
    </row>
    <row r="11723" spans="18:19">
      <c r="R11723" s="178"/>
      <c r="S11723" s="178"/>
    </row>
    <row r="11724" spans="18:19">
      <c r="R11724" s="178"/>
      <c r="S11724" s="178"/>
    </row>
    <row r="11725" spans="18:19">
      <c r="R11725" s="178"/>
      <c r="S11725" s="178"/>
    </row>
    <row r="11726" spans="18:19">
      <c r="R11726" s="178"/>
      <c r="S11726" s="178"/>
    </row>
    <row r="11727" spans="18:19">
      <c r="R11727" s="178"/>
      <c r="S11727" s="178"/>
    </row>
    <row r="11728" spans="18:19">
      <c r="R11728" s="178"/>
      <c r="S11728" s="178"/>
    </row>
    <row r="11729" spans="18:19">
      <c r="R11729" s="178"/>
      <c r="S11729" s="178"/>
    </row>
    <row r="11730" spans="18:19">
      <c r="R11730" s="178"/>
      <c r="S11730" s="178"/>
    </row>
    <row r="11731" spans="18:19">
      <c r="R11731" s="178"/>
      <c r="S11731" s="178"/>
    </row>
    <row r="11732" spans="18:19">
      <c r="R11732" s="178"/>
      <c r="S11732" s="178"/>
    </row>
    <row r="11733" spans="18:19">
      <c r="R11733" s="178"/>
      <c r="S11733" s="178"/>
    </row>
    <row r="11734" spans="18:19">
      <c r="R11734" s="178"/>
      <c r="S11734" s="178"/>
    </row>
    <row r="11735" spans="18:19">
      <c r="R11735" s="178"/>
      <c r="S11735" s="178"/>
    </row>
    <row r="11736" spans="18:19">
      <c r="R11736" s="178"/>
      <c r="S11736" s="178"/>
    </row>
    <row r="11737" spans="18:19">
      <c r="R11737" s="178"/>
      <c r="S11737" s="178"/>
    </row>
    <row r="11738" spans="18:19">
      <c r="R11738" s="178"/>
      <c r="S11738" s="178"/>
    </row>
    <row r="11739" spans="18:19">
      <c r="R11739" s="178"/>
      <c r="S11739" s="178"/>
    </row>
    <row r="11740" spans="18:19">
      <c r="R11740" s="178"/>
      <c r="S11740" s="178"/>
    </row>
    <row r="11741" spans="18:19">
      <c r="R11741" s="178"/>
      <c r="S11741" s="178"/>
    </row>
    <row r="11742" spans="18:19">
      <c r="R11742" s="178"/>
      <c r="S11742" s="178"/>
    </row>
    <row r="11743" spans="18:19">
      <c r="R11743" s="178"/>
      <c r="S11743" s="178"/>
    </row>
    <row r="11744" spans="18:19">
      <c r="R11744" s="178"/>
      <c r="S11744" s="178"/>
    </row>
    <row r="11745" spans="18:19">
      <c r="R11745" s="178"/>
      <c r="S11745" s="178"/>
    </row>
    <row r="11746" spans="18:19">
      <c r="R11746" s="178"/>
      <c r="S11746" s="178"/>
    </row>
    <row r="11747" spans="18:19">
      <c r="R11747" s="178"/>
      <c r="S11747" s="178"/>
    </row>
    <row r="11748" spans="18:19">
      <c r="R11748" s="178"/>
      <c r="S11748" s="178"/>
    </row>
    <row r="11749" spans="18:19">
      <c r="R11749" s="178"/>
      <c r="S11749" s="178"/>
    </row>
    <row r="11750" spans="18:19">
      <c r="R11750" s="178"/>
      <c r="S11750" s="178"/>
    </row>
    <row r="11751" spans="18:19">
      <c r="R11751" s="178"/>
      <c r="S11751" s="178"/>
    </row>
    <row r="11752" spans="18:19">
      <c r="R11752" s="178"/>
      <c r="S11752" s="178"/>
    </row>
    <row r="11753" spans="18:19">
      <c r="R11753" s="178"/>
      <c r="S11753" s="178"/>
    </row>
    <row r="11754" spans="18:19">
      <c r="R11754" s="178"/>
      <c r="S11754" s="178"/>
    </row>
    <row r="11755" spans="18:19">
      <c r="R11755" s="178"/>
      <c r="S11755" s="178"/>
    </row>
    <row r="11756" spans="18:19">
      <c r="R11756" s="178"/>
      <c r="S11756" s="178"/>
    </row>
    <row r="11757" spans="18:19">
      <c r="R11757" s="178"/>
      <c r="S11757" s="178"/>
    </row>
    <row r="11758" spans="18:19">
      <c r="R11758" s="178"/>
      <c r="S11758" s="178"/>
    </row>
    <row r="11759" spans="18:19">
      <c r="R11759" s="178"/>
      <c r="S11759" s="178"/>
    </row>
    <row r="11760" spans="18:19">
      <c r="R11760" s="178"/>
      <c r="S11760" s="178"/>
    </row>
    <row r="11761" spans="18:19">
      <c r="R11761" s="178"/>
      <c r="S11761" s="178"/>
    </row>
    <row r="11762" spans="18:19">
      <c r="R11762" s="178"/>
      <c r="S11762" s="178"/>
    </row>
    <row r="11763" spans="18:19">
      <c r="R11763" s="178"/>
      <c r="S11763" s="178"/>
    </row>
    <row r="11764" spans="18:19">
      <c r="R11764" s="178"/>
      <c r="S11764" s="178"/>
    </row>
    <row r="11765" spans="18:19">
      <c r="R11765" s="178"/>
      <c r="S11765" s="178"/>
    </row>
    <row r="11766" spans="18:19">
      <c r="R11766" s="178"/>
      <c r="S11766" s="178"/>
    </row>
    <row r="11767" spans="18:19">
      <c r="R11767" s="178"/>
      <c r="S11767" s="178"/>
    </row>
    <row r="11768" spans="18:19">
      <c r="R11768" s="178"/>
      <c r="S11768" s="178"/>
    </row>
    <row r="11769" spans="18:19">
      <c r="R11769" s="178"/>
      <c r="S11769" s="178"/>
    </row>
    <row r="11770" spans="18:19">
      <c r="R11770" s="178"/>
      <c r="S11770" s="178"/>
    </row>
    <row r="11771" spans="18:19">
      <c r="R11771" s="178"/>
      <c r="S11771" s="178"/>
    </row>
    <row r="11772" spans="18:19">
      <c r="R11772" s="178"/>
      <c r="S11772" s="178"/>
    </row>
    <row r="11773" spans="18:19">
      <c r="R11773" s="178"/>
      <c r="S11773" s="178"/>
    </row>
    <row r="11774" spans="18:19">
      <c r="R11774" s="178"/>
      <c r="S11774" s="178"/>
    </row>
    <row r="11775" spans="18:19">
      <c r="R11775" s="178"/>
      <c r="S11775" s="178"/>
    </row>
    <row r="11776" spans="18:19">
      <c r="R11776" s="178"/>
      <c r="S11776" s="178"/>
    </row>
    <row r="11777" spans="18:19">
      <c r="R11777" s="178"/>
      <c r="S11777" s="178"/>
    </row>
    <row r="11778" spans="18:19">
      <c r="R11778" s="178"/>
      <c r="S11778" s="178"/>
    </row>
    <row r="11779" spans="18:19">
      <c r="R11779" s="178"/>
      <c r="S11779" s="178"/>
    </row>
    <row r="11780" spans="18:19">
      <c r="R11780" s="178"/>
      <c r="S11780" s="178"/>
    </row>
    <row r="11781" spans="18:19">
      <c r="R11781" s="178"/>
      <c r="S11781" s="178"/>
    </row>
    <row r="11782" spans="18:19">
      <c r="R11782" s="178"/>
      <c r="S11782" s="178"/>
    </row>
    <row r="11783" spans="18:19">
      <c r="R11783" s="178"/>
      <c r="S11783" s="178"/>
    </row>
    <row r="11784" spans="18:19">
      <c r="R11784" s="178"/>
      <c r="S11784" s="178"/>
    </row>
    <row r="11785" spans="18:19">
      <c r="R11785" s="178"/>
      <c r="S11785" s="178"/>
    </row>
    <row r="11786" spans="18:19">
      <c r="R11786" s="178"/>
      <c r="S11786" s="178"/>
    </row>
    <row r="11787" spans="18:19">
      <c r="R11787" s="178"/>
      <c r="S11787" s="178"/>
    </row>
    <row r="11788" spans="18:19">
      <c r="R11788" s="178"/>
      <c r="S11788" s="178"/>
    </row>
    <row r="11789" spans="18:19">
      <c r="R11789" s="178"/>
      <c r="S11789" s="178"/>
    </row>
    <row r="11790" spans="18:19">
      <c r="R11790" s="178"/>
      <c r="S11790" s="178"/>
    </row>
    <row r="11791" spans="18:19">
      <c r="R11791" s="178"/>
      <c r="S11791" s="178"/>
    </row>
    <row r="11792" spans="18:19">
      <c r="R11792" s="178"/>
      <c r="S11792" s="178"/>
    </row>
    <row r="11793" spans="18:19">
      <c r="R11793" s="178"/>
      <c r="S11793" s="178"/>
    </row>
    <row r="11794" spans="18:19">
      <c r="R11794" s="178"/>
      <c r="S11794" s="178"/>
    </row>
    <row r="11795" spans="18:19">
      <c r="R11795" s="178"/>
      <c r="S11795" s="178"/>
    </row>
    <row r="11796" spans="18:19">
      <c r="R11796" s="178"/>
      <c r="S11796" s="178"/>
    </row>
    <row r="11797" spans="18:19">
      <c r="R11797" s="178"/>
      <c r="S11797" s="178"/>
    </row>
    <row r="11798" spans="18:19">
      <c r="R11798" s="178"/>
      <c r="S11798" s="178"/>
    </row>
    <row r="11799" spans="18:19">
      <c r="R11799" s="178"/>
      <c r="S11799" s="178"/>
    </row>
    <row r="11800" spans="18:19">
      <c r="R11800" s="178"/>
      <c r="S11800" s="178"/>
    </row>
    <row r="11801" spans="18:19">
      <c r="R11801" s="178"/>
      <c r="S11801" s="178"/>
    </row>
    <row r="11802" spans="18:19">
      <c r="R11802" s="178"/>
      <c r="S11802" s="178"/>
    </row>
    <row r="11803" spans="18:19">
      <c r="R11803" s="178"/>
      <c r="S11803" s="178"/>
    </row>
    <row r="11804" spans="18:19">
      <c r="R11804" s="178"/>
      <c r="S11804" s="178"/>
    </row>
    <row r="11805" spans="18:19">
      <c r="R11805" s="178"/>
      <c r="S11805" s="178"/>
    </row>
    <row r="11806" spans="18:19">
      <c r="R11806" s="178"/>
      <c r="S11806" s="178"/>
    </row>
    <row r="11807" spans="18:19">
      <c r="R11807" s="178"/>
      <c r="S11807" s="178"/>
    </row>
    <row r="11808" spans="18:19">
      <c r="R11808" s="178"/>
      <c r="S11808" s="178"/>
    </row>
    <row r="11809" spans="18:19">
      <c r="R11809" s="178"/>
      <c r="S11809" s="178"/>
    </row>
    <row r="11810" spans="18:19">
      <c r="R11810" s="178"/>
      <c r="S11810" s="178"/>
    </row>
    <row r="11811" spans="18:19">
      <c r="R11811" s="178"/>
      <c r="S11811" s="178"/>
    </row>
    <row r="11812" spans="18:19">
      <c r="R11812" s="178"/>
      <c r="S11812" s="178"/>
    </row>
    <row r="11813" spans="18:19">
      <c r="R11813" s="178"/>
      <c r="S11813" s="178"/>
    </row>
    <row r="11814" spans="18:19">
      <c r="R11814" s="178"/>
      <c r="S11814" s="178"/>
    </row>
    <row r="11815" spans="18:19">
      <c r="R11815" s="178"/>
      <c r="S11815" s="178"/>
    </row>
    <row r="11816" spans="18:19">
      <c r="R11816" s="178"/>
      <c r="S11816" s="178"/>
    </row>
    <row r="11817" spans="18:19">
      <c r="R11817" s="178"/>
      <c r="S11817" s="178"/>
    </row>
    <row r="11818" spans="18:19">
      <c r="R11818" s="178"/>
      <c r="S11818" s="178"/>
    </row>
    <row r="11819" spans="18:19">
      <c r="R11819" s="178"/>
      <c r="S11819" s="178"/>
    </row>
    <row r="11820" spans="18:19">
      <c r="R11820" s="178"/>
      <c r="S11820" s="178"/>
    </row>
    <row r="11821" spans="18:19">
      <c r="R11821" s="178"/>
      <c r="S11821" s="178"/>
    </row>
    <row r="11822" spans="18:19">
      <c r="R11822" s="178"/>
      <c r="S11822" s="178"/>
    </row>
    <row r="11823" spans="18:19">
      <c r="R11823" s="178"/>
      <c r="S11823" s="178"/>
    </row>
    <row r="11824" spans="18:19">
      <c r="R11824" s="178"/>
      <c r="S11824" s="178"/>
    </row>
    <row r="11825" spans="18:19">
      <c r="R11825" s="178"/>
      <c r="S11825" s="178"/>
    </row>
    <row r="11826" spans="18:19">
      <c r="R11826" s="178"/>
      <c r="S11826" s="178"/>
    </row>
    <row r="11827" spans="18:19">
      <c r="R11827" s="178"/>
      <c r="S11827" s="178"/>
    </row>
    <row r="11828" spans="18:19">
      <c r="R11828" s="178"/>
      <c r="S11828" s="178"/>
    </row>
    <row r="11829" spans="18:19">
      <c r="R11829" s="178"/>
      <c r="S11829" s="178"/>
    </row>
    <row r="11830" spans="18:19">
      <c r="R11830" s="178"/>
      <c r="S11830" s="178"/>
    </row>
    <row r="11831" spans="18:19">
      <c r="R11831" s="178"/>
      <c r="S11831" s="178"/>
    </row>
    <row r="11832" spans="18:19">
      <c r="R11832" s="178"/>
      <c r="S11832" s="178"/>
    </row>
    <row r="11833" spans="18:19">
      <c r="R11833" s="178"/>
      <c r="S11833" s="178"/>
    </row>
    <row r="11834" spans="18:19">
      <c r="R11834" s="178"/>
      <c r="S11834" s="178"/>
    </row>
    <row r="11835" spans="18:19">
      <c r="R11835" s="178"/>
      <c r="S11835" s="178"/>
    </row>
    <row r="11836" spans="18:19">
      <c r="R11836" s="178"/>
      <c r="S11836" s="178"/>
    </row>
    <row r="11837" spans="18:19">
      <c r="R11837" s="178"/>
      <c r="S11837" s="178"/>
    </row>
    <row r="11838" spans="18:19">
      <c r="R11838" s="178"/>
      <c r="S11838" s="178"/>
    </row>
    <row r="11839" spans="18:19">
      <c r="R11839" s="178"/>
      <c r="S11839" s="178"/>
    </row>
    <row r="11840" spans="18:19">
      <c r="R11840" s="178"/>
      <c r="S11840" s="178"/>
    </row>
    <row r="11841" spans="18:19">
      <c r="R11841" s="178"/>
      <c r="S11841" s="178"/>
    </row>
    <row r="11842" spans="18:19">
      <c r="R11842" s="178"/>
      <c r="S11842" s="178"/>
    </row>
    <row r="11843" spans="18:19">
      <c r="R11843" s="178"/>
      <c r="S11843" s="178"/>
    </row>
    <row r="11844" spans="18:19">
      <c r="R11844" s="178"/>
      <c r="S11844" s="178"/>
    </row>
    <row r="11845" spans="18:19">
      <c r="R11845" s="178"/>
      <c r="S11845" s="178"/>
    </row>
    <row r="11846" spans="18:19">
      <c r="R11846" s="178"/>
      <c r="S11846" s="178"/>
    </row>
    <row r="11847" spans="18:19">
      <c r="R11847" s="178"/>
      <c r="S11847" s="178"/>
    </row>
    <row r="11848" spans="18:19">
      <c r="R11848" s="178"/>
      <c r="S11848" s="178"/>
    </row>
    <row r="11849" spans="18:19">
      <c r="R11849" s="178"/>
      <c r="S11849" s="178"/>
    </row>
    <row r="11850" spans="18:19">
      <c r="R11850" s="178"/>
      <c r="S11850" s="178"/>
    </row>
    <row r="11851" spans="18:19">
      <c r="R11851" s="178"/>
      <c r="S11851" s="178"/>
    </row>
    <row r="11852" spans="18:19">
      <c r="R11852" s="178"/>
      <c r="S11852" s="178"/>
    </row>
    <row r="11853" spans="18:19">
      <c r="R11853" s="178"/>
      <c r="S11853" s="178"/>
    </row>
    <row r="11854" spans="18:19">
      <c r="R11854" s="178"/>
      <c r="S11854" s="178"/>
    </row>
    <row r="11855" spans="18:19">
      <c r="R11855" s="178"/>
      <c r="S11855" s="178"/>
    </row>
    <row r="11856" spans="18:19">
      <c r="R11856" s="178"/>
      <c r="S11856" s="178"/>
    </row>
    <row r="11857" spans="18:19">
      <c r="R11857" s="178"/>
      <c r="S11857" s="178"/>
    </row>
    <row r="11858" spans="18:19">
      <c r="R11858" s="178"/>
      <c r="S11858" s="178"/>
    </row>
    <row r="11859" spans="18:19">
      <c r="R11859" s="178"/>
      <c r="S11859" s="178"/>
    </row>
    <row r="11860" spans="18:19">
      <c r="R11860" s="178"/>
      <c r="S11860" s="178"/>
    </row>
    <row r="11861" spans="18:19">
      <c r="R11861" s="178"/>
      <c r="S11861" s="178"/>
    </row>
    <row r="11862" spans="18:19">
      <c r="R11862" s="178"/>
      <c r="S11862" s="178"/>
    </row>
    <row r="11863" spans="18:19">
      <c r="R11863" s="178"/>
      <c r="S11863" s="178"/>
    </row>
    <row r="11864" spans="18:19">
      <c r="R11864" s="178"/>
      <c r="S11864" s="178"/>
    </row>
    <row r="11865" spans="18:19">
      <c r="R11865" s="178"/>
      <c r="S11865" s="178"/>
    </row>
    <row r="11866" spans="18:19">
      <c r="R11866" s="178"/>
      <c r="S11866" s="178"/>
    </row>
    <row r="11867" spans="18:19">
      <c r="R11867" s="178"/>
      <c r="S11867" s="178"/>
    </row>
    <row r="11868" spans="18:19">
      <c r="R11868" s="178"/>
      <c r="S11868" s="178"/>
    </row>
    <row r="11869" spans="18:19">
      <c r="R11869" s="178"/>
      <c r="S11869" s="178"/>
    </row>
    <row r="11870" spans="18:19">
      <c r="R11870" s="178"/>
      <c r="S11870" s="178"/>
    </row>
    <row r="11871" spans="18:19">
      <c r="R11871" s="178"/>
      <c r="S11871" s="178"/>
    </row>
    <row r="11872" spans="18:19">
      <c r="R11872" s="178"/>
      <c r="S11872" s="178"/>
    </row>
    <row r="11873" spans="18:19">
      <c r="R11873" s="178"/>
      <c r="S11873" s="178"/>
    </row>
    <row r="11874" spans="18:19">
      <c r="R11874" s="178"/>
      <c r="S11874" s="178"/>
    </row>
    <row r="11875" spans="18:19">
      <c r="R11875" s="178"/>
      <c r="S11875" s="178"/>
    </row>
    <row r="11876" spans="18:19">
      <c r="R11876" s="178"/>
      <c r="S11876" s="178"/>
    </row>
    <row r="11877" spans="18:19">
      <c r="R11877" s="178"/>
      <c r="S11877" s="178"/>
    </row>
    <row r="11878" spans="18:19">
      <c r="R11878" s="178"/>
      <c r="S11878" s="178"/>
    </row>
    <row r="11879" spans="18:19">
      <c r="R11879" s="178"/>
      <c r="S11879" s="178"/>
    </row>
    <row r="11880" spans="18:19">
      <c r="R11880" s="178"/>
      <c r="S11880" s="178"/>
    </row>
    <row r="11881" spans="18:19">
      <c r="R11881" s="178"/>
      <c r="S11881" s="178"/>
    </row>
    <row r="11882" spans="18:19">
      <c r="R11882" s="178"/>
      <c r="S11882" s="178"/>
    </row>
    <row r="11883" spans="18:19">
      <c r="R11883" s="178"/>
      <c r="S11883" s="178"/>
    </row>
    <row r="11884" spans="18:19">
      <c r="R11884" s="178"/>
      <c r="S11884" s="178"/>
    </row>
    <row r="11885" spans="18:19">
      <c r="R11885" s="178"/>
      <c r="S11885" s="178"/>
    </row>
    <row r="11886" spans="18:19">
      <c r="R11886" s="178"/>
      <c r="S11886" s="178"/>
    </row>
    <row r="11887" spans="18:19">
      <c r="R11887" s="178"/>
      <c r="S11887" s="178"/>
    </row>
    <row r="11888" spans="18:19">
      <c r="R11888" s="178"/>
      <c r="S11888" s="178"/>
    </row>
    <row r="11889" spans="18:19">
      <c r="R11889" s="178"/>
      <c r="S11889" s="178"/>
    </row>
    <row r="11890" spans="18:19">
      <c r="R11890" s="178"/>
      <c r="S11890" s="178"/>
    </row>
    <row r="11891" spans="18:19">
      <c r="R11891" s="178"/>
      <c r="S11891" s="178"/>
    </row>
    <row r="11892" spans="18:19">
      <c r="R11892" s="178"/>
      <c r="S11892" s="178"/>
    </row>
    <row r="11893" spans="18:19">
      <c r="R11893" s="178"/>
      <c r="S11893" s="178"/>
    </row>
    <row r="11894" spans="18:19">
      <c r="R11894" s="178"/>
      <c r="S11894" s="178"/>
    </row>
    <row r="11895" spans="18:19">
      <c r="R11895" s="178"/>
      <c r="S11895" s="178"/>
    </row>
    <row r="11896" spans="18:19">
      <c r="R11896" s="178"/>
      <c r="S11896" s="178"/>
    </row>
    <row r="11897" spans="18:19">
      <c r="R11897" s="178"/>
      <c r="S11897" s="178"/>
    </row>
    <row r="11898" spans="18:19">
      <c r="R11898" s="178"/>
      <c r="S11898" s="178"/>
    </row>
    <row r="11899" spans="18:19">
      <c r="R11899" s="178"/>
      <c r="S11899" s="178"/>
    </row>
    <row r="11900" spans="18:19">
      <c r="R11900" s="178"/>
      <c r="S11900" s="178"/>
    </row>
    <row r="11901" spans="18:19">
      <c r="R11901" s="178"/>
      <c r="S11901" s="178"/>
    </row>
    <row r="11902" spans="18:19">
      <c r="R11902" s="178"/>
      <c r="S11902" s="178"/>
    </row>
    <row r="11903" spans="18:19">
      <c r="R11903" s="178"/>
      <c r="S11903" s="178"/>
    </row>
    <row r="11904" spans="18:19">
      <c r="R11904" s="178"/>
      <c r="S11904" s="178"/>
    </row>
    <row r="11905" spans="18:19">
      <c r="R11905" s="178"/>
      <c r="S11905" s="178"/>
    </row>
    <row r="11906" spans="18:19">
      <c r="R11906" s="178"/>
      <c r="S11906" s="178"/>
    </row>
    <row r="11907" spans="18:19">
      <c r="R11907" s="178"/>
      <c r="S11907" s="178"/>
    </row>
    <row r="11908" spans="18:19">
      <c r="R11908" s="178"/>
      <c r="S11908" s="178"/>
    </row>
    <row r="11909" spans="18:19">
      <c r="R11909" s="178"/>
      <c r="S11909" s="178"/>
    </row>
    <row r="11910" spans="18:19">
      <c r="R11910" s="178"/>
      <c r="S11910" s="178"/>
    </row>
    <row r="11911" spans="18:19">
      <c r="R11911" s="178"/>
      <c r="S11911" s="178"/>
    </row>
    <row r="11912" spans="18:19">
      <c r="R11912" s="178"/>
      <c r="S11912" s="178"/>
    </row>
    <row r="11913" spans="18:19">
      <c r="R11913" s="178"/>
      <c r="S11913" s="178"/>
    </row>
    <row r="11914" spans="18:19">
      <c r="R11914" s="178"/>
      <c r="S11914" s="178"/>
    </row>
    <row r="11915" spans="18:19">
      <c r="R11915" s="178"/>
      <c r="S11915" s="178"/>
    </row>
    <row r="11916" spans="18:19">
      <c r="R11916" s="178"/>
      <c r="S11916" s="178"/>
    </row>
    <row r="11917" spans="18:19">
      <c r="R11917" s="178"/>
      <c r="S11917" s="178"/>
    </row>
    <row r="11918" spans="18:19">
      <c r="R11918" s="178"/>
      <c r="S11918" s="178"/>
    </row>
    <row r="11919" spans="18:19">
      <c r="R11919" s="178"/>
      <c r="S11919" s="178"/>
    </row>
    <row r="11920" spans="18:19">
      <c r="R11920" s="178"/>
      <c r="S11920" s="178"/>
    </row>
    <row r="11921" spans="18:19">
      <c r="R11921" s="178"/>
      <c r="S11921" s="178"/>
    </row>
    <row r="11922" spans="18:19">
      <c r="R11922" s="178"/>
      <c r="S11922" s="178"/>
    </row>
    <row r="11923" spans="18:19">
      <c r="R11923" s="178"/>
      <c r="S11923" s="178"/>
    </row>
    <row r="11924" spans="18:19">
      <c r="R11924" s="178"/>
      <c r="S11924" s="178"/>
    </row>
    <row r="11925" spans="18:19">
      <c r="R11925" s="178"/>
      <c r="S11925" s="178"/>
    </row>
    <row r="11926" spans="18:19">
      <c r="R11926" s="178"/>
      <c r="S11926" s="178"/>
    </row>
    <row r="11927" spans="18:19">
      <c r="R11927" s="178"/>
      <c r="S11927" s="178"/>
    </row>
    <row r="11928" spans="18:19">
      <c r="R11928" s="178"/>
      <c r="S11928" s="178"/>
    </row>
    <row r="11929" spans="18:19">
      <c r="R11929" s="178"/>
      <c r="S11929" s="178"/>
    </row>
    <row r="11930" spans="18:19">
      <c r="R11930" s="178"/>
      <c r="S11930" s="178"/>
    </row>
    <row r="11931" spans="18:19">
      <c r="R11931" s="178"/>
      <c r="S11931" s="178"/>
    </row>
    <row r="11932" spans="18:19">
      <c r="R11932" s="178"/>
      <c r="S11932" s="178"/>
    </row>
    <row r="11933" spans="18:19">
      <c r="R11933" s="178"/>
      <c r="S11933" s="178"/>
    </row>
    <row r="11934" spans="18:19">
      <c r="R11934" s="178"/>
      <c r="S11934" s="178"/>
    </row>
    <row r="11935" spans="18:19">
      <c r="R11935" s="178"/>
      <c r="S11935" s="178"/>
    </row>
    <row r="11936" spans="18:19">
      <c r="R11936" s="178"/>
      <c r="S11936" s="178"/>
    </row>
    <row r="11937" spans="18:19">
      <c r="R11937" s="178"/>
      <c r="S11937" s="178"/>
    </row>
    <row r="11938" spans="18:19">
      <c r="R11938" s="178"/>
      <c r="S11938" s="178"/>
    </row>
    <row r="11939" spans="18:19">
      <c r="R11939" s="178"/>
      <c r="S11939" s="178"/>
    </row>
    <row r="11940" spans="18:19">
      <c r="R11940" s="178"/>
      <c r="S11940" s="178"/>
    </row>
    <row r="11941" spans="18:19">
      <c r="R11941" s="178"/>
      <c r="S11941" s="178"/>
    </row>
    <row r="11942" spans="18:19">
      <c r="R11942" s="178"/>
      <c r="S11942" s="178"/>
    </row>
    <row r="11943" spans="18:19">
      <c r="R11943" s="178"/>
      <c r="S11943" s="178"/>
    </row>
    <row r="11944" spans="18:19">
      <c r="R11944" s="178"/>
      <c r="S11944" s="178"/>
    </row>
    <row r="11945" spans="18:19">
      <c r="R11945" s="178"/>
      <c r="S11945" s="178"/>
    </row>
    <row r="11946" spans="18:19">
      <c r="R11946" s="178"/>
      <c r="S11946" s="178"/>
    </row>
    <row r="11947" spans="18:19">
      <c r="R11947" s="178"/>
      <c r="S11947" s="178"/>
    </row>
    <row r="11948" spans="18:19">
      <c r="R11948" s="178"/>
      <c r="S11948" s="178"/>
    </row>
    <row r="11949" spans="18:19">
      <c r="R11949" s="178"/>
      <c r="S11949" s="178"/>
    </row>
    <row r="11950" spans="18:19">
      <c r="R11950" s="178"/>
      <c r="S11950" s="178"/>
    </row>
    <row r="11951" spans="18:19">
      <c r="R11951" s="178"/>
      <c r="S11951" s="178"/>
    </row>
    <row r="11952" spans="18:19">
      <c r="R11952" s="178"/>
      <c r="S11952" s="178"/>
    </row>
    <row r="11953" spans="18:19">
      <c r="R11953" s="178"/>
      <c r="S11953" s="178"/>
    </row>
    <row r="11954" spans="18:19">
      <c r="R11954" s="178"/>
      <c r="S11954" s="178"/>
    </row>
    <row r="11955" spans="18:19">
      <c r="R11955" s="178"/>
      <c r="S11955" s="178"/>
    </row>
    <row r="11956" spans="18:19">
      <c r="R11956" s="178"/>
      <c r="S11956" s="178"/>
    </row>
    <row r="11957" spans="18:19">
      <c r="R11957" s="178"/>
      <c r="S11957" s="178"/>
    </row>
    <row r="11958" spans="18:19">
      <c r="R11958" s="178"/>
      <c r="S11958" s="178"/>
    </row>
    <row r="11959" spans="18:19">
      <c r="R11959" s="178"/>
      <c r="S11959" s="178"/>
    </row>
    <row r="11960" spans="18:19">
      <c r="R11960" s="178"/>
      <c r="S11960" s="178"/>
    </row>
    <row r="11961" spans="18:19">
      <c r="R11961" s="178"/>
      <c r="S11961" s="178"/>
    </row>
    <row r="11962" spans="18:19">
      <c r="R11962" s="178"/>
      <c r="S11962" s="178"/>
    </row>
    <row r="11963" spans="18:19">
      <c r="R11963" s="178"/>
      <c r="S11963" s="178"/>
    </row>
    <row r="11964" spans="18:19">
      <c r="R11964" s="178"/>
      <c r="S11964" s="178"/>
    </row>
    <row r="11965" spans="18:19">
      <c r="R11965" s="178"/>
      <c r="S11965" s="178"/>
    </row>
    <row r="11966" spans="18:19">
      <c r="R11966" s="178"/>
      <c r="S11966" s="178"/>
    </row>
    <row r="11967" spans="18:19">
      <c r="R11967" s="178"/>
      <c r="S11967" s="178"/>
    </row>
    <row r="11968" spans="18:19">
      <c r="R11968" s="178"/>
      <c r="S11968" s="178"/>
    </row>
    <row r="11969" spans="18:19">
      <c r="R11969" s="178"/>
      <c r="S11969" s="178"/>
    </row>
    <row r="11970" spans="18:19">
      <c r="R11970" s="178"/>
      <c r="S11970" s="178"/>
    </row>
    <row r="11971" spans="18:19">
      <c r="R11971" s="178"/>
      <c r="S11971" s="178"/>
    </row>
    <row r="11972" spans="18:19">
      <c r="R11972" s="178"/>
      <c r="S11972" s="178"/>
    </row>
    <row r="11973" spans="18:19">
      <c r="R11973" s="178"/>
      <c r="S11973" s="178"/>
    </row>
    <row r="11974" spans="18:19">
      <c r="R11974" s="178"/>
      <c r="S11974" s="178"/>
    </row>
    <row r="11975" spans="18:19">
      <c r="R11975" s="178"/>
      <c r="S11975" s="178"/>
    </row>
    <row r="11976" spans="18:19">
      <c r="R11976" s="178"/>
      <c r="S11976" s="178"/>
    </row>
    <row r="11977" spans="18:19">
      <c r="R11977" s="178"/>
      <c r="S11977" s="178"/>
    </row>
    <row r="11978" spans="18:19">
      <c r="R11978" s="178"/>
      <c r="S11978" s="178"/>
    </row>
    <row r="11979" spans="18:19">
      <c r="R11979" s="178"/>
      <c r="S11979" s="178"/>
    </row>
    <row r="11980" spans="18:19">
      <c r="R11980" s="178"/>
      <c r="S11980" s="178"/>
    </row>
    <row r="11981" spans="18:19">
      <c r="R11981" s="178"/>
      <c r="S11981" s="178"/>
    </row>
    <row r="11982" spans="18:19">
      <c r="R11982" s="178"/>
      <c r="S11982" s="178"/>
    </row>
    <row r="11983" spans="18:19">
      <c r="R11983" s="178"/>
      <c r="S11983" s="178"/>
    </row>
    <row r="11984" spans="18:19">
      <c r="R11984" s="178"/>
      <c r="S11984" s="178"/>
    </row>
    <row r="11985" spans="18:19">
      <c r="R11985" s="178"/>
      <c r="S11985" s="178"/>
    </row>
    <row r="11986" spans="18:19">
      <c r="R11986" s="178"/>
      <c r="S11986" s="178"/>
    </row>
    <row r="11987" spans="18:19">
      <c r="R11987" s="178"/>
      <c r="S11987" s="178"/>
    </row>
    <row r="11988" spans="18:19">
      <c r="R11988" s="178"/>
      <c r="S11988" s="178"/>
    </row>
    <row r="11989" spans="18:19">
      <c r="R11989" s="178"/>
      <c r="S11989" s="178"/>
    </row>
    <row r="11990" spans="18:19">
      <c r="R11990" s="178"/>
      <c r="S11990" s="178"/>
    </row>
    <row r="11991" spans="18:19">
      <c r="R11991" s="178"/>
      <c r="S11991" s="178"/>
    </row>
    <row r="11992" spans="18:19">
      <c r="R11992" s="178"/>
      <c r="S11992" s="178"/>
    </row>
    <row r="11993" spans="18:19">
      <c r="R11993" s="178"/>
      <c r="S11993" s="178"/>
    </row>
    <row r="11994" spans="18:19">
      <c r="R11994" s="178"/>
      <c r="S11994" s="178"/>
    </row>
    <row r="11995" spans="18:19">
      <c r="R11995" s="178"/>
      <c r="S11995" s="178"/>
    </row>
    <row r="11996" spans="18:19">
      <c r="R11996" s="178"/>
      <c r="S11996" s="178"/>
    </row>
    <row r="11997" spans="18:19">
      <c r="R11997" s="178"/>
      <c r="S11997" s="178"/>
    </row>
    <row r="11998" spans="18:19">
      <c r="R11998" s="178"/>
      <c r="S11998" s="178"/>
    </row>
    <row r="11999" spans="18:19">
      <c r="R11999" s="178"/>
      <c r="S11999" s="178"/>
    </row>
    <row r="12000" spans="18:19">
      <c r="R12000" s="178"/>
      <c r="S12000" s="178"/>
    </row>
    <row r="12001" spans="18:19">
      <c r="R12001" s="178"/>
      <c r="S12001" s="178"/>
    </row>
    <row r="12002" spans="18:19">
      <c r="R12002" s="178"/>
      <c r="S12002" s="178"/>
    </row>
    <row r="12003" spans="18:19">
      <c r="R12003" s="178"/>
      <c r="S12003" s="178"/>
    </row>
    <row r="12004" spans="18:19">
      <c r="R12004" s="178"/>
      <c r="S12004" s="178"/>
    </row>
    <row r="12005" spans="18:19">
      <c r="R12005" s="178"/>
      <c r="S12005" s="178"/>
    </row>
    <row r="12006" spans="18:19">
      <c r="R12006" s="178"/>
      <c r="S12006" s="178"/>
    </row>
    <row r="12007" spans="18:19">
      <c r="R12007" s="178"/>
      <c r="S12007" s="178"/>
    </row>
    <row r="12008" spans="18:19">
      <c r="R12008" s="178"/>
      <c r="S12008" s="178"/>
    </row>
    <row r="12009" spans="18:19">
      <c r="R12009" s="178"/>
      <c r="S12009" s="178"/>
    </row>
    <row r="12010" spans="18:19">
      <c r="R12010" s="178"/>
      <c r="S12010" s="178"/>
    </row>
    <row r="12011" spans="18:19">
      <c r="R12011" s="178"/>
      <c r="S12011" s="178"/>
    </row>
    <row r="12012" spans="18:19">
      <c r="R12012" s="178"/>
      <c r="S12012" s="178"/>
    </row>
    <row r="12013" spans="18:19">
      <c r="R12013" s="178"/>
      <c r="S12013" s="178"/>
    </row>
    <row r="12014" spans="18:19">
      <c r="R12014" s="178"/>
      <c r="S12014" s="178"/>
    </row>
    <row r="12015" spans="18:19">
      <c r="R12015" s="178"/>
      <c r="S12015" s="178"/>
    </row>
    <row r="12016" spans="18:19">
      <c r="R12016" s="178"/>
      <c r="S12016" s="178"/>
    </row>
    <row r="12017" spans="18:19">
      <c r="R12017" s="178"/>
      <c r="S12017" s="178"/>
    </row>
    <row r="12018" spans="18:19">
      <c r="R12018" s="178"/>
      <c r="S12018" s="178"/>
    </row>
    <row r="12019" spans="18:19">
      <c r="R12019" s="178"/>
      <c r="S12019" s="178"/>
    </row>
    <row r="12020" spans="18:19">
      <c r="R12020" s="178"/>
      <c r="S12020" s="178"/>
    </row>
    <row r="12021" spans="18:19">
      <c r="R12021" s="178"/>
      <c r="S12021" s="178"/>
    </row>
    <row r="12022" spans="18:19">
      <c r="R12022" s="178"/>
      <c r="S12022" s="178"/>
    </row>
    <row r="12023" spans="18:19">
      <c r="R12023" s="178"/>
      <c r="S12023" s="178"/>
    </row>
    <row r="12024" spans="18:19">
      <c r="R12024" s="178"/>
      <c r="S12024" s="178"/>
    </row>
    <row r="12025" spans="18:19">
      <c r="R12025" s="178"/>
      <c r="S12025" s="178"/>
    </row>
    <row r="12026" spans="18:19">
      <c r="R12026" s="178"/>
      <c r="S12026" s="178"/>
    </row>
    <row r="12027" spans="18:19">
      <c r="R12027" s="178"/>
      <c r="S12027" s="178"/>
    </row>
    <row r="12028" spans="18:19">
      <c r="R12028" s="178"/>
      <c r="S12028" s="178"/>
    </row>
    <row r="12029" spans="18:19">
      <c r="R12029" s="178"/>
      <c r="S12029" s="178"/>
    </row>
    <row r="12030" spans="18:19">
      <c r="R12030" s="178"/>
      <c r="S12030" s="178"/>
    </row>
    <row r="12031" spans="18:19">
      <c r="R12031" s="178"/>
      <c r="S12031" s="178"/>
    </row>
    <row r="12032" spans="18:19">
      <c r="R12032" s="178"/>
      <c r="S12032" s="178"/>
    </row>
    <row r="12033" spans="18:19">
      <c r="R12033" s="178"/>
      <c r="S12033" s="178"/>
    </row>
    <row r="12034" spans="18:19">
      <c r="R12034" s="178"/>
      <c r="S12034" s="178"/>
    </row>
    <row r="12035" spans="18:19">
      <c r="R12035" s="178"/>
      <c r="S12035" s="178"/>
    </row>
    <row r="12036" spans="18:19">
      <c r="R12036" s="178"/>
      <c r="S12036" s="178"/>
    </row>
    <row r="12037" spans="18:19">
      <c r="R12037" s="178"/>
      <c r="S12037" s="178"/>
    </row>
    <row r="12038" spans="18:19">
      <c r="R12038" s="178"/>
      <c r="S12038" s="178"/>
    </row>
    <row r="12039" spans="18:19">
      <c r="R12039" s="178"/>
      <c r="S12039" s="178"/>
    </row>
    <row r="12040" spans="18:19">
      <c r="R12040" s="178"/>
      <c r="S12040" s="178"/>
    </row>
    <row r="12041" spans="18:19">
      <c r="R12041" s="178"/>
      <c r="S12041" s="178"/>
    </row>
    <row r="12042" spans="18:19">
      <c r="R12042" s="178"/>
      <c r="S12042" s="178"/>
    </row>
    <row r="12043" spans="18:19">
      <c r="R12043" s="178"/>
      <c r="S12043" s="178"/>
    </row>
    <row r="12044" spans="18:19">
      <c r="R12044" s="178"/>
      <c r="S12044" s="178"/>
    </row>
    <row r="12045" spans="18:19">
      <c r="R12045" s="178"/>
      <c r="S12045" s="178"/>
    </row>
    <row r="12046" spans="18:19">
      <c r="R12046" s="178"/>
      <c r="S12046" s="178"/>
    </row>
    <row r="12047" spans="18:19">
      <c r="R12047" s="178"/>
      <c r="S12047" s="178"/>
    </row>
    <row r="12048" spans="18:19">
      <c r="R12048" s="178"/>
      <c r="S12048" s="178"/>
    </row>
    <row r="12049" spans="18:19">
      <c r="R12049" s="178"/>
      <c r="S12049" s="178"/>
    </row>
    <row r="12050" spans="18:19">
      <c r="R12050" s="178"/>
      <c r="S12050" s="178"/>
    </row>
    <row r="12051" spans="18:19">
      <c r="R12051" s="178"/>
      <c r="S12051" s="178"/>
    </row>
    <row r="12052" spans="18:19">
      <c r="R12052" s="178"/>
      <c r="S12052" s="178"/>
    </row>
    <row r="12053" spans="18:19">
      <c r="R12053" s="178"/>
      <c r="S12053" s="178"/>
    </row>
    <row r="12054" spans="18:19">
      <c r="R12054" s="178"/>
      <c r="S12054" s="178"/>
    </row>
    <row r="12055" spans="18:19">
      <c r="R12055" s="178"/>
      <c r="S12055" s="178"/>
    </row>
    <row r="12056" spans="18:19">
      <c r="R12056" s="178"/>
      <c r="S12056" s="178"/>
    </row>
    <row r="12057" spans="18:19">
      <c r="R12057" s="178"/>
      <c r="S12057" s="178"/>
    </row>
    <row r="12058" spans="18:19">
      <c r="R12058" s="178"/>
      <c r="S12058" s="178"/>
    </row>
    <row r="12059" spans="18:19">
      <c r="R12059" s="178"/>
      <c r="S12059" s="178"/>
    </row>
    <row r="12060" spans="18:19">
      <c r="R12060" s="178"/>
      <c r="S12060" s="178"/>
    </row>
    <row r="12061" spans="18:19">
      <c r="R12061" s="178"/>
      <c r="S12061" s="178"/>
    </row>
    <row r="12062" spans="18:19">
      <c r="R12062" s="178"/>
      <c r="S12062" s="178"/>
    </row>
    <row r="12063" spans="18:19">
      <c r="R12063" s="178"/>
      <c r="S12063" s="178"/>
    </row>
    <row r="12064" spans="18:19">
      <c r="R12064" s="178"/>
      <c r="S12064" s="178"/>
    </row>
    <row r="12065" spans="18:19">
      <c r="R12065" s="178"/>
      <c r="S12065" s="178"/>
    </row>
    <row r="12066" spans="18:19">
      <c r="R12066" s="178"/>
      <c r="S12066" s="178"/>
    </row>
    <row r="12067" spans="18:19">
      <c r="R12067" s="178"/>
      <c r="S12067" s="178"/>
    </row>
    <row r="12068" spans="18:19">
      <c r="R12068" s="178"/>
      <c r="S12068" s="178"/>
    </row>
    <row r="12069" spans="18:19">
      <c r="R12069" s="178"/>
      <c r="S12069" s="178"/>
    </row>
    <row r="12070" spans="18:19">
      <c r="R12070" s="178"/>
      <c r="S12070" s="178"/>
    </row>
    <row r="12071" spans="18:19">
      <c r="R12071" s="178"/>
      <c r="S12071" s="178"/>
    </row>
    <row r="12072" spans="18:19">
      <c r="R12072" s="178"/>
      <c r="S12072" s="178"/>
    </row>
    <row r="12073" spans="18:19">
      <c r="R12073" s="178"/>
      <c r="S12073" s="178"/>
    </row>
    <row r="12074" spans="18:19">
      <c r="R12074" s="178"/>
      <c r="S12074" s="178"/>
    </row>
    <row r="12075" spans="18:19">
      <c r="R12075" s="178"/>
      <c r="S12075" s="178"/>
    </row>
    <row r="12076" spans="18:19">
      <c r="R12076" s="178"/>
      <c r="S12076" s="178"/>
    </row>
    <row r="12077" spans="18:19">
      <c r="R12077" s="178"/>
      <c r="S12077" s="178"/>
    </row>
    <row r="12078" spans="18:19">
      <c r="R12078" s="178"/>
      <c r="S12078" s="178"/>
    </row>
    <row r="12079" spans="18:19">
      <c r="R12079" s="178"/>
      <c r="S12079" s="178"/>
    </row>
    <row r="12080" spans="18:19">
      <c r="R12080" s="178"/>
      <c r="S12080" s="178"/>
    </row>
    <row r="12081" spans="18:19">
      <c r="R12081" s="178"/>
      <c r="S12081" s="178"/>
    </row>
    <row r="12082" spans="18:19">
      <c r="R12082" s="178"/>
      <c r="S12082" s="178"/>
    </row>
    <row r="12083" spans="18:19">
      <c r="R12083" s="178"/>
      <c r="S12083" s="178"/>
    </row>
    <row r="12084" spans="18:19">
      <c r="R12084" s="178"/>
      <c r="S12084" s="178"/>
    </row>
    <row r="12085" spans="18:19">
      <c r="R12085" s="178"/>
      <c r="S12085" s="178"/>
    </row>
    <row r="12086" spans="18:19">
      <c r="R12086" s="178"/>
      <c r="S12086" s="178"/>
    </row>
    <row r="12087" spans="18:19">
      <c r="R12087" s="178"/>
      <c r="S12087" s="178"/>
    </row>
    <row r="12088" spans="18:19">
      <c r="R12088" s="178"/>
      <c r="S12088" s="178"/>
    </row>
    <row r="12089" spans="18:19">
      <c r="R12089" s="178"/>
      <c r="S12089" s="178"/>
    </row>
    <row r="12090" spans="18:19">
      <c r="R12090" s="178"/>
      <c r="S12090" s="178"/>
    </row>
    <row r="12091" spans="18:19">
      <c r="R12091" s="178"/>
      <c r="S12091" s="178"/>
    </row>
    <row r="12092" spans="18:19">
      <c r="R12092" s="178"/>
      <c r="S12092" s="178"/>
    </row>
    <row r="12093" spans="18:19">
      <c r="R12093" s="178"/>
      <c r="S12093" s="178"/>
    </row>
    <row r="12094" spans="18:19">
      <c r="R12094" s="178"/>
      <c r="S12094" s="178"/>
    </row>
    <row r="12095" spans="18:19">
      <c r="R12095" s="178"/>
      <c r="S12095" s="178"/>
    </row>
    <row r="12096" spans="18:19">
      <c r="R12096" s="178"/>
      <c r="S12096" s="178"/>
    </row>
    <row r="12097" spans="18:19">
      <c r="R12097" s="178"/>
      <c r="S12097" s="178"/>
    </row>
    <row r="12098" spans="18:19">
      <c r="R12098" s="178"/>
      <c r="S12098" s="178"/>
    </row>
    <row r="12099" spans="18:19">
      <c r="R12099" s="178"/>
      <c r="S12099" s="178"/>
    </row>
    <row r="12100" spans="18:19">
      <c r="R12100" s="178"/>
      <c r="S12100" s="178"/>
    </row>
    <row r="12101" spans="18:19">
      <c r="R12101" s="178"/>
      <c r="S12101" s="178"/>
    </row>
    <row r="12102" spans="18:19">
      <c r="R12102" s="178"/>
      <c r="S12102" s="178"/>
    </row>
    <row r="12103" spans="18:19">
      <c r="R12103" s="178"/>
      <c r="S12103" s="178"/>
    </row>
    <row r="12104" spans="18:19">
      <c r="R12104" s="178"/>
      <c r="S12104" s="178"/>
    </row>
    <row r="12105" spans="18:19">
      <c r="R12105" s="178"/>
      <c r="S12105" s="178"/>
    </row>
    <row r="12106" spans="18:19">
      <c r="R12106" s="178"/>
      <c r="S12106" s="178"/>
    </row>
    <row r="12107" spans="18:19">
      <c r="R12107" s="178"/>
      <c r="S12107" s="178"/>
    </row>
    <row r="12108" spans="18:19">
      <c r="R12108" s="178"/>
      <c r="S12108" s="178"/>
    </row>
    <row r="12109" spans="18:19">
      <c r="R12109" s="178"/>
      <c r="S12109" s="178"/>
    </row>
    <row r="12110" spans="18:19">
      <c r="R12110" s="178"/>
      <c r="S12110" s="178"/>
    </row>
    <row r="12111" spans="18:19">
      <c r="R12111" s="178"/>
      <c r="S12111" s="178"/>
    </row>
    <row r="12112" spans="18:19">
      <c r="R12112" s="178"/>
      <c r="S12112" s="178"/>
    </row>
    <row r="12113" spans="18:19">
      <c r="R12113" s="178"/>
      <c r="S12113" s="178"/>
    </row>
    <row r="12114" spans="18:19">
      <c r="R12114" s="178"/>
      <c r="S12114" s="178"/>
    </row>
    <row r="12115" spans="18:19">
      <c r="R12115" s="178"/>
      <c r="S12115" s="178"/>
    </row>
    <row r="12116" spans="18:19">
      <c r="R12116" s="178"/>
      <c r="S12116" s="178"/>
    </row>
    <row r="12117" spans="18:19">
      <c r="R12117" s="178"/>
      <c r="S12117" s="178"/>
    </row>
    <row r="12118" spans="18:19">
      <c r="R12118" s="178"/>
      <c r="S12118" s="178"/>
    </row>
    <row r="12119" spans="18:19">
      <c r="R12119" s="178"/>
      <c r="S12119" s="178"/>
    </row>
    <row r="12120" spans="18:19">
      <c r="R12120" s="178"/>
      <c r="S12120" s="178"/>
    </row>
    <row r="12121" spans="18:19">
      <c r="R12121" s="178"/>
      <c r="S12121" s="178"/>
    </row>
    <row r="12122" spans="18:19">
      <c r="R12122" s="178"/>
      <c r="S12122" s="178"/>
    </row>
    <row r="12123" spans="18:19">
      <c r="R12123" s="178"/>
      <c r="S12123" s="178"/>
    </row>
    <row r="12124" spans="18:19">
      <c r="R12124" s="178"/>
      <c r="S12124" s="178"/>
    </row>
    <row r="12125" spans="18:19">
      <c r="R12125" s="178"/>
      <c r="S12125" s="178"/>
    </row>
    <row r="12126" spans="18:19">
      <c r="R12126" s="178"/>
      <c r="S12126" s="178"/>
    </row>
    <row r="12127" spans="18:19">
      <c r="R12127" s="178"/>
      <c r="S12127" s="178"/>
    </row>
    <row r="12128" spans="18:19">
      <c r="R12128" s="178"/>
      <c r="S12128" s="178"/>
    </row>
    <row r="12129" spans="18:19">
      <c r="R12129" s="178"/>
      <c r="S12129" s="178"/>
    </row>
    <row r="12130" spans="18:19">
      <c r="R12130" s="178"/>
      <c r="S12130" s="178"/>
    </row>
    <row r="12131" spans="18:19">
      <c r="R12131" s="178"/>
      <c r="S12131" s="178"/>
    </row>
    <row r="12132" spans="18:19">
      <c r="R12132" s="178"/>
      <c r="S12132" s="178"/>
    </row>
    <row r="12133" spans="18:19">
      <c r="R12133" s="178"/>
      <c r="S12133" s="178"/>
    </row>
    <row r="12134" spans="18:19">
      <c r="R12134" s="178"/>
      <c r="S12134" s="178"/>
    </row>
    <row r="12135" spans="18:19">
      <c r="R12135" s="178"/>
      <c r="S12135" s="178"/>
    </row>
    <row r="12136" spans="18:19">
      <c r="R12136" s="178"/>
      <c r="S12136" s="178"/>
    </row>
    <row r="12137" spans="18:19">
      <c r="R12137" s="178"/>
      <c r="S12137" s="178"/>
    </row>
    <row r="12138" spans="18:19">
      <c r="R12138" s="178"/>
      <c r="S12138" s="178"/>
    </row>
    <row r="12139" spans="18:19">
      <c r="R12139" s="178"/>
      <c r="S12139" s="178"/>
    </row>
    <row r="12140" spans="18:19">
      <c r="R12140" s="178"/>
      <c r="S12140" s="178"/>
    </row>
    <row r="12141" spans="18:19">
      <c r="R12141" s="178"/>
      <c r="S12141" s="178"/>
    </row>
    <row r="12142" spans="18:19">
      <c r="R12142" s="178"/>
      <c r="S12142" s="178"/>
    </row>
    <row r="12143" spans="18:19">
      <c r="R12143" s="178"/>
      <c r="S12143" s="178"/>
    </row>
    <row r="12144" spans="18:19">
      <c r="R12144" s="178"/>
      <c r="S12144" s="178"/>
    </row>
    <row r="12145" spans="18:19">
      <c r="R12145" s="178"/>
      <c r="S12145" s="178"/>
    </row>
    <row r="12146" spans="18:19">
      <c r="R12146" s="178"/>
      <c r="S12146" s="178"/>
    </row>
    <row r="12147" spans="18:19">
      <c r="R12147" s="178"/>
      <c r="S12147" s="178"/>
    </row>
    <row r="12148" spans="18:19">
      <c r="R12148" s="178"/>
      <c r="S12148" s="178"/>
    </row>
    <row r="12149" spans="18:19">
      <c r="R12149" s="178"/>
      <c r="S12149" s="178"/>
    </row>
    <row r="12150" spans="18:19">
      <c r="R12150" s="178"/>
      <c r="S12150" s="178"/>
    </row>
    <row r="12151" spans="18:19">
      <c r="R12151" s="178"/>
      <c r="S12151" s="178"/>
    </row>
    <row r="12152" spans="18:19">
      <c r="R12152" s="178"/>
      <c r="S12152" s="178"/>
    </row>
    <row r="12153" spans="18:19">
      <c r="R12153" s="178"/>
      <c r="S12153" s="178"/>
    </row>
    <row r="12154" spans="18:19">
      <c r="R12154" s="178"/>
      <c r="S12154" s="178"/>
    </row>
    <row r="12155" spans="18:19">
      <c r="R12155" s="178"/>
      <c r="S12155" s="178"/>
    </row>
    <row r="12156" spans="18:19">
      <c r="R12156" s="178"/>
      <c r="S12156" s="178"/>
    </row>
    <row r="12157" spans="18:19">
      <c r="R12157" s="178"/>
      <c r="S12157" s="178"/>
    </row>
    <row r="12158" spans="18:19">
      <c r="R12158" s="178"/>
      <c r="S12158" s="178"/>
    </row>
    <row r="12159" spans="18:19">
      <c r="R12159" s="178"/>
      <c r="S12159" s="178"/>
    </row>
    <row r="12160" spans="18:19">
      <c r="R12160" s="178"/>
      <c r="S12160" s="178"/>
    </row>
    <row r="12161" spans="18:19">
      <c r="R12161" s="178"/>
      <c r="S12161" s="178"/>
    </row>
    <row r="12162" spans="18:19">
      <c r="R12162" s="178"/>
      <c r="S12162" s="178"/>
    </row>
    <row r="12163" spans="18:19">
      <c r="R12163" s="178"/>
      <c r="S12163" s="178"/>
    </row>
    <row r="12164" spans="18:19">
      <c r="R12164" s="178"/>
      <c r="S12164" s="178"/>
    </row>
    <row r="12165" spans="18:19">
      <c r="R12165" s="178"/>
      <c r="S12165" s="178"/>
    </row>
    <row r="12166" spans="18:19">
      <c r="R12166" s="178"/>
      <c r="S12166" s="178"/>
    </row>
    <row r="12167" spans="18:19">
      <c r="R12167" s="178"/>
      <c r="S12167" s="178"/>
    </row>
    <row r="12168" spans="18:19">
      <c r="R12168" s="178"/>
      <c r="S12168" s="178"/>
    </row>
    <row r="12169" spans="18:19">
      <c r="R12169" s="178"/>
      <c r="S12169" s="178"/>
    </row>
    <row r="12170" spans="18:19">
      <c r="R12170" s="178"/>
      <c r="S12170" s="178"/>
    </row>
    <row r="12171" spans="18:19">
      <c r="R12171" s="178"/>
      <c r="S12171" s="178"/>
    </row>
    <row r="12172" spans="18:19">
      <c r="R12172" s="178"/>
      <c r="S12172" s="178"/>
    </row>
    <row r="12173" spans="18:19">
      <c r="R12173" s="178"/>
      <c r="S12173" s="178"/>
    </row>
    <row r="12174" spans="18:19">
      <c r="R12174" s="178"/>
      <c r="S12174" s="178"/>
    </row>
    <row r="12175" spans="18:19">
      <c r="R12175" s="178"/>
      <c r="S12175" s="178"/>
    </row>
    <row r="12176" spans="18:19">
      <c r="R12176" s="178"/>
      <c r="S12176" s="178"/>
    </row>
    <row r="12177" spans="18:19">
      <c r="R12177" s="178"/>
      <c r="S12177" s="178"/>
    </row>
    <row r="12178" spans="18:19">
      <c r="R12178" s="178"/>
      <c r="S12178" s="178"/>
    </row>
    <row r="12179" spans="18:19">
      <c r="R12179" s="178"/>
      <c r="S12179" s="178"/>
    </row>
    <row r="12180" spans="18:19">
      <c r="R12180" s="178"/>
      <c r="S12180" s="178"/>
    </row>
    <row r="12181" spans="18:19">
      <c r="R12181" s="178"/>
      <c r="S12181" s="178"/>
    </row>
    <row r="12182" spans="18:19">
      <c r="R12182" s="178"/>
      <c r="S12182" s="178"/>
    </row>
    <row r="12183" spans="18:19">
      <c r="R12183" s="178"/>
      <c r="S12183" s="178"/>
    </row>
    <row r="12184" spans="18:19">
      <c r="R12184" s="178"/>
      <c r="S12184" s="178"/>
    </row>
    <row r="12185" spans="18:19">
      <c r="R12185" s="178"/>
      <c r="S12185" s="178"/>
    </row>
    <row r="12186" spans="18:19">
      <c r="R12186" s="178"/>
      <c r="S12186" s="178"/>
    </row>
    <row r="12187" spans="18:19">
      <c r="R12187" s="178"/>
      <c r="S12187" s="178"/>
    </row>
    <row r="12188" spans="18:19">
      <c r="R12188" s="178"/>
      <c r="S12188" s="178"/>
    </row>
    <row r="12189" spans="18:19">
      <c r="R12189" s="178"/>
      <c r="S12189" s="178"/>
    </row>
    <row r="12190" spans="18:19">
      <c r="R12190" s="178"/>
      <c r="S12190" s="178"/>
    </row>
    <row r="12191" spans="18:19">
      <c r="R12191" s="178"/>
      <c r="S12191" s="178"/>
    </row>
    <row r="12192" spans="18:19">
      <c r="R12192" s="178"/>
      <c r="S12192" s="178"/>
    </row>
    <row r="12193" spans="18:19">
      <c r="R12193" s="178"/>
      <c r="S12193" s="178"/>
    </row>
    <row r="12194" spans="18:19">
      <c r="R12194" s="178"/>
      <c r="S12194" s="178"/>
    </row>
    <row r="12195" spans="18:19">
      <c r="R12195" s="178"/>
      <c r="S12195" s="178"/>
    </row>
    <row r="12196" spans="18:19">
      <c r="R12196" s="178"/>
      <c r="S12196" s="178"/>
    </row>
    <row r="12197" spans="18:19">
      <c r="R12197" s="178"/>
      <c r="S12197" s="178"/>
    </row>
    <row r="12198" spans="18:19">
      <c r="R12198" s="178"/>
      <c r="S12198" s="178"/>
    </row>
    <row r="12199" spans="18:19">
      <c r="R12199" s="178"/>
      <c r="S12199" s="178"/>
    </row>
    <row r="12200" spans="18:19">
      <c r="R12200" s="178"/>
      <c r="S12200" s="178"/>
    </row>
    <row r="12201" spans="18:19">
      <c r="R12201" s="178"/>
      <c r="S12201" s="178"/>
    </row>
    <row r="12202" spans="18:19">
      <c r="R12202" s="178"/>
      <c r="S12202" s="178"/>
    </row>
    <row r="12203" spans="18:19">
      <c r="R12203" s="178"/>
      <c r="S12203" s="178"/>
    </row>
    <row r="12204" spans="18:19">
      <c r="R12204" s="178"/>
      <c r="S12204" s="178"/>
    </row>
    <row r="12205" spans="18:19">
      <c r="R12205" s="178"/>
      <c r="S12205" s="178"/>
    </row>
    <row r="12206" spans="18:19">
      <c r="R12206" s="178"/>
      <c r="S12206" s="178"/>
    </row>
    <row r="12207" spans="18:19">
      <c r="R12207" s="178"/>
      <c r="S12207" s="178"/>
    </row>
    <row r="12208" spans="18:19">
      <c r="R12208" s="178"/>
      <c r="S12208" s="178"/>
    </row>
    <row r="12209" spans="18:19">
      <c r="R12209" s="178"/>
      <c r="S12209" s="178"/>
    </row>
    <row r="12210" spans="18:19">
      <c r="R12210" s="178"/>
      <c r="S12210" s="178"/>
    </row>
    <row r="12211" spans="18:19">
      <c r="R12211" s="178"/>
      <c r="S12211" s="178"/>
    </row>
    <row r="12212" spans="18:19">
      <c r="R12212" s="178"/>
      <c r="S12212" s="178"/>
    </row>
    <row r="12213" spans="18:19">
      <c r="R12213" s="178"/>
      <c r="S12213" s="178"/>
    </row>
    <row r="12214" spans="18:19">
      <c r="R12214" s="178"/>
      <c r="S12214" s="178"/>
    </row>
    <row r="12215" spans="18:19">
      <c r="R12215" s="178"/>
      <c r="S12215" s="178"/>
    </row>
    <row r="12216" spans="18:19">
      <c r="R12216" s="178"/>
      <c r="S12216" s="178"/>
    </row>
    <row r="12217" spans="18:19">
      <c r="R12217" s="178"/>
      <c r="S12217" s="178"/>
    </row>
    <row r="12218" spans="18:19">
      <c r="R12218" s="178"/>
      <c r="S12218" s="178"/>
    </row>
    <row r="12219" spans="18:19">
      <c r="R12219" s="178"/>
      <c r="S12219" s="178"/>
    </row>
    <row r="12220" spans="18:19">
      <c r="R12220" s="178"/>
      <c r="S12220" s="178"/>
    </row>
    <row r="12221" spans="18:19">
      <c r="R12221" s="178"/>
      <c r="S12221" s="178"/>
    </row>
    <row r="12222" spans="18:19">
      <c r="R12222" s="178"/>
      <c r="S12222" s="178"/>
    </row>
    <row r="12223" spans="18:19">
      <c r="R12223" s="178"/>
      <c r="S12223" s="178"/>
    </row>
    <row r="12224" spans="18:19">
      <c r="R12224" s="178"/>
      <c r="S12224" s="178"/>
    </row>
    <row r="12225" spans="18:19">
      <c r="R12225" s="178"/>
      <c r="S12225" s="178"/>
    </row>
    <row r="12226" spans="18:19">
      <c r="R12226" s="178"/>
      <c r="S12226" s="178"/>
    </row>
    <row r="12227" spans="18:19">
      <c r="R12227" s="178"/>
      <c r="S12227" s="178"/>
    </row>
    <row r="12228" spans="18:19">
      <c r="R12228" s="178"/>
      <c r="S12228" s="178"/>
    </row>
    <row r="12229" spans="18:19">
      <c r="R12229" s="178"/>
      <c r="S12229" s="178"/>
    </row>
    <row r="12230" spans="18:19">
      <c r="R12230" s="178"/>
      <c r="S12230" s="178"/>
    </row>
    <row r="12231" spans="18:19">
      <c r="R12231" s="178"/>
      <c r="S12231" s="178"/>
    </row>
    <row r="12232" spans="18:19">
      <c r="R12232" s="178"/>
      <c r="S12232" s="178"/>
    </row>
    <row r="12233" spans="18:19">
      <c r="R12233" s="178"/>
      <c r="S12233" s="178"/>
    </row>
    <row r="12234" spans="18:19">
      <c r="R12234" s="178"/>
      <c r="S12234" s="178"/>
    </row>
    <row r="12235" spans="18:19">
      <c r="R12235" s="178"/>
      <c r="S12235" s="178"/>
    </row>
    <row r="12236" spans="18:19">
      <c r="R12236" s="178"/>
      <c r="S12236" s="178"/>
    </row>
    <row r="12237" spans="18:19">
      <c r="R12237" s="178"/>
      <c r="S12237" s="178"/>
    </row>
    <row r="12238" spans="18:19">
      <c r="R12238" s="178"/>
      <c r="S12238" s="178"/>
    </row>
    <row r="12239" spans="18:19">
      <c r="R12239" s="178"/>
      <c r="S12239" s="178"/>
    </row>
    <row r="12240" spans="18:19">
      <c r="R12240" s="178"/>
      <c r="S12240" s="178"/>
    </row>
    <row r="12241" spans="18:19">
      <c r="R12241" s="178"/>
      <c r="S12241" s="178"/>
    </row>
    <row r="12242" spans="18:19">
      <c r="R12242" s="178"/>
      <c r="S12242" s="178"/>
    </row>
    <row r="12243" spans="18:19">
      <c r="R12243" s="178"/>
      <c r="S12243" s="178"/>
    </row>
    <row r="12244" spans="18:19">
      <c r="R12244" s="178"/>
      <c r="S12244" s="178"/>
    </row>
    <row r="12245" spans="18:19">
      <c r="R12245" s="178"/>
      <c r="S12245" s="178"/>
    </row>
    <row r="12246" spans="18:19">
      <c r="R12246" s="178"/>
      <c r="S12246" s="178"/>
    </row>
    <row r="12247" spans="18:19">
      <c r="R12247" s="178"/>
      <c r="S12247" s="178"/>
    </row>
    <row r="12248" spans="18:19">
      <c r="R12248" s="178"/>
      <c r="S12248" s="178"/>
    </row>
    <row r="12249" spans="18:19">
      <c r="R12249" s="178"/>
      <c r="S12249" s="178"/>
    </row>
    <row r="12250" spans="18:19">
      <c r="R12250" s="178"/>
      <c r="S12250" s="178"/>
    </row>
    <row r="12251" spans="18:19">
      <c r="R12251" s="178"/>
      <c r="S12251" s="178"/>
    </row>
    <row r="12252" spans="18:19">
      <c r="R12252" s="178"/>
      <c r="S12252" s="178"/>
    </row>
    <row r="12253" spans="18:19">
      <c r="R12253" s="178"/>
      <c r="S12253" s="178"/>
    </row>
    <row r="12254" spans="18:19">
      <c r="R12254" s="178"/>
      <c r="S12254" s="178"/>
    </row>
    <row r="12255" spans="18:19">
      <c r="R12255" s="178"/>
      <c r="S12255" s="178"/>
    </row>
    <row r="12256" spans="18:19">
      <c r="R12256" s="178"/>
      <c r="S12256" s="178"/>
    </row>
    <row r="12257" spans="18:19">
      <c r="R12257" s="178"/>
      <c r="S12257" s="178"/>
    </row>
    <row r="12258" spans="18:19">
      <c r="R12258" s="178"/>
      <c r="S12258" s="178"/>
    </row>
    <row r="12259" spans="18:19">
      <c r="R12259" s="178"/>
      <c r="S12259" s="178"/>
    </row>
    <row r="12260" spans="18:19">
      <c r="R12260" s="178"/>
      <c r="S12260" s="178"/>
    </row>
    <row r="12261" spans="18:19">
      <c r="R12261" s="178"/>
      <c r="S12261" s="178"/>
    </row>
    <row r="12262" spans="18:19">
      <c r="R12262" s="178"/>
      <c r="S12262" s="178"/>
    </row>
    <row r="12263" spans="18:19">
      <c r="R12263" s="178"/>
      <c r="S12263" s="178"/>
    </row>
    <row r="12264" spans="18:19">
      <c r="R12264" s="178"/>
      <c r="S12264" s="178"/>
    </row>
    <row r="12265" spans="18:19">
      <c r="R12265" s="178"/>
      <c r="S12265" s="178"/>
    </row>
    <row r="12266" spans="18:19">
      <c r="R12266" s="178"/>
      <c r="S12266" s="178"/>
    </row>
    <row r="12267" spans="18:19">
      <c r="R12267" s="178"/>
      <c r="S12267" s="178"/>
    </row>
    <row r="12268" spans="18:19">
      <c r="R12268" s="178"/>
      <c r="S12268" s="178"/>
    </row>
    <row r="12269" spans="18:19">
      <c r="R12269" s="178"/>
      <c r="S12269" s="178"/>
    </row>
    <row r="12270" spans="18:19">
      <c r="R12270" s="178"/>
      <c r="S12270" s="178"/>
    </row>
    <row r="12271" spans="18:19">
      <c r="R12271" s="178"/>
      <c r="S12271" s="178"/>
    </row>
    <row r="12272" spans="18:19">
      <c r="R12272" s="178"/>
      <c r="S12272" s="178"/>
    </row>
    <row r="12273" spans="18:19">
      <c r="R12273" s="178"/>
      <c r="S12273" s="178"/>
    </row>
    <row r="12274" spans="18:19">
      <c r="R12274" s="178"/>
      <c r="S12274" s="178"/>
    </row>
    <row r="12275" spans="18:19">
      <c r="R12275" s="178"/>
      <c r="S12275" s="178"/>
    </row>
    <row r="12276" spans="18:19">
      <c r="R12276" s="178"/>
      <c r="S12276" s="178"/>
    </row>
    <row r="12277" spans="18:19">
      <c r="R12277" s="178"/>
      <c r="S12277" s="178"/>
    </row>
    <row r="12278" spans="18:19">
      <c r="R12278" s="178"/>
      <c r="S12278" s="178"/>
    </row>
    <row r="12279" spans="18:19">
      <c r="R12279" s="178"/>
      <c r="S12279" s="178"/>
    </row>
    <row r="12280" spans="18:19">
      <c r="R12280" s="178"/>
      <c r="S12280" s="178"/>
    </row>
    <row r="12281" spans="18:19">
      <c r="R12281" s="178"/>
      <c r="S12281" s="178"/>
    </row>
    <row r="12282" spans="18:19">
      <c r="R12282" s="178"/>
      <c r="S12282" s="178"/>
    </row>
    <row r="12283" spans="18:19">
      <c r="R12283" s="178"/>
      <c r="S12283" s="178"/>
    </row>
    <row r="12284" spans="18:19">
      <c r="R12284" s="178"/>
      <c r="S12284" s="178"/>
    </row>
    <row r="12285" spans="18:19">
      <c r="R12285" s="178"/>
      <c r="S12285" s="178"/>
    </row>
    <row r="12286" spans="18:19">
      <c r="R12286" s="178"/>
      <c r="S12286" s="178"/>
    </row>
    <row r="12287" spans="18:19">
      <c r="R12287" s="178"/>
      <c r="S12287" s="178"/>
    </row>
    <row r="12288" spans="18:19">
      <c r="R12288" s="178"/>
      <c r="S12288" s="178"/>
    </row>
    <row r="12289" spans="18:19">
      <c r="R12289" s="178"/>
      <c r="S12289" s="178"/>
    </row>
    <row r="12290" spans="18:19">
      <c r="R12290" s="178"/>
      <c r="S12290" s="178"/>
    </row>
    <row r="12291" spans="18:19">
      <c r="R12291" s="178"/>
      <c r="S12291" s="178"/>
    </row>
    <row r="12292" spans="18:19">
      <c r="R12292" s="178"/>
      <c r="S12292" s="178"/>
    </row>
    <row r="12293" spans="18:19">
      <c r="R12293" s="178"/>
      <c r="S12293" s="178"/>
    </row>
    <row r="12294" spans="18:19">
      <c r="R12294" s="178"/>
      <c r="S12294" s="178"/>
    </row>
    <row r="12295" spans="18:19">
      <c r="R12295" s="178"/>
      <c r="S12295" s="178"/>
    </row>
    <row r="12296" spans="18:19">
      <c r="R12296" s="178"/>
      <c r="S12296" s="178"/>
    </row>
    <row r="12297" spans="18:19">
      <c r="R12297" s="178"/>
      <c r="S12297" s="178"/>
    </row>
    <row r="12298" spans="18:19">
      <c r="R12298" s="178"/>
      <c r="S12298" s="178"/>
    </row>
    <row r="12299" spans="18:19">
      <c r="R12299" s="178"/>
      <c r="S12299" s="178"/>
    </row>
    <row r="12300" spans="18:19">
      <c r="R12300" s="178"/>
      <c r="S12300" s="178"/>
    </row>
    <row r="12301" spans="18:19">
      <c r="R12301" s="178"/>
      <c r="S12301" s="178"/>
    </row>
    <row r="12302" spans="18:19">
      <c r="R12302" s="178"/>
      <c r="S12302" s="178"/>
    </row>
    <row r="12303" spans="18:19">
      <c r="R12303" s="178"/>
      <c r="S12303" s="178"/>
    </row>
    <row r="12304" spans="18:19">
      <c r="R12304" s="178"/>
      <c r="S12304" s="178"/>
    </row>
    <row r="12305" spans="18:19">
      <c r="R12305" s="178"/>
      <c r="S12305" s="178"/>
    </row>
    <row r="12306" spans="18:19">
      <c r="R12306" s="178"/>
      <c r="S12306" s="178"/>
    </row>
    <row r="12307" spans="18:19">
      <c r="R12307" s="178"/>
      <c r="S12307" s="178"/>
    </row>
    <row r="12308" spans="18:19">
      <c r="R12308" s="178"/>
      <c r="S12308" s="178"/>
    </row>
    <row r="12309" spans="18:19">
      <c r="R12309" s="178"/>
      <c r="S12309" s="178"/>
    </row>
    <row r="12310" spans="18:19">
      <c r="R12310" s="178"/>
      <c r="S12310" s="178"/>
    </row>
    <row r="12311" spans="18:19">
      <c r="R12311" s="178"/>
      <c r="S12311" s="178"/>
    </row>
    <row r="12312" spans="18:19">
      <c r="R12312" s="178"/>
      <c r="S12312" s="178"/>
    </row>
    <row r="12313" spans="18:19">
      <c r="R12313" s="178"/>
      <c r="S12313" s="178"/>
    </row>
    <row r="12314" spans="18:19">
      <c r="R12314" s="178"/>
      <c r="S12314" s="178"/>
    </row>
    <row r="12315" spans="18:19">
      <c r="R12315" s="178"/>
      <c r="S12315" s="178"/>
    </row>
    <row r="12316" spans="18:19">
      <c r="R12316" s="178"/>
      <c r="S12316" s="178"/>
    </row>
    <row r="12317" spans="18:19">
      <c r="R12317" s="178"/>
      <c r="S12317" s="178"/>
    </row>
    <row r="12318" spans="18:19">
      <c r="R12318" s="178"/>
      <c r="S12318" s="178"/>
    </row>
    <row r="12319" spans="18:19">
      <c r="R12319" s="178"/>
      <c r="S12319" s="178"/>
    </row>
    <row r="12320" spans="18:19">
      <c r="R12320" s="178"/>
      <c r="S12320" s="178"/>
    </row>
    <row r="12321" spans="18:19">
      <c r="R12321" s="178"/>
      <c r="S12321" s="178"/>
    </row>
    <row r="12322" spans="18:19">
      <c r="R12322" s="178"/>
      <c r="S12322" s="178"/>
    </row>
    <row r="12323" spans="18:19">
      <c r="R12323" s="178"/>
      <c r="S12323" s="178"/>
    </row>
    <row r="12324" spans="18:19">
      <c r="R12324" s="178"/>
      <c r="S12324" s="178"/>
    </row>
    <row r="12325" spans="18:19">
      <c r="R12325" s="178"/>
      <c r="S12325" s="178"/>
    </row>
    <row r="12326" spans="18:19">
      <c r="R12326" s="178"/>
      <c r="S12326" s="178"/>
    </row>
    <row r="12327" spans="18:19">
      <c r="R12327" s="178"/>
      <c r="S12327" s="178"/>
    </row>
    <row r="12328" spans="18:19">
      <c r="R12328" s="178"/>
      <c r="S12328" s="178"/>
    </row>
    <row r="12329" spans="18:19">
      <c r="R12329" s="178"/>
      <c r="S12329" s="178"/>
    </row>
    <row r="12330" spans="18:19">
      <c r="R12330" s="178"/>
      <c r="S12330" s="178"/>
    </row>
    <row r="12331" spans="18:19">
      <c r="R12331" s="178"/>
      <c r="S12331" s="178"/>
    </row>
    <row r="12332" spans="18:19">
      <c r="R12332" s="178"/>
      <c r="S12332" s="178"/>
    </row>
    <row r="12333" spans="18:19">
      <c r="R12333" s="178"/>
      <c r="S12333" s="178"/>
    </row>
    <row r="12334" spans="18:19">
      <c r="R12334" s="178"/>
      <c r="S12334" s="178"/>
    </row>
    <row r="12335" spans="18:19">
      <c r="R12335" s="178"/>
      <c r="S12335" s="178"/>
    </row>
    <row r="12336" spans="18:19">
      <c r="R12336" s="178"/>
      <c r="S12336" s="178"/>
    </row>
    <row r="12337" spans="18:19">
      <c r="R12337" s="178"/>
      <c r="S12337" s="178"/>
    </row>
    <row r="12338" spans="18:19">
      <c r="R12338" s="178"/>
      <c r="S12338" s="178"/>
    </row>
    <row r="12339" spans="18:19">
      <c r="R12339" s="178"/>
      <c r="S12339" s="178"/>
    </row>
    <row r="12340" spans="18:19">
      <c r="R12340" s="178"/>
      <c r="S12340" s="178"/>
    </row>
    <row r="12341" spans="18:19">
      <c r="R12341" s="178"/>
      <c r="S12341" s="178"/>
    </row>
    <row r="12342" spans="18:19">
      <c r="R12342" s="178"/>
      <c r="S12342" s="178"/>
    </row>
    <row r="12343" spans="18:19">
      <c r="R12343" s="178"/>
      <c r="S12343" s="178"/>
    </row>
    <row r="12344" spans="18:19">
      <c r="R12344" s="178"/>
      <c r="S12344" s="178"/>
    </row>
    <row r="12345" spans="18:19">
      <c r="R12345" s="178"/>
      <c r="S12345" s="178"/>
    </row>
    <row r="12346" spans="18:19">
      <c r="R12346" s="178"/>
      <c r="S12346" s="178"/>
    </row>
    <row r="12347" spans="18:19">
      <c r="R12347" s="178"/>
      <c r="S12347" s="178"/>
    </row>
    <row r="12348" spans="18:19">
      <c r="R12348" s="178"/>
      <c r="S12348" s="178"/>
    </row>
    <row r="12349" spans="18:19">
      <c r="R12349" s="178"/>
      <c r="S12349" s="178"/>
    </row>
    <row r="12350" spans="18:19">
      <c r="R12350" s="178"/>
      <c r="S12350" s="178"/>
    </row>
    <row r="12351" spans="18:19">
      <c r="R12351" s="178"/>
      <c r="S12351" s="178"/>
    </row>
    <row r="12352" spans="18:19">
      <c r="R12352" s="178"/>
      <c r="S12352" s="178"/>
    </row>
    <row r="12353" spans="18:19">
      <c r="R12353" s="178"/>
      <c r="S12353" s="178"/>
    </row>
    <row r="12354" spans="18:19">
      <c r="R12354" s="178"/>
      <c r="S12354" s="178"/>
    </row>
    <row r="12355" spans="18:19">
      <c r="R12355" s="178"/>
      <c r="S12355" s="178"/>
    </row>
    <row r="12356" spans="18:19">
      <c r="R12356" s="178"/>
      <c r="S12356" s="178"/>
    </row>
    <row r="12357" spans="18:19">
      <c r="R12357" s="178"/>
      <c r="S12357" s="178"/>
    </row>
    <row r="12358" spans="18:19">
      <c r="R12358" s="178"/>
      <c r="S12358" s="178"/>
    </row>
    <row r="12359" spans="18:19">
      <c r="R12359" s="178"/>
      <c r="S12359" s="178"/>
    </row>
    <row r="12360" spans="18:19">
      <c r="R12360" s="178"/>
      <c r="S12360" s="178"/>
    </row>
    <row r="12361" spans="18:19">
      <c r="R12361" s="178"/>
      <c r="S12361" s="178"/>
    </row>
    <row r="12362" spans="18:19">
      <c r="R12362" s="178"/>
      <c r="S12362" s="178"/>
    </row>
    <row r="12363" spans="18:19">
      <c r="R12363" s="178"/>
      <c r="S12363" s="178"/>
    </row>
    <row r="12364" spans="18:19">
      <c r="R12364" s="178"/>
      <c r="S12364" s="178"/>
    </row>
    <row r="12365" spans="18:19">
      <c r="R12365" s="178"/>
      <c r="S12365" s="178"/>
    </row>
    <row r="12366" spans="18:19">
      <c r="R12366" s="178"/>
      <c r="S12366" s="178"/>
    </row>
    <row r="12367" spans="18:19">
      <c r="R12367" s="178"/>
      <c r="S12367" s="178"/>
    </row>
    <row r="12368" spans="18:19">
      <c r="R12368" s="178"/>
      <c r="S12368" s="178"/>
    </row>
    <row r="12369" spans="18:19">
      <c r="R12369" s="178"/>
      <c r="S12369" s="178"/>
    </row>
    <row r="12370" spans="18:19">
      <c r="R12370" s="178"/>
      <c r="S12370" s="178"/>
    </row>
    <row r="12371" spans="18:19">
      <c r="R12371" s="178"/>
      <c r="S12371" s="178"/>
    </row>
    <row r="12372" spans="18:19">
      <c r="R12372" s="178"/>
      <c r="S12372" s="178"/>
    </row>
    <row r="12373" spans="18:19">
      <c r="R12373" s="178"/>
      <c r="S12373" s="178"/>
    </row>
    <row r="12374" spans="18:19">
      <c r="R12374" s="178"/>
      <c r="S12374" s="178"/>
    </row>
    <row r="12375" spans="18:19">
      <c r="R12375" s="178"/>
      <c r="S12375" s="178"/>
    </row>
    <row r="12376" spans="18:19">
      <c r="R12376" s="178"/>
      <c r="S12376" s="178"/>
    </row>
    <row r="12377" spans="18:19">
      <c r="R12377" s="178"/>
      <c r="S12377" s="178"/>
    </row>
    <row r="12378" spans="18:19">
      <c r="R12378" s="178"/>
      <c r="S12378" s="178"/>
    </row>
    <row r="12379" spans="18:19">
      <c r="R12379" s="178"/>
      <c r="S12379" s="178"/>
    </row>
    <row r="12380" spans="18:19">
      <c r="R12380" s="178"/>
      <c r="S12380" s="178"/>
    </row>
    <row r="12381" spans="18:19">
      <c r="R12381" s="178"/>
      <c r="S12381" s="178"/>
    </row>
    <row r="12382" spans="18:19">
      <c r="R12382" s="178"/>
      <c r="S12382" s="178"/>
    </row>
    <row r="12383" spans="18:19">
      <c r="R12383" s="178"/>
      <c r="S12383" s="178"/>
    </row>
    <row r="12384" spans="18:19">
      <c r="R12384" s="178"/>
      <c r="S12384" s="178"/>
    </row>
    <row r="12385" spans="18:19">
      <c r="R12385" s="178"/>
      <c r="S12385" s="178"/>
    </row>
    <row r="12386" spans="18:19">
      <c r="R12386" s="178"/>
      <c r="S12386" s="178"/>
    </row>
    <row r="12387" spans="18:19">
      <c r="R12387" s="178"/>
      <c r="S12387" s="178"/>
    </row>
    <row r="12388" spans="18:19">
      <c r="R12388" s="178"/>
      <c r="S12388" s="178"/>
    </row>
    <row r="12389" spans="18:19">
      <c r="R12389" s="178"/>
      <c r="S12389" s="178"/>
    </row>
    <row r="12390" spans="18:19">
      <c r="R12390" s="178"/>
      <c r="S12390" s="178"/>
    </row>
    <row r="12391" spans="18:19">
      <c r="R12391" s="178"/>
      <c r="S12391" s="178"/>
    </row>
    <row r="12392" spans="18:19">
      <c r="R12392" s="178"/>
      <c r="S12392" s="178"/>
    </row>
    <row r="12393" spans="18:19">
      <c r="R12393" s="178"/>
      <c r="S12393" s="178"/>
    </row>
    <row r="12394" spans="18:19">
      <c r="R12394" s="178"/>
      <c r="S12394" s="178"/>
    </row>
    <row r="12395" spans="18:19">
      <c r="R12395" s="178"/>
      <c r="S12395" s="178"/>
    </row>
    <row r="12396" spans="18:19">
      <c r="R12396" s="178"/>
      <c r="S12396" s="178"/>
    </row>
    <row r="12397" spans="18:19">
      <c r="R12397" s="178"/>
      <c r="S12397" s="178"/>
    </row>
    <row r="12398" spans="18:19">
      <c r="R12398" s="178"/>
      <c r="S12398" s="178"/>
    </row>
    <row r="12399" spans="18:19">
      <c r="R12399" s="178"/>
      <c r="S12399" s="178"/>
    </row>
    <row r="12400" spans="18:19">
      <c r="R12400" s="178"/>
      <c r="S12400" s="178"/>
    </row>
    <row r="12401" spans="18:19">
      <c r="R12401" s="178"/>
      <c r="S12401" s="178"/>
    </row>
    <row r="12402" spans="18:19">
      <c r="R12402" s="178"/>
      <c r="S12402" s="178"/>
    </row>
    <row r="12403" spans="18:19">
      <c r="R12403" s="178"/>
      <c r="S12403" s="178"/>
    </row>
    <row r="12404" spans="18:19">
      <c r="R12404" s="178"/>
      <c r="S12404" s="178"/>
    </row>
    <row r="12405" spans="18:19">
      <c r="R12405" s="178"/>
      <c r="S12405" s="178"/>
    </row>
    <row r="12406" spans="18:19">
      <c r="R12406" s="178"/>
      <c r="S12406" s="178"/>
    </row>
    <row r="12407" spans="18:19">
      <c r="R12407" s="178"/>
      <c r="S12407" s="178"/>
    </row>
    <row r="12408" spans="18:19">
      <c r="R12408" s="178"/>
      <c r="S12408" s="178"/>
    </row>
    <row r="12409" spans="18:19">
      <c r="R12409" s="178"/>
      <c r="S12409" s="178"/>
    </row>
    <row r="12410" spans="18:19">
      <c r="R12410" s="178"/>
      <c r="S12410" s="178"/>
    </row>
    <row r="12411" spans="18:19">
      <c r="R12411" s="178"/>
      <c r="S12411" s="178"/>
    </row>
    <row r="12412" spans="18:19">
      <c r="R12412" s="178"/>
      <c r="S12412" s="178"/>
    </row>
    <row r="12413" spans="18:19">
      <c r="R12413" s="178"/>
      <c r="S12413" s="178"/>
    </row>
    <row r="12414" spans="18:19">
      <c r="R12414" s="178"/>
      <c r="S12414" s="178"/>
    </row>
    <row r="12415" spans="18:19">
      <c r="R12415" s="178"/>
      <c r="S12415" s="178"/>
    </row>
    <row r="12416" spans="18:19">
      <c r="R12416" s="178"/>
      <c r="S12416" s="178"/>
    </row>
    <row r="12417" spans="18:19">
      <c r="R12417" s="178"/>
      <c r="S12417" s="178"/>
    </row>
    <row r="12418" spans="18:19">
      <c r="R12418" s="178"/>
      <c r="S12418" s="178"/>
    </row>
    <row r="12419" spans="18:19">
      <c r="R12419" s="178"/>
      <c r="S12419" s="178"/>
    </row>
    <row r="12420" spans="18:19">
      <c r="R12420" s="178"/>
      <c r="S12420" s="178"/>
    </row>
    <row r="12421" spans="18:19">
      <c r="R12421" s="178"/>
      <c r="S12421" s="178"/>
    </row>
    <row r="12422" spans="18:19">
      <c r="R12422" s="178"/>
      <c r="S12422" s="178"/>
    </row>
    <row r="12423" spans="18:19">
      <c r="R12423" s="178"/>
      <c r="S12423" s="178"/>
    </row>
    <row r="12424" spans="18:19">
      <c r="R12424" s="178"/>
      <c r="S12424" s="178"/>
    </row>
    <row r="12425" spans="18:19">
      <c r="R12425" s="178"/>
      <c r="S12425" s="178"/>
    </row>
    <row r="12426" spans="18:19">
      <c r="R12426" s="178"/>
      <c r="S12426" s="178"/>
    </row>
    <row r="12427" spans="18:19">
      <c r="R12427" s="178"/>
      <c r="S12427" s="178"/>
    </row>
    <row r="12428" spans="18:19">
      <c r="R12428" s="178"/>
      <c r="S12428" s="178"/>
    </row>
    <row r="12429" spans="18:19">
      <c r="R12429" s="178"/>
      <c r="S12429" s="178"/>
    </row>
    <row r="12430" spans="18:19">
      <c r="R12430" s="178"/>
      <c r="S12430" s="178"/>
    </row>
    <row r="12431" spans="18:19">
      <c r="R12431" s="178"/>
      <c r="S12431" s="178"/>
    </row>
    <row r="12432" spans="18:19">
      <c r="R12432" s="178"/>
      <c r="S12432" s="178"/>
    </row>
    <row r="12433" spans="18:19">
      <c r="R12433" s="178"/>
      <c r="S12433" s="178"/>
    </row>
    <row r="12434" spans="18:19">
      <c r="R12434" s="178"/>
      <c r="S12434" s="178"/>
    </row>
    <row r="12435" spans="18:19">
      <c r="R12435" s="178"/>
      <c r="S12435" s="178"/>
    </row>
    <row r="12436" spans="18:19">
      <c r="R12436" s="178"/>
      <c r="S12436" s="178"/>
    </row>
    <row r="12437" spans="18:19">
      <c r="R12437" s="178"/>
      <c r="S12437" s="178"/>
    </row>
    <row r="12438" spans="18:19">
      <c r="R12438" s="178"/>
      <c r="S12438" s="178"/>
    </row>
    <row r="12439" spans="18:19">
      <c r="R12439" s="178"/>
      <c r="S12439" s="178"/>
    </row>
    <row r="12440" spans="18:19">
      <c r="R12440" s="178"/>
      <c r="S12440" s="178"/>
    </row>
    <row r="12441" spans="18:19">
      <c r="R12441" s="178"/>
      <c r="S12441" s="178"/>
    </row>
    <row r="12442" spans="18:19">
      <c r="R12442" s="178"/>
      <c r="S12442" s="178"/>
    </row>
    <row r="12443" spans="18:19">
      <c r="R12443" s="178"/>
      <c r="S12443" s="178"/>
    </row>
    <row r="12444" spans="18:19">
      <c r="R12444" s="178"/>
      <c r="S12444" s="178"/>
    </row>
    <row r="12445" spans="18:19">
      <c r="R12445" s="178"/>
      <c r="S12445" s="178"/>
    </row>
    <row r="12446" spans="18:19">
      <c r="R12446" s="178"/>
      <c r="S12446" s="178"/>
    </row>
    <row r="12447" spans="18:19">
      <c r="R12447" s="178"/>
      <c r="S12447" s="178"/>
    </row>
    <row r="12448" spans="18:19">
      <c r="R12448" s="178"/>
      <c r="S12448" s="178"/>
    </row>
    <row r="12449" spans="18:19">
      <c r="R12449" s="178"/>
      <c r="S12449" s="178"/>
    </row>
    <row r="12450" spans="18:19">
      <c r="R12450" s="178"/>
      <c r="S12450" s="178"/>
    </row>
    <row r="12451" spans="18:19">
      <c r="R12451" s="178"/>
      <c r="S12451" s="178"/>
    </row>
    <row r="12452" spans="18:19">
      <c r="R12452" s="178"/>
      <c r="S12452" s="178"/>
    </row>
    <row r="12453" spans="18:19">
      <c r="R12453" s="178"/>
      <c r="S12453" s="178"/>
    </row>
    <row r="12454" spans="18:19">
      <c r="R12454" s="178"/>
      <c r="S12454" s="178"/>
    </row>
    <row r="12455" spans="18:19">
      <c r="R12455" s="178"/>
      <c r="S12455" s="178"/>
    </row>
    <row r="12456" spans="18:19">
      <c r="R12456" s="178"/>
      <c r="S12456" s="178"/>
    </row>
    <row r="12457" spans="18:19">
      <c r="R12457" s="178"/>
      <c r="S12457" s="178"/>
    </row>
    <row r="12458" spans="18:19">
      <c r="R12458" s="178"/>
      <c r="S12458" s="178"/>
    </row>
    <row r="12459" spans="18:19">
      <c r="R12459" s="178"/>
      <c r="S12459" s="178"/>
    </row>
    <row r="12460" spans="18:19">
      <c r="R12460" s="178"/>
      <c r="S12460" s="178"/>
    </row>
    <row r="12461" spans="18:19">
      <c r="R12461" s="178"/>
      <c r="S12461" s="178"/>
    </row>
    <row r="12462" spans="18:19">
      <c r="R12462" s="178"/>
      <c r="S12462" s="178"/>
    </row>
    <row r="12463" spans="18:19">
      <c r="R12463" s="178"/>
      <c r="S12463" s="178"/>
    </row>
    <row r="12464" spans="18:19">
      <c r="R12464" s="178"/>
      <c r="S12464" s="178"/>
    </row>
    <row r="12465" spans="18:19">
      <c r="R12465" s="178"/>
      <c r="S12465" s="178"/>
    </row>
    <row r="12466" spans="18:19">
      <c r="R12466" s="178"/>
      <c r="S12466" s="178"/>
    </row>
    <row r="12467" spans="18:19">
      <c r="R12467" s="178"/>
      <c r="S12467" s="178"/>
    </row>
    <row r="12468" spans="18:19">
      <c r="R12468" s="178"/>
      <c r="S12468" s="178"/>
    </row>
    <row r="12469" spans="18:19">
      <c r="R12469" s="178"/>
      <c r="S12469" s="178"/>
    </row>
    <row r="12470" spans="18:19">
      <c r="R12470" s="178"/>
      <c r="S12470" s="178"/>
    </row>
    <row r="12471" spans="18:19">
      <c r="R12471" s="178"/>
      <c r="S12471" s="178"/>
    </row>
    <row r="12472" spans="18:19">
      <c r="R12472" s="178"/>
      <c r="S12472" s="178"/>
    </row>
    <row r="12473" spans="18:19">
      <c r="R12473" s="178"/>
      <c r="S12473" s="178"/>
    </row>
    <row r="12474" spans="18:19">
      <c r="R12474" s="178"/>
      <c r="S12474" s="178"/>
    </row>
    <row r="12475" spans="18:19">
      <c r="R12475" s="178"/>
      <c r="S12475" s="178"/>
    </row>
    <row r="12476" spans="18:19">
      <c r="R12476" s="178"/>
      <c r="S12476" s="178"/>
    </row>
    <row r="12477" spans="18:19">
      <c r="R12477" s="178"/>
      <c r="S12477" s="178"/>
    </row>
    <row r="12478" spans="18:19">
      <c r="R12478" s="178"/>
      <c r="S12478" s="178"/>
    </row>
    <row r="12479" spans="18:19">
      <c r="R12479" s="178"/>
      <c r="S12479" s="178"/>
    </row>
    <row r="12480" spans="18:19">
      <c r="R12480" s="178"/>
      <c r="S12480" s="178"/>
    </row>
    <row r="12481" spans="18:19">
      <c r="R12481" s="178"/>
      <c r="S12481" s="178"/>
    </row>
    <row r="12482" spans="18:19">
      <c r="R12482" s="178"/>
      <c r="S12482" s="178"/>
    </row>
    <row r="12483" spans="18:19">
      <c r="R12483" s="178"/>
      <c r="S12483" s="178"/>
    </row>
    <row r="12484" spans="18:19">
      <c r="R12484" s="178"/>
      <c r="S12484" s="178"/>
    </row>
    <row r="12485" spans="18:19">
      <c r="R12485" s="178"/>
      <c r="S12485" s="178"/>
    </row>
    <row r="12486" spans="18:19">
      <c r="R12486" s="178"/>
      <c r="S12486" s="178"/>
    </row>
    <row r="12487" spans="18:19">
      <c r="R12487" s="178"/>
      <c r="S12487" s="178"/>
    </row>
    <row r="12488" spans="18:19">
      <c r="R12488" s="178"/>
      <c r="S12488" s="178"/>
    </row>
    <row r="12489" spans="18:19">
      <c r="R12489" s="178"/>
      <c r="S12489" s="178"/>
    </row>
    <row r="12490" spans="18:19">
      <c r="R12490" s="178"/>
      <c r="S12490" s="178"/>
    </row>
    <row r="12491" spans="18:19">
      <c r="R12491" s="178"/>
      <c r="S12491" s="178"/>
    </row>
    <row r="12492" spans="18:19">
      <c r="R12492" s="178"/>
      <c r="S12492" s="178"/>
    </row>
    <row r="12493" spans="18:19">
      <c r="R12493" s="178"/>
      <c r="S12493" s="178"/>
    </row>
    <row r="12494" spans="18:19">
      <c r="R12494" s="178"/>
      <c r="S12494" s="178"/>
    </row>
    <row r="12495" spans="18:19">
      <c r="R12495" s="178"/>
      <c r="S12495" s="178"/>
    </row>
    <row r="12496" spans="18:19">
      <c r="R12496" s="178"/>
      <c r="S12496" s="178"/>
    </row>
    <row r="12497" spans="18:19">
      <c r="R12497" s="178"/>
      <c r="S12497" s="178"/>
    </row>
    <row r="12498" spans="18:19">
      <c r="R12498" s="178"/>
      <c r="S12498" s="178"/>
    </row>
    <row r="12499" spans="18:19">
      <c r="R12499" s="178"/>
      <c r="S12499" s="178"/>
    </row>
    <row r="12500" spans="18:19">
      <c r="R12500" s="178"/>
      <c r="S12500" s="178"/>
    </row>
    <row r="12501" spans="18:19">
      <c r="R12501" s="178"/>
      <c r="S12501" s="178"/>
    </row>
    <row r="12502" spans="18:19">
      <c r="R12502" s="178"/>
      <c r="S12502" s="178"/>
    </row>
    <row r="12503" spans="18:19">
      <c r="R12503" s="178"/>
      <c r="S12503" s="178"/>
    </row>
    <row r="12504" spans="18:19">
      <c r="R12504" s="178"/>
      <c r="S12504" s="178"/>
    </row>
    <row r="12505" spans="18:19">
      <c r="R12505" s="178"/>
      <c r="S12505" s="178"/>
    </row>
    <row r="12506" spans="18:19">
      <c r="R12506" s="178"/>
      <c r="S12506" s="178"/>
    </row>
    <row r="12507" spans="18:19">
      <c r="R12507" s="178"/>
      <c r="S12507" s="178"/>
    </row>
    <row r="12508" spans="18:19">
      <c r="R12508" s="178"/>
      <c r="S12508" s="178"/>
    </row>
    <row r="12509" spans="18:19">
      <c r="R12509" s="178"/>
      <c r="S12509" s="178"/>
    </row>
    <row r="12510" spans="18:19">
      <c r="R12510" s="178"/>
      <c r="S12510" s="178"/>
    </row>
    <row r="12511" spans="18:19">
      <c r="R12511" s="178"/>
      <c r="S12511" s="178"/>
    </row>
    <row r="12512" spans="18:19">
      <c r="R12512" s="178"/>
      <c r="S12512" s="178"/>
    </row>
    <row r="12513" spans="18:19">
      <c r="R12513" s="178"/>
      <c r="S12513" s="178"/>
    </row>
    <row r="12514" spans="18:19">
      <c r="R12514" s="178"/>
      <c r="S12514" s="178"/>
    </row>
    <row r="12515" spans="18:19">
      <c r="R12515" s="178"/>
      <c r="S12515" s="178"/>
    </row>
    <row r="12516" spans="18:19">
      <c r="R12516" s="178"/>
      <c r="S12516" s="178"/>
    </row>
    <row r="12517" spans="18:19">
      <c r="R12517" s="178"/>
      <c r="S12517" s="178"/>
    </row>
    <row r="12518" spans="18:19">
      <c r="R12518" s="178"/>
      <c r="S12518" s="178"/>
    </row>
    <row r="12519" spans="18:19">
      <c r="R12519" s="178"/>
      <c r="S12519" s="178"/>
    </row>
    <row r="12520" spans="18:19">
      <c r="R12520" s="178"/>
      <c r="S12520" s="178"/>
    </row>
    <row r="12521" spans="18:19">
      <c r="R12521" s="178"/>
      <c r="S12521" s="178"/>
    </row>
    <row r="12522" spans="18:19">
      <c r="R12522" s="178"/>
      <c r="S12522" s="178"/>
    </row>
    <row r="12523" spans="18:19">
      <c r="R12523" s="178"/>
      <c r="S12523" s="178"/>
    </row>
    <row r="12524" spans="18:19">
      <c r="R12524" s="178"/>
      <c r="S12524" s="178"/>
    </row>
    <row r="12525" spans="18:19">
      <c r="R12525" s="178"/>
      <c r="S12525" s="178"/>
    </row>
    <row r="12526" spans="18:19">
      <c r="R12526" s="178"/>
      <c r="S12526" s="178"/>
    </row>
    <row r="12527" spans="18:19">
      <c r="R12527" s="178"/>
      <c r="S12527" s="178"/>
    </row>
    <row r="12528" spans="18:19">
      <c r="R12528" s="178"/>
      <c r="S12528" s="178"/>
    </row>
    <row r="12529" spans="18:19">
      <c r="R12529" s="178"/>
      <c r="S12529" s="178"/>
    </row>
    <row r="12530" spans="18:19">
      <c r="R12530" s="178"/>
      <c r="S12530" s="178"/>
    </row>
    <row r="12531" spans="18:19">
      <c r="R12531" s="178"/>
      <c r="S12531" s="178"/>
    </row>
    <row r="12532" spans="18:19">
      <c r="R12532" s="178"/>
      <c r="S12532" s="178"/>
    </row>
    <row r="12533" spans="18:19">
      <c r="R12533" s="178"/>
      <c r="S12533" s="178"/>
    </row>
    <row r="12534" spans="18:19">
      <c r="R12534" s="178"/>
      <c r="S12534" s="178"/>
    </row>
    <row r="12535" spans="18:19">
      <c r="R12535" s="178"/>
      <c r="S12535" s="178"/>
    </row>
    <row r="12536" spans="18:19">
      <c r="R12536" s="178"/>
      <c r="S12536" s="178"/>
    </row>
    <row r="12537" spans="18:19">
      <c r="R12537" s="178"/>
      <c r="S12537" s="178"/>
    </row>
    <row r="12538" spans="18:19">
      <c r="R12538" s="178"/>
      <c r="S12538" s="178"/>
    </row>
    <row r="12539" spans="18:19">
      <c r="R12539" s="178"/>
      <c r="S12539" s="178"/>
    </row>
    <row r="12540" spans="18:19">
      <c r="R12540" s="178"/>
      <c r="S12540" s="178"/>
    </row>
    <row r="12541" spans="18:19">
      <c r="R12541" s="178"/>
      <c r="S12541" s="178"/>
    </row>
    <row r="12542" spans="18:19">
      <c r="R12542" s="178"/>
      <c r="S12542" s="178"/>
    </row>
    <row r="12543" spans="18:19">
      <c r="R12543" s="178"/>
      <c r="S12543" s="178"/>
    </row>
    <row r="12544" spans="18:19">
      <c r="R12544" s="178"/>
      <c r="S12544" s="178"/>
    </row>
    <row r="12545" spans="18:19">
      <c r="R12545" s="178"/>
      <c r="S12545" s="178"/>
    </row>
    <row r="12546" spans="18:19">
      <c r="R12546" s="178"/>
      <c r="S12546" s="178"/>
    </row>
    <row r="12547" spans="18:19">
      <c r="R12547" s="178"/>
      <c r="S12547" s="178"/>
    </row>
    <row r="12548" spans="18:19">
      <c r="R12548" s="178"/>
      <c r="S12548" s="178"/>
    </row>
    <row r="12549" spans="18:19">
      <c r="R12549" s="178"/>
      <c r="S12549" s="178"/>
    </row>
    <row r="12550" spans="18:19">
      <c r="R12550" s="178"/>
      <c r="S12550" s="178"/>
    </row>
    <row r="12551" spans="18:19">
      <c r="R12551" s="178"/>
      <c r="S12551" s="178"/>
    </row>
    <row r="12552" spans="18:19">
      <c r="R12552" s="178"/>
      <c r="S12552" s="178"/>
    </row>
    <row r="12553" spans="18:19">
      <c r="R12553" s="178"/>
      <c r="S12553" s="178"/>
    </row>
    <row r="12554" spans="18:19">
      <c r="R12554" s="178"/>
      <c r="S12554" s="178"/>
    </row>
    <row r="12555" spans="18:19">
      <c r="R12555" s="178"/>
      <c r="S12555" s="178"/>
    </row>
    <row r="12556" spans="18:19">
      <c r="R12556" s="178"/>
      <c r="S12556" s="178"/>
    </row>
    <row r="12557" spans="18:19">
      <c r="R12557" s="178"/>
      <c r="S12557" s="178"/>
    </row>
    <row r="12558" spans="18:19">
      <c r="R12558" s="178"/>
      <c r="S12558" s="178"/>
    </row>
    <row r="12559" spans="18:19">
      <c r="R12559" s="178"/>
      <c r="S12559" s="178"/>
    </row>
    <row r="12560" spans="18:19">
      <c r="R12560" s="178"/>
      <c r="S12560" s="178"/>
    </row>
    <row r="12561" spans="18:19">
      <c r="R12561" s="178"/>
      <c r="S12561" s="178"/>
    </row>
    <row r="12562" spans="18:19">
      <c r="R12562" s="178"/>
      <c r="S12562" s="178"/>
    </row>
    <row r="12563" spans="18:19">
      <c r="R12563" s="178"/>
      <c r="S12563" s="178"/>
    </row>
    <row r="12564" spans="18:19">
      <c r="R12564" s="178"/>
      <c r="S12564" s="178"/>
    </row>
    <row r="12565" spans="18:19">
      <c r="R12565" s="178"/>
      <c r="S12565" s="178"/>
    </row>
    <row r="12566" spans="18:19">
      <c r="R12566" s="178"/>
      <c r="S12566" s="178"/>
    </row>
    <row r="12567" spans="18:19">
      <c r="R12567" s="178"/>
      <c r="S12567" s="178"/>
    </row>
    <row r="12568" spans="18:19">
      <c r="R12568" s="178"/>
      <c r="S12568" s="178"/>
    </row>
    <row r="12569" spans="18:19">
      <c r="R12569" s="178"/>
      <c r="S12569" s="178"/>
    </row>
    <row r="12570" spans="18:19">
      <c r="R12570" s="178"/>
      <c r="S12570" s="178"/>
    </row>
    <row r="12571" spans="18:19">
      <c r="R12571" s="178"/>
      <c r="S12571" s="178"/>
    </row>
    <row r="12572" spans="18:19">
      <c r="R12572" s="178"/>
      <c r="S12572" s="178"/>
    </row>
    <row r="12573" spans="18:19">
      <c r="R12573" s="178"/>
      <c r="S12573" s="178"/>
    </row>
    <row r="12574" spans="18:19">
      <c r="R12574" s="178"/>
      <c r="S12574" s="178"/>
    </row>
    <row r="12575" spans="18:19">
      <c r="R12575" s="178"/>
      <c r="S12575" s="178"/>
    </row>
    <row r="12576" spans="18:19">
      <c r="R12576" s="178"/>
      <c r="S12576" s="178"/>
    </row>
    <row r="12577" spans="18:19">
      <c r="R12577" s="178"/>
      <c r="S12577" s="178"/>
    </row>
    <row r="12578" spans="18:19">
      <c r="R12578" s="178"/>
      <c r="S12578" s="178"/>
    </row>
    <row r="12579" spans="18:19">
      <c r="R12579" s="178"/>
      <c r="S12579" s="178"/>
    </row>
    <row r="12580" spans="18:19">
      <c r="R12580" s="178"/>
      <c r="S12580" s="178"/>
    </row>
    <row r="12581" spans="18:19">
      <c r="R12581" s="178"/>
      <c r="S12581" s="178"/>
    </row>
    <row r="12582" spans="18:19">
      <c r="R12582" s="178"/>
      <c r="S12582" s="178"/>
    </row>
    <row r="12583" spans="18:19">
      <c r="R12583" s="178"/>
      <c r="S12583" s="178"/>
    </row>
    <row r="12584" spans="18:19">
      <c r="R12584" s="178"/>
      <c r="S12584" s="178"/>
    </row>
    <row r="12585" spans="18:19">
      <c r="R12585" s="178"/>
      <c r="S12585" s="178"/>
    </row>
    <row r="12586" spans="18:19">
      <c r="R12586" s="178"/>
      <c r="S12586" s="178"/>
    </row>
    <row r="12587" spans="18:19">
      <c r="R12587" s="178"/>
      <c r="S12587" s="178"/>
    </row>
    <row r="12588" spans="18:19">
      <c r="R12588" s="178"/>
      <c r="S12588" s="178"/>
    </row>
    <row r="12589" spans="18:19">
      <c r="R12589" s="178"/>
      <c r="S12589" s="178"/>
    </row>
    <row r="12590" spans="18:19">
      <c r="R12590" s="178"/>
      <c r="S12590" s="178"/>
    </row>
    <row r="12591" spans="18:19">
      <c r="R12591" s="178"/>
      <c r="S12591" s="178"/>
    </row>
    <row r="12592" spans="18:19">
      <c r="R12592" s="178"/>
      <c r="S12592" s="178"/>
    </row>
    <row r="12593" spans="18:19">
      <c r="R12593" s="178"/>
      <c r="S12593" s="178"/>
    </row>
    <row r="12594" spans="18:19">
      <c r="R12594" s="178"/>
      <c r="S12594" s="178"/>
    </row>
    <row r="12595" spans="18:19">
      <c r="R12595" s="178"/>
      <c r="S12595" s="178"/>
    </row>
    <row r="12596" spans="18:19">
      <c r="R12596" s="178"/>
      <c r="S12596" s="178"/>
    </row>
    <row r="12597" spans="18:19">
      <c r="R12597" s="178"/>
      <c r="S12597" s="178"/>
    </row>
    <row r="12598" spans="18:19">
      <c r="R12598" s="178"/>
      <c r="S12598" s="178"/>
    </row>
    <row r="12599" spans="18:19">
      <c r="R12599" s="178"/>
      <c r="S12599" s="178"/>
    </row>
    <row r="12600" spans="18:19">
      <c r="R12600" s="178"/>
      <c r="S12600" s="178"/>
    </row>
    <row r="12601" spans="18:19">
      <c r="R12601" s="178"/>
      <c r="S12601" s="178"/>
    </row>
    <row r="12602" spans="18:19">
      <c r="R12602" s="178"/>
      <c r="S12602" s="178"/>
    </row>
    <row r="12603" spans="18:19">
      <c r="R12603" s="178"/>
      <c r="S12603" s="178"/>
    </row>
    <row r="12604" spans="18:19">
      <c r="R12604" s="178"/>
      <c r="S12604" s="178"/>
    </row>
    <row r="12605" spans="18:19">
      <c r="R12605" s="178"/>
      <c r="S12605" s="178"/>
    </row>
    <row r="12606" spans="18:19">
      <c r="R12606" s="178"/>
      <c r="S12606" s="178"/>
    </row>
    <row r="12607" spans="18:19">
      <c r="R12607" s="178"/>
      <c r="S12607" s="178"/>
    </row>
    <row r="12608" spans="18:19">
      <c r="R12608" s="178"/>
      <c r="S12608" s="178"/>
    </row>
    <row r="12609" spans="18:19">
      <c r="R12609" s="178"/>
      <c r="S12609" s="178"/>
    </row>
    <row r="12610" spans="18:19">
      <c r="R12610" s="178"/>
      <c r="S12610" s="178"/>
    </row>
    <row r="12611" spans="18:19">
      <c r="R12611" s="178"/>
      <c r="S12611" s="178"/>
    </row>
    <row r="12612" spans="18:19">
      <c r="R12612" s="178"/>
      <c r="S12612" s="178"/>
    </row>
    <row r="12613" spans="18:19">
      <c r="R12613" s="178"/>
      <c r="S12613" s="178"/>
    </row>
    <row r="12614" spans="18:19">
      <c r="R12614" s="178"/>
      <c r="S12614" s="178"/>
    </row>
    <row r="12615" spans="18:19">
      <c r="R12615" s="178"/>
      <c r="S12615" s="178"/>
    </row>
    <row r="12616" spans="18:19">
      <c r="R12616" s="178"/>
      <c r="S12616" s="178"/>
    </row>
    <row r="12617" spans="18:19">
      <c r="R12617" s="178"/>
      <c r="S12617" s="178"/>
    </row>
    <row r="12618" spans="18:19">
      <c r="R12618" s="178"/>
      <c r="S12618" s="178"/>
    </row>
    <row r="12619" spans="18:19">
      <c r="R12619" s="178"/>
      <c r="S12619" s="178"/>
    </row>
    <row r="12620" spans="18:19">
      <c r="R12620" s="178"/>
      <c r="S12620" s="178"/>
    </row>
    <row r="12621" spans="18:19">
      <c r="R12621" s="178"/>
      <c r="S12621" s="178"/>
    </row>
    <row r="12622" spans="18:19">
      <c r="R12622" s="178"/>
      <c r="S12622" s="178"/>
    </row>
    <row r="12623" spans="18:19">
      <c r="R12623" s="178"/>
      <c r="S12623" s="178"/>
    </row>
    <row r="12624" spans="18:19">
      <c r="R12624" s="178"/>
      <c r="S12624" s="178"/>
    </row>
    <row r="12625" spans="18:19">
      <c r="R12625" s="178"/>
      <c r="S12625" s="178"/>
    </row>
    <row r="12626" spans="18:19">
      <c r="R12626" s="178"/>
      <c r="S12626" s="178"/>
    </row>
    <row r="12627" spans="18:19">
      <c r="R12627" s="178"/>
      <c r="S12627" s="178"/>
    </row>
    <row r="12628" spans="18:19">
      <c r="R12628" s="178"/>
      <c r="S12628" s="178"/>
    </row>
    <row r="12629" spans="18:19">
      <c r="R12629" s="178"/>
      <c r="S12629" s="178"/>
    </row>
    <row r="12630" spans="18:19">
      <c r="R12630" s="178"/>
      <c r="S12630" s="178"/>
    </row>
    <row r="12631" spans="18:19">
      <c r="R12631" s="178"/>
      <c r="S12631" s="178"/>
    </row>
    <row r="12632" spans="18:19">
      <c r="R12632" s="178"/>
      <c r="S12632" s="178"/>
    </row>
    <row r="12633" spans="18:19">
      <c r="R12633" s="178"/>
      <c r="S12633" s="178"/>
    </row>
    <row r="12634" spans="18:19">
      <c r="R12634" s="178"/>
      <c r="S12634" s="178"/>
    </row>
    <row r="12635" spans="18:19">
      <c r="R12635" s="178"/>
      <c r="S12635" s="178"/>
    </row>
    <row r="12636" spans="18:19">
      <c r="R12636" s="178"/>
      <c r="S12636" s="178"/>
    </row>
    <row r="12637" spans="18:19">
      <c r="R12637" s="178"/>
      <c r="S12637" s="178"/>
    </row>
    <row r="12638" spans="18:19">
      <c r="R12638" s="178"/>
      <c r="S12638" s="178"/>
    </row>
    <row r="12639" spans="18:19">
      <c r="R12639" s="178"/>
      <c r="S12639" s="178"/>
    </row>
    <row r="12640" spans="18:19">
      <c r="R12640" s="178"/>
      <c r="S12640" s="178"/>
    </row>
    <row r="12641" spans="18:19">
      <c r="R12641" s="178"/>
      <c r="S12641" s="178"/>
    </row>
    <row r="12642" spans="18:19">
      <c r="R12642" s="178"/>
      <c r="S12642" s="178"/>
    </row>
    <row r="12643" spans="18:19">
      <c r="R12643" s="178"/>
      <c r="S12643" s="178"/>
    </row>
    <row r="12644" spans="18:19">
      <c r="R12644" s="178"/>
      <c r="S12644" s="178"/>
    </row>
    <row r="12645" spans="18:19">
      <c r="R12645" s="178"/>
      <c r="S12645" s="178"/>
    </row>
    <row r="12646" spans="18:19">
      <c r="R12646" s="178"/>
      <c r="S12646" s="178"/>
    </row>
    <row r="12647" spans="18:19">
      <c r="R12647" s="178"/>
      <c r="S12647" s="178"/>
    </row>
    <row r="12648" spans="18:19">
      <c r="R12648" s="178"/>
      <c r="S12648" s="178"/>
    </row>
    <row r="12649" spans="18:19">
      <c r="R12649" s="178"/>
      <c r="S12649" s="178"/>
    </row>
    <row r="12650" spans="18:19">
      <c r="R12650" s="178"/>
      <c r="S12650" s="178"/>
    </row>
    <row r="12651" spans="18:19">
      <c r="R12651" s="178"/>
      <c r="S12651" s="178"/>
    </row>
    <row r="12652" spans="18:19">
      <c r="R12652" s="178"/>
      <c r="S12652" s="178"/>
    </row>
    <row r="12653" spans="18:19">
      <c r="R12653" s="178"/>
      <c r="S12653" s="178"/>
    </row>
    <row r="12654" spans="18:19">
      <c r="R12654" s="178"/>
      <c r="S12654" s="178"/>
    </row>
    <row r="12655" spans="18:19">
      <c r="R12655" s="178"/>
      <c r="S12655" s="178"/>
    </row>
    <row r="12656" spans="18:19">
      <c r="R12656" s="178"/>
      <c r="S12656" s="178"/>
    </row>
    <row r="12657" spans="18:19">
      <c r="R12657" s="178"/>
      <c r="S12657" s="178"/>
    </row>
    <row r="12658" spans="18:19">
      <c r="R12658" s="178"/>
      <c r="S12658" s="178"/>
    </row>
    <row r="12659" spans="18:19">
      <c r="R12659" s="178"/>
      <c r="S12659" s="178"/>
    </row>
    <row r="12660" spans="18:19">
      <c r="R12660" s="178"/>
      <c r="S12660" s="178"/>
    </row>
    <row r="12661" spans="18:19">
      <c r="R12661" s="178"/>
      <c r="S12661" s="178"/>
    </row>
    <row r="12662" spans="18:19">
      <c r="R12662" s="178"/>
      <c r="S12662" s="178"/>
    </row>
    <row r="12663" spans="18:19">
      <c r="R12663" s="178"/>
      <c r="S12663" s="178"/>
    </row>
    <row r="12664" spans="18:19">
      <c r="R12664" s="178"/>
      <c r="S12664" s="178"/>
    </row>
    <row r="12665" spans="18:19">
      <c r="R12665" s="178"/>
      <c r="S12665" s="178"/>
    </row>
    <row r="12666" spans="18:19">
      <c r="R12666" s="178"/>
      <c r="S12666" s="178"/>
    </row>
    <row r="12667" spans="18:19">
      <c r="R12667" s="178"/>
      <c r="S12667" s="178"/>
    </row>
    <row r="12668" spans="18:19">
      <c r="R12668" s="178"/>
      <c r="S12668" s="178"/>
    </row>
    <row r="12669" spans="18:19">
      <c r="R12669" s="178"/>
      <c r="S12669" s="178"/>
    </row>
    <row r="12670" spans="18:19">
      <c r="R12670" s="178"/>
      <c r="S12670" s="178"/>
    </row>
    <row r="12671" spans="18:19">
      <c r="R12671" s="178"/>
      <c r="S12671" s="178"/>
    </row>
    <row r="12672" spans="18:19">
      <c r="R12672" s="178"/>
      <c r="S12672" s="178"/>
    </row>
    <row r="12673" spans="18:19">
      <c r="R12673" s="178"/>
      <c r="S12673" s="178"/>
    </row>
    <row r="12674" spans="18:19">
      <c r="R12674" s="178"/>
      <c r="S12674" s="178"/>
    </row>
    <row r="12675" spans="18:19">
      <c r="R12675" s="178"/>
      <c r="S12675" s="178"/>
    </row>
    <row r="12676" spans="18:19">
      <c r="R12676" s="178"/>
      <c r="S12676" s="178"/>
    </row>
    <row r="12677" spans="18:19">
      <c r="R12677" s="178"/>
      <c r="S12677" s="178"/>
    </row>
    <row r="12678" spans="18:19">
      <c r="R12678" s="178"/>
      <c r="S12678" s="178"/>
    </row>
    <row r="12679" spans="18:19">
      <c r="R12679" s="178"/>
      <c r="S12679" s="178"/>
    </row>
    <row r="12680" spans="18:19">
      <c r="R12680" s="178"/>
      <c r="S12680" s="178"/>
    </row>
    <row r="12681" spans="18:19">
      <c r="R12681" s="178"/>
      <c r="S12681" s="178"/>
    </row>
    <row r="12682" spans="18:19">
      <c r="R12682" s="178"/>
      <c r="S12682" s="178"/>
    </row>
    <row r="12683" spans="18:19">
      <c r="R12683" s="178"/>
      <c r="S12683" s="178"/>
    </row>
    <row r="12684" spans="18:19">
      <c r="R12684" s="178"/>
      <c r="S12684" s="178"/>
    </row>
    <row r="12685" spans="18:19">
      <c r="R12685" s="178"/>
      <c r="S12685" s="178"/>
    </row>
    <row r="12686" spans="18:19">
      <c r="R12686" s="178"/>
      <c r="S12686" s="178"/>
    </row>
    <row r="12687" spans="18:19">
      <c r="R12687" s="178"/>
      <c r="S12687" s="178"/>
    </row>
    <row r="12688" spans="18:19">
      <c r="R12688" s="178"/>
      <c r="S12688" s="178"/>
    </row>
    <row r="12689" spans="18:19">
      <c r="R12689" s="178"/>
      <c r="S12689" s="178"/>
    </row>
    <row r="12690" spans="18:19">
      <c r="R12690" s="178"/>
      <c r="S12690" s="178"/>
    </row>
    <row r="12691" spans="18:19">
      <c r="R12691" s="178"/>
      <c r="S12691" s="178"/>
    </row>
    <row r="12692" spans="18:19">
      <c r="R12692" s="178"/>
      <c r="S12692" s="178"/>
    </row>
    <row r="12693" spans="18:19">
      <c r="R12693" s="178"/>
      <c r="S12693" s="178"/>
    </row>
    <row r="12694" spans="18:19">
      <c r="R12694" s="178"/>
      <c r="S12694" s="178"/>
    </row>
    <row r="12695" spans="18:19">
      <c r="R12695" s="178"/>
      <c r="S12695" s="178"/>
    </row>
    <row r="12696" spans="18:19">
      <c r="R12696" s="178"/>
      <c r="S12696" s="178"/>
    </row>
    <row r="12697" spans="18:19">
      <c r="R12697" s="178"/>
      <c r="S12697" s="178"/>
    </row>
    <row r="12698" spans="18:19">
      <c r="R12698" s="178"/>
      <c r="S12698" s="178"/>
    </row>
    <row r="12699" spans="18:19">
      <c r="R12699" s="178"/>
      <c r="S12699" s="178"/>
    </row>
    <row r="12700" spans="18:19">
      <c r="R12700" s="178"/>
      <c r="S12700" s="178"/>
    </row>
    <row r="12701" spans="18:19">
      <c r="R12701" s="178"/>
      <c r="S12701" s="178"/>
    </row>
    <row r="12702" spans="18:19">
      <c r="R12702" s="178"/>
      <c r="S12702" s="178"/>
    </row>
    <row r="12703" spans="18:19">
      <c r="R12703" s="178"/>
      <c r="S12703" s="178"/>
    </row>
    <row r="12704" spans="18:19">
      <c r="R12704" s="178"/>
      <c r="S12704" s="178"/>
    </row>
    <row r="12705" spans="18:19">
      <c r="R12705" s="178"/>
      <c r="S12705" s="178"/>
    </row>
    <row r="12706" spans="18:19">
      <c r="R12706" s="178"/>
      <c r="S12706" s="178"/>
    </row>
    <row r="12707" spans="18:19">
      <c r="R12707" s="178"/>
      <c r="S12707" s="178"/>
    </row>
    <row r="12708" spans="18:19">
      <c r="R12708" s="178"/>
      <c r="S12708" s="178"/>
    </row>
    <row r="12709" spans="18:19">
      <c r="R12709" s="178"/>
      <c r="S12709" s="178"/>
    </row>
    <row r="12710" spans="18:19">
      <c r="R12710" s="178"/>
      <c r="S12710" s="178"/>
    </row>
    <row r="12711" spans="18:19">
      <c r="R12711" s="178"/>
      <c r="S12711" s="178"/>
    </row>
    <row r="12712" spans="18:19">
      <c r="R12712" s="178"/>
      <c r="S12712" s="178"/>
    </row>
    <row r="12713" spans="18:19">
      <c r="R12713" s="178"/>
      <c r="S12713" s="178"/>
    </row>
    <row r="12714" spans="18:19">
      <c r="R12714" s="178"/>
      <c r="S12714" s="178"/>
    </row>
    <row r="12715" spans="18:19">
      <c r="R12715" s="178"/>
      <c r="S12715" s="178"/>
    </row>
    <row r="12716" spans="18:19">
      <c r="R12716" s="178"/>
      <c r="S12716" s="178"/>
    </row>
    <row r="12717" spans="18:19">
      <c r="R12717" s="178"/>
      <c r="S12717" s="178"/>
    </row>
    <row r="12718" spans="18:19">
      <c r="R12718" s="178"/>
      <c r="S12718" s="178"/>
    </row>
    <row r="12719" spans="18:19">
      <c r="R12719" s="178"/>
      <c r="S12719" s="178"/>
    </row>
    <row r="12720" spans="18:19">
      <c r="R12720" s="178"/>
      <c r="S12720" s="178"/>
    </row>
    <row r="12721" spans="18:19">
      <c r="R12721" s="178"/>
      <c r="S12721" s="178"/>
    </row>
    <row r="12722" spans="18:19">
      <c r="R12722" s="178"/>
      <c r="S12722" s="178"/>
    </row>
    <row r="12723" spans="18:19">
      <c r="R12723" s="178"/>
      <c r="S12723" s="178"/>
    </row>
    <row r="12724" spans="18:19">
      <c r="R12724" s="178"/>
      <c r="S12724" s="178"/>
    </row>
    <row r="12725" spans="18:19">
      <c r="R12725" s="178"/>
      <c r="S12725" s="178"/>
    </row>
    <row r="12726" spans="18:19">
      <c r="R12726" s="178"/>
      <c r="S12726" s="178"/>
    </row>
    <row r="12727" spans="18:19">
      <c r="R12727" s="178"/>
      <c r="S12727" s="178"/>
    </row>
    <row r="12728" spans="18:19">
      <c r="R12728" s="178"/>
      <c r="S12728" s="178"/>
    </row>
    <row r="12729" spans="18:19">
      <c r="R12729" s="178"/>
      <c r="S12729" s="178"/>
    </row>
    <row r="12730" spans="18:19">
      <c r="R12730" s="178"/>
      <c r="S12730" s="178"/>
    </row>
    <row r="12731" spans="18:19">
      <c r="R12731" s="178"/>
      <c r="S12731" s="178"/>
    </row>
    <row r="12732" spans="18:19">
      <c r="R12732" s="178"/>
      <c r="S12732" s="178"/>
    </row>
    <row r="12733" spans="18:19">
      <c r="R12733" s="178"/>
      <c r="S12733" s="178"/>
    </row>
    <row r="12734" spans="18:19">
      <c r="R12734" s="178"/>
      <c r="S12734" s="178"/>
    </row>
    <row r="12735" spans="18:19">
      <c r="R12735" s="178"/>
      <c r="S12735" s="178"/>
    </row>
    <row r="12736" spans="18:19">
      <c r="R12736" s="178"/>
      <c r="S12736" s="178"/>
    </row>
    <row r="12737" spans="18:19">
      <c r="R12737" s="178"/>
      <c r="S12737" s="178"/>
    </row>
    <row r="12738" spans="18:19">
      <c r="R12738" s="178"/>
      <c r="S12738" s="178"/>
    </row>
    <row r="12739" spans="18:19">
      <c r="R12739" s="178"/>
      <c r="S12739" s="178"/>
    </row>
    <row r="12740" spans="18:19">
      <c r="R12740" s="178"/>
      <c r="S12740" s="178"/>
    </row>
    <row r="12741" spans="18:19">
      <c r="R12741" s="178"/>
      <c r="S12741" s="178"/>
    </row>
    <row r="12742" spans="18:19">
      <c r="R12742" s="178"/>
      <c r="S12742" s="178"/>
    </row>
    <row r="12743" spans="18:19">
      <c r="R12743" s="178"/>
      <c r="S12743" s="178"/>
    </row>
    <row r="12744" spans="18:19">
      <c r="R12744" s="178"/>
      <c r="S12744" s="178"/>
    </row>
    <row r="12745" spans="18:19">
      <c r="R12745" s="178"/>
      <c r="S12745" s="178"/>
    </row>
    <row r="12746" spans="18:19">
      <c r="R12746" s="178"/>
      <c r="S12746" s="178"/>
    </row>
    <row r="12747" spans="18:19">
      <c r="R12747" s="178"/>
      <c r="S12747" s="178"/>
    </row>
    <row r="12748" spans="18:19">
      <c r="R12748" s="178"/>
      <c r="S12748" s="178"/>
    </row>
    <row r="12749" spans="18:19">
      <c r="R12749" s="178"/>
      <c r="S12749" s="178"/>
    </row>
    <row r="12750" spans="18:19">
      <c r="R12750" s="178"/>
      <c r="S12750" s="178"/>
    </row>
    <row r="12751" spans="18:19">
      <c r="R12751" s="178"/>
      <c r="S12751" s="178"/>
    </row>
    <row r="12752" spans="18:19">
      <c r="R12752" s="178"/>
      <c r="S12752" s="178"/>
    </row>
    <row r="12753" spans="18:19">
      <c r="R12753" s="178"/>
      <c r="S12753" s="178"/>
    </row>
    <row r="12754" spans="18:19">
      <c r="R12754" s="178"/>
      <c r="S12754" s="178"/>
    </row>
    <row r="12755" spans="18:19">
      <c r="R12755" s="178"/>
      <c r="S12755" s="178"/>
    </row>
    <row r="12756" spans="18:19">
      <c r="R12756" s="178"/>
      <c r="S12756" s="178"/>
    </row>
    <row r="12757" spans="18:19">
      <c r="R12757" s="178"/>
      <c r="S12757" s="178"/>
    </row>
    <row r="12758" spans="18:19">
      <c r="R12758" s="178"/>
      <c r="S12758" s="178"/>
    </row>
    <row r="12759" spans="18:19">
      <c r="R12759" s="178"/>
      <c r="S12759" s="178"/>
    </row>
    <row r="12760" spans="18:19">
      <c r="R12760" s="178"/>
      <c r="S12760" s="178"/>
    </row>
    <row r="12761" spans="18:19">
      <c r="R12761" s="178"/>
      <c r="S12761" s="178"/>
    </row>
    <row r="12762" spans="18:19">
      <c r="R12762" s="178"/>
      <c r="S12762" s="178"/>
    </row>
    <row r="12763" spans="18:19">
      <c r="R12763" s="178"/>
      <c r="S12763" s="178"/>
    </row>
    <row r="12764" spans="18:19">
      <c r="R12764" s="178"/>
      <c r="S12764" s="178"/>
    </row>
    <row r="12765" spans="18:19">
      <c r="R12765" s="178"/>
      <c r="S12765" s="178"/>
    </row>
    <row r="12766" spans="18:19">
      <c r="R12766" s="178"/>
      <c r="S12766" s="178"/>
    </row>
    <row r="12767" spans="18:19">
      <c r="R12767" s="178"/>
      <c r="S12767" s="178"/>
    </row>
    <row r="12768" spans="18:19">
      <c r="R12768" s="178"/>
      <c r="S12768" s="178"/>
    </row>
    <row r="12769" spans="18:19">
      <c r="R12769" s="178"/>
      <c r="S12769" s="178"/>
    </row>
    <row r="12770" spans="18:19">
      <c r="R12770" s="178"/>
      <c r="S12770" s="178"/>
    </row>
    <row r="12771" spans="18:19">
      <c r="R12771" s="178"/>
      <c r="S12771" s="178"/>
    </row>
    <row r="12772" spans="18:19">
      <c r="R12772" s="178"/>
      <c r="S12772" s="178"/>
    </row>
    <row r="12773" spans="18:19">
      <c r="R12773" s="178"/>
      <c r="S12773" s="178"/>
    </row>
    <row r="12774" spans="18:19">
      <c r="R12774" s="178"/>
      <c r="S12774" s="178"/>
    </row>
    <row r="12775" spans="18:19">
      <c r="R12775" s="178"/>
      <c r="S12775" s="178"/>
    </row>
    <row r="12776" spans="18:19">
      <c r="R12776" s="178"/>
      <c r="S12776" s="178"/>
    </row>
    <row r="12777" spans="18:19">
      <c r="R12777" s="178"/>
      <c r="S12777" s="178"/>
    </row>
    <row r="12778" spans="18:19">
      <c r="R12778" s="178"/>
      <c r="S12778" s="178"/>
    </row>
    <row r="12779" spans="18:19">
      <c r="R12779" s="178"/>
      <c r="S12779" s="178"/>
    </row>
    <row r="12780" spans="18:19">
      <c r="R12780" s="178"/>
      <c r="S12780" s="178"/>
    </row>
    <row r="12781" spans="18:19">
      <c r="R12781" s="178"/>
      <c r="S12781" s="178"/>
    </row>
    <row r="12782" spans="18:19">
      <c r="R12782" s="178"/>
      <c r="S12782" s="178"/>
    </row>
    <row r="12783" spans="18:19">
      <c r="R12783" s="178"/>
      <c r="S12783" s="178"/>
    </row>
    <row r="12784" spans="18:19">
      <c r="R12784" s="178"/>
      <c r="S12784" s="178"/>
    </row>
    <row r="12785" spans="18:19">
      <c r="R12785" s="178"/>
      <c r="S12785" s="178"/>
    </row>
    <row r="12786" spans="18:19">
      <c r="R12786" s="178"/>
      <c r="S12786" s="178"/>
    </row>
    <row r="12787" spans="18:19">
      <c r="R12787" s="178"/>
      <c r="S12787" s="178"/>
    </row>
    <row r="12788" spans="18:19">
      <c r="R12788" s="178"/>
      <c r="S12788" s="178"/>
    </row>
    <row r="12789" spans="18:19">
      <c r="R12789" s="178"/>
      <c r="S12789" s="178"/>
    </row>
    <row r="12790" spans="18:19">
      <c r="R12790" s="178"/>
      <c r="S12790" s="178"/>
    </row>
    <row r="12791" spans="18:19">
      <c r="R12791" s="178"/>
      <c r="S12791" s="178"/>
    </row>
    <row r="12792" spans="18:19">
      <c r="R12792" s="178"/>
      <c r="S12792" s="178"/>
    </row>
    <row r="12793" spans="18:19">
      <c r="R12793" s="178"/>
      <c r="S12793" s="178"/>
    </row>
    <row r="12794" spans="18:19">
      <c r="R12794" s="178"/>
      <c r="S12794" s="178"/>
    </row>
    <row r="12795" spans="18:19">
      <c r="R12795" s="178"/>
      <c r="S12795" s="178"/>
    </row>
    <row r="12796" spans="18:19">
      <c r="R12796" s="178"/>
      <c r="S12796" s="178"/>
    </row>
    <row r="12797" spans="18:19">
      <c r="R12797" s="178"/>
      <c r="S12797" s="178"/>
    </row>
    <row r="12798" spans="18:19">
      <c r="R12798" s="178"/>
      <c r="S12798" s="178"/>
    </row>
    <row r="12799" spans="18:19">
      <c r="R12799" s="178"/>
      <c r="S12799" s="178"/>
    </row>
    <row r="12800" spans="18:19">
      <c r="R12800" s="178"/>
      <c r="S12800" s="178"/>
    </row>
    <row r="12801" spans="18:19">
      <c r="R12801" s="178"/>
      <c r="S12801" s="178"/>
    </row>
    <row r="12802" spans="18:19">
      <c r="R12802" s="178"/>
      <c r="S12802" s="178"/>
    </row>
    <row r="12803" spans="18:19">
      <c r="R12803" s="178"/>
      <c r="S12803" s="178"/>
    </row>
    <row r="12804" spans="18:19">
      <c r="R12804" s="178"/>
      <c r="S12804" s="178"/>
    </row>
    <row r="12805" spans="18:19">
      <c r="R12805" s="178"/>
      <c r="S12805" s="178"/>
    </row>
    <row r="12806" spans="18:19">
      <c r="R12806" s="178"/>
      <c r="S12806" s="178"/>
    </row>
    <row r="12807" spans="18:19">
      <c r="R12807" s="178"/>
      <c r="S12807" s="178"/>
    </row>
    <row r="12808" spans="18:19">
      <c r="R12808" s="178"/>
      <c r="S12808" s="178"/>
    </row>
    <row r="12809" spans="18:19">
      <c r="R12809" s="178"/>
      <c r="S12809" s="178"/>
    </row>
    <row r="12810" spans="18:19">
      <c r="R12810" s="178"/>
      <c r="S12810" s="178"/>
    </row>
    <row r="12811" spans="18:19">
      <c r="R12811" s="178"/>
      <c r="S12811" s="178"/>
    </row>
    <row r="12812" spans="18:19">
      <c r="R12812" s="178"/>
      <c r="S12812" s="178"/>
    </row>
    <row r="12813" spans="18:19">
      <c r="R12813" s="178"/>
      <c r="S12813" s="178"/>
    </row>
    <row r="12814" spans="18:19">
      <c r="R12814" s="178"/>
      <c r="S12814" s="178"/>
    </row>
    <row r="12815" spans="18:19">
      <c r="R12815" s="178"/>
      <c r="S12815" s="178"/>
    </row>
    <row r="12816" spans="18:19">
      <c r="R12816" s="178"/>
      <c r="S12816" s="178"/>
    </row>
    <row r="12817" spans="18:19">
      <c r="R12817" s="178"/>
      <c r="S12817" s="178"/>
    </row>
    <row r="12818" spans="18:19">
      <c r="R12818" s="178"/>
      <c r="S12818" s="178"/>
    </row>
    <row r="12819" spans="18:19">
      <c r="R12819" s="178"/>
      <c r="S12819" s="178"/>
    </row>
    <row r="12820" spans="18:19">
      <c r="R12820" s="178"/>
      <c r="S12820" s="178"/>
    </row>
    <row r="12821" spans="18:19">
      <c r="R12821" s="178"/>
      <c r="S12821" s="178"/>
    </row>
    <row r="12822" spans="18:19">
      <c r="R12822" s="178"/>
      <c r="S12822" s="178"/>
    </row>
    <row r="12823" spans="18:19">
      <c r="R12823" s="178"/>
      <c r="S12823" s="178"/>
    </row>
    <row r="12824" spans="18:19">
      <c r="R12824" s="178"/>
      <c r="S12824" s="178"/>
    </row>
    <row r="12825" spans="18:19">
      <c r="R12825" s="178"/>
      <c r="S12825" s="178"/>
    </row>
    <row r="12826" spans="18:19">
      <c r="R12826" s="178"/>
      <c r="S12826" s="178"/>
    </row>
    <row r="12827" spans="18:19">
      <c r="R12827" s="178"/>
      <c r="S12827" s="178"/>
    </row>
    <row r="12828" spans="18:19">
      <c r="R12828" s="178"/>
      <c r="S12828" s="178"/>
    </row>
    <row r="12829" spans="18:19">
      <c r="R12829" s="178"/>
      <c r="S12829" s="178"/>
    </row>
    <row r="12830" spans="18:19">
      <c r="R12830" s="178"/>
      <c r="S12830" s="178"/>
    </row>
    <row r="12831" spans="18:19">
      <c r="R12831" s="178"/>
      <c r="S12831" s="178"/>
    </row>
    <row r="12832" spans="18:19">
      <c r="R12832" s="178"/>
      <c r="S12832" s="178"/>
    </row>
    <row r="12833" spans="18:19">
      <c r="R12833" s="178"/>
      <c r="S12833" s="178"/>
    </row>
    <row r="12834" spans="18:19">
      <c r="R12834" s="178"/>
      <c r="S12834" s="178"/>
    </row>
    <row r="12835" spans="18:19">
      <c r="R12835" s="178"/>
      <c r="S12835" s="178"/>
    </row>
    <row r="12836" spans="18:19">
      <c r="R12836" s="178"/>
      <c r="S12836" s="178"/>
    </row>
    <row r="12837" spans="18:19">
      <c r="R12837" s="178"/>
      <c r="S12837" s="178"/>
    </row>
    <row r="12838" spans="18:19">
      <c r="R12838" s="178"/>
      <c r="S12838" s="178"/>
    </row>
    <row r="12839" spans="18:19">
      <c r="R12839" s="178"/>
      <c r="S12839" s="178"/>
    </row>
    <row r="12840" spans="18:19">
      <c r="R12840" s="178"/>
      <c r="S12840" s="178"/>
    </row>
    <row r="12841" spans="18:19">
      <c r="R12841" s="178"/>
      <c r="S12841" s="178"/>
    </row>
    <row r="12842" spans="18:19">
      <c r="R12842" s="178"/>
      <c r="S12842" s="178"/>
    </row>
    <row r="12843" spans="18:19">
      <c r="R12843" s="178"/>
      <c r="S12843" s="178"/>
    </row>
    <row r="12844" spans="18:19">
      <c r="R12844" s="178"/>
      <c r="S12844" s="178"/>
    </row>
    <row r="12845" spans="18:19">
      <c r="R12845" s="178"/>
      <c r="S12845" s="178"/>
    </row>
    <row r="12846" spans="18:19">
      <c r="R12846" s="178"/>
      <c r="S12846" s="178"/>
    </row>
    <row r="12847" spans="18:19">
      <c r="R12847" s="178"/>
      <c r="S12847" s="178"/>
    </row>
    <row r="12848" spans="18:19">
      <c r="R12848" s="178"/>
      <c r="S12848" s="178"/>
    </row>
    <row r="12849" spans="18:19">
      <c r="R12849" s="178"/>
      <c r="S12849" s="178"/>
    </row>
    <row r="12850" spans="18:19">
      <c r="R12850" s="178"/>
      <c r="S12850" s="178"/>
    </row>
    <row r="12851" spans="18:19">
      <c r="R12851" s="178"/>
      <c r="S12851" s="178"/>
    </row>
    <row r="12852" spans="18:19">
      <c r="R12852" s="178"/>
      <c r="S12852" s="178"/>
    </row>
    <row r="12853" spans="18:19">
      <c r="R12853" s="178"/>
      <c r="S12853" s="178"/>
    </row>
    <row r="12854" spans="18:19">
      <c r="R12854" s="178"/>
      <c r="S12854" s="178"/>
    </row>
    <row r="12855" spans="18:19">
      <c r="R12855" s="178"/>
      <c r="S12855" s="178"/>
    </row>
    <row r="12856" spans="18:19">
      <c r="R12856" s="178"/>
      <c r="S12856" s="178"/>
    </row>
    <row r="12857" spans="18:19">
      <c r="R12857" s="178"/>
      <c r="S12857" s="178"/>
    </row>
    <row r="12858" spans="18:19">
      <c r="R12858" s="178"/>
      <c r="S12858" s="178"/>
    </row>
    <row r="12859" spans="18:19">
      <c r="R12859" s="178"/>
      <c r="S12859" s="178"/>
    </row>
    <row r="12860" spans="18:19">
      <c r="R12860" s="178"/>
      <c r="S12860" s="178"/>
    </row>
    <row r="12861" spans="18:19">
      <c r="R12861" s="178"/>
      <c r="S12861" s="178"/>
    </row>
    <row r="12862" spans="18:19">
      <c r="R12862" s="178"/>
      <c r="S12862" s="178"/>
    </row>
    <row r="12863" spans="18:19">
      <c r="R12863" s="178"/>
      <c r="S12863" s="178"/>
    </row>
    <row r="12864" spans="18:19">
      <c r="R12864" s="178"/>
      <c r="S12864" s="178"/>
    </row>
    <row r="12865" spans="18:19">
      <c r="R12865" s="178"/>
      <c r="S12865" s="178"/>
    </row>
    <row r="12866" spans="18:19">
      <c r="R12866" s="178"/>
      <c r="S12866" s="178"/>
    </row>
    <row r="12867" spans="18:19">
      <c r="R12867" s="178"/>
      <c r="S12867" s="178"/>
    </row>
    <row r="12868" spans="18:19">
      <c r="R12868" s="178"/>
      <c r="S12868" s="178"/>
    </row>
    <row r="12869" spans="18:19">
      <c r="R12869" s="178"/>
      <c r="S12869" s="178"/>
    </row>
    <row r="12870" spans="18:19">
      <c r="R12870" s="178"/>
      <c r="S12870" s="178"/>
    </row>
    <row r="12871" spans="18:19">
      <c r="R12871" s="178"/>
      <c r="S12871" s="178"/>
    </row>
    <row r="12872" spans="18:19">
      <c r="R12872" s="178"/>
      <c r="S12872" s="178"/>
    </row>
    <row r="12873" spans="18:19">
      <c r="R12873" s="178"/>
      <c r="S12873" s="178"/>
    </row>
    <row r="12874" spans="18:19">
      <c r="R12874" s="178"/>
      <c r="S12874" s="178"/>
    </row>
    <row r="12875" spans="18:19">
      <c r="R12875" s="178"/>
      <c r="S12875" s="178"/>
    </row>
    <row r="12876" spans="18:19">
      <c r="R12876" s="178"/>
      <c r="S12876" s="178"/>
    </row>
    <row r="12877" spans="18:19">
      <c r="R12877" s="178"/>
      <c r="S12877" s="178"/>
    </row>
    <row r="12878" spans="18:19">
      <c r="R12878" s="178"/>
      <c r="S12878" s="178"/>
    </row>
    <row r="12879" spans="18:19">
      <c r="R12879" s="178"/>
      <c r="S12879" s="178"/>
    </row>
    <row r="12880" spans="18:19">
      <c r="R12880" s="178"/>
      <c r="S12880" s="178"/>
    </row>
    <row r="12881" spans="18:19">
      <c r="R12881" s="178"/>
      <c r="S12881" s="178"/>
    </row>
    <row r="12882" spans="18:19">
      <c r="R12882" s="178"/>
      <c r="S12882" s="178"/>
    </row>
    <row r="12883" spans="18:19">
      <c r="R12883" s="178"/>
      <c r="S12883" s="178"/>
    </row>
    <row r="12884" spans="18:19">
      <c r="R12884" s="178"/>
      <c r="S12884" s="178"/>
    </row>
    <row r="12885" spans="18:19">
      <c r="R12885" s="178"/>
      <c r="S12885" s="178"/>
    </row>
    <row r="12886" spans="18:19">
      <c r="R12886" s="178"/>
      <c r="S12886" s="178"/>
    </row>
    <row r="12887" spans="18:19">
      <c r="R12887" s="178"/>
      <c r="S12887" s="178"/>
    </row>
    <row r="12888" spans="18:19">
      <c r="R12888" s="178"/>
      <c r="S12888" s="178"/>
    </row>
    <row r="12889" spans="18:19">
      <c r="R12889" s="178"/>
      <c r="S12889" s="178"/>
    </row>
    <row r="12890" spans="18:19">
      <c r="R12890" s="178"/>
      <c r="S12890" s="178"/>
    </row>
    <row r="12891" spans="18:19">
      <c r="R12891" s="178"/>
      <c r="S12891" s="178"/>
    </row>
    <row r="12892" spans="18:19">
      <c r="R12892" s="178"/>
      <c r="S12892" s="178"/>
    </row>
    <row r="12893" spans="18:19">
      <c r="R12893" s="178"/>
      <c r="S12893" s="178"/>
    </row>
    <row r="12894" spans="18:19">
      <c r="R12894" s="178"/>
      <c r="S12894" s="178"/>
    </row>
    <row r="12895" spans="18:19">
      <c r="R12895" s="178"/>
      <c r="S12895" s="178"/>
    </row>
    <row r="12896" spans="18:19">
      <c r="R12896" s="178"/>
      <c r="S12896" s="178"/>
    </row>
    <row r="12897" spans="18:19">
      <c r="R12897" s="178"/>
      <c r="S12897" s="178"/>
    </row>
    <row r="12898" spans="18:19">
      <c r="R12898" s="178"/>
      <c r="S12898" s="178"/>
    </row>
    <row r="12899" spans="18:19">
      <c r="R12899" s="178"/>
      <c r="S12899" s="178"/>
    </row>
    <row r="12900" spans="18:19">
      <c r="R12900" s="178"/>
      <c r="S12900" s="178"/>
    </row>
    <row r="12901" spans="18:19">
      <c r="R12901" s="178"/>
      <c r="S12901" s="178"/>
    </row>
    <row r="12902" spans="18:19">
      <c r="R12902" s="178"/>
      <c r="S12902" s="178"/>
    </row>
    <row r="12903" spans="18:19">
      <c r="R12903" s="178"/>
      <c r="S12903" s="178"/>
    </row>
    <row r="12904" spans="18:19">
      <c r="R12904" s="178"/>
      <c r="S12904" s="178"/>
    </row>
    <row r="12905" spans="18:19">
      <c r="R12905" s="178"/>
      <c r="S12905" s="178"/>
    </row>
    <row r="12906" spans="18:19">
      <c r="R12906" s="178"/>
      <c r="S12906" s="178"/>
    </row>
    <row r="12907" spans="18:19">
      <c r="R12907" s="178"/>
      <c r="S12907" s="178"/>
    </row>
    <row r="12908" spans="18:19">
      <c r="R12908" s="178"/>
      <c r="S12908" s="178"/>
    </row>
    <row r="12909" spans="18:19">
      <c r="R12909" s="178"/>
      <c r="S12909" s="178"/>
    </row>
    <row r="12910" spans="18:19">
      <c r="R12910" s="178"/>
      <c r="S12910" s="178"/>
    </row>
    <row r="12911" spans="18:19">
      <c r="R12911" s="178"/>
      <c r="S12911" s="178"/>
    </row>
    <row r="12912" spans="18:19">
      <c r="R12912" s="178"/>
      <c r="S12912" s="178"/>
    </row>
    <row r="12913" spans="18:19">
      <c r="R12913" s="178"/>
      <c r="S12913" s="178"/>
    </row>
    <row r="12914" spans="18:19">
      <c r="R12914" s="178"/>
      <c r="S12914" s="178"/>
    </row>
    <row r="12915" spans="18:19">
      <c r="R12915" s="178"/>
      <c r="S12915" s="178"/>
    </row>
    <row r="12916" spans="18:19">
      <c r="R12916" s="178"/>
      <c r="S12916" s="178"/>
    </row>
    <row r="12917" spans="18:19">
      <c r="R12917" s="178"/>
      <c r="S12917" s="178"/>
    </row>
    <row r="12918" spans="18:19">
      <c r="R12918" s="178"/>
      <c r="S12918" s="178"/>
    </row>
    <row r="12919" spans="18:19">
      <c r="R12919" s="178"/>
      <c r="S12919" s="178"/>
    </row>
    <row r="12920" spans="18:19">
      <c r="R12920" s="178"/>
      <c r="S12920" s="178"/>
    </row>
    <row r="12921" spans="18:19">
      <c r="R12921" s="178"/>
      <c r="S12921" s="178"/>
    </row>
    <row r="12922" spans="18:19">
      <c r="R12922" s="178"/>
      <c r="S12922" s="178"/>
    </row>
    <row r="12923" spans="18:19">
      <c r="R12923" s="178"/>
      <c r="S12923" s="178"/>
    </row>
    <row r="12924" spans="18:19">
      <c r="R12924" s="178"/>
      <c r="S12924" s="178"/>
    </row>
    <row r="12925" spans="18:19">
      <c r="R12925" s="178"/>
      <c r="S12925" s="178"/>
    </row>
    <row r="12926" spans="18:19">
      <c r="R12926" s="178"/>
      <c r="S12926" s="178"/>
    </row>
    <row r="12927" spans="18:19">
      <c r="R12927" s="178"/>
      <c r="S12927" s="178"/>
    </row>
    <row r="12928" spans="18:19">
      <c r="R12928" s="178"/>
      <c r="S12928" s="178"/>
    </row>
    <row r="12929" spans="18:19">
      <c r="R12929" s="178"/>
      <c r="S12929" s="178"/>
    </row>
    <row r="12930" spans="18:19">
      <c r="R12930" s="178"/>
      <c r="S12930" s="178"/>
    </row>
    <row r="12931" spans="18:19">
      <c r="R12931" s="178"/>
      <c r="S12931" s="178"/>
    </row>
    <row r="12932" spans="18:19">
      <c r="R12932" s="178"/>
      <c r="S12932" s="178"/>
    </row>
    <row r="12933" spans="18:19">
      <c r="R12933" s="178"/>
      <c r="S12933" s="178"/>
    </row>
    <row r="12934" spans="18:19">
      <c r="R12934" s="178"/>
      <c r="S12934" s="178"/>
    </row>
    <row r="12935" spans="18:19">
      <c r="R12935" s="178"/>
      <c r="S12935" s="178"/>
    </row>
    <row r="12936" spans="18:19">
      <c r="R12936" s="178"/>
      <c r="S12936" s="178"/>
    </row>
    <row r="12937" spans="18:19">
      <c r="R12937" s="178"/>
      <c r="S12937" s="178"/>
    </row>
    <row r="12938" spans="18:19">
      <c r="R12938" s="178"/>
      <c r="S12938" s="178"/>
    </row>
    <row r="12939" spans="18:19">
      <c r="R12939" s="178"/>
      <c r="S12939" s="178"/>
    </row>
    <row r="12940" spans="18:19">
      <c r="R12940" s="178"/>
      <c r="S12940" s="178"/>
    </row>
    <row r="12941" spans="18:19">
      <c r="R12941" s="178"/>
      <c r="S12941" s="178"/>
    </row>
    <row r="12942" spans="18:19">
      <c r="R12942" s="178"/>
      <c r="S12942" s="178"/>
    </row>
    <row r="12943" spans="18:19">
      <c r="R12943" s="178"/>
      <c r="S12943" s="178"/>
    </row>
    <row r="12944" spans="18:19">
      <c r="R12944" s="178"/>
      <c r="S12944" s="178"/>
    </row>
    <row r="12945" spans="18:19">
      <c r="R12945" s="178"/>
      <c r="S12945" s="178"/>
    </row>
    <row r="12946" spans="18:19">
      <c r="R12946" s="178"/>
      <c r="S12946" s="178"/>
    </row>
    <row r="12947" spans="18:19">
      <c r="R12947" s="178"/>
      <c r="S12947" s="178"/>
    </row>
    <row r="12948" spans="18:19">
      <c r="R12948" s="178"/>
      <c r="S12948" s="178"/>
    </row>
    <row r="12949" spans="18:19">
      <c r="R12949" s="178"/>
      <c r="S12949" s="178"/>
    </row>
    <row r="12950" spans="18:19">
      <c r="R12950" s="178"/>
      <c r="S12950" s="178"/>
    </row>
    <row r="12951" spans="18:19">
      <c r="R12951" s="178"/>
      <c r="S12951" s="178"/>
    </row>
    <row r="12952" spans="18:19">
      <c r="R12952" s="178"/>
      <c r="S12952" s="178"/>
    </row>
    <row r="12953" spans="18:19">
      <c r="R12953" s="178"/>
      <c r="S12953" s="178"/>
    </row>
    <row r="12954" spans="18:19">
      <c r="R12954" s="178"/>
      <c r="S12954" s="178"/>
    </row>
    <row r="12955" spans="18:19">
      <c r="R12955" s="178"/>
      <c r="S12955" s="178"/>
    </row>
    <row r="12956" spans="18:19">
      <c r="R12956" s="178"/>
      <c r="S12956" s="178"/>
    </row>
    <row r="12957" spans="18:19">
      <c r="R12957" s="178"/>
      <c r="S12957" s="178"/>
    </row>
    <row r="12958" spans="18:19">
      <c r="R12958" s="178"/>
      <c r="S12958" s="178"/>
    </row>
    <row r="12959" spans="18:19">
      <c r="R12959" s="178"/>
      <c r="S12959" s="178"/>
    </row>
    <row r="12960" spans="18:19">
      <c r="R12960" s="178"/>
      <c r="S12960" s="178"/>
    </row>
    <row r="12961" spans="18:19">
      <c r="R12961" s="178"/>
      <c r="S12961" s="178"/>
    </row>
    <row r="12962" spans="18:19">
      <c r="R12962" s="178"/>
      <c r="S12962" s="178"/>
    </row>
    <row r="12963" spans="18:19">
      <c r="R12963" s="178"/>
      <c r="S12963" s="178"/>
    </row>
    <row r="12964" spans="18:19">
      <c r="R12964" s="178"/>
      <c r="S12964" s="178"/>
    </row>
    <row r="12965" spans="18:19">
      <c r="R12965" s="178"/>
      <c r="S12965" s="178"/>
    </row>
    <row r="12966" spans="18:19">
      <c r="R12966" s="178"/>
      <c r="S12966" s="178"/>
    </row>
    <row r="12967" spans="18:19">
      <c r="R12967" s="178"/>
      <c r="S12967" s="178"/>
    </row>
    <row r="12968" spans="18:19">
      <c r="R12968" s="178"/>
      <c r="S12968" s="178"/>
    </row>
    <row r="12969" spans="18:19">
      <c r="R12969" s="178"/>
      <c r="S12969" s="178"/>
    </row>
    <row r="12970" spans="18:19">
      <c r="R12970" s="178"/>
      <c r="S12970" s="178"/>
    </row>
    <row r="12971" spans="18:19">
      <c r="R12971" s="178"/>
      <c r="S12971" s="178"/>
    </row>
    <row r="12972" spans="18:19">
      <c r="R12972" s="178"/>
      <c r="S12972" s="178"/>
    </row>
    <row r="12973" spans="18:19">
      <c r="R12973" s="178"/>
      <c r="S12973" s="178"/>
    </row>
    <row r="12974" spans="18:19">
      <c r="R12974" s="178"/>
      <c r="S12974" s="178"/>
    </row>
    <row r="12975" spans="18:19">
      <c r="R12975" s="178"/>
      <c r="S12975" s="178"/>
    </row>
    <row r="12976" spans="18:19">
      <c r="R12976" s="178"/>
      <c r="S12976" s="178"/>
    </row>
    <row r="12977" spans="18:19">
      <c r="R12977" s="178"/>
      <c r="S12977" s="178"/>
    </row>
    <row r="12978" spans="18:19">
      <c r="R12978" s="178"/>
      <c r="S12978" s="178"/>
    </row>
    <row r="12979" spans="18:19">
      <c r="R12979" s="178"/>
      <c r="S12979" s="178"/>
    </row>
    <row r="12980" spans="18:19">
      <c r="R12980" s="178"/>
      <c r="S12980" s="178"/>
    </row>
    <row r="12981" spans="18:19">
      <c r="R12981" s="178"/>
      <c r="S12981" s="178"/>
    </row>
    <row r="12982" spans="18:19">
      <c r="R12982" s="178"/>
      <c r="S12982" s="178"/>
    </row>
    <row r="12983" spans="18:19">
      <c r="R12983" s="178"/>
      <c r="S12983" s="178"/>
    </row>
    <row r="12984" spans="18:19">
      <c r="R12984" s="178"/>
      <c r="S12984" s="178"/>
    </row>
    <row r="12985" spans="18:19">
      <c r="R12985" s="178"/>
      <c r="S12985" s="178"/>
    </row>
    <row r="12986" spans="18:19">
      <c r="R12986" s="178"/>
      <c r="S12986" s="178"/>
    </row>
    <row r="12987" spans="18:19">
      <c r="R12987" s="178"/>
      <c r="S12987" s="178"/>
    </row>
    <row r="12988" spans="18:19">
      <c r="R12988" s="178"/>
      <c r="S12988" s="178"/>
    </row>
    <row r="12989" spans="18:19">
      <c r="R12989" s="178"/>
      <c r="S12989" s="178"/>
    </row>
    <row r="12990" spans="18:19">
      <c r="R12990" s="178"/>
      <c r="S12990" s="178"/>
    </row>
    <row r="12991" spans="18:19">
      <c r="R12991" s="178"/>
      <c r="S12991" s="178"/>
    </row>
    <row r="12992" spans="18:19">
      <c r="R12992" s="178"/>
      <c r="S12992" s="178"/>
    </row>
    <row r="12993" spans="18:19">
      <c r="R12993" s="178"/>
      <c r="S12993" s="178"/>
    </row>
    <row r="12994" spans="18:19">
      <c r="R12994" s="178"/>
      <c r="S12994" s="178"/>
    </row>
    <row r="12995" spans="18:19">
      <c r="R12995" s="178"/>
      <c r="S12995" s="178"/>
    </row>
    <row r="12996" spans="18:19">
      <c r="R12996" s="178"/>
      <c r="S12996" s="178"/>
    </row>
    <row r="12997" spans="18:19">
      <c r="R12997" s="178"/>
      <c r="S12997" s="178"/>
    </row>
    <row r="12998" spans="18:19">
      <c r="R12998" s="178"/>
      <c r="S12998" s="178"/>
    </row>
    <row r="12999" spans="18:19">
      <c r="R12999" s="178"/>
      <c r="S12999" s="178"/>
    </row>
    <row r="13000" spans="18:19">
      <c r="R13000" s="178"/>
      <c r="S13000" s="178"/>
    </row>
    <row r="13001" spans="18:19">
      <c r="R13001" s="178"/>
      <c r="S13001" s="178"/>
    </row>
    <row r="13002" spans="18:19">
      <c r="R13002" s="178"/>
      <c r="S13002" s="178"/>
    </row>
    <row r="13003" spans="18:19">
      <c r="R13003" s="178"/>
      <c r="S13003" s="178"/>
    </row>
    <row r="13004" spans="18:19">
      <c r="R13004" s="178"/>
      <c r="S13004" s="178"/>
    </row>
    <row r="13005" spans="18:19">
      <c r="R13005" s="178"/>
      <c r="S13005" s="178"/>
    </row>
    <row r="13006" spans="18:19">
      <c r="R13006" s="178"/>
      <c r="S13006" s="178"/>
    </row>
    <row r="13007" spans="18:19">
      <c r="R13007" s="178"/>
      <c r="S13007" s="178"/>
    </row>
    <row r="13008" spans="18:19">
      <c r="R13008" s="178"/>
      <c r="S13008" s="178"/>
    </row>
    <row r="13009" spans="18:19">
      <c r="R13009" s="178"/>
      <c r="S13009" s="178"/>
    </row>
    <row r="13010" spans="18:19">
      <c r="R13010" s="178"/>
      <c r="S13010" s="178"/>
    </row>
    <row r="13011" spans="18:19">
      <c r="R13011" s="178"/>
      <c r="S13011" s="178"/>
    </row>
    <row r="13012" spans="18:19">
      <c r="R13012" s="178"/>
      <c r="S13012" s="178"/>
    </row>
    <row r="13013" spans="18:19">
      <c r="R13013" s="178"/>
      <c r="S13013" s="178"/>
    </row>
    <row r="13014" spans="18:19">
      <c r="R13014" s="178"/>
      <c r="S13014" s="178"/>
    </row>
    <row r="13015" spans="18:19">
      <c r="R13015" s="178"/>
      <c r="S13015" s="178"/>
    </row>
    <row r="13016" spans="18:19">
      <c r="R13016" s="178"/>
      <c r="S13016" s="178"/>
    </row>
    <row r="13017" spans="18:19">
      <c r="R13017" s="178"/>
      <c r="S13017" s="178"/>
    </row>
    <row r="13018" spans="18:19">
      <c r="R13018" s="178"/>
      <c r="S13018" s="178"/>
    </row>
    <row r="13019" spans="18:19">
      <c r="R13019" s="178"/>
      <c r="S13019" s="178"/>
    </row>
    <row r="13020" spans="18:19">
      <c r="R13020" s="178"/>
      <c r="S13020" s="178"/>
    </row>
    <row r="13021" spans="18:19">
      <c r="R13021" s="178"/>
      <c r="S13021" s="178"/>
    </row>
    <row r="13022" spans="18:19">
      <c r="R13022" s="178"/>
      <c r="S13022" s="178"/>
    </row>
    <row r="13023" spans="18:19">
      <c r="R13023" s="178"/>
      <c r="S13023" s="178"/>
    </row>
    <row r="13024" spans="18:19">
      <c r="R13024" s="178"/>
      <c r="S13024" s="178"/>
    </row>
    <row r="13025" spans="18:19">
      <c r="R13025" s="178"/>
      <c r="S13025" s="178"/>
    </row>
    <row r="13026" spans="18:19">
      <c r="R13026" s="178"/>
      <c r="S13026" s="178"/>
    </row>
    <row r="13027" spans="18:19">
      <c r="R13027" s="178"/>
      <c r="S13027" s="178"/>
    </row>
    <row r="13028" spans="18:19">
      <c r="R13028" s="178"/>
      <c r="S13028" s="178"/>
    </row>
    <row r="13029" spans="18:19">
      <c r="R13029" s="178"/>
      <c r="S13029" s="178"/>
    </row>
    <row r="13030" spans="18:19">
      <c r="R13030" s="178"/>
      <c r="S13030" s="178"/>
    </row>
    <row r="13031" spans="18:19">
      <c r="R13031" s="178"/>
      <c r="S13031" s="178"/>
    </row>
    <row r="13032" spans="18:19">
      <c r="R13032" s="178"/>
      <c r="S13032" s="178"/>
    </row>
    <row r="13033" spans="18:19">
      <c r="R13033" s="178"/>
      <c r="S13033" s="178"/>
    </row>
    <row r="13034" spans="18:19">
      <c r="R13034" s="178"/>
      <c r="S13034" s="178"/>
    </row>
    <row r="13035" spans="18:19">
      <c r="R13035" s="178"/>
      <c r="S13035" s="178"/>
    </row>
    <row r="13036" spans="18:19">
      <c r="R13036" s="178"/>
      <c r="S13036" s="178"/>
    </row>
    <row r="13037" spans="18:19">
      <c r="R13037" s="178"/>
      <c r="S13037" s="178"/>
    </row>
    <row r="13038" spans="18:19">
      <c r="R13038" s="178"/>
      <c r="S13038" s="178"/>
    </row>
    <row r="13039" spans="18:19">
      <c r="R13039" s="178"/>
      <c r="S13039" s="178"/>
    </row>
    <row r="13040" spans="18:19">
      <c r="R13040" s="178"/>
      <c r="S13040" s="178"/>
    </row>
    <row r="13041" spans="18:19">
      <c r="R13041" s="178"/>
      <c r="S13041" s="178"/>
    </row>
    <row r="13042" spans="18:19">
      <c r="R13042" s="178"/>
      <c r="S13042" s="178"/>
    </row>
    <row r="13043" spans="18:19">
      <c r="R13043" s="178"/>
      <c r="S13043" s="178"/>
    </row>
    <row r="13044" spans="18:19">
      <c r="R13044" s="178"/>
      <c r="S13044" s="178"/>
    </row>
    <row r="13045" spans="18:19">
      <c r="R13045" s="178"/>
      <c r="S13045" s="178"/>
    </row>
    <row r="13046" spans="18:19">
      <c r="R13046" s="178"/>
      <c r="S13046" s="178"/>
    </row>
    <row r="13047" spans="18:19">
      <c r="R13047" s="178"/>
      <c r="S13047" s="178"/>
    </row>
    <row r="13048" spans="18:19">
      <c r="R13048" s="178"/>
      <c r="S13048" s="178"/>
    </row>
    <row r="13049" spans="18:19">
      <c r="R13049" s="178"/>
      <c r="S13049" s="178"/>
    </row>
    <row r="13050" spans="18:19">
      <c r="R13050" s="178"/>
      <c r="S13050" s="178"/>
    </row>
    <row r="13051" spans="18:19">
      <c r="R13051" s="178"/>
      <c r="S13051" s="178"/>
    </row>
    <row r="13052" spans="18:19">
      <c r="R13052" s="178"/>
      <c r="S13052" s="178"/>
    </row>
    <row r="13053" spans="18:19">
      <c r="R13053" s="178"/>
      <c r="S13053" s="178"/>
    </row>
    <row r="13054" spans="18:19">
      <c r="R13054" s="178"/>
      <c r="S13054" s="178"/>
    </row>
    <row r="13055" spans="18:19">
      <c r="R13055" s="178"/>
      <c r="S13055" s="178"/>
    </row>
    <row r="13056" spans="18:19">
      <c r="R13056" s="178"/>
      <c r="S13056" s="178"/>
    </row>
    <row r="13057" spans="18:19">
      <c r="R13057" s="178"/>
      <c r="S13057" s="178"/>
    </row>
    <row r="13058" spans="18:19">
      <c r="R13058" s="178"/>
      <c r="S13058" s="178"/>
    </row>
    <row r="13059" spans="18:19">
      <c r="R13059" s="178"/>
      <c r="S13059" s="178"/>
    </row>
    <row r="13060" spans="18:19">
      <c r="R13060" s="178"/>
      <c r="S13060" s="178"/>
    </row>
    <row r="13061" spans="18:19">
      <c r="R13061" s="178"/>
      <c r="S13061" s="178"/>
    </row>
    <row r="13062" spans="18:19">
      <c r="R13062" s="178"/>
      <c r="S13062" s="178"/>
    </row>
    <row r="13063" spans="18:19">
      <c r="R13063" s="178"/>
      <c r="S13063" s="178"/>
    </row>
    <row r="13064" spans="18:19">
      <c r="R13064" s="178"/>
      <c r="S13064" s="178"/>
    </row>
    <row r="13065" spans="18:19">
      <c r="R13065" s="178"/>
      <c r="S13065" s="178"/>
    </row>
    <row r="13066" spans="18:19">
      <c r="R13066" s="178"/>
      <c r="S13066" s="178"/>
    </row>
    <row r="13067" spans="18:19">
      <c r="R13067" s="178"/>
      <c r="S13067" s="178"/>
    </row>
    <row r="13068" spans="18:19">
      <c r="R13068" s="178"/>
      <c r="S13068" s="178"/>
    </row>
    <row r="13069" spans="18:19">
      <c r="R13069" s="178"/>
      <c r="S13069" s="178"/>
    </row>
    <row r="13070" spans="18:19">
      <c r="R13070" s="178"/>
      <c r="S13070" s="178"/>
    </row>
    <row r="13071" spans="18:19">
      <c r="R13071" s="178"/>
      <c r="S13071" s="178"/>
    </row>
    <row r="13072" spans="18:19">
      <c r="R13072" s="178"/>
      <c r="S13072" s="178"/>
    </row>
    <row r="13073" spans="18:19">
      <c r="R13073" s="178"/>
      <c r="S13073" s="178"/>
    </row>
    <row r="13074" spans="18:19">
      <c r="R13074" s="178"/>
      <c r="S13074" s="178"/>
    </row>
    <row r="13075" spans="18:19">
      <c r="R13075" s="178"/>
      <c r="S13075" s="178"/>
    </row>
    <row r="13076" spans="18:19">
      <c r="R13076" s="178"/>
      <c r="S13076" s="178"/>
    </row>
    <row r="13077" spans="18:19">
      <c r="R13077" s="178"/>
      <c r="S13077" s="178"/>
    </row>
    <row r="13078" spans="18:19">
      <c r="R13078" s="178"/>
      <c r="S13078" s="178"/>
    </row>
    <row r="13079" spans="18:19">
      <c r="R13079" s="178"/>
      <c r="S13079" s="178"/>
    </row>
    <row r="13080" spans="18:19">
      <c r="R13080" s="178"/>
      <c r="S13080" s="178"/>
    </row>
    <row r="13081" spans="18:19">
      <c r="R13081" s="178"/>
      <c r="S13081" s="178"/>
    </row>
    <row r="13082" spans="18:19">
      <c r="R13082" s="178"/>
      <c r="S13082" s="178"/>
    </row>
    <row r="13083" spans="18:19">
      <c r="R13083" s="178"/>
      <c r="S13083" s="178"/>
    </row>
    <row r="13084" spans="18:19">
      <c r="R13084" s="178"/>
      <c r="S13084" s="178"/>
    </row>
    <row r="13085" spans="18:19">
      <c r="R13085" s="178"/>
      <c r="S13085" s="178"/>
    </row>
    <row r="13086" spans="18:19">
      <c r="R13086" s="178"/>
      <c r="S13086" s="178"/>
    </row>
    <row r="13087" spans="18:19">
      <c r="R13087" s="178"/>
      <c r="S13087" s="178"/>
    </row>
    <row r="13088" spans="18:19">
      <c r="R13088" s="178"/>
      <c r="S13088" s="178"/>
    </row>
    <row r="13089" spans="18:19">
      <c r="R13089" s="178"/>
      <c r="S13089" s="178"/>
    </row>
    <row r="13090" spans="18:19">
      <c r="R13090" s="178"/>
      <c r="S13090" s="178"/>
    </row>
    <row r="13091" spans="18:19">
      <c r="R13091" s="178"/>
      <c r="S13091" s="178"/>
    </row>
    <row r="13092" spans="18:19">
      <c r="R13092" s="178"/>
      <c r="S13092" s="178"/>
    </row>
    <row r="13093" spans="18:19">
      <c r="R13093" s="178"/>
      <c r="S13093" s="178"/>
    </row>
    <row r="13094" spans="18:19">
      <c r="R13094" s="178"/>
      <c r="S13094" s="178"/>
    </row>
    <row r="13095" spans="18:19">
      <c r="R13095" s="178"/>
      <c r="S13095" s="178"/>
    </row>
    <row r="13096" spans="18:19">
      <c r="R13096" s="178"/>
      <c r="S13096" s="178"/>
    </row>
    <row r="13097" spans="18:19">
      <c r="R13097" s="178"/>
      <c r="S13097" s="178"/>
    </row>
    <row r="13098" spans="18:19">
      <c r="R13098" s="178"/>
      <c r="S13098" s="178"/>
    </row>
    <row r="13099" spans="18:19">
      <c r="R13099" s="178"/>
      <c r="S13099" s="178"/>
    </row>
    <row r="13100" spans="18:19">
      <c r="R13100" s="178"/>
      <c r="S13100" s="178"/>
    </row>
    <row r="13101" spans="18:19">
      <c r="R13101" s="178"/>
      <c r="S13101" s="178"/>
    </row>
    <row r="13102" spans="18:19">
      <c r="R13102" s="178"/>
      <c r="S13102" s="178"/>
    </row>
    <row r="13103" spans="18:19">
      <c r="R13103" s="178"/>
      <c r="S13103" s="178"/>
    </row>
    <row r="13104" spans="18:19">
      <c r="R13104" s="178"/>
      <c r="S13104" s="178"/>
    </row>
    <row r="13105" spans="18:19">
      <c r="R13105" s="178"/>
      <c r="S13105" s="178"/>
    </row>
    <row r="13106" spans="18:19">
      <c r="R13106" s="178"/>
      <c r="S13106" s="178"/>
    </row>
    <row r="13107" spans="18:19">
      <c r="R13107" s="178"/>
      <c r="S13107" s="178"/>
    </row>
    <row r="13108" spans="18:19">
      <c r="R13108" s="178"/>
      <c r="S13108" s="178"/>
    </row>
    <row r="13109" spans="18:19">
      <c r="R13109" s="178"/>
      <c r="S13109" s="178"/>
    </row>
    <row r="13110" spans="18:19">
      <c r="R13110" s="178"/>
      <c r="S13110" s="178"/>
    </row>
    <row r="13111" spans="18:19">
      <c r="R13111" s="178"/>
      <c r="S13111" s="178"/>
    </row>
    <row r="13112" spans="18:19">
      <c r="R13112" s="178"/>
      <c r="S13112" s="178"/>
    </row>
    <row r="13113" spans="18:19">
      <c r="R13113" s="178"/>
      <c r="S13113" s="178"/>
    </row>
    <row r="13114" spans="18:19">
      <c r="R13114" s="178"/>
      <c r="S13114" s="178"/>
    </row>
    <row r="13115" spans="18:19">
      <c r="R13115" s="178"/>
      <c r="S13115" s="178"/>
    </row>
    <row r="13116" spans="18:19">
      <c r="R13116" s="178"/>
      <c r="S13116" s="178"/>
    </row>
    <row r="13117" spans="18:19">
      <c r="R13117" s="178"/>
      <c r="S13117" s="178"/>
    </row>
    <row r="13118" spans="18:19">
      <c r="R13118" s="178"/>
      <c r="S13118" s="178"/>
    </row>
    <row r="13119" spans="18:19">
      <c r="R13119" s="178"/>
      <c r="S13119" s="178"/>
    </row>
    <row r="13120" spans="18:19">
      <c r="R13120" s="178"/>
      <c r="S13120" s="178"/>
    </row>
    <row r="13121" spans="18:19">
      <c r="R13121" s="178"/>
      <c r="S13121" s="178"/>
    </row>
    <row r="13122" spans="18:19">
      <c r="R13122" s="178"/>
      <c r="S13122" s="178"/>
    </row>
    <row r="13123" spans="18:19">
      <c r="R13123" s="178"/>
      <c r="S13123" s="178"/>
    </row>
    <row r="13124" spans="18:19">
      <c r="R13124" s="178"/>
      <c r="S13124" s="178"/>
    </row>
    <row r="13125" spans="18:19">
      <c r="R13125" s="178"/>
      <c r="S13125" s="178"/>
    </row>
    <row r="13126" spans="18:19">
      <c r="R13126" s="178"/>
      <c r="S13126" s="178"/>
    </row>
    <row r="13127" spans="18:19">
      <c r="R13127" s="178"/>
      <c r="S13127" s="178"/>
    </row>
    <row r="13128" spans="18:19">
      <c r="R13128" s="178"/>
      <c r="S13128" s="178"/>
    </row>
    <row r="13129" spans="18:19">
      <c r="R13129" s="178"/>
      <c r="S13129" s="178"/>
    </row>
    <row r="13130" spans="18:19">
      <c r="R13130" s="178"/>
      <c r="S13130" s="178"/>
    </row>
    <row r="13131" spans="18:19">
      <c r="R13131" s="178"/>
      <c r="S13131" s="178"/>
    </row>
    <row r="13132" spans="18:19">
      <c r="R13132" s="178"/>
      <c r="S13132" s="178"/>
    </row>
    <row r="13133" spans="18:19">
      <c r="R13133" s="178"/>
      <c r="S13133" s="178"/>
    </row>
    <row r="13134" spans="18:19">
      <c r="R13134" s="178"/>
      <c r="S13134" s="178"/>
    </row>
    <row r="13135" spans="18:19">
      <c r="R13135" s="178"/>
      <c r="S13135" s="178"/>
    </row>
    <row r="13136" spans="18:19">
      <c r="R13136" s="178"/>
      <c r="S13136" s="178"/>
    </row>
    <row r="13137" spans="18:19">
      <c r="R13137" s="178"/>
      <c r="S13137" s="178"/>
    </row>
    <row r="13138" spans="18:19">
      <c r="R13138" s="178"/>
      <c r="S13138" s="178"/>
    </row>
    <row r="13139" spans="18:19">
      <c r="R13139" s="178"/>
      <c r="S13139" s="178"/>
    </row>
    <row r="13140" spans="18:19">
      <c r="R13140" s="178"/>
      <c r="S13140" s="178"/>
    </row>
    <row r="13141" spans="18:19">
      <c r="R13141" s="178"/>
      <c r="S13141" s="178"/>
    </row>
    <row r="13142" spans="18:19">
      <c r="R13142" s="178"/>
      <c r="S13142" s="178"/>
    </row>
    <row r="13143" spans="18:19">
      <c r="R13143" s="178"/>
      <c r="S13143" s="178"/>
    </row>
    <row r="13144" spans="18:19">
      <c r="R13144" s="178"/>
      <c r="S13144" s="178"/>
    </row>
    <row r="13145" spans="18:19">
      <c r="R13145" s="178"/>
      <c r="S13145" s="178"/>
    </row>
    <row r="13146" spans="18:19">
      <c r="R13146" s="178"/>
      <c r="S13146" s="178"/>
    </row>
    <row r="13147" spans="18:19">
      <c r="R13147" s="178"/>
      <c r="S13147" s="178"/>
    </row>
    <row r="13148" spans="18:19">
      <c r="R13148" s="178"/>
      <c r="S13148" s="178"/>
    </row>
    <row r="13149" spans="18:19">
      <c r="R13149" s="178"/>
      <c r="S13149" s="178"/>
    </row>
    <row r="13150" spans="18:19">
      <c r="R13150" s="178"/>
      <c r="S13150" s="178"/>
    </row>
    <row r="13151" spans="18:19">
      <c r="R13151" s="178"/>
      <c r="S13151" s="178"/>
    </row>
    <row r="13152" spans="18:19">
      <c r="R13152" s="178"/>
      <c r="S13152" s="178"/>
    </row>
    <row r="13153" spans="18:19">
      <c r="R13153" s="178"/>
      <c r="S13153" s="178"/>
    </row>
    <row r="13154" spans="18:19">
      <c r="R13154" s="178"/>
      <c r="S13154" s="178"/>
    </row>
    <row r="13155" spans="18:19">
      <c r="R13155" s="178"/>
      <c r="S13155" s="178"/>
    </row>
    <row r="13156" spans="18:19">
      <c r="R13156" s="178"/>
      <c r="S13156" s="178"/>
    </row>
    <row r="13157" spans="18:19">
      <c r="R13157" s="178"/>
      <c r="S13157" s="178"/>
    </row>
    <row r="13158" spans="18:19">
      <c r="R13158" s="178"/>
      <c r="S13158" s="178"/>
    </row>
    <row r="13159" spans="18:19">
      <c r="R13159" s="178"/>
      <c r="S13159" s="178"/>
    </row>
    <row r="13160" spans="18:19">
      <c r="R13160" s="178"/>
      <c r="S13160" s="178"/>
    </row>
    <row r="13161" spans="18:19">
      <c r="R13161" s="178"/>
      <c r="S13161" s="178"/>
    </row>
    <row r="13162" spans="18:19">
      <c r="R13162" s="178"/>
      <c r="S13162" s="178"/>
    </row>
    <row r="13163" spans="18:19">
      <c r="R13163" s="178"/>
      <c r="S13163" s="178"/>
    </row>
    <row r="13164" spans="18:19">
      <c r="R13164" s="178"/>
      <c r="S13164" s="178"/>
    </row>
    <row r="13165" spans="18:19">
      <c r="R13165" s="178"/>
      <c r="S13165" s="178"/>
    </row>
    <row r="13166" spans="18:19">
      <c r="R13166" s="178"/>
      <c r="S13166" s="178"/>
    </row>
    <row r="13167" spans="18:19">
      <c r="R13167" s="178"/>
      <c r="S13167" s="178"/>
    </row>
    <row r="13168" spans="18:19">
      <c r="R13168" s="178"/>
      <c r="S13168" s="178"/>
    </row>
    <row r="13169" spans="18:19">
      <c r="R13169" s="178"/>
      <c r="S13169" s="178"/>
    </row>
    <row r="13170" spans="18:19">
      <c r="R13170" s="178"/>
      <c r="S13170" s="178"/>
    </row>
    <row r="13171" spans="18:19">
      <c r="R13171" s="178"/>
      <c r="S13171" s="178"/>
    </row>
    <row r="13172" spans="18:19">
      <c r="R13172" s="178"/>
      <c r="S13172" s="178"/>
    </row>
    <row r="13173" spans="18:19">
      <c r="R13173" s="178"/>
      <c r="S13173" s="178"/>
    </row>
    <row r="13174" spans="18:19">
      <c r="R13174" s="178"/>
      <c r="S13174" s="178"/>
    </row>
    <row r="13175" spans="18:19">
      <c r="R13175" s="178"/>
      <c r="S13175" s="178"/>
    </row>
    <row r="13176" spans="18:19">
      <c r="R13176" s="178"/>
      <c r="S13176" s="178"/>
    </row>
    <row r="13177" spans="18:19">
      <c r="R13177" s="178"/>
      <c r="S13177" s="178"/>
    </row>
    <row r="13178" spans="18:19">
      <c r="R13178" s="178"/>
      <c r="S13178" s="178"/>
    </row>
    <row r="13179" spans="18:19">
      <c r="R13179" s="178"/>
      <c r="S13179" s="178"/>
    </row>
    <row r="13180" spans="18:19">
      <c r="R13180" s="178"/>
      <c r="S13180" s="178"/>
    </row>
    <row r="13181" spans="18:19">
      <c r="R13181" s="178"/>
      <c r="S13181" s="178"/>
    </row>
    <row r="13182" spans="18:19">
      <c r="R13182" s="178"/>
      <c r="S13182" s="178"/>
    </row>
    <row r="13183" spans="18:19">
      <c r="R13183" s="178"/>
      <c r="S13183" s="178"/>
    </row>
    <row r="13184" spans="18:19">
      <c r="R13184" s="178"/>
      <c r="S13184" s="178"/>
    </row>
    <row r="13185" spans="18:19">
      <c r="R13185" s="178"/>
      <c r="S13185" s="178"/>
    </row>
    <row r="13186" spans="18:19">
      <c r="R13186" s="178"/>
      <c r="S13186" s="178"/>
    </row>
    <row r="13187" spans="18:19">
      <c r="R13187" s="178"/>
      <c r="S13187" s="178"/>
    </row>
    <row r="13188" spans="18:19">
      <c r="R13188" s="178"/>
      <c r="S13188" s="178"/>
    </row>
    <row r="13189" spans="18:19">
      <c r="R13189" s="178"/>
      <c r="S13189" s="178"/>
    </row>
    <row r="13190" spans="18:19">
      <c r="R13190" s="178"/>
      <c r="S13190" s="178"/>
    </row>
    <row r="13191" spans="18:19">
      <c r="R13191" s="178"/>
      <c r="S13191" s="178"/>
    </row>
    <row r="13192" spans="18:19">
      <c r="R13192" s="178"/>
      <c r="S13192" s="178"/>
    </row>
    <row r="13193" spans="18:19">
      <c r="R13193" s="178"/>
      <c r="S13193" s="178"/>
    </row>
    <row r="13194" spans="18:19">
      <c r="R13194" s="178"/>
      <c r="S13194" s="178"/>
    </row>
    <row r="13195" spans="18:19">
      <c r="R13195" s="178"/>
      <c r="S13195" s="178"/>
    </row>
    <row r="13196" spans="18:19">
      <c r="R13196" s="178"/>
      <c r="S13196" s="178"/>
    </row>
    <row r="13197" spans="18:19">
      <c r="R13197" s="178"/>
      <c r="S13197" s="178"/>
    </row>
    <row r="13198" spans="18:19">
      <c r="R13198" s="178"/>
      <c r="S13198" s="178"/>
    </row>
    <row r="13199" spans="18:19">
      <c r="R13199" s="178"/>
      <c r="S13199" s="178"/>
    </row>
    <row r="13200" spans="18:19">
      <c r="R13200" s="178"/>
      <c r="S13200" s="178"/>
    </row>
    <row r="13201" spans="18:19">
      <c r="R13201" s="178"/>
      <c r="S13201" s="178"/>
    </row>
    <row r="13202" spans="18:19">
      <c r="R13202" s="178"/>
      <c r="S13202" s="178"/>
    </row>
    <row r="13203" spans="18:19">
      <c r="R13203" s="178"/>
      <c r="S13203" s="178"/>
    </row>
    <row r="13204" spans="18:19">
      <c r="R13204" s="178"/>
      <c r="S13204" s="178"/>
    </row>
    <row r="13205" spans="18:19">
      <c r="R13205" s="178"/>
      <c r="S13205" s="178"/>
    </row>
    <row r="13206" spans="18:19">
      <c r="R13206" s="178"/>
      <c r="S13206" s="178"/>
    </row>
    <row r="13207" spans="18:19">
      <c r="R13207" s="178"/>
      <c r="S13207" s="178"/>
    </row>
    <row r="13208" spans="18:19">
      <c r="R13208" s="178"/>
      <c r="S13208" s="178"/>
    </row>
    <row r="13209" spans="18:19">
      <c r="R13209" s="178"/>
      <c r="S13209" s="178"/>
    </row>
    <row r="13210" spans="18:19">
      <c r="R13210" s="178"/>
      <c r="S13210" s="178"/>
    </row>
    <row r="13211" spans="18:19">
      <c r="R13211" s="178"/>
      <c r="S13211" s="178"/>
    </row>
    <row r="13212" spans="18:19">
      <c r="R13212" s="178"/>
      <c r="S13212" s="178"/>
    </row>
    <row r="13213" spans="18:19">
      <c r="R13213" s="178"/>
      <c r="S13213" s="178"/>
    </row>
    <row r="13214" spans="18:19">
      <c r="R13214" s="178"/>
      <c r="S13214" s="178"/>
    </row>
    <row r="13215" spans="18:19">
      <c r="R13215" s="178"/>
      <c r="S13215" s="178"/>
    </row>
    <row r="13216" spans="18:19">
      <c r="R13216" s="178"/>
      <c r="S13216" s="178"/>
    </row>
    <row r="13217" spans="18:19">
      <c r="R13217" s="178"/>
      <c r="S13217" s="178"/>
    </row>
    <row r="13218" spans="18:19">
      <c r="R13218" s="178"/>
      <c r="S13218" s="178"/>
    </row>
    <row r="13219" spans="18:19">
      <c r="R13219" s="178"/>
      <c r="S13219" s="178"/>
    </row>
    <row r="13220" spans="18:19">
      <c r="R13220" s="178"/>
      <c r="S13220" s="178"/>
    </row>
    <row r="13221" spans="18:19">
      <c r="R13221" s="178"/>
      <c r="S13221" s="178"/>
    </row>
    <row r="13222" spans="18:19">
      <c r="R13222" s="178"/>
      <c r="S13222" s="178"/>
    </row>
    <row r="13223" spans="18:19">
      <c r="R13223" s="178"/>
      <c r="S13223" s="178"/>
    </row>
    <row r="13224" spans="18:19">
      <c r="R13224" s="178"/>
      <c r="S13224" s="178"/>
    </row>
    <row r="13225" spans="18:19">
      <c r="R13225" s="178"/>
      <c r="S13225" s="178"/>
    </row>
    <row r="13226" spans="18:19">
      <c r="R13226" s="178"/>
      <c r="S13226" s="178"/>
    </row>
    <row r="13227" spans="18:19">
      <c r="R13227" s="178"/>
      <c r="S13227" s="178"/>
    </row>
    <row r="13228" spans="18:19">
      <c r="R13228" s="178"/>
      <c r="S13228" s="178"/>
    </row>
    <row r="13229" spans="18:19">
      <c r="R13229" s="178"/>
      <c r="S13229" s="178"/>
    </row>
    <row r="13230" spans="18:19">
      <c r="R13230" s="178"/>
      <c r="S13230" s="178"/>
    </row>
    <row r="13231" spans="18:19">
      <c r="R13231" s="178"/>
      <c r="S13231" s="178"/>
    </row>
    <row r="13232" spans="18:19">
      <c r="R13232" s="178"/>
      <c r="S13232" s="178"/>
    </row>
    <row r="13233" spans="18:19">
      <c r="R13233" s="178"/>
      <c r="S13233" s="178"/>
    </row>
    <row r="13234" spans="18:19">
      <c r="R13234" s="178"/>
      <c r="S13234" s="178"/>
    </row>
    <row r="13235" spans="18:19">
      <c r="R13235" s="178"/>
      <c r="S13235" s="178"/>
    </row>
    <row r="13236" spans="18:19">
      <c r="R13236" s="178"/>
      <c r="S13236" s="178"/>
    </row>
    <row r="13237" spans="18:19">
      <c r="R13237" s="178"/>
      <c r="S13237" s="178"/>
    </row>
    <row r="13238" spans="18:19">
      <c r="R13238" s="178"/>
      <c r="S13238" s="178"/>
    </row>
    <row r="13239" spans="18:19">
      <c r="R13239" s="178"/>
      <c r="S13239" s="178"/>
    </row>
    <row r="13240" spans="18:19">
      <c r="R13240" s="178"/>
      <c r="S13240" s="178"/>
    </row>
    <row r="13241" spans="18:19">
      <c r="R13241" s="178"/>
      <c r="S13241" s="178"/>
    </row>
    <row r="13242" spans="18:19">
      <c r="R13242" s="178"/>
      <c r="S13242" s="178"/>
    </row>
    <row r="13243" spans="18:19">
      <c r="R13243" s="178"/>
      <c r="S13243" s="178"/>
    </row>
    <row r="13244" spans="18:19">
      <c r="R13244" s="178"/>
      <c r="S13244" s="178"/>
    </row>
    <row r="13245" spans="18:19">
      <c r="R13245" s="178"/>
      <c r="S13245" s="178"/>
    </row>
    <row r="13246" spans="18:19">
      <c r="R13246" s="178"/>
      <c r="S13246" s="178"/>
    </row>
    <row r="13247" spans="18:19">
      <c r="R13247" s="178"/>
      <c r="S13247" s="178"/>
    </row>
    <row r="13248" spans="18:19">
      <c r="R13248" s="178"/>
      <c r="S13248" s="178"/>
    </row>
    <row r="13249" spans="18:19">
      <c r="R13249" s="178"/>
      <c r="S13249" s="178"/>
    </row>
    <row r="13250" spans="18:19">
      <c r="R13250" s="178"/>
      <c r="S13250" s="178"/>
    </row>
    <row r="13251" spans="18:19">
      <c r="R13251" s="178"/>
      <c r="S13251" s="178"/>
    </row>
    <row r="13252" spans="18:19">
      <c r="R13252" s="178"/>
      <c r="S13252" s="178"/>
    </row>
    <row r="13253" spans="18:19">
      <c r="R13253" s="178"/>
      <c r="S13253" s="178"/>
    </row>
    <row r="13254" spans="18:19">
      <c r="R13254" s="178"/>
      <c r="S13254" s="178"/>
    </row>
    <row r="13255" spans="18:19">
      <c r="R13255" s="178"/>
      <c r="S13255" s="178"/>
    </row>
    <row r="13256" spans="18:19">
      <c r="R13256" s="178"/>
      <c r="S13256" s="178"/>
    </row>
    <row r="13257" spans="18:19">
      <c r="R13257" s="178"/>
      <c r="S13257" s="178"/>
    </row>
    <row r="13258" spans="18:19">
      <c r="R13258" s="178"/>
      <c r="S13258" s="178"/>
    </row>
    <row r="13259" spans="18:19">
      <c r="R13259" s="178"/>
      <c r="S13259" s="178"/>
    </row>
    <row r="13260" spans="18:19">
      <c r="R13260" s="178"/>
      <c r="S13260" s="178"/>
    </row>
    <row r="13261" spans="18:19">
      <c r="R13261" s="178"/>
      <c r="S13261" s="178"/>
    </row>
    <row r="13262" spans="18:19">
      <c r="R13262" s="178"/>
      <c r="S13262" s="178"/>
    </row>
    <row r="13263" spans="18:19">
      <c r="R13263" s="178"/>
      <c r="S13263" s="178"/>
    </row>
    <row r="13264" spans="18:19">
      <c r="R13264" s="178"/>
      <c r="S13264" s="178"/>
    </row>
    <row r="13265" spans="18:19">
      <c r="R13265" s="178"/>
      <c r="S13265" s="178"/>
    </row>
    <row r="13266" spans="18:19">
      <c r="R13266" s="178"/>
      <c r="S13266" s="178"/>
    </row>
    <row r="13267" spans="18:19">
      <c r="R13267" s="178"/>
      <c r="S13267" s="178"/>
    </row>
    <row r="13268" spans="18:19">
      <c r="R13268" s="178"/>
      <c r="S13268" s="178"/>
    </row>
    <row r="13269" spans="18:19">
      <c r="R13269" s="178"/>
      <c r="S13269" s="178"/>
    </row>
    <row r="13270" spans="18:19">
      <c r="R13270" s="178"/>
      <c r="S13270" s="178"/>
    </row>
    <row r="13271" spans="18:19">
      <c r="R13271" s="178"/>
      <c r="S13271" s="178"/>
    </row>
    <row r="13272" spans="18:19">
      <c r="R13272" s="178"/>
      <c r="S13272" s="178"/>
    </row>
    <row r="13273" spans="18:19">
      <c r="R13273" s="178"/>
      <c r="S13273" s="178"/>
    </row>
    <row r="13274" spans="18:19">
      <c r="R13274" s="178"/>
      <c r="S13274" s="178"/>
    </row>
    <row r="13275" spans="18:19">
      <c r="R13275" s="178"/>
      <c r="S13275" s="178"/>
    </row>
    <row r="13276" spans="18:19">
      <c r="R13276" s="178"/>
      <c r="S13276" s="178"/>
    </row>
    <row r="13277" spans="18:19">
      <c r="R13277" s="178"/>
      <c r="S13277" s="178"/>
    </row>
    <row r="13278" spans="18:19">
      <c r="R13278" s="178"/>
      <c r="S13278" s="178"/>
    </row>
    <row r="13279" spans="18:19">
      <c r="R13279" s="178"/>
      <c r="S13279" s="178"/>
    </row>
    <row r="13280" spans="18:19">
      <c r="R13280" s="178"/>
      <c r="S13280" s="178"/>
    </row>
    <row r="13281" spans="18:19">
      <c r="R13281" s="178"/>
      <c r="S13281" s="178"/>
    </row>
    <row r="13282" spans="18:19">
      <c r="R13282" s="178"/>
      <c r="S13282" s="178"/>
    </row>
    <row r="13283" spans="18:19">
      <c r="R13283" s="178"/>
      <c r="S13283" s="178"/>
    </row>
    <row r="13284" spans="18:19">
      <c r="R13284" s="178"/>
      <c r="S13284" s="178"/>
    </row>
    <row r="13285" spans="18:19">
      <c r="R13285" s="178"/>
      <c r="S13285" s="178"/>
    </row>
    <row r="13286" spans="18:19">
      <c r="R13286" s="178"/>
      <c r="S13286" s="178"/>
    </row>
    <row r="13287" spans="18:19">
      <c r="R13287" s="178"/>
      <c r="S13287" s="178"/>
    </row>
    <row r="13288" spans="18:19">
      <c r="R13288" s="178"/>
      <c r="S13288" s="178"/>
    </row>
    <row r="13289" spans="18:19">
      <c r="R13289" s="178"/>
      <c r="S13289" s="178"/>
    </row>
    <row r="13290" spans="18:19">
      <c r="R13290" s="178"/>
      <c r="S13290" s="178"/>
    </row>
    <row r="13291" spans="18:19">
      <c r="R13291" s="178"/>
      <c r="S13291" s="178"/>
    </row>
    <row r="13292" spans="18:19">
      <c r="R13292" s="178"/>
      <c r="S13292" s="178"/>
    </row>
    <row r="13293" spans="18:19">
      <c r="R13293" s="178"/>
      <c r="S13293" s="178"/>
    </row>
    <row r="13294" spans="18:19">
      <c r="R13294" s="178"/>
      <c r="S13294" s="178"/>
    </row>
    <row r="13295" spans="18:19">
      <c r="R13295" s="178"/>
      <c r="S13295" s="178"/>
    </row>
    <row r="13296" spans="18:19">
      <c r="R13296" s="178"/>
      <c r="S13296" s="178"/>
    </row>
    <row r="13297" spans="18:19">
      <c r="R13297" s="178"/>
      <c r="S13297" s="178"/>
    </row>
    <row r="13298" spans="18:19">
      <c r="R13298" s="178"/>
      <c r="S13298" s="178"/>
    </row>
    <row r="13299" spans="18:19">
      <c r="R13299" s="178"/>
      <c r="S13299" s="178"/>
    </row>
    <row r="13300" spans="18:19">
      <c r="R13300" s="178"/>
      <c r="S13300" s="178"/>
    </row>
    <row r="13301" spans="18:19">
      <c r="R13301" s="178"/>
      <c r="S13301" s="178"/>
    </row>
    <row r="13302" spans="18:19">
      <c r="R13302" s="178"/>
      <c r="S13302" s="178"/>
    </row>
    <row r="13303" spans="18:19">
      <c r="R13303" s="178"/>
      <c r="S13303" s="178"/>
    </row>
    <row r="13304" spans="18:19">
      <c r="R13304" s="178"/>
      <c r="S13304" s="178"/>
    </row>
    <row r="13305" spans="18:19">
      <c r="R13305" s="178"/>
      <c r="S13305" s="178"/>
    </row>
    <row r="13306" spans="18:19">
      <c r="R13306" s="178"/>
      <c r="S13306" s="178"/>
    </row>
    <row r="13307" spans="18:19">
      <c r="R13307" s="178"/>
      <c r="S13307" s="178"/>
    </row>
    <row r="13308" spans="18:19">
      <c r="R13308" s="178"/>
      <c r="S13308" s="178"/>
    </row>
    <row r="13309" spans="18:19">
      <c r="R13309" s="178"/>
      <c r="S13309" s="178"/>
    </row>
    <row r="13310" spans="18:19">
      <c r="R13310" s="178"/>
      <c r="S13310" s="178"/>
    </row>
    <row r="13311" spans="18:19">
      <c r="R13311" s="178"/>
      <c r="S13311" s="178"/>
    </row>
    <row r="13312" spans="18:19">
      <c r="R13312" s="178"/>
      <c r="S13312" s="178"/>
    </row>
    <row r="13313" spans="18:19">
      <c r="R13313" s="178"/>
      <c r="S13313" s="178"/>
    </row>
    <row r="13314" spans="18:19">
      <c r="R13314" s="178"/>
      <c r="S13314" s="178"/>
    </row>
    <row r="13315" spans="18:19">
      <c r="R13315" s="178"/>
      <c r="S13315" s="178"/>
    </row>
    <row r="13316" spans="18:19">
      <c r="R13316" s="178"/>
      <c r="S13316" s="178"/>
    </row>
    <row r="13317" spans="18:19">
      <c r="R13317" s="178"/>
      <c r="S13317" s="178"/>
    </row>
    <row r="13318" spans="18:19">
      <c r="R13318" s="178"/>
      <c r="S13318" s="178"/>
    </row>
    <row r="13319" spans="18:19">
      <c r="R13319" s="178"/>
      <c r="S13319" s="178"/>
    </row>
    <row r="13320" spans="18:19">
      <c r="R13320" s="178"/>
      <c r="S13320" s="178"/>
    </row>
    <row r="13321" spans="18:19">
      <c r="R13321" s="178"/>
      <c r="S13321" s="178"/>
    </row>
    <row r="13322" spans="18:19">
      <c r="R13322" s="178"/>
      <c r="S13322" s="178"/>
    </row>
    <row r="13323" spans="18:19">
      <c r="R13323" s="178"/>
      <c r="S13323" s="178"/>
    </row>
    <row r="13324" spans="18:19">
      <c r="R13324" s="178"/>
      <c r="S13324" s="178"/>
    </row>
    <row r="13325" spans="18:19">
      <c r="R13325" s="178"/>
      <c r="S13325" s="178"/>
    </row>
    <row r="13326" spans="18:19">
      <c r="R13326" s="178"/>
      <c r="S13326" s="178"/>
    </row>
    <row r="13327" spans="18:19">
      <c r="R13327" s="178"/>
      <c r="S13327" s="178"/>
    </row>
    <row r="13328" spans="18:19">
      <c r="R13328" s="178"/>
      <c r="S13328" s="178"/>
    </row>
    <row r="13329" spans="18:19">
      <c r="R13329" s="178"/>
      <c r="S13329" s="178"/>
    </row>
    <row r="13330" spans="18:19">
      <c r="R13330" s="178"/>
      <c r="S13330" s="178"/>
    </row>
    <row r="13331" spans="18:19">
      <c r="R13331" s="178"/>
      <c r="S13331" s="178"/>
    </row>
    <row r="13332" spans="18:19">
      <c r="R13332" s="178"/>
      <c r="S13332" s="178"/>
    </row>
    <row r="13333" spans="18:19">
      <c r="R13333" s="178"/>
      <c r="S13333" s="178"/>
    </row>
    <row r="13334" spans="18:19">
      <c r="R13334" s="178"/>
      <c r="S13334" s="178"/>
    </row>
    <row r="13335" spans="18:19">
      <c r="R13335" s="178"/>
      <c r="S13335" s="178"/>
    </row>
    <row r="13336" spans="18:19">
      <c r="R13336" s="178"/>
      <c r="S13336" s="178"/>
    </row>
    <row r="13337" spans="18:19">
      <c r="R13337" s="178"/>
      <c r="S13337" s="178"/>
    </row>
    <row r="13338" spans="18:19">
      <c r="R13338" s="178"/>
      <c r="S13338" s="178"/>
    </row>
    <row r="13339" spans="18:19">
      <c r="R13339" s="178"/>
      <c r="S13339" s="178"/>
    </row>
    <row r="13340" spans="18:19">
      <c r="R13340" s="178"/>
      <c r="S13340" s="178"/>
    </row>
    <row r="13341" spans="18:19">
      <c r="R13341" s="178"/>
      <c r="S13341" s="178"/>
    </row>
    <row r="13342" spans="18:19">
      <c r="R13342" s="178"/>
      <c r="S13342" s="178"/>
    </row>
    <row r="13343" spans="18:19">
      <c r="R13343" s="178"/>
      <c r="S13343" s="178"/>
    </row>
    <row r="13344" spans="18:19">
      <c r="R13344" s="178"/>
      <c r="S13344" s="178"/>
    </row>
    <row r="13345" spans="18:19">
      <c r="R13345" s="178"/>
      <c r="S13345" s="178"/>
    </row>
    <row r="13346" spans="18:19">
      <c r="R13346" s="178"/>
      <c r="S13346" s="178"/>
    </row>
    <row r="13347" spans="18:19">
      <c r="R13347" s="178"/>
      <c r="S13347" s="178"/>
    </row>
    <row r="13348" spans="18:19">
      <c r="R13348" s="178"/>
      <c r="S13348" s="178"/>
    </row>
    <row r="13349" spans="18:19">
      <c r="R13349" s="178"/>
      <c r="S13349" s="178"/>
    </row>
    <row r="13350" spans="18:19">
      <c r="R13350" s="178"/>
      <c r="S13350" s="178"/>
    </row>
    <row r="13351" spans="18:19">
      <c r="R13351" s="178"/>
      <c r="S13351" s="178"/>
    </row>
    <row r="13352" spans="18:19">
      <c r="R13352" s="178"/>
      <c r="S13352" s="178"/>
    </row>
    <row r="13353" spans="18:19">
      <c r="R13353" s="178"/>
      <c r="S13353" s="178"/>
    </row>
    <row r="13354" spans="18:19">
      <c r="R13354" s="178"/>
      <c r="S13354" s="178"/>
    </row>
    <row r="13355" spans="18:19">
      <c r="R13355" s="178"/>
      <c r="S13355" s="178"/>
    </row>
    <row r="13356" spans="18:19">
      <c r="R13356" s="178"/>
      <c r="S13356" s="178"/>
    </row>
    <row r="13357" spans="18:19">
      <c r="R13357" s="178"/>
      <c r="S13357" s="178"/>
    </row>
    <row r="13358" spans="18:19">
      <c r="R13358" s="178"/>
      <c r="S13358" s="178"/>
    </row>
    <row r="13359" spans="18:19">
      <c r="R13359" s="178"/>
      <c r="S13359" s="178"/>
    </row>
    <row r="13360" spans="18:19">
      <c r="R13360" s="178"/>
      <c r="S13360" s="178"/>
    </row>
    <row r="13361" spans="18:19">
      <c r="R13361" s="178"/>
      <c r="S13361" s="178"/>
    </row>
    <row r="13362" spans="18:19">
      <c r="R13362" s="178"/>
      <c r="S13362" s="178"/>
    </row>
    <row r="13363" spans="18:19">
      <c r="R13363" s="178"/>
      <c r="S13363" s="178"/>
    </row>
    <row r="13364" spans="18:19">
      <c r="R13364" s="178"/>
      <c r="S13364" s="178"/>
    </row>
    <row r="13365" spans="18:19">
      <c r="R13365" s="178"/>
      <c r="S13365" s="178"/>
    </row>
    <row r="13366" spans="18:19">
      <c r="R13366" s="178"/>
      <c r="S13366" s="178"/>
    </row>
    <row r="13367" spans="18:19">
      <c r="R13367" s="178"/>
      <c r="S13367" s="178"/>
    </row>
    <row r="13368" spans="18:19">
      <c r="R13368" s="178"/>
      <c r="S13368" s="178"/>
    </row>
    <row r="13369" spans="18:19">
      <c r="R13369" s="178"/>
      <c r="S13369" s="178"/>
    </row>
    <row r="13370" spans="18:19">
      <c r="R13370" s="178"/>
      <c r="S13370" s="178"/>
    </row>
    <row r="13371" spans="18:19">
      <c r="R13371" s="178"/>
      <c r="S13371" s="178"/>
    </row>
    <row r="13372" spans="18:19">
      <c r="R13372" s="178"/>
      <c r="S13372" s="178"/>
    </row>
    <row r="13373" spans="18:19">
      <c r="R13373" s="178"/>
      <c r="S13373" s="178"/>
    </row>
    <row r="13374" spans="18:19">
      <c r="R13374" s="178"/>
      <c r="S13374" s="178"/>
    </row>
    <row r="13375" spans="18:19">
      <c r="R13375" s="178"/>
      <c r="S13375" s="178"/>
    </row>
    <row r="13376" spans="18:19">
      <c r="R13376" s="178"/>
      <c r="S13376" s="178"/>
    </row>
    <row r="13377" spans="18:19">
      <c r="R13377" s="178"/>
      <c r="S13377" s="178"/>
    </row>
    <row r="13378" spans="18:19">
      <c r="R13378" s="178"/>
      <c r="S13378" s="178"/>
    </row>
    <row r="13379" spans="18:19">
      <c r="R13379" s="178"/>
      <c r="S13379" s="178"/>
    </row>
    <row r="13380" spans="18:19">
      <c r="R13380" s="178"/>
      <c r="S13380" s="178"/>
    </row>
    <row r="13381" spans="18:19">
      <c r="R13381" s="178"/>
      <c r="S13381" s="178"/>
    </row>
    <row r="13382" spans="18:19">
      <c r="R13382" s="178"/>
      <c r="S13382" s="178"/>
    </row>
    <row r="13383" spans="18:19">
      <c r="R13383" s="178"/>
      <c r="S13383" s="178"/>
    </row>
    <row r="13384" spans="18:19">
      <c r="R13384" s="178"/>
      <c r="S13384" s="178"/>
    </row>
    <row r="13385" spans="18:19">
      <c r="R13385" s="178"/>
      <c r="S13385" s="178"/>
    </row>
    <row r="13386" spans="18:19">
      <c r="R13386" s="178"/>
      <c r="S13386" s="178"/>
    </row>
    <row r="13387" spans="18:19">
      <c r="R13387" s="178"/>
      <c r="S13387" s="178"/>
    </row>
    <row r="13388" spans="18:19">
      <c r="R13388" s="178"/>
      <c r="S13388" s="178"/>
    </row>
    <row r="13389" spans="18:19">
      <c r="R13389" s="178"/>
      <c r="S13389" s="178"/>
    </row>
    <row r="13390" spans="18:19">
      <c r="R13390" s="178"/>
      <c r="S13390" s="178"/>
    </row>
    <row r="13391" spans="18:19">
      <c r="R13391" s="178"/>
      <c r="S13391" s="178"/>
    </row>
    <row r="13392" spans="18:19">
      <c r="R13392" s="178"/>
      <c r="S13392" s="178"/>
    </row>
    <row r="13393" spans="18:19">
      <c r="R13393" s="178"/>
      <c r="S13393" s="178"/>
    </row>
    <row r="13394" spans="18:19">
      <c r="R13394" s="178"/>
      <c r="S13394" s="178"/>
    </row>
    <row r="13395" spans="18:19">
      <c r="R13395" s="178"/>
      <c r="S13395" s="178"/>
    </row>
    <row r="13396" spans="18:19">
      <c r="R13396" s="178"/>
      <c r="S13396" s="178"/>
    </row>
    <row r="13397" spans="18:19">
      <c r="R13397" s="178"/>
      <c r="S13397" s="178"/>
    </row>
    <row r="13398" spans="18:19">
      <c r="R13398" s="178"/>
      <c r="S13398" s="178"/>
    </row>
    <row r="13399" spans="18:19">
      <c r="R13399" s="178"/>
      <c r="S13399" s="178"/>
    </row>
    <row r="13400" spans="18:19">
      <c r="R13400" s="178"/>
      <c r="S13400" s="178"/>
    </row>
    <row r="13401" spans="18:19">
      <c r="R13401" s="178"/>
      <c r="S13401" s="178"/>
    </row>
    <row r="13402" spans="18:19">
      <c r="R13402" s="178"/>
      <c r="S13402" s="178"/>
    </row>
    <row r="13403" spans="18:19">
      <c r="R13403" s="178"/>
      <c r="S13403" s="178"/>
    </row>
    <row r="13404" spans="18:19">
      <c r="R13404" s="178"/>
      <c r="S13404" s="178"/>
    </row>
    <row r="13405" spans="18:19">
      <c r="R13405" s="178"/>
      <c r="S13405" s="178"/>
    </row>
    <row r="13406" spans="18:19">
      <c r="R13406" s="178"/>
      <c r="S13406" s="178"/>
    </row>
    <row r="13407" spans="18:19">
      <c r="R13407" s="178"/>
      <c r="S13407" s="178"/>
    </row>
    <row r="13408" spans="18:19">
      <c r="R13408" s="178"/>
      <c r="S13408" s="178"/>
    </row>
    <row r="13409" spans="18:19">
      <c r="R13409" s="178"/>
      <c r="S13409" s="178"/>
    </row>
    <row r="13410" spans="18:19">
      <c r="R13410" s="178"/>
      <c r="S13410" s="178"/>
    </row>
    <row r="13411" spans="18:19">
      <c r="R13411" s="178"/>
      <c r="S13411" s="178"/>
    </row>
    <row r="13412" spans="18:19">
      <c r="R13412" s="178"/>
      <c r="S13412" s="178"/>
    </row>
    <row r="13413" spans="18:19">
      <c r="R13413" s="178"/>
      <c r="S13413" s="178"/>
    </row>
    <row r="13414" spans="18:19">
      <c r="R13414" s="178"/>
      <c r="S13414" s="178"/>
    </row>
    <row r="13415" spans="18:19">
      <c r="R13415" s="178"/>
      <c r="S13415" s="178"/>
    </row>
    <row r="13416" spans="18:19">
      <c r="R13416" s="178"/>
      <c r="S13416" s="178"/>
    </row>
    <row r="13417" spans="18:19">
      <c r="R13417" s="178"/>
      <c r="S13417" s="178"/>
    </row>
    <row r="13418" spans="18:19">
      <c r="R13418" s="178"/>
      <c r="S13418" s="178"/>
    </row>
    <row r="13419" spans="18:19">
      <c r="R13419" s="178"/>
      <c r="S13419" s="178"/>
    </row>
    <row r="13420" spans="18:19">
      <c r="R13420" s="178"/>
      <c r="S13420" s="178"/>
    </row>
    <row r="13421" spans="18:19">
      <c r="R13421" s="178"/>
      <c r="S13421" s="178"/>
    </row>
    <row r="13422" spans="18:19">
      <c r="R13422" s="178"/>
      <c r="S13422" s="178"/>
    </row>
    <row r="13423" spans="18:19">
      <c r="R13423" s="178"/>
      <c r="S13423" s="178"/>
    </row>
    <row r="13424" spans="18:19">
      <c r="R13424" s="178"/>
      <c r="S13424" s="178"/>
    </row>
    <row r="13425" spans="18:19">
      <c r="R13425" s="178"/>
      <c r="S13425" s="178"/>
    </row>
    <row r="13426" spans="18:19">
      <c r="R13426" s="178"/>
      <c r="S13426" s="178"/>
    </row>
    <row r="13427" spans="18:19">
      <c r="R13427" s="178"/>
      <c r="S13427" s="178"/>
    </row>
    <row r="13428" spans="18:19">
      <c r="R13428" s="178"/>
      <c r="S13428" s="178"/>
    </row>
    <row r="13429" spans="18:19">
      <c r="R13429" s="178"/>
      <c r="S13429" s="178"/>
    </row>
    <row r="13430" spans="18:19">
      <c r="R13430" s="178"/>
      <c r="S13430" s="178"/>
    </row>
    <row r="13431" spans="18:19">
      <c r="R13431" s="178"/>
      <c r="S13431" s="178"/>
    </row>
    <row r="13432" spans="18:19">
      <c r="R13432" s="178"/>
      <c r="S13432" s="178"/>
    </row>
    <row r="13433" spans="18:19">
      <c r="R13433" s="178"/>
      <c r="S13433" s="178"/>
    </row>
    <row r="13434" spans="18:19">
      <c r="R13434" s="178"/>
      <c r="S13434" s="178"/>
    </row>
    <row r="13435" spans="18:19">
      <c r="R13435" s="178"/>
      <c r="S13435" s="178"/>
    </row>
    <row r="13436" spans="18:19">
      <c r="R13436" s="178"/>
      <c r="S13436" s="178"/>
    </row>
    <row r="13437" spans="18:19">
      <c r="R13437" s="178"/>
      <c r="S13437" s="178"/>
    </row>
    <row r="13438" spans="18:19">
      <c r="R13438" s="178"/>
      <c r="S13438" s="178"/>
    </row>
    <row r="13439" spans="18:19">
      <c r="R13439" s="178"/>
      <c r="S13439" s="178"/>
    </row>
    <row r="13440" spans="18:19">
      <c r="R13440" s="178"/>
      <c r="S13440" s="178"/>
    </row>
    <row r="13441" spans="18:19">
      <c r="R13441" s="178"/>
      <c r="S13441" s="178"/>
    </row>
    <row r="13442" spans="18:19">
      <c r="R13442" s="178"/>
      <c r="S13442" s="178"/>
    </row>
    <row r="13443" spans="18:19">
      <c r="R13443" s="178"/>
      <c r="S13443" s="178"/>
    </row>
    <row r="13444" spans="18:19">
      <c r="R13444" s="178"/>
      <c r="S13444" s="178"/>
    </row>
    <row r="13445" spans="18:19">
      <c r="R13445" s="178"/>
      <c r="S13445" s="178"/>
    </row>
    <row r="13446" spans="18:19">
      <c r="R13446" s="178"/>
      <c r="S13446" s="178"/>
    </row>
    <row r="13447" spans="18:19">
      <c r="R13447" s="178"/>
      <c r="S13447" s="178"/>
    </row>
    <row r="13448" spans="18:19">
      <c r="R13448" s="178"/>
      <c r="S13448" s="178"/>
    </row>
    <row r="13449" spans="18:19">
      <c r="R13449" s="178"/>
      <c r="S13449" s="178"/>
    </row>
    <row r="13450" spans="18:19">
      <c r="R13450" s="178"/>
      <c r="S13450" s="178"/>
    </row>
    <row r="13451" spans="18:19">
      <c r="R13451" s="178"/>
      <c r="S13451" s="178"/>
    </row>
    <row r="13452" spans="18:19">
      <c r="R13452" s="178"/>
      <c r="S13452" s="178"/>
    </row>
    <row r="13453" spans="18:19">
      <c r="R13453" s="178"/>
      <c r="S13453" s="178"/>
    </row>
    <row r="13454" spans="18:19">
      <c r="R13454" s="178"/>
      <c r="S13454" s="178"/>
    </row>
    <row r="13455" spans="18:19">
      <c r="R13455" s="178"/>
      <c r="S13455" s="178"/>
    </row>
    <row r="13456" spans="18:19">
      <c r="R13456" s="178"/>
      <c r="S13456" s="178"/>
    </row>
    <row r="13457" spans="18:19">
      <c r="R13457" s="178"/>
      <c r="S13457" s="178"/>
    </row>
    <row r="13458" spans="18:19">
      <c r="R13458" s="178"/>
      <c r="S13458" s="178"/>
    </row>
    <row r="13459" spans="18:19">
      <c r="R13459" s="178"/>
      <c r="S13459" s="178"/>
    </row>
    <row r="13460" spans="18:19">
      <c r="R13460" s="178"/>
      <c r="S13460" s="178"/>
    </row>
    <row r="13461" spans="18:19">
      <c r="R13461" s="178"/>
      <c r="S13461" s="178"/>
    </row>
    <row r="13462" spans="18:19">
      <c r="R13462" s="178"/>
      <c r="S13462" s="178"/>
    </row>
    <row r="13463" spans="18:19">
      <c r="R13463" s="178"/>
      <c r="S13463" s="178"/>
    </row>
    <row r="13464" spans="18:19">
      <c r="R13464" s="178"/>
      <c r="S13464" s="178"/>
    </row>
    <row r="13465" spans="18:19">
      <c r="R13465" s="178"/>
      <c r="S13465" s="178"/>
    </row>
    <row r="13466" spans="18:19">
      <c r="R13466" s="178"/>
      <c r="S13466" s="178"/>
    </row>
    <row r="13467" spans="18:19">
      <c r="R13467" s="178"/>
      <c r="S13467" s="178"/>
    </row>
    <row r="13468" spans="18:19">
      <c r="R13468" s="178"/>
      <c r="S13468" s="178"/>
    </row>
    <row r="13469" spans="18:19">
      <c r="R13469" s="178"/>
      <c r="S13469" s="178"/>
    </row>
    <row r="13470" spans="18:19">
      <c r="R13470" s="178"/>
      <c r="S13470" s="178"/>
    </row>
    <row r="13471" spans="18:19">
      <c r="R13471" s="178"/>
      <c r="S13471" s="178"/>
    </row>
    <row r="13472" spans="18:19">
      <c r="R13472" s="178"/>
      <c r="S13472" s="178"/>
    </row>
    <row r="13473" spans="18:19">
      <c r="R13473" s="178"/>
      <c r="S13473" s="178"/>
    </row>
    <row r="13474" spans="18:19">
      <c r="R13474" s="178"/>
      <c r="S13474" s="178"/>
    </row>
    <row r="13475" spans="18:19">
      <c r="R13475" s="178"/>
      <c r="S13475" s="178"/>
    </row>
    <row r="13476" spans="18:19">
      <c r="R13476" s="178"/>
      <c r="S13476" s="178"/>
    </row>
    <row r="13477" spans="18:19">
      <c r="R13477" s="178"/>
      <c r="S13477" s="178"/>
    </row>
    <row r="13478" spans="18:19">
      <c r="R13478" s="178"/>
      <c r="S13478" s="178"/>
    </row>
    <row r="13479" spans="18:19">
      <c r="R13479" s="178"/>
      <c r="S13479" s="178"/>
    </row>
    <row r="13480" spans="18:19">
      <c r="R13480" s="178"/>
      <c r="S13480" s="178"/>
    </row>
    <row r="13481" spans="18:19">
      <c r="R13481" s="178"/>
      <c r="S13481" s="178"/>
    </row>
    <row r="13482" spans="18:19">
      <c r="R13482" s="178"/>
      <c r="S13482" s="178"/>
    </row>
    <row r="13483" spans="18:19">
      <c r="R13483" s="178"/>
      <c r="S13483" s="178"/>
    </row>
    <row r="13484" spans="18:19">
      <c r="R13484" s="178"/>
      <c r="S13484" s="178"/>
    </row>
    <row r="13485" spans="18:19">
      <c r="R13485" s="178"/>
      <c r="S13485" s="178"/>
    </row>
    <row r="13486" spans="18:19">
      <c r="R13486" s="178"/>
      <c r="S13486" s="178"/>
    </row>
    <row r="13487" spans="18:19">
      <c r="R13487" s="178"/>
      <c r="S13487" s="178"/>
    </row>
    <row r="13488" spans="18:19">
      <c r="R13488" s="178"/>
      <c r="S13488" s="178"/>
    </row>
    <row r="13489" spans="18:19">
      <c r="R13489" s="178"/>
      <c r="S13489" s="178"/>
    </row>
    <row r="13490" spans="18:19">
      <c r="R13490" s="178"/>
      <c r="S13490" s="178"/>
    </row>
    <row r="13491" spans="18:19">
      <c r="R13491" s="178"/>
      <c r="S13491" s="178"/>
    </row>
    <row r="13492" spans="18:19">
      <c r="R13492" s="178"/>
      <c r="S13492" s="178"/>
    </row>
    <row r="13493" spans="18:19">
      <c r="R13493" s="178"/>
      <c r="S13493" s="178"/>
    </row>
    <row r="13494" spans="18:19">
      <c r="R13494" s="178"/>
      <c r="S13494" s="178"/>
    </row>
    <row r="13495" spans="18:19">
      <c r="R13495" s="178"/>
      <c r="S13495" s="178"/>
    </row>
    <row r="13496" spans="18:19">
      <c r="R13496" s="178"/>
      <c r="S13496" s="178"/>
    </row>
    <row r="13497" spans="18:19">
      <c r="R13497" s="178"/>
      <c r="S13497" s="178"/>
    </row>
    <row r="13498" spans="18:19">
      <c r="R13498" s="178"/>
      <c r="S13498" s="178"/>
    </row>
    <row r="13499" spans="18:19">
      <c r="R13499" s="178"/>
      <c r="S13499" s="178"/>
    </row>
    <row r="13500" spans="18:19">
      <c r="R13500" s="178"/>
      <c r="S13500" s="178"/>
    </row>
    <row r="13501" spans="18:19">
      <c r="R13501" s="178"/>
      <c r="S13501" s="178"/>
    </row>
    <row r="13502" spans="18:19">
      <c r="R13502" s="178"/>
      <c r="S13502" s="178"/>
    </row>
    <row r="13503" spans="18:19">
      <c r="R13503" s="178"/>
      <c r="S13503" s="178"/>
    </row>
    <row r="13504" spans="18:19">
      <c r="R13504" s="178"/>
      <c r="S13504" s="178"/>
    </row>
    <row r="13505" spans="18:19">
      <c r="R13505" s="178"/>
      <c r="S13505" s="178"/>
    </row>
    <row r="13506" spans="18:19">
      <c r="R13506" s="178"/>
      <c r="S13506" s="178"/>
    </row>
    <row r="13507" spans="18:19">
      <c r="R13507" s="178"/>
      <c r="S13507" s="178"/>
    </row>
    <row r="13508" spans="18:19">
      <c r="R13508" s="178"/>
      <c r="S13508" s="178"/>
    </row>
    <row r="13509" spans="18:19">
      <c r="R13509" s="178"/>
      <c r="S13509" s="178"/>
    </row>
    <row r="13510" spans="18:19">
      <c r="R13510" s="178"/>
      <c r="S13510" s="178"/>
    </row>
    <row r="13511" spans="18:19">
      <c r="R13511" s="178"/>
      <c r="S13511" s="178"/>
    </row>
    <row r="13512" spans="18:19">
      <c r="R13512" s="178"/>
      <c r="S13512" s="178"/>
    </row>
    <row r="13513" spans="18:19">
      <c r="R13513" s="178"/>
      <c r="S13513" s="178"/>
    </row>
    <row r="13514" spans="18:19">
      <c r="R13514" s="178"/>
      <c r="S13514" s="178"/>
    </row>
    <row r="13515" spans="18:19">
      <c r="R13515" s="178"/>
      <c r="S13515" s="178"/>
    </row>
    <row r="13516" spans="18:19">
      <c r="R13516" s="178"/>
      <c r="S13516" s="178"/>
    </row>
    <row r="13517" spans="18:19">
      <c r="R13517" s="178"/>
      <c r="S13517" s="178"/>
    </row>
    <row r="13518" spans="18:19">
      <c r="R13518" s="178"/>
      <c r="S13518" s="178"/>
    </row>
    <row r="13519" spans="18:19">
      <c r="R13519" s="178"/>
      <c r="S13519" s="178"/>
    </row>
    <row r="13520" spans="18:19">
      <c r="R13520" s="178"/>
      <c r="S13520" s="178"/>
    </row>
    <row r="13521" spans="18:19">
      <c r="R13521" s="178"/>
      <c r="S13521" s="178"/>
    </row>
    <row r="13522" spans="18:19">
      <c r="R13522" s="178"/>
      <c r="S13522" s="178"/>
    </row>
    <row r="13523" spans="18:19">
      <c r="R13523" s="178"/>
      <c r="S13523" s="178"/>
    </row>
    <row r="13524" spans="18:19">
      <c r="R13524" s="178"/>
      <c r="S13524" s="178"/>
    </row>
    <row r="13525" spans="18:19">
      <c r="R13525" s="178"/>
      <c r="S13525" s="178"/>
    </row>
    <row r="13526" spans="18:19">
      <c r="R13526" s="178"/>
      <c r="S13526" s="178"/>
    </row>
    <row r="13527" spans="18:19">
      <c r="R13527" s="178"/>
      <c r="S13527" s="178"/>
    </row>
    <row r="13528" spans="18:19">
      <c r="R13528" s="178"/>
      <c r="S13528" s="178"/>
    </row>
    <row r="13529" spans="18:19">
      <c r="R13529" s="178"/>
      <c r="S13529" s="178"/>
    </row>
    <row r="13530" spans="18:19">
      <c r="R13530" s="178"/>
      <c r="S13530" s="178"/>
    </row>
    <row r="13531" spans="18:19">
      <c r="R13531" s="178"/>
      <c r="S13531" s="178"/>
    </row>
    <row r="13532" spans="18:19">
      <c r="R13532" s="178"/>
      <c r="S13532" s="178"/>
    </row>
    <row r="13533" spans="18:19">
      <c r="R13533" s="178"/>
      <c r="S13533" s="178"/>
    </row>
    <row r="13534" spans="18:19">
      <c r="R13534" s="178"/>
      <c r="S13534" s="178"/>
    </row>
    <row r="13535" spans="18:19">
      <c r="R13535" s="178"/>
      <c r="S13535" s="178"/>
    </row>
    <row r="13536" spans="18:19">
      <c r="R13536" s="178"/>
      <c r="S13536" s="178"/>
    </row>
    <row r="13537" spans="18:19">
      <c r="R13537" s="178"/>
      <c r="S13537" s="178"/>
    </row>
    <row r="13538" spans="18:19">
      <c r="R13538" s="178"/>
      <c r="S13538" s="178"/>
    </row>
    <row r="13539" spans="18:19">
      <c r="R13539" s="178"/>
      <c r="S13539" s="178"/>
    </row>
    <row r="13540" spans="18:19">
      <c r="R13540" s="178"/>
      <c r="S13540" s="178"/>
    </row>
    <row r="13541" spans="18:19">
      <c r="R13541" s="178"/>
      <c r="S13541" s="178"/>
    </row>
    <row r="13542" spans="18:19">
      <c r="R13542" s="178"/>
      <c r="S13542" s="178"/>
    </row>
    <row r="13543" spans="18:19">
      <c r="R13543" s="178"/>
      <c r="S13543" s="178"/>
    </row>
    <row r="13544" spans="18:19">
      <c r="R13544" s="178"/>
      <c r="S13544" s="178"/>
    </row>
    <row r="13545" spans="18:19">
      <c r="R13545" s="178"/>
      <c r="S13545" s="178"/>
    </row>
    <row r="13546" spans="18:19">
      <c r="R13546" s="178"/>
      <c r="S13546" s="178"/>
    </row>
    <row r="13547" spans="18:19">
      <c r="R13547" s="178"/>
      <c r="S13547" s="178"/>
    </row>
    <row r="13548" spans="18:19">
      <c r="R13548" s="178"/>
      <c r="S13548" s="178"/>
    </row>
    <row r="13549" spans="18:19">
      <c r="R13549" s="178"/>
      <c r="S13549" s="178"/>
    </row>
    <row r="13550" spans="18:19">
      <c r="R13550" s="178"/>
      <c r="S13550" s="178"/>
    </row>
    <row r="13551" spans="18:19">
      <c r="R13551" s="178"/>
      <c r="S13551" s="178"/>
    </row>
    <row r="13552" spans="18:19">
      <c r="R13552" s="178"/>
      <c r="S13552" s="178"/>
    </row>
    <row r="13553" spans="18:19">
      <c r="R13553" s="178"/>
      <c r="S13553" s="178"/>
    </row>
    <row r="13554" spans="18:19">
      <c r="R13554" s="178"/>
      <c r="S13554" s="178"/>
    </row>
    <row r="13555" spans="18:19">
      <c r="R13555" s="178"/>
      <c r="S13555" s="178"/>
    </row>
    <row r="13556" spans="18:19">
      <c r="R13556" s="178"/>
      <c r="S13556" s="178"/>
    </row>
    <row r="13557" spans="18:19">
      <c r="R13557" s="178"/>
      <c r="S13557" s="178"/>
    </row>
    <row r="13558" spans="18:19">
      <c r="R13558" s="178"/>
      <c r="S13558" s="178"/>
    </row>
    <row r="13559" spans="18:19">
      <c r="R13559" s="178"/>
      <c r="S13559" s="178"/>
    </row>
    <row r="13560" spans="18:19">
      <c r="R13560" s="178"/>
      <c r="S13560" s="178"/>
    </row>
    <row r="13561" spans="18:19">
      <c r="R13561" s="178"/>
      <c r="S13561" s="178"/>
    </row>
    <row r="13562" spans="18:19">
      <c r="R13562" s="178"/>
      <c r="S13562" s="178"/>
    </row>
    <row r="13563" spans="18:19">
      <c r="R13563" s="178"/>
      <c r="S13563" s="178"/>
    </row>
    <row r="13564" spans="18:19">
      <c r="R13564" s="178"/>
      <c r="S13564" s="178"/>
    </row>
    <row r="13565" spans="18:19">
      <c r="R13565" s="178"/>
      <c r="S13565" s="178"/>
    </row>
    <row r="13566" spans="18:19">
      <c r="R13566" s="178"/>
      <c r="S13566" s="178"/>
    </row>
    <row r="13567" spans="18:19">
      <c r="R13567" s="178"/>
      <c r="S13567" s="178"/>
    </row>
    <row r="13568" spans="18:19">
      <c r="R13568" s="178"/>
      <c r="S13568" s="178"/>
    </row>
    <row r="13569" spans="18:19">
      <c r="R13569" s="178"/>
      <c r="S13569" s="178"/>
    </row>
    <row r="13570" spans="18:19">
      <c r="R13570" s="178"/>
      <c r="S13570" s="178"/>
    </row>
    <row r="13571" spans="18:19">
      <c r="R13571" s="178"/>
      <c r="S13571" s="178"/>
    </row>
    <row r="13572" spans="18:19">
      <c r="R13572" s="178"/>
      <c r="S13572" s="178"/>
    </row>
    <row r="13573" spans="18:19">
      <c r="R13573" s="178"/>
      <c r="S13573" s="178"/>
    </row>
    <row r="13574" spans="18:19">
      <c r="R13574" s="178"/>
      <c r="S13574" s="178"/>
    </row>
    <row r="13575" spans="18:19">
      <c r="R13575" s="178"/>
      <c r="S13575" s="178"/>
    </row>
    <row r="13576" spans="18:19">
      <c r="R13576" s="178"/>
      <c r="S13576" s="178"/>
    </row>
    <row r="13577" spans="18:19">
      <c r="R13577" s="178"/>
      <c r="S13577" s="178"/>
    </row>
    <row r="13578" spans="18:19">
      <c r="R13578" s="178"/>
      <c r="S13578" s="178"/>
    </row>
    <row r="13579" spans="18:19">
      <c r="R13579" s="178"/>
      <c r="S13579" s="178"/>
    </row>
    <row r="13580" spans="18:19">
      <c r="R13580" s="178"/>
      <c r="S13580" s="178"/>
    </row>
    <row r="13581" spans="18:19">
      <c r="R13581" s="178"/>
      <c r="S13581" s="178"/>
    </row>
    <row r="13582" spans="18:19">
      <c r="R13582" s="178"/>
      <c r="S13582" s="178"/>
    </row>
    <row r="13583" spans="18:19">
      <c r="R13583" s="178"/>
      <c r="S13583" s="178"/>
    </row>
    <row r="13584" spans="18:19">
      <c r="R13584" s="178"/>
      <c r="S13584" s="178"/>
    </row>
    <row r="13585" spans="18:19">
      <c r="R13585" s="178"/>
      <c r="S13585" s="178"/>
    </row>
    <row r="13586" spans="18:19">
      <c r="R13586" s="178"/>
      <c r="S13586" s="178"/>
    </row>
    <row r="13587" spans="18:19">
      <c r="R13587" s="178"/>
      <c r="S13587" s="178"/>
    </row>
    <row r="13588" spans="18:19">
      <c r="R13588" s="178"/>
      <c r="S13588" s="178"/>
    </row>
    <row r="13589" spans="18:19">
      <c r="R13589" s="178"/>
      <c r="S13589" s="178"/>
    </row>
    <row r="13590" spans="18:19">
      <c r="R13590" s="178"/>
      <c r="S13590" s="178"/>
    </row>
    <row r="13591" spans="18:19">
      <c r="R13591" s="178"/>
      <c r="S13591" s="178"/>
    </row>
    <row r="13592" spans="18:19">
      <c r="R13592" s="178"/>
      <c r="S13592" s="178"/>
    </row>
    <row r="13593" spans="18:19">
      <c r="R13593" s="178"/>
      <c r="S13593" s="178"/>
    </row>
    <row r="13594" spans="18:19">
      <c r="R13594" s="178"/>
      <c r="S13594" s="178"/>
    </row>
    <row r="13595" spans="18:19">
      <c r="R13595" s="178"/>
      <c r="S13595" s="178"/>
    </row>
    <row r="13596" spans="18:19">
      <c r="R13596" s="178"/>
      <c r="S13596" s="178"/>
    </row>
    <row r="13597" spans="18:19">
      <c r="R13597" s="178"/>
      <c r="S13597" s="178"/>
    </row>
    <row r="13598" spans="18:19">
      <c r="R13598" s="178"/>
      <c r="S13598" s="178"/>
    </row>
    <row r="13599" spans="18:19">
      <c r="R13599" s="178"/>
      <c r="S13599" s="178"/>
    </row>
    <row r="13600" spans="18:19">
      <c r="R13600" s="178"/>
      <c r="S13600" s="178"/>
    </row>
    <row r="13601" spans="18:19">
      <c r="R13601" s="178"/>
      <c r="S13601" s="178"/>
    </row>
    <row r="13602" spans="18:19">
      <c r="R13602" s="178"/>
      <c r="S13602" s="178"/>
    </row>
    <row r="13603" spans="18:19">
      <c r="R13603" s="178"/>
      <c r="S13603" s="178"/>
    </row>
    <row r="13604" spans="18:19">
      <c r="R13604" s="178"/>
      <c r="S13604" s="178"/>
    </row>
    <row r="13605" spans="18:19">
      <c r="R13605" s="178"/>
      <c r="S13605" s="178"/>
    </row>
    <row r="13606" spans="18:19">
      <c r="R13606" s="178"/>
      <c r="S13606" s="178"/>
    </row>
    <row r="13607" spans="18:19">
      <c r="R13607" s="178"/>
      <c r="S13607" s="178"/>
    </row>
    <row r="13608" spans="18:19">
      <c r="R13608" s="178"/>
      <c r="S13608" s="178"/>
    </row>
    <row r="13609" spans="18:19">
      <c r="R13609" s="178"/>
      <c r="S13609" s="178"/>
    </row>
    <row r="13610" spans="18:19">
      <c r="R13610" s="178"/>
      <c r="S13610" s="178"/>
    </row>
    <row r="13611" spans="18:19">
      <c r="R13611" s="178"/>
      <c r="S13611" s="178"/>
    </row>
    <row r="13612" spans="18:19">
      <c r="R13612" s="178"/>
      <c r="S13612" s="178"/>
    </row>
    <row r="13613" spans="18:19">
      <c r="R13613" s="178"/>
      <c r="S13613" s="178"/>
    </row>
    <row r="13614" spans="18:19">
      <c r="R13614" s="178"/>
      <c r="S13614" s="178"/>
    </row>
    <row r="13615" spans="18:19">
      <c r="R13615" s="178"/>
      <c r="S13615" s="178"/>
    </row>
    <row r="13616" spans="18:19">
      <c r="R13616" s="178"/>
      <c r="S13616" s="178"/>
    </row>
    <row r="13617" spans="18:19">
      <c r="R13617" s="178"/>
      <c r="S13617" s="178"/>
    </row>
    <row r="13618" spans="18:19">
      <c r="R13618" s="178"/>
      <c r="S13618" s="178"/>
    </row>
    <row r="13619" spans="18:19">
      <c r="R13619" s="178"/>
      <c r="S13619" s="178"/>
    </row>
    <row r="13620" spans="18:19">
      <c r="R13620" s="178"/>
      <c r="S13620" s="178"/>
    </row>
    <row r="13621" spans="18:19">
      <c r="R13621" s="178"/>
      <c r="S13621" s="178"/>
    </row>
    <row r="13622" spans="18:19">
      <c r="R13622" s="178"/>
      <c r="S13622" s="178"/>
    </row>
    <row r="13623" spans="18:19">
      <c r="R13623" s="178"/>
      <c r="S13623" s="178"/>
    </row>
    <row r="13624" spans="18:19">
      <c r="R13624" s="178"/>
      <c r="S13624" s="178"/>
    </row>
    <row r="13625" spans="18:19">
      <c r="R13625" s="178"/>
      <c r="S13625" s="178"/>
    </row>
    <row r="13626" spans="18:19">
      <c r="R13626" s="178"/>
      <c r="S13626" s="178"/>
    </row>
    <row r="13627" spans="18:19">
      <c r="R13627" s="178"/>
      <c r="S13627" s="178"/>
    </row>
    <row r="13628" spans="18:19">
      <c r="R13628" s="178"/>
      <c r="S13628" s="178"/>
    </row>
    <row r="13629" spans="18:19">
      <c r="R13629" s="178"/>
      <c r="S13629" s="178"/>
    </row>
    <row r="13630" spans="18:19">
      <c r="R13630" s="178"/>
      <c r="S13630" s="178"/>
    </row>
    <row r="13631" spans="18:19">
      <c r="R13631" s="178"/>
      <c r="S13631" s="178"/>
    </row>
    <row r="13632" spans="18:19">
      <c r="R13632" s="178"/>
      <c r="S13632" s="178"/>
    </row>
    <row r="13633" spans="18:19">
      <c r="R13633" s="178"/>
      <c r="S13633" s="178"/>
    </row>
    <row r="13634" spans="18:19">
      <c r="R13634" s="178"/>
      <c r="S13634" s="178"/>
    </row>
    <row r="13635" spans="18:19">
      <c r="R13635" s="178"/>
      <c r="S13635" s="178"/>
    </row>
    <row r="13636" spans="18:19">
      <c r="R13636" s="178"/>
      <c r="S13636" s="178"/>
    </row>
    <row r="13637" spans="18:19">
      <c r="R13637" s="178"/>
      <c r="S13637" s="178"/>
    </row>
    <row r="13638" spans="18:19">
      <c r="R13638" s="178"/>
      <c r="S13638" s="178"/>
    </row>
    <row r="13639" spans="18:19">
      <c r="R13639" s="178"/>
      <c r="S13639" s="178"/>
    </row>
    <row r="13640" spans="18:19">
      <c r="R13640" s="178"/>
      <c r="S13640" s="178"/>
    </row>
    <row r="13641" spans="18:19">
      <c r="R13641" s="178"/>
      <c r="S13641" s="178"/>
    </row>
    <row r="13642" spans="18:19">
      <c r="R13642" s="178"/>
      <c r="S13642" s="178"/>
    </row>
    <row r="13643" spans="18:19">
      <c r="R13643" s="178"/>
      <c r="S13643" s="178"/>
    </row>
    <row r="13644" spans="18:19">
      <c r="R13644" s="178"/>
      <c r="S13644" s="178"/>
    </row>
    <row r="13645" spans="18:19">
      <c r="R13645" s="178"/>
      <c r="S13645" s="178"/>
    </row>
    <row r="13646" spans="18:19">
      <c r="R13646" s="178"/>
      <c r="S13646" s="178"/>
    </row>
    <row r="13647" spans="18:19">
      <c r="R13647" s="178"/>
      <c r="S13647" s="178"/>
    </row>
    <row r="13648" spans="18:19">
      <c r="R13648" s="178"/>
      <c r="S13648" s="178"/>
    </row>
    <row r="13649" spans="18:19">
      <c r="R13649" s="178"/>
      <c r="S13649" s="178"/>
    </row>
    <row r="13650" spans="18:19">
      <c r="R13650" s="178"/>
      <c r="S13650" s="178"/>
    </row>
    <row r="13651" spans="18:19">
      <c r="R13651" s="178"/>
      <c r="S13651" s="178"/>
    </row>
    <row r="13652" spans="18:19">
      <c r="R13652" s="178"/>
      <c r="S13652" s="178"/>
    </row>
    <row r="13653" spans="18:19">
      <c r="R13653" s="178"/>
      <c r="S13653" s="178"/>
    </row>
    <row r="13654" spans="18:19">
      <c r="R13654" s="178"/>
      <c r="S13654" s="178"/>
    </row>
    <row r="13655" spans="18:19">
      <c r="R13655" s="178"/>
      <c r="S13655" s="178"/>
    </row>
    <row r="13656" spans="18:19">
      <c r="R13656" s="178"/>
      <c r="S13656" s="178"/>
    </row>
    <row r="13657" spans="18:19">
      <c r="R13657" s="178"/>
      <c r="S13657" s="178"/>
    </row>
    <row r="13658" spans="18:19">
      <c r="R13658" s="178"/>
      <c r="S13658" s="178"/>
    </row>
    <row r="13659" spans="18:19">
      <c r="R13659" s="178"/>
      <c r="S13659" s="178"/>
    </row>
    <row r="13660" spans="18:19">
      <c r="R13660" s="178"/>
      <c r="S13660" s="178"/>
    </row>
    <row r="13661" spans="18:19">
      <c r="R13661" s="178"/>
      <c r="S13661" s="178"/>
    </row>
    <row r="13662" spans="18:19">
      <c r="R13662" s="178"/>
      <c r="S13662" s="178"/>
    </row>
    <row r="13663" spans="18:19">
      <c r="R13663" s="178"/>
      <c r="S13663" s="178"/>
    </row>
    <row r="13664" spans="18:19">
      <c r="R13664" s="178"/>
      <c r="S13664" s="178"/>
    </row>
    <row r="13665" spans="18:19">
      <c r="R13665" s="178"/>
      <c r="S13665" s="178"/>
    </row>
    <row r="13666" spans="18:19">
      <c r="R13666" s="178"/>
      <c r="S13666" s="178"/>
    </row>
    <row r="13667" spans="18:19">
      <c r="R13667" s="178"/>
      <c r="S13667" s="178"/>
    </row>
    <row r="13668" spans="18:19">
      <c r="R13668" s="178"/>
      <c r="S13668" s="178"/>
    </row>
    <row r="13669" spans="18:19">
      <c r="R13669" s="178"/>
      <c r="S13669" s="178"/>
    </row>
    <row r="13670" spans="18:19">
      <c r="R13670" s="178"/>
      <c r="S13670" s="178"/>
    </row>
    <row r="13671" spans="18:19">
      <c r="R13671" s="178"/>
      <c r="S13671" s="178"/>
    </row>
    <row r="13672" spans="18:19">
      <c r="R13672" s="178"/>
      <c r="S13672" s="178"/>
    </row>
    <row r="13673" spans="18:19">
      <c r="R13673" s="178"/>
      <c r="S13673" s="178"/>
    </row>
    <row r="13674" spans="18:19">
      <c r="R13674" s="178"/>
      <c r="S13674" s="178"/>
    </row>
    <row r="13675" spans="18:19">
      <c r="R13675" s="178"/>
      <c r="S13675" s="178"/>
    </row>
    <row r="13676" spans="18:19">
      <c r="R13676" s="178"/>
      <c r="S13676" s="178"/>
    </row>
    <row r="13677" spans="18:19">
      <c r="R13677" s="178"/>
      <c r="S13677" s="178"/>
    </row>
    <row r="13678" spans="18:19">
      <c r="R13678" s="178"/>
      <c r="S13678" s="178"/>
    </row>
    <row r="13679" spans="18:19">
      <c r="R13679" s="178"/>
      <c r="S13679" s="178"/>
    </row>
    <row r="13680" spans="18:19">
      <c r="R13680" s="178"/>
      <c r="S13680" s="178"/>
    </row>
    <row r="13681" spans="18:19">
      <c r="R13681" s="178"/>
      <c r="S13681" s="178"/>
    </row>
    <row r="13682" spans="18:19">
      <c r="R13682" s="178"/>
      <c r="S13682" s="178"/>
    </row>
    <row r="13683" spans="18:19">
      <c r="R13683" s="178"/>
      <c r="S13683" s="178"/>
    </row>
    <row r="13684" spans="18:19">
      <c r="R13684" s="178"/>
      <c r="S13684" s="178"/>
    </row>
    <row r="13685" spans="18:19">
      <c r="R13685" s="178"/>
      <c r="S13685" s="178"/>
    </row>
    <row r="13686" spans="18:19">
      <c r="R13686" s="178"/>
      <c r="S13686" s="178"/>
    </row>
    <row r="13687" spans="18:19">
      <c r="R13687" s="178"/>
      <c r="S13687" s="178"/>
    </row>
    <row r="13688" spans="18:19">
      <c r="R13688" s="178"/>
      <c r="S13688" s="178"/>
    </row>
    <row r="13689" spans="18:19">
      <c r="R13689" s="178"/>
      <c r="S13689" s="178"/>
    </row>
    <row r="13690" spans="18:19">
      <c r="R13690" s="178"/>
      <c r="S13690" s="178"/>
    </row>
    <row r="13691" spans="18:19">
      <c r="R13691" s="178"/>
      <c r="S13691" s="178"/>
    </row>
    <row r="13692" spans="18:19">
      <c r="R13692" s="178"/>
      <c r="S13692" s="178"/>
    </row>
    <row r="13693" spans="18:19">
      <c r="R13693" s="178"/>
      <c r="S13693" s="178"/>
    </row>
    <row r="13694" spans="18:19">
      <c r="R13694" s="178"/>
      <c r="S13694" s="178"/>
    </row>
    <row r="13695" spans="18:19">
      <c r="R13695" s="178"/>
      <c r="S13695" s="178"/>
    </row>
    <row r="13696" spans="18:19">
      <c r="R13696" s="178"/>
      <c r="S13696" s="178"/>
    </row>
    <row r="13697" spans="18:19">
      <c r="R13697" s="178"/>
      <c r="S13697" s="178"/>
    </row>
    <row r="13698" spans="18:19">
      <c r="R13698" s="178"/>
      <c r="S13698" s="178"/>
    </row>
    <row r="13699" spans="18:19">
      <c r="R13699" s="178"/>
      <c r="S13699" s="178"/>
    </row>
    <row r="13700" spans="18:19">
      <c r="R13700" s="178"/>
      <c r="S13700" s="178"/>
    </row>
    <row r="13701" spans="18:19">
      <c r="R13701" s="178"/>
      <c r="S13701" s="178"/>
    </row>
    <row r="13702" spans="18:19">
      <c r="R13702" s="178"/>
      <c r="S13702" s="178"/>
    </row>
    <row r="13703" spans="18:19">
      <c r="R13703" s="178"/>
      <c r="S13703" s="178"/>
    </row>
    <row r="13704" spans="18:19">
      <c r="R13704" s="178"/>
      <c r="S13704" s="178"/>
    </row>
    <row r="13705" spans="18:19">
      <c r="R13705" s="178"/>
      <c r="S13705" s="178"/>
    </row>
    <row r="13706" spans="18:19">
      <c r="R13706" s="178"/>
      <c r="S13706" s="178"/>
    </row>
    <row r="13707" spans="18:19">
      <c r="R13707" s="178"/>
      <c r="S13707" s="178"/>
    </row>
    <row r="13708" spans="18:19">
      <c r="R13708" s="178"/>
      <c r="S13708" s="178"/>
    </row>
    <row r="13709" spans="18:19">
      <c r="R13709" s="178"/>
      <c r="S13709" s="178"/>
    </row>
    <row r="13710" spans="18:19">
      <c r="R13710" s="178"/>
      <c r="S13710" s="178"/>
    </row>
    <row r="13711" spans="18:19">
      <c r="R13711" s="178"/>
      <c r="S13711" s="178"/>
    </row>
    <row r="13712" spans="18:19">
      <c r="R13712" s="178"/>
      <c r="S13712" s="178"/>
    </row>
    <row r="13713" spans="18:19">
      <c r="R13713" s="178"/>
      <c r="S13713" s="178"/>
    </row>
    <row r="13714" spans="18:19">
      <c r="R13714" s="178"/>
      <c r="S13714" s="178"/>
    </row>
    <row r="13715" spans="18:19">
      <c r="R13715" s="178"/>
      <c r="S13715" s="178"/>
    </row>
    <row r="13716" spans="18:19">
      <c r="R13716" s="178"/>
      <c r="S13716" s="178"/>
    </row>
    <row r="13717" spans="18:19">
      <c r="R13717" s="178"/>
      <c r="S13717" s="178"/>
    </row>
    <row r="13718" spans="18:19">
      <c r="R13718" s="178"/>
      <c r="S13718" s="178"/>
    </row>
    <row r="13719" spans="18:19">
      <c r="R13719" s="178"/>
      <c r="S13719" s="178"/>
    </row>
    <row r="13720" spans="18:19">
      <c r="R13720" s="178"/>
      <c r="S13720" s="178"/>
    </row>
    <row r="13721" spans="18:19">
      <c r="R13721" s="178"/>
      <c r="S13721" s="178"/>
    </row>
    <row r="13722" spans="18:19">
      <c r="R13722" s="178"/>
      <c r="S13722" s="178"/>
    </row>
    <row r="13723" spans="18:19">
      <c r="R13723" s="178"/>
      <c r="S13723" s="178"/>
    </row>
    <row r="13724" spans="18:19">
      <c r="R13724" s="178"/>
      <c r="S13724" s="178"/>
    </row>
    <row r="13725" spans="18:19">
      <c r="R13725" s="178"/>
      <c r="S13725" s="178"/>
    </row>
    <row r="13726" spans="18:19">
      <c r="R13726" s="178"/>
      <c r="S13726" s="178"/>
    </row>
    <row r="13727" spans="18:19">
      <c r="R13727" s="178"/>
      <c r="S13727" s="178"/>
    </row>
    <row r="13728" spans="18:19">
      <c r="R13728" s="178"/>
      <c r="S13728" s="178"/>
    </row>
    <row r="13729" spans="18:19">
      <c r="R13729" s="178"/>
      <c r="S13729" s="178"/>
    </row>
    <row r="13730" spans="18:19">
      <c r="R13730" s="178"/>
      <c r="S13730" s="178"/>
    </row>
    <row r="13731" spans="18:19">
      <c r="R13731" s="178"/>
      <c r="S13731" s="178"/>
    </row>
    <row r="13732" spans="18:19">
      <c r="R13732" s="178"/>
      <c r="S13732" s="178"/>
    </row>
    <row r="13733" spans="18:19">
      <c r="R13733" s="178"/>
      <c r="S13733" s="178"/>
    </row>
    <row r="13734" spans="18:19">
      <c r="R13734" s="178"/>
      <c r="S13734" s="178"/>
    </row>
    <row r="13735" spans="18:19">
      <c r="R13735" s="178"/>
      <c r="S13735" s="178"/>
    </row>
    <row r="13736" spans="18:19">
      <c r="R13736" s="178"/>
      <c r="S13736" s="178"/>
    </row>
    <row r="13737" spans="18:19">
      <c r="R13737" s="178"/>
      <c r="S13737" s="178"/>
    </row>
    <row r="13738" spans="18:19">
      <c r="R13738" s="178"/>
      <c r="S13738" s="178"/>
    </row>
    <row r="13739" spans="18:19">
      <c r="R13739" s="178"/>
      <c r="S13739" s="178"/>
    </row>
    <row r="13740" spans="18:19">
      <c r="R13740" s="178"/>
      <c r="S13740" s="178"/>
    </row>
    <row r="13741" spans="18:19">
      <c r="R13741" s="178"/>
      <c r="S13741" s="178"/>
    </row>
    <row r="13742" spans="18:19">
      <c r="R13742" s="178"/>
      <c r="S13742" s="178"/>
    </row>
    <row r="13743" spans="18:19">
      <c r="R13743" s="178"/>
      <c r="S13743" s="178"/>
    </row>
    <row r="13744" spans="18:19">
      <c r="R13744" s="178"/>
      <c r="S13744" s="178"/>
    </row>
    <row r="13745" spans="18:19">
      <c r="R13745" s="178"/>
      <c r="S13745" s="178"/>
    </row>
    <row r="13746" spans="18:19">
      <c r="R13746" s="178"/>
      <c r="S13746" s="178"/>
    </row>
    <row r="13747" spans="18:19">
      <c r="R13747" s="178"/>
      <c r="S13747" s="178"/>
    </row>
    <row r="13748" spans="18:19">
      <c r="R13748" s="178"/>
      <c r="S13748" s="178"/>
    </row>
    <row r="13749" spans="18:19">
      <c r="R13749" s="178"/>
      <c r="S13749" s="178"/>
    </row>
    <row r="13750" spans="18:19">
      <c r="R13750" s="178"/>
      <c r="S13750" s="178"/>
    </row>
    <row r="13751" spans="18:19">
      <c r="R13751" s="178"/>
      <c r="S13751" s="178"/>
    </row>
    <row r="13752" spans="18:19">
      <c r="R13752" s="178"/>
      <c r="S13752" s="178"/>
    </row>
    <row r="13753" spans="18:19">
      <c r="R13753" s="178"/>
      <c r="S13753" s="178"/>
    </row>
    <row r="13754" spans="18:19">
      <c r="R13754" s="178"/>
      <c r="S13754" s="178"/>
    </row>
    <row r="13755" spans="18:19">
      <c r="R13755" s="178"/>
      <c r="S13755" s="178"/>
    </row>
    <row r="13756" spans="18:19">
      <c r="R13756" s="178"/>
      <c r="S13756" s="178"/>
    </row>
    <row r="13757" spans="18:19">
      <c r="R13757" s="178"/>
      <c r="S13757" s="178"/>
    </row>
    <row r="13758" spans="18:19">
      <c r="R13758" s="178"/>
      <c r="S13758" s="178"/>
    </row>
    <row r="13759" spans="18:19">
      <c r="R13759" s="178"/>
      <c r="S13759" s="178"/>
    </row>
    <row r="13760" spans="18:19">
      <c r="R13760" s="178"/>
      <c r="S13760" s="178"/>
    </row>
    <row r="13761" spans="18:19">
      <c r="R13761" s="178"/>
      <c r="S13761" s="178"/>
    </row>
    <row r="13762" spans="18:19">
      <c r="R13762" s="178"/>
      <c r="S13762" s="178"/>
    </row>
    <row r="13763" spans="18:19">
      <c r="R13763" s="178"/>
      <c r="S13763" s="178"/>
    </row>
    <row r="13764" spans="18:19">
      <c r="R13764" s="178"/>
      <c r="S13764" s="178"/>
    </row>
    <row r="13765" spans="18:19">
      <c r="R13765" s="178"/>
      <c r="S13765" s="178"/>
    </row>
    <row r="13766" spans="18:19">
      <c r="R13766" s="178"/>
      <c r="S13766" s="178"/>
    </row>
    <row r="13767" spans="18:19">
      <c r="R13767" s="178"/>
      <c r="S13767" s="178"/>
    </row>
    <row r="13768" spans="18:19">
      <c r="R13768" s="178"/>
      <c r="S13768" s="178"/>
    </row>
    <row r="13769" spans="18:19">
      <c r="R13769" s="178"/>
      <c r="S13769" s="178"/>
    </row>
    <row r="13770" spans="18:19">
      <c r="R13770" s="178"/>
      <c r="S13770" s="178"/>
    </row>
    <row r="13771" spans="18:19">
      <c r="R13771" s="178"/>
      <c r="S13771" s="178"/>
    </row>
    <row r="13772" spans="18:19">
      <c r="R13772" s="178"/>
      <c r="S13772" s="178"/>
    </row>
    <row r="13773" spans="18:19">
      <c r="R13773" s="178"/>
      <c r="S13773" s="178"/>
    </row>
    <row r="13774" spans="18:19">
      <c r="R13774" s="178"/>
      <c r="S13774" s="178"/>
    </row>
    <row r="13775" spans="18:19">
      <c r="R13775" s="178"/>
      <c r="S13775" s="178"/>
    </row>
    <row r="13776" spans="18:19">
      <c r="R13776" s="178"/>
      <c r="S13776" s="178"/>
    </row>
    <row r="13777" spans="18:19">
      <c r="R13777" s="178"/>
      <c r="S13777" s="178"/>
    </row>
    <row r="13778" spans="18:19">
      <c r="R13778" s="178"/>
      <c r="S13778" s="178"/>
    </row>
    <row r="13779" spans="18:19">
      <c r="R13779" s="178"/>
      <c r="S13779" s="178"/>
    </row>
    <row r="13780" spans="18:19">
      <c r="R13780" s="178"/>
      <c r="S13780" s="178"/>
    </row>
    <row r="13781" spans="18:19">
      <c r="R13781" s="178"/>
      <c r="S13781" s="178"/>
    </row>
    <row r="13782" spans="18:19">
      <c r="R13782" s="178"/>
      <c r="S13782" s="178"/>
    </row>
    <row r="13783" spans="18:19">
      <c r="R13783" s="178"/>
      <c r="S13783" s="178"/>
    </row>
    <row r="13784" spans="18:19">
      <c r="R13784" s="178"/>
      <c r="S13784" s="178"/>
    </row>
    <row r="13785" spans="18:19">
      <c r="R13785" s="178"/>
      <c r="S13785" s="178"/>
    </row>
    <row r="13786" spans="18:19">
      <c r="R13786" s="178"/>
      <c r="S13786" s="178"/>
    </row>
    <row r="13787" spans="18:19">
      <c r="R13787" s="178"/>
      <c r="S13787" s="178"/>
    </row>
    <row r="13788" spans="18:19">
      <c r="R13788" s="178"/>
      <c r="S13788" s="178"/>
    </row>
    <row r="13789" spans="18:19">
      <c r="R13789" s="178"/>
      <c r="S13789" s="178"/>
    </row>
    <row r="13790" spans="18:19">
      <c r="R13790" s="178"/>
      <c r="S13790" s="178"/>
    </row>
    <row r="13791" spans="18:19">
      <c r="R13791" s="178"/>
      <c r="S13791" s="178"/>
    </row>
    <row r="13792" spans="18:19">
      <c r="R13792" s="178"/>
      <c r="S13792" s="178"/>
    </row>
    <row r="13793" spans="18:19">
      <c r="R13793" s="178"/>
      <c r="S13793" s="178"/>
    </row>
    <row r="13794" spans="18:19">
      <c r="R13794" s="178"/>
      <c r="S13794" s="178"/>
    </row>
    <row r="13795" spans="18:19">
      <c r="R13795" s="178"/>
      <c r="S13795" s="178"/>
    </row>
    <row r="13796" spans="18:19">
      <c r="R13796" s="178"/>
      <c r="S13796" s="178"/>
    </row>
    <row r="13797" spans="18:19">
      <c r="R13797" s="178"/>
      <c r="S13797" s="178"/>
    </row>
    <row r="13798" spans="18:19">
      <c r="R13798" s="178"/>
      <c r="S13798" s="178"/>
    </row>
    <row r="13799" spans="18:19">
      <c r="R13799" s="178"/>
      <c r="S13799" s="178"/>
    </row>
    <row r="13800" spans="18:19">
      <c r="R13800" s="178"/>
      <c r="S13800" s="178"/>
    </row>
    <row r="13801" spans="18:19">
      <c r="R13801" s="178"/>
      <c r="S13801" s="178"/>
    </row>
    <row r="13802" spans="18:19">
      <c r="R13802" s="178"/>
      <c r="S13802" s="178"/>
    </row>
    <row r="13803" spans="18:19">
      <c r="R13803" s="178"/>
      <c r="S13803" s="178"/>
    </row>
    <row r="13804" spans="18:19">
      <c r="R13804" s="178"/>
      <c r="S13804" s="178"/>
    </row>
    <row r="13805" spans="18:19">
      <c r="R13805" s="178"/>
      <c r="S13805" s="178"/>
    </row>
    <row r="13806" spans="18:19">
      <c r="R13806" s="178"/>
      <c r="S13806" s="178"/>
    </row>
    <row r="13807" spans="18:19">
      <c r="R13807" s="178"/>
      <c r="S13807" s="178"/>
    </row>
    <row r="13808" spans="18:19">
      <c r="R13808" s="178"/>
      <c r="S13808" s="178"/>
    </row>
    <row r="13809" spans="18:19">
      <c r="R13809" s="178"/>
      <c r="S13809" s="178"/>
    </row>
    <row r="13810" spans="18:19">
      <c r="R13810" s="178"/>
      <c r="S13810" s="178"/>
    </row>
    <row r="13811" spans="18:19">
      <c r="R13811" s="178"/>
      <c r="S13811" s="178"/>
    </row>
    <row r="13812" spans="18:19">
      <c r="R13812" s="178"/>
      <c r="S13812" s="178"/>
    </row>
    <row r="13813" spans="18:19">
      <c r="R13813" s="178"/>
      <c r="S13813" s="178"/>
    </row>
    <row r="13814" spans="18:19">
      <c r="R13814" s="178"/>
      <c r="S13814" s="178"/>
    </row>
    <row r="13815" spans="18:19">
      <c r="R13815" s="178"/>
      <c r="S13815" s="178"/>
    </row>
    <row r="13816" spans="18:19">
      <c r="R13816" s="178"/>
      <c r="S13816" s="178"/>
    </row>
    <row r="13817" spans="18:19">
      <c r="R13817" s="178"/>
      <c r="S13817" s="178"/>
    </row>
    <row r="13818" spans="18:19">
      <c r="R13818" s="178"/>
      <c r="S13818" s="178"/>
    </row>
    <row r="13819" spans="18:19">
      <c r="R13819" s="178"/>
      <c r="S13819" s="178"/>
    </row>
    <row r="13820" spans="18:19">
      <c r="R13820" s="178"/>
      <c r="S13820" s="178"/>
    </row>
    <row r="13821" spans="18:19">
      <c r="R13821" s="178"/>
      <c r="S13821" s="178"/>
    </row>
    <row r="13822" spans="18:19">
      <c r="R13822" s="178"/>
      <c r="S13822" s="178"/>
    </row>
    <row r="13823" spans="18:19">
      <c r="R13823" s="178"/>
      <c r="S13823" s="178"/>
    </row>
    <row r="13824" spans="18:19">
      <c r="R13824" s="178"/>
      <c r="S13824" s="178"/>
    </row>
    <row r="13825" spans="18:19">
      <c r="R13825" s="178"/>
      <c r="S13825" s="178"/>
    </row>
    <row r="13826" spans="18:19">
      <c r="R13826" s="178"/>
      <c r="S13826" s="178"/>
    </row>
    <row r="13827" spans="18:19">
      <c r="R13827" s="178"/>
      <c r="S13827" s="178"/>
    </row>
    <row r="13828" spans="18:19">
      <c r="R13828" s="178"/>
      <c r="S13828" s="178"/>
    </row>
    <row r="13829" spans="18:19">
      <c r="R13829" s="178"/>
      <c r="S13829" s="178"/>
    </row>
    <row r="13830" spans="18:19">
      <c r="R13830" s="178"/>
      <c r="S13830" s="178"/>
    </row>
    <row r="13831" spans="18:19">
      <c r="R13831" s="178"/>
      <c r="S13831" s="178"/>
    </row>
    <row r="13832" spans="18:19">
      <c r="R13832" s="178"/>
      <c r="S13832" s="178"/>
    </row>
    <row r="13833" spans="18:19">
      <c r="R13833" s="178"/>
      <c r="S13833" s="178"/>
    </row>
    <row r="13834" spans="18:19">
      <c r="R13834" s="178"/>
      <c r="S13834" s="178"/>
    </row>
    <row r="13835" spans="18:19">
      <c r="R13835" s="178"/>
      <c r="S13835" s="178"/>
    </row>
    <row r="13836" spans="18:19">
      <c r="R13836" s="178"/>
      <c r="S13836" s="178"/>
    </row>
    <row r="13837" spans="18:19">
      <c r="R13837" s="178"/>
      <c r="S13837" s="178"/>
    </row>
    <row r="13838" spans="18:19">
      <c r="R13838" s="178"/>
      <c r="S13838" s="178"/>
    </row>
    <row r="13839" spans="18:19">
      <c r="R13839" s="178"/>
      <c r="S13839" s="178"/>
    </row>
    <row r="13840" spans="18:19">
      <c r="R13840" s="178"/>
      <c r="S13840" s="178"/>
    </row>
    <row r="13841" spans="18:19">
      <c r="R13841" s="178"/>
      <c r="S13841" s="178"/>
    </row>
    <row r="13842" spans="18:19">
      <c r="R13842" s="178"/>
      <c r="S13842" s="178"/>
    </row>
    <row r="13843" spans="18:19">
      <c r="R13843" s="178"/>
      <c r="S13843" s="178"/>
    </row>
    <row r="13844" spans="18:19">
      <c r="R13844" s="178"/>
      <c r="S13844" s="178"/>
    </row>
    <row r="13845" spans="18:19">
      <c r="R13845" s="178"/>
      <c r="S13845" s="178"/>
    </row>
    <row r="13846" spans="18:19">
      <c r="R13846" s="178"/>
      <c r="S13846" s="178"/>
    </row>
    <row r="13847" spans="18:19">
      <c r="R13847" s="178"/>
      <c r="S13847" s="178"/>
    </row>
    <row r="13848" spans="18:19">
      <c r="R13848" s="178"/>
      <c r="S13848" s="178"/>
    </row>
    <row r="13849" spans="18:19">
      <c r="R13849" s="178"/>
      <c r="S13849" s="178"/>
    </row>
    <row r="13850" spans="18:19">
      <c r="R13850" s="178"/>
      <c r="S13850" s="178"/>
    </row>
    <row r="13851" spans="18:19">
      <c r="R13851" s="178"/>
      <c r="S13851" s="178"/>
    </row>
    <row r="13852" spans="18:19">
      <c r="R13852" s="178"/>
      <c r="S13852" s="178"/>
    </row>
    <row r="13853" spans="18:19">
      <c r="R13853" s="178"/>
      <c r="S13853" s="178"/>
    </row>
    <row r="13854" spans="18:19">
      <c r="R13854" s="178"/>
      <c r="S13854" s="178"/>
    </row>
    <row r="13855" spans="18:19">
      <c r="R13855" s="178"/>
      <c r="S13855" s="178"/>
    </row>
    <row r="13856" spans="18:19">
      <c r="R13856" s="178"/>
      <c r="S13856" s="178"/>
    </row>
    <row r="13857" spans="18:19">
      <c r="R13857" s="178"/>
      <c r="S13857" s="178"/>
    </row>
    <row r="13858" spans="18:19">
      <c r="R13858" s="178"/>
      <c r="S13858" s="178"/>
    </row>
    <row r="13859" spans="18:19">
      <c r="R13859" s="178"/>
      <c r="S13859" s="178"/>
    </row>
    <row r="13860" spans="18:19">
      <c r="R13860" s="178"/>
      <c r="S13860" s="178"/>
    </row>
    <row r="13861" spans="18:19">
      <c r="R13861" s="178"/>
      <c r="S13861" s="178"/>
    </row>
    <row r="13862" spans="18:19">
      <c r="R13862" s="178"/>
      <c r="S13862" s="178"/>
    </row>
    <row r="13863" spans="18:19">
      <c r="R13863" s="178"/>
      <c r="S13863" s="178"/>
    </row>
    <row r="13864" spans="18:19">
      <c r="R13864" s="178"/>
      <c r="S13864" s="178"/>
    </row>
    <row r="13865" spans="18:19">
      <c r="R13865" s="178"/>
      <c r="S13865" s="178"/>
    </row>
    <row r="13866" spans="18:19">
      <c r="R13866" s="178"/>
      <c r="S13866" s="178"/>
    </row>
    <row r="13867" spans="18:19">
      <c r="R13867" s="178"/>
      <c r="S13867" s="178"/>
    </row>
    <row r="13868" spans="18:19">
      <c r="R13868" s="178"/>
      <c r="S13868" s="178"/>
    </row>
    <row r="13869" spans="18:19">
      <c r="R13869" s="178"/>
      <c r="S13869" s="178"/>
    </row>
    <row r="13870" spans="18:19">
      <c r="R13870" s="178"/>
      <c r="S13870" s="178"/>
    </row>
    <row r="13871" spans="18:19">
      <c r="R13871" s="178"/>
      <c r="S13871" s="178"/>
    </row>
    <row r="13872" spans="18:19">
      <c r="R13872" s="178"/>
      <c r="S13872" s="178"/>
    </row>
    <row r="13873" spans="18:19">
      <c r="R13873" s="178"/>
      <c r="S13873" s="178"/>
    </row>
    <row r="13874" spans="18:19">
      <c r="R13874" s="178"/>
      <c r="S13874" s="178"/>
    </row>
    <row r="13875" spans="18:19">
      <c r="R13875" s="178"/>
      <c r="S13875" s="178"/>
    </row>
    <row r="13876" spans="18:19">
      <c r="R13876" s="178"/>
      <c r="S13876" s="178"/>
    </row>
    <row r="13877" spans="18:19">
      <c r="R13877" s="178"/>
      <c r="S13877" s="178"/>
    </row>
    <row r="13878" spans="18:19">
      <c r="R13878" s="178"/>
      <c r="S13878" s="178"/>
    </row>
    <row r="13879" spans="18:19">
      <c r="R13879" s="178"/>
      <c r="S13879" s="178"/>
    </row>
    <row r="13880" spans="18:19">
      <c r="R13880" s="178"/>
      <c r="S13880" s="178"/>
    </row>
    <row r="13881" spans="18:19">
      <c r="R13881" s="178"/>
      <c r="S13881" s="178"/>
    </row>
    <row r="13882" spans="18:19">
      <c r="R13882" s="178"/>
      <c r="S13882" s="178"/>
    </row>
    <row r="13883" spans="18:19">
      <c r="R13883" s="178"/>
      <c r="S13883" s="178"/>
    </row>
    <row r="13884" spans="18:19">
      <c r="R13884" s="178"/>
      <c r="S13884" s="178"/>
    </row>
    <row r="13885" spans="18:19">
      <c r="R13885" s="178"/>
      <c r="S13885" s="178"/>
    </row>
    <row r="13886" spans="18:19">
      <c r="R13886" s="178"/>
      <c r="S13886" s="178"/>
    </row>
    <row r="13887" spans="18:19">
      <c r="R13887" s="178"/>
      <c r="S13887" s="178"/>
    </row>
    <row r="13888" spans="18:19">
      <c r="R13888" s="178"/>
      <c r="S13888" s="178"/>
    </row>
    <row r="13889" spans="18:19">
      <c r="R13889" s="178"/>
      <c r="S13889" s="178"/>
    </row>
    <row r="13890" spans="18:19">
      <c r="R13890" s="178"/>
      <c r="S13890" s="178"/>
    </row>
    <row r="13891" spans="18:19">
      <c r="R13891" s="178"/>
      <c r="S13891" s="178"/>
    </row>
    <row r="13892" spans="18:19">
      <c r="R13892" s="178"/>
      <c r="S13892" s="178"/>
    </row>
    <row r="13893" spans="18:19">
      <c r="R13893" s="178"/>
      <c r="S13893" s="178"/>
    </row>
    <row r="13894" spans="18:19">
      <c r="R13894" s="178"/>
      <c r="S13894" s="178"/>
    </row>
    <row r="13895" spans="18:19">
      <c r="R13895" s="178"/>
      <c r="S13895" s="178"/>
    </row>
    <row r="13896" spans="18:19">
      <c r="R13896" s="178"/>
      <c r="S13896" s="178"/>
    </row>
    <row r="13897" spans="18:19">
      <c r="R13897" s="178"/>
      <c r="S13897" s="178"/>
    </row>
    <row r="13898" spans="18:19">
      <c r="R13898" s="178"/>
      <c r="S13898" s="178"/>
    </row>
    <row r="13899" spans="18:19">
      <c r="R13899" s="178"/>
      <c r="S13899" s="178"/>
    </row>
    <row r="13900" spans="18:19">
      <c r="R13900" s="178"/>
      <c r="S13900" s="178"/>
    </row>
    <row r="13901" spans="18:19">
      <c r="R13901" s="178"/>
      <c r="S13901" s="178"/>
    </row>
    <row r="13902" spans="18:19">
      <c r="R13902" s="178"/>
      <c r="S13902" s="178"/>
    </row>
    <row r="13903" spans="18:19">
      <c r="R13903" s="178"/>
      <c r="S13903" s="178"/>
    </row>
    <row r="13904" spans="18:19">
      <c r="R13904" s="178"/>
      <c r="S13904" s="178"/>
    </row>
    <row r="13905" spans="18:19">
      <c r="R13905" s="178"/>
      <c r="S13905" s="178"/>
    </row>
    <row r="13906" spans="18:19">
      <c r="R13906" s="178"/>
      <c r="S13906" s="178"/>
    </row>
    <row r="13907" spans="18:19">
      <c r="R13907" s="178"/>
      <c r="S13907" s="178"/>
    </row>
    <row r="13908" spans="18:19">
      <c r="R13908" s="178"/>
      <c r="S13908" s="178"/>
    </row>
    <row r="13909" spans="18:19">
      <c r="R13909" s="178"/>
      <c r="S13909" s="178"/>
    </row>
    <row r="13910" spans="18:19">
      <c r="R13910" s="178"/>
      <c r="S13910" s="178"/>
    </row>
    <row r="13911" spans="18:19">
      <c r="R13911" s="178"/>
      <c r="S13911" s="178"/>
    </row>
    <row r="13912" spans="18:19">
      <c r="R13912" s="178"/>
      <c r="S13912" s="178"/>
    </row>
    <row r="13913" spans="18:19">
      <c r="R13913" s="178"/>
      <c r="S13913" s="178"/>
    </row>
    <row r="13914" spans="18:19">
      <c r="R13914" s="178"/>
      <c r="S13914" s="178"/>
    </row>
    <row r="13915" spans="18:19">
      <c r="R13915" s="178"/>
      <c r="S13915" s="178"/>
    </row>
    <row r="13916" spans="18:19">
      <c r="R13916" s="178"/>
      <c r="S13916" s="178"/>
    </row>
    <row r="13917" spans="18:19">
      <c r="R13917" s="178"/>
      <c r="S13917" s="178"/>
    </row>
    <row r="13918" spans="18:19">
      <c r="R13918" s="178"/>
      <c r="S13918" s="178"/>
    </row>
    <row r="13919" spans="18:19">
      <c r="R13919" s="178"/>
      <c r="S13919" s="178"/>
    </row>
    <row r="13920" spans="18:19">
      <c r="R13920" s="178"/>
      <c r="S13920" s="178"/>
    </row>
    <row r="13921" spans="18:19">
      <c r="R13921" s="178"/>
      <c r="S13921" s="178"/>
    </row>
    <row r="13922" spans="18:19">
      <c r="R13922" s="178"/>
      <c r="S13922" s="178"/>
    </row>
    <row r="13923" spans="18:19">
      <c r="R13923" s="178"/>
      <c r="S13923" s="178"/>
    </row>
    <row r="13924" spans="18:19">
      <c r="R13924" s="178"/>
      <c r="S13924" s="178"/>
    </row>
    <row r="13925" spans="18:19">
      <c r="R13925" s="178"/>
      <c r="S13925" s="178"/>
    </row>
    <row r="13926" spans="18:19">
      <c r="R13926" s="178"/>
      <c r="S13926" s="178"/>
    </row>
    <row r="13927" spans="18:19">
      <c r="R13927" s="178"/>
      <c r="S13927" s="178"/>
    </row>
    <row r="13928" spans="18:19">
      <c r="R13928" s="178"/>
      <c r="S13928" s="178"/>
    </row>
    <row r="13929" spans="18:19">
      <c r="R13929" s="178"/>
      <c r="S13929" s="178"/>
    </row>
    <row r="13930" spans="18:19">
      <c r="R13930" s="178"/>
      <c r="S13930" s="178"/>
    </row>
    <row r="13931" spans="18:19">
      <c r="R13931" s="178"/>
      <c r="S13931" s="178"/>
    </row>
    <row r="13932" spans="18:19">
      <c r="R13932" s="178"/>
      <c r="S13932" s="178"/>
    </row>
    <row r="13933" spans="18:19">
      <c r="R13933" s="178"/>
      <c r="S13933" s="178"/>
    </row>
    <row r="13934" spans="18:19">
      <c r="R13934" s="178"/>
      <c r="S13934" s="178"/>
    </row>
    <row r="13935" spans="18:19">
      <c r="R13935" s="178"/>
      <c r="S13935" s="178"/>
    </row>
    <row r="13936" spans="18:19">
      <c r="R13936" s="178"/>
      <c r="S13936" s="178"/>
    </row>
    <row r="13937" spans="18:19">
      <c r="R13937" s="178"/>
      <c r="S13937" s="178"/>
    </row>
    <row r="13938" spans="18:19">
      <c r="R13938" s="178"/>
      <c r="S13938" s="178"/>
    </row>
    <row r="13939" spans="18:19">
      <c r="R13939" s="178"/>
      <c r="S13939" s="178"/>
    </row>
    <row r="13940" spans="18:19">
      <c r="R13940" s="178"/>
      <c r="S13940" s="178"/>
    </row>
    <row r="13941" spans="18:19">
      <c r="R13941" s="178"/>
      <c r="S13941" s="178"/>
    </row>
    <row r="13942" spans="18:19">
      <c r="R13942" s="178"/>
      <c r="S13942" s="178"/>
    </row>
    <row r="13943" spans="18:19">
      <c r="R13943" s="178"/>
      <c r="S13943" s="178"/>
    </row>
    <row r="13944" spans="18:19">
      <c r="R13944" s="178"/>
      <c r="S13944" s="178"/>
    </row>
    <row r="13945" spans="18:19">
      <c r="R13945" s="178"/>
      <c r="S13945" s="178"/>
    </row>
    <row r="13946" spans="18:19">
      <c r="R13946" s="178"/>
      <c r="S13946" s="178"/>
    </row>
    <row r="13947" spans="18:19">
      <c r="R13947" s="178"/>
      <c r="S13947" s="178"/>
    </row>
    <row r="13948" spans="18:19">
      <c r="R13948" s="178"/>
      <c r="S13948" s="178"/>
    </row>
    <row r="13949" spans="18:19">
      <c r="R13949" s="178"/>
      <c r="S13949" s="178"/>
    </row>
    <row r="13950" spans="18:19">
      <c r="R13950" s="178"/>
      <c r="S13950" s="178"/>
    </row>
    <row r="13951" spans="18:19">
      <c r="R13951" s="178"/>
      <c r="S13951" s="178"/>
    </row>
    <row r="13952" spans="18:19">
      <c r="R13952" s="178"/>
      <c r="S13952" s="178"/>
    </row>
    <row r="13953" spans="18:19">
      <c r="R13953" s="178"/>
      <c r="S13953" s="178"/>
    </row>
    <row r="13954" spans="18:19">
      <c r="R13954" s="178"/>
      <c r="S13954" s="178"/>
    </row>
    <row r="13955" spans="18:19">
      <c r="R13955" s="178"/>
      <c r="S13955" s="178"/>
    </row>
    <row r="13956" spans="18:19">
      <c r="R13956" s="178"/>
      <c r="S13956" s="178"/>
    </row>
    <row r="13957" spans="18:19">
      <c r="R13957" s="178"/>
      <c r="S13957" s="178"/>
    </row>
    <row r="13958" spans="18:19">
      <c r="R13958" s="178"/>
      <c r="S13958" s="178"/>
    </row>
    <row r="13959" spans="18:19">
      <c r="R13959" s="178"/>
      <c r="S13959" s="178"/>
    </row>
    <row r="13960" spans="18:19">
      <c r="R13960" s="178"/>
      <c r="S13960" s="178"/>
    </row>
    <row r="13961" spans="18:19">
      <c r="R13961" s="178"/>
      <c r="S13961" s="178"/>
    </row>
    <row r="13962" spans="18:19">
      <c r="R13962" s="178"/>
      <c r="S13962" s="178"/>
    </row>
    <row r="13963" spans="18:19">
      <c r="R13963" s="178"/>
      <c r="S13963" s="178"/>
    </row>
    <row r="13964" spans="18:19">
      <c r="R13964" s="178"/>
      <c r="S13964" s="178"/>
    </row>
    <row r="13965" spans="18:19">
      <c r="R13965" s="178"/>
      <c r="S13965" s="178"/>
    </row>
    <row r="13966" spans="18:19">
      <c r="R13966" s="178"/>
      <c r="S13966" s="178"/>
    </row>
    <row r="13967" spans="18:19">
      <c r="R13967" s="178"/>
      <c r="S13967" s="178"/>
    </row>
    <row r="13968" spans="18:19">
      <c r="R13968" s="178"/>
      <c r="S13968" s="178"/>
    </row>
    <row r="13969" spans="18:19">
      <c r="R13969" s="178"/>
      <c r="S13969" s="178"/>
    </row>
    <row r="13970" spans="18:19">
      <c r="R13970" s="178"/>
      <c r="S13970" s="178"/>
    </row>
    <row r="13971" spans="18:19">
      <c r="R13971" s="178"/>
      <c r="S13971" s="178"/>
    </row>
    <row r="13972" spans="18:19">
      <c r="R13972" s="178"/>
      <c r="S13972" s="178"/>
    </row>
    <row r="13973" spans="18:19">
      <c r="R13973" s="178"/>
      <c r="S13973" s="178"/>
    </row>
    <row r="13974" spans="18:19">
      <c r="R13974" s="178"/>
      <c r="S13974" s="178"/>
    </row>
    <row r="13975" spans="18:19">
      <c r="R13975" s="178"/>
      <c r="S13975" s="178"/>
    </row>
    <row r="13976" spans="18:19">
      <c r="R13976" s="178"/>
      <c r="S13976" s="178"/>
    </row>
    <row r="13977" spans="18:19">
      <c r="R13977" s="178"/>
      <c r="S13977" s="178"/>
    </row>
    <row r="13978" spans="18:19">
      <c r="R13978" s="178"/>
      <c r="S13978" s="178"/>
    </row>
    <row r="13979" spans="18:19">
      <c r="R13979" s="178"/>
      <c r="S13979" s="178"/>
    </row>
    <row r="13980" spans="18:19">
      <c r="R13980" s="178"/>
      <c r="S13980" s="178"/>
    </row>
    <row r="13981" spans="18:19">
      <c r="R13981" s="178"/>
      <c r="S13981" s="178"/>
    </row>
    <row r="13982" spans="18:19">
      <c r="R13982" s="178"/>
      <c r="S13982" s="178"/>
    </row>
    <row r="13983" spans="18:19">
      <c r="R13983" s="178"/>
      <c r="S13983" s="178"/>
    </row>
    <row r="13984" spans="18:19">
      <c r="R13984" s="178"/>
      <c r="S13984" s="178"/>
    </row>
    <row r="13985" spans="18:19">
      <c r="R13985" s="178"/>
      <c r="S13985" s="178"/>
    </row>
    <row r="13986" spans="18:19">
      <c r="R13986" s="178"/>
      <c r="S13986" s="178"/>
    </row>
    <row r="13987" spans="18:19">
      <c r="R13987" s="178"/>
      <c r="S13987" s="178"/>
    </row>
    <row r="13988" spans="18:19">
      <c r="R13988" s="178"/>
      <c r="S13988" s="178"/>
    </row>
    <row r="13989" spans="18:19">
      <c r="R13989" s="178"/>
      <c r="S13989" s="178"/>
    </row>
    <row r="13990" spans="18:19">
      <c r="R13990" s="178"/>
      <c r="S13990" s="178"/>
    </row>
    <row r="13991" spans="18:19">
      <c r="R13991" s="178"/>
      <c r="S13991" s="178"/>
    </row>
    <row r="13992" spans="18:19">
      <c r="R13992" s="178"/>
      <c r="S13992" s="178"/>
    </row>
    <row r="13993" spans="18:19">
      <c r="R13993" s="178"/>
      <c r="S13993" s="178"/>
    </row>
    <row r="13994" spans="18:19">
      <c r="R13994" s="178"/>
      <c r="S13994" s="178"/>
    </row>
    <row r="13995" spans="18:19">
      <c r="R13995" s="178"/>
      <c r="S13995" s="178"/>
    </row>
    <row r="13996" spans="18:19">
      <c r="R13996" s="178"/>
      <c r="S13996" s="178"/>
    </row>
    <row r="13997" spans="18:19">
      <c r="R13997" s="178"/>
      <c r="S13997" s="178"/>
    </row>
    <row r="13998" spans="18:19">
      <c r="R13998" s="178"/>
      <c r="S13998" s="178"/>
    </row>
    <row r="13999" spans="18:19">
      <c r="R13999" s="178"/>
      <c r="S13999" s="178"/>
    </row>
    <row r="14000" spans="18:19">
      <c r="R14000" s="178"/>
      <c r="S14000" s="178"/>
    </row>
    <row r="14001" spans="18:19">
      <c r="R14001" s="178"/>
      <c r="S14001" s="178"/>
    </row>
    <row r="14002" spans="18:19">
      <c r="R14002" s="178"/>
      <c r="S14002" s="178"/>
    </row>
    <row r="14003" spans="18:19">
      <c r="R14003" s="178"/>
      <c r="S14003" s="178"/>
    </row>
    <row r="14004" spans="18:19">
      <c r="R14004" s="178"/>
      <c r="S14004" s="178"/>
    </row>
    <row r="14005" spans="18:19">
      <c r="R14005" s="178"/>
      <c r="S14005" s="178"/>
    </row>
    <row r="14006" spans="18:19">
      <c r="R14006" s="178"/>
      <c r="S14006" s="178"/>
    </row>
    <row r="14007" spans="18:19">
      <c r="R14007" s="178"/>
      <c r="S14007" s="178"/>
    </row>
    <row r="14008" spans="18:19">
      <c r="R14008" s="178"/>
      <c r="S14008" s="178"/>
    </row>
    <row r="14009" spans="18:19">
      <c r="R14009" s="178"/>
      <c r="S14009" s="178"/>
    </row>
    <row r="14010" spans="18:19">
      <c r="R14010" s="178"/>
      <c r="S14010" s="178"/>
    </row>
    <row r="14011" spans="18:19">
      <c r="R14011" s="178"/>
      <c r="S14011" s="178"/>
    </row>
    <row r="14012" spans="18:19">
      <c r="R14012" s="178"/>
      <c r="S14012" s="178"/>
    </row>
    <row r="14013" spans="18:19">
      <c r="R14013" s="178"/>
      <c r="S14013" s="178"/>
    </row>
    <row r="14014" spans="18:19">
      <c r="R14014" s="178"/>
      <c r="S14014" s="178"/>
    </row>
    <row r="14015" spans="18:19">
      <c r="R14015" s="178"/>
      <c r="S14015" s="178"/>
    </row>
    <row r="14016" spans="18:19">
      <c r="R14016" s="178"/>
      <c r="S14016" s="178"/>
    </row>
    <row r="14017" spans="18:19">
      <c r="R14017" s="178"/>
      <c r="S14017" s="178"/>
    </row>
    <row r="14018" spans="18:19">
      <c r="R14018" s="178"/>
      <c r="S14018" s="178"/>
    </row>
    <row r="14019" spans="18:19">
      <c r="R14019" s="178"/>
      <c r="S14019" s="178"/>
    </row>
    <row r="14020" spans="18:19">
      <c r="R14020" s="178"/>
      <c r="S14020" s="178"/>
    </row>
    <row r="14021" spans="18:19">
      <c r="R14021" s="178"/>
      <c r="S14021" s="178"/>
    </row>
    <row r="14022" spans="18:19">
      <c r="R14022" s="178"/>
      <c r="S14022" s="178"/>
    </row>
    <row r="14023" spans="18:19">
      <c r="R14023" s="178"/>
      <c r="S14023" s="178"/>
    </row>
    <row r="14024" spans="18:19">
      <c r="R14024" s="178"/>
      <c r="S14024" s="178"/>
    </row>
    <row r="14025" spans="18:19">
      <c r="R14025" s="178"/>
      <c r="S14025" s="178"/>
    </row>
    <row r="14026" spans="18:19">
      <c r="R14026" s="178"/>
      <c r="S14026" s="178"/>
    </row>
    <row r="14027" spans="18:19">
      <c r="R14027" s="178"/>
      <c r="S14027" s="178"/>
    </row>
    <row r="14028" spans="18:19">
      <c r="R14028" s="178"/>
      <c r="S14028" s="178"/>
    </row>
    <row r="14029" spans="18:19">
      <c r="R14029" s="178"/>
      <c r="S14029" s="178"/>
    </row>
    <row r="14030" spans="18:19">
      <c r="R14030" s="178"/>
      <c r="S14030" s="178"/>
    </row>
    <row r="14031" spans="18:19">
      <c r="R14031" s="178"/>
      <c r="S14031" s="178"/>
    </row>
    <row r="14032" spans="18:19">
      <c r="R14032" s="178"/>
      <c r="S14032" s="178"/>
    </row>
    <row r="14033" spans="18:19">
      <c r="R14033" s="178"/>
      <c r="S14033" s="178"/>
    </row>
    <row r="14034" spans="18:19">
      <c r="R14034" s="178"/>
      <c r="S14034" s="178"/>
    </row>
    <row r="14035" spans="18:19">
      <c r="R14035" s="178"/>
      <c r="S14035" s="178"/>
    </row>
    <row r="14036" spans="18:19">
      <c r="R14036" s="178"/>
      <c r="S14036" s="178"/>
    </row>
    <row r="14037" spans="18:19">
      <c r="R14037" s="178"/>
      <c r="S14037" s="178"/>
    </row>
    <row r="14038" spans="18:19">
      <c r="R14038" s="178"/>
      <c r="S14038" s="178"/>
    </row>
    <row r="14039" spans="18:19">
      <c r="R14039" s="178"/>
      <c r="S14039" s="178"/>
    </row>
    <row r="14040" spans="18:19">
      <c r="R14040" s="178"/>
      <c r="S14040" s="178"/>
    </row>
    <row r="14041" spans="18:19">
      <c r="R14041" s="178"/>
      <c r="S14041" s="178"/>
    </row>
    <row r="14042" spans="18:19">
      <c r="R14042" s="178"/>
      <c r="S14042" s="178"/>
    </row>
    <row r="14043" spans="18:19">
      <c r="R14043" s="178"/>
      <c r="S14043" s="178"/>
    </row>
    <row r="14044" spans="18:19">
      <c r="R14044" s="178"/>
      <c r="S14044" s="178"/>
    </row>
    <row r="14045" spans="18:19">
      <c r="R14045" s="178"/>
      <c r="S14045" s="178"/>
    </row>
    <row r="14046" spans="18:19">
      <c r="R14046" s="178"/>
      <c r="S14046" s="178"/>
    </row>
    <row r="14047" spans="18:19">
      <c r="R14047" s="178"/>
      <c r="S14047" s="178"/>
    </row>
    <row r="14048" spans="18:19">
      <c r="R14048" s="178"/>
      <c r="S14048" s="178"/>
    </row>
    <row r="14049" spans="18:19">
      <c r="R14049" s="178"/>
      <c r="S14049" s="178"/>
    </row>
    <row r="14050" spans="18:19">
      <c r="R14050" s="178"/>
      <c r="S14050" s="178"/>
    </row>
    <row r="14051" spans="18:19">
      <c r="R14051" s="178"/>
      <c r="S14051" s="178"/>
    </row>
    <row r="14052" spans="18:19">
      <c r="R14052" s="178"/>
      <c r="S14052" s="178"/>
    </row>
    <row r="14053" spans="18:19">
      <c r="R14053" s="178"/>
      <c r="S14053" s="178"/>
    </row>
    <row r="14054" spans="18:19">
      <c r="R14054" s="178"/>
      <c r="S14054" s="178"/>
    </row>
    <row r="14055" spans="18:19">
      <c r="R14055" s="178"/>
      <c r="S14055" s="178"/>
    </row>
    <row r="14056" spans="18:19">
      <c r="R14056" s="178"/>
      <c r="S14056" s="178"/>
    </row>
    <row r="14057" spans="18:19">
      <c r="R14057" s="178"/>
      <c r="S14057" s="178"/>
    </row>
    <row r="14058" spans="18:19">
      <c r="R14058" s="178"/>
      <c r="S14058" s="178"/>
    </row>
    <row r="14059" spans="18:19">
      <c r="R14059" s="178"/>
      <c r="S14059" s="178"/>
    </row>
    <row r="14060" spans="18:19">
      <c r="R14060" s="178"/>
      <c r="S14060" s="178"/>
    </row>
    <row r="14061" spans="18:19">
      <c r="R14061" s="178"/>
      <c r="S14061" s="178"/>
    </row>
    <row r="14062" spans="18:19">
      <c r="R14062" s="178"/>
      <c r="S14062" s="178"/>
    </row>
    <row r="14063" spans="18:19">
      <c r="R14063" s="178"/>
      <c r="S14063" s="178"/>
    </row>
    <row r="14064" spans="18:19">
      <c r="R14064" s="178"/>
      <c r="S14064" s="178"/>
    </row>
    <row r="14065" spans="18:19">
      <c r="R14065" s="178"/>
      <c r="S14065" s="178"/>
    </row>
    <row r="14066" spans="18:19">
      <c r="R14066" s="178"/>
      <c r="S14066" s="178"/>
    </row>
    <row r="14067" spans="18:19">
      <c r="R14067" s="178"/>
      <c r="S14067" s="178"/>
    </row>
    <row r="14068" spans="18:19">
      <c r="R14068" s="178"/>
      <c r="S14068" s="178"/>
    </row>
    <row r="14069" spans="18:19">
      <c r="R14069" s="178"/>
      <c r="S14069" s="178"/>
    </row>
    <row r="14070" spans="18:19">
      <c r="R14070" s="178"/>
      <c r="S14070" s="178"/>
    </row>
    <row r="14071" spans="18:19">
      <c r="R14071" s="178"/>
      <c r="S14071" s="178"/>
    </row>
    <row r="14072" spans="18:19">
      <c r="R14072" s="178"/>
      <c r="S14072" s="178"/>
    </row>
    <row r="14073" spans="18:19">
      <c r="R14073" s="178"/>
      <c r="S14073" s="178"/>
    </row>
    <row r="14074" spans="18:19">
      <c r="R14074" s="178"/>
      <c r="S14074" s="178"/>
    </row>
    <row r="14075" spans="18:19">
      <c r="R14075" s="178"/>
      <c r="S14075" s="178"/>
    </row>
    <row r="14076" spans="18:19">
      <c r="R14076" s="178"/>
      <c r="S14076" s="178"/>
    </row>
    <row r="14077" spans="18:19">
      <c r="R14077" s="178"/>
      <c r="S14077" s="178"/>
    </row>
    <row r="14078" spans="18:19">
      <c r="R14078" s="178"/>
      <c r="S14078" s="178"/>
    </row>
    <row r="14079" spans="18:19">
      <c r="R14079" s="178"/>
      <c r="S14079" s="178"/>
    </row>
    <row r="14080" spans="18:19">
      <c r="R14080" s="178"/>
      <c r="S14080" s="178"/>
    </row>
    <row r="14081" spans="18:19">
      <c r="R14081" s="178"/>
      <c r="S14081" s="178"/>
    </row>
    <row r="14082" spans="18:19">
      <c r="R14082" s="178"/>
      <c r="S14082" s="178"/>
    </row>
    <row r="14083" spans="18:19">
      <c r="R14083" s="178"/>
      <c r="S14083" s="178"/>
    </row>
    <row r="14084" spans="18:19">
      <c r="R14084" s="178"/>
      <c r="S14084" s="178"/>
    </row>
    <row r="14085" spans="18:19">
      <c r="R14085" s="178"/>
      <c r="S14085" s="178"/>
    </row>
    <row r="14086" spans="18:19">
      <c r="R14086" s="178"/>
      <c r="S14086" s="178"/>
    </row>
    <row r="14087" spans="18:19">
      <c r="R14087" s="178"/>
      <c r="S14087" s="178"/>
    </row>
    <row r="14088" spans="18:19">
      <c r="R14088" s="178"/>
      <c r="S14088" s="178"/>
    </row>
    <row r="14089" spans="18:19">
      <c r="R14089" s="178"/>
      <c r="S14089" s="178"/>
    </row>
    <row r="14090" spans="18:19">
      <c r="R14090" s="178"/>
      <c r="S14090" s="178"/>
    </row>
    <row r="14091" spans="18:19">
      <c r="R14091" s="178"/>
      <c r="S14091" s="178"/>
    </row>
    <row r="14092" spans="18:19">
      <c r="R14092" s="178"/>
      <c r="S14092" s="178"/>
    </row>
    <row r="14093" spans="18:19">
      <c r="R14093" s="178"/>
      <c r="S14093" s="178"/>
    </row>
    <row r="14094" spans="18:19">
      <c r="R14094" s="178"/>
      <c r="S14094" s="178"/>
    </row>
    <row r="14095" spans="18:19">
      <c r="R14095" s="178"/>
      <c r="S14095" s="178"/>
    </row>
    <row r="14096" spans="18:19">
      <c r="R14096" s="178"/>
      <c r="S14096" s="178"/>
    </row>
    <row r="14097" spans="18:19">
      <c r="R14097" s="178"/>
      <c r="S14097" s="178"/>
    </row>
    <row r="14098" spans="18:19">
      <c r="R14098" s="178"/>
      <c r="S14098" s="178"/>
    </row>
    <row r="14099" spans="18:19">
      <c r="R14099" s="178"/>
      <c r="S14099" s="178"/>
    </row>
    <row r="14100" spans="18:19">
      <c r="R14100" s="178"/>
      <c r="S14100" s="178"/>
    </row>
    <row r="14101" spans="18:19">
      <c r="R14101" s="178"/>
      <c r="S14101" s="178"/>
    </row>
    <row r="14102" spans="18:19">
      <c r="R14102" s="178"/>
      <c r="S14102" s="178"/>
    </row>
    <row r="14103" spans="18:19">
      <c r="R14103" s="178"/>
      <c r="S14103" s="178"/>
    </row>
    <row r="14104" spans="18:19">
      <c r="R14104" s="178"/>
      <c r="S14104" s="178"/>
    </row>
    <row r="14105" spans="18:19">
      <c r="R14105" s="178"/>
      <c r="S14105" s="178"/>
    </row>
    <row r="14106" spans="18:19">
      <c r="R14106" s="178"/>
      <c r="S14106" s="178"/>
    </row>
    <row r="14107" spans="18:19">
      <c r="R14107" s="178"/>
      <c r="S14107" s="178"/>
    </row>
    <row r="14108" spans="18:19">
      <c r="R14108" s="178"/>
      <c r="S14108" s="178"/>
    </row>
    <row r="14109" spans="18:19">
      <c r="R14109" s="178"/>
      <c r="S14109" s="178"/>
    </row>
    <row r="14110" spans="18:19">
      <c r="R14110" s="178"/>
      <c r="S14110" s="178"/>
    </row>
    <row r="14111" spans="18:19">
      <c r="R14111" s="178"/>
      <c r="S14111" s="178"/>
    </row>
    <row r="14112" spans="18:19">
      <c r="R14112" s="178"/>
      <c r="S14112" s="178"/>
    </row>
    <row r="14113" spans="18:19">
      <c r="R14113" s="178"/>
      <c r="S14113" s="178"/>
    </row>
    <row r="14114" spans="18:19">
      <c r="R14114" s="178"/>
      <c r="S14114" s="178"/>
    </row>
    <row r="14115" spans="18:19">
      <c r="R14115" s="178"/>
      <c r="S14115" s="178"/>
    </row>
    <row r="14116" spans="18:19">
      <c r="R14116" s="178"/>
      <c r="S14116" s="178"/>
    </row>
    <row r="14117" spans="18:19">
      <c r="R14117" s="178"/>
      <c r="S14117" s="178"/>
    </row>
    <row r="14118" spans="18:19">
      <c r="R14118" s="178"/>
      <c r="S14118" s="178"/>
    </row>
    <row r="14119" spans="18:19">
      <c r="R14119" s="178"/>
      <c r="S14119" s="178"/>
    </row>
    <row r="14120" spans="18:19">
      <c r="R14120" s="178"/>
      <c r="S14120" s="178"/>
    </row>
    <row r="14121" spans="18:19">
      <c r="R14121" s="178"/>
      <c r="S14121" s="178"/>
    </row>
    <row r="14122" spans="18:19">
      <c r="R14122" s="178"/>
      <c r="S14122" s="178"/>
    </row>
    <row r="14123" spans="18:19">
      <c r="R14123" s="178"/>
      <c r="S14123" s="178"/>
    </row>
    <row r="14124" spans="18:19">
      <c r="R14124" s="178"/>
      <c r="S14124" s="178"/>
    </row>
    <row r="14125" spans="18:19">
      <c r="R14125" s="178"/>
      <c r="S14125" s="178"/>
    </row>
    <row r="14126" spans="18:19">
      <c r="R14126" s="178"/>
      <c r="S14126" s="178"/>
    </row>
    <row r="14127" spans="18:19">
      <c r="R14127" s="178"/>
      <c r="S14127" s="178"/>
    </row>
    <row r="14128" spans="18:19">
      <c r="R14128" s="178"/>
      <c r="S14128" s="178"/>
    </row>
    <row r="14129" spans="18:19">
      <c r="R14129" s="178"/>
      <c r="S14129" s="178"/>
    </row>
    <row r="14130" spans="18:19">
      <c r="R14130" s="178"/>
      <c r="S14130" s="178"/>
    </row>
    <row r="14131" spans="18:19">
      <c r="R14131" s="178"/>
      <c r="S14131" s="178"/>
    </row>
    <row r="14132" spans="18:19">
      <c r="R14132" s="178"/>
      <c r="S14132" s="178"/>
    </row>
    <row r="14133" spans="18:19">
      <c r="R14133" s="178"/>
      <c r="S14133" s="178"/>
    </row>
    <row r="14134" spans="18:19">
      <c r="R14134" s="178"/>
      <c r="S14134" s="178"/>
    </row>
    <row r="14135" spans="18:19">
      <c r="R14135" s="178"/>
      <c r="S14135" s="178"/>
    </row>
    <row r="14136" spans="18:19">
      <c r="R14136" s="178"/>
      <c r="S14136" s="178"/>
    </row>
    <row r="14137" spans="18:19">
      <c r="R14137" s="178"/>
      <c r="S14137" s="178"/>
    </row>
    <row r="14138" spans="18:19">
      <c r="R14138" s="178"/>
      <c r="S14138" s="178"/>
    </row>
    <row r="14139" spans="18:19">
      <c r="R14139" s="178"/>
      <c r="S14139" s="178"/>
    </row>
    <row r="14140" spans="18:19">
      <c r="R14140" s="178"/>
      <c r="S14140" s="178"/>
    </row>
    <row r="14141" spans="18:19">
      <c r="R14141" s="178"/>
      <c r="S14141" s="178"/>
    </row>
    <row r="14142" spans="18:19">
      <c r="R14142" s="178"/>
      <c r="S14142" s="178"/>
    </row>
    <row r="14143" spans="18:19">
      <c r="R14143" s="178"/>
      <c r="S14143" s="178"/>
    </row>
    <row r="14144" spans="18:19">
      <c r="R14144" s="178"/>
      <c r="S14144" s="178"/>
    </row>
    <row r="14145" spans="18:19">
      <c r="R14145" s="178"/>
      <c r="S14145" s="178"/>
    </row>
    <row r="14146" spans="18:19">
      <c r="R14146" s="178"/>
      <c r="S14146" s="178"/>
    </row>
    <row r="14147" spans="18:19">
      <c r="R14147" s="178"/>
      <c r="S14147" s="178"/>
    </row>
    <row r="14148" spans="18:19">
      <c r="R14148" s="178"/>
      <c r="S14148" s="178"/>
    </row>
    <row r="14149" spans="18:19">
      <c r="R14149" s="178"/>
      <c r="S14149" s="178"/>
    </row>
    <row r="14150" spans="18:19">
      <c r="R14150" s="178"/>
      <c r="S14150" s="178"/>
    </row>
    <row r="14151" spans="18:19">
      <c r="R14151" s="178"/>
      <c r="S14151" s="178"/>
    </row>
    <row r="14152" spans="18:19">
      <c r="R14152" s="178"/>
      <c r="S14152" s="178"/>
    </row>
    <row r="14153" spans="18:19">
      <c r="R14153" s="178"/>
      <c r="S14153" s="178"/>
    </row>
    <row r="14154" spans="18:19">
      <c r="R14154" s="178"/>
      <c r="S14154" s="178"/>
    </row>
    <row r="14155" spans="18:19">
      <c r="R14155" s="178"/>
      <c r="S14155" s="178"/>
    </row>
    <row r="14156" spans="18:19">
      <c r="R14156" s="178"/>
      <c r="S14156" s="178"/>
    </row>
    <row r="14157" spans="18:19">
      <c r="R14157" s="178"/>
      <c r="S14157" s="178"/>
    </row>
    <row r="14158" spans="18:19">
      <c r="R14158" s="178"/>
      <c r="S14158" s="178"/>
    </row>
    <row r="14159" spans="18:19">
      <c r="R14159" s="178"/>
      <c r="S14159" s="178"/>
    </row>
    <row r="14160" spans="18:19">
      <c r="R14160" s="178"/>
      <c r="S14160" s="178"/>
    </row>
    <row r="14161" spans="18:19">
      <c r="R14161" s="178"/>
      <c r="S14161" s="178"/>
    </row>
    <row r="14162" spans="18:19">
      <c r="R14162" s="178"/>
      <c r="S14162" s="178"/>
    </row>
    <row r="14163" spans="18:19">
      <c r="R14163" s="178"/>
      <c r="S14163" s="178"/>
    </row>
    <row r="14164" spans="18:19">
      <c r="R14164" s="178"/>
      <c r="S14164" s="178"/>
    </row>
    <row r="14165" spans="18:19">
      <c r="R14165" s="178"/>
      <c r="S14165" s="178"/>
    </row>
    <row r="14166" spans="18:19">
      <c r="R14166" s="178"/>
      <c r="S14166" s="178"/>
    </row>
    <row r="14167" spans="18:19">
      <c r="R14167" s="178"/>
      <c r="S14167" s="178"/>
    </row>
    <row r="14168" spans="18:19">
      <c r="R14168" s="178"/>
      <c r="S14168" s="178"/>
    </row>
    <row r="14169" spans="18:19">
      <c r="R14169" s="178"/>
      <c r="S14169" s="178"/>
    </row>
    <row r="14170" spans="18:19">
      <c r="R14170" s="178"/>
      <c r="S14170" s="178"/>
    </row>
    <row r="14171" spans="18:19">
      <c r="R14171" s="178"/>
      <c r="S14171" s="178"/>
    </row>
    <row r="14172" spans="18:19">
      <c r="R14172" s="178"/>
      <c r="S14172" s="178"/>
    </row>
    <row r="14173" spans="18:19">
      <c r="R14173" s="178"/>
      <c r="S14173" s="178"/>
    </row>
    <row r="14174" spans="18:19">
      <c r="R14174" s="178"/>
      <c r="S14174" s="178"/>
    </row>
    <row r="14175" spans="18:19">
      <c r="R14175" s="178"/>
      <c r="S14175" s="178"/>
    </row>
    <row r="14176" spans="18:19">
      <c r="R14176" s="178"/>
      <c r="S14176" s="178"/>
    </row>
    <row r="14177" spans="18:19">
      <c r="R14177" s="178"/>
      <c r="S14177" s="178"/>
    </row>
    <row r="14178" spans="18:19">
      <c r="R14178" s="178"/>
      <c r="S14178" s="178"/>
    </row>
    <row r="14179" spans="18:19">
      <c r="R14179" s="178"/>
      <c r="S14179" s="178"/>
    </row>
    <row r="14180" spans="18:19">
      <c r="R14180" s="178"/>
      <c r="S14180" s="178"/>
    </row>
    <row r="14181" spans="18:19">
      <c r="R14181" s="178"/>
      <c r="S14181" s="178"/>
    </row>
    <row r="14182" spans="18:19">
      <c r="R14182" s="178"/>
      <c r="S14182" s="178"/>
    </row>
    <row r="14183" spans="18:19">
      <c r="R14183" s="178"/>
      <c r="S14183" s="178"/>
    </row>
    <row r="14184" spans="18:19">
      <c r="R14184" s="178"/>
      <c r="S14184" s="178"/>
    </row>
    <row r="14185" spans="18:19">
      <c r="R14185" s="178"/>
      <c r="S14185" s="178"/>
    </row>
    <row r="14186" spans="18:19">
      <c r="R14186" s="178"/>
      <c r="S14186" s="178"/>
    </row>
    <row r="14187" spans="18:19">
      <c r="R14187" s="178"/>
      <c r="S14187" s="178"/>
    </row>
    <row r="14188" spans="18:19">
      <c r="R14188" s="178"/>
      <c r="S14188" s="178"/>
    </row>
    <row r="14189" spans="18:19">
      <c r="R14189" s="178"/>
      <c r="S14189" s="178"/>
    </row>
    <row r="14190" spans="18:19">
      <c r="R14190" s="178"/>
      <c r="S14190" s="178"/>
    </row>
    <row r="14191" spans="18:19">
      <c r="R14191" s="178"/>
      <c r="S14191" s="178"/>
    </row>
    <row r="14192" spans="18:19">
      <c r="R14192" s="178"/>
      <c r="S14192" s="178"/>
    </row>
    <row r="14193" spans="18:19">
      <c r="R14193" s="178"/>
      <c r="S14193" s="178"/>
    </row>
    <row r="14194" spans="18:19">
      <c r="R14194" s="178"/>
      <c r="S14194" s="178"/>
    </row>
    <row r="14195" spans="18:19">
      <c r="R14195" s="178"/>
      <c r="S14195" s="178"/>
    </row>
    <row r="14196" spans="18:19">
      <c r="R14196" s="178"/>
      <c r="S14196" s="178"/>
    </row>
    <row r="14197" spans="18:19">
      <c r="R14197" s="178"/>
      <c r="S14197" s="178"/>
    </row>
    <row r="14198" spans="18:19">
      <c r="R14198" s="178"/>
      <c r="S14198" s="178"/>
    </row>
    <row r="14199" spans="18:19">
      <c r="R14199" s="178"/>
      <c r="S14199" s="178"/>
    </row>
    <row r="14200" spans="18:19">
      <c r="R14200" s="178"/>
      <c r="S14200" s="178"/>
    </row>
    <row r="14201" spans="18:19">
      <c r="R14201" s="178"/>
      <c r="S14201" s="178"/>
    </row>
    <row r="14202" spans="18:19">
      <c r="R14202" s="178"/>
      <c r="S14202" s="178"/>
    </row>
    <row r="14203" spans="18:19">
      <c r="R14203" s="178"/>
      <c r="S14203" s="178"/>
    </row>
    <row r="14204" spans="18:19">
      <c r="R14204" s="178"/>
      <c r="S14204" s="178"/>
    </row>
    <row r="14205" spans="18:19">
      <c r="R14205" s="178"/>
      <c r="S14205" s="178"/>
    </row>
    <row r="14206" spans="18:19">
      <c r="R14206" s="178"/>
      <c r="S14206" s="178"/>
    </row>
    <row r="14207" spans="18:19">
      <c r="R14207" s="178"/>
      <c r="S14207" s="178"/>
    </row>
    <row r="14208" spans="18:19">
      <c r="R14208" s="178"/>
      <c r="S14208" s="178"/>
    </row>
    <row r="14209" spans="18:19">
      <c r="R14209" s="178"/>
      <c r="S14209" s="178"/>
    </row>
    <row r="14210" spans="18:19">
      <c r="R14210" s="178"/>
      <c r="S14210" s="178"/>
    </row>
    <row r="14211" spans="18:19">
      <c r="R14211" s="178"/>
      <c r="S14211" s="178"/>
    </row>
    <row r="14212" spans="18:19">
      <c r="R14212" s="178"/>
      <c r="S14212" s="178"/>
    </row>
    <row r="14213" spans="18:19">
      <c r="R14213" s="178"/>
      <c r="S14213" s="178"/>
    </row>
    <row r="14214" spans="18:19">
      <c r="R14214" s="178"/>
      <c r="S14214" s="178"/>
    </row>
    <row r="14215" spans="18:19">
      <c r="R14215" s="178"/>
      <c r="S14215" s="178"/>
    </row>
    <row r="14216" spans="18:19">
      <c r="R14216" s="178"/>
      <c r="S14216" s="178"/>
    </row>
    <row r="14217" spans="18:19">
      <c r="R14217" s="178"/>
      <c r="S14217" s="178"/>
    </row>
    <row r="14218" spans="18:19">
      <c r="R14218" s="178"/>
      <c r="S14218" s="178"/>
    </row>
    <row r="14219" spans="18:19">
      <c r="R14219" s="178"/>
      <c r="S14219" s="178"/>
    </row>
    <row r="14220" spans="18:19">
      <c r="R14220" s="178"/>
      <c r="S14220" s="178"/>
    </row>
    <row r="14221" spans="18:19">
      <c r="R14221" s="178"/>
      <c r="S14221" s="178"/>
    </row>
    <row r="14222" spans="18:19">
      <c r="R14222" s="178"/>
      <c r="S14222" s="178"/>
    </row>
    <row r="14223" spans="18:19">
      <c r="R14223" s="178"/>
      <c r="S14223" s="178"/>
    </row>
    <row r="14224" spans="18:19">
      <c r="R14224" s="178"/>
      <c r="S14224" s="178"/>
    </row>
    <row r="14225" spans="18:19">
      <c r="R14225" s="178"/>
      <c r="S14225" s="178"/>
    </row>
    <row r="14226" spans="18:19">
      <c r="R14226" s="178"/>
      <c r="S14226" s="178"/>
    </row>
    <row r="14227" spans="18:19">
      <c r="R14227" s="178"/>
      <c r="S14227" s="178"/>
    </row>
    <row r="14228" spans="18:19">
      <c r="R14228" s="178"/>
      <c r="S14228" s="178"/>
    </row>
    <row r="14229" spans="18:19">
      <c r="R14229" s="178"/>
      <c r="S14229" s="178"/>
    </row>
    <row r="14230" spans="18:19">
      <c r="R14230" s="178"/>
      <c r="S14230" s="178"/>
    </row>
    <row r="14231" spans="18:19">
      <c r="R14231" s="178"/>
      <c r="S14231" s="178"/>
    </row>
    <row r="14232" spans="18:19">
      <c r="R14232" s="178"/>
      <c r="S14232" s="178"/>
    </row>
    <row r="14233" spans="18:19">
      <c r="R14233" s="178"/>
      <c r="S14233" s="178"/>
    </row>
    <row r="14234" spans="18:19">
      <c r="R14234" s="178"/>
      <c r="S14234" s="178"/>
    </row>
    <row r="14235" spans="18:19">
      <c r="R14235" s="178"/>
      <c r="S14235" s="178"/>
    </row>
    <row r="14236" spans="18:19">
      <c r="R14236" s="178"/>
      <c r="S14236" s="178"/>
    </row>
    <row r="14237" spans="18:19">
      <c r="R14237" s="178"/>
      <c r="S14237" s="178"/>
    </row>
    <row r="14238" spans="18:19">
      <c r="R14238" s="178"/>
      <c r="S14238" s="178"/>
    </row>
    <row r="14239" spans="18:19">
      <c r="R14239" s="178"/>
      <c r="S14239" s="178"/>
    </row>
    <row r="14240" spans="18:19">
      <c r="R14240" s="178"/>
      <c r="S14240" s="178"/>
    </row>
    <row r="14241" spans="18:19">
      <c r="R14241" s="178"/>
      <c r="S14241" s="178"/>
    </row>
    <row r="14242" spans="18:19">
      <c r="R14242" s="178"/>
      <c r="S14242" s="178"/>
    </row>
    <row r="14243" spans="18:19">
      <c r="R14243" s="178"/>
      <c r="S14243" s="178"/>
    </row>
    <row r="14244" spans="18:19">
      <c r="R14244" s="178"/>
      <c r="S14244" s="178"/>
    </row>
    <row r="14245" spans="18:19">
      <c r="R14245" s="178"/>
      <c r="S14245" s="178"/>
    </row>
    <row r="14246" spans="18:19">
      <c r="R14246" s="178"/>
      <c r="S14246" s="178"/>
    </row>
    <row r="14247" spans="18:19">
      <c r="R14247" s="178"/>
      <c r="S14247" s="178"/>
    </row>
    <row r="14248" spans="18:19">
      <c r="R14248" s="178"/>
      <c r="S14248" s="178"/>
    </row>
    <row r="14249" spans="18:19">
      <c r="R14249" s="178"/>
      <c r="S14249" s="178"/>
    </row>
    <row r="14250" spans="18:19">
      <c r="R14250" s="178"/>
      <c r="S14250" s="178"/>
    </row>
    <row r="14251" spans="18:19">
      <c r="R14251" s="178"/>
      <c r="S14251" s="178"/>
    </row>
    <row r="14252" spans="18:19">
      <c r="R14252" s="178"/>
      <c r="S14252" s="178"/>
    </row>
    <row r="14253" spans="18:19">
      <c r="R14253" s="178"/>
      <c r="S14253" s="178"/>
    </row>
    <row r="14254" spans="18:19">
      <c r="R14254" s="178"/>
      <c r="S14254" s="178"/>
    </row>
    <row r="14255" spans="18:19">
      <c r="R14255" s="178"/>
      <c r="S14255" s="178"/>
    </row>
    <row r="14256" spans="18:19">
      <c r="R14256" s="178"/>
      <c r="S14256" s="178"/>
    </row>
    <row r="14257" spans="18:19">
      <c r="R14257" s="178"/>
      <c r="S14257" s="178"/>
    </row>
    <row r="14258" spans="18:19">
      <c r="R14258" s="178"/>
      <c r="S14258" s="178"/>
    </row>
    <row r="14259" spans="18:19">
      <c r="R14259" s="178"/>
      <c r="S14259" s="178"/>
    </row>
    <row r="14260" spans="18:19">
      <c r="R14260" s="178"/>
      <c r="S14260" s="178"/>
    </row>
    <row r="14261" spans="18:19">
      <c r="R14261" s="178"/>
      <c r="S14261" s="178"/>
    </row>
    <row r="14262" spans="18:19">
      <c r="R14262" s="178"/>
      <c r="S14262" s="178"/>
    </row>
    <row r="14263" spans="18:19">
      <c r="R14263" s="178"/>
      <c r="S14263" s="178"/>
    </row>
    <row r="14264" spans="18:19">
      <c r="R14264" s="178"/>
      <c r="S14264" s="178"/>
    </row>
    <row r="14265" spans="18:19">
      <c r="R14265" s="178"/>
      <c r="S14265" s="178"/>
    </row>
    <row r="14266" spans="18:19">
      <c r="R14266" s="178"/>
      <c r="S14266" s="178"/>
    </row>
    <row r="14267" spans="18:19">
      <c r="R14267" s="178"/>
      <c r="S14267" s="178"/>
    </row>
    <row r="14268" spans="18:19">
      <c r="R14268" s="178"/>
      <c r="S14268" s="178"/>
    </row>
    <row r="14269" spans="18:19">
      <c r="R14269" s="178"/>
      <c r="S14269" s="178"/>
    </row>
    <row r="14270" spans="18:19">
      <c r="R14270" s="178"/>
      <c r="S14270" s="178"/>
    </row>
    <row r="14271" spans="18:19">
      <c r="R14271" s="178"/>
      <c r="S14271" s="178"/>
    </row>
    <row r="14272" spans="18:19">
      <c r="R14272" s="178"/>
      <c r="S14272" s="178"/>
    </row>
    <row r="14273" spans="18:19">
      <c r="R14273" s="178"/>
      <c r="S14273" s="178"/>
    </row>
    <row r="14274" spans="18:19">
      <c r="R14274" s="178"/>
      <c r="S14274" s="178"/>
    </row>
    <row r="14275" spans="18:19">
      <c r="R14275" s="178"/>
      <c r="S14275" s="178"/>
    </row>
    <row r="14276" spans="18:19">
      <c r="R14276" s="178"/>
      <c r="S14276" s="178"/>
    </row>
    <row r="14277" spans="18:19">
      <c r="R14277" s="178"/>
      <c r="S14277" s="178"/>
    </row>
    <row r="14278" spans="18:19">
      <c r="R14278" s="178"/>
      <c r="S14278" s="178"/>
    </row>
    <row r="14279" spans="18:19">
      <c r="R14279" s="178"/>
      <c r="S14279" s="178"/>
    </row>
    <row r="14280" spans="18:19">
      <c r="R14280" s="178"/>
      <c r="S14280" s="178"/>
    </row>
    <row r="14281" spans="18:19">
      <c r="R14281" s="178"/>
      <c r="S14281" s="178"/>
    </row>
    <row r="14282" spans="18:19">
      <c r="R14282" s="178"/>
      <c r="S14282" s="178"/>
    </row>
    <row r="14283" spans="18:19">
      <c r="R14283" s="178"/>
      <c r="S14283" s="178"/>
    </row>
    <row r="14284" spans="18:19">
      <c r="R14284" s="178"/>
      <c r="S14284" s="178"/>
    </row>
    <row r="14285" spans="18:19">
      <c r="R14285" s="178"/>
      <c r="S14285" s="178"/>
    </row>
    <row r="14286" spans="18:19">
      <c r="R14286" s="178"/>
      <c r="S14286" s="178"/>
    </row>
    <row r="14287" spans="18:19">
      <c r="R14287" s="178"/>
      <c r="S14287" s="178"/>
    </row>
    <row r="14288" spans="18:19">
      <c r="R14288" s="178"/>
      <c r="S14288" s="178"/>
    </row>
    <row r="14289" spans="18:19">
      <c r="R14289" s="178"/>
      <c r="S14289" s="178"/>
    </row>
    <row r="14290" spans="18:19">
      <c r="R14290" s="178"/>
      <c r="S14290" s="178"/>
    </row>
    <row r="14291" spans="18:19">
      <c r="R14291" s="178"/>
      <c r="S14291" s="178"/>
    </row>
    <row r="14292" spans="18:19">
      <c r="R14292" s="178"/>
      <c r="S14292" s="178"/>
    </row>
    <row r="14293" spans="18:19">
      <c r="R14293" s="178"/>
      <c r="S14293" s="178"/>
    </row>
    <row r="14294" spans="18:19">
      <c r="R14294" s="178"/>
      <c r="S14294" s="178"/>
    </row>
    <row r="14295" spans="18:19">
      <c r="R14295" s="178"/>
      <c r="S14295" s="178"/>
    </row>
    <row r="14296" spans="18:19">
      <c r="R14296" s="178"/>
      <c r="S14296" s="178"/>
    </row>
    <row r="14297" spans="18:19">
      <c r="R14297" s="178"/>
      <c r="S14297" s="178"/>
    </row>
    <row r="14298" spans="18:19">
      <c r="R14298" s="178"/>
      <c r="S14298" s="178"/>
    </row>
    <row r="14299" spans="18:19">
      <c r="R14299" s="178"/>
      <c r="S14299" s="178"/>
    </row>
    <row r="14300" spans="18:19">
      <c r="R14300" s="178"/>
      <c r="S14300" s="178"/>
    </row>
    <row r="14301" spans="18:19">
      <c r="R14301" s="178"/>
      <c r="S14301" s="178"/>
    </row>
    <row r="14302" spans="18:19">
      <c r="R14302" s="178"/>
      <c r="S14302" s="178"/>
    </row>
    <row r="14303" spans="18:19">
      <c r="R14303" s="178"/>
      <c r="S14303" s="178"/>
    </row>
    <row r="14304" spans="18:19">
      <c r="R14304" s="178"/>
      <c r="S14304" s="178"/>
    </row>
    <row r="14305" spans="18:19">
      <c r="R14305" s="178"/>
      <c r="S14305" s="178"/>
    </row>
    <row r="14306" spans="18:19">
      <c r="R14306" s="178"/>
      <c r="S14306" s="178"/>
    </row>
    <row r="14307" spans="18:19">
      <c r="R14307" s="178"/>
      <c r="S14307" s="178"/>
    </row>
    <row r="14308" spans="18:19">
      <c r="R14308" s="178"/>
      <c r="S14308" s="178"/>
    </row>
    <row r="14309" spans="18:19">
      <c r="R14309" s="178"/>
      <c r="S14309" s="178"/>
    </row>
    <row r="14310" spans="18:19">
      <c r="R14310" s="178"/>
      <c r="S14310" s="178"/>
    </row>
    <row r="14311" spans="18:19">
      <c r="R14311" s="178"/>
      <c r="S14311" s="178"/>
    </row>
    <row r="14312" spans="18:19">
      <c r="R14312" s="178"/>
      <c r="S14312" s="178"/>
    </row>
    <row r="14313" spans="18:19">
      <c r="R14313" s="178"/>
      <c r="S14313" s="178"/>
    </row>
    <row r="14314" spans="18:19">
      <c r="R14314" s="178"/>
      <c r="S14314" s="178"/>
    </row>
    <row r="14315" spans="18:19">
      <c r="R14315" s="178"/>
      <c r="S14315" s="178"/>
    </row>
    <row r="14316" spans="18:19">
      <c r="R14316" s="178"/>
      <c r="S14316" s="178"/>
    </row>
    <row r="14317" spans="18:19">
      <c r="R14317" s="178"/>
      <c r="S14317" s="178"/>
    </row>
    <row r="14318" spans="18:19">
      <c r="R14318" s="178"/>
      <c r="S14318" s="178"/>
    </row>
    <row r="14319" spans="18:19">
      <c r="R14319" s="178"/>
      <c r="S14319" s="178"/>
    </row>
    <row r="14320" spans="18:19">
      <c r="R14320" s="178"/>
      <c r="S14320" s="178"/>
    </row>
    <row r="14321" spans="18:19">
      <c r="R14321" s="178"/>
      <c r="S14321" s="178"/>
    </row>
    <row r="14322" spans="18:19">
      <c r="R14322" s="178"/>
      <c r="S14322" s="178"/>
    </row>
    <row r="14323" spans="18:19">
      <c r="R14323" s="178"/>
      <c r="S14323" s="178"/>
    </row>
    <row r="14324" spans="18:19">
      <c r="R14324" s="178"/>
      <c r="S14324" s="178"/>
    </row>
    <row r="14325" spans="18:19">
      <c r="R14325" s="178"/>
      <c r="S14325" s="178"/>
    </row>
    <row r="14326" spans="18:19">
      <c r="R14326" s="178"/>
      <c r="S14326" s="178"/>
    </row>
    <row r="14327" spans="18:19">
      <c r="R14327" s="178"/>
      <c r="S14327" s="178"/>
    </row>
    <row r="14328" spans="18:19">
      <c r="R14328" s="178"/>
      <c r="S14328" s="178"/>
    </row>
    <row r="14329" spans="18:19">
      <c r="R14329" s="178"/>
      <c r="S14329" s="178"/>
    </row>
    <row r="14330" spans="18:19">
      <c r="R14330" s="178"/>
      <c r="S14330" s="178"/>
    </row>
    <row r="14331" spans="18:19">
      <c r="R14331" s="178"/>
      <c r="S14331" s="178"/>
    </row>
    <row r="14332" spans="18:19">
      <c r="R14332" s="178"/>
      <c r="S14332" s="178"/>
    </row>
    <row r="14333" spans="18:19">
      <c r="R14333" s="178"/>
      <c r="S14333" s="178"/>
    </row>
    <row r="14334" spans="18:19">
      <c r="R14334" s="178"/>
      <c r="S14334" s="178"/>
    </row>
    <row r="14335" spans="18:19">
      <c r="R14335" s="178"/>
      <c r="S14335" s="178"/>
    </row>
    <row r="14336" spans="18:19">
      <c r="R14336" s="178"/>
      <c r="S14336" s="178"/>
    </row>
    <row r="14337" spans="18:19">
      <c r="R14337" s="178"/>
      <c r="S14337" s="178"/>
    </row>
    <row r="14338" spans="18:19">
      <c r="R14338" s="178"/>
      <c r="S14338" s="178"/>
    </row>
    <row r="14339" spans="18:19">
      <c r="R14339" s="178"/>
      <c r="S14339" s="178"/>
    </row>
    <row r="14340" spans="18:19">
      <c r="R14340" s="178"/>
      <c r="S14340" s="178"/>
    </row>
    <row r="14341" spans="18:19">
      <c r="R14341" s="178"/>
      <c r="S14341" s="178"/>
    </row>
    <row r="14342" spans="18:19">
      <c r="R14342" s="178"/>
      <c r="S14342" s="178"/>
    </row>
    <row r="14343" spans="18:19">
      <c r="R14343" s="178"/>
      <c r="S14343" s="178"/>
    </row>
    <row r="14344" spans="18:19">
      <c r="R14344" s="178"/>
      <c r="S14344" s="178"/>
    </row>
    <row r="14345" spans="18:19">
      <c r="R14345" s="178"/>
      <c r="S14345" s="178"/>
    </row>
    <row r="14346" spans="18:19">
      <c r="R14346" s="178"/>
      <c r="S14346" s="178"/>
    </row>
    <row r="14347" spans="18:19">
      <c r="R14347" s="178"/>
      <c r="S14347" s="178"/>
    </row>
    <row r="14348" spans="18:19">
      <c r="R14348" s="178"/>
      <c r="S14348" s="178"/>
    </row>
    <row r="14349" spans="18:19">
      <c r="R14349" s="178"/>
      <c r="S14349" s="178"/>
    </row>
    <row r="14350" spans="18:19">
      <c r="R14350" s="178"/>
      <c r="S14350" s="178"/>
    </row>
    <row r="14351" spans="18:19">
      <c r="R14351" s="178"/>
      <c r="S14351" s="178"/>
    </row>
    <row r="14352" spans="18:19">
      <c r="R14352" s="178"/>
      <c r="S14352" s="178"/>
    </row>
    <row r="14353" spans="18:19">
      <c r="R14353" s="178"/>
      <c r="S14353" s="178"/>
    </row>
    <row r="14354" spans="18:19">
      <c r="R14354" s="178"/>
      <c r="S14354" s="178"/>
    </row>
    <row r="14355" spans="18:19">
      <c r="R14355" s="178"/>
      <c r="S14355" s="178"/>
    </row>
    <row r="14356" spans="18:19">
      <c r="R14356" s="178"/>
      <c r="S14356" s="178"/>
    </row>
    <row r="14357" spans="18:19">
      <c r="R14357" s="178"/>
      <c r="S14357" s="178"/>
    </row>
    <row r="14358" spans="18:19">
      <c r="R14358" s="178"/>
      <c r="S14358" s="178"/>
    </row>
    <row r="14359" spans="18:19">
      <c r="R14359" s="178"/>
      <c r="S14359" s="178"/>
    </row>
    <row r="14360" spans="18:19">
      <c r="R14360" s="178"/>
      <c r="S14360" s="178"/>
    </row>
    <row r="14361" spans="18:19">
      <c r="R14361" s="178"/>
      <c r="S14361" s="178"/>
    </row>
    <row r="14362" spans="18:19">
      <c r="R14362" s="178"/>
      <c r="S14362" s="178"/>
    </row>
    <row r="14363" spans="18:19">
      <c r="R14363" s="178"/>
      <c r="S14363" s="178"/>
    </row>
    <row r="14364" spans="18:19">
      <c r="R14364" s="178"/>
      <c r="S14364" s="178"/>
    </row>
    <row r="14365" spans="18:19">
      <c r="R14365" s="178"/>
      <c r="S14365" s="178"/>
    </row>
    <row r="14366" spans="18:19">
      <c r="R14366" s="178"/>
      <c r="S14366" s="178"/>
    </row>
    <row r="14367" spans="18:19">
      <c r="R14367" s="178"/>
      <c r="S14367" s="178"/>
    </row>
    <row r="14368" spans="18:19">
      <c r="R14368" s="178"/>
      <c r="S14368" s="178"/>
    </row>
    <row r="14369" spans="18:19">
      <c r="R14369" s="178"/>
      <c r="S14369" s="178"/>
    </row>
    <row r="14370" spans="18:19">
      <c r="R14370" s="178"/>
      <c r="S14370" s="178"/>
    </row>
    <row r="14371" spans="18:19">
      <c r="R14371" s="178"/>
      <c r="S14371" s="178"/>
    </row>
    <row r="14372" spans="18:19">
      <c r="R14372" s="178"/>
      <c r="S14372" s="178"/>
    </row>
    <row r="14373" spans="18:19">
      <c r="R14373" s="178"/>
      <c r="S14373" s="178"/>
    </row>
    <row r="14374" spans="18:19">
      <c r="R14374" s="178"/>
      <c r="S14374" s="178"/>
    </row>
    <row r="14375" spans="18:19">
      <c r="R14375" s="178"/>
      <c r="S14375" s="178"/>
    </row>
    <row r="14376" spans="18:19">
      <c r="R14376" s="178"/>
      <c r="S14376" s="178"/>
    </row>
    <row r="14377" spans="18:19">
      <c r="R14377" s="178"/>
      <c r="S14377" s="178"/>
    </row>
    <row r="14378" spans="18:19">
      <c r="R14378" s="178"/>
      <c r="S14378" s="178"/>
    </row>
    <row r="14379" spans="18:19">
      <c r="R14379" s="178"/>
      <c r="S14379" s="178"/>
    </row>
    <row r="14380" spans="18:19">
      <c r="R14380" s="178"/>
      <c r="S14380" s="178"/>
    </row>
    <row r="14381" spans="18:19">
      <c r="R14381" s="178"/>
      <c r="S14381" s="178"/>
    </row>
    <row r="14382" spans="18:19">
      <c r="R14382" s="178"/>
      <c r="S14382" s="178"/>
    </row>
    <row r="14383" spans="18:19">
      <c r="R14383" s="178"/>
      <c r="S14383" s="178"/>
    </row>
    <row r="14384" spans="18:19">
      <c r="R14384" s="178"/>
      <c r="S14384" s="178"/>
    </row>
    <row r="14385" spans="18:19">
      <c r="R14385" s="178"/>
      <c r="S14385" s="178"/>
    </row>
    <row r="14386" spans="18:19">
      <c r="R14386" s="178"/>
      <c r="S14386" s="178"/>
    </row>
    <row r="14387" spans="18:19">
      <c r="R14387" s="178"/>
      <c r="S14387" s="178"/>
    </row>
    <row r="14388" spans="18:19">
      <c r="R14388" s="178"/>
      <c r="S14388" s="178"/>
    </row>
    <row r="14389" spans="18:19">
      <c r="R14389" s="178"/>
      <c r="S14389" s="178"/>
    </row>
    <row r="14390" spans="18:19">
      <c r="R14390" s="178"/>
      <c r="S14390" s="178"/>
    </row>
    <row r="14391" spans="18:19">
      <c r="R14391" s="178"/>
      <c r="S14391" s="178"/>
    </row>
    <row r="14392" spans="18:19">
      <c r="R14392" s="178"/>
      <c r="S14392" s="178"/>
    </row>
    <row r="14393" spans="18:19">
      <c r="R14393" s="178"/>
      <c r="S14393" s="178"/>
    </row>
    <row r="14394" spans="18:19">
      <c r="R14394" s="178"/>
      <c r="S14394" s="178"/>
    </row>
    <row r="14395" spans="18:19">
      <c r="R14395" s="178"/>
      <c r="S14395" s="178"/>
    </row>
    <row r="14396" spans="18:19">
      <c r="R14396" s="178"/>
      <c r="S14396" s="178"/>
    </row>
    <row r="14397" spans="18:19">
      <c r="R14397" s="178"/>
      <c r="S14397" s="178"/>
    </row>
    <row r="14398" spans="18:19">
      <c r="R14398" s="178"/>
      <c r="S14398" s="178"/>
    </row>
    <row r="14399" spans="18:19">
      <c r="R14399" s="178"/>
      <c r="S14399" s="178"/>
    </row>
    <row r="14400" spans="18:19">
      <c r="R14400" s="178"/>
      <c r="S14400" s="178"/>
    </row>
    <row r="14401" spans="18:19">
      <c r="R14401" s="178"/>
      <c r="S14401" s="178"/>
    </row>
    <row r="14402" spans="18:19">
      <c r="R14402" s="178"/>
      <c r="S14402" s="178"/>
    </row>
    <row r="14403" spans="18:19">
      <c r="R14403" s="178"/>
      <c r="S14403" s="178"/>
    </row>
    <row r="14404" spans="18:19">
      <c r="R14404" s="178"/>
      <c r="S14404" s="178"/>
    </row>
    <row r="14405" spans="18:19">
      <c r="R14405" s="178"/>
      <c r="S14405" s="178"/>
    </row>
    <row r="14406" spans="18:19">
      <c r="R14406" s="178"/>
      <c r="S14406" s="178"/>
    </row>
    <row r="14407" spans="18:19">
      <c r="R14407" s="178"/>
      <c r="S14407" s="178"/>
    </row>
    <row r="14408" spans="18:19">
      <c r="R14408" s="178"/>
      <c r="S14408" s="178"/>
    </row>
    <row r="14409" spans="18:19">
      <c r="R14409" s="178"/>
      <c r="S14409" s="178"/>
    </row>
    <row r="14410" spans="18:19">
      <c r="R14410" s="178"/>
      <c r="S14410" s="178"/>
    </row>
    <row r="14411" spans="18:19">
      <c r="R14411" s="178"/>
      <c r="S14411" s="178"/>
    </row>
    <row r="14412" spans="18:19">
      <c r="R14412" s="178"/>
      <c r="S14412" s="178"/>
    </row>
    <row r="14413" spans="18:19">
      <c r="R14413" s="178"/>
      <c r="S14413" s="178"/>
    </row>
    <row r="14414" spans="18:19">
      <c r="R14414" s="178"/>
      <c r="S14414" s="178"/>
    </row>
    <row r="14415" spans="18:19">
      <c r="R14415" s="178"/>
      <c r="S14415" s="178"/>
    </row>
    <row r="14416" spans="18:19">
      <c r="R14416" s="178"/>
      <c r="S14416" s="178"/>
    </row>
    <row r="14417" spans="18:19">
      <c r="R14417" s="178"/>
      <c r="S14417" s="178"/>
    </row>
    <row r="14418" spans="18:19">
      <c r="R14418" s="178"/>
      <c r="S14418" s="178"/>
    </row>
    <row r="14419" spans="18:19">
      <c r="R14419" s="178"/>
      <c r="S14419" s="178"/>
    </row>
    <row r="14420" spans="18:19">
      <c r="R14420" s="178"/>
      <c r="S14420" s="178"/>
    </row>
    <row r="14421" spans="18:19">
      <c r="R14421" s="178"/>
      <c r="S14421" s="178"/>
    </row>
    <row r="14422" spans="18:19">
      <c r="R14422" s="178"/>
      <c r="S14422" s="178"/>
    </row>
    <row r="14423" spans="18:19">
      <c r="R14423" s="178"/>
      <c r="S14423" s="178"/>
    </row>
    <row r="14424" spans="18:19">
      <c r="R14424" s="178"/>
      <c r="S14424" s="178"/>
    </row>
    <row r="14425" spans="18:19">
      <c r="R14425" s="178"/>
      <c r="S14425" s="178"/>
    </row>
    <row r="14426" spans="18:19">
      <c r="R14426" s="178"/>
      <c r="S14426" s="178"/>
    </row>
    <row r="14427" spans="18:19">
      <c r="R14427" s="178"/>
      <c r="S14427" s="178"/>
    </row>
    <row r="14428" spans="18:19">
      <c r="R14428" s="178"/>
      <c r="S14428" s="178"/>
    </row>
    <row r="14429" spans="18:19">
      <c r="R14429" s="178"/>
      <c r="S14429" s="178"/>
    </row>
    <row r="14430" spans="18:19">
      <c r="R14430" s="178"/>
      <c r="S14430" s="178"/>
    </row>
    <row r="14431" spans="18:19">
      <c r="R14431" s="178"/>
      <c r="S14431" s="178"/>
    </row>
    <row r="14432" spans="18:19">
      <c r="R14432" s="178"/>
      <c r="S14432" s="178"/>
    </row>
    <row r="14433" spans="18:19">
      <c r="R14433" s="178"/>
      <c r="S14433" s="178"/>
    </row>
    <row r="14434" spans="18:19">
      <c r="R14434" s="178"/>
      <c r="S14434" s="178"/>
    </row>
    <row r="14435" spans="18:19">
      <c r="R14435" s="178"/>
      <c r="S14435" s="178"/>
    </row>
    <row r="14436" spans="18:19">
      <c r="R14436" s="178"/>
      <c r="S14436" s="178"/>
    </row>
    <row r="14437" spans="18:19">
      <c r="R14437" s="178"/>
      <c r="S14437" s="178"/>
    </row>
    <row r="14438" spans="18:19">
      <c r="R14438" s="178"/>
      <c r="S14438" s="178"/>
    </row>
    <row r="14439" spans="18:19">
      <c r="R14439" s="178"/>
      <c r="S14439" s="178"/>
    </row>
    <row r="14440" spans="18:19">
      <c r="R14440" s="178"/>
      <c r="S14440" s="178"/>
    </row>
    <row r="14441" spans="18:19">
      <c r="R14441" s="178"/>
      <c r="S14441" s="178"/>
    </row>
    <row r="14442" spans="18:19">
      <c r="R14442" s="178"/>
      <c r="S14442" s="178"/>
    </row>
    <row r="14443" spans="18:19">
      <c r="R14443" s="178"/>
      <c r="S14443" s="178"/>
    </row>
    <row r="14444" spans="18:19">
      <c r="R14444" s="178"/>
      <c r="S14444" s="178"/>
    </row>
    <row r="14445" spans="18:19">
      <c r="R14445" s="178"/>
      <c r="S14445" s="178"/>
    </row>
    <row r="14446" spans="18:19">
      <c r="R14446" s="178"/>
      <c r="S14446" s="178"/>
    </row>
    <row r="14447" spans="18:19">
      <c r="R14447" s="178"/>
      <c r="S14447" s="178"/>
    </row>
    <row r="14448" spans="18:19">
      <c r="R14448" s="178"/>
      <c r="S14448" s="178"/>
    </row>
    <row r="14449" spans="18:19">
      <c r="R14449" s="178"/>
      <c r="S14449" s="178"/>
    </row>
    <row r="14450" spans="18:19">
      <c r="R14450" s="178"/>
      <c r="S14450" s="178"/>
    </row>
    <row r="14451" spans="18:19">
      <c r="R14451" s="178"/>
      <c r="S14451" s="178"/>
    </row>
    <row r="14452" spans="18:19">
      <c r="R14452" s="178"/>
      <c r="S14452" s="178"/>
    </row>
    <row r="14453" spans="18:19">
      <c r="R14453" s="178"/>
      <c r="S14453" s="178"/>
    </row>
    <row r="14454" spans="18:19">
      <c r="R14454" s="178"/>
      <c r="S14454" s="178"/>
    </row>
    <row r="14455" spans="18:19">
      <c r="R14455" s="178"/>
      <c r="S14455" s="178"/>
    </row>
    <row r="14456" spans="18:19">
      <c r="R14456" s="178"/>
      <c r="S14456" s="178"/>
    </row>
    <row r="14457" spans="18:19">
      <c r="R14457" s="178"/>
      <c r="S14457" s="178"/>
    </row>
    <row r="14458" spans="18:19">
      <c r="R14458" s="178"/>
      <c r="S14458" s="178"/>
    </row>
    <row r="14459" spans="18:19">
      <c r="R14459" s="178"/>
      <c r="S14459" s="178"/>
    </row>
    <row r="14460" spans="18:19">
      <c r="R14460" s="178"/>
      <c r="S14460" s="178"/>
    </row>
    <row r="14461" spans="18:19">
      <c r="R14461" s="178"/>
      <c r="S14461" s="178"/>
    </row>
    <row r="14462" spans="18:19">
      <c r="R14462" s="178"/>
      <c r="S14462" s="178"/>
    </row>
    <row r="14463" spans="18:19">
      <c r="R14463" s="178"/>
      <c r="S14463" s="178"/>
    </row>
    <row r="14464" spans="18:19">
      <c r="R14464" s="178"/>
      <c r="S14464" s="178"/>
    </row>
    <row r="14465" spans="18:19">
      <c r="R14465" s="178"/>
      <c r="S14465" s="178"/>
    </row>
    <row r="14466" spans="18:19">
      <c r="R14466" s="178"/>
      <c r="S14466" s="178"/>
    </row>
    <row r="14467" spans="18:19">
      <c r="R14467" s="178"/>
      <c r="S14467" s="178"/>
    </row>
    <row r="14468" spans="18:19">
      <c r="R14468" s="178"/>
      <c r="S14468" s="178"/>
    </row>
    <row r="14469" spans="18:19">
      <c r="R14469" s="178"/>
      <c r="S14469" s="178"/>
    </row>
    <row r="14470" spans="18:19">
      <c r="R14470" s="178"/>
      <c r="S14470" s="178"/>
    </row>
    <row r="14471" spans="18:19">
      <c r="R14471" s="178"/>
      <c r="S14471" s="178"/>
    </row>
    <row r="14472" spans="18:19">
      <c r="R14472" s="178"/>
      <c r="S14472" s="178"/>
    </row>
    <row r="14473" spans="18:19">
      <c r="R14473" s="178"/>
      <c r="S14473" s="178"/>
    </row>
    <row r="14474" spans="18:19">
      <c r="R14474" s="178"/>
      <c r="S14474" s="178"/>
    </row>
    <row r="14475" spans="18:19">
      <c r="R14475" s="178"/>
      <c r="S14475" s="178"/>
    </row>
    <row r="14476" spans="18:19">
      <c r="R14476" s="178"/>
      <c r="S14476" s="178"/>
    </row>
    <row r="14477" spans="18:19">
      <c r="R14477" s="178"/>
      <c r="S14477" s="178"/>
    </row>
    <row r="14478" spans="18:19">
      <c r="R14478" s="178"/>
      <c r="S14478" s="178"/>
    </row>
    <row r="14479" spans="18:19">
      <c r="R14479" s="178"/>
      <c r="S14479" s="178"/>
    </row>
    <row r="14480" spans="18:19">
      <c r="R14480" s="178"/>
      <c r="S14480" s="178"/>
    </row>
    <row r="14481" spans="18:19">
      <c r="R14481" s="178"/>
      <c r="S14481" s="178"/>
    </row>
    <row r="14482" spans="18:19">
      <c r="R14482" s="178"/>
      <c r="S14482" s="178"/>
    </row>
    <row r="14483" spans="18:19">
      <c r="R14483" s="178"/>
      <c r="S14483" s="178"/>
    </row>
    <row r="14484" spans="18:19">
      <c r="R14484" s="178"/>
      <c r="S14484" s="178"/>
    </row>
    <row r="14485" spans="18:19">
      <c r="R14485" s="178"/>
      <c r="S14485" s="178"/>
    </row>
    <row r="14486" spans="18:19">
      <c r="R14486" s="178"/>
      <c r="S14486" s="178"/>
    </row>
    <row r="14487" spans="18:19">
      <c r="R14487" s="178"/>
      <c r="S14487" s="178"/>
    </row>
    <row r="14488" spans="18:19">
      <c r="R14488" s="178"/>
      <c r="S14488" s="178"/>
    </row>
    <row r="14489" spans="18:19">
      <c r="R14489" s="178"/>
      <c r="S14489" s="178"/>
    </row>
    <row r="14490" spans="18:19">
      <c r="R14490" s="178"/>
      <c r="S14490" s="178"/>
    </row>
    <row r="14491" spans="18:19">
      <c r="R14491" s="178"/>
      <c r="S14491" s="178"/>
    </row>
    <row r="14492" spans="18:19">
      <c r="R14492" s="178"/>
      <c r="S14492" s="178"/>
    </row>
    <row r="14493" spans="18:19">
      <c r="R14493" s="178"/>
      <c r="S14493" s="178"/>
    </row>
    <row r="14494" spans="18:19">
      <c r="R14494" s="178"/>
      <c r="S14494" s="178"/>
    </row>
    <row r="14495" spans="18:19">
      <c r="R14495" s="178"/>
      <c r="S14495" s="178"/>
    </row>
    <row r="14496" spans="18:19">
      <c r="R14496" s="178"/>
      <c r="S14496" s="178"/>
    </row>
    <row r="14497" spans="18:19">
      <c r="R14497" s="178"/>
      <c r="S14497" s="178"/>
    </row>
    <row r="14498" spans="18:19">
      <c r="R14498" s="178"/>
      <c r="S14498" s="178"/>
    </row>
    <row r="14499" spans="18:19">
      <c r="R14499" s="178"/>
      <c r="S14499" s="178"/>
    </row>
    <row r="14500" spans="18:19">
      <c r="R14500" s="178"/>
      <c r="S14500" s="178"/>
    </row>
    <row r="14501" spans="18:19">
      <c r="R14501" s="178"/>
      <c r="S14501" s="178"/>
    </row>
    <row r="14502" spans="18:19">
      <c r="R14502" s="178"/>
      <c r="S14502" s="178"/>
    </row>
    <row r="14503" spans="18:19">
      <c r="R14503" s="178"/>
      <c r="S14503" s="178"/>
    </row>
    <row r="14504" spans="18:19">
      <c r="R14504" s="178"/>
      <c r="S14504" s="178"/>
    </row>
    <row r="14505" spans="18:19">
      <c r="R14505" s="178"/>
      <c r="S14505" s="178"/>
    </row>
    <row r="14506" spans="18:19">
      <c r="R14506" s="178"/>
      <c r="S14506" s="178"/>
    </row>
    <row r="14507" spans="18:19">
      <c r="R14507" s="178"/>
      <c r="S14507" s="178"/>
    </row>
    <row r="14508" spans="18:19">
      <c r="R14508" s="178"/>
      <c r="S14508" s="178"/>
    </row>
    <row r="14509" spans="18:19">
      <c r="R14509" s="178"/>
      <c r="S14509" s="178"/>
    </row>
    <row r="14510" spans="18:19">
      <c r="R14510" s="178"/>
      <c r="S14510" s="178"/>
    </row>
    <row r="14511" spans="18:19">
      <c r="R14511" s="178"/>
      <c r="S14511" s="178"/>
    </row>
    <row r="14512" spans="18:19">
      <c r="R14512" s="178"/>
      <c r="S14512" s="178"/>
    </row>
    <row r="14513" spans="18:19">
      <c r="R14513" s="178"/>
      <c r="S14513" s="178"/>
    </row>
    <row r="14514" spans="18:19">
      <c r="R14514" s="178"/>
      <c r="S14514" s="178"/>
    </row>
    <row r="14515" spans="18:19">
      <c r="R14515" s="178"/>
      <c r="S14515" s="178"/>
    </row>
    <row r="14516" spans="18:19">
      <c r="R14516" s="178"/>
      <c r="S14516" s="178"/>
    </row>
    <row r="14517" spans="18:19">
      <c r="R14517" s="178"/>
      <c r="S14517" s="178"/>
    </row>
    <row r="14518" spans="18:19">
      <c r="R14518" s="178"/>
      <c r="S14518" s="178"/>
    </row>
    <row r="14519" spans="18:19">
      <c r="R14519" s="178"/>
      <c r="S14519" s="178"/>
    </row>
    <row r="14520" spans="18:19">
      <c r="R14520" s="178"/>
      <c r="S14520" s="178"/>
    </row>
    <row r="14521" spans="18:19">
      <c r="R14521" s="178"/>
      <c r="S14521" s="178"/>
    </row>
    <row r="14522" spans="18:19">
      <c r="R14522" s="178"/>
      <c r="S14522" s="178"/>
    </row>
    <row r="14523" spans="18:19">
      <c r="R14523" s="178"/>
      <c r="S14523" s="178"/>
    </row>
    <row r="14524" spans="18:19">
      <c r="R14524" s="178"/>
      <c r="S14524" s="178"/>
    </row>
    <row r="14525" spans="18:19">
      <c r="R14525" s="178"/>
      <c r="S14525" s="178"/>
    </row>
    <row r="14526" spans="18:19">
      <c r="R14526" s="178"/>
      <c r="S14526" s="178"/>
    </row>
    <row r="14527" spans="18:19">
      <c r="R14527" s="178"/>
      <c r="S14527" s="178"/>
    </row>
    <row r="14528" spans="18:19">
      <c r="R14528" s="178"/>
      <c r="S14528" s="178"/>
    </row>
    <row r="14529" spans="18:19">
      <c r="R14529" s="178"/>
      <c r="S14529" s="178"/>
    </row>
    <row r="14530" spans="18:19">
      <c r="R14530" s="178"/>
      <c r="S14530" s="178"/>
    </row>
    <row r="14531" spans="18:19">
      <c r="R14531" s="178"/>
      <c r="S14531" s="178"/>
    </row>
    <row r="14532" spans="18:19">
      <c r="R14532" s="178"/>
      <c r="S14532" s="178"/>
    </row>
    <row r="14533" spans="18:19">
      <c r="R14533" s="178"/>
      <c r="S14533" s="178"/>
    </row>
    <row r="14534" spans="18:19">
      <c r="R14534" s="178"/>
      <c r="S14534" s="178"/>
    </row>
    <row r="14535" spans="18:19">
      <c r="R14535" s="178"/>
      <c r="S14535" s="178"/>
    </row>
    <row r="14536" spans="18:19">
      <c r="R14536" s="178"/>
      <c r="S14536" s="178"/>
    </row>
    <row r="14537" spans="18:19">
      <c r="R14537" s="178"/>
      <c r="S14537" s="178"/>
    </row>
    <row r="14538" spans="18:19">
      <c r="R14538" s="178"/>
      <c r="S14538" s="178"/>
    </row>
    <row r="14539" spans="18:19">
      <c r="R14539" s="178"/>
      <c r="S14539" s="178"/>
    </row>
    <row r="14540" spans="18:19">
      <c r="R14540" s="178"/>
      <c r="S14540" s="178"/>
    </row>
    <row r="14541" spans="18:19">
      <c r="R14541" s="178"/>
      <c r="S14541" s="178"/>
    </row>
    <row r="14542" spans="18:19">
      <c r="R14542" s="178"/>
      <c r="S14542" s="178"/>
    </row>
    <row r="14543" spans="18:19">
      <c r="R14543" s="178"/>
      <c r="S14543" s="178"/>
    </row>
    <row r="14544" spans="18:19">
      <c r="R14544" s="178"/>
      <c r="S14544" s="178"/>
    </row>
    <row r="14545" spans="18:19">
      <c r="R14545" s="178"/>
      <c r="S14545" s="178"/>
    </row>
    <row r="14546" spans="18:19">
      <c r="R14546" s="178"/>
      <c r="S14546" s="178"/>
    </row>
    <row r="14547" spans="18:19">
      <c r="R14547" s="178"/>
      <c r="S14547" s="178"/>
    </row>
    <row r="14548" spans="18:19">
      <c r="R14548" s="178"/>
      <c r="S14548" s="178"/>
    </row>
    <row r="14549" spans="18:19">
      <c r="R14549" s="178"/>
      <c r="S14549" s="178"/>
    </row>
    <row r="14550" spans="18:19">
      <c r="R14550" s="178"/>
      <c r="S14550" s="178"/>
    </row>
    <row r="14551" spans="18:19">
      <c r="R14551" s="178"/>
      <c r="S14551" s="178"/>
    </row>
    <row r="14552" spans="18:19">
      <c r="R14552" s="178"/>
      <c r="S14552" s="178"/>
    </row>
    <row r="14553" spans="18:19">
      <c r="R14553" s="178"/>
      <c r="S14553" s="178"/>
    </row>
    <row r="14554" spans="18:19">
      <c r="R14554" s="178"/>
      <c r="S14554" s="178"/>
    </row>
    <row r="14555" spans="18:19">
      <c r="R14555" s="178"/>
      <c r="S14555" s="178"/>
    </row>
    <row r="14556" spans="18:19">
      <c r="R14556" s="178"/>
      <c r="S14556" s="178"/>
    </row>
    <row r="14557" spans="18:19">
      <c r="R14557" s="178"/>
      <c r="S14557" s="178"/>
    </row>
    <row r="14558" spans="18:19">
      <c r="R14558" s="178"/>
      <c r="S14558" s="178"/>
    </row>
    <row r="14559" spans="18:19">
      <c r="R14559" s="178"/>
      <c r="S14559" s="178"/>
    </row>
    <row r="14560" spans="18:19">
      <c r="R14560" s="178"/>
      <c r="S14560" s="178"/>
    </row>
    <row r="14561" spans="18:19">
      <c r="R14561" s="178"/>
      <c r="S14561" s="178"/>
    </row>
    <row r="14562" spans="18:19">
      <c r="R14562" s="178"/>
      <c r="S14562" s="178"/>
    </row>
    <row r="14563" spans="18:19">
      <c r="R14563" s="178"/>
      <c r="S14563" s="178"/>
    </row>
    <row r="14564" spans="18:19">
      <c r="R14564" s="178"/>
      <c r="S14564" s="178"/>
    </row>
    <row r="14565" spans="18:19">
      <c r="R14565" s="178"/>
      <c r="S14565" s="178"/>
    </row>
    <row r="14566" spans="18:19">
      <c r="R14566" s="178"/>
      <c r="S14566" s="178"/>
    </row>
    <row r="14567" spans="18:19">
      <c r="R14567" s="178"/>
      <c r="S14567" s="178"/>
    </row>
    <row r="14568" spans="18:19">
      <c r="R14568" s="178"/>
      <c r="S14568" s="178"/>
    </row>
    <row r="14569" spans="18:19">
      <c r="R14569" s="178"/>
      <c r="S14569" s="178"/>
    </row>
    <row r="14570" spans="18:19">
      <c r="R14570" s="178"/>
      <c r="S14570" s="178"/>
    </row>
    <row r="14571" spans="18:19">
      <c r="R14571" s="178"/>
      <c r="S14571" s="178"/>
    </row>
    <row r="14572" spans="18:19">
      <c r="R14572" s="178"/>
      <c r="S14572" s="178"/>
    </row>
    <row r="14573" spans="18:19">
      <c r="R14573" s="178"/>
      <c r="S14573" s="178"/>
    </row>
    <row r="14574" spans="18:19">
      <c r="R14574" s="178"/>
      <c r="S14574" s="178"/>
    </row>
    <row r="14575" spans="18:19">
      <c r="R14575" s="178"/>
      <c r="S14575" s="178"/>
    </row>
    <row r="14576" spans="18:19">
      <c r="R14576" s="178"/>
      <c r="S14576" s="178"/>
    </row>
    <row r="14577" spans="18:19">
      <c r="R14577" s="178"/>
      <c r="S14577" s="178"/>
    </row>
    <row r="14578" spans="18:19">
      <c r="R14578" s="178"/>
      <c r="S14578" s="178"/>
    </row>
    <row r="14579" spans="18:19">
      <c r="R14579" s="178"/>
      <c r="S14579" s="178"/>
    </row>
    <row r="14580" spans="18:19">
      <c r="R14580" s="178"/>
      <c r="S14580" s="178"/>
    </row>
    <row r="14581" spans="18:19">
      <c r="R14581" s="178"/>
      <c r="S14581" s="178"/>
    </row>
    <row r="14582" spans="18:19">
      <c r="R14582" s="178"/>
      <c r="S14582" s="178"/>
    </row>
    <row r="14583" spans="18:19">
      <c r="R14583" s="178"/>
      <c r="S14583" s="178"/>
    </row>
    <row r="14584" spans="18:19">
      <c r="R14584" s="178"/>
      <c r="S14584" s="178"/>
    </row>
    <row r="14585" spans="18:19">
      <c r="R14585" s="178"/>
      <c r="S14585" s="178"/>
    </row>
    <row r="14586" spans="18:19">
      <c r="R14586" s="178"/>
      <c r="S14586" s="178"/>
    </row>
    <row r="14587" spans="18:19">
      <c r="R14587" s="178"/>
      <c r="S14587" s="178"/>
    </row>
    <row r="14588" spans="18:19">
      <c r="R14588" s="178"/>
      <c r="S14588" s="178"/>
    </row>
    <row r="14589" spans="18:19">
      <c r="R14589" s="178"/>
      <c r="S14589" s="178"/>
    </row>
    <row r="14590" spans="18:19">
      <c r="R14590" s="178"/>
      <c r="S14590" s="178"/>
    </row>
    <row r="14591" spans="18:19">
      <c r="R14591" s="178"/>
      <c r="S14591" s="178"/>
    </row>
    <row r="14592" spans="18:19">
      <c r="R14592" s="178"/>
      <c r="S14592" s="178"/>
    </row>
    <row r="14593" spans="18:19">
      <c r="R14593" s="178"/>
      <c r="S14593" s="178"/>
    </row>
    <row r="14594" spans="18:19">
      <c r="R14594" s="178"/>
      <c r="S14594" s="178"/>
    </row>
    <row r="14595" spans="18:19">
      <c r="R14595" s="178"/>
      <c r="S14595" s="178"/>
    </row>
    <row r="14596" spans="18:19">
      <c r="R14596" s="178"/>
      <c r="S14596" s="178"/>
    </row>
    <row r="14597" spans="18:19">
      <c r="R14597" s="178"/>
      <c r="S14597" s="178"/>
    </row>
    <row r="14598" spans="18:19">
      <c r="R14598" s="178"/>
      <c r="S14598" s="178"/>
    </row>
    <row r="14599" spans="18:19">
      <c r="R14599" s="178"/>
      <c r="S14599" s="178"/>
    </row>
    <row r="14600" spans="18:19">
      <c r="R14600" s="178"/>
      <c r="S14600" s="178"/>
    </row>
    <row r="14601" spans="18:19">
      <c r="R14601" s="178"/>
      <c r="S14601" s="178"/>
    </row>
    <row r="14602" spans="18:19">
      <c r="R14602" s="178"/>
      <c r="S14602" s="178"/>
    </row>
    <row r="14603" spans="18:19">
      <c r="R14603" s="178"/>
      <c r="S14603" s="178"/>
    </row>
    <row r="14604" spans="18:19">
      <c r="R14604" s="178"/>
      <c r="S14604" s="178"/>
    </row>
    <row r="14605" spans="18:19">
      <c r="R14605" s="178"/>
      <c r="S14605" s="178"/>
    </row>
    <row r="14606" spans="18:19">
      <c r="R14606" s="178"/>
      <c r="S14606" s="178"/>
    </row>
    <row r="14607" spans="18:19">
      <c r="R14607" s="178"/>
      <c r="S14607" s="178"/>
    </row>
    <row r="14608" spans="18:19">
      <c r="R14608" s="178"/>
      <c r="S14608" s="178"/>
    </row>
    <row r="14609" spans="18:19">
      <c r="R14609" s="178"/>
      <c r="S14609" s="178"/>
    </row>
    <row r="14610" spans="18:19">
      <c r="R14610" s="178"/>
      <c r="S14610" s="178"/>
    </row>
    <row r="14611" spans="18:19">
      <c r="R14611" s="178"/>
      <c r="S14611" s="178"/>
    </row>
    <row r="14612" spans="18:19">
      <c r="R14612" s="178"/>
      <c r="S14612" s="178"/>
    </row>
    <row r="14613" spans="18:19">
      <c r="R14613" s="178"/>
      <c r="S14613" s="178"/>
    </row>
    <row r="14614" spans="18:19">
      <c r="R14614" s="178"/>
      <c r="S14614" s="178"/>
    </row>
    <row r="14615" spans="18:19">
      <c r="R14615" s="178"/>
      <c r="S14615" s="178"/>
    </row>
    <row r="14616" spans="18:19">
      <c r="R14616" s="178"/>
      <c r="S14616" s="178"/>
    </row>
    <row r="14617" spans="18:19">
      <c r="R14617" s="178"/>
      <c r="S14617" s="178"/>
    </row>
    <row r="14618" spans="18:19">
      <c r="R14618" s="178"/>
      <c r="S14618" s="178"/>
    </row>
    <row r="14619" spans="18:19">
      <c r="R14619" s="178"/>
      <c r="S14619" s="178"/>
    </row>
    <row r="14620" spans="18:19">
      <c r="R14620" s="178"/>
      <c r="S14620" s="178"/>
    </row>
    <row r="14621" spans="18:19">
      <c r="R14621" s="178"/>
      <c r="S14621" s="178"/>
    </row>
    <row r="14622" spans="18:19">
      <c r="R14622" s="178"/>
      <c r="S14622" s="178"/>
    </row>
    <row r="14623" spans="18:19">
      <c r="R14623" s="178"/>
      <c r="S14623" s="178"/>
    </row>
    <row r="14624" spans="18:19">
      <c r="R14624" s="178"/>
      <c r="S14624" s="178"/>
    </row>
    <row r="14625" spans="18:19">
      <c r="R14625" s="178"/>
      <c r="S14625" s="178"/>
    </row>
    <row r="14626" spans="18:19">
      <c r="R14626" s="178"/>
      <c r="S14626" s="178"/>
    </row>
    <row r="14627" spans="18:19">
      <c r="R14627" s="178"/>
      <c r="S14627" s="178"/>
    </row>
    <row r="14628" spans="18:19">
      <c r="R14628" s="178"/>
      <c r="S14628" s="178"/>
    </row>
    <row r="14629" spans="18:19">
      <c r="R14629" s="178"/>
      <c r="S14629" s="178"/>
    </row>
    <row r="14630" spans="18:19">
      <c r="R14630" s="178"/>
      <c r="S14630" s="178"/>
    </row>
    <row r="14631" spans="18:19">
      <c r="R14631" s="178"/>
      <c r="S14631" s="178"/>
    </row>
    <row r="14632" spans="18:19">
      <c r="R14632" s="178"/>
      <c r="S14632" s="178"/>
    </row>
    <row r="14633" spans="18:19">
      <c r="R14633" s="178"/>
      <c r="S14633" s="178"/>
    </row>
    <row r="14634" spans="18:19">
      <c r="R14634" s="178"/>
      <c r="S14634" s="178"/>
    </row>
    <row r="14635" spans="18:19">
      <c r="R14635" s="178"/>
      <c r="S14635" s="178"/>
    </row>
    <row r="14636" spans="18:19">
      <c r="R14636" s="178"/>
      <c r="S14636" s="178"/>
    </row>
    <row r="14637" spans="18:19">
      <c r="R14637" s="178"/>
      <c r="S14637" s="178"/>
    </row>
    <row r="14638" spans="18:19">
      <c r="R14638" s="178"/>
      <c r="S14638" s="178"/>
    </row>
    <row r="14639" spans="18:19">
      <c r="R14639" s="178"/>
      <c r="S14639" s="178"/>
    </row>
    <row r="14640" spans="18:19">
      <c r="R14640" s="178"/>
      <c r="S14640" s="178"/>
    </row>
    <row r="14641" spans="18:19">
      <c r="R14641" s="178"/>
      <c r="S14641" s="178"/>
    </row>
    <row r="14642" spans="18:19">
      <c r="R14642" s="178"/>
      <c r="S14642" s="178"/>
    </row>
    <row r="14643" spans="18:19">
      <c r="R14643" s="178"/>
      <c r="S14643" s="178"/>
    </row>
    <row r="14644" spans="18:19">
      <c r="R14644" s="178"/>
      <c r="S14644" s="178"/>
    </row>
    <row r="14645" spans="18:19">
      <c r="R14645" s="178"/>
      <c r="S14645" s="178"/>
    </row>
    <row r="14646" spans="18:19">
      <c r="R14646" s="178"/>
      <c r="S14646" s="178"/>
    </row>
    <row r="14647" spans="18:19">
      <c r="R14647" s="178"/>
      <c r="S14647" s="178"/>
    </row>
    <row r="14648" spans="18:19">
      <c r="R14648" s="178"/>
      <c r="S14648" s="178"/>
    </row>
    <row r="14649" spans="18:19">
      <c r="R14649" s="178"/>
      <c r="S14649" s="178"/>
    </row>
    <row r="14650" spans="18:19">
      <c r="R14650" s="178"/>
      <c r="S14650" s="178"/>
    </row>
    <row r="14651" spans="18:19">
      <c r="R14651" s="178"/>
      <c r="S14651" s="178"/>
    </row>
    <row r="14652" spans="18:19">
      <c r="R14652" s="178"/>
      <c r="S14652" s="178"/>
    </row>
    <row r="14653" spans="18:19">
      <c r="R14653" s="178"/>
      <c r="S14653" s="178"/>
    </row>
    <row r="14654" spans="18:19">
      <c r="R14654" s="178"/>
      <c r="S14654" s="178"/>
    </row>
    <row r="14655" spans="18:19">
      <c r="R14655" s="178"/>
      <c r="S14655" s="178"/>
    </row>
    <row r="14656" spans="18:19">
      <c r="R14656" s="178"/>
      <c r="S14656" s="178"/>
    </row>
    <row r="14657" spans="18:19">
      <c r="R14657" s="178"/>
      <c r="S14657" s="178"/>
    </row>
    <row r="14658" spans="18:19">
      <c r="R14658" s="178"/>
      <c r="S14658" s="178"/>
    </row>
    <row r="14659" spans="18:19">
      <c r="R14659" s="178"/>
      <c r="S14659" s="178"/>
    </row>
    <row r="14660" spans="18:19">
      <c r="R14660" s="178"/>
      <c r="S14660" s="178"/>
    </row>
    <row r="14661" spans="18:19">
      <c r="R14661" s="178"/>
      <c r="S14661" s="178"/>
    </row>
    <row r="14662" spans="18:19">
      <c r="R14662" s="178"/>
      <c r="S14662" s="178"/>
    </row>
    <row r="14663" spans="18:19">
      <c r="R14663" s="178"/>
      <c r="S14663" s="178"/>
    </row>
    <row r="14664" spans="18:19">
      <c r="R14664" s="178"/>
      <c r="S14664" s="178"/>
    </row>
    <row r="14665" spans="18:19">
      <c r="R14665" s="178"/>
      <c r="S14665" s="178"/>
    </row>
    <row r="14666" spans="18:19">
      <c r="R14666" s="178"/>
      <c r="S14666" s="178"/>
    </row>
    <row r="14667" spans="18:19">
      <c r="R14667" s="178"/>
      <c r="S14667" s="178"/>
    </row>
    <row r="14668" spans="18:19">
      <c r="R14668" s="178"/>
      <c r="S14668" s="178"/>
    </row>
    <row r="14669" spans="18:19">
      <c r="R14669" s="178"/>
      <c r="S14669" s="178"/>
    </row>
    <row r="14670" spans="18:19">
      <c r="R14670" s="178"/>
      <c r="S14670" s="178"/>
    </row>
    <row r="14671" spans="18:19">
      <c r="R14671" s="178"/>
      <c r="S14671" s="178"/>
    </row>
    <row r="14672" spans="18:19">
      <c r="R14672" s="178"/>
      <c r="S14672" s="178"/>
    </row>
    <row r="14673" spans="18:19">
      <c r="R14673" s="178"/>
      <c r="S14673" s="178"/>
    </row>
    <row r="14674" spans="18:19">
      <c r="R14674" s="178"/>
      <c r="S14674" s="178"/>
    </row>
    <row r="14675" spans="18:19">
      <c r="R14675" s="178"/>
      <c r="S14675" s="178"/>
    </row>
    <row r="14676" spans="18:19">
      <c r="R14676" s="178"/>
      <c r="S14676" s="178"/>
    </row>
    <row r="14677" spans="18:19">
      <c r="R14677" s="178"/>
      <c r="S14677" s="178"/>
    </row>
    <row r="14678" spans="18:19">
      <c r="R14678" s="178"/>
      <c r="S14678" s="178"/>
    </row>
    <row r="14679" spans="18:19">
      <c r="R14679" s="178"/>
      <c r="S14679" s="178"/>
    </row>
    <row r="14680" spans="18:19">
      <c r="R14680" s="178"/>
      <c r="S14680" s="178"/>
    </row>
    <row r="14681" spans="18:19">
      <c r="R14681" s="178"/>
      <c r="S14681" s="178"/>
    </row>
    <row r="14682" spans="18:19">
      <c r="R14682" s="178"/>
      <c r="S14682" s="178"/>
    </row>
    <row r="14683" spans="18:19">
      <c r="R14683" s="178"/>
      <c r="S14683" s="178"/>
    </row>
    <row r="14684" spans="18:19">
      <c r="R14684" s="178"/>
      <c r="S14684" s="178"/>
    </row>
    <row r="14685" spans="18:19">
      <c r="R14685" s="178"/>
      <c r="S14685" s="178"/>
    </row>
    <row r="14686" spans="18:19">
      <c r="R14686" s="178"/>
      <c r="S14686" s="178"/>
    </row>
    <row r="14687" spans="18:19">
      <c r="R14687" s="178"/>
      <c r="S14687" s="178"/>
    </row>
    <row r="14688" spans="18:19">
      <c r="R14688" s="178"/>
      <c r="S14688" s="178"/>
    </row>
    <row r="14689" spans="18:19">
      <c r="R14689" s="178"/>
      <c r="S14689" s="178"/>
    </row>
    <row r="14690" spans="18:19">
      <c r="R14690" s="178"/>
      <c r="S14690" s="178"/>
    </row>
    <row r="14691" spans="18:19">
      <c r="R14691" s="178"/>
      <c r="S14691" s="178"/>
    </row>
    <row r="14692" spans="18:19">
      <c r="R14692" s="178"/>
      <c r="S14692" s="178"/>
    </row>
    <row r="14693" spans="18:19">
      <c r="R14693" s="178"/>
      <c r="S14693" s="178"/>
    </row>
    <row r="14694" spans="18:19">
      <c r="R14694" s="178"/>
      <c r="S14694" s="178"/>
    </row>
    <row r="14695" spans="18:19">
      <c r="R14695" s="178"/>
      <c r="S14695" s="178"/>
    </row>
    <row r="14696" spans="18:19">
      <c r="R14696" s="178"/>
      <c r="S14696" s="178"/>
    </row>
    <row r="14697" spans="18:19">
      <c r="R14697" s="178"/>
      <c r="S14697" s="178"/>
    </row>
    <row r="14698" spans="18:19">
      <c r="R14698" s="178"/>
      <c r="S14698" s="178"/>
    </row>
    <row r="14699" spans="18:19">
      <c r="R14699" s="178"/>
      <c r="S14699" s="178"/>
    </row>
    <row r="14700" spans="18:19">
      <c r="R14700" s="178"/>
      <c r="S14700" s="178"/>
    </row>
    <row r="14701" spans="18:19">
      <c r="R14701" s="178"/>
      <c r="S14701" s="178"/>
    </row>
    <row r="14702" spans="18:19">
      <c r="R14702" s="178"/>
      <c r="S14702" s="178"/>
    </row>
    <row r="14703" spans="18:19">
      <c r="R14703" s="178"/>
      <c r="S14703" s="178"/>
    </row>
    <row r="14704" spans="18:19">
      <c r="R14704" s="178"/>
      <c r="S14704" s="178"/>
    </row>
    <row r="14705" spans="18:19">
      <c r="R14705" s="178"/>
      <c r="S14705" s="178"/>
    </row>
    <row r="14706" spans="18:19">
      <c r="R14706" s="178"/>
      <c r="S14706" s="178"/>
    </row>
    <row r="14707" spans="18:19">
      <c r="R14707" s="178"/>
      <c r="S14707" s="178"/>
    </row>
    <row r="14708" spans="18:19">
      <c r="R14708" s="178"/>
      <c r="S14708" s="178"/>
    </row>
    <row r="14709" spans="18:19">
      <c r="R14709" s="178"/>
      <c r="S14709" s="178"/>
    </row>
    <row r="14710" spans="18:19">
      <c r="R14710" s="178"/>
      <c r="S14710" s="178"/>
    </row>
    <row r="14711" spans="18:19">
      <c r="R14711" s="178"/>
      <c r="S14711" s="178"/>
    </row>
    <row r="14712" spans="18:19">
      <c r="R14712" s="178"/>
      <c r="S14712" s="178"/>
    </row>
    <row r="14713" spans="18:19">
      <c r="R14713" s="178"/>
      <c r="S14713" s="178"/>
    </row>
    <row r="14714" spans="18:19">
      <c r="R14714" s="178"/>
      <c r="S14714" s="178"/>
    </row>
    <row r="14715" spans="18:19">
      <c r="R14715" s="178"/>
      <c r="S14715" s="178"/>
    </row>
    <row r="14716" spans="18:19">
      <c r="R14716" s="178"/>
      <c r="S14716" s="178"/>
    </row>
    <row r="14717" spans="18:19">
      <c r="R14717" s="178"/>
      <c r="S14717" s="178"/>
    </row>
    <row r="14718" spans="18:19">
      <c r="R14718" s="178"/>
      <c r="S14718" s="178"/>
    </row>
    <row r="14719" spans="18:19">
      <c r="R14719" s="178"/>
      <c r="S14719" s="178"/>
    </row>
    <row r="14720" spans="18:19">
      <c r="R14720" s="178"/>
      <c r="S14720" s="178"/>
    </row>
    <row r="14721" spans="18:19">
      <c r="R14721" s="178"/>
      <c r="S14721" s="178"/>
    </row>
    <row r="14722" spans="18:19">
      <c r="R14722" s="178"/>
      <c r="S14722" s="178"/>
    </row>
    <row r="14723" spans="18:19">
      <c r="R14723" s="178"/>
      <c r="S14723" s="178"/>
    </row>
    <row r="14724" spans="18:19">
      <c r="R14724" s="178"/>
      <c r="S14724" s="178"/>
    </row>
    <row r="14725" spans="18:19">
      <c r="R14725" s="178"/>
      <c r="S14725" s="178"/>
    </row>
    <row r="14726" spans="18:19">
      <c r="R14726" s="178"/>
      <c r="S14726" s="178"/>
    </row>
    <row r="14727" spans="18:19">
      <c r="R14727" s="178"/>
      <c r="S14727" s="178"/>
    </row>
    <row r="14728" spans="18:19">
      <c r="R14728" s="178"/>
      <c r="S14728" s="178"/>
    </row>
    <row r="14729" spans="18:19">
      <c r="R14729" s="178"/>
      <c r="S14729" s="178"/>
    </row>
    <row r="14730" spans="18:19">
      <c r="R14730" s="178"/>
      <c r="S14730" s="178"/>
    </row>
    <row r="14731" spans="18:19">
      <c r="R14731" s="178"/>
      <c r="S14731" s="178"/>
    </row>
    <row r="14732" spans="18:19">
      <c r="R14732" s="178"/>
      <c r="S14732" s="178"/>
    </row>
    <row r="14733" spans="18:19">
      <c r="R14733" s="178"/>
      <c r="S14733" s="178"/>
    </row>
    <row r="14734" spans="18:19">
      <c r="R14734" s="178"/>
      <c r="S14734" s="178"/>
    </row>
    <row r="14735" spans="18:19">
      <c r="R14735" s="178"/>
      <c r="S14735" s="178"/>
    </row>
    <row r="14736" spans="18:19">
      <c r="R14736" s="178"/>
      <c r="S14736" s="178"/>
    </row>
    <row r="14737" spans="18:19">
      <c r="R14737" s="178"/>
      <c r="S14737" s="178"/>
    </row>
    <row r="14738" spans="18:19">
      <c r="R14738" s="178"/>
      <c r="S14738" s="178"/>
    </row>
    <row r="14739" spans="18:19">
      <c r="R14739" s="178"/>
      <c r="S14739" s="178"/>
    </row>
    <row r="14740" spans="18:19">
      <c r="R14740" s="178"/>
      <c r="S14740" s="178"/>
    </row>
    <row r="14741" spans="18:19">
      <c r="R14741" s="178"/>
      <c r="S14741" s="178"/>
    </row>
    <row r="14742" spans="18:19">
      <c r="R14742" s="178"/>
      <c r="S14742" s="178"/>
    </row>
    <row r="14743" spans="18:19">
      <c r="R14743" s="178"/>
      <c r="S14743" s="178"/>
    </row>
    <row r="14744" spans="18:19">
      <c r="R14744" s="178"/>
      <c r="S14744" s="178"/>
    </row>
    <row r="14745" spans="18:19">
      <c r="R14745" s="178"/>
      <c r="S14745" s="178"/>
    </row>
    <row r="14746" spans="18:19">
      <c r="R14746" s="178"/>
      <c r="S14746" s="178"/>
    </row>
    <row r="14747" spans="18:19">
      <c r="R14747" s="178"/>
      <c r="S14747" s="178"/>
    </row>
    <row r="14748" spans="18:19">
      <c r="R14748" s="178"/>
      <c r="S14748" s="178"/>
    </row>
    <row r="14749" spans="18:19">
      <c r="R14749" s="178"/>
      <c r="S14749" s="178"/>
    </row>
    <row r="14750" spans="18:19">
      <c r="R14750" s="178"/>
      <c r="S14750" s="178"/>
    </row>
    <row r="14751" spans="18:19">
      <c r="R14751" s="178"/>
      <c r="S14751" s="178"/>
    </row>
    <row r="14752" spans="18:19">
      <c r="R14752" s="178"/>
      <c r="S14752" s="178"/>
    </row>
    <row r="14753" spans="18:19">
      <c r="R14753" s="178"/>
      <c r="S14753" s="178"/>
    </row>
    <row r="14754" spans="18:19">
      <c r="R14754" s="178"/>
      <c r="S14754" s="178"/>
    </row>
    <row r="14755" spans="18:19">
      <c r="R14755" s="178"/>
      <c r="S14755" s="178"/>
    </row>
    <row r="14756" spans="18:19">
      <c r="R14756" s="178"/>
      <c r="S14756" s="178"/>
    </row>
    <row r="14757" spans="18:19">
      <c r="R14757" s="178"/>
      <c r="S14757" s="178"/>
    </row>
    <row r="14758" spans="18:19">
      <c r="R14758" s="178"/>
      <c r="S14758" s="178"/>
    </row>
    <row r="14759" spans="18:19">
      <c r="R14759" s="178"/>
      <c r="S14759" s="178"/>
    </row>
    <row r="14760" spans="18:19">
      <c r="R14760" s="178"/>
      <c r="S14760" s="178"/>
    </row>
    <row r="14761" spans="18:19">
      <c r="R14761" s="178"/>
      <c r="S14761" s="178"/>
    </row>
    <row r="14762" spans="18:19">
      <c r="R14762" s="178"/>
      <c r="S14762" s="178"/>
    </row>
    <row r="14763" spans="18:19">
      <c r="R14763" s="178"/>
      <c r="S14763" s="178"/>
    </row>
    <row r="14764" spans="18:19">
      <c r="R14764" s="178"/>
      <c r="S14764" s="178"/>
    </row>
    <row r="14765" spans="18:19">
      <c r="R14765" s="178"/>
      <c r="S14765" s="178"/>
    </row>
    <row r="14766" spans="18:19">
      <c r="R14766" s="178"/>
      <c r="S14766" s="178"/>
    </row>
    <row r="14767" spans="18:19">
      <c r="R14767" s="178"/>
      <c r="S14767" s="178"/>
    </row>
    <row r="14768" spans="18:19">
      <c r="R14768" s="178"/>
      <c r="S14768" s="178"/>
    </row>
    <row r="14769" spans="18:19">
      <c r="R14769" s="178"/>
      <c r="S14769" s="178"/>
    </row>
    <row r="14770" spans="18:19">
      <c r="R14770" s="178"/>
      <c r="S14770" s="178"/>
    </row>
    <row r="14771" spans="18:19">
      <c r="R14771" s="178"/>
      <c r="S14771" s="178"/>
    </row>
    <row r="14772" spans="18:19">
      <c r="R14772" s="178"/>
      <c r="S14772" s="178"/>
    </row>
    <row r="14773" spans="18:19">
      <c r="R14773" s="178"/>
      <c r="S14773" s="178"/>
    </row>
    <row r="14774" spans="18:19">
      <c r="R14774" s="178"/>
      <c r="S14774" s="178"/>
    </row>
    <row r="14775" spans="18:19">
      <c r="R14775" s="178"/>
      <c r="S14775" s="178"/>
    </row>
    <row r="14776" spans="18:19">
      <c r="R14776" s="178"/>
      <c r="S14776" s="178"/>
    </row>
    <row r="14777" spans="18:19">
      <c r="R14777" s="178"/>
      <c r="S14777" s="178"/>
    </row>
    <row r="14778" spans="18:19">
      <c r="R14778" s="178"/>
      <c r="S14778" s="178"/>
    </row>
    <row r="14779" spans="18:19">
      <c r="R14779" s="178"/>
      <c r="S14779" s="178"/>
    </row>
    <row r="14780" spans="18:19">
      <c r="R14780" s="178"/>
      <c r="S14780" s="178"/>
    </row>
    <row r="14781" spans="18:19">
      <c r="R14781" s="178"/>
      <c r="S14781" s="178"/>
    </row>
    <row r="14782" spans="18:19">
      <c r="R14782" s="178"/>
      <c r="S14782" s="178"/>
    </row>
    <row r="14783" spans="18:19">
      <c r="R14783" s="178"/>
      <c r="S14783" s="178"/>
    </row>
    <row r="14784" spans="18:19">
      <c r="R14784" s="178"/>
      <c r="S14784" s="178"/>
    </row>
    <row r="14785" spans="18:19">
      <c r="R14785" s="178"/>
      <c r="S14785" s="178"/>
    </row>
    <row r="14786" spans="18:19">
      <c r="R14786" s="178"/>
      <c r="S14786" s="178"/>
    </row>
    <row r="14787" spans="18:19">
      <c r="R14787" s="178"/>
      <c r="S14787" s="178"/>
    </row>
    <row r="14788" spans="18:19">
      <c r="R14788" s="178"/>
      <c r="S14788" s="178"/>
    </row>
    <row r="14789" spans="18:19">
      <c r="R14789" s="178"/>
      <c r="S14789" s="178"/>
    </row>
    <row r="14790" spans="18:19">
      <c r="R14790" s="178"/>
      <c r="S14790" s="178"/>
    </row>
    <row r="14791" spans="18:19">
      <c r="R14791" s="178"/>
      <c r="S14791" s="178"/>
    </row>
    <row r="14792" spans="18:19">
      <c r="R14792" s="178"/>
      <c r="S14792" s="178"/>
    </row>
    <row r="14793" spans="18:19">
      <c r="R14793" s="178"/>
      <c r="S14793" s="178"/>
    </row>
    <row r="14794" spans="18:19">
      <c r="R14794" s="178"/>
      <c r="S14794" s="178"/>
    </row>
    <row r="14795" spans="18:19">
      <c r="R14795" s="178"/>
      <c r="S14795" s="178"/>
    </row>
    <row r="14796" spans="18:19">
      <c r="R14796" s="178"/>
      <c r="S14796" s="178"/>
    </row>
    <row r="14797" spans="18:19">
      <c r="R14797" s="178"/>
      <c r="S14797" s="178"/>
    </row>
    <row r="14798" spans="18:19">
      <c r="R14798" s="178"/>
      <c r="S14798" s="178"/>
    </row>
    <row r="14799" spans="18:19">
      <c r="R14799" s="178"/>
      <c r="S14799" s="178"/>
    </row>
    <row r="14800" spans="18:19">
      <c r="R14800" s="178"/>
      <c r="S14800" s="178"/>
    </row>
    <row r="14801" spans="18:19">
      <c r="R14801" s="178"/>
      <c r="S14801" s="178"/>
    </row>
    <row r="14802" spans="18:19">
      <c r="R14802" s="178"/>
      <c r="S14802" s="178"/>
    </row>
    <row r="14803" spans="18:19">
      <c r="R14803" s="178"/>
      <c r="S14803" s="178"/>
    </row>
    <row r="14804" spans="18:19">
      <c r="R14804" s="178"/>
      <c r="S14804" s="178"/>
    </row>
    <row r="14805" spans="18:19">
      <c r="R14805" s="178"/>
      <c r="S14805" s="178"/>
    </row>
    <row r="14806" spans="18:19">
      <c r="R14806" s="178"/>
      <c r="S14806" s="178"/>
    </row>
    <row r="14807" spans="18:19">
      <c r="R14807" s="178"/>
      <c r="S14807" s="178"/>
    </row>
    <row r="14808" spans="18:19">
      <c r="R14808" s="178"/>
      <c r="S14808" s="178"/>
    </row>
    <row r="14809" spans="18:19">
      <c r="R14809" s="178"/>
      <c r="S14809" s="178"/>
    </row>
    <row r="14810" spans="18:19">
      <c r="R14810" s="178"/>
      <c r="S14810" s="178"/>
    </row>
    <row r="14811" spans="18:19">
      <c r="R14811" s="178"/>
      <c r="S14811" s="178"/>
    </row>
    <row r="14812" spans="18:19">
      <c r="R14812" s="178"/>
      <c r="S14812" s="178"/>
    </row>
    <row r="14813" spans="18:19">
      <c r="R14813" s="178"/>
      <c r="S14813" s="178"/>
    </row>
    <row r="14814" spans="18:19">
      <c r="R14814" s="178"/>
      <c r="S14814" s="178"/>
    </row>
    <row r="14815" spans="18:19">
      <c r="R14815" s="178"/>
      <c r="S14815" s="178"/>
    </row>
    <row r="14816" spans="18:19">
      <c r="R14816" s="178"/>
      <c r="S14816" s="178"/>
    </row>
    <row r="14817" spans="18:19">
      <c r="R14817" s="178"/>
      <c r="S14817" s="178"/>
    </row>
    <row r="14818" spans="18:19">
      <c r="R14818" s="178"/>
      <c r="S14818" s="178"/>
    </row>
    <row r="14819" spans="18:19">
      <c r="R14819" s="178"/>
      <c r="S14819" s="178"/>
    </row>
    <row r="14820" spans="18:19">
      <c r="R14820" s="178"/>
      <c r="S14820" s="178"/>
    </row>
    <row r="14821" spans="18:19">
      <c r="R14821" s="178"/>
      <c r="S14821" s="178"/>
    </row>
    <row r="14822" spans="18:19">
      <c r="R14822" s="178"/>
      <c r="S14822" s="178"/>
    </row>
    <row r="14823" spans="18:19">
      <c r="R14823" s="178"/>
      <c r="S14823" s="178"/>
    </row>
    <row r="14824" spans="18:19">
      <c r="R14824" s="178"/>
      <c r="S14824" s="178"/>
    </row>
    <row r="14825" spans="18:19">
      <c r="R14825" s="178"/>
      <c r="S14825" s="178"/>
    </row>
    <row r="14826" spans="18:19">
      <c r="R14826" s="178"/>
      <c r="S14826" s="178"/>
    </row>
    <row r="14827" spans="18:19">
      <c r="R14827" s="178"/>
      <c r="S14827" s="178"/>
    </row>
    <row r="14828" spans="18:19">
      <c r="R14828" s="178"/>
      <c r="S14828" s="178"/>
    </row>
    <row r="14829" spans="18:19">
      <c r="R14829" s="178"/>
      <c r="S14829" s="178"/>
    </row>
    <row r="14830" spans="18:19">
      <c r="R14830" s="178"/>
      <c r="S14830" s="178"/>
    </row>
    <row r="14831" spans="18:19">
      <c r="R14831" s="178"/>
      <c r="S14831" s="178"/>
    </row>
    <row r="14832" spans="18:19">
      <c r="R14832" s="178"/>
      <c r="S14832" s="178"/>
    </row>
    <row r="14833" spans="18:19">
      <c r="R14833" s="178"/>
      <c r="S14833" s="178"/>
    </row>
    <row r="14834" spans="18:19">
      <c r="R14834" s="178"/>
      <c r="S14834" s="178"/>
    </row>
    <row r="14835" spans="18:19">
      <c r="R14835" s="178"/>
      <c r="S14835" s="178"/>
    </row>
    <row r="14836" spans="18:19">
      <c r="R14836" s="178"/>
      <c r="S14836" s="178"/>
    </row>
    <row r="14837" spans="18:19">
      <c r="R14837" s="178"/>
      <c r="S14837" s="178"/>
    </row>
    <row r="14838" spans="18:19">
      <c r="R14838" s="178"/>
      <c r="S14838" s="178"/>
    </row>
    <row r="14839" spans="18:19">
      <c r="R14839" s="178"/>
      <c r="S14839" s="178"/>
    </row>
    <row r="14840" spans="18:19">
      <c r="R14840" s="178"/>
      <c r="S14840" s="178"/>
    </row>
    <row r="14841" spans="18:19">
      <c r="R14841" s="178"/>
      <c r="S14841" s="178"/>
    </row>
    <row r="14842" spans="18:19">
      <c r="R14842" s="178"/>
      <c r="S14842" s="178"/>
    </row>
    <row r="14843" spans="18:19">
      <c r="R14843" s="178"/>
      <c r="S14843" s="178"/>
    </row>
    <row r="14844" spans="18:19">
      <c r="R14844" s="178"/>
      <c r="S14844" s="178"/>
    </row>
    <row r="14845" spans="18:19">
      <c r="R14845" s="178"/>
      <c r="S14845" s="178"/>
    </row>
    <row r="14846" spans="18:19">
      <c r="R14846" s="178"/>
      <c r="S14846" s="178"/>
    </row>
    <row r="14847" spans="18:19">
      <c r="R14847" s="178"/>
      <c r="S14847" s="178"/>
    </row>
    <row r="14848" spans="18:19">
      <c r="R14848" s="178"/>
      <c r="S14848" s="178"/>
    </row>
    <row r="14849" spans="18:19">
      <c r="R14849" s="178"/>
      <c r="S14849" s="178"/>
    </row>
    <row r="14850" spans="18:19">
      <c r="R14850" s="178"/>
      <c r="S14850" s="178"/>
    </row>
    <row r="14851" spans="18:19">
      <c r="R14851" s="178"/>
      <c r="S14851" s="178"/>
    </row>
    <row r="14852" spans="18:19">
      <c r="R14852" s="178"/>
      <c r="S14852" s="178"/>
    </row>
    <row r="14853" spans="18:19">
      <c r="R14853" s="178"/>
      <c r="S14853" s="178"/>
    </row>
    <row r="14854" spans="18:19">
      <c r="R14854" s="178"/>
      <c r="S14854" s="178"/>
    </row>
    <row r="14855" spans="18:19">
      <c r="R14855" s="178"/>
      <c r="S14855" s="178"/>
    </row>
    <row r="14856" spans="18:19">
      <c r="R14856" s="178"/>
      <c r="S14856" s="178"/>
    </row>
    <row r="14857" spans="18:19">
      <c r="R14857" s="178"/>
      <c r="S14857" s="178"/>
    </row>
    <row r="14858" spans="18:19">
      <c r="R14858" s="178"/>
      <c r="S14858" s="178"/>
    </row>
    <row r="14859" spans="18:19">
      <c r="R14859" s="178"/>
      <c r="S14859" s="178"/>
    </row>
    <row r="14860" spans="18:19">
      <c r="R14860" s="178"/>
      <c r="S14860" s="178"/>
    </row>
    <row r="14861" spans="18:19">
      <c r="R14861" s="178"/>
      <c r="S14861" s="178"/>
    </row>
    <row r="14862" spans="18:19">
      <c r="R14862" s="178"/>
      <c r="S14862" s="178"/>
    </row>
    <row r="14863" spans="18:19">
      <c r="R14863" s="178"/>
      <c r="S14863" s="178"/>
    </row>
    <row r="14864" spans="18:19">
      <c r="R14864" s="178"/>
      <c r="S14864" s="178"/>
    </row>
    <row r="14865" spans="18:19">
      <c r="R14865" s="178"/>
      <c r="S14865" s="178"/>
    </row>
    <row r="14866" spans="18:19">
      <c r="R14866" s="178"/>
      <c r="S14866" s="178"/>
    </row>
    <row r="14867" spans="18:19">
      <c r="R14867" s="178"/>
      <c r="S14867" s="178"/>
    </row>
    <row r="14868" spans="18:19">
      <c r="R14868" s="178"/>
      <c r="S14868" s="178"/>
    </row>
    <row r="14869" spans="18:19">
      <c r="R14869" s="178"/>
      <c r="S14869" s="178"/>
    </row>
    <row r="14870" spans="18:19">
      <c r="R14870" s="178"/>
      <c r="S14870" s="178"/>
    </row>
    <row r="14871" spans="18:19">
      <c r="R14871" s="178"/>
      <c r="S14871" s="178"/>
    </row>
    <row r="14872" spans="18:19">
      <c r="R14872" s="178"/>
      <c r="S14872" s="178"/>
    </row>
    <row r="14873" spans="18:19">
      <c r="R14873" s="178"/>
      <c r="S14873" s="178"/>
    </row>
    <row r="14874" spans="18:19">
      <c r="R14874" s="178"/>
      <c r="S14874" s="178"/>
    </row>
    <row r="14875" spans="18:19">
      <c r="R14875" s="178"/>
      <c r="S14875" s="178"/>
    </row>
    <row r="14876" spans="18:19">
      <c r="R14876" s="178"/>
      <c r="S14876" s="178"/>
    </row>
    <row r="14877" spans="18:19">
      <c r="R14877" s="178"/>
      <c r="S14877" s="178"/>
    </row>
    <row r="14878" spans="18:19">
      <c r="R14878" s="178"/>
      <c r="S14878" s="178"/>
    </row>
    <row r="14879" spans="18:19">
      <c r="R14879" s="178"/>
      <c r="S14879" s="178"/>
    </row>
    <row r="14880" spans="18:19">
      <c r="R14880" s="178"/>
      <c r="S14880" s="178"/>
    </row>
    <row r="14881" spans="18:19">
      <c r="R14881" s="178"/>
      <c r="S14881" s="178"/>
    </row>
    <row r="14882" spans="18:19">
      <c r="R14882" s="178"/>
      <c r="S14882" s="178"/>
    </row>
    <row r="14883" spans="18:19">
      <c r="R14883" s="178"/>
      <c r="S14883" s="178"/>
    </row>
    <row r="14884" spans="18:19">
      <c r="R14884" s="178"/>
      <c r="S14884" s="178"/>
    </row>
    <row r="14885" spans="18:19">
      <c r="R14885" s="178"/>
      <c r="S14885" s="178"/>
    </row>
    <row r="14886" spans="18:19">
      <c r="R14886" s="178"/>
      <c r="S14886" s="178"/>
    </row>
    <row r="14887" spans="18:19">
      <c r="R14887" s="178"/>
      <c r="S14887" s="178"/>
    </row>
    <row r="14888" spans="18:19">
      <c r="R14888" s="178"/>
      <c r="S14888" s="178"/>
    </row>
    <row r="14889" spans="18:19">
      <c r="R14889" s="178"/>
      <c r="S14889" s="178"/>
    </row>
    <row r="14890" spans="18:19">
      <c r="R14890" s="178"/>
      <c r="S14890" s="178"/>
    </row>
    <row r="14891" spans="18:19">
      <c r="R14891" s="178"/>
      <c r="S14891" s="178"/>
    </row>
    <row r="14892" spans="18:19">
      <c r="R14892" s="178"/>
      <c r="S14892" s="178"/>
    </row>
    <row r="14893" spans="18:19">
      <c r="R14893" s="178"/>
      <c r="S14893" s="178"/>
    </row>
    <row r="14894" spans="18:19">
      <c r="R14894" s="178"/>
      <c r="S14894" s="178"/>
    </row>
    <row r="14895" spans="18:19">
      <c r="R14895" s="178"/>
      <c r="S14895" s="178"/>
    </row>
    <row r="14896" spans="18:19">
      <c r="R14896" s="178"/>
      <c r="S14896" s="178"/>
    </row>
    <row r="14897" spans="18:19">
      <c r="R14897" s="178"/>
      <c r="S14897" s="178"/>
    </row>
    <row r="14898" spans="18:19">
      <c r="R14898" s="178"/>
      <c r="S14898" s="178"/>
    </row>
    <row r="14899" spans="18:19">
      <c r="R14899" s="178"/>
      <c r="S14899" s="178"/>
    </row>
    <row r="14900" spans="18:19">
      <c r="R14900" s="178"/>
      <c r="S14900" s="178"/>
    </row>
    <row r="14901" spans="18:19">
      <c r="R14901" s="178"/>
      <c r="S14901" s="178"/>
    </row>
    <row r="14902" spans="18:19">
      <c r="R14902" s="178"/>
      <c r="S14902" s="178"/>
    </row>
    <row r="14903" spans="18:19">
      <c r="R14903" s="178"/>
      <c r="S14903" s="178"/>
    </row>
    <row r="14904" spans="18:19">
      <c r="R14904" s="178"/>
      <c r="S14904" s="178"/>
    </row>
    <row r="14905" spans="18:19">
      <c r="R14905" s="178"/>
      <c r="S14905" s="178"/>
    </row>
    <row r="14906" spans="18:19">
      <c r="R14906" s="178"/>
      <c r="S14906" s="178"/>
    </row>
    <row r="14907" spans="18:19">
      <c r="R14907" s="178"/>
      <c r="S14907" s="178"/>
    </row>
    <row r="14908" spans="18:19">
      <c r="R14908" s="178"/>
      <c r="S14908" s="178"/>
    </row>
    <row r="14909" spans="18:19">
      <c r="R14909" s="178"/>
      <c r="S14909" s="178"/>
    </row>
    <row r="14910" spans="18:19">
      <c r="R14910" s="178"/>
      <c r="S14910" s="178"/>
    </row>
    <row r="14911" spans="18:19">
      <c r="R14911" s="178"/>
      <c r="S14911" s="178"/>
    </row>
    <row r="14912" spans="18:19">
      <c r="R14912" s="178"/>
      <c r="S14912" s="178"/>
    </row>
    <row r="14913" spans="18:19">
      <c r="R14913" s="178"/>
      <c r="S14913" s="178"/>
    </row>
    <row r="14914" spans="18:19">
      <c r="R14914" s="178"/>
      <c r="S14914" s="178"/>
    </row>
    <row r="14915" spans="18:19">
      <c r="R14915" s="178"/>
      <c r="S14915" s="178"/>
    </row>
    <row r="14916" spans="18:19">
      <c r="R14916" s="178"/>
      <c r="S14916" s="178"/>
    </row>
    <row r="14917" spans="18:19">
      <c r="R14917" s="178"/>
      <c r="S14917" s="178"/>
    </row>
    <row r="14918" spans="18:19">
      <c r="R14918" s="178"/>
      <c r="S14918" s="178"/>
    </row>
    <row r="14919" spans="18:19">
      <c r="R14919" s="178"/>
      <c r="S14919" s="178"/>
    </row>
    <row r="14920" spans="18:19">
      <c r="R14920" s="178"/>
      <c r="S14920" s="178"/>
    </row>
    <row r="14921" spans="18:19">
      <c r="R14921" s="178"/>
      <c r="S14921" s="178"/>
    </row>
    <row r="14922" spans="18:19">
      <c r="R14922" s="178"/>
      <c r="S14922" s="178"/>
    </row>
    <row r="14923" spans="18:19">
      <c r="R14923" s="178"/>
      <c r="S14923" s="178"/>
    </row>
    <row r="14924" spans="18:19">
      <c r="R14924" s="178"/>
      <c r="S14924" s="178"/>
    </row>
    <row r="14925" spans="18:19">
      <c r="R14925" s="178"/>
      <c r="S14925" s="178"/>
    </row>
    <row r="14926" spans="18:19">
      <c r="R14926" s="178"/>
      <c r="S14926" s="178"/>
    </row>
    <row r="14927" spans="18:19">
      <c r="R14927" s="178"/>
      <c r="S14927" s="178"/>
    </row>
    <row r="14928" spans="18:19">
      <c r="R14928" s="178"/>
      <c r="S14928" s="178"/>
    </row>
    <row r="14929" spans="18:19">
      <c r="R14929" s="178"/>
      <c r="S14929" s="178"/>
    </row>
    <row r="14930" spans="18:19">
      <c r="R14930" s="178"/>
      <c r="S14930" s="178"/>
    </row>
    <row r="14931" spans="18:19">
      <c r="R14931" s="178"/>
      <c r="S14931" s="178"/>
    </row>
    <row r="14932" spans="18:19">
      <c r="R14932" s="178"/>
      <c r="S14932" s="178"/>
    </row>
    <row r="14933" spans="18:19">
      <c r="R14933" s="178"/>
      <c r="S14933" s="178"/>
    </row>
    <row r="14934" spans="18:19">
      <c r="R14934" s="178"/>
      <c r="S14934" s="178"/>
    </row>
    <row r="14935" spans="18:19">
      <c r="R14935" s="178"/>
      <c r="S14935" s="178"/>
    </row>
    <row r="14936" spans="18:19">
      <c r="R14936" s="178"/>
      <c r="S14936" s="178"/>
    </row>
    <row r="14937" spans="18:19">
      <c r="R14937" s="178"/>
      <c r="S14937" s="178"/>
    </row>
    <row r="14938" spans="18:19">
      <c r="R14938" s="178"/>
      <c r="S14938" s="178"/>
    </row>
    <row r="14939" spans="18:19">
      <c r="R14939" s="178"/>
      <c r="S14939" s="178"/>
    </row>
    <row r="14940" spans="18:19">
      <c r="R14940" s="178"/>
      <c r="S14940" s="178"/>
    </row>
    <row r="14941" spans="18:19">
      <c r="R14941" s="178"/>
      <c r="S14941" s="178"/>
    </row>
    <row r="14942" spans="18:19">
      <c r="R14942" s="178"/>
      <c r="S14942" s="178"/>
    </row>
    <row r="14943" spans="18:19">
      <c r="R14943" s="178"/>
      <c r="S14943" s="178"/>
    </row>
    <row r="14944" spans="18:19">
      <c r="R14944" s="178"/>
      <c r="S14944" s="178"/>
    </row>
    <row r="14945" spans="18:19">
      <c r="R14945" s="178"/>
      <c r="S14945" s="178"/>
    </row>
    <row r="14946" spans="18:19">
      <c r="R14946" s="178"/>
      <c r="S14946" s="178"/>
    </row>
    <row r="14947" spans="18:19">
      <c r="R14947" s="178"/>
      <c r="S14947" s="178"/>
    </row>
    <row r="14948" spans="18:19">
      <c r="R14948" s="178"/>
      <c r="S14948" s="178"/>
    </row>
    <row r="14949" spans="18:19">
      <c r="R14949" s="178"/>
      <c r="S14949" s="178"/>
    </row>
    <row r="14950" spans="18:19">
      <c r="R14950" s="178"/>
      <c r="S14950" s="178"/>
    </row>
    <row r="14951" spans="18:19">
      <c r="R14951" s="178"/>
      <c r="S14951" s="178"/>
    </row>
    <row r="14952" spans="18:19">
      <c r="R14952" s="178"/>
      <c r="S14952" s="178"/>
    </row>
    <row r="14953" spans="18:19">
      <c r="R14953" s="178"/>
      <c r="S14953" s="178"/>
    </row>
    <row r="14954" spans="18:19">
      <c r="R14954" s="178"/>
      <c r="S14954" s="178"/>
    </row>
    <row r="14955" spans="18:19">
      <c r="R14955" s="178"/>
      <c r="S14955" s="178"/>
    </row>
    <row r="14956" spans="18:19">
      <c r="R14956" s="178"/>
      <c r="S14956" s="178"/>
    </row>
    <row r="14957" spans="18:19">
      <c r="R14957" s="178"/>
      <c r="S14957" s="178"/>
    </row>
    <row r="14958" spans="18:19">
      <c r="R14958" s="178"/>
      <c r="S14958" s="178"/>
    </row>
    <row r="14959" spans="18:19">
      <c r="R14959" s="178"/>
      <c r="S14959" s="178"/>
    </row>
    <row r="14960" spans="18:19">
      <c r="R14960" s="178"/>
      <c r="S14960" s="178"/>
    </row>
    <row r="14961" spans="18:19">
      <c r="R14961" s="178"/>
      <c r="S14961" s="178"/>
    </row>
    <row r="14962" spans="18:19">
      <c r="R14962" s="178"/>
      <c r="S14962" s="178"/>
    </row>
    <row r="14963" spans="18:19">
      <c r="R14963" s="178"/>
      <c r="S14963" s="178"/>
    </row>
    <row r="14964" spans="18:19">
      <c r="R14964" s="178"/>
      <c r="S14964" s="178"/>
    </row>
    <row r="14965" spans="18:19">
      <c r="R14965" s="178"/>
      <c r="S14965" s="178"/>
    </row>
    <row r="14966" spans="18:19">
      <c r="R14966" s="178"/>
      <c r="S14966" s="178"/>
    </row>
    <row r="14967" spans="18:19">
      <c r="R14967" s="178"/>
      <c r="S14967" s="178"/>
    </row>
    <row r="14968" spans="18:19">
      <c r="R14968" s="178"/>
      <c r="S14968" s="178"/>
    </row>
    <row r="14969" spans="18:19">
      <c r="R14969" s="178"/>
      <c r="S14969" s="178"/>
    </row>
    <row r="14970" spans="18:19">
      <c r="R14970" s="178"/>
      <c r="S14970" s="178"/>
    </row>
    <row r="14971" spans="18:19">
      <c r="R14971" s="178"/>
      <c r="S14971" s="178"/>
    </row>
    <row r="14972" spans="18:19">
      <c r="R14972" s="178"/>
      <c r="S14972" s="178"/>
    </row>
    <row r="14973" spans="18:19">
      <c r="R14973" s="178"/>
      <c r="S14973" s="178"/>
    </row>
    <row r="14974" spans="18:19">
      <c r="R14974" s="178"/>
      <c r="S14974" s="178"/>
    </row>
    <row r="14975" spans="18:19">
      <c r="R14975" s="178"/>
      <c r="S14975" s="178"/>
    </row>
    <row r="14976" spans="18:19">
      <c r="R14976" s="178"/>
      <c r="S14976" s="178"/>
    </row>
    <row r="14977" spans="18:19">
      <c r="R14977" s="178"/>
      <c r="S14977" s="178"/>
    </row>
    <row r="14978" spans="18:19">
      <c r="R14978" s="178"/>
      <c r="S14978" s="178"/>
    </row>
    <row r="14979" spans="18:19">
      <c r="R14979" s="178"/>
      <c r="S14979" s="178"/>
    </row>
    <row r="14980" spans="18:19">
      <c r="R14980" s="178"/>
      <c r="S14980" s="178"/>
    </row>
    <row r="14981" spans="18:19">
      <c r="R14981" s="178"/>
      <c r="S14981" s="178"/>
    </row>
    <row r="14982" spans="18:19">
      <c r="R14982" s="178"/>
      <c r="S14982" s="178"/>
    </row>
    <row r="14983" spans="18:19">
      <c r="R14983" s="178"/>
      <c r="S14983" s="178"/>
    </row>
    <row r="14984" spans="18:19">
      <c r="R14984" s="178"/>
      <c r="S14984" s="178"/>
    </row>
    <row r="14985" spans="18:19">
      <c r="R14985" s="178"/>
      <c r="S14985" s="178"/>
    </row>
    <row r="14986" spans="18:19">
      <c r="R14986" s="178"/>
      <c r="S14986" s="178"/>
    </row>
    <row r="14987" spans="18:19">
      <c r="R14987" s="178"/>
      <c r="S14987" s="178"/>
    </row>
    <row r="14988" spans="18:19">
      <c r="R14988" s="178"/>
      <c r="S14988" s="178"/>
    </row>
    <row r="14989" spans="18:19">
      <c r="R14989" s="178"/>
      <c r="S14989" s="178"/>
    </row>
    <row r="14990" spans="18:19">
      <c r="R14990" s="178"/>
      <c r="S14990" s="178"/>
    </row>
    <row r="14991" spans="18:19">
      <c r="R14991" s="178"/>
      <c r="S14991" s="178"/>
    </row>
    <row r="14992" spans="18:19">
      <c r="R14992" s="178"/>
      <c r="S14992" s="178"/>
    </row>
    <row r="14993" spans="18:19">
      <c r="R14993" s="178"/>
      <c r="S14993" s="178"/>
    </row>
    <row r="14994" spans="18:19">
      <c r="R14994" s="178"/>
      <c r="S14994" s="178"/>
    </row>
    <row r="14995" spans="18:19">
      <c r="R14995" s="178"/>
      <c r="S14995" s="178"/>
    </row>
    <row r="14996" spans="18:19">
      <c r="R14996" s="178"/>
      <c r="S14996" s="178"/>
    </row>
    <row r="14997" spans="18:19">
      <c r="R14997" s="178"/>
      <c r="S14997" s="178"/>
    </row>
    <row r="14998" spans="18:19">
      <c r="R14998" s="178"/>
      <c r="S14998" s="178"/>
    </row>
    <row r="14999" spans="18:19">
      <c r="R14999" s="178"/>
      <c r="S14999" s="178"/>
    </row>
    <row r="15000" spans="18:19">
      <c r="R15000" s="178"/>
      <c r="S15000" s="178"/>
    </row>
    <row r="15001" spans="18:19">
      <c r="R15001" s="178"/>
      <c r="S15001" s="178"/>
    </row>
    <row r="15002" spans="18:19">
      <c r="R15002" s="178"/>
      <c r="S15002" s="178"/>
    </row>
    <row r="15003" spans="18:19">
      <c r="R15003" s="178"/>
      <c r="S15003" s="178"/>
    </row>
    <row r="15004" spans="18:19">
      <c r="R15004" s="178"/>
      <c r="S15004" s="178"/>
    </row>
    <row r="15005" spans="18:19">
      <c r="R15005" s="178"/>
      <c r="S15005" s="178"/>
    </row>
    <row r="15006" spans="18:19">
      <c r="R15006" s="178"/>
      <c r="S15006" s="178"/>
    </row>
    <row r="15007" spans="18:19">
      <c r="R15007" s="178"/>
      <c r="S15007" s="178"/>
    </row>
    <row r="15008" spans="18:19">
      <c r="R15008" s="178"/>
      <c r="S15008" s="178"/>
    </row>
    <row r="15009" spans="18:19">
      <c r="R15009" s="178"/>
      <c r="S15009" s="178"/>
    </row>
    <row r="15010" spans="18:19">
      <c r="R15010" s="178"/>
      <c r="S15010" s="178"/>
    </row>
    <row r="15011" spans="18:19">
      <c r="R15011" s="178"/>
      <c r="S15011" s="178"/>
    </row>
    <row r="15012" spans="18:19">
      <c r="R15012" s="178"/>
      <c r="S15012" s="178"/>
    </row>
    <row r="15013" spans="18:19">
      <c r="R15013" s="178"/>
      <c r="S15013" s="178"/>
    </row>
    <row r="15014" spans="18:19">
      <c r="R15014" s="178"/>
      <c r="S15014" s="178"/>
    </row>
    <row r="15015" spans="18:19">
      <c r="R15015" s="178"/>
      <c r="S15015" s="178"/>
    </row>
    <row r="15016" spans="18:19">
      <c r="R15016" s="178"/>
      <c r="S15016" s="178"/>
    </row>
    <row r="15017" spans="18:19">
      <c r="R15017" s="178"/>
      <c r="S15017" s="178"/>
    </row>
    <row r="15018" spans="18:19">
      <c r="R15018" s="178"/>
      <c r="S15018" s="178"/>
    </row>
    <row r="15019" spans="18:19">
      <c r="R15019" s="178"/>
      <c r="S15019" s="178"/>
    </row>
    <row r="15020" spans="18:19">
      <c r="R15020" s="178"/>
      <c r="S15020" s="178"/>
    </row>
    <row r="15021" spans="18:19">
      <c r="R15021" s="178"/>
      <c r="S15021" s="178"/>
    </row>
    <row r="15022" spans="18:19">
      <c r="R15022" s="178"/>
      <c r="S15022" s="178"/>
    </row>
    <row r="15023" spans="18:19">
      <c r="R15023" s="178"/>
      <c r="S15023" s="178"/>
    </row>
    <row r="15024" spans="18:19">
      <c r="R15024" s="178"/>
      <c r="S15024" s="178"/>
    </row>
    <row r="15025" spans="18:19">
      <c r="R15025" s="178"/>
      <c r="S15025" s="178"/>
    </row>
    <row r="15026" spans="18:19">
      <c r="R15026" s="178"/>
      <c r="S15026" s="178"/>
    </row>
    <row r="15027" spans="18:19">
      <c r="R15027" s="178"/>
      <c r="S15027" s="178"/>
    </row>
    <row r="15028" spans="18:19">
      <c r="R15028" s="178"/>
      <c r="S15028" s="178"/>
    </row>
    <row r="15029" spans="18:19">
      <c r="R15029" s="178"/>
      <c r="S15029" s="178"/>
    </row>
    <row r="15030" spans="18:19">
      <c r="R15030" s="178"/>
      <c r="S15030" s="178"/>
    </row>
    <row r="15031" spans="18:19">
      <c r="R15031" s="178"/>
      <c r="S15031" s="178"/>
    </row>
    <row r="15032" spans="18:19">
      <c r="R15032" s="178"/>
      <c r="S15032" s="178"/>
    </row>
    <row r="15033" spans="18:19">
      <c r="R15033" s="178"/>
      <c r="S15033" s="178"/>
    </row>
    <row r="15034" spans="18:19">
      <c r="R15034" s="178"/>
      <c r="S15034" s="178"/>
    </row>
    <row r="15035" spans="18:19">
      <c r="R15035" s="178"/>
      <c r="S15035" s="178"/>
    </row>
    <row r="15036" spans="18:19">
      <c r="R15036" s="178"/>
      <c r="S15036" s="178"/>
    </row>
    <row r="15037" spans="18:19">
      <c r="R15037" s="178"/>
      <c r="S15037" s="178"/>
    </row>
    <row r="15038" spans="18:19">
      <c r="R15038" s="178"/>
      <c r="S15038" s="178"/>
    </row>
    <row r="15039" spans="18:19">
      <c r="R15039" s="178"/>
      <c r="S15039" s="178"/>
    </row>
    <row r="15040" spans="18:19">
      <c r="R15040" s="178"/>
      <c r="S15040" s="178"/>
    </row>
    <row r="15041" spans="18:19">
      <c r="R15041" s="178"/>
      <c r="S15041" s="178"/>
    </row>
    <row r="15042" spans="18:19">
      <c r="R15042" s="178"/>
      <c r="S15042" s="178"/>
    </row>
    <row r="15043" spans="18:19">
      <c r="R15043" s="178"/>
      <c r="S15043" s="178"/>
    </row>
    <row r="15044" spans="18:19">
      <c r="R15044" s="178"/>
      <c r="S15044" s="178"/>
    </row>
    <row r="15045" spans="18:19">
      <c r="R15045" s="178"/>
      <c r="S15045" s="178"/>
    </row>
    <row r="15046" spans="18:19">
      <c r="R15046" s="178"/>
      <c r="S15046" s="178"/>
    </row>
    <row r="15047" spans="18:19">
      <c r="R15047" s="178"/>
      <c r="S15047" s="178"/>
    </row>
    <row r="15048" spans="18:19">
      <c r="R15048" s="178"/>
      <c r="S15048" s="178"/>
    </row>
    <row r="15049" spans="18:19">
      <c r="R15049" s="178"/>
      <c r="S15049" s="178"/>
    </row>
    <row r="15050" spans="18:19">
      <c r="R15050" s="178"/>
      <c r="S15050" s="178"/>
    </row>
    <row r="15051" spans="18:19">
      <c r="R15051" s="178"/>
      <c r="S15051" s="178"/>
    </row>
    <row r="15052" spans="18:19">
      <c r="R15052" s="178"/>
      <c r="S15052" s="178"/>
    </row>
    <row r="15053" spans="18:19">
      <c r="R15053" s="178"/>
      <c r="S15053" s="178"/>
    </row>
    <row r="15054" spans="18:19">
      <c r="R15054" s="178"/>
      <c r="S15054" s="178"/>
    </row>
    <row r="15055" spans="18:19">
      <c r="R15055" s="178"/>
      <c r="S15055" s="178"/>
    </row>
    <row r="15056" spans="18:19">
      <c r="R15056" s="178"/>
      <c r="S15056" s="178"/>
    </row>
    <row r="15057" spans="18:19">
      <c r="R15057" s="178"/>
      <c r="S15057" s="178"/>
    </row>
    <row r="15058" spans="18:19">
      <c r="R15058" s="178"/>
      <c r="S15058" s="178"/>
    </row>
    <row r="15059" spans="18:19">
      <c r="R15059" s="178"/>
      <c r="S15059" s="178"/>
    </row>
    <row r="15060" spans="18:19">
      <c r="R15060" s="178"/>
      <c r="S15060" s="178"/>
    </row>
    <row r="15061" spans="18:19">
      <c r="R15061" s="178"/>
      <c r="S15061" s="178"/>
    </row>
    <row r="15062" spans="18:19">
      <c r="R15062" s="178"/>
      <c r="S15062" s="178"/>
    </row>
    <row r="15063" spans="18:19">
      <c r="R15063" s="178"/>
      <c r="S15063" s="178"/>
    </row>
    <row r="15064" spans="18:19">
      <c r="R15064" s="178"/>
      <c r="S15064" s="178"/>
    </row>
    <row r="15065" spans="18:19">
      <c r="R15065" s="178"/>
      <c r="S15065" s="178"/>
    </row>
    <row r="15066" spans="18:19">
      <c r="R15066" s="178"/>
      <c r="S15066" s="178"/>
    </row>
    <row r="15067" spans="18:19">
      <c r="R15067" s="178"/>
      <c r="S15067" s="178"/>
    </row>
    <row r="15068" spans="18:19">
      <c r="R15068" s="178"/>
      <c r="S15068" s="178"/>
    </row>
    <row r="15069" spans="18:19">
      <c r="R15069" s="178"/>
      <c r="S15069" s="178"/>
    </row>
    <row r="15070" spans="18:19">
      <c r="R15070" s="178"/>
      <c r="S15070" s="178"/>
    </row>
    <row r="15071" spans="18:19">
      <c r="R15071" s="178"/>
      <c r="S15071" s="178"/>
    </row>
    <row r="15072" spans="18:19">
      <c r="R15072" s="178"/>
      <c r="S15072" s="178"/>
    </row>
    <row r="15073" spans="18:19">
      <c r="R15073" s="178"/>
      <c r="S15073" s="178"/>
    </row>
    <row r="15074" spans="18:19">
      <c r="R15074" s="178"/>
      <c r="S15074" s="178"/>
    </row>
    <row r="15075" spans="18:19">
      <c r="R15075" s="178"/>
      <c r="S15075" s="178"/>
    </row>
    <row r="15076" spans="18:19">
      <c r="R15076" s="178"/>
      <c r="S15076" s="178"/>
    </row>
    <row r="15077" spans="18:19">
      <c r="R15077" s="178"/>
      <c r="S15077" s="178"/>
    </row>
    <row r="15078" spans="18:19">
      <c r="R15078" s="178"/>
      <c r="S15078" s="178"/>
    </row>
    <row r="15079" spans="18:19">
      <c r="R15079" s="178"/>
      <c r="S15079" s="178"/>
    </row>
    <row r="15080" spans="18:19">
      <c r="R15080" s="178"/>
      <c r="S15080" s="178"/>
    </row>
    <row r="15081" spans="18:19">
      <c r="R15081" s="178"/>
      <c r="S15081" s="178"/>
    </row>
    <row r="15082" spans="18:19">
      <c r="R15082" s="178"/>
      <c r="S15082" s="178"/>
    </row>
    <row r="15083" spans="18:19">
      <c r="R15083" s="178"/>
      <c r="S15083" s="178"/>
    </row>
    <row r="15084" spans="18:19">
      <c r="R15084" s="178"/>
      <c r="S15084" s="178"/>
    </row>
    <row r="15085" spans="18:19">
      <c r="R15085" s="178"/>
      <c r="S15085" s="178"/>
    </row>
    <row r="15086" spans="18:19">
      <c r="R15086" s="178"/>
      <c r="S15086" s="178"/>
    </row>
    <row r="15087" spans="18:19">
      <c r="R15087" s="178"/>
      <c r="S15087" s="178"/>
    </row>
    <row r="15088" spans="18:19">
      <c r="R15088" s="178"/>
      <c r="S15088" s="178"/>
    </row>
    <row r="15089" spans="18:19">
      <c r="R15089" s="178"/>
      <c r="S15089" s="178"/>
    </row>
    <row r="15090" spans="18:19">
      <c r="R15090" s="178"/>
      <c r="S15090" s="178"/>
    </row>
    <row r="15091" spans="18:19">
      <c r="R15091" s="178"/>
      <c r="S15091" s="178"/>
    </row>
    <row r="15092" spans="18:19">
      <c r="R15092" s="178"/>
      <c r="S15092" s="178"/>
    </row>
    <row r="15093" spans="18:19">
      <c r="R15093" s="178"/>
      <c r="S15093" s="178"/>
    </row>
    <row r="15094" spans="18:19">
      <c r="R15094" s="178"/>
      <c r="S15094" s="178"/>
    </row>
    <row r="15095" spans="18:19">
      <c r="R15095" s="178"/>
      <c r="S15095" s="178"/>
    </row>
    <row r="15096" spans="18:19">
      <c r="R15096" s="178"/>
      <c r="S15096" s="178"/>
    </row>
    <row r="15097" spans="18:19">
      <c r="R15097" s="178"/>
      <c r="S15097" s="178"/>
    </row>
    <row r="15098" spans="18:19">
      <c r="R15098" s="178"/>
      <c r="S15098" s="178"/>
    </row>
    <row r="15099" spans="18:19">
      <c r="R15099" s="178"/>
      <c r="S15099" s="178"/>
    </row>
    <row r="15100" spans="18:19">
      <c r="R15100" s="178"/>
      <c r="S15100" s="178"/>
    </row>
    <row r="15101" spans="18:19">
      <c r="R15101" s="178"/>
      <c r="S15101" s="178"/>
    </row>
    <row r="15102" spans="18:19">
      <c r="R15102" s="178"/>
      <c r="S15102" s="178"/>
    </row>
    <row r="15103" spans="18:19">
      <c r="R15103" s="178"/>
      <c r="S15103" s="178"/>
    </row>
    <row r="15104" spans="18:19">
      <c r="R15104" s="178"/>
      <c r="S15104" s="178"/>
    </row>
    <row r="15105" spans="18:19">
      <c r="R15105" s="178"/>
      <c r="S15105" s="178"/>
    </row>
    <row r="15106" spans="18:19">
      <c r="R15106" s="178"/>
      <c r="S15106" s="178"/>
    </row>
    <row r="15107" spans="18:19">
      <c r="R15107" s="178"/>
      <c r="S15107" s="178"/>
    </row>
    <row r="15108" spans="18:19">
      <c r="R15108" s="178"/>
      <c r="S15108" s="178"/>
    </row>
    <row r="15109" spans="18:19">
      <c r="R15109" s="178"/>
      <c r="S15109" s="178"/>
    </row>
    <row r="15110" spans="18:19">
      <c r="R15110" s="178"/>
      <c r="S15110" s="178"/>
    </row>
    <row r="15111" spans="18:19">
      <c r="R15111" s="178"/>
      <c r="S15111" s="178"/>
    </row>
    <row r="15112" spans="18:19">
      <c r="R15112" s="178"/>
      <c r="S15112" s="178"/>
    </row>
    <row r="15113" spans="18:19">
      <c r="R15113" s="178"/>
      <c r="S15113" s="178"/>
    </row>
    <row r="15114" spans="18:19">
      <c r="R15114" s="178"/>
      <c r="S15114" s="178"/>
    </row>
    <row r="15115" spans="18:19">
      <c r="R15115" s="178"/>
      <c r="S15115" s="178"/>
    </row>
    <row r="15116" spans="18:19">
      <c r="R15116" s="178"/>
      <c r="S15116" s="178"/>
    </row>
    <row r="15117" spans="18:19">
      <c r="R15117" s="178"/>
      <c r="S15117" s="178"/>
    </row>
    <row r="15118" spans="18:19">
      <c r="R15118" s="178"/>
      <c r="S15118" s="178"/>
    </row>
    <row r="15119" spans="18:19">
      <c r="R15119" s="178"/>
      <c r="S15119" s="178"/>
    </row>
    <row r="15120" spans="18:19">
      <c r="R15120" s="178"/>
      <c r="S15120" s="178"/>
    </row>
    <row r="15121" spans="18:19">
      <c r="R15121" s="178"/>
      <c r="S15121" s="178"/>
    </row>
    <row r="15122" spans="18:19">
      <c r="R15122" s="178"/>
      <c r="S15122" s="178"/>
    </row>
    <row r="15123" spans="18:19">
      <c r="R15123" s="178"/>
      <c r="S15123" s="178"/>
    </row>
    <row r="15124" spans="18:19">
      <c r="R15124" s="178"/>
      <c r="S15124" s="178"/>
    </row>
    <row r="15125" spans="18:19">
      <c r="R15125" s="178"/>
      <c r="S15125" s="178"/>
    </row>
    <row r="15126" spans="18:19">
      <c r="R15126" s="178"/>
      <c r="S15126" s="178"/>
    </row>
    <row r="15127" spans="18:19">
      <c r="R15127" s="178"/>
      <c r="S15127" s="178"/>
    </row>
    <row r="15128" spans="18:19">
      <c r="R15128" s="178"/>
      <c r="S15128" s="178"/>
    </row>
    <row r="15129" spans="18:19">
      <c r="R15129" s="178"/>
      <c r="S15129" s="178"/>
    </row>
    <row r="15130" spans="18:19">
      <c r="R15130" s="178"/>
      <c r="S15130" s="178"/>
    </row>
    <row r="15131" spans="18:19">
      <c r="R15131" s="178"/>
      <c r="S15131" s="178"/>
    </row>
    <row r="15132" spans="18:19">
      <c r="R15132" s="178"/>
      <c r="S15132" s="178"/>
    </row>
    <row r="15133" spans="18:19">
      <c r="R15133" s="178"/>
      <c r="S15133" s="178"/>
    </row>
    <row r="15134" spans="18:19">
      <c r="R15134" s="178"/>
      <c r="S15134" s="178"/>
    </row>
    <row r="15135" spans="18:19">
      <c r="R15135" s="178"/>
      <c r="S15135" s="178"/>
    </row>
    <row r="15136" spans="18:19">
      <c r="R15136" s="178"/>
      <c r="S15136" s="178"/>
    </row>
    <row r="15137" spans="18:19">
      <c r="R15137" s="178"/>
      <c r="S15137" s="178"/>
    </row>
    <row r="15138" spans="18:19">
      <c r="R15138" s="178"/>
      <c r="S15138" s="178"/>
    </row>
    <row r="15139" spans="18:19">
      <c r="R15139" s="178"/>
      <c r="S15139" s="178"/>
    </row>
    <row r="15140" spans="18:19">
      <c r="R15140" s="178"/>
      <c r="S15140" s="178"/>
    </row>
    <row r="15141" spans="18:19">
      <c r="R15141" s="178"/>
      <c r="S15141" s="178"/>
    </row>
    <row r="15142" spans="18:19">
      <c r="R15142" s="178"/>
      <c r="S15142" s="178"/>
    </row>
    <row r="15143" spans="18:19">
      <c r="R15143" s="178"/>
      <c r="S15143" s="178"/>
    </row>
    <row r="15144" spans="18:19">
      <c r="R15144" s="178"/>
      <c r="S15144" s="178"/>
    </row>
    <row r="15145" spans="18:19">
      <c r="R15145" s="178"/>
      <c r="S15145" s="178"/>
    </row>
    <row r="15146" spans="18:19">
      <c r="R15146" s="178"/>
      <c r="S15146" s="178"/>
    </row>
    <row r="15147" spans="18:19">
      <c r="R15147" s="178"/>
      <c r="S15147" s="178"/>
    </row>
    <row r="15148" spans="18:19">
      <c r="R15148" s="178"/>
      <c r="S15148" s="178"/>
    </row>
    <row r="15149" spans="18:19">
      <c r="R15149" s="178"/>
      <c r="S15149" s="178"/>
    </row>
    <row r="15150" spans="18:19">
      <c r="R15150" s="178"/>
      <c r="S15150" s="178"/>
    </row>
    <row r="15151" spans="18:19">
      <c r="R15151" s="178"/>
      <c r="S15151" s="178"/>
    </row>
    <row r="15152" spans="18:19">
      <c r="R15152" s="178"/>
      <c r="S15152" s="178"/>
    </row>
    <row r="15153" spans="18:19">
      <c r="R15153" s="178"/>
      <c r="S15153" s="178"/>
    </row>
    <row r="15154" spans="18:19">
      <c r="R15154" s="178"/>
      <c r="S15154" s="178"/>
    </row>
    <row r="15155" spans="18:19">
      <c r="R15155" s="178"/>
      <c r="S15155" s="178"/>
    </row>
    <row r="15156" spans="18:19">
      <c r="R15156" s="178"/>
      <c r="S15156" s="178"/>
    </row>
    <row r="15157" spans="18:19">
      <c r="R15157" s="178"/>
      <c r="S15157" s="178"/>
    </row>
    <row r="15158" spans="18:19">
      <c r="R15158" s="178"/>
      <c r="S15158" s="178"/>
    </row>
    <row r="15159" spans="18:19">
      <c r="R15159" s="178"/>
      <c r="S15159" s="178"/>
    </row>
    <row r="15160" spans="18:19">
      <c r="R15160" s="178"/>
      <c r="S15160" s="178"/>
    </row>
    <row r="15161" spans="18:19">
      <c r="R15161" s="178"/>
      <c r="S15161" s="178"/>
    </row>
    <row r="15162" spans="18:19">
      <c r="R15162" s="178"/>
      <c r="S15162" s="178"/>
    </row>
    <row r="15163" spans="18:19">
      <c r="R15163" s="178"/>
      <c r="S15163" s="178"/>
    </row>
    <row r="15164" spans="18:19">
      <c r="R15164" s="178"/>
      <c r="S15164" s="178"/>
    </row>
    <row r="15165" spans="18:19">
      <c r="R15165" s="178"/>
      <c r="S15165" s="178"/>
    </row>
    <row r="15166" spans="18:19">
      <c r="R15166" s="178"/>
      <c r="S15166" s="178"/>
    </row>
    <row r="15167" spans="18:19">
      <c r="R15167" s="178"/>
      <c r="S15167" s="178"/>
    </row>
    <row r="15168" spans="18:19">
      <c r="R15168" s="178"/>
      <c r="S15168" s="178"/>
    </row>
    <row r="15169" spans="18:19">
      <c r="R15169" s="178"/>
      <c r="S15169" s="178"/>
    </row>
    <row r="15170" spans="18:19">
      <c r="R15170" s="178"/>
      <c r="S15170" s="178"/>
    </row>
    <row r="15171" spans="18:19">
      <c r="R15171" s="178"/>
      <c r="S15171" s="178"/>
    </row>
    <row r="15172" spans="18:19">
      <c r="R15172" s="178"/>
      <c r="S15172" s="178"/>
    </row>
    <row r="15173" spans="18:19">
      <c r="R15173" s="178"/>
      <c r="S15173" s="178"/>
    </row>
    <row r="15174" spans="18:19">
      <c r="R15174" s="178"/>
      <c r="S15174" s="178"/>
    </row>
    <row r="15175" spans="18:19">
      <c r="R15175" s="178"/>
      <c r="S15175" s="178"/>
    </row>
    <row r="15176" spans="18:19">
      <c r="R15176" s="178"/>
      <c r="S15176" s="178"/>
    </row>
    <row r="15177" spans="18:19">
      <c r="R15177" s="178"/>
      <c r="S15177" s="178"/>
    </row>
    <row r="15178" spans="18:19">
      <c r="R15178" s="178"/>
      <c r="S15178" s="178"/>
    </row>
    <row r="15179" spans="18:19">
      <c r="R15179" s="178"/>
      <c r="S15179" s="178"/>
    </row>
    <row r="15180" spans="18:19">
      <c r="R15180" s="178"/>
      <c r="S15180" s="178"/>
    </row>
    <row r="15181" spans="18:19">
      <c r="R15181" s="178"/>
      <c r="S15181" s="178"/>
    </row>
    <row r="15182" spans="18:19">
      <c r="R15182" s="178"/>
      <c r="S15182" s="178"/>
    </row>
    <row r="15183" spans="18:19">
      <c r="R15183" s="178"/>
      <c r="S15183" s="178"/>
    </row>
    <row r="15184" spans="18:19">
      <c r="R15184" s="178"/>
      <c r="S15184" s="178"/>
    </row>
    <row r="15185" spans="18:19">
      <c r="R15185" s="178"/>
      <c r="S15185" s="178"/>
    </row>
    <row r="15186" spans="18:19">
      <c r="R15186" s="178"/>
      <c r="S15186" s="178"/>
    </row>
    <row r="15187" spans="18:19">
      <c r="R15187" s="178"/>
      <c r="S15187" s="178"/>
    </row>
    <row r="15188" spans="18:19">
      <c r="R15188" s="178"/>
      <c r="S15188" s="178"/>
    </row>
    <row r="15189" spans="18:19">
      <c r="R15189" s="178"/>
      <c r="S15189" s="178"/>
    </row>
    <row r="15190" spans="18:19">
      <c r="R15190" s="178"/>
      <c r="S15190" s="178"/>
    </row>
    <row r="15191" spans="18:19">
      <c r="R15191" s="178"/>
      <c r="S15191" s="178"/>
    </row>
    <row r="15192" spans="18:19">
      <c r="R15192" s="178"/>
      <c r="S15192" s="178"/>
    </row>
    <row r="15193" spans="18:19">
      <c r="R15193" s="178"/>
      <c r="S15193" s="178"/>
    </row>
    <row r="15194" spans="18:19">
      <c r="R15194" s="178"/>
      <c r="S15194" s="178"/>
    </row>
    <row r="15195" spans="18:19">
      <c r="R15195" s="178"/>
      <c r="S15195" s="178"/>
    </row>
    <row r="15196" spans="18:19">
      <c r="R15196" s="178"/>
      <c r="S15196" s="178"/>
    </row>
    <row r="15197" spans="18:19">
      <c r="R15197" s="178"/>
      <c r="S15197" s="178"/>
    </row>
    <row r="15198" spans="18:19">
      <c r="R15198" s="178"/>
      <c r="S15198" s="178"/>
    </row>
    <row r="15199" spans="18:19">
      <c r="R15199" s="178"/>
      <c r="S15199" s="178"/>
    </row>
    <row r="15200" spans="18:19">
      <c r="R15200" s="178"/>
      <c r="S15200" s="178"/>
    </row>
    <row r="15201" spans="18:19">
      <c r="R15201" s="178"/>
      <c r="S15201" s="178"/>
    </row>
    <row r="15202" spans="18:19">
      <c r="R15202" s="178"/>
      <c r="S15202" s="178"/>
    </row>
    <row r="15203" spans="18:19">
      <c r="R15203" s="178"/>
      <c r="S15203" s="178"/>
    </row>
    <row r="15204" spans="18:19">
      <c r="R15204" s="178"/>
      <c r="S15204" s="178"/>
    </row>
    <row r="15205" spans="18:19">
      <c r="R15205" s="178"/>
      <c r="S15205" s="178"/>
    </row>
    <row r="15206" spans="18:19">
      <c r="R15206" s="178"/>
      <c r="S15206" s="178"/>
    </row>
    <row r="15207" spans="18:19">
      <c r="R15207" s="178"/>
      <c r="S15207" s="178"/>
    </row>
    <row r="15208" spans="18:19">
      <c r="R15208" s="178"/>
      <c r="S15208" s="178"/>
    </row>
    <row r="15209" spans="18:19">
      <c r="R15209" s="178"/>
      <c r="S15209" s="178"/>
    </row>
    <row r="15210" spans="18:19">
      <c r="R15210" s="178"/>
      <c r="S15210" s="178"/>
    </row>
    <row r="15211" spans="18:19">
      <c r="R15211" s="178"/>
      <c r="S15211" s="178"/>
    </row>
    <row r="15212" spans="18:19">
      <c r="R15212" s="178"/>
      <c r="S15212" s="178"/>
    </row>
    <row r="15213" spans="18:19">
      <c r="R15213" s="178"/>
      <c r="S15213" s="178"/>
    </row>
    <row r="15214" spans="18:19">
      <c r="R15214" s="178"/>
      <c r="S15214" s="178"/>
    </row>
    <row r="15215" spans="18:19">
      <c r="R15215" s="178"/>
      <c r="S15215" s="178"/>
    </row>
    <row r="15216" spans="18:19">
      <c r="R15216" s="178"/>
      <c r="S15216" s="178"/>
    </row>
    <row r="15217" spans="18:19">
      <c r="R15217" s="178"/>
      <c r="S15217" s="178"/>
    </row>
    <row r="15218" spans="18:19">
      <c r="R15218" s="178"/>
      <c r="S15218" s="178"/>
    </row>
    <row r="15219" spans="18:19">
      <c r="R15219" s="178"/>
      <c r="S15219" s="178"/>
    </row>
    <row r="15220" spans="18:19">
      <c r="R15220" s="178"/>
      <c r="S15220" s="178"/>
    </row>
    <row r="15221" spans="18:19">
      <c r="R15221" s="178"/>
      <c r="S15221" s="178"/>
    </row>
    <row r="15222" spans="18:19">
      <c r="R15222" s="178"/>
      <c r="S15222" s="178"/>
    </row>
    <row r="15223" spans="18:19">
      <c r="R15223" s="178"/>
      <c r="S15223" s="178"/>
    </row>
    <row r="15224" spans="18:19">
      <c r="R15224" s="178"/>
      <c r="S15224" s="178"/>
    </row>
    <row r="15225" spans="18:19">
      <c r="R15225" s="178"/>
      <c r="S15225" s="178"/>
    </row>
    <row r="15226" spans="18:19">
      <c r="R15226" s="178"/>
      <c r="S15226" s="178"/>
    </row>
    <row r="15227" spans="18:19">
      <c r="R15227" s="178"/>
      <c r="S15227" s="178"/>
    </row>
    <row r="15228" spans="18:19">
      <c r="R15228" s="178"/>
      <c r="S15228" s="178"/>
    </row>
    <row r="15229" spans="18:19">
      <c r="R15229" s="178"/>
      <c r="S15229" s="178"/>
    </row>
    <row r="15230" spans="18:19">
      <c r="R15230" s="178"/>
      <c r="S15230" s="178"/>
    </row>
    <row r="15231" spans="18:19">
      <c r="R15231" s="178"/>
      <c r="S15231" s="178"/>
    </row>
    <row r="15232" spans="18:19">
      <c r="R15232" s="178"/>
      <c r="S15232" s="178"/>
    </row>
    <row r="15233" spans="18:19">
      <c r="R15233" s="178"/>
      <c r="S15233" s="178"/>
    </row>
    <row r="15234" spans="18:19">
      <c r="R15234" s="178"/>
      <c r="S15234" s="178"/>
    </row>
    <row r="15235" spans="18:19">
      <c r="R15235" s="178"/>
      <c r="S15235" s="178"/>
    </row>
    <row r="15236" spans="18:19">
      <c r="R15236" s="178"/>
      <c r="S15236" s="178"/>
    </row>
    <row r="15237" spans="18:19">
      <c r="R15237" s="178"/>
      <c r="S15237" s="178"/>
    </row>
    <row r="15238" spans="18:19">
      <c r="R15238" s="178"/>
      <c r="S15238" s="178"/>
    </row>
    <row r="15239" spans="18:19">
      <c r="R15239" s="178"/>
      <c r="S15239" s="178"/>
    </row>
    <row r="15240" spans="18:19">
      <c r="R15240" s="178"/>
      <c r="S15240" s="178"/>
    </row>
    <row r="15241" spans="18:19">
      <c r="R15241" s="178"/>
      <c r="S15241" s="178"/>
    </row>
    <row r="15242" spans="18:19">
      <c r="R15242" s="178"/>
      <c r="S15242" s="178"/>
    </row>
    <row r="15243" spans="18:19">
      <c r="R15243" s="178"/>
      <c r="S15243" s="178"/>
    </row>
    <row r="15244" spans="18:19">
      <c r="R15244" s="178"/>
      <c r="S15244" s="178"/>
    </row>
    <row r="15245" spans="18:19">
      <c r="R15245" s="178"/>
      <c r="S15245" s="178"/>
    </row>
    <row r="15246" spans="18:19">
      <c r="R15246" s="178"/>
      <c r="S15246" s="178"/>
    </row>
    <row r="15247" spans="18:19">
      <c r="R15247" s="178"/>
      <c r="S15247" s="178"/>
    </row>
    <row r="15248" spans="18:19">
      <c r="R15248" s="178"/>
      <c r="S15248" s="178"/>
    </row>
    <row r="15249" spans="18:19">
      <c r="R15249" s="178"/>
      <c r="S15249" s="178"/>
    </row>
    <row r="15250" spans="18:19">
      <c r="R15250" s="178"/>
      <c r="S15250" s="178"/>
    </row>
    <row r="15251" spans="18:19">
      <c r="R15251" s="178"/>
      <c r="S15251" s="178"/>
    </row>
    <row r="15252" spans="18:19">
      <c r="R15252" s="178"/>
      <c r="S15252" s="178"/>
    </row>
    <row r="15253" spans="18:19">
      <c r="R15253" s="178"/>
      <c r="S15253" s="178"/>
    </row>
    <row r="15254" spans="18:19">
      <c r="R15254" s="178"/>
      <c r="S15254" s="178"/>
    </row>
    <row r="15255" spans="18:19">
      <c r="R15255" s="178"/>
      <c r="S15255" s="178"/>
    </row>
    <row r="15256" spans="18:19">
      <c r="R15256" s="178"/>
      <c r="S15256" s="178"/>
    </row>
    <row r="15257" spans="18:19">
      <c r="R15257" s="178"/>
      <c r="S15257" s="178"/>
    </row>
    <row r="15258" spans="18:19">
      <c r="R15258" s="178"/>
      <c r="S15258" s="178"/>
    </row>
    <row r="15259" spans="18:19">
      <c r="R15259" s="178"/>
      <c r="S15259" s="178"/>
    </row>
    <row r="15260" spans="18:19">
      <c r="R15260" s="178"/>
      <c r="S15260" s="178"/>
    </row>
    <row r="15261" spans="18:19">
      <c r="R15261" s="178"/>
      <c r="S15261" s="178"/>
    </row>
    <row r="15262" spans="18:19">
      <c r="R15262" s="178"/>
      <c r="S15262" s="178"/>
    </row>
    <row r="15263" spans="18:19">
      <c r="R15263" s="178"/>
      <c r="S15263" s="178"/>
    </row>
    <row r="15264" spans="18:19">
      <c r="R15264" s="178"/>
      <c r="S15264" s="178"/>
    </row>
    <row r="15265" spans="18:19">
      <c r="R15265" s="178"/>
      <c r="S15265" s="178"/>
    </row>
    <row r="15266" spans="18:19">
      <c r="R15266" s="178"/>
      <c r="S15266" s="178"/>
    </row>
    <row r="15267" spans="18:19">
      <c r="R15267" s="178"/>
      <c r="S15267" s="178"/>
    </row>
    <row r="15268" spans="18:19">
      <c r="R15268" s="178"/>
      <c r="S15268" s="178"/>
    </row>
    <row r="15269" spans="18:19">
      <c r="R15269" s="178"/>
      <c r="S15269" s="178"/>
    </row>
    <row r="15270" spans="18:19">
      <c r="R15270" s="178"/>
      <c r="S15270" s="178"/>
    </row>
    <row r="15271" spans="18:19">
      <c r="R15271" s="178"/>
      <c r="S15271" s="178"/>
    </row>
    <row r="15272" spans="18:19">
      <c r="R15272" s="178"/>
      <c r="S15272" s="178"/>
    </row>
    <row r="15273" spans="18:19">
      <c r="R15273" s="178"/>
      <c r="S15273" s="178"/>
    </row>
    <row r="15274" spans="18:19">
      <c r="R15274" s="178"/>
      <c r="S15274" s="178"/>
    </row>
    <row r="15275" spans="18:19">
      <c r="R15275" s="178"/>
      <c r="S15275" s="178"/>
    </row>
    <row r="15276" spans="18:19">
      <c r="R15276" s="178"/>
      <c r="S15276" s="178"/>
    </row>
    <row r="15277" spans="18:19">
      <c r="R15277" s="178"/>
      <c r="S15277" s="178"/>
    </row>
    <row r="15278" spans="18:19">
      <c r="R15278" s="178"/>
      <c r="S15278" s="178"/>
    </row>
    <row r="15279" spans="18:19">
      <c r="R15279" s="178"/>
      <c r="S15279" s="178"/>
    </row>
    <row r="15280" spans="18:19">
      <c r="R15280" s="178"/>
      <c r="S15280" s="178"/>
    </row>
    <row r="15281" spans="18:19">
      <c r="R15281" s="178"/>
      <c r="S15281" s="178"/>
    </row>
    <row r="15282" spans="18:19">
      <c r="R15282" s="178"/>
      <c r="S15282" s="178"/>
    </row>
    <row r="15283" spans="18:19">
      <c r="R15283" s="178"/>
      <c r="S15283" s="178"/>
    </row>
    <row r="15284" spans="18:19">
      <c r="R15284" s="178"/>
      <c r="S15284" s="178"/>
    </row>
    <row r="15285" spans="18:19">
      <c r="R15285" s="178"/>
      <c r="S15285" s="178"/>
    </row>
    <row r="15286" spans="18:19">
      <c r="R15286" s="178"/>
      <c r="S15286" s="178"/>
    </row>
    <row r="15287" spans="18:19">
      <c r="R15287" s="178"/>
      <c r="S15287" s="178"/>
    </row>
    <row r="15288" spans="18:19">
      <c r="R15288" s="178"/>
      <c r="S15288" s="178"/>
    </row>
    <row r="15289" spans="18:19">
      <c r="R15289" s="178"/>
      <c r="S15289" s="178"/>
    </row>
    <row r="15290" spans="18:19">
      <c r="R15290" s="178"/>
      <c r="S15290" s="178"/>
    </row>
    <row r="15291" spans="18:19">
      <c r="R15291" s="178"/>
      <c r="S15291" s="178"/>
    </row>
    <row r="15292" spans="18:19">
      <c r="R15292" s="178"/>
      <c r="S15292" s="178"/>
    </row>
    <row r="15293" spans="18:19">
      <c r="R15293" s="178"/>
      <c r="S15293" s="178"/>
    </row>
    <row r="15294" spans="18:19">
      <c r="R15294" s="178"/>
      <c r="S15294" s="178"/>
    </row>
    <row r="15295" spans="18:19">
      <c r="R15295" s="178"/>
      <c r="S15295" s="178"/>
    </row>
    <row r="15296" spans="18:19">
      <c r="R15296" s="178"/>
      <c r="S15296" s="178"/>
    </row>
    <row r="15297" spans="18:19">
      <c r="R15297" s="178"/>
      <c r="S15297" s="178"/>
    </row>
    <row r="15298" spans="18:19">
      <c r="R15298" s="178"/>
      <c r="S15298" s="178"/>
    </row>
    <row r="15299" spans="18:19">
      <c r="R15299" s="178"/>
      <c r="S15299" s="178"/>
    </row>
    <row r="15300" spans="18:19">
      <c r="R15300" s="178"/>
      <c r="S15300" s="178"/>
    </row>
    <row r="15301" spans="18:19">
      <c r="R15301" s="178"/>
      <c r="S15301" s="178"/>
    </row>
    <row r="15302" spans="18:19">
      <c r="R15302" s="178"/>
      <c r="S15302" s="178"/>
    </row>
    <row r="15303" spans="18:19">
      <c r="R15303" s="178"/>
      <c r="S15303" s="178"/>
    </row>
    <row r="15304" spans="18:19">
      <c r="R15304" s="178"/>
      <c r="S15304" s="178"/>
    </row>
    <row r="15305" spans="18:19">
      <c r="R15305" s="178"/>
      <c r="S15305" s="178"/>
    </row>
    <row r="15306" spans="18:19">
      <c r="R15306" s="178"/>
      <c r="S15306" s="178"/>
    </row>
    <row r="15307" spans="18:19">
      <c r="R15307" s="178"/>
      <c r="S15307" s="178"/>
    </row>
    <row r="15308" spans="18:19">
      <c r="R15308" s="178"/>
      <c r="S15308" s="178"/>
    </row>
    <row r="15309" spans="18:19">
      <c r="R15309" s="178"/>
      <c r="S15309" s="178"/>
    </row>
    <row r="15310" spans="18:19">
      <c r="R15310" s="178"/>
      <c r="S15310" s="178"/>
    </row>
    <row r="15311" spans="18:19">
      <c r="R15311" s="178"/>
      <c r="S15311" s="178"/>
    </row>
    <row r="15312" spans="18:19">
      <c r="R15312" s="178"/>
      <c r="S15312" s="178"/>
    </row>
    <row r="15313" spans="18:19">
      <c r="R15313" s="178"/>
      <c r="S15313" s="178"/>
    </row>
    <row r="15314" spans="18:19">
      <c r="R15314" s="178"/>
      <c r="S15314" s="178"/>
    </row>
    <row r="15315" spans="18:19">
      <c r="R15315" s="178"/>
      <c r="S15315" s="178"/>
    </row>
    <row r="15316" spans="18:19">
      <c r="R15316" s="178"/>
      <c r="S15316" s="178"/>
    </row>
    <row r="15317" spans="18:19">
      <c r="R15317" s="178"/>
      <c r="S15317" s="178"/>
    </row>
    <row r="15318" spans="18:19">
      <c r="R15318" s="178"/>
      <c r="S15318" s="178"/>
    </row>
    <row r="15319" spans="18:19">
      <c r="R15319" s="178"/>
      <c r="S15319" s="178"/>
    </row>
    <row r="15320" spans="18:19">
      <c r="R15320" s="178"/>
      <c r="S15320" s="178"/>
    </row>
    <row r="15321" spans="18:19">
      <c r="R15321" s="178"/>
      <c r="S15321" s="178"/>
    </row>
    <row r="15322" spans="18:19">
      <c r="R15322" s="178"/>
      <c r="S15322" s="178"/>
    </row>
    <row r="15323" spans="18:19">
      <c r="R15323" s="178"/>
      <c r="S15323" s="178"/>
    </row>
    <row r="15324" spans="18:19">
      <c r="R15324" s="178"/>
      <c r="S15324" s="178"/>
    </row>
    <row r="15325" spans="18:19">
      <c r="R15325" s="178"/>
      <c r="S15325" s="178"/>
    </row>
    <row r="15326" spans="18:19">
      <c r="R15326" s="178"/>
      <c r="S15326" s="178"/>
    </row>
    <row r="15327" spans="18:19">
      <c r="R15327" s="178"/>
      <c r="S15327" s="178"/>
    </row>
    <row r="15328" spans="18:19">
      <c r="R15328" s="178"/>
      <c r="S15328" s="178"/>
    </row>
    <row r="15329" spans="18:19">
      <c r="R15329" s="178"/>
      <c r="S15329" s="178"/>
    </row>
    <row r="15330" spans="18:19">
      <c r="R15330" s="178"/>
      <c r="S15330" s="178"/>
    </row>
    <row r="15331" spans="18:19">
      <c r="R15331" s="178"/>
      <c r="S15331" s="178"/>
    </row>
    <row r="15332" spans="18:19">
      <c r="R15332" s="178"/>
      <c r="S15332" s="178"/>
    </row>
    <row r="15333" spans="18:19">
      <c r="R15333" s="178"/>
      <c r="S15333" s="178"/>
    </row>
    <row r="15334" spans="18:19">
      <c r="R15334" s="178"/>
      <c r="S15334" s="178"/>
    </row>
    <row r="15335" spans="18:19">
      <c r="R15335" s="178"/>
      <c r="S15335" s="178"/>
    </row>
    <row r="15336" spans="18:19">
      <c r="R15336" s="178"/>
      <c r="S15336" s="178"/>
    </row>
    <row r="15337" spans="18:19">
      <c r="R15337" s="178"/>
      <c r="S15337" s="178"/>
    </row>
    <row r="15338" spans="18:19">
      <c r="R15338" s="178"/>
      <c r="S15338" s="178"/>
    </row>
    <row r="15339" spans="18:19">
      <c r="R15339" s="178"/>
      <c r="S15339" s="178"/>
    </row>
    <row r="15340" spans="18:19">
      <c r="R15340" s="178"/>
      <c r="S15340" s="178"/>
    </row>
    <row r="15341" spans="18:19">
      <c r="R15341" s="178"/>
      <c r="S15341" s="178"/>
    </row>
    <row r="15342" spans="18:19">
      <c r="R15342" s="178"/>
      <c r="S15342" s="178"/>
    </row>
    <row r="15343" spans="18:19">
      <c r="R15343" s="178"/>
      <c r="S15343" s="178"/>
    </row>
    <row r="15344" spans="18:19">
      <c r="R15344" s="178"/>
      <c r="S15344" s="178"/>
    </row>
    <row r="15345" spans="18:19">
      <c r="R15345" s="178"/>
      <c r="S15345" s="178"/>
    </row>
    <row r="15346" spans="18:19">
      <c r="R15346" s="178"/>
      <c r="S15346" s="178"/>
    </row>
    <row r="15347" spans="18:19">
      <c r="R15347" s="178"/>
      <c r="S15347" s="178"/>
    </row>
    <row r="15348" spans="18:19">
      <c r="R15348" s="178"/>
      <c r="S15348" s="178"/>
    </row>
    <row r="15349" spans="18:19">
      <c r="R15349" s="178"/>
      <c r="S15349" s="178"/>
    </row>
    <row r="15350" spans="18:19">
      <c r="R15350" s="178"/>
      <c r="S15350" s="178"/>
    </row>
    <row r="15351" spans="18:19">
      <c r="R15351" s="178"/>
      <c r="S15351" s="178"/>
    </row>
    <row r="15352" spans="18:19">
      <c r="R15352" s="178"/>
      <c r="S15352" s="178"/>
    </row>
    <row r="15353" spans="18:19">
      <c r="R15353" s="178"/>
      <c r="S15353" s="178"/>
    </row>
    <row r="15354" spans="18:19">
      <c r="R15354" s="178"/>
      <c r="S15354" s="178"/>
    </row>
    <row r="15355" spans="18:19">
      <c r="R15355" s="178"/>
      <c r="S15355" s="178"/>
    </row>
    <row r="15356" spans="18:19">
      <c r="R15356" s="178"/>
      <c r="S15356" s="178"/>
    </row>
    <row r="15357" spans="18:19">
      <c r="R15357" s="178"/>
      <c r="S15357" s="178"/>
    </row>
    <row r="15358" spans="18:19">
      <c r="R15358" s="178"/>
      <c r="S15358" s="178"/>
    </row>
    <row r="15359" spans="18:19">
      <c r="R15359" s="178"/>
      <c r="S15359" s="178"/>
    </row>
    <row r="15360" spans="18:19">
      <c r="R15360" s="178"/>
      <c r="S15360" s="178"/>
    </row>
    <row r="15361" spans="18:19">
      <c r="R15361" s="178"/>
      <c r="S15361" s="178"/>
    </row>
    <row r="15362" spans="18:19">
      <c r="R15362" s="178"/>
      <c r="S15362" s="178"/>
    </row>
    <row r="15363" spans="18:19">
      <c r="R15363" s="178"/>
      <c r="S15363" s="178"/>
    </row>
    <row r="15364" spans="18:19">
      <c r="R15364" s="178"/>
      <c r="S15364" s="178"/>
    </row>
    <row r="15365" spans="18:19">
      <c r="R15365" s="178"/>
      <c r="S15365" s="178"/>
    </row>
    <row r="15366" spans="18:19">
      <c r="R15366" s="178"/>
      <c r="S15366" s="178"/>
    </row>
    <row r="15367" spans="18:19">
      <c r="R15367" s="178"/>
      <c r="S15367" s="178"/>
    </row>
    <row r="15368" spans="18:19">
      <c r="R15368" s="178"/>
      <c r="S15368" s="178"/>
    </row>
    <row r="15369" spans="18:19">
      <c r="R15369" s="178"/>
      <c r="S15369" s="178"/>
    </row>
    <row r="15370" spans="18:19">
      <c r="R15370" s="178"/>
      <c r="S15370" s="178"/>
    </row>
    <row r="15371" spans="18:19">
      <c r="R15371" s="178"/>
      <c r="S15371" s="178"/>
    </row>
    <row r="15372" spans="18:19">
      <c r="R15372" s="178"/>
      <c r="S15372" s="178"/>
    </row>
    <row r="15373" spans="18:19">
      <c r="R15373" s="178"/>
      <c r="S15373" s="178"/>
    </row>
    <row r="15374" spans="18:19">
      <c r="R15374" s="178"/>
      <c r="S15374" s="178"/>
    </row>
    <row r="15375" spans="18:19">
      <c r="R15375" s="178"/>
      <c r="S15375" s="178"/>
    </row>
    <row r="15376" spans="18:19">
      <c r="R15376" s="178"/>
      <c r="S15376" s="178"/>
    </row>
    <row r="15377" spans="18:19">
      <c r="R15377" s="178"/>
      <c r="S15377" s="178"/>
    </row>
    <row r="15378" spans="18:19">
      <c r="R15378" s="178"/>
      <c r="S15378" s="178"/>
    </row>
    <row r="15379" spans="18:19">
      <c r="R15379" s="178"/>
      <c r="S15379" s="178"/>
    </row>
    <row r="15380" spans="18:19">
      <c r="R15380" s="178"/>
      <c r="S15380" s="178"/>
    </row>
    <row r="15381" spans="18:19">
      <c r="R15381" s="178"/>
      <c r="S15381" s="178"/>
    </row>
    <row r="15382" spans="18:19">
      <c r="R15382" s="178"/>
      <c r="S15382" s="178"/>
    </row>
    <row r="15383" spans="18:19">
      <c r="R15383" s="178"/>
      <c r="S15383" s="178"/>
    </row>
    <row r="15384" spans="18:19">
      <c r="R15384" s="178"/>
      <c r="S15384" s="178"/>
    </row>
    <row r="15385" spans="18:19">
      <c r="R15385" s="178"/>
      <c r="S15385" s="178"/>
    </row>
    <row r="15386" spans="18:19">
      <c r="R15386" s="178"/>
      <c r="S15386" s="178"/>
    </row>
    <row r="15387" spans="18:19">
      <c r="R15387" s="178"/>
      <c r="S15387" s="178"/>
    </row>
    <row r="15388" spans="18:19">
      <c r="R15388" s="178"/>
      <c r="S15388" s="178"/>
    </row>
    <row r="15389" spans="18:19">
      <c r="R15389" s="178"/>
      <c r="S15389" s="178"/>
    </row>
    <row r="15390" spans="18:19">
      <c r="R15390" s="178"/>
      <c r="S15390" s="178"/>
    </row>
    <row r="15391" spans="18:19">
      <c r="R15391" s="178"/>
      <c r="S15391" s="178"/>
    </row>
    <row r="15392" spans="18:19">
      <c r="R15392" s="178"/>
      <c r="S15392" s="178"/>
    </row>
    <row r="15393" spans="18:19">
      <c r="R15393" s="178"/>
      <c r="S15393" s="178"/>
    </row>
    <row r="15394" spans="18:19">
      <c r="R15394" s="178"/>
      <c r="S15394" s="178"/>
    </row>
    <row r="15395" spans="18:19">
      <c r="R15395" s="178"/>
      <c r="S15395" s="178"/>
    </row>
    <row r="15396" spans="18:19">
      <c r="R15396" s="178"/>
      <c r="S15396" s="178"/>
    </row>
    <row r="15397" spans="18:19">
      <c r="R15397" s="178"/>
      <c r="S15397" s="178"/>
    </row>
    <row r="15398" spans="18:19">
      <c r="R15398" s="178"/>
      <c r="S15398" s="178"/>
    </row>
    <row r="15399" spans="18:19">
      <c r="R15399" s="178"/>
      <c r="S15399" s="178"/>
    </row>
    <row r="15400" spans="18:19">
      <c r="R15400" s="178"/>
      <c r="S15400" s="178"/>
    </row>
    <row r="15401" spans="18:19">
      <c r="R15401" s="178"/>
      <c r="S15401" s="178"/>
    </row>
    <row r="15402" spans="18:19">
      <c r="R15402" s="178"/>
      <c r="S15402" s="178"/>
    </row>
    <row r="15403" spans="18:19">
      <c r="R15403" s="178"/>
      <c r="S15403" s="178"/>
    </row>
    <row r="15404" spans="18:19">
      <c r="R15404" s="178"/>
      <c r="S15404" s="178"/>
    </row>
    <row r="15405" spans="18:19">
      <c r="R15405" s="178"/>
      <c r="S15405" s="178"/>
    </row>
    <row r="15406" spans="18:19">
      <c r="R15406" s="178"/>
      <c r="S15406" s="178"/>
    </row>
    <row r="15407" spans="18:19">
      <c r="R15407" s="178"/>
      <c r="S15407" s="178"/>
    </row>
    <row r="15408" spans="18:19">
      <c r="R15408" s="178"/>
      <c r="S15408" s="178"/>
    </row>
    <row r="15409" spans="18:19">
      <c r="R15409" s="178"/>
      <c r="S15409" s="178"/>
    </row>
    <row r="15410" spans="18:19">
      <c r="R15410" s="178"/>
      <c r="S15410" s="178"/>
    </row>
    <row r="15411" spans="18:19">
      <c r="R15411" s="178"/>
      <c r="S15411" s="178"/>
    </row>
    <row r="15412" spans="18:19">
      <c r="R15412" s="178"/>
      <c r="S15412" s="178"/>
    </row>
    <row r="15413" spans="18:19">
      <c r="R15413" s="178"/>
      <c r="S15413" s="178"/>
    </row>
    <row r="15414" spans="18:19">
      <c r="R15414" s="178"/>
      <c r="S15414" s="178"/>
    </row>
    <row r="15415" spans="18:19">
      <c r="R15415" s="178"/>
      <c r="S15415" s="178"/>
    </row>
    <row r="15416" spans="18:19">
      <c r="R15416" s="178"/>
      <c r="S15416" s="178"/>
    </row>
    <row r="15417" spans="18:19">
      <c r="R15417" s="178"/>
      <c r="S15417" s="178"/>
    </row>
    <row r="15418" spans="18:19">
      <c r="R15418" s="178"/>
      <c r="S15418" s="178"/>
    </row>
    <row r="15419" spans="18:19">
      <c r="R15419" s="178"/>
      <c r="S15419" s="178"/>
    </row>
    <row r="15420" spans="18:19">
      <c r="R15420" s="178"/>
      <c r="S15420" s="178"/>
    </row>
    <row r="15421" spans="18:19">
      <c r="R15421" s="178"/>
      <c r="S15421" s="178"/>
    </row>
    <row r="15422" spans="18:19">
      <c r="R15422" s="178"/>
      <c r="S15422" s="178"/>
    </row>
    <row r="15423" spans="18:19">
      <c r="R15423" s="178"/>
      <c r="S15423" s="178"/>
    </row>
    <row r="15424" spans="18:19">
      <c r="R15424" s="178"/>
      <c r="S15424" s="178"/>
    </row>
    <row r="15425" spans="18:19">
      <c r="R15425" s="178"/>
      <c r="S15425" s="178"/>
    </row>
    <row r="15426" spans="18:19">
      <c r="R15426" s="178"/>
      <c r="S15426" s="178"/>
    </row>
    <row r="15427" spans="18:19">
      <c r="R15427" s="178"/>
      <c r="S15427" s="178"/>
    </row>
    <row r="15428" spans="18:19">
      <c r="R15428" s="178"/>
      <c r="S15428" s="178"/>
    </row>
    <row r="15429" spans="18:19">
      <c r="R15429" s="178"/>
      <c r="S15429" s="178"/>
    </row>
    <row r="15430" spans="18:19">
      <c r="R15430" s="178"/>
      <c r="S15430" s="178"/>
    </row>
    <row r="15431" spans="18:19">
      <c r="R15431" s="178"/>
      <c r="S15431" s="178"/>
    </row>
    <row r="15432" spans="18:19">
      <c r="R15432" s="178"/>
      <c r="S15432" s="178"/>
    </row>
    <row r="15433" spans="18:19">
      <c r="R15433" s="178"/>
      <c r="S15433" s="178"/>
    </row>
    <row r="15434" spans="18:19">
      <c r="R15434" s="178"/>
      <c r="S15434" s="178"/>
    </row>
    <row r="15435" spans="18:19">
      <c r="R15435" s="178"/>
      <c r="S15435" s="178"/>
    </row>
    <row r="15436" spans="18:19">
      <c r="R15436" s="178"/>
      <c r="S15436" s="178"/>
    </row>
    <row r="15437" spans="18:19">
      <c r="R15437" s="178"/>
      <c r="S15437" s="178"/>
    </row>
    <row r="15438" spans="18:19">
      <c r="R15438" s="178"/>
      <c r="S15438" s="178"/>
    </row>
    <row r="15439" spans="18:19">
      <c r="R15439" s="178"/>
      <c r="S15439" s="178"/>
    </row>
    <row r="15440" spans="18:19">
      <c r="R15440" s="178"/>
      <c r="S15440" s="178"/>
    </row>
    <row r="15441" spans="18:19">
      <c r="R15441" s="178"/>
      <c r="S15441" s="178"/>
    </row>
    <row r="15442" spans="18:19">
      <c r="R15442" s="178"/>
      <c r="S15442" s="178"/>
    </row>
    <row r="15443" spans="18:19">
      <c r="R15443" s="178"/>
      <c r="S15443" s="178"/>
    </row>
    <row r="15444" spans="18:19">
      <c r="R15444" s="178"/>
      <c r="S15444" s="178"/>
    </row>
    <row r="15445" spans="18:19">
      <c r="R15445" s="178"/>
      <c r="S15445" s="178"/>
    </row>
    <row r="15446" spans="18:19">
      <c r="R15446" s="178"/>
      <c r="S15446" s="178"/>
    </row>
    <row r="15447" spans="18:19">
      <c r="R15447" s="178"/>
      <c r="S15447" s="178"/>
    </row>
    <row r="15448" spans="18:19">
      <c r="R15448" s="178"/>
      <c r="S15448" s="178"/>
    </row>
    <row r="15449" spans="18:19">
      <c r="R15449" s="178"/>
      <c r="S15449" s="178"/>
    </row>
    <row r="15450" spans="18:19">
      <c r="R15450" s="178"/>
      <c r="S15450" s="178"/>
    </row>
    <row r="15451" spans="18:19">
      <c r="R15451" s="178"/>
      <c r="S15451" s="178"/>
    </row>
    <row r="15452" spans="18:19">
      <c r="R15452" s="178"/>
      <c r="S15452" s="178"/>
    </row>
    <row r="15453" spans="18:19">
      <c r="R15453" s="178"/>
      <c r="S15453" s="178"/>
    </row>
    <row r="15454" spans="18:19">
      <c r="R15454" s="178"/>
      <c r="S15454" s="178"/>
    </row>
    <row r="15455" spans="18:19">
      <c r="R15455" s="178"/>
      <c r="S15455" s="178"/>
    </row>
    <row r="15456" spans="18:19">
      <c r="R15456" s="178"/>
      <c r="S15456" s="178"/>
    </row>
    <row r="15457" spans="18:19">
      <c r="R15457" s="178"/>
      <c r="S15457" s="178"/>
    </row>
    <row r="15458" spans="18:19">
      <c r="R15458" s="178"/>
      <c r="S15458" s="178"/>
    </row>
    <row r="15459" spans="18:19">
      <c r="R15459" s="178"/>
      <c r="S15459" s="178"/>
    </row>
    <row r="15460" spans="18:19">
      <c r="R15460" s="178"/>
      <c r="S15460" s="178"/>
    </row>
    <row r="15461" spans="18:19">
      <c r="R15461" s="178"/>
      <c r="S15461" s="178"/>
    </row>
    <row r="15462" spans="18:19">
      <c r="R15462" s="178"/>
      <c r="S15462" s="178"/>
    </row>
    <row r="15463" spans="18:19">
      <c r="R15463" s="178"/>
      <c r="S15463" s="178"/>
    </row>
    <row r="15464" spans="18:19">
      <c r="R15464" s="178"/>
      <c r="S15464" s="178"/>
    </row>
    <row r="15465" spans="18:19">
      <c r="R15465" s="178"/>
      <c r="S15465" s="178"/>
    </row>
    <row r="15466" spans="18:19">
      <c r="R15466" s="178"/>
      <c r="S15466" s="178"/>
    </row>
    <row r="15467" spans="18:19">
      <c r="R15467" s="178"/>
      <c r="S15467" s="178"/>
    </row>
    <row r="15468" spans="18:19">
      <c r="R15468" s="178"/>
      <c r="S15468" s="178"/>
    </row>
    <row r="15469" spans="18:19">
      <c r="R15469" s="178"/>
      <c r="S15469" s="178"/>
    </row>
    <row r="15470" spans="18:19">
      <c r="R15470" s="178"/>
      <c r="S15470" s="178"/>
    </row>
    <row r="15471" spans="18:19">
      <c r="R15471" s="178"/>
      <c r="S15471" s="178"/>
    </row>
    <row r="15472" spans="18:19">
      <c r="R15472" s="178"/>
      <c r="S15472" s="178"/>
    </row>
    <row r="15473" spans="18:19">
      <c r="R15473" s="178"/>
      <c r="S15473" s="178"/>
    </row>
    <row r="15474" spans="18:19">
      <c r="R15474" s="178"/>
      <c r="S15474" s="178"/>
    </row>
    <row r="15475" spans="18:19">
      <c r="R15475" s="178"/>
      <c r="S15475" s="178"/>
    </row>
    <row r="15476" spans="18:19">
      <c r="R15476" s="178"/>
      <c r="S15476" s="178"/>
    </row>
    <row r="15477" spans="18:19">
      <c r="R15477" s="178"/>
      <c r="S15477" s="178"/>
    </row>
    <row r="15478" spans="18:19">
      <c r="R15478" s="178"/>
      <c r="S15478" s="178"/>
    </row>
    <row r="15479" spans="18:19">
      <c r="R15479" s="178"/>
      <c r="S15479" s="178"/>
    </row>
    <row r="15480" spans="18:19">
      <c r="R15480" s="178"/>
      <c r="S15480" s="178"/>
    </row>
    <row r="15481" spans="18:19">
      <c r="R15481" s="178"/>
      <c r="S15481" s="178"/>
    </row>
    <row r="15482" spans="18:19">
      <c r="R15482" s="178"/>
      <c r="S15482" s="178"/>
    </row>
    <row r="15483" spans="18:19">
      <c r="R15483" s="178"/>
      <c r="S15483" s="178"/>
    </row>
    <row r="15484" spans="18:19">
      <c r="R15484" s="178"/>
      <c r="S15484" s="178"/>
    </row>
    <row r="15485" spans="18:19">
      <c r="R15485" s="178"/>
      <c r="S15485" s="178"/>
    </row>
    <row r="15486" spans="18:19">
      <c r="R15486" s="178"/>
      <c r="S15486" s="178"/>
    </row>
    <row r="15487" spans="18:19">
      <c r="R15487" s="178"/>
      <c r="S15487" s="178"/>
    </row>
    <row r="15488" spans="18:19">
      <c r="R15488" s="178"/>
      <c r="S15488" s="178"/>
    </row>
    <row r="15489" spans="18:19">
      <c r="R15489" s="178"/>
      <c r="S15489" s="178"/>
    </row>
    <row r="15490" spans="18:19">
      <c r="R15490" s="178"/>
      <c r="S15490" s="178"/>
    </row>
    <row r="15491" spans="18:19">
      <c r="R15491" s="178"/>
      <c r="S15491" s="178"/>
    </row>
    <row r="15492" spans="18:19">
      <c r="R15492" s="178"/>
      <c r="S15492" s="178"/>
    </row>
    <row r="15493" spans="18:19">
      <c r="R15493" s="178"/>
      <c r="S15493" s="178"/>
    </row>
    <row r="15494" spans="18:19">
      <c r="R15494" s="178"/>
      <c r="S15494" s="178"/>
    </row>
    <row r="15495" spans="18:19">
      <c r="R15495" s="178"/>
      <c r="S15495" s="178"/>
    </row>
    <row r="15496" spans="18:19">
      <c r="R15496" s="178"/>
      <c r="S15496" s="178"/>
    </row>
    <row r="15497" spans="18:19">
      <c r="R15497" s="178"/>
      <c r="S15497" s="178"/>
    </row>
    <row r="15498" spans="18:19">
      <c r="R15498" s="178"/>
      <c r="S15498" s="178"/>
    </row>
    <row r="15499" spans="18:19">
      <c r="R15499" s="178"/>
      <c r="S15499" s="178"/>
    </row>
    <row r="15500" spans="18:19">
      <c r="R15500" s="178"/>
      <c r="S15500" s="178"/>
    </row>
    <row r="15501" spans="18:19">
      <c r="R15501" s="178"/>
      <c r="S15501" s="178"/>
    </row>
    <row r="15502" spans="18:19">
      <c r="R15502" s="178"/>
      <c r="S15502" s="178"/>
    </row>
    <row r="15503" spans="18:19">
      <c r="R15503" s="178"/>
      <c r="S15503" s="178"/>
    </row>
    <row r="15504" spans="18:19">
      <c r="R15504" s="178"/>
      <c r="S15504" s="178"/>
    </row>
    <row r="15505" spans="18:19">
      <c r="R15505" s="178"/>
      <c r="S15505" s="178"/>
    </row>
    <row r="15506" spans="18:19">
      <c r="R15506" s="178"/>
      <c r="S15506" s="178"/>
    </row>
    <row r="15507" spans="18:19">
      <c r="R15507" s="178"/>
      <c r="S15507" s="178"/>
    </row>
    <row r="15508" spans="18:19">
      <c r="R15508" s="178"/>
      <c r="S15508" s="178"/>
    </row>
    <row r="15509" spans="18:19">
      <c r="R15509" s="178"/>
      <c r="S15509" s="178"/>
    </row>
    <row r="15510" spans="18:19">
      <c r="R15510" s="178"/>
      <c r="S15510" s="178"/>
    </row>
    <row r="15511" spans="18:19">
      <c r="R15511" s="178"/>
      <c r="S15511" s="178"/>
    </row>
    <row r="15512" spans="18:19">
      <c r="R15512" s="178"/>
      <c r="S15512" s="178"/>
    </row>
    <row r="15513" spans="18:19">
      <c r="R15513" s="178"/>
      <c r="S15513" s="178"/>
    </row>
    <row r="15514" spans="18:19">
      <c r="R15514" s="178"/>
      <c r="S15514" s="178"/>
    </row>
    <row r="15515" spans="18:19">
      <c r="R15515" s="178"/>
      <c r="S15515" s="178"/>
    </row>
    <row r="15516" spans="18:19">
      <c r="R15516" s="178"/>
      <c r="S15516" s="178"/>
    </row>
    <row r="15517" spans="18:19">
      <c r="R15517" s="178"/>
      <c r="S15517" s="178"/>
    </row>
    <row r="15518" spans="18:19">
      <c r="R15518" s="178"/>
      <c r="S15518" s="178"/>
    </row>
    <row r="15519" spans="18:19">
      <c r="R15519" s="178"/>
      <c r="S15519" s="178"/>
    </row>
    <row r="15520" spans="18:19">
      <c r="R15520" s="178"/>
      <c r="S15520" s="178"/>
    </row>
    <row r="15521" spans="18:19">
      <c r="R15521" s="178"/>
      <c r="S15521" s="178"/>
    </row>
    <row r="15522" spans="18:19">
      <c r="R15522" s="178"/>
      <c r="S15522" s="178"/>
    </row>
    <row r="15523" spans="18:19">
      <c r="R15523" s="178"/>
      <c r="S15523" s="178"/>
    </row>
    <row r="15524" spans="18:19">
      <c r="R15524" s="178"/>
      <c r="S15524" s="178"/>
    </row>
    <row r="15525" spans="18:19">
      <c r="R15525" s="178"/>
      <c r="S15525" s="178"/>
    </row>
    <row r="15526" spans="18:19">
      <c r="R15526" s="178"/>
      <c r="S15526" s="178"/>
    </row>
    <row r="15527" spans="18:19">
      <c r="R15527" s="178"/>
      <c r="S15527" s="178"/>
    </row>
    <row r="15528" spans="18:19">
      <c r="R15528" s="178"/>
      <c r="S15528" s="178"/>
    </row>
    <row r="15529" spans="18:19">
      <c r="R15529" s="178"/>
      <c r="S15529" s="178"/>
    </row>
    <row r="15530" spans="18:19">
      <c r="R15530" s="178"/>
      <c r="S15530" s="178"/>
    </row>
    <row r="15531" spans="18:19">
      <c r="R15531" s="178"/>
      <c r="S15531" s="178"/>
    </row>
    <row r="15532" spans="18:19">
      <c r="R15532" s="178"/>
      <c r="S15532" s="178"/>
    </row>
    <row r="15533" spans="18:19">
      <c r="R15533" s="178"/>
      <c r="S15533" s="178"/>
    </row>
    <row r="15534" spans="18:19">
      <c r="R15534" s="178"/>
      <c r="S15534" s="178"/>
    </row>
    <row r="15535" spans="18:19">
      <c r="R15535" s="178"/>
      <c r="S15535" s="178"/>
    </row>
    <row r="15536" spans="18:19">
      <c r="R15536" s="178"/>
      <c r="S15536" s="178"/>
    </row>
    <row r="15537" spans="18:19">
      <c r="R15537" s="178"/>
      <c r="S15537" s="178"/>
    </row>
    <row r="15538" spans="18:19">
      <c r="R15538" s="178"/>
      <c r="S15538" s="178"/>
    </row>
    <row r="15539" spans="18:19">
      <c r="R15539" s="178"/>
      <c r="S15539" s="178"/>
    </row>
    <row r="15540" spans="18:19">
      <c r="R15540" s="178"/>
      <c r="S15540" s="178"/>
    </row>
    <row r="15541" spans="18:19">
      <c r="R15541" s="178"/>
      <c r="S15541" s="178"/>
    </row>
    <row r="15542" spans="18:19">
      <c r="R15542" s="178"/>
      <c r="S15542" s="178"/>
    </row>
    <row r="15543" spans="18:19">
      <c r="R15543" s="178"/>
      <c r="S15543" s="178"/>
    </row>
    <row r="15544" spans="18:19">
      <c r="R15544" s="178"/>
      <c r="S15544" s="178"/>
    </row>
    <row r="15545" spans="18:19">
      <c r="R15545" s="178"/>
      <c r="S15545" s="178"/>
    </row>
    <row r="15546" spans="18:19">
      <c r="R15546" s="178"/>
      <c r="S15546" s="178"/>
    </row>
    <row r="15547" spans="18:19">
      <c r="R15547" s="178"/>
      <c r="S15547" s="178"/>
    </row>
    <row r="15548" spans="18:19">
      <c r="R15548" s="178"/>
      <c r="S15548" s="178"/>
    </row>
    <row r="15549" spans="18:19">
      <c r="R15549" s="178"/>
      <c r="S15549" s="178"/>
    </row>
    <row r="15550" spans="18:19">
      <c r="R15550" s="178"/>
      <c r="S15550" s="178"/>
    </row>
    <row r="15551" spans="18:19">
      <c r="R15551" s="178"/>
      <c r="S15551" s="178"/>
    </row>
    <row r="15552" spans="18:19">
      <c r="R15552" s="178"/>
      <c r="S15552" s="178"/>
    </row>
    <row r="15553" spans="18:19">
      <c r="R15553" s="178"/>
      <c r="S15553" s="178"/>
    </row>
    <row r="15554" spans="18:19">
      <c r="R15554" s="178"/>
      <c r="S15554" s="178"/>
    </row>
    <row r="15555" spans="18:19">
      <c r="R15555" s="178"/>
      <c r="S15555" s="178"/>
    </row>
    <row r="15556" spans="18:19">
      <c r="R15556" s="178"/>
      <c r="S15556" s="178"/>
    </row>
    <row r="15557" spans="18:19">
      <c r="R15557" s="178"/>
      <c r="S15557" s="178"/>
    </row>
    <row r="15558" spans="18:19">
      <c r="R15558" s="178"/>
      <c r="S15558" s="178"/>
    </row>
    <row r="15559" spans="18:19">
      <c r="R15559" s="178"/>
      <c r="S15559" s="178"/>
    </row>
    <row r="15560" spans="18:19">
      <c r="R15560" s="178"/>
      <c r="S15560" s="178"/>
    </row>
    <row r="15561" spans="18:19">
      <c r="R15561" s="178"/>
      <c r="S15561" s="178"/>
    </row>
    <row r="15562" spans="18:19">
      <c r="R15562" s="178"/>
      <c r="S15562" s="178"/>
    </row>
    <row r="15563" spans="18:19">
      <c r="R15563" s="178"/>
      <c r="S15563" s="178"/>
    </row>
    <row r="15564" spans="18:19">
      <c r="R15564" s="178"/>
      <c r="S15564" s="178"/>
    </row>
    <row r="15565" spans="18:19">
      <c r="R15565" s="178"/>
      <c r="S15565" s="178"/>
    </row>
    <row r="15566" spans="18:19">
      <c r="R15566" s="178"/>
      <c r="S15566" s="178"/>
    </row>
    <row r="15567" spans="18:19">
      <c r="R15567" s="178"/>
      <c r="S15567" s="178"/>
    </row>
    <row r="15568" spans="18:19">
      <c r="R15568" s="178"/>
      <c r="S15568" s="178"/>
    </row>
    <row r="15569" spans="18:19">
      <c r="R15569" s="178"/>
      <c r="S15569" s="178"/>
    </row>
    <row r="15570" spans="18:19">
      <c r="R15570" s="178"/>
      <c r="S15570" s="178"/>
    </row>
    <row r="15571" spans="18:19">
      <c r="R15571" s="178"/>
      <c r="S15571" s="178"/>
    </row>
    <row r="15572" spans="18:19">
      <c r="R15572" s="178"/>
      <c r="S15572" s="178"/>
    </row>
    <row r="15573" spans="18:19">
      <c r="R15573" s="178"/>
      <c r="S15573" s="178"/>
    </row>
    <row r="15574" spans="18:19">
      <c r="R15574" s="178"/>
      <c r="S15574" s="178"/>
    </row>
    <row r="15575" spans="18:19">
      <c r="R15575" s="178"/>
      <c r="S15575" s="178"/>
    </row>
    <row r="15576" spans="18:19">
      <c r="R15576" s="178"/>
      <c r="S15576" s="178"/>
    </row>
    <row r="15577" spans="18:19">
      <c r="R15577" s="178"/>
      <c r="S15577" s="178"/>
    </row>
    <row r="15578" spans="18:19">
      <c r="R15578" s="178"/>
      <c r="S15578" s="178"/>
    </row>
    <row r="15579" spans="18:19">
      <c r="R15579" s="178"/>
      <c r="S15579" s="178"/>
    </row>
    <row r="15580" spans="18:19">
      <c r="R15580" s="178"/>
      <c r="S15580" s="178"/>
    </row>
    <row r="15581" spans="18:19">
      <c r="R15581" s="178"/>
      <c r="S15581" s="178"/>
    </row>
    <row r="15582" spans="18:19">
      <c r="R15582" s="178"/>
      <c r="S15582" s="178"/>
    </row>
    <row r="15583" spans="18:19">
      <c r="R15583" s="178"/>
      <c r="S15583" s="178"/>
    </row>
    <row r="15584" spans="18:19">
      <c r="R15584" s="178"/>
      <c r="S15584" s="178"/>
    </row>
    <row r="15585" spans="18:19">
      <c r="R15585" s="178"/>
      <c r="S15585" s="178"/>
    </row>
    <row r="15586" spans="18:19">
      <c r="R15586" s="178"/>
      <c r="S15586" s="178"/>
    </row>
    <row r="15587" spans="18:19">
      <c r="R15587" s="178"/>
      <c r="S15587" s="178"/>
    </row>
    <row r="15588" spans="18:19">
      <c r="R15588" s="178"/>
      <c r="S15588" s="178"/>
    </row>
    <row r="15589" spans="18:19">
      <c r="R15589" s="178"/>
      <c r="S15589" s="178"/>
    </row>
    <row r="15590" spans="18:19">
      <c r="R15590" s="178"/>
      <c r="S15590" s="178"/>
    </row>
    <row r="15591" spans="18:19">
      <c r="R15591" s="178"/>
      <c r="S15591" s="178"/>
    </row>
    <row r="15592" spans="18:19">
      <c r="R15592" s="178"/>
      <c r="S15592" s="178"/>
    </row>
    <row r="15593" spans="18:19">
      <c r="R15593" s="178"/>
      <c r="S15593" s="178"/>
    </row>
    <row r="15594" spans="18:19">
      <c r="R15594" s="178"/>
      <c r="S15594" s="178"/>
    </row>
    <row r="15595" spans="18:19">
      <c r="R15595" s="178"/>
      <c r="S15595" s="178"/>
    </row>
    <row r="15596" spans="18:19">
      <c r="R15596" s="178"/>
      <c r="S15596" s="178"/>
    </row>
    <row r="15597" spans="18:19">
      <c r="R15597" s="178"/>
      <c r="S15597" s="178"/>
    </row>
    <row r="15598" spans="18:19">
      <c r="R15598" s="178"/>
      <c r="S15598" s="178"/>
    </row>
    <row r="15599" spans="18:19">
      <c r="R15599" s="178"/>
      <c r="S15599" s="178"/>
    </row>
    <row r="15600" spans="18:19">
      <c r="R15600" s="178"/>
      <c r="S15600" s="178"/>
    </row>
    <row r="15601" spans="18:19">
      <c r="R15601" s="178"/>
      <c r="S15601" s="178"/>
    </row>
    <row r="15602" spans="18:19">
      <c r="R15602" s="178"/>
      <c r="S15602" s="178"/>
    </row>
    <row r="15603" spans="18:19">
      <c r="R15603" s="178"/>
      <c r="S15603" s="178"/>
    </row>
    <row r="15604" spans="18:19">
      <c r="R15604" s="178"/>
      <c r="S15604" s="178"/>
    </row>
    <row r="15605" spans="18:19">
      <c r="R15605" s="178"/>
      <c r="S15605" s="178"/>
    </row>
    <row r="15606" spans="18:19">
      <c r="R15606" s="178"/>
      <c r="S15606" s="178"/>
    </row>
    <row r="15607" spans="18:19">
      <c r="R15607" s="178"/>
      <c r="S15607" s="178"/>
    </row>
    <row r="15608" spans="18:19">
      <c r="R15608" s="178"/>
      <c r="S15608" s="178"/>
    </row>
    <row r="15609" spans="18:19">
      <c r="R15609" s="178"/>
      <c r="S15609" s="178"/>
    </row>
    <row r="15610" spans="18:19">
      <c r="R15610" s="178"/>
      <c r="S15610" s="178"/>
    </row>
    <row r="15611" spans="18:19">
      <c r="R15611" s="178"/>
      <c r="S15611" s="178"/>
    </row>
    <row r="15612" spans="18:19">
      <c r="R15612" s="178"/>
      <c r="S15612" s="178"/>
    </row>
    <row r="15613" spans="18:19">
      <c r="R15613" s="178"/>
      <c r="S15613" s="178"/>
    </row>
    <row r="15614" spans="18:19">
      <c r="R15614" s="178"/>
      <c r="S15614" s="178"/>
    </row>
    <row r="15615" spans="18:19">
      <c r="R15615" s="178"/>
      <c r="S15615" s="178"/>
    </row>
    <row r="15616" spans="18:19">
      <c r="R15616" s="178"/>
      <c r="S15616" s="178"/>
    </row>
    <row r="15617" spans="18:19">
      <c r="R15617" s="178"/>
      <c r="S15617" s="178"/>
    </row>
    <row r="15618" spans="18:19">
      <c r="R15618" s="178"/>
      <c r="S15618" s="178"/>
    </row>
    <row r="15619" spans="18:19">
      <c r="R15619" s="178"/>
      <c r="S15619" s="178"/>
    </row>
    <row r="15620" spans="18:19">
      <c r="R15620" s="178"/>
      <c r="S15620" s="178"/>
    </row>
    <row r="15621" spans="18:19">
      <c r="R15621" s="178"/>
      <c r="S15621" s="178"/>
    </row>
    <row r="15622" spans="18:19">
      <c r="R15622" s="178"/>
      <c r="S15622" s="178"/>
    </row>
    <row r="15623" spans="18:19">
      <c r="R15623" s="178"/>
      <c r="S15623" s="178"/>
    </row>
    <row r="15624" spans="18:19">
      <c r="R15624" s="178"/>
      <c r="S15624" s="178"/>
    </row>
    <row r="15625" spans="18:19">
      <c r="R15625" s="178"/>
      <c r="S15625" s="178"/>
    </row>
    <row r="15626" spans="18:19">
      <c r="R15626" s="178"/>
      <c r="S15626" s="178"/>
    </row>
    <row r="15627" spans="18:19">
      <c r="R15627" s="178"/>
      <c r="S15627" s="178"/>
    </row>
    <row r="15628" spans="18:19">
      <c r="R15628" s="178"/>
      <c r="S15628" s="178"/>
    </row>
    <row r="15629" spans="18:19">
      <c r="R15629" s="178"/>
      <c r="S15629" s="178"/>
    </row>
    <row r="15630" spans="18:19">
      <c r="R15630" s="178"/>
      <c r="S15630" s="178"/>
    </row>
    <row r="15631" spans="18:19">
      <c r="R15631" s="178"/>
      <c r="S15631" s="178"/>
    </row>
    <row r="15632" spans="18:19">
      <c r="R15632" s="178"/>
      <c r="S15632" s="178"/>
    </row>
    <row r="15633" spans="18:19">
      <c r="R15633" s="178"/>
      <c r="S15633" s="178"/>
    </row>
    <row r="15634" spans="18:19">
      <c r="R15634" s="178"/>
      <c r="S15634" s="178"/>
    </row>
    <row r="15635" spans="18:19">
      <c r="R15635" s="178"/>
      <c r="S15635" s="178"/>
    </row>
    <row r="15636" spans="18:19">
      <c r="R15636" s="178"/>
      <c r="S15636" s="178"/>
    </row>
    <row r="15637" spans="18:19">
      <c r="R15637" s="178"/>
      <c r="S15637" s="178"/>
    </row>
    <row r="15638" spans="18:19">
      <c r="R15638" s="178"/>
      <c r="S15638" s="178"/>
    </row>
    <row r="15639" spans="18:19">
      <c r="R15639" s="178"/>
      <c r="S15639" s="178"/>
    </row>
    <row r="15640" spans="18:19">
      <c r="R15640" s="178"/>
      <c r="S15640" s="178"/>
    </row>
    <row r="15641" spans="18:19">
      <c r="R15641" s="178"/>
      <c r="S15641" s="178"/>
    </row>
    <row r="15642" spans="18:19">
      <c r="R15642" s="178"/>
      <c r="S15642" s="178"/>
    </row>
    <row r="15643" spans="18:19">
      <c r="R15643" s="178"/>
      <c r="S15643" s="178"/>
    </row>
    <row r="15644" spans="18:19">
      <c r="R15644" s="178"/>
      <c r="S15644" s="178"/>
    </row>
    <row r="15645" spans="18:19">
      <c r="R15645" s="178"/>
      <c r="S15645" s="178"/>
    </row>
    <row r="15646" spans="18:19">
      <c r="R15646" s="178"/>
      <c r="S15646" s="178"/>
    </row>
    <row r="15647" spans="18:19">
      <c r="R15647" s="178"/>
      <c r="S15647" s="178"/>
    </row>
    <row r="15648" spans="18:19">
      <c r="R15648" s="178"/>
      <c r="S15648" s="178"/>
    </row>
    <row r="15649" spans="18:19">
      <c r="R15649" s="178"/>
      <c r="S15649" s="178"/>
    </row>
    <row r="15650" spans="18:19">
      <c r="R15650" s="178"/>
      <c r="S15650" s="178"/>
    </row>
    <row r="15651" spans="18:19">
      <c r="R15651" s="178"/>
      <c r="S15651" s="178"/>
    </row>
    <row r="15652" spans="18:19">
      <c r="R15652" s="178"/>
      <c r="S15652" s="178"/>
    </row>
    <row r="15653" spans="18:19">
      <c r="R15653" s="178"/>
      <c r="S15653" s="178"/>
    </row>
    <row r="15654" spans="18:19">
      <c r="R15654" s="178"/>
      <c r="S15654" s="178"/>
    </row>
    <row r="15655" spans="18:19">
      <c r="R15655" s="178"/>
      <c r="S15655" s="178"/>
    </row>
    <row r="15656" spans="18:19">
      <c r="R15656" s="178"/>
      <c r="S15656" s="178"/>
    </row>
    <row r="15657" spans="18:19">
      <c r="R15657" s="178"/>
      <c r="S15657" s="178"/>
    </row>
    <row r="15658" spans="18:19">
      <c r="R15658" s="178"/>
      <c r="S15658" s="178"/>
    </row>
    <row r="15659" spans="18:19">
      <c r="R15659" s="178"/>
      <c r="S15659" s="178"/>
    </row>
    <row r="15660" spans="18:19">
      <c r="R15660" s="178"/>
      <c r="S15660" s="178"/>
    </row>
    <row r="15661" spans="18:19">
      <c r="R15661" s="178"/>
      <c r="S15661" s="178"/>
    </row>
    <row r="15662" spans="18:19">
      <c r="R15662" s="178"/>
      <c r="S15662" s="178"/>
    </row>
    <row r="15663" spans="18:19">
      <c r="R15663" s="178"/>
      <c r="S15663" s="178"/>
    </row>
    <row r="15664" spans="18:19">
      <c r="R15664" s="178"/>
      <c r="S15664" s="178"/>
    </row>
    <row r="15665" spans="18:19">
      <c r="R15665" s="178"/>
      <c r="S15665" s="178"/>
    </row>
    <row r="15666" spans="18:19">
      <c r="R15666" s="178"/>
      <c r="S15666" s="178"/>
    </row>
    <row r="15667" spans="18:19">
      <c r="R15667" s="178"/>
      <c r="S15667" s="178"/>
    </row>
    <row r="15668" spans="18:19">
      <c r="R15668" s="178"/>
      <c r="S15668" s="178"/>
    </row>
    <row r="15669" spans="18:19">
      <c r="R15669" s="178"/>
      <c r="S15669" s="178"/>
    </row>
    <row r="15670" spans="18:19">
      <c r="R15670" s="178"/>
      <c r="S15670" s="178"/>
    </row>
    <row r="15671" spans="18:19">
      <c r="R15671" s="178"/>
      <c r="S15671" s="178"/>
    </row>
    <row r="15672" spans="18:19">
      <c r="R15672" s="178"/>
      <c r="S15672" s="178"/>
    </row>
    <row r="15673" spans="18:19">
      <c r="R15673" s="178"/>
      <c r="S15673" s="178"/>
    </row>
    <row r="15674" spans="18:19">
      <c r="R15674" s="178"/>
      <c r="S15674" s="178"/>
    </row>
    <row r="15675" spans="18:19">
      <c r="R15675" s="178"/>
      <c r="S15675" s="178"/>
    </row>
    <row r="15676" spans="18:19">
      <c r="R15676" s="178"/>
      <c r="S15676" s="178"/>
    </row>
    <row r="15677" spans="18:19">
      <c r="R15677" s="178"/>
      <c r="S15677" s="178"/>
    </row>
    <row r="15678" spans="18:19">
      <c r="R15678" s="178"/>
      <c r="S15678" s="178"/>
    </row>
    <row r="15679" spans="18:19">
      <c r="R15679" s="178"/>
      <c r="S15679" s="178"/>
    </row>
    <row r="15680" spans="18:19">
      <c r="R15680" s="178"/>
      <c r="S15680" s="178"/>
    </row>
    <row r="15681" spans="18:19">
      <c r="R15681" s="178"/>
      <c r="S15681" s="178"/>
    </row>
    <row r="15682" spans="18:19">
      <c r="R15682" s="178"/>
      <c r="S15682" s="178"/>
    </row>
    <row r="15683" spans="18:19">
      <c r="R15683" s="178"/>
      <c r="S15683" s="178"/>
    </row>
    <row r="15684" spans="18:19">
      <c r="R15684" s="178"/>
      <c r="S15684" s="178"/>
    </row>
    <row r="15685" spans="18:19">
      <c r="R15685" s="178"/>
      <c r="S15685" s="178"/>
    </row>
    <row r="15686" spans="18:19">
      <c r="R15686" s="178"/>
      <c r="S15686" s="178"/>
    </row>
    <row r="15687" spans="18:19">
      <c r="R15687" s="178"/>
      <c r="S15687" s="178"/>
    </row>
    <row r="15688" spans="18:19">
      <c r="R15688" s="178"/>
      <c r="S15688" s="178"/>
    </row>
    <row r="15689" spans="18:19">
      <c r="R15689" s="178"/>
      <c r="S15689" s="178"/>
    </row>
    <row r="15690" spans="18:19">
      <c r="R15690" s="178"/>
      <c r="S15690" s="178"/>
    </row>
    <row r="15691" spans="18:19">
      <c r="R15691" s="178"/>
      <c r="S15691" s="178"/>
    </row>
    <row r="15692" spans="18:19">
      <c r="R15692" s="178"/>
      <c r="S15692" s="178"/>
    </row>
    <row r="15693" spans="18:19">
      <c r="R15693" s="178"/>
      <c r="S15693" s="178"/>
    </row>
    <row r="15694" spans="18:19">
      <c r="R15694" s="178"/>
      <c r="S15694" s="178"/>
    </row>
    <row r="15695" spans="18:19">
      <c r="R15695" s="178"/>
      <c r="S15695" s="178"/>
    </row>
    <row r="15696" spans="18:19">
      <c r="R15696" s="178"/>
      <c r="S15696" s="178"/>
    </row>
    <row r="15697" spans="18:19">
      <c r="R15697" s="178"/>
      <c r="S15697" s="178"/>
    </row>
    <row r="15698" spans="18:19">
      <c r="R15698" s="178"/>
      <c r="S15698" s="178"/>
    </row>
    <row r="15699" spans="18:19">
      <c r="R15699" s="178"/>
      <c r="S15699" s="178"/>
    </row>
    <row r="15700" spans="18:19">
      <c r="R15700" s="178"/>
      <c r="S15700" s="178"/>
    </row>
    <row r="15701" spans="18:19">
      <c r="R15701" s="178"/>
      <c r="S15701" s="178"/>
    </row>
    <row r="15702" spans="18:19">
      <c r="R15702" s="178"/>
      <c r="S15702" s="178"/>
    </row>
    <row r="15703" spans="18:19">
      <c r="R15703" s="178"/>
      <c r="S15703" s="178"/>
    </row>
    <row r="15704" spans="18:19">
      <c r="R15704" s="178"/>
      <c r="S15704" s="178"/>
    </row>
    <row r="15705" spans="18:19">
      <c r="R15705" s="178"/>
      <c r="S15705" s="178"/>
    </row>
    <row r="15706" spans="18:19">
      <c r="R15706" s="178"/>
      <c r="S15706" s="178"/>
    </row>
    <row r="15707" spans="18:19">
      <c r="R15707" s="178"/>
      <c r="S15707" s="178"/>
    </row>
    <row r="15708" spans="18:19">
      <c r="R15708" s="178"/>
      <c r="S15708" s="178"/>
    </row>
    <row r="15709" spans="18:19">
      <c r="R15709" s="178"/>
      <c r="S15709" s="178"/>
    </row>
    <row r="15710" spans="18:19">
      <c r="R15710" s="178"/>
      <c r="S15710" s="178"/>
    </row>
    <row r="15711" spans="18:19">
      <c r="R15711" s="178"/>
      <c r="S15711" s="178"/>
    </row>
    <row r="15712" spans="18:19">
      <c r="R15712" s="178"/>
      <c r="S15712" s="178"/>
    </row>
    <row r="15713" spans="18:19">
      <c r="R15713" s="178"/>
      <c r="S15713" s="178"/>
    </row>
    <row r="15714" spans="18:19">
      <c r="R15714" s="178"/>
      <c r="S15714" s="178"/>
    </row>
    <row r="15715" spans="18:19">
      <c r="R15715" s="178"/>
      <c r="S15715" s="178"/>
    </row>
    <row r="15716" spans="18:19">
      <c r="R15716" s="178"/>
      <c r="S15716" s="178"/>
    </row>
    <row r="15717" spans="18:19">
      <c r="R15717" s="178"/>
      <c r="S15717" s="178"/>
    </row>
    <row r="15718" spans="18:19">
      <c r="R15718" s="178"/>
      <c r="S15718" s="178"/>
    </row>
    <row r="15719" spans="18:19">
      <c r="R15719" s="178"/>
      <c r="S15719" s="178"/>
    </row>
    <row r="15720" spans="18:19">
      <c r="R15720" s="178"/>
      <c r="S15720" s="178"/>
    </row>
    <row r="15721" spans="18:19">
      <c r="R15721" s="178"/>
      <c r="S15721" s="178"/>
    </row>
    <row r="15722" spans="18:19">
      <c r="R15722" s="178"/>
      <c r="S15722" s="178"/>
    </row>
    <row r="15723" spans="18:19">
      <c r="R15723" s="178"/>
      <c r="S15723" s="178"/>
    </row>
    <row r="15724" spans="18:19">
      <c r="R15724" s="178"/>
      <c r="S15724" s="178"/>
    </row>
    <row r="15725" spans="18:19">
      <c r="R15725" s="178"/>
      <c r="S15725" s="178"/>
    </row>
    <row r="15726" spans="18:19">
      <c r="R15726" s="178"/>
      <c r="S15726" s="178"/>
    </row>
    <row r="15727" spans="18:19">
      <c r="R15727" s="178"/>
      <c r="S15727" s="178"/>
    </row>
    <row r="15728" spans="18:19">
      <c r="R15728" s="178"/>
      <c r="S15728" s="178"/>
    </row>
    <row r="15729" spans="18:19">
      <c r="R15729" s="178"/>
      <c r="S15729" s="178"/>
    </row>
    <row r="15730" spans="18:19">
      <c r="R15730" s="178"/>
      <c r="S15730" s="178"/>
    </row>
    <row r="15731" spans="18:19">
      <c r="R15731" s="178"/>
      <c r="S15731" s="178"/>
    </row>
    <row r="15732" spans="18:19">
      <c r="R15732" s="178"/>
      <c r="S15732" s="178"/>
    </row>
    <row r="15733" spans="18:19">
      <c r="R15733" s="178"/>
      <c r="S15733" s="178"/>
    </row>
    <row r="15734" spans="18:19">
      <c r="R15734" s="178"/>
      <c r="S15734" s="178"/>
    </row>
    <row r="15735" spans="18:19">
      <c r="R15735" s="178"/>
      <c r="S15735" s="178"/>
    </row>
    <row r="15736" spans="18:19">
      <c r="R15736" s="178"/>
      <c r="S15736" s="178"/>
    </row>
    <row r="15737" spans="18:19">
      <c r="R15737" s="178"/>
      <c r="S15737" s="178"/>
    </row>
    <row r="15738" spans="18:19">
      <c r="R15738" s="178"/>
      <c r="S15738" s="178"/>
    </row>
    <row r="15739" spans="18:19">
      <c r="R15739" s="178"/>
      <c r="S15739" s="178"/>
    </row>
    <row r="15740" spans="18:19">
      <c r="R15740" s="178"/>
      <c r="S15740" s="178"/>
    </row>
    <row r="15741" spans="18:19">
      <c r="R15741" s="178"/>
      <c r="S15741" s="178"/>
    </row>
    <row r="15742" spans="18:19">
      <c r="R15742" s="178"/>
      <c r="S15742" s="178"/>
    </row>
    <row r="15743" spans="18:19">
      <c r="R15743" s="178"/>
      <c r="S15743" s="178"/>
    </row>
    <row r="15744" spans="18:19">
      <c r="R15744" s="178"/>
      <c r="S15744" s="178"/>
    </row>
    <row r="15745" spans="18:19">
      <c r="R15745" s="178"/>
      <c r="S15745" s="178"/>
    </row>
    <row r="15746" spans="18:19">
      <c r="R15746" s="178"/>
      <c r="S15746" s="178"/>
    </row>
    <row r="15747" spans="18:19">
      <c r="R15747" s="178"/>
      <c r="S15747" s="178"/>
    </row>
    <row r="15748" spans="18:19">
      <c r="R15748" s="178"/>
      <c r="S15748" s="178"/>
    </row>
    <row r="15749" spans="18:19">
      <c r="R15749" s="178"/>
      <c r="S15749" s="178"/>
    </row>
    <row r="15750" spans="18:19">
      <c r="R15750" s="178"/>
      <c r="S15750" s="178"/>
    </row>
    <row r="15751" spans="18:19">
      <c r="R15751" s="178"/>
      <c r="S15751" s="178"/>
    </row>
    <row r="15752" spans="18:19">
      <c r="R15752" s="178"/>
      <c r="S15752" s="178"/>
    </row>
    <row r="15753" spans="18:19">
      <c r="R15753" s="178"/>
      <c r="S15753" s="178"/>
    </row>
    <row r="15754" spans="18:19">
      <c r="R15754" s="178"/>
      <c r="S15754" s="178"/>
    </row>
    <row r="15755" spans="18:19">
      <c r="R15755" s="178"/>
      <c r="S15755" s="178"/>
    </row>
    <row r="15756" spans="18:19">
      <c r="R15756" s="178"/>
      <c r="S15756" s="178"/>
    </row>
    <row r="15757" spans="18:19">
      <c r="R15757" s="178"/>
      <c r="S15757" s="178"/>
    </row>
    <row r="15758" spans="18:19">
      <c r="R15758" s="178"/>
      <c r="S15758" s="178"/>
    </row>
    <row r="15759" spans="18:19">
      <c r="R15759" s="178"/>
      <c r="S15759" s="178"/>
    </row>
    <row r="15760" spans="18:19">
      <c r="R15760" s="178"/>
      <c r="S15760" s="178"/>
    </row>
    <row r="15761" spans="18:19">
      <c r="R15761" s="178"/>
      <c r="S15761" s="178"/>
    </row>
    <row r="15762" spans="18:19">
      <c r="R15762" s="178"/>
      <c r="S15762" s="178"/>
    </row>
    <row r="15763" spans="18:19">
      <c r="R15763" s="178"/>
      <c r="S15763" s="178"/>
    </row>
    <row r="15764" spans="18:19">
      <c r="R15764" s="178"/>
      <c r="S15764" s="178"/>
    </row>
    <row r="15765" spans="18:19">
      <c r="R15765" s="178"/>
      <c r="S15765" s="178"/>
    </row>
    <row r="15766" spans="18:19">
      <c r="R15766" s="178"/>
      <c r="S15766" s="178"/>
    </row>
    <row r="15767" spans="18:19">
      <c r="R15767" s="178"/>
      <c r="S15767" s="178"/>
    </row>
    <row r="15768" spans="18:19">
      <c r="R15768" s="178"/>
      <c r="S15768" s="178"/>
    </row>
    <row r="15769" spans="18:19">
      <c r="R15769" s="178"/>
      <c r="S15769" s="178"/>
    </row>
    <row r="15770" spans="18:19">
      <c r="R15770" s="178"/>
      <c r="S15770" s="178"/>
    </row>
    <row r="15771" spans="18:19">
      <c r="R15771" s="178"/>
      <c r="S15771" s="178"/>
    </row>
    <row r="15772" spans="18:19">
      <c r="R15772" s="178"/>
      <c r="S15772" s="178"/>
    </row>
    <row r="15773" spans="18:19">
      <c r="R15773" s="178"/>
      <c r="S15773" s="178"/>
    </row>
    <row r="15774" spans="18:19">
      <c r="R15774" s="178"/>
      <c r="S15774" s="178"/>
    </row>
    <row r="15775" spans="18:19">
      <c r="R15775" s="178"/>
      <c r="S15775" s="178"/>
    </row>
    <row r="15776" spans="18:19">
      <c r="R15776" s="178"/>
      <c r="S15776" s="178"/>
    </row>
    <row r="15777" spans="18:19">
      <c r="R15777" s="178"/>
      <c r="S15777" s="178"/>
    </row>
    <row r="15778" spans="18:19">
      <c r="R15778" s="178"/>
      <c r="S15778" s="178"/>
    </row>
    <row r="15779" spans="18:19">
      <c r="R15779" s="178"/>
      <c r="S15779" s="178"/>
    </row>
    <row r="15780" spans="18:19">
      <c r="R15780" s="178"/>
      <c r="S15780" s="178"/>
    </row>
    <row r="15781" spans="18:19">
      <c r="R15781" s="178"/>
      <c r="S15781" s="178"/>
    </row>
    <row r="15782" spans="18:19">
      <c r="R15782" s="178"/>
      <c r="S15782" s="178"/>
    </row>
    <row r="15783" spans="18:19">
      <c r="R15783" s="178"/>
      <c r="S15783" s="178"/>
    </row>
    <row r="15784" spans="18:19">
      <c r="R15784" s="178"/>
      <c r="S15784" s="178"/>
    </row>
    <row r="15785" spans="18:19">
      <c r="R15785" s="178"/>
      <c r="S15785" s="178"/>
    </row>
    <row r="15786" spans="18:19">
      <c r="R15786" s="178"/>
      <c r="S15786" s="178"/>
    </row>
    <row r="15787" spans="18:19">
      <c r="R15787" s="178"/>
      <c r="S15787" s="178"/>
    </row>
    <row r="15788" spans="18:19">
      <c r="R15788" s="178"/>
      <c r="S15788" s="178"/>
    </row>
    <row r="15789" spans="18:19">
      <c r="R15789" s="178"/>
      <c r="S15789" s="178"/>
    </row>
    <row r="15790" spans="18:19">
      <c r="R15790" s="178"/>
      <c r="S15790" s="178"/>
    </row>
    <row r="15791" spans="18:19">
      <c r="R15791" s="178"/>
      <c r="S15791" s="178"/>
    </row>
    <row r="15792" spans="18:19">
      <c r="R15792" s="178"/>
      <c r="S15792" s="178"/>
    </row>
    <row r="15793" spans="18:19">
      <c r="R15793" s="178"/>
      <c r="S15793" s="178"/>
    </row>
    <row r="15794" spans="18:19">
      <c r="R15794" s="178"/>
      <c r="S15794" s="178"/>
    </row>
    <row r="15795" spans="18:19">
      <c r="R15795" s="178"/>
      <c r="S15795" s="178"/>
    </row>
    <row r="15796" spans="18:19">
      <c r="R15796" s="178"/>
      <c r="S15796" s="178"/>
    </row>
    <row r="15797" spans="18:19">
      <c r="R15797" s="178"/>
      <c r="S15797" s="178"/>
    </row>
    <row r="15798" spans="18:19">
      <c r="R15798" s="178"/>
      <c r="S15798" s="178"/>
    </row>
    <row r="15799" spans="18:19">
      <c r="R15799" s="178"/>
      <c r="S15799" s="178"/>
    </row>
    <row r="15800" spans="18:19">
      <c r="R15800" s="178"/>
      <c r="S15800" s="178"/>
    </row>
    <row r="15801" spans="18:19">
      <c r="R15801" s="178"/>
      <c r="S15801" s="178"/>
    </row>
    <row r="15802" spans="18:19">
      <c r="R15802" s="178"/>
      <c r="S15802" s="178"/>
    </row>
    <row r="15803" spans="18:19">
      <c r="R15803" s="178"/>
      <c r="S15803" s="178"/>
    </row>
    <row r="15804" spans="18:19">
      <c r="R15804" s="178"/>
      <c r="S15804" s="178"/>
    </row>
    <row r="15805" spans="18:19">
      <c r="R15805" s="178"/>
      <c r="S15805" s="178"/>
    </row>
    <row r="15806" spans="18:19">
      <c r="R15806" s="178"/>
      <c r="S15806" s="178"/>
    </row>
    <row r="15807" spans="18:19">
      <c r="R15807" s="178"/>
      <c r="S15807" s="178"/>
    </row>
    <row r="15808" spans="18:19">
      <c r="R15808" s="178"/>
      <c r="S15808" s="178"/>
    </row>
    <row r="15809" spans="18:19">
      <c r="R15809" s="178"/>
      <c r="S15809" s="178"/>
    </row>
    <row r="15810" spans="18:19">
      <c r="R15810" s="178"/>
      <c r="S15810" s="178"/>
    </row>
    <row r="15811" spans="18:19">
      <c r="R15811" s="178"/>
      <c r="S15811" s="178"/>
    </row>
    <row r="15812" spans="18:19">
      <c r="R15812" s="178"/>
      <c r="S15812" s="178"/>
    </row>
    <row r="15813" spans="18:19">
      <c r="R15813" s="178"/>
      <c r="S15813" s="178"/>
    </row>
    <row r="15814" spans="18:19">
      <c r="R15814" s="178"/>
      <c r="S15814" s="178"/>
    </row>
    <row r="15815" spans="18:19">
      <c r="R15815" s="178"/>
      <c r="S15815" s="178"/>
    </row>
    <row r="15816" spans="18:19">
      <c r="R15816" s="178"/>
      <c r="S15816" s="178"/>
    </row>
    <row r="15817" spans="18:19">
      <c r="R15817" s="178"/>
      <c r="S15817" s="178"/>
    </row>
    <row r="15818" spans="18:19">
      <c r="R15818" s="178"/>
      <c r="S15818" s="178"/>
    </row>
    <row r="15819" spans="18:19">
      <c r="R15819" s="178"/>
      <c r="S15819" s="178"/>
    </row>
    <row r="15820" spans="18:19">
      <c r="R15820" s="178"/>
      <c r="S15820" s="178"/>
    </row>
    <row r="15821" spans="18:19">
      <c r="R15821" s="178"/>
      <c r="S15821" s="178"/>
    </row>
    <row r="15822" spans="18:19">
      <c r="R15822" s="178"/>
      <c r="S15822" s="178"/>
    </row>
    <row r="15823" spans="18:19">
      <c r="R15823" s="178"/>
      <c r="S15823" s="178"/>
    </row>
    <row r="15824" spans="18:19">
      <c r="R15824" s="178"/>
      <c r="S15824" s="178"/>
    </row>
    <row r="15825" spans="18:19">
      <c r="R15825" s="178"/>
      <c r="S15825" s="178"/>
    </row>
    <row r="15826" spans="18:19">
      <c r="R15826" s="178"/>
      <c r="S15826" s="178"/>
    </row>
    <row r="15827" spans="18:19">
      <c r="R15827" s="178"/>
      <c r="S15827" s="178"/>
    </row>
    <row r="15828" spans="18:19">
      <c r="R15828" s="178"/>
      <c r="S15828" s="178"/>
    </row>
    <row r="15829" spans="18:19">
      <c r="R15829" s="178"/>
      <c r="S15829" s="178"/>
    </row>
    <row r="15830" spans="18:19">
      <c r="R15830" s="178"/>
      <c r="S15830" s="178"/>
    </row>
    <row r="15831" spans="18:19">
      <c r="R15831" s="178"/>
      <c r="S15831" s="178"/>
    </row>
    <row r="15832" spans="18:19">
      <c r="R15832" s="178"/>
      <c r="S15832" s="178"/>
    </row>
    <row r="15833" spans="18:19">
      <c r="R15833" s="178"/>
      <c r="S15833" s="178"/>
    </row>
    <row r="15834" spans="18:19">
      <c r="R15834" s="178"/>
      <c r="S15834" s="178"/>
    </row>
    <row r="15835" spans="18:19">
      <c r="R15835" s="178"/>
      <c r="S15835" s="178"/>
    </row>
    <row r="15836" spans="18:19">
      <c r="R15836" s="178"/>
      <c r="S15836" s="178"/>
    </row>
    <row r="15837" spans="18:19">
      <c r="R15837" s="178"/>
      <c r="S15837" s="178"/>
    </row>
    <row r="15838" spans="18:19">
      <c r="R15838" s="178"/>
      <c r="S15838" s="178"/>
    </row>
    <row r="15839" spans="18:19">
      <c r="R15839" s="178"/>
      <c r="S15839" s="178"/>
    </row>
    <row r="15840" spans="18:19">
      <c r="R15840" s="178"/>
      <c r="S15840" s="178"/>
    </row>
    <row r="15841" spans="18:19">
      <c r="R15841" s="178"/>
      <c r="S15841" s="178"/>
    </row>
    <row r="15842" spans="18:19">
      <c r="R15842" s="178"/>
      <c r="S15842" s="178"/>
    </row>
    <row r="15843" spans="18:19">
      <c r="R15843" s="178"/>
      <c r="S15843" s="178"/>
    </row>
    <row r="15844" spans="18:19">
      <c r="R15844" s="178"/>
      <c r="S15844" s="178"/>
    </row>
    <row r="15845" spans="18:19">
      <c r="R15845" s="178"/>
      <c r="S15845" s="178"/>
    </row>
    <row r="15846" spans="18:19">
      <c r="R15846" s="178"/>
      <c r="S15846" s="178"/>
    </row>
    <row r="15847" spans="18:19">
      <c r="R15847" s="178"/>
      <c r="S15847" s="178"/>
    </row>
    <row r="15848" spans="18:19">
      <c r="R15848" s="178"/>
      <c r="S15848" s="178"/>
    </row>
    <row r="15849" spans="18:19">
      <c r="R15849" s="178"/>
      <c r="S15849" s="178"/>
    </row>
    <row r="15850" spans="18:19">
      <c r="R15850" s="178"/>
      <c r="S15850" s="178"/>
    </row>
    <row r="15851" spans="18:19">
      <c r="R15851" s="178"/>
      <c r="S15851" s="178"/>
    </row>
    <row r="15852" spans="18:19">
      <c r="R15852" s="178"/>
      <c r="S15852" s="178"/>
    </row>
    <row r="15853" spans="18:19">
      <c r="R15853" s="178"/>
      <c r="S15853" s="178"/>
    </row>
    <row r="15854" spans="18:19">
      <c r="R15854" s="178"/>
      <c r="S15854" s="178"/>
    </row>
    <row r="15855" spans="18:19">
      <c r="R15855" s="178"/>
      <c r="S15855" s="178"/>
    </row>
    <row r="15856" spans="18:19">
      <c r="R15856" s="178"/>
      <c r="S15856" s="178"/>
    </row>
    <row r="15857" spans="18:19">
      <c r="R15857" s="178"/>
      <c r="S15857" s="178"/>
    </row>
    <row r="15858" spans="18:19">
      <c r="R15858" s="178"/>
      <c r="S15858" s="178"/>
    </row>
    <row r="15859" spans="18:19">
      <c r="R15859" s="178"/>
      <c r="S15859" s="178"/>
    </row>
    <row r="15860" spans="18:19">
      <c r="R15860" s="178"/>
      <c r="S15860" s="178"/>
    </row>
    <row r="15861" spans="18:19">
      <c r="R15861" s="178"/>
      <c r="S15861" s="178"/>
    </row>
    <row r="15862" spans="18:19">
      <c r="R15862" s="178"/>
      <c r="S15862" s="178"/>
    </row>
    <row r="15863" spans="18:19">
      <c r="R15863" s="178"/>
      <c r="S15863" s="178"/>
    </row>
    <row r="15864" spans="18:19">
      <c r="R15864" s="178"/>
      <c r="S15864" s="178"/>
    </row>
    <row r="15865" spans="18:19">
      <c r="R15865" s="178"/>
      <c r="S15865" s="178"/>
    </row>
    <row r="15866" spans="18:19">
      <c r="R15866" s="178"/>
      <c r="S15866" s="178"/>
    </row>
    <row r="15867" spans="18:19">
      <c r="R15867" s="178"/>
      <c r="S15867" s="178"/>
    </row>
    <row r="15868" spans="18:19">
      <c r="R15868" s="178"/>
      <c r="S15868" s="178"/>
    </row>
    <row r="15869" spans="18:19">
      <c r="R15869" s="178"/>
      <c r="S15869" s="178"/>
    </row>
    <row r="15870" spans="18:19">
      <c r="R15870" s="178"/>
      <c r="S15870" s="178"/>
    </row>
    <row r="15871" spans="18:19">
      <c r="R15871" s="178"/>
      <c r="S15871" s="178"/>
    </row>
    <row r="15872" spans="18:19">
      <c r="R15872" s="178"/>
      <c r="S15872" s="178"/>
    </row>
    <row r="15873" spans="18:19">
      <c r="R15873" s="178"/>
      <c r="S15873" s="178"/>
    </row>
    <row r="15874" spans="18:19">
      <c r="R15874" s="178"/>
      <c r="S15874" s="178"/>
    </row>
    <row r="15875" spans="18:19">
      <c r="R15875" s="178"/>
      <c r="S15875" s="178"/>
    </row>
    <row r="15876" spans="18:19">
      <c r="R15876" s="178"/>
      <c r="S15876" s="178"/>
    </row>
    <row r="15877" spans="18:19">
      <c r="R15877" s="178"/>
      <c r="S15877" s="178"/>
    </row>
    <row r="15878" spans="18:19">
      <c r="R15878" s="178"/>
      <c r="S15878" s="178"/>
    </row>
    <row r="15879" spans="18:19">
      <c r="R15879" s="178"/>
      <c r="S15879" s="178"/>
    </row>
    <row r="15880" spans="18:19">
      <c r="R15880" s="178"/>
      <c r="S15880" s="178"/>
    </row>
    <row r="15881" spans="18:19">
      <c r="R15881" s="178"/>
      <c r="S15881" s="178"/>
    </row>
    <row r="15882" spans="18:19">
      <c r="R15882" s="178"/>
      <c r="S15882" s="178"/>
    </row>
    <row r="15883" spans="18:19">
      <c r="R15883" s="178"/>
      <c r="S15883" s="178"/>
    </row>
    <row r="15884" spans="18:19">
      <c r="R15884" s="178"/>
      <c r="S15884" s="178"/>
    </row>
    <row r="15885" spans="18:19">
      <c r="R15885" s="178"/>
      <c r="S15885" s="178"/>
    </row>
    <row r="15886" spans="18:19">
      <c r="R15886" s="178"/>
      <c r="S15886" s="178"/>
    </row>
    <row r="15887" spans="18:19">
      <c r="R15887" s="178"/>
      <c r="S15887" s="178"/>
    </row>
    <row r="15888" spans="18:19">
      <c r="R15888" s="178"/>
      <c r="S15888" s="178"/>
    </row>
    <row r="15889" spans="18:19">
      <c r="R15889" s="178"/>
      <c r="S15889" s="178"/>
    </row>
    <row r="15890" spans="18:19">
      <c r="R15890" s="178"/>
      <c r="S15890" s="178"/>
    </row>
    <row r="15891" spans="18:19">
      <c r="R15891" s="178"/>
      <c r="S15891" s="178"/>
    </row>
    <row r="15892" spans="18:19">
      <c r="R15892" s="178"/>
      <c r="S15892" s="178"/>
    </row>
    <row r="15893" spans="18:19">
      <c r="R15893" s="178"/>
      <c r="S15893" s="178"/>
    </row>
    <row r="15894" spans="18:19">
      <c r="R15894" s="178"/>
      <c r="S15894" s="178"/>
    </row>
    <row r="15895" spans="18:19">
      <c r="R15895" s="178"/>
      <c r="S15895" s="178"/>
    </row>
    <row r="15896" spans="18:19">
      <c r="R15896" s="178"/>
      <c r="S15896" s="178"/>
    </row>
    <row r="15897" spans="18:19">
      <c r="R15897" s="178"/>
      <c r="S15897" s="178"/>
    </row>
    <row r="15898" spans="18:19">
      <c r="R15898" s="178"/>
      <c r="S15898" s="178"/>
    </row>
    <row r="15899" spans="18:19">
      <c r="R15899" s="178"/>
      <c r="S15899" s="178"/>
    </row>
    <row r="15900" spans="18:19">
      <c r="R15900" s="178"/>
      <c r="S15900" s="178"/>
    </row>
    <row r="15901" spans="18:19">
      <c r="R15901" s="178"/>
      <c r="S15901" s="178"/>
    </row>
    <row r="15902" spans="18:19">
      <c r="R15902" s="178"/>
      <c r="S15902" s="178"/>
    </row>
    <row r="15903" spans="18:19">
      <c r="R15903" s="178"/>
      <c r="S15903" s="178"/>
    </row>
    <row r="15904" spans="18:19">
      <c r="R15904" s="178"/>
      <c r="S15904" s="178"/>
    </row>
    <row r="15905" spans="18:19">
      <c r="R15905" s="178"/>
      <c r="S15905" s="178"/>
    </row>
    <row r="15906" spans="18:19">
      <c r="R15906" s="178"/>
      <c r="S15906" s="178"/>
    </row>
    <row r="15907" spans="18:19">
      <c r="R15907" s="178"/>
      <c r="S15907" s="178"/>
    </row>
    <row r="15908" spans="18:19">
      <c r="R15908" s="178"/>
      <c r="S15908" s="178"/>
    </row>
    <row r="15909" spans="18:19">
      <c r="R15909" s="178"/>
      <c r="S15909" s="178"/>
    </row>
    <row r="15910" spans="18:19">
      <c r="R15910" s="178"/>
      <c r="S15910" s="178"/>
    </row>
    <row r="15911" spans="18:19">
      <c r="R15911" s="178"/>
      <c r="S15911" s="178"/>
    </row>
    <row r="15912" spans="18:19">
      <c r="R15912" s="178"/>
      <c r="S15912" s="178"/>
    </row>
    <row r="15913" spans="18:19">
      <c r="R15913" s="178"/>
      <c r="S15913" s="178"/>
    </row>
    <row r="15914" spans="18:19">
      <c r="R15914" s="178"/>
      <c r="S15914" s="178"/>
    </row>
    <row r="15915" spans="18:19">
      <c r="R15915" s="178"/>
      <c r="S15915" s="178"/>
    </row>
    <row r="15916" spans="18:19">
      <c r="R15916" s="178"/>
      <c r="S15916" s="178"/>
    </row>
    <row r="15917" spans="18:19">
      <c r="R15917" s="178"/>
      <c r="S15917" s="178"/>
    </row>
    <row r="15918" spans="18:19">
      <c r="R15918" s="178"/>
      <c r="S15918" s="178"/>
    </row>
    <row r="15919" spans="18:19">
      <c r="R15919" s="178"/>
      <c r="S15919" s="178"/>
    </row>
    <row r="15920" spans="18:19">
      <c r="R15920" s="178"/>
      <c r="S15920" s="178"/>
    </row>
    <row r="15921" spans="18:19">
      <c r="R15921" s="178"/>
      <c r="S15921" s="178"/>
    </row>
    <row r="15922" spans="18:19">
      <c r="R15922" s="178"/>
      <c r="S15922" s="178"/>
    </row>
    <row r="15923" spans="18:19">
      <c r="R15923" s="178"/>
      <c r="S15923" s="178"/>
    </row>
    <row r="15924" spans="18:19">
      <c r="R15924" s="178"/>
      <c r="S15924" s="178"/>
    </row>
    <row r="15925" spans="18:19">
      <c r="R15925" s="178"/>
      <c r="S15925" s="178"/>
    </row>
    <row r="15926" spans="18:19">
      <c r="R15926" s="178"/>
      <c r="S15926" s="178"/>
    </row>
    <row r="15927" spans="18:19">
      <c r="R15927" s="178"/>
      <c r="S15927" s="178"/>
    </row>
    <row r="15928" spans="18:19">
      <c r="R15928" s="178"/>
      <c r="S15928" s="178"/>
    </row>
    <row r="15929" spans="18:19">
      <c r="R15929" s="178"/>
      <c r="S15929" s="178"/>
    </row>
    <row r="15930" spans="18:19">
      <c r="R15930" s="178"/>
      <c r="S15930" s="178"/>
    </row>
    <row r="15931" spans="18:19">
      <c r="R15931" s="178"/>
      <c r="S15931" s="178"/>
    </row>
    <row r="15932" spans="18:19">
      <c r="R15932" s="178"/>
      <c r="S15932" s="178"/>
    </row>
    <row r="15933" spans="18:19">
      <c r="R15933" s="178"/>
      <c r="S15933" s="178"/>
    </row>
    <row r="15934" spans="18:19">
      <c r="R15934" s="178"/>
      <c r="S15934" s="178"/>
    </row>
    <row r="15935" spans="18:19">
      <c r="R15935" s="178"/>
      <c r="S15935" s="178"/>
    </row>
    <row r="15936" spans="18:19">
      <c r="R15936" s="178"/>
      <c r="S15936" s="178"/>
    </row>
    <row r="15937" spans="18:19">
      <c r="R15937" s="178"/>
      <c r="S15937" s="178"/>
    </row>
    <row r="15938" spans="18:19">
      <c r="R15938" s="178"/>
      <c r="S15938" s="178"/>
    </row>
    <row r="15939" spans="18:19">
      <c r="R15939" s="178"/>
      <c r="S15939" s="178"/>
    </row>
    <row r="15940" spans="18:19">
      <c r="R15940" s="178"/>
      <c r="S15940" s="178"/>
    </row>
    <row r="15941" spans="18:19">
      <c r="R15941" s="178"/>
      <c r="S15941" s="178"/>
    </row>
    <row r="15942" spans="18:19">
      <c r="R15942" s="178"/>
      <c r="S15942" s="178"/>
    </row>
    <row r="15943" spans="18:19">
      <c r="R15943" s="178"/>
      <c r="S15943" s="178"/>
    </row>
    <row r="15944" spans="18:19">
      <c r="R15944" s="178"/>
      <c r="S15944" s="178"/>
    </row>
    <row r="15945" spans="18:19">
      <c r="R15945" s="178"/>
      <c r="S15945" s="178"/>
    </row>
    <row r="15946" spans="18:19">
      <c r="R15946" s="178"/>
      <c r="S15946" s="178"/>
    </row>
    <row r="15947" spans="18:19">
      <c r="R15947" s="178"/>
      <c r="S15947" s="178"/>
    </row>
    <row r="15948" spans="18:19">
      <c r="R15948" s="178"/>
      <c r="S15948" s="178"/>
    </row>
    <row r="15949" spans="18:19">
      <c r="R15949" s="178"/>
      <c r="S15949" s="178"/>
    </row>
    <row r="15950" spans="18:19">
      <c r="R15950" s="178"/>
      <c r="S15950" s="178"/>
    </row>
    <row r="15951" spans="18:19">
      <c r="R15951" s="178"/>
      <c r="S15951" s="178"/>
    </row>
    <row r="15952" spans="18:19">
      <c r="R15952" s="178"/>
      <c r="S15952" s="178"/>
    </row>
    <row r="15953" spans="18:19">
      <c r="R15953" s="178"/>
      <c r="S15953" s="178"/>
    </row>
    <row r="15954" spans="18:19">
      <c r="R15954" s="178"/>
      <c r="S15954" s="178"/>
    </row>
    <row r="15955" spans="18:19">
      <c r="R15955" s="178"/>
      <c r="S15955" s="178"/>
    </row>
    <row r="15956" spans="18:19">
      <c r="R15956" s="178"/>
      <c r="S15956" s="178"/>
    </row>
    <row r="15957" spans="18:19">
      <c r="R15957" s="178"/>
      <c r="S15957" s="178"/>
    </row>
    <row r="15958" spans="18:19">
      <c r="R15958" s="178"/>
      <c r="S15958" s="178"/>
    </row>
    <row r="15959" spans="18:19">
      <c r="R15959" s="178"/>
      <c r="S15959" s="178"/>
    </row>
    <row r="15960" spans="18:19">
      <c r="R15960" s="178"/>
      <c r="S15960" s="178"/>
    </row>
    <row r="15961" spans="18:19">
      <c r="R15961" s="178"/>
      <c r="S15961" s="178"/>
    </row>
    <row r="15962" spans="18:19">
      <c r="R15962" s="178"/>
      <c r="S15962" s="178"/>
    </row>
    <row r="15963" spans="18:19">
      <c r="R15963" s="178"/>
      <c r="S15963" s="178"/>
    </row>
    <row r="15964" spans="18:19">
      <c r="R15964" s="178"/>
      <c r="S15964" s="178"/>
    </row>
    <row r="15965" spans="18:19">
      <c r="R15965" s="178"/>
      <c r="S15965" s="178"/>
    </row>
    <row r="15966" spans="18:19">
      <c r="R15966" s="178"/>
      <c r="S15966" s="178"/>
    </row>
    <row r="15967" spans="18:19">
      <c r="R15967" s="178"/>
      <c r="S15967" s="178"/>
    </row>
    <row r="15968" spans="18:19">
      <c r="R15968" s="178"/>
      <c r="S15968" s="178"/>
    </row>
    <row r="15969" spans="18:19">
      <c r="R15969" s="178"/>
      <c r="S15969" s="178"/>
    </row>
    <row r="15970" spans="18:19">
      <c r="R15970" s="178"/>
      <c r="S15970" s="178"/>
    </row>
    <row r="15971" spans="18:19">
      <c r="R15971" s="178"/>
      <c r="S15971" s="178"/>
    </row>
    <row r="15972" spans="18:19">
      <c r="R15972" s="178"/>
      <c r="S15972" s="178"/>
    </row>
    <row r="15973" spans="18:19">
      <c r="R15973" s="178"/>
      <c r="S15973" s="178"/>
    </row>
    <row r="15974" spans="18:19">
      <c r="R15974" s="178"/>
      <c r="S15974" s="178"/>
    </row>
    <row r="15975" spans="18:19">
      <c r="R15975" s="178"/>
      <c r="S15975" s="178"/>
    </row>
    <row r="15976" spans="18:19">
      <c r="R15976" s="178"/>
      <c r="S15976" s="178"/>
    </row>
    <row r="15977" spans="18:19">
      <c r="R15977" s="178"/>
      <c r="S15977" s="178"/>
    </row>
    <row r="15978" spans="18:19">
      <c r="R15978" s="178"/>
      <c r="S15978" s="178"/>
    </row>
    <row r="15979" spans="18:19">
      <c r="R15979" s="178"/>
      <c r="S15979" s="178"/>
    </row>
    <row r="15980" spans="18:19">
      <c r="R15980" s="178"/>
      <c r="S15980" s="178"/>
    </row>
    <row r="15981" spans="18:19">
      <c r="R15981" s="178"/>
      <c r="S15981" s="178"/>
    </row>
    <row r="15982" spans="18:19">
      <c r="R15982" s="178"/>
      <c r="S15982" s="178"/>
    </row>
    <row r="15983" spans="18:19">
      <c r="R15983" s="178"/>
      <c r="S15983" s="178"/>
    </row>
    <row r="15984" spans="18:19">
      <c r="R15984" s="178"/>
      <c r="S15984" s="178"/>
    </row>
    <row r="15985" spans="18:19">
      <c r="R15985" s="178"/>
      <c r="S15985" s="178"/>
    </row>
    <row r="15986" spans="18:19">
      <c r="R15986" s="178"/>
      <c r="S15986" s="178"/>
    </row>
    <row r="15987" spans="18:19">
      <c r="R15987" s="178"/>
      <c r="S15987" s="178"/>
    </row>
    <row r="15988" spans="18:19">
      <c r="R15988" s="178"/>
      <c r="S15988" s="178"/>
    </row>
    <row r="15989" spans="18:19">
      <c r="R15989" s="178"/>
      <c r="S15989" s="178"/>
    </row>
    <row r="15990" spans="18:19">
      <c r="R15990" s="178"/>
      <c r="S15990" s="178"/>
    </row>
    <row r="15991" spans="18:19">
      <c r="R15991" s="178"/>
      <c r="S15991" s="178"/>
    </row>
    <row r="15992" spans="18:19">
      <c r="R15992" s="178"/>
      <c r="S15992" s="178"/>
    </row>
    <row r="15993" spans="18:19">
      <c r="R15993" s="178"/>
      <c r="S15993" s="178"/>
    </row>
    <row r="15994" spans="18:19">
      <c r="R15994" s="178"/>
      <c r="S15994" s="178"/>
    </row>
    <row r="15995" spans="18:19">
      <c r="R15995" s="178"/>
      <c r="S15995" s="178"/>
    </row>
    <row r="15996" spans="18:19">
      <c r="R15996" s="178"/>
      <c r="S15996" s="178"/>
    </row>
    <row r="15997" spans="18:19">
      <c r="R15997" s="178"/>
      <c r="S15997" s="178"/>
    </row>
    <row r="15998" spans="18:19">
      <c r="R15998" s="178"/>
      <c r="S15998" s="178"/>
    </row>
    <row r="15999" spans="18:19">
      <c r="R15999" s="178"/>
      <c r="S15999" s="178"/>
    </row>
    <row r="16000" spans="18:19">
      <c r="R16000" s="178"/>
      <c r="S16000" s="178"/>
    </row>
    <row r="16001" spans="18:19">
      <c r="R16001" s="178"/>
      <c r="S16001" s="178"/>
    </row>
    <row r="16002" spans="18:19">
      <c r="R16002" s="178"/>
      <c r="S16002" s="178"/>
    </row>
    <row r="16003" spans="18:19">
      <c r="R16003" s="178"/>
      <c r="S16003" s="178"/>
    </row>
    <row r="16004" spans="18:19">
      <c r="R16004" s="178"/>
      <c r="S16004" s="178"/>
    </row>
    <row r="16005" spans="18:19">
      <c r="R16005" s="178"/>
      <c r="S16005" s="178"/>
    </row>
    <row r="16006" spans="18:19">
      <c r="R16006" s="178"/>
      <c r="S16006" s="178"/>
    </row>
    <row r="16007" spans="18:19">
      <c r="R16007" s="178"/>
      <c r="S16007" s="178"/>
    </row>
    <row r="16008" spans="18:19">
      <c r="R16008" s="178"/>
      <c r="S16008" s="178"/>
    </row>
    <row r="16009" spans="18:19">
      <c r="R16009" s="178"/>
      <c r="S16009" s="178"/>
    </row>
    <row r="16010" spans="18:19">
      <c r="R16010" s="178"/>
      <c r="S16010" s="178"/>
    </row>
    <row r="16011" spans="18:19">
      <c r="R16011" s="178"/>
      <c r="S16011" s="178"/>
    </row>
    <row r="16012" spans="18:19">
      <c r="R16012" s="178"/>
      <c r="S16012" s="178"/>
    </row>
    <row r="16013" spans="18:19">
      <c r="R16013" s="178"/>
      <c r="S16013" s="178"/>
    </row>
    <row r="16014" spans="18:19">
      <c r="R16014" s="178"/>
      <c r="S16014" s="178"/>
    </row>
    <row r="16015" spans="18:19">
      <c r="R16015" s="178"/>
      <c r="S16015" s="178"/>
    </row>
    <row r="16016" spans="18:19">
      <c r="R16016" s="178"/>
      <c r="S16016" s="178"/>
    </row>
    <row r="16017" spans="18:19">
      <c r="R16017" s="178"/>
      <c r="S16017" s="178"/>
    </row>
    <row r="16018" spans="18:19">
      <c r="R16018" s="178"/>
      <c r="S16018" s="178"/>
    </row>
    <row r="16019" spans="18:19">
      <c r="R16019" s="178"/>
      <c r="S16019" s="178"/>
    </row>
    <row r="16020" spans="18:19">
      <c r="R16020" s="178"/>
      <c r="S16020" s="178"/>
    </row>
    <row r="16021" spans="18:19">
      <c r="R16021" s="178"/>
      <c r="S16021" s="178"/>
    </row>
    <row r="16022" spans="18:19">
      <c r="R16022" s="178"/>
      <c r="S16022" s="178"/>
    </row>
    <row r="16023" spans="18:19">
      <c r="R16023" s="178"/>
      <c r="S16023" s="178"/>
    </row>
    <row r="16024" spans="18:19">
      <c r="R16024" s="178"/>
      <c r="S16024" s="178"/>
    </row>
    <row r="16025" spans="18:19">
      <c r="R16025" s="178"/>
      <c r="S16025" s="178"/>
    </row>
    <row r="16026" spans="18:19">
      <c r="R16026" s="178"/>
      <c r="S16026" s="178"/>
    </row>
    <row r="16027" spans="18:19">
      <c r="R16027" s="178"/>
      <c r="S16027" s="178"/>
    </row>
    <row r="16028" spans="18:19">
      <c r="R16028" s="178"/>
      <c r="S16028" s="178"/>
    </row>
    <row r="16029" spans="18:19">
      <c r="R16029" s="178"/>
      <c r="S16029" s="178"/>
    </row>
    <row r="16030" spans="18:19">
      <c r="R16030" s="178"/>
      <c r="S16030" s="178"/>
    </row>
    <row r="16031" spans="18:19">
      <c r="R16031" s="178"/>
      <c r="S16031" s="178"/>
    </row>
    <row r="16032" spans="18:19">
      <c r="R16032" s="178"/>
      <c r="S16032" s="178"/>
    </row>
    <row r="16033" spans="18:19">
      <c r="R16033" s="178"/>
      <c r="S16033" s="178"/>
    </row>
    <row r="16034" spans="18:19">
      <c r="R16034" s="178"/>
      <c r="S16034" s="178"/>
    </row>
    <row r="16035" spans="18:19">
      <c r="R16035" s="178"/>
      <c r="S16035" s="178"/>
    </row>
    <row r="16036" spans="18:19">
      <c r="R16036" s="178"/>
      <c r="S16036" s="178"/>
    </row>
    <row r="16037" spans="18:19">
      <c r="R16037" s="178"/>
      <c r="S16037" s="178"/>
    </row>
    <row r="16038" spans="18:19">
      <c r="R16038" s="178"/>
      <c r="S16038" s="178"/>
    </row>
    <row r="16039" spans="18:19">
      <c r="R16039" s="178"/>
      <c r="S16039" s="178"/>
    </row>
    <row r="16040" spans="18:19">
      <c r="R16040" s="178"/>
      <c r="S16040" s="178"/>
    </row>
    <row r="16041" spans="18:19">
      <c r="R16041" s="178"/>
      <c r="S16041" s="178"/>
    </row>
    <row r="16042" spans="18:19">
      <c r="R16042" s="178"/>
      <c r="S16042" s="178"/>
    </row>
    <row r="16043" spans="18:19">
      <c r="R16043" s="178"/>
      <c r="S16043" s="178"/>
    </row>
    <row r="16044" spans="18:19">
      <c r="R16044" s="178"/>
      <c r="S16044" s="178"/>
    </row>
    <row r="16045" spans="18:19">
      <c r="R16045" s="178"/>
      <c r="S16045" s="178"/>
    </row>
    <row r="16046" spans="18:19">
      <c r="R16046" s="178"/>
      <c r="S16046" s="178"/>
    </row>
    <row r="16047" spans="18:19">
      <c r="R16047" s="178"/>
      <c r="S16047" s="178"/>
    </row>
    <row r="16048" spans="18:19">
      <c r="R16048" s="178"/>
      <c r="S16048" s="178"/>
    </row>
    <row r="16049" spans="18:19">
      <c r="R16049" s="178"/>
      <c r="S16049" s="178"/>
    </row>
    <row r="16050" spans="18:19">
      <c r="R16050" s="178"/>
      <c r="S16050" s="178"/>
    </row>
    <row r="16051" spans="18:19">
      <c r="R16051" s="178"/>
      <c r="S16051" s="178"/>
    </row>
    <row r="16052" spans="18:19">
      <c r="R16052" s="178"/>
      <c r="S16052" s="178"/>
    </row>
    <row r="16053" spans="18:19">
      <c r="R16053" s="178"/>
      <c r="S16053" s="178"/>
    </row>
    <row r="16054" spans="18:19">
      <c r="R16054" s="178"/>
      <c r="S16054" s="178"/>
    </row>
    <row r="16055" spans="18:19">
      <c r="R16055" s="178"/>
      <c r="S16055" s="178"/>
    </row>
    <row r="16056" spans="18:19">
      <c r="R16056" s="178"/>
      <c r="S16056" s="178"/>
    </row>
    <row r="16057" spans="18:19">
      <c r="R16057" s="178"/>
      <c r="S16057" s="178"/>
    </row>
    <row r="16058" spans="18:19">
      <c r="R16058" s="178"/>
      <c r="S16058" s="178"/>
    </row>
    <row r="16059" spans="18:19">
      <c r="R16059" s="178"/>
      <c r="S16059" s="178"/>
    </row>
    <row r="16060" spans="18:19">
      <c r="R16060" s="178"/>
      <c r="S16060" s="178"/>
    </row>
    <row r="16061" spans="18:19">
      <c r="R16061" s="178"/>
      <c r="S16061" s="178"/>
    </row>
    <row r="16062" spans="18:19">
      <c r="R16062" s="178"/>
      <c r="S16062" s="178"/>
    </row>
    <row r="16063" spans="18:19">
      <c r="R16063" s="178"/>
      <c r="S16063" s="178"/>
    </row>
    <row r="16064" spans="18:19">
      <c r="R16064" s="178"/>
      <c r="S16064" s="178"/>
    </row>
    <row r="16065" spans="18:19">
      <c r="R16065" s="178"/>
      <c r="S16065" s="178"/>
    </row>
    <row r="16066" spans="18:19">
      <c r="R16066" s="178"/>
      <c r="S16066" s="178"/>
    </row>
    <row r="16067" spans="18:19">
      <c r="R16067" s="178"/>
      <c r="S16067" s="178"/>
    </row>
    <row r="16068" spans="18:19">
      <c r="R16068" s="178"/>
      <c r="S16068" s="178"/>
    </row>
    <row r="16069" spans="18:19">
      <c r="R16069" s="178"/>
      <c r="S16069" s="178"/>
    </row>
    <row r="16070" spans="18:19">
      <c r="R16070" s="178"/>
      <c r="S16070" s="178"/>
    </row>
    <row r="16071" spans="18:19">
      <c r="R16071" s="178"/>
      <c r="S16071" s="178"/>
    </row>
    <row r="16072" spans="18:19">
      <c r="R16072" s="178"/>
      <c r="S16072" s="178"/>
    </row>
    <row r="16073" spans="18:19">
      <c r="R16073" s="178"/>
      <c r="S16073" s="178"/>
    </row>
    <row r="16074" spans="18:19">
      <c r="R16074" s="178"/>
      <c r="S16074" s="178"/>
    </row>
    <row r="16075" spans="18:19">
      <c r="R16075" s="178"/>
      <c r="S16075" s="178"/>
    </row>
    <row r="16076" spans="18:19">
      <c r="R16076" s="178"/>
      <c r="S16076" s="178"/>
    </row>
    <row r="16077" spans="18:19">
      <c r="R16077" s="178"/>
      <c r="S16077" s="178"/>
    </row>
    <row r="16078" spans="18:19">
      <c r="R16078" s="178"/>
      <c r="S16078" s="178"/>
    </row>
    <row r="16079" spans="18:19">
      <c r="R16079" s="178"/>
      <c r="S16079" s="178"/>
    </row>
    <row r="16080" spans="18:19">
      <c r="R16080" s="178"/>
      <c r="S16080" s="178"/>
    </row>
    <row r="16081" spans="18:19">
      <c r="R16081" s="178"/>
      <c r="S16081" s="178"/>
    </row>
    <row r="16082" spans="18:19">
      <c r="R16082" s="178"/>
      <c r="S16082" s="178"/>
    </row>
    <row r="16083" spans="18:19">
      <c r="R16083" s="178"/>
      <c r="S16083" s="178"/>
    </row>
    <row r="16084" spans="18:19">
      <c r="R16084" s="178"/>
      <c r="S16084" s="178"/>
    </row>
    <row r="16085" spans="18:19">
      <c r="R16085" s="178"/>
      <c r="S16085" s="178"/>
    </row>
    <row r="16086" spans="18:19">
      <c r="R16086" s="178"/>
      <c r="S16086" s="178"/>
    </row>
    <row r="16087" spans="18:19">
      <c r="R16087" s="178"/>
      <c r="S16087" s="178"/>
    </row>
    <row r="16088" spans="18:19">
      <c r="R16088" s="178"/>
      <c r="S16088" s="178"/>
    </row>
    <row r="16089" spans="18:19">
      <c r="R16089" s="178"/>
      <c r="S16089" s="178"/>
    </row>
    <row r="16090" spans="18:19">
      <c r="R16090" s="178"/>
      <c r="S16090" s="178"/>
    </row>
    <row r="16091" spans="18:19">
      <c r="R16091" s="178"/>
      <c r="S16091" s="178"/>
    </row>
    <row r="16092" spans="18:19">
      <c r="R16092" s="178"/>
      <c r="S16092" s="178"/>
    </row>
    <row r="16093" spans="18:19">
      <c r="R16093" s="178"/>
      <c r="S16093" s="178"/>
    </row>
    <row r="16094" spans="18:19">
      <c r="R16094" s="178"/>
      <c r="S16094" s="178"/>
    </row>
    <row r="16095" spans="18:19">
      <c r="R16095" s="178"/>
      <c r="S16095" s="178"/>
    </row>
    <row r="16096" spans="18:19">
      <c r="R16096" s="178"/>
      <c r="S16096" s="178"/>
    </row>
    <row r="16097" spans="18:19">
      <c r="R16097" s="178"/>
      <c r="S16097" s="178"/>
    </row>
    <row r="16098" spans="18:19">
      <c r="R16098" s="178"/>
      <c r="S16098" s="178"/>
    </row>
    <row r="16099" spans="18:19">
      <c r="R16099" s="178"/>
      <c r="S16099" s="178"/>
    </row>
    <row r="16100" spans="18:19">
      <c r="R16100" s="178"/>
      <c r="S16100" s="178"/>
    </row>
    <row r="16101" spans="18:19">
      <c r="R16101" s="178"/>
      <c r="S16101" s="178"/>
    </row>
    <row r="16102" spans="18:19">
      <c r="R16102" s="178"/>
      <c r="S16102" s="178"/>
    </row>
    <row r="16103" spans="18:19">
      <c r="R16103" s="178"/>
      <c r="S16103" s="178"/>
    </row>
    <row r="16104" spans="18:19">
      <c r="R16104" s="178"/>
      <c r="S16104" s="178"/>
    </row>
    <row r="16105" spans="18:19">
      <c r="R16105" s="178"/>
      <c r="S16105" s="178"/>
    </row>
    <row r="16106" spans="18:19">
      <c r="R16106" s="178"/>
      <c r="S16106" s="178"/>
    </row>
    <row r="16107" spans="18:19">
      <c r="R16107" s="178"/>
      <c r="S16107" s="178"/>
    </row>
    <row r="16108" spans="18:19">
      <c r="R16108" s="178"/>
      <c r="S16108" s="178"/>
    </row>
    <row r="16109" spans="18:19">
      <c r="R16109" s="178"/>
      <c r="S16109" s="178"/>
    </row>
    <row r="16110" spans="18:19">
      <c r="R16110" s="178"/>
      <c r="S16110" s="178"/>
    </row>
    <row r="16111" spans="18:19">
      <c r="R16111" s="178"/>
      <c r="S16111" s="178"/>
    </row>
    <row r="16112" spans="18:19">
      <c r="R16112" s="178"/>
      <c r="S16112" s="178"/>
    </row>
    <row r="16113" spans="18:19">
      <c r="R16113" s="178"/>
      <c r="S16113" s="178"/>
    </row>
    <row r="16114" spans="18:19">
      <c r="R16114" s="178"/>
      <c r="S16114" s="178"/>
    </row>
    <row r="16115" spans="18:19">
      <c r="R16115" s="178"/>
      <c r="S16115" s="178"/>
    </row>
    <row r="16116" spans="18:19">
      <c r="R16116" s="178"/>
      <c r="S16116" s="178"/>
    </row>
    <row r="16117" spans="18:19">
      <c r="R16117" s="178"/>
      <c r="S16117" s="178"/>
    </row>
    <row r="16118" spans="18:19">
      <c r="R16118" s="178"/>
      <c r="S16118" s="178"/>
    </row>
    <row r="16119" spans="18:19">
      <c r="R16119" s="178"/>
      <c r="S16119" s="178"/>
    </row>
    <row r="16120" spans="18:19">
      <c r="R16120" s="178"/>
      <c r="S16120" s="178"/>
    </row>
    <row r="16121" spans="18:19">
      <c r="R16121" s="178"/>
      <c r="S16121" s="178"/>
    </row>
    <row r="16122" spans="18:19">
      <c r="R16122" s="178"/>
      <c r="S16122" s="178"/>
    </row>
    <row r="16123" spans="18:19">
      <c r="R16123" s="178"/>
      <c r="S16123" s="178"/>
    </row>
    <row r="16124" spans="18:19">
      <c r="R16124" s="178"/>
      <c r="S16124" s="178"/>
    </row>
    <row r="16125" spans="18:19">
      <c r="R16125" s="178"/>
      <c r="S16125" s="178"/>
    </row>
    <row r="16126" spans="18:19">
      <c r="R16126" s="178"/>
      <c r="S16126" s="178"/>
    </row>
    <row r="16127" spans="18:19">
      <c r="R16127" s="178"/>
      <c r="S16127" s="178"/>
    </row>
    <row r="16128" spans="18:19">
      <c r="R16128" s="178"/>
      <c r="S16128" s="178"/>
    </row>
    <row r="16129" spans="18:19">
      <c r="R16129" s="178"/>
      <c r="S16129" s="178"/>
    </row>
    <row r="16130" spans="18:19">
      <c r="R16130" s="178"/>
      <c r="S16130" s="178"/>
    </row>
    <row r="16131" spans="18:19">
      <c r="R16131" s="178"/>
      <c r="S16131" s="178"/>
    </row>
    <row r="16132" spans="18:19">
      <c r="R16132" s="178"/>
      <c r="S16132" s="178"/>
    </row>
    <row r="16133" spans="18:19">
      <c r="R16133" s="178"/>
      <c r="S16133" s="178"/>
    </row>
    <row r="16134" spans="18:19">
      <c r="R16134" s="178"/>
      <c r="S16134" s="178"/>
    </row>
    <row r="16135" spans="18:19">
      <c r="R16135" s="178"/>
      <c r="S16135" s="178"/>
    </row>
    <row r="16136" spans="18:19">
      <c r="R16136" s="178"/>
      <c r="S16136" s="178"/>
    </row>
    <row r="16137" spans="18:19">
      <c r="R16137" s="178"/>
      <c r="S16137" s="178"/>
    </row>
    <row r="16138" spans="18:19">
      <c r="R16138" s="178"/>
      <c r="S16138" s="178"/>
    </row>
    <row r="16139" spans="18:19">
      <c r="R16139" s="178"/>
      <c r="S16139" s="178"/>
    </row>
    <row r="16140" spans="18:19">
      <c r="R16140" s="178"/>
      <c r="S16140" s="178"/>
    </row>
    <row r="16141" spans="18:19">
      <c r="R16141" s="178"/>
      <c r="S16141" s="178"/>
    </row>
    <row r="16142" spans="18:19">
      <c r="R16142" s="178"/>
      <c r="S16142" s="178"/>
    </row>
    <row r="16143" spans="18:19">
      <c r="R16143" s="178"/>
      <c r="S16143" s="178"/>
    </row>
    <row r="16144" spans="18:19">
      <c r="R16144" s="178"/>
      <c r="S16144" s="178"/>
    </row>
    <row r="16145" spans="18:19">
      <c r="R16145" s="178"/>
      <c r="S16145" s="178"/>
    </row>
    <row r="16146" spans="18:19">
      <c r="R16146" s="178"/>
      <c r="S16146" s="178"/>
    </row>
    <row r="16147" spans="18:19">
      <c r="R16147" s="178"/>
      <c r="S16147" s="178"/>
    </row>
    <row r="16148" spans="18:19">
      <c r="R16148" s="178"/>
      <c r="S16148" s="178"/>
    </row>
    <row r="16149" spans="18:19">
      <c r="R16149" s="178"/>
      <c r="S16149" s="178"/>
    </row>
    <row r="16150" spans="18:19">
      <c r="R16150" s="178"/>
      <c r="S16150" s="178"/>
    </row>
    <row r="16151" spans="18:19">
      <c r="R16151" s="178"/>
      <c r="S16151" s="178"/>
    </row>
    <row r="16152" spans="18:19">
      <c r="R16152" s="178"/>
      <c r="S16152" s="178"/>
    </row>
    <row r="16153" spans="18:19">
      <c r="R16153" s="178"/>
      <c r="S16153" s="178"/>
    </row>
    <row r="16154" spans="18:19">
      <c r="R16154" s="178"/>
      <c r="S16154" s="178"/>
    </row>
    <row r="16155" spans="18:19">
      <c r="R16155" s="178"/>
      <c r="S16155" s="178"/>
    </row>
    <row r="16156" spans="18:19">
      <c r="R16156" s="178"/>
      <c r="S16156" s="178"/>
    </row>
    <row r="16157" spans="18:19">
      <c r="R16157" s="178"/>
      <c r="S16157" s="178"/>
    </row>
    <row r="16158" spans="18:19">
      <c r="R16158" s="178"/>
      <c r="S16158" s="178"/>
    </row>
    <row r="16159" spans="18:19">
      <c r="R16159" s="178"/>
      <c r="S16159" s="178"/>
    </row>
    <row r="16160" spans="18:19">
      <c r="R16160" s="178"/>
      <c r="S16160" s="178"/>
    </row>
    <row r="16161" spans="18:19">
      <c r="R16161" s="178"/>
      <c r="S16161" s="178"/>
    </row>
    <row r="16162" spans="18:19">
      <c r="R16162" s="178"/>
      <c r="S16162" s="178"/>
    </row>
    <row r="16163" spans="18:19">
      <c r="R16163" s="178"/>
      <c r="S16163" s="178"/>
    </row>
    <row r="16164" spans="18:19">
      <c r="R16164" s="178"/>
      <c r="S16164" s="178"/>
    </row>
    <row r="16165" spans="18:19">
      <c r="R16165" s="178"/>
      <c r="S16165" s="178"/>
    </row>
    <row r="16166" spans="18:19">
      <c r="R16166" s="178"/>
      <c r="S16166" s="178"/>
    </row>
    <row r="16167" spans="18:19">
      <c r="R16167" s="178"/>
      <c r="S16167" s="178"/>
    </row>
    <row r="16168" spans="18:19">
      <c r="R16168" s="178"/>
      <c r="S16168" s="178"/>
    </row>
    <row r="16169" spans="18:19">
      <c r="R16169" s="178"/>
      <c r="S16169" s="178"/>
    </row>
    <row r="16170" spans="18:19">
      <c r="R16170" s="178"/>
      <c r="S16170" s="178"/>
    </row>
    <row r="16171" spans="18:19">
      <c r="R16171" s="178"/>
      <c r="S16171" s="178"/>
    </row>
    <row r="16172" spans="18:19">
      <c r="R16172" s="178"/>
      <c r="S16172" s="178"/>
    </row>
    <row r="16173" spans="18:19">
      <c r="R16173" s="178"/>
      <c r="S16173" s="178"/>
    </row>
    <row r="16174" spans="18:19">
      <c r="R16174" s="178"/>
      <c r="S16174" s="178"/>
    </row>
    <row r="16175" spans="18:19">
      <c r="R16175" s="178"/>
      <c r="S16175" s="178"/>
    </row>
    <row r="16176" spans="18:19">
      <c r="R16176" s="178"/>
      <c r="S16176" s="178"/>
    </row>
    <row r="16177" spans="18:19">
      <c r="R16177" s="178"/>
      <c r="S16177" s="178"/>
    </row>
    <row r="16178" spans="18:19">
      <c r="R16178" s="178"/>
      <c r="S16178" s="178"/>
    </row>
    <row r="16179" spans="18:19">
      <c r="R16179" s="178"/>
      <c r="S16179" s="178"/>
    </row>
    <row r="16180" spans="18:19">
      <c r="R16180" s="178"/>
      <c r="S16180" s="178"/>
    </row>
    <row r="16181" spans="18:19">
      <c r="R16181" s="178"/>
      <c r="S16181" s="178"/>
    </row>
    <row r="16182" spans="18:19">
      <c r="R16182" s="178"/>
      <c r="S16182" s="178"/>
    </row>
    <row r="16183" spans="18:19">
      <c r="R16183" s="178"/>
      <c r="S16183" s="178"/>
    </row>
    <row r="16184" spans="18:19">
      <c r="R16184" s="178"/>
      <c r="S16184" s="178"/>
    </row>
    <row r="16185" spans="18:19">
      <c r="R16185" s="178"/>
      <c r="S16185" s="178"/>
    </row>
    <row r="16186" spans="18:19">
      <c r="R16186" s="178"/>
      <c r="S16186" s="178"/>
    </row>
    <row r="16187" spans="18:19">
      <c r="R16187" s="178"/>
      <c r="S16187" s="178"/>
    </row>
    <row r="16188" spans="18:19">
      <c r="R16188" s="178"/>
      <c r="S16188" s="178"/>
    </row>
    <row r="16189" spans="18:19">
      <c r="R16189" s="178"/>
      <c r="S16189" s="178"/>
    </row>
    <row r="16190" spans="18:19">
      <c r="R16190" s="178"/>
      <c r="S16190" s="178"/>
    </row>
    <row r="16191" spans="18:19">
      <c r="R16191" s="178"/>
      <c r="S16191" s="178"/>
    </row>
    <row r="16192" spans="18:19">
      <c r="R16192" s="178"/>
      <c r="S16192" s="178"/>
    </row>
    <row r="16193" spans="18:19">
      <c r="R16193" s="178"/>
      <c r="S16193" s="178"/>
    </row>
    <row r="16194" spans="18:19">
      <c r="R16194" s="178"/>
      <c r="S16194" s="178"/>
    </row>
    <row r="16195" spans="18:19">
      <c r="R16195" s="178"/>
      <c r="S16195" s="178"/>
    </row>
    <row r="16196" spans="18:19">
      <c r="R16196" s="178"/>
      <c r="S16196" s="178"/>
    </row>
    <row r="16197" spans="18:19">
      <c r="R16197" s="178"/>
      <c r="S16197" s="178"/>
    </row>
    <row r="16198" spans="18:19">
      <c r="R16198" s="178"/>
      <c r="S16198" s="178"/>
    </row>
    <row r="16199" spans="18:19">
      <c r="R16199" s="178"/>
      <c r="S16199" s="178"/>
    </row>
    <row r="16200" spans="18:19">
      <c r="R16200" s="178"/>
      <c r="S16200" s="178"/>
    </row>
    <row r="16201" spans="18:19">
      <c r="R16201" s="178"/>
      <c r="S16201" s="178"/>
    </row>
    <row r="16202" spans="18:19">
      <c r="R16202" s="178"/>
      <c r="S16202" s="178"/>
    </row>
    <row r="16203" spans="18:19">
      <c r="R16203" s="178"/>
      <c r="S16203" s="178"/>
    </row>
    <row r="16204" spans="18:19">
      <c r="R16204" s="178"/>
      <c r="S16204" s="178"/>
    </row>
    <row r="16205" spans="18:19">
      <c r="R16205" s="178"/>
      <c r="S16205" s="178"/>
    </row>
    <row r="16206" spans="18:19">
      <c r="R16206" s="178"/>
      <c r="S16206" s="178"/>
    </row>
    <row r="16207" spans="18:19">
      <c r="R16207" s="178"/>
      <c r="S16207" s="178"/>
    </row>
    <row r="16208" spans="18:19">
      <c r="R16208" s="178"/>
      <c r="S16208" s="178"/>
    </row>
    <row r="16209" spans="18:19">
      <c r="R16209" s="178"/>
      <c r="S16209" s="178"/>
    </row>
    <row r="16210" spans="18:19">
      <c r="R16210" s="178"/>
      <c r="S16210" s="178"/>
    </row>
    <row r="16211" spans="18:19">
      <c r="R16211" s="178"/>
      <c r="S16211" s="178"/>
    </row>
    <row r="16212" spans="18:19">
      <c r="R16212" s="178"/>
      <c r="S16212" s="178"/>
    </row>
    <row r="16213" spans="18:19">
      <c r="R16213" s="178"/>
      <c r="S16213" s="178"/>
    </row>
    <row r="16214" spans="18:19">
      <c r="R16214" s="178"/>
      <c r="S16214" s="178"/>
    </row>
    <row r="16215" spans="18:19">
      <c r="R16215" s="178"/>
      <c r="S16215" s="178"/>
    </row>
    <row r="16216" spans="18:19">
      <c r="R16216" s="178"/>
      <c r="S16216" s="178"/>
    </row>
    <row r="16217" spans="18:19">
      <c r="R16217" s="178"/>
      <c r="S16217" s="178"/>
    </row>
    <row r="16218" spans="18:19">
      <c r="R16218" s="178"/>
      <c r="S16218" s="178"/>
    </row>
    <row r="16219" spans="18:19">
      <c r="R16219" s="178"/>
      <c r="S16219" s="178"/>
    </row>
    <row r="16220" spans="18:19">
      <c r="R16220" s="178"/>
      <c r="S16220" s="178"/>
    </row>
    <row r="16221" spans="18:19">
      <c r="R16221" s="178"/>
      <c r="S16221" s="178"/>
    </row>
    <row r="16222" spans="18:19">
      <c r="R16222" s="178"/>
      <c r="S16222" s="178"/>
    </row>
    <row r="16223" spans="18:19">
      <c r="R16223" s="178"/>
      <c r="S16223" s="178"/>
    </row>
    <row r="16224" spans="18:19">
      <c r="R16224" s="178"/>
      <c r="S16224" s="178"/>
    </row>
    <row r="16225" spans="18:19">
      <c r="R16225" s="178"/>
      <c r="S16225" s="178"/>
    </row>
    <row r="16226" spans="18:19">
      <c r="R16226" s="178"/>
      <c r="S16226" s="178"/>
    </row>
    <row r="16227" spans="18:19">
      <c r="R16227" s="178"/>
      <c r="S16227" s="178"/>
    </row>
    <row r="16228" spans="18:19">
      <c r="R16228" s="178"/>
      <c r="S16228" s="178"/>
    </row>
    <row r="16229" spans="18:19">
      <c r="R16229" s="178"/>
      <c r="S16229" s="178"/>
    </row>
    <row r="16230" spans="18:19">
      <c r="R16230" s="178"/>
      <c r="S16230" s="178"/>
    </row>
    <row r="16231" spans="18:19">
      <c r="R16231" s="178"/>
      <c r="S16231" s="178"/>
    </row>
    <row r="16232" spans="18:19">
      <c r="R16232" s="178"/>
      <c r="S16232" s="178"/>
    </row>
    <row r="16233" spans="18:19">
      <c r="R16233" s="178"/>
      <c r="S16233" s="178"/>
    </row>
    <row r="16234" spans="18:19">
      <c r="R16234" s="178"/>
      <c r="S16234" s="178"/>
    </row>
    <row r="16235" spans="18:19">
      <c r="R16235" s="178"/>
      <c r="S16235" s="178"/>
    </row>
    <row r="16236" spans="18:19">
      <c r="R16236" s="178"/>
      <c r="S16236" s="178"/>
    </row>
    <row r="16237" spans="18:19">
      <c r="R16237" s="178"/>
      <c r="S16237" s="178"/>
    </row>
    <row r="16238" spans="18:19">
      <c r="R16238" s="178"/>
      <c r="S16238" s="178"/>
    </row>
    <row r="16239" spans="18:19">
      <c r="R16239" s="178"/>
      <c r="S16239" s="178"/>
    </row>
    <row r="16240" spans="18:19">
      <c r="R16240" s="178"/>
      <c r="S16240" s="178"/>
    </row>
    <row r="16241" spans="18:19">
      <c r="R16241" s="178"/>
      <c r="S16241" s="178"/>
    </row>
    <row r="16242" spans="18:19">
      <c r="R16242" s="178"/>
      <c r="S16242" s="178"/>
    </row>
    <row r="16243" spans="18:19">
      <c r="R16243" s="178"/>
      <c r="S16243" s="178"/>
    </row>
    <row r="16244" spans="18:19">
      <c r="R16244" s="178"/>
      <c r="S16244" s="178"/>
    </row>
    <row r="16245" spans="18:19">
      <c r="R16245" s="178"/>
      <c r="S16245" s="178"/>
    </row>
    <row r="16246" spans="18:19">
      <c r="R16246" s="178"/>
      <c r="S16246" s="178"/>
    </row>
    <row r="16247" spans="18:19">
      <c r="R16247" s="178"/>
      <c r="S16247" s="178"/>
    </row>
    <row r="16248" spans="18:19">
      <c r="R16248" s="178"/>
      <c r="S16248" s="178"/>
    </row>
    <row r="16249" spans="18:19">
      <c r="R16249" s="178"/>
      <c r="S16249" s="178"/>
    </row>
    <row r="16250" spans="18:19">
      <c r="R16250" s="178"/>
      <c r="S16250" s="178"/>
    </row>
    <row r="16251" spans="18:19">
      <c r="R16251" s="178"/>
      <c r="S16251" s="178"/>
    </row>
    <row r="16252" spans="18:19">
      <c r="R16252" s="178"/>
      <c r="S16252" s="178"/>
    </row>
    <row r="16253" spans="18:19">
      <c r="R16253" s="178"/>
      <c r="S16253" s="178"/>
    </row>
    <row r="16254" spans="18:19">
      <c r="R16254" s="178"/>
      <c r="S16254" s="178"/>
    </row>
    <row r="16255" spans="18:19">
      <c r="R16255" s="178"/>
      <c r="S16255" s="178"/>
    </row>
    <row r="16256" spans="18:19">
      <c r="R16256" s="178"/>
      <c r="S16256" s="178"/>
    </row>
    <row r="16257" spans="18:19">
      <c r="R16257" s="178"/>
      <c r="S16257" s="178"/>
    </row>
    <row r="16258" spans="18:19">
      <c r="R16258" s="178"/>
      <c r="S16258" s="178"/>
    </row>
    <row r="16259" spans="18:19">
      <c r="R16259" s="178"/>
      <c r="S16259" s="178"/>
    </row>
    <row r="16260" spans="18:19">
      <c r="R16260" s="178"/>
      <c r="S16260" s="178"/>
    </row>
    <row r="16261" spans="18:19">
      <c r="R16261" s="178"/>
      <c r="S16261" s="178"/>
    </row>
    <row r="16262" spans="18:19">
      <c r="R16262" s="178"/>
      <c r="S16262" s="178"/>
    </row>
    <row r="16263" spans="18:19">
      <c r="R16263" s="178"/>
      <c r="S16263" s="178"/>
    </row>
    <row r="16264" spans="18:19">
      <c r="R16264" s="178"/>
      <c r="S16264" s="178"/>
    </row>
    <row r="16265" spans="18:19">
      <c r="R16265" s="178"/>
      <c r="S16265" s="178"/>
    </row>
    <row r="16266" spans="18:19">
      <c r="R16266" s="178"/>
      <c r="S16266" s="178"/>
    </row>
    <row r="16267" spans="18:19">
      <c r="R16267" s="178"/>
      <c r="S16267" s="178"/>
    </row>
    <row r="16268" spans="18:19">
      <c r="R16268" s="178"/>
      <c r="S16268" s="178"/>
    </row>
    <row r="16269" spans="18:19">
      <c r="R16269" s="178"/>
      <c r="S16269" s="178"/>
    </row>
    <row r="16270" spans="18:19">
      <c r="R16270" s="178"/>
      <c r="S16270" s="178"/>
    </row>
    <row r="16271" spans="18:19">
      <c r="R16271" s="178"/>
      <c r="S16271" s="178"/>
    </row>
    <row r="16272" spans="18:19">
      <c r="R16272" s="178"/>
      <c r="S16272" s="178"/>
    </row>
    <row r="16273" spans="18:19">
      <c r="R16273" s="178"/>
      <c r="S16273" s="178"/>
    </row>
    <row r="16274" spans="18:19">
      <c r="R16274" s="178"/>
      <c r="S16274" s="178"/>
    </row>
    <row r="16275" spans="18:19">
      <c r="R16275" s="178"/>
      <c r="S16275" s="178"/>
    </row>
    <row r="16276" spans="18:19">
      <c r="R16276" s="178"/>
      <c r="S16276" s="178"/>
    </row>
    <row r="16277" spans="18:19">
      <c r="R16277" s="178"/>
      <c r="S16277" s="178"/>
    </row>
    <row r="16278" spans="18:19">
      <c r="R16278" s="178"/>
      <c r="S16278" s="178"/>
    </row>
    <row r="16279" spans="18:19">
      <c r="R16279" s="178"/>
      <c r="S16279" s="178"/>
    </row>
    <row r="16280" spans="18:19">
      <c r="R16280" s="178"/>
      <c r="S16280" s="178"/>
    </row>
    <row r="16281" spans="18:19">
      <c r="R16281" s="178"/>
      <c r="S16281" s="178"/>
    </row>
    <row r="16282" spans="18:19">
      <c r="R16282" s="178"/>
      <c r="S16282" s="178"/>
    </row>
    <row r="16283" spans="18:19">
      <c r="R16283" s="178"/>
      <c r="S16283" s="178"/>
    </row>
    <row r="16284" spans="18:19">
      <c r="R16284" s="178"/>
      <c r="S16284" s="178"/>
    </row>
    <row r="16285" spans="18:19">
      <c r="R16285" s="178"/>
      <c r="S16285" s="178"/>
    </row>
    <row r="16286" spans="18:19">
      <c r="R16286" s="178"/>
      <c r="S16286" s="178"/>
    </row>
    <row r="16287" spans="18:19">
      <c r="R16287" s="178"/>
      <c r="S16287" s="178"/>
    </row>
    <row r="16288" spans="18:19">
      <c r="R16288" s="178"/>
      <c r="S16288" s="178"/>
    </row>
    <row r="16289" spans="18:19">
      <c r="R16289" s="178"/>
      <c r="S16289" s="178"/>
    </row>
    <row r="16290" spans="18:19">
      <c r="R16290" s="178"/>
      <c r="S16290" s="178"/>
    </row>
    <row r="16291" spans="18:19">
      <c r="R16291" s="178"/>
      <c r="S16291" s="178"/>
    </row>
    <row r="16292" spans="18:19">
      <c r="R16292" s="178"/>
      <c r="S16292" s="178"/>
    </row>
    <row r="16293" spans="18:19">
      <c r="R16293" s="178"/>
      <c r="S16293" s="178"/>
    </row>
    <row r="16294" spans="18:19">
      <c r="R16294" s="178"/>
      <c r="S16294" s="178"/>
    </row>
    <row r="16295" spans="18:19">
      <c r="R16295" s="178"/>
      <c r="S16295" s="178"/>
    </row>
    <row r="16296" spans="18:19">
      <c r="R16296" s="178"/>
      <c r="S16296" s="178"/>
    </row>
    <row r="16297" spans="18:19">
      <c r="R16297" s="178"/>
      <c r="S16297" s="178"/>
    </row>
    <row r="16298" spans="18:19">
      <c r="R16298" s="178"/>
      <c r="S16298" s="178"/>
    </row>
    <row r="16299" spans="18:19">
      <c r="R16299" s="178"/>
      <c r="S16299" s="178"/>
    </row>
    <row r="16300" spans="18:19">
      <c r="R16300" s="178"/>
      <c r="S16300" s="178"/>
    </row>
    <row r="16301" spans="18:19">
      <c r="R16301" s="178"/>
      <c r="S16301" s="178"/>
    </row>
    <row r="16302" spans="18:19">
      <c r="R16302" s="178"/>
      <c r="S16302" s="178"/>
    </row>
    <row r="16303" spans="18:19">
      <c r="R16303" s="178"/>
      <c r="S16303" s="178"/>
    </row>
    <row r="16304" spans="18:19">
      <c r="R16304" s="178"/>
      <c r="S16304" s="178"/>
    </row>
    <row r="16305" spans="18:19">
      <c r="R16305" s="178"/>
      <c r="S16305" s="178"/>
    </row>
    <row r="16306" spans="18:19">
      <c r="R16306" s="178"/>
      <c r="S16306" s="178"/>
    </row>
    <row r="16307" spans="18:19">
      <c r="R16307" s="178"/>
      <c r="S16307" s="178"/>
    </row>
    <row r="16308" spans="18:19">
      <c r="R16308" s="178"/>
      <c r="S16308" s="178"/>
    </row>
    <row r="16309" spans="18:19">
      <c r="R16309" s="178"/>
      <c r="S16309" s="178"/>
    </row>
    <row r="16310" spans="18:19">
      <c r="R16310" s="178"/>
      <c r="S16310" s="178"/>
    </row>
    <row r="16311" spans="18:19">
      <c r="R16311" s="178"/>
      <c r="S16311" s="178"/>
    </row>
    <row r="16312" spans="18:19">
      <c r="R16312" s="178"/>
      <c r="S16312" s="178"/>
    </row>
    <row r="16313" spans="18:19">
      <c r="R16313" s="178"/>
      <c r="S16313" s="178"/>
    </row>
    <row r="16314" spans="18:19">
      <c r="R16314" s="178"/>
      <c r="S16314" s="178"/>
    </row>
    <row r="16315" spans="18:19">
      <c r="R16315" s="178"/>
      <c r="S16315" s="178"/>
    </row>
    <row r="16316" spans="18:19">
      <c r="R16316" s="178"/>
      <c r="S16316" s="178"/>
    </row>
    <row r="16317" spans="18:19">
      <c r="R16317" s="178"/>
      <c r="S16317" s="178"/>
    </row>
    <row r="16318" spans="18:19">
      <c r="R16318" s="178"/>
      <c r="S16318" s="178"/>
    </row>
    <row r="16319" spans="18:19">
      <c r="R16319" s="178"/>
      <c r="S16319" s="178"/>
    </row>
    <row r="16320" spans="18:19">
      <c r="R16320" s="178"/>
      <c r="S16320" s="178"/>
    </row>
    <row r="16321" spans="18:19">
      <c r="R16321" s="178"/>
      <c r="S16321" s="178"/>
    </row>
    <row r="16322" spans="18:19">
      <c r="R16322" s="178"/>
      <c r="S16322" s="178"/>
    </row>
    <row r="16323" spans="18:19">
      <c r="R16323" s="178"/>
      <c r="S16323" s="178"/>
    </row>
    <row r="16324" spans="18:19">
      <c r="R16324" s="178"/>
      <c r="S16324" s="178"/>
    </row>
    <row r="16325" spans="18:19">
      <c r="R16325" s="178"/>
      <c r="S16325" s="178"/>
    </row>
    <row r="16326" spans="18:19">
      <c r="R16326" s="178"/>
      <c r="S16326" s="178"/>
    </row>
    <row r="16327" spans="18:19">
      <c r="R16327" s="178"/>
      <c r="S16327" s="178"/>
    </row>
    <row r="16328" spans="18:19">
      <c r="R16328" s="178"/>
      <c r="S16328" s="178"/>
    </row>
    <row r="16329" spans="18:19">
      <c r="R16329" s="178"/>
      <c r="S16329" s="178"/>
    </row>
    <row r="16330" spans="18:19">
      <c r="R16330" s="178"/>
      <c r="S16330" s="178"/>
    </row>
    <row r="16331" spans="18:19">
      <c r="R16331" s="178"/>
      <c r="S16331" s="178"/>
    </row>
    <row r="16332" spans="18:19">
      <c r="R16332" s="178"/>
      <c r="S16332" s="178"/>
    </row>
    <row r="16333" spans="18:19">
      <c r="R16333" s="178"/>
      <c r="S16333" s="178"/>
    </row>
    <row r="16334" spans="18:19">
      <c r="R16334" s="178"/>
      <c r="S16334" s="178"/>
    </row>
    <row r="16335" spans="18:19">
      <c r="R16335" s="178"/>
      <c r="S16335" s="178"/>
    </row>
    <row r="16336" spans="18:19">
      <c r="R16336" s="178"/>
      <c r="S16336" s="178"/>
    </row>
    <row r="16337" spans="18:19">
      <c r="R16337" s="178"/>
      <c r="S16337" s="178"/>
    </row>
    <row r="16338" spans="18:19">
      <c r="R16338" s="178"/>
      <c r="S16338" s="178"/>
    </row>
    <row r="16339" spans="18:19">
      <c r="R16339" s="178"/>
      <c r="S16339" s="178"/>
    </row>
    <row r="16340" spans="18:19">
      <c r="R16340" s="178"/>
      <c r="S16340" s="178"/>
    </row>
    <row r="16341" spans="18:19">
      <c r="R16341" s="178"/>
      <c r="S16341" s="178"/>
    </row>
    <row r="16342" spans="18:19">
      <c r="R16342" s="178"/>
      <c r="S16342" s="178"/>
    </row>
    <row r="16343" spans="18:19">
      <c r="R16343" s="178"/>
      <c r="S16343" s="178"/>
    </row>
    <row r="16344" spans="18:19">
      <c r="R16344" s="178"/>
      <c r="S16344" s="178"/>
    </row>
    <row r="16345" spans="18:19">
      <c r="R16345" s="178"/>
      <c r="S16345" s="178"/>
    </row>
    <row r="16346" spans="18:19">
      <c r="R16346" s="178"/>
      <c r="S16346" s="178"/>
    </row>
    <row r="16347" spans="18:19">
      <c r="R16347" s="178"/>
      <c r="S16347" s="178"/>
    </row>
    <row r="16348" spans="18:19">
      <c r="R16348" s="178"/>
      <c r="S16348" s="178"/>
    </row>
    <row r="16349" spans="18:19">
      <c r="R16349" s="178"/>
      <c r="S16349" s="178"/>
    </row>
    <row r="16350" spans="18:19">
      <c r="R16350" s="178"/>
      <c r="S16350" s="178"/>
    </row>
    <row r="16351" spans="18:19">
      <c r="R16351" s="178"/>
      <c r="S16351" s="178"/>
    </row>
    <row r="16352" spans="18:19">
      <c r="R16352" s="178"/>
      <c r="S16352" s="178"/>
    </row>
    <row r="16353" spans="18:19">
      <c r="R16353" s="178"/>
      <c r="S16353" s="178"/>
    </row>
    <row r="16354" spans="18:19">
      <c r="R16354" s="178"/>
      <c r="S16354" s="178"/>
    </row>
    <row r="16355" spans="18:19">
      <c r="R16355" s="178"/>
      <c r="S16355" s="178"/>
    </row>
    <row r="16356" spans="18:19">
      <c r="R16356" s="178"/>
      <c r="S16356" s="178"/>
    </row>
    <row r="16357" spans="18:19">
      <c r="R16357" s="178"/>
      <c r="S16357" s="178"/>
    </row>
    <row r="16358" spans="18:19">
      <c r="R16358" s="178"/>
      <c r="S16358" s="178"/>
    </row>
    <row r="16359" spans="18:19">
      <c r="R16359" s="178"/>
      <c r="S16359" s="178"/>
    </row>
    <row r="16360" spans="18:19">
      <c r="R16360" s="178"/>
      <c r="S16360" s="178"/>
    </row>
    <row r="16361" spans="18:19">
      <c r="R16361" s="178"/>
      <c r="S16361" s="178"/>
    </row>
    <row r="16362" spans="18:19">
      <c r="R16362" s="178"/>
      <c r="S16362" s="178"/>
    </row>
    <row r="16363" spans="18:19">
      <c r="R16363" s="178"/>
      <c r="S16363" s="178"/>
    </row>
    <row r="16364" spans="18:19">
      <c r="R16364" s="178"/>
      <c r="S16364" s="178"/>
    </row>
    <row r="16365" spans="18:19">
      <c r="R16365" s="178"/>
      <c r="S16365" s="178"/>
    </row>
    <row r="16366" spans="18:19">
      <c r="R16366" s="178"/>
      <c r="S16366" s="178"/>
    </row>
    <row r="16367" spans="18:19">
      <c r="R16367" s="178"/>
      <c r="S16367" s="178"/>
    </row>
    <row r="16368" spans="18:19">
      <c r="R16368" s="178"/>
      <c r="S16368" s="178"/>
    </row>
    <row r="16369" spans="18:19">
      <c r="R16369" s="178"/>
      <c r="S16369" s="178"/>
    </row>
    <row r="16370" spans="18:19">
      <c r="R16370" s="178"/>
      <c r="S16370" s="178"/>
    </row>
    <row r="16371" spans="18:19">
      <c r="R16371" s="178"/>
      <c r="S16371" s="178"/>
    </row>
    <row r="16372" spans="18:19">
      <c r="R16372" s="178"/>
      <c r="S16372" s="178"/>
    </row>
    <row r="16373" spans="18:19">
      <c r="R16373" s="178"/>
      <c r="S16373" s="178"/>
    </row>
    <row r="16374" spans="18:19">
      <c r="R16374" s="178"/>
      <c r="S16374" s="178"/>
    </row>
    <row r="16375" spans="18:19">
      <c r="R16375" s="178"/>
      <c r="S16375" s="178"/>
    </row>
    <row r="16376" spans="18:19">
      <c r="R16376" s="178"/>
      <c r="S16376" s="178"/>
    </row>
    <row r="16377" spans="18:19">
      <c r="R16377" s="178"/>
      <c r="S16377" s="178"/>
    </row>
    <row r="16378" spans="18:19">
      <c r="R16378" s="178"/>
      <c r="S16378" s="178"/>
    </row>
    <row r="16379" spans="18:19">
      <c r="R16379" s="178"/>
      <c r="S16379" s="178"/>
    </row>
    <row r="16380" spans="18:19">
      <c r="R16380" s="178"/>
      <c r="S16380" s="178"/>
    </row>
    <row r="16381" spans="18:19">
      <c r="R16381" s="178"/>
      <c r="S16381" s="178"/>
    </row>
    <row r="16382" spans="18:19">
      <c r="R16382" s="178"/>
      <c r="S16382" s="178"/>
    </row>
    <row r="16383" spans="18:19">
      <c r="R16383" s="178"/>
      <c r="S16383" s="178"/>
    </row>
    <row r="16384" spans="18:19">
      <c r="R16384" s="178"/>
      <c r="S16384" s="178"/>
    </row>
    <row r="16385" spans="18:19">
      <c r="R16385" s="178"/>
      <c r="S16385" s="178"/>
    </row>
    <row r="16386" spans="18:19">
      <c r="R16386" s="178"/>
      <c r="S16386" s="178"/>
    </row>
    <row r="16387" spans="18:19">
      <c r="R16387" s="178"/>
      <c r="S16387" s="178"/>
    </row>
    <row r="16388" spans="18:19">
      <c r="R16388" s="178"/>
      <c r="S16388" s="178"/>
    </row>
    <row r="16389" spans="18:19">
      <c r="R16389" s="178"/>
      <c r="S16389" s="178"/>
    </row>
    <row r="16390" spans="18:19">
      <c r="R16390" s="178"/>
      <c r="S16390" s="178"/>
    </row>
    <row r="16391" spans="18:19">
      <c r="R16391" s="178"/>
      <c r="S16391" s="178"/>
    </row>
    <row r="16392" spans="18:19">
      <c r="R16392" s="178"/>
      <c r="S16392" s="178"/>
    </row>
    <row r="16393" spans="18:19">
      <c r="R16393" s="178"/>
      <c r="S16393" s="178"/>
    </row>
    <row r="16394" spans="18:19">
      <c r="R16394" s="178"/>
      <c r="S16394" s="178"/>
    </row>
    <row r="16395" spans="18:19">
      <c r="R16395" s="178"/>
      <c r="S16395" s="178"/>
    </row>
    <row r="16396" spans="18:19">
      <c r="R16396" s="178"/>
      <c r="S16396" s="178"/>
    </row>
    <row r="16397" spans="18:19">
      <c r="R16397" s="178"/>
      <c r="S16397" s="178"/>
    </row>
    <row r="16398" spans="18:19">
      <c r="R16398" s="178"/>
      <c r="S16398" s="178"/>
    </row>
    <row r="16399" spans="18:19">
      <c r="R16399" s="178"/>
      <c r="S16399" s="178"/>
    </row>
    <row r="16400" spans="18:19">
      <c r="R16400" s="178"/>
      <c r="S16400" s="178"/>
    </row>
    <row r="16401" spans="18:19">
      <c r="R16401" s="178"/>
      <c r="S16401" s="178"/>
    </row>
    <row r="16402" spans="18:19">
      <c r="R16402" s="178"/>
      <c r="S16402" s="178"/>
    </row>
    <row r="16403" spans="18:19">
      <c r="R16403" s="178"/>
      <c r="S16403" s="178"/>
    </row>
    <row r="16404" spans="18:19">
      <c r="R16404" s="178"/>
      <c r="S16404" s="178"/>
    </row>
    <row r="16405" spans="18:19">
      <c r="R16405" s="178"/>
      <c r="S16405" s="178"/>
    </row>
    <row r="16406" spans="18:19">
      <c r="R16406" s="178"/>
      <c r="S16406" s="178"/>
    </row>
    <row r="16407" spans="18:19">
      <c r="R16407" s="178"/>
      <c r="S16407" s="178"/>
    </row>
    <row r="16408" spans="18:19">
      <c r="R16408" s="178"/>
      <c r="S16408" s="178"/>
    </row>
    <row r="16409" spans="18:19">
      <c r="R16409" s="178"/>
      <c r="S16409" s="178"/>
    </row>
    <row r="16410" spans="18:19">
      <c r="R16410" s="178"/>
      <c r="S16410" s="178"/>
    </row>
    <row r="16411" spans="18:19">
      <c r="R16411" s="178"/>
      <c r="S16411" s="178"/>
    </row>
    <row r="16412" spans="18:19">
      <c r="R16412" s="178"/>
      <c r="S16412" s="178"/>
    </row>
    <row r="16413" spans="18:19">
      <c r="R16413" s="178"/>
      <c r="S16413" s="178"/>
    </row>
    <row r="16414" spans="18:19">
      <c r="R16414" s="178"/>
      <c r="S16414" s="178"/>
    </row>
    <row r="16415" spans="18:19">
      <c r="R16415" s="178"/>
      <c r="S16415" s="178"/>
    </row>
    <row r="16416" spans="18:19">
      <c r="R16416" s="178"/>
      <c r="S16416" s="178"/>
    </row>
    <row r="16417" spans="18:19">
      <c r="R16417" s="178"/>
      <c r="S16417" s="178"/>
    </row>
    <row r="16418" spans="18:19">
      <c r="R16418" s="178"/>
      <c r="S16418" s="178"/>
    </row>
    <row r="16419" spans="18:19">
      <c r="R16419" s="178"/>
      <c r="S16419" s="178"/>
    </row>
    <row r="16420" spans="18:19">
      <c r="R16420" s="178"/>
      <c r="S16420" s="178"/>
    </row>
    <row r="16421" spans="18:19">
      <c r="R16421" s="178"/>
      <c r="S16421" s="178"/>
    </row>
    <row r="16422" spans="18:19">
      <c r="R16422" s="178"/>
      <c r="S16422" s="178"/>
    </row>
    <row r="16423" spans="18:19">
      <c r="R16423" s="178"/>
      <c r="S16423" s="178"/>
    </row>
    <row r="16424" spans="18:19">
      <c r="R16424" s="178"/>
      <c r="S16424" s="178"/>
    </row>
    <row r="16425" spans="18:19">
      <c r="R16425" s="178"/>
      <c r="S16425" s="178"/>
    </row>
    <row r="16426" spans="18:19">
      <c r="R16426" s="178"/>
      <c r="S16426" s="178"/>
    </row>
    <row r="16427" spans="18:19">
      <c r="R16427" s="178"/>
      <c r="S16427" s="178"/>
    </row>
    <row r="16428" spans="18:19">
      <c r="R16428" s="178"/>
      <c r="S16428" s="178"/>
    </row>
    <row r="16429" spans="18:19">
      <c r="R16429" s="178"/>
      <c r="S16429" s="178"/>
    </row>
    <row r="16430" spans="18:19">
      <c r="R16430" s="178"/>
      <c r="S16430" s="178"/>
    </row>
    <row r="16431" spans="18:19">
      <c r="R16431" s="178"/>
      <c r="S16431" s="178"/>
    </row>
    <row r="16432" spans="18:19">
      <c r="R16432" s="178"/>
      <c r="S16432" s="178"/>
    </row>
    <row r="16433" spans="18:19">
      <c r="R16433" s="178"/>
      <c r="S16433" s="178"/>
    </row>
    <row r="16434" spans="18:19">
      <c r="R16434" s="178"/>
      <c r="S16434" s="178"/>
    </row>
    <row r="16435" spans="18:19">
      <c r="R16435" s="178"/>
      <c r="S16435" s="178"/>
    </row>
    <row r="16436" spans="18:19">
      <c r="R16436" s="178"/>
      <c r="S16436" s="178"/>
    </row>
    <row r="16437" spans="18:19">
      <c r="R16437" s="178"/>
      <c r="S16437" s="178"/>
    </row>
    <row r="16438" spans="18:19">
      <c r="R16438" s="178"/>
      <c r="S16438" s="178"/>
    </row>
    <row r="16439" spans="18:19">
      <c r="R16439" s="178"/>
      <c r="S16439" s="178"/>
    </row>
    <row r="16440" spans="18:19">
      <c r="R16440" s="178"/>
      <c r="S16440" s="178"/>
    </row>
    <row r="16441" spans="18:19">
      <c r="R16441" s="178"/>
      <c r="S16441" s="178"/>
    </row>
    <row r="16442" spans="18:19">
      <c r="R16442" s="178"/>
      <c r="S16442" s="178"/>
    </row>
    <row r="16443" spans="18:19">
      <c r="R16443" s="178"/>
      <c r="S16443" s="178"/>
    </row>
    <row r="16444" spans="18:19">
      <c r="R16444" s="178"/>
      <c r="S16444" s="178"/>
    </row>
    <row r="16445" spans="18:19">
      <c r="R16445" s="178"/>
      <c r="S16445" s="178"/>
    </row>
    <row r="16446" spans="18:19">
      <c r="R16446" s="178"/>
      <c r="S16446" s="178"/>
    </row>
    <row r="16447" spans="18:19">
      <c r="R16447" s="178"/>
      <c r="S16447" s="178"/>
    </row>
    <row r="16448" spans="18:19">
      <c r="R16448" s="178"/>
      <c r="S16448" s="178"/>
    </row>
    <row r="16449" spans="18:19">
      <c r="R16449" s="178"/>
      <c r="S16449" s="178"/>
    </row>
    <row r="16450" spans="18:19">
      <c r="R16450" s="178"/>
      <c r="S16450" s="178"/>
    </row>
    <row r="16451" spans="18:19">
      <c r="R16451" s="178"/>
      <c r="S16451" s="178"/>
    </row>
    <row r="16452" spans="18:19">
      <c r="R16452" s="178"/>
      <c r="S16452" s="178"/>
    </row>
    <row r="16453" spans="18:19">
      <c r="R16453" s="178"/>
      <c r="S16453" s="178"/>
    </row>
    <row r="16454" spans="18:19">
      <c r="R16454" s="178"/>
      <c r="S16454" s="178"/>
    </row>
    <row r="16455" spans="18:19">
      <c r="R16455" s="178"/>
      <c r="S16455" s="178"/>
    </row>
    <row r="16456" spans="18:19">
      <c r="R16456" s="178"/>
      <c r="S16456" s="178"/>
    </row>
    <row r="16457" spans="18:19">
      <c r="R16457" s="178"/>
      <c r="S16457" s="178"/>
    </row>
    <row r="16458" spans="18:19">
      <c r="R16458" s="178"/>
      <c r="S16458" s="178"/>
    </row>
    <row r="16459" spans="18:19">
      <c r="R16459" s="178"/>
      <c r="S16459" s="178"/>
    </row>
    <row r="16460" spans="18:19">
      <c r="R16460" s="178"/>
      <c r="S16460" s="178"/>
    </row>
    <row r="16461" spans="18:19">
      <c r="R16461" s="178"/>
      <c r="S16461" s="178"/>
    </row>
    <row r="16462" spans="18:19">
      <c r="R16462" s="178"/>
      <c r="S16462" s="178"/>
    </row>
    <row r="16463" spans="18:19">
      <c r="R16463" s="178"/>
      <c r="S16463" s="178"/>
    </row>
    <row r="16464" spans="18:19">
      <c r="R16464" s="178"/>
      <c r="S16464" s="178"/>
    </row>
    <row r="16465" spans="18:19">
      <c r="R16465" s="178"/>
      <c r="S16465" s="178"/>
    </row>
    <row r="16466" spans="18:19">
      <c r="R16466" s="178"/>
      <c r="S16466" s="178"/>
    </row>
    <row r="16467" spans="18:19">
      <c r="R16467" s="178"/>
      <c r="S16467" s="178"/>
    </row>
    <row r="16468" spans="18:19">
      <c r="R16468" s="178"/>
      <c r="S16468" s="178"/>
    </row>
    <row r="16469" spans="18:19">
      <c r="R16469" s="178"/>
      <c r="S16469" s="178"/>
    </row>
    <row r="16470" spans="18:19">
      <c r="R16470" s="178"/>
      <c r="S16470" s="178"/>
    </row>
    <row r="16471" spans="18:19">
      <c r="R16471" s="178"/>
      <c r="S16471" s="178"/>
    </row>
    <row r="16472" spans="18:19">
      <c r="R16472" s="178"/>
      <c r="S16472" s="178"/>
    </row>
    <row r="16473" spans="18:19">
      <c r="R16473" s="178"/>
      <c r="S16473" s="178"/>
    </row>
    <row r="16474" spans="18:19">
      <c r="R16474" s="178"/>
      <c r="S16474" s="178"/>
    </row>
    <row r="16475" spans="18:19">
      <c r="R16475" s="178"/>
      <c r="S16475" s="178"/>
    </row>
    <row r="16476" spans="18:19">
      <c r="R16476" s="178"/>
      <c r="S16476" s="178"/>
    </row>
    <row r="16477" spans="18:19">
      <c r="R16477" s="178"/>
      <c r="S16477" s="178"/>
    </row>
    <row r="16478" spans="18:19">
      <c r="R16478" s="178"/>
      <c r="S16478" s="178"/>
    </row>
    <row r="16479" spans="18:19">
      <c r="R16479" s="178"/>
      <c r="S16479" s="178"/>
    </row>
    <row r="16480" spans="18:19">
      <c r="R16480" s="178"/>
      <c r="S16480" s="178"/>
    </row>
    <row r="16481" spans="18:19">
      <c r="R16481" s="178"/>
      <c r="S16481" s="178"/>
    </row>
    <row r="16482" spans="18:19">
      <c r="R16482" s="178"/>
      <c r="S16482" s="178"/>
    </row>
    <row r="16483" spans="18:19">
      <c r="R16483" s="178"/>
      <c r="S16483" s="178"/>
    </row>
    <row r="16484" spans="18:19">
      <c r="R16484" s="178"/>
      <c r="S16484" s="178"/>
    </row>
    <row r="16485" spans="18:19">
      <c r="R16485" s="178"/>
      <c r="S16485" s="178"/>
    </row>
    <row r="16486" spans="18:19">
      <c r="R16486" s="178"/>
      <c r="S16486" s="178"/>
    </row>
    <row r="16487" spans="18:19">
      <c r="R16487" s="178"/>
      <c r="S16487" s="178"/>
    </row>
    <row r="16488" spans="18:19">
      <c r="R16488" s="178"/>
      <c r="S16488" s="178"/>
    </row>
    <row r="16489" spans="18:19">
      <c r="R16489" s="178"/>
      <c r="S16489" s="178"/>
    </row>
    <row r="16490" spans="18:19">
      <c r="R16490" s="178"/>
      <c r="S16490" s="178"/>
    </row>
    <row r="16491" spans="18:19">
      <c r="R16491" s="178"/>
      <c r="S16491" s="178"/>
    </row>
    <row r="16492" spans="18:19">
      <c r="R16492" s="178"/>
      <c r="S16492" s="178"/>
    </row>
    <row r="16493" spans="18:19">
      <c r="R16493" s="178"/>
      <c r="S16493" s="178"/>
    </row>
    <row r="16494" spans="18:19">
      <c r="R16494" s="178"/>
      <c r="S16494" s="178"/>
    </row>
    <row r="16495" spans="18:19">
      <c r="R16495" s="178"/>
      <c r="S16495" s="178"/>
    </row>
    <row r="16496" spans="18:19">
      <c r="R16496" s="178"/>
      <c r="S16496" s="178"/>
    </row>
    <row r="16497" spans="18:19">
      <c r="R16497" s="178"/>
      <c r="S16497" s="178"/>
    </row>
    <row r="16498" spans="18:19">
      <c r="R16498" s="178"/>
      <c r="S16498" s="178"/>
    </row>
    <row r="16499" spans="18:19">
      <c r="R16499" s="178"/>
      <c r="S16499" s="178"/>
    </row>
    <row r="16500" spans="18:19">
      <c r="R16500" s="178"/>
      <c r="S16500" s="178"/>
    </row>
    <row r="16501" spans="18:19">
      <c r="R16501" s="178"/>
      <c r="S16501" s="178"/>
    </row>
    <row r="16502" spans="18:19">
      <c r="R16502" s="178"/>
      <c r="S16502" s="178"/>
    </row>
    <row r="16503" spans="18:19">
      <c r="R16503" s="178"/>
      <c r="S16503" s="178"/>
    </row>
    <row r="16504" spans="18:19">
      <c r="R16504" s="178"/>
      <c r="S16504" s="178"/>
    </row>
    <row r="16505" spans="18:19">
      <c r="R16505" s="178"/>
      <c r="S16505" s="178"/>
    </row>
    <row r="16506" spans="18:19">
      <c r="R16506" s="178"/>
      <c r="S16506" s="178"/>
    </row>
    <row r="16507" spans="18:19">
      <c r="R16507" s="178"/>
      <c r="S16507" s="178"/>
    </row>
    <row r="16508" spans="18:19">
      <c r="R16508" s="178"/>
      <c r="S16508" s="178"/>
    </row>
    <row r="16509" spans="18:19">
      <c r="R16509" s="178"/>
      <c r="S16509" s="178"/>
    </row>
    <row r="16510" spans="18:19">
      <c r="R16510" s="178"/>
      <c r="S16510" s="178"/>
    </row>
    <row r="16511" spans="18:19">
      <c r="R16511" s="178"/>
      <c r="S16511" s="178"/>
    </row>
    <row r="16512" spans="18:19">
      <c r="R16512" s="178"/>
      <c r="S16512" s="178"/>
    </row>
    <row r="16513" spans="18:19">
      <c r="R16513" s="178"/>
      <c r="S16513" s="178"/>
    </row>
    <row r="16514" spans="18:19">
      <c r="R16514" s="178"/>
      <c r="S16514" s="178"/>
    </row>
    <row r="16515" spans="18:19">
      <c r="R16515" s="178"/>
      <c r="S16515" s="178"/>
    </row>
    <row r="16516" spans="18:19">
      <c r="R16516" s="178"/>
      <c r="S16516" s="178"/>
    </row>
    <row r="16517" spans="18:19">
      <c r="R16517" s="178"/>
      <c r="S16517" s="178"/>
    </row>
    <row r="16518" spans="18:19">
      <c r="R16518" s="178"/>
      <c r="S16518" s="178"/>
    </row>
    <row r="16519" spans="18:19">
      <c r="R16519" s="178"/>
      <c r="S16519" s="178"/>
    </row>
    <row r="16520" spans="18:19">
      <c r="R16520" s="178"/>
      <c r="S16520" s="178"/>
    </row>
    <row r="16521" spans="18:19">
      <c r="R16521" s="178"/>
      <c r="S16521" s="178"/>
    </row>
    <row r="16522" spans="18:19">
      <c r="R16522" s="178"/>
      <c r="S16522" s="178"/>
    </row>
    <row r="16523" spans="18:19">
      <c r="R16523" s="178"/>
      <c r="S16523" s="178"/>
    </row>
    <row r="16524" spans="18:19">
      <c r="R16524" s="178"/>
      <c r="S16524" s="178"/>
    </row>
    <row r="16525" spans="18:19">
      <c r="R16525" s="178"/>
      <c r="S16525" s="178"/>
    </row>
    <row r="16526" spans="18:19">
      <c r="R16526" s="178"/>
      <c r="S16526" s="178"/>
    </row>
    <row r="16527" spans="18:19">
      <c r="R16527" s="178"/>
      <c r="S16527" s="178"/>
    </row>
    <row r="16528" spans="18:19">
      <c r="R16528" s="178"/>
      <c r="S16528" s="178"/>
    </row>
    <row r="16529" spans="18:19">
      <c r="R16529" s="178"/>
      <c r="S16529" s="178"/>
    </row>
    <row r="16530" spans="18:19">
      <c r="R16530" s="178"/>
      <c r="S16530" s="178"/>
    </row>
    <row r="16531" spans="18:19">
      <c r="R16531" s="178"/>
      <c r="S16531" s="178"/>
    </row>
    <row r="16532" spans="18:19">
      <c r="R16532" s="178"/>
      <c r="S16532" s="178"/>
    </row>
    <row r="16533" spans="18:19">
      <c r="R16533" s="178"/>
      <c r="S16533" s="178"/>
    </row>
    <row r="16534" spans="18:19">
      <c r="R16534" s="178"/>
      <c r="S16534" s="178"/>
    </row>
    <row r="16535" spans="18:19">
      <c r="R16535" s="178"/>
      <c r="S16535" s="178"/>
    </row>
    <row r="16536" spans="18:19">
      <c r="R16536" s="178"/>
      <c r="S16536" s="178"/>
    </row>
    <row r="16537" spans="18:19">
      <c r="R16537" s="178"/>
      <c r="S16537" s="178"/>
    </row>
    <row r="16538" spans="18:19">
      <c r="R16538" s="178"/>
      <c r="S16538" s="178"/>
    </row>
    <row r="16539" spans="18:19">
      <c r="R16539" s="178"/>
      <c r="S16539" s="178"/>
    </row>
    <row r="16540" spans="18:19">
      <c r="R16540" s="178"/>
      <c r="S16540" s="178"/>
    </row>
    <row r="16541" spans="18:19">
      <c r="R16541" s="178"/>
      <c r="S16541" s="178"/>
    </row>
    <row r="16542" spans="18:19">
      <c r="R16542" s="178"/>
      <c r="S16542" s="178"/>
    </row>
    <row r="16543" spans="18:19">
      <c r="R16543" s="178"/>
      <c r="S16543" s="178"/>
    </row>
    <row r="16544" spans="18:19">
      <c r="R16544" s="178"/>
      <c r="S16544" s="178"/>
    </row>
    <row r="16545" spans="18:19">
      <c r="R16545" s="178"/>
      <c r="S16545" s="178"/>
    </row>
    <row r="16546" spans="18:19">
      <c r="R16546" s="178"/>
      <c r="S16546" s="178"/>
    </row>
    <row r="16547" spans="18:19">
      <c r="R16547" s="178"/>
      <c r="S16547" s="178"/>
    </row>
    <row r="16548" spans="18:19">
      <c r="R16548" s="178"/>
      <c r="S16548" s="178"/>
    </row>
    <row r="16549" spans="18:19">
      <c r="R16549" s="178"/>
      <c r="S16549" s="178"/>
    </row>
    <row r="16550" spans="18:19">
      <c r="R16550" s="178"/>
      <c r="S16550" s="178"/>
    </row>
    <row r="16551" spans="18:19">
      <c r="R16551" s="178"/>
      <c r="S16551" s="178"/>
    </row>
    <row r="16552" spans="18:19">
      <c r="R16552" s="178"/>
      <c r="S16552" s="178"/>
    </row>
    <row r="16553" spans="18:19">
      <c r="R16553" s="178"/>
      <c r="S16553" s="178"/>
    </row>
    <row r="16554" spans="18:19">
      <c r="R16554" s="178"/>
      <c r="S16554" s="178"/>
    </row>
    <row r="16555" spans="18:19">
      <c r="R16555" s="178"/>
      <c r="S16555" s="178"/>
    </row>
    <row r="16556" spans="18:19">
      <c r="R16556" s="178"/>
      <c r="S16556" s="178"/>
    </row>
    <row r="16557" spans="18:19">
      <c r="R16557" s="178"/>
      <c r="S16557" s="178"/>
    </row>
    <row r="16558" spans="18:19">
      <c r="R16558" s="178"/>
      <c r="S16558" s="178"/>
    </row>
    <row r="16559" spans="18:19">
      <c r="R16559" s="178"/>
      <c r="S16559" s="178"/>
    </row>
    <row r="16560" spans="18:19">
      <c r="R16560" s="178"/>
      <c r="S16560" s="178"/>
    </row>
    <row r="16561" spans="18:19">
      <c r="R16561" s="178"/>
      <c r="S16561" s="178"/>
    </row>
    <row r="16562" spans="18:19">
      <c r="R16562" s="178"/>
      <c r="S16562" s="178"/>
    </row>
    <row r="16563" spans="18:19">
      <c r="R16563" s="178"/>
      <c r="S16563" s="178"/>
    </row>
    <row r="16564" spans="18:19">
      <c r="R16564" s="178"/>
      <c r="S16564" s="178"/>
    </row>
    <row r="16565" spans="18:19">
      <c r="R16565" s="178"/>
      <c r="S16565" s="178"/>
    </row>
    <row r="16566" spans="18:19">
      <c r="R16566" s="178"/>
      <c r="S16566" s="178"/>
    </row>
    <row r="16567" spans="18:19">
      <c r="R16567" s="178"/>
      <c r="S16567" s="178"/>
    </row>
    <row r="16568" spans="18:19">
      <c r="R16568" s="178"/>
      <c r="S16568" s="178"/>
    </row>
    <row r="16569" spans="18:19">
      <c r="R16569" s="178"/>
      <c r="S16569" s="178"/>
    </row>
    <row r="16570" spans="18:19">
      <c r="R16570" s="178"/>
      <c r="S16570" s="178"/>
    </row>
    <row r="16571" spans="18:19">
      <c r="R16571" s="178"/>
      <c r="S16571" s="178"/>
    </row>
    <row r="16572" spans="18:19">
      <c r="R16572" s="178"/>
      <c r="S16572" s="178"/>
    </row>
    <row r="16573" spans="18:19">
      <c r="R16573" s="178"/>
      <c r="S16573" s="178"/>
    </row>
    <row r="16574" spans="18:19">
      <c r="R16574" s="178"/>
      <c r="S16574" s="178"/>
    </row>
    <row r="16575" spans="18:19">
      <c r="R16575" s="178"/>
      <c r="S16575" s="178"/>
    </row>
    <row r="16576" spans="18:19">
      <c r="R16576" s="178"/>
      <c r="S16576" s="178"/>
    </row>
    <row r="16577" spans="18:19">
      <c r="R16577" s="178"/>
      <c r="S16577" s="178"/>
    </row>
    <row r="16578" spans="18:19">
      <c r="R16578" s="178"/>
      <c r="S16578" s="178"/>
    </row>
    <row r="16579" spans="18:19">
      <c r="R16579" s="178"/>
      <c r="S16579" s="178"/>
    </row>
    <row r="16580" spans="18:19">
      <c r="R16580" s="178"/>
      <c r="S16580" s="178"/>
    </row>
    <row r="16581" spans="18:19">
      <c r="R16581" s="178"/>
      <c r="S16581" s="178"/>
    </row>
    <row r="16582" spans="18:19">
      <c r="R16582" s="178"/>
      <c r="S16582" s="178"/>
    </row>
    <row r="16583" spans="18:19">
      <c r="R16583" s="178"/>
      <c r="S16583" s="178"/>
    </row>
    <row r="16584" spans="18:19">
      <c r="R16584" s="178"/>
      <c r="S16584" s="178"/>
    </row>
    <row r="16585" spans="18:19">
      <c r="R16585" s="178"/>
      <c r="S16585" s="178"/>
    </row>
    <row r="16586" spans="18:19">
      <c r="R16586" s="178"/>
      <c r="S16586" s="178"/>
    </row>
    <row r="16587" spans="18:19">
      <c r="R16587" s="178"/>
      <c r="S16587" s="178"/>
    </row>
    <row r="16588" spans="18:19">
      <c r="R16588" s="178"/>
      <c r="S16588" s="178"/>
    </row>
    <row r="16589" spans="18:19">
      <c r="R16589" s="178"/>
      <c r="S16589" s="178"/>
    </row>
    <row r="16590" spans="18:19">
      <c r="R16590" s="178"/>
      <c r="S16590" s="178"/>
    </row>
    <row r="16591" spans="18:19">
      <c r="R16591" s="178"/>
      <c r="S16591" s="178"/>
    </row>
    <row r="16592" spans="18:19">
      <c r="R16592" s="178"/>
      <c r="S16592" s="178"/>
    </row>
    <row r="16593" spans="18:19">
      <c r="R16593" s="178"/>
      <c r="S16593" s="178"/>
    </row>
    <row r="16594" spans="18:19">
      <c r="R16594" s="178"/>
      <c r="S16594" s="178"/>
    </row>
    <row r="16595" spans="18:19">
      <c r="R16595" s="178"/>
      <c r="S16595" s="178"/>
    </row>
    <row r="16596" spans="18:19">
      <c r="R16596" s="178"/>
      <c r="S16596" s="178"/>
    </row>
    <row r="16597" spans="18:19">
      <c r="R16597" s="178"/>
      <c r="S16597" s="178"/>
    </row>
    <row r="16598" spans="18:19">
      <c r="R16598" s="178"/>
      <c r="S16598" s="178"/>
    </row>
    <row r="16599" spans="18:19">
      <c r="R16599" s="178"/>
      <c r="S16599" s="178"/>
    </row>
    <row r="16600" spans="18:19">
      <c r="R16600" s="178"/>
      <c r="S16600" s="178"/>
    </row>
    <row r="16601" spans="18:19">
      <c r="R16601" s="178"/>
      <c r="S16601" s="178"/>
    </row>
    <row r="16602" spans="18:19">
      <c r="R16602" s="178"/>
      <c r="S16602" s="178"/>
    </row>
    <row r="16603" spans="18:19">
      <c r="R16603" s="178"/>
      <c r="S16603" s="178"/>
    </row>
    <row r="16604" spans="18:19">
      <c r="R16604" s="178"/>
      <c r="S16604" s="178"/>
    </row>
    <row r="16605" spans="18:19">
      <c r="R16605" s="178"/>
      <c r="S16605" s="178"/>
    </row>
    <row r="16606" spans="18:19">
      <c r="R16606" s="178"/>
      <c r="S16606" s="178"/>
    </row>
    <row r="16607" spans="18:19">
      <c r="R16607" s="178"/>
      <c r="S16607" s="178"/>
    </row>
    <row r="16608" spans="18:19">
      <c r="R16608" s="178"/>
      <c r="S16608" s="178"/>
    </row>
    <row r="16609" spans="18:19">
      <c r="R16609" s="178"/>
      <c r="S16609" s="178"/>
    </row>
    <row r="16610" spans="18:19">
      <c r="R16610" s="178"/>
      <c r="S16610" s="178"/>
    </row>
    <row r="16611" spans="18:19">
      <c r="R16611" s="178"/>
      <c r="S16611" s="178"/>
    </row>
    <row r="16612" spans="18:19">
      <c r="R16612" s="178"/>
      <c r="S16612" s="178"/>
    </row>
    <row r="16613" spans="18:19">
      <c r="R16613" s="178"/>
      <c r="S16613" s="178"/>
    </row>
    <row r="16614" spans="18:19">
      <c r="R16614" s="178"/>
      <c r="S16614" s="178"/>
    </row>
    <row r="16615" spans="18:19">
      <c r="R16615" s="178"/>
      <c r="S16615" s="178"/>
    </row>
    <row r="16616" spans="18:19">
      <c r="R16616" s="178"/>
      <c r="S16616" s="178"/>
    </row>
    <row r="16617" spans="18:19">
      <c r="R16617" s="178"/>
      <c r="S16617" s="178"/>
    </row>
    <row r="16618" spans="18:19">
      <c r="R16618" s="178"/>
      <c r="S16618" s="178"/>
    </row>
    <row r="16619" spans="18:19">
      <c r="R16619" s="178"/>
      <c r="S16619" s="178"/>
    </row>
    <row r="16620" spans="18:19">
      <c r="R16620" s="178"/>
      <c r="S16620" s="178"/>
    </row>
    <row r="16621" spans="18:19">
      <c r="R16621" s="178"/>
      <c r="S16621" s="178"/>
    </row>
    <row r="16622" spans="18:19">
      <c r="R16622" s="178"/>
      <c r="S16622" s="178"/>
    </row>
    <row r="16623" spans="18:19">
      <c r="R16623" s="178"/>
      <c r="S16623" s="178"/>
    </row>
    <row r="16624" spans="18:19">
      <c r="R16624" s="178"/>
      <c r="S16624" s="178"/>
    </row>
    <row r="16625" spans="18:19">
      <c r="R16625" s="178"/>
      <c r="S16625" s="178"/>
    </row>
    <row r="16626" spans="18:19">
      <c r="R16626" s="178"/>
      <c r="S16626" s="178"/>
    </row>
    <row r="16627" spans="18:19">
      <c r="R16627" s="178"/>
      <c r="S16627" s="178"/>
    </row>
    <row r="16628" spans="18:19">
      <c r="R16628" s="178"/>
      <c r="S16628" s="178"/>
    </row>
    <row r="16629" spans="18:19">
      <c r="R16629" s="178"/>
      <c r="S16629" s="178"/>
    </row>
    <row r="16630" spans="18:19">
      <c r="R16630" s="178"/>
      <c r="S16630" s="178"/>
    </row>
    <row r="16631" spans="18:19">
      <c r="R16631" s="178"/>
      <c r="S16631" s="178"/>
    </row>
    <row r="16632" spans="18:19">
      <c r="R16632" s="178"/>
      <c r="S16632" s="178"/>
    </row>
    <row r="16633" spans="18:19">
      <c r="R16633" s="178"/>
      <c r="S16633" s="178"/>
    </row>
    <row r="16634" spans="18:19">
      <c r="R16634" s="178"/>
      <c r="S16634" s="178"/>
    </row>
    <row r="16635" spans="18:19">
      <c r="R16635" s="178"/>
      <c r="S16635" s="178"/>
    </row>
    <row r="16636" spans="18:19">
      <c r="R16636" s="178"/>
      <c r="S16636" s="178"/>
    </row>
    <row r="16637" spans="18:19">
      <c r="R16637" s="178"/>
      <c r="S16637" s="178"/>
    </row>
    <row r="16638" spans="18:19">
      <c r="R16638" s="178"/>
      <c r="S16638" s="178"/>
    </row>
    <row r="16639" spans="18:19">
      <c r="R16639" s="178"/>
      <c r="S16639" s="178"/>
    </row>
    <row r="16640" spans="18:19">
      <c r="R16640" s="178"/>
      <c r="S16640" s="178"/>
    </row>
    <row r="16641" spans="18:19">
      <c r="R16641" s="178"/>
      <c r="S16641" s="178"/>
    </row>
    <row r="16642" spans="18:19">
      <c r="R16642" s="178"/>
      <c r="S16642" s="178"/>
    </row>
    <row r="16643" spans="18:19">
      <c r="R16643" s="178"/>
      <c r="S16643" s="178"/>
    </row>
    <row r="16644" spans="18:19">
      <c r="R16644" s="178"/>
      <c r="S16644" s="178"/>
    </row>
    <row r="16645" spans="18:19">
      <c r="R16645" s="178"/>
      <c r="S16645" s="178"/>
    </row>
    <row r="16646" spans="18:19">
      <c r="R16646" s="178"/>
      <c r="S16646" s="178"/>
    </row>
    <row r="16647" spans="18:19">
      <c r="R16647" s="178"/>
      <c r="S16647" s="178"/>
    </row>
    <row r="16648" spans="18:19">
      <c r="R16648" s="178"/>
      <c r="S16648" s="178"/>
    </row>
    <row r="16649" spans="18:19">
      <c r="R16649" s="178"/>
      <c r="S16649" s="178"/>
    </row>
    <row r="16650" spans="18:19">
      <c r="R16650" s="178"/>
      <c r="S16650" s="178"/>
    </row>
    <row r="16651" spans="18:19">
      <c r="R16651" s="178"/>
      <c r="S16651" s="178"/>
    </row>
    <row r="16652" spans="18:19">
      <c r="R16652" s="178"/>
      <c r="S16652" s="178"/>
    </row>
    <row r="16653" spans="18:19">
      <c r="R16653" s="178"/>
      <c r="S16653" s="178"/>
    </row>
    <row r="16654" spans="18:19">
      <c r="R16654" s="178"/>
      <c r="S16654" s="178"/>
    </row>
    <row r="16655" spans="18:19">
      <c r="R16655" s="178"/>
      <c r="S16655" s="178"/>
    </row>
    <row r="16656" spans="18:19">
      <c r="R16656" s="178"/>
      <c r="S16656" s="178"/>
    </row>
    <row r="16657" spans="18:19">
      <c r="R16657" s="178"/>
      <c r="S16657" s="178"/>
    </row>
    <row r="16658" spans="18:19">
      <c r="R16658" s="178"/>
      <c r="S16658" s="178"/>
    </row>
    <row r="16659" spans="18:19">
      <c r="R16659" s="178"/>
      <c r="S16659" s="178"/>
    </row>
    <row r="16660" spans="18:19">
      <c r="R16660" s="178"/>
      <c r="S16660" s="178"/>
    </row>
    <row r="16661" spans="18:19">
      <c r="R16661" s="178"/>
      <c r="S16661" s="178"/>
    </row>
    <row r="16662" spans="18:19">
      <c r="R16662" s="178"/>
      <c r="S16662" s="178"/>
    </row>
    <row r="16663" spans="18:19">
      <c r="R16663" s="178"/>
      <c r="S16663" s="178"/>
    </row>
    <row r="16664" spans="18:19">
      <c r="R16664" s="178"/>
      <c r="S16664" s="178"/>
    </row>
    <row r="16665" spans="18:19">
      <c r="R16665" s="178"/>
      <c r="S16665" s="178"/>
    </row>
    <row r="16666" spans="18:19">
      <c r="R16666" s="178"/>
      <c r="S16666" s="178"/>
    </row>
    <row r="16667" spans="18:19">
      <c r="R16667" s="178"/>
      <c r="S16667" s="178"/>
    </row>
    <row r="16668" spans="18:19">
      <c r="R16668" s="178"/>
      <c r="S16668" s="178"/>
    </row>
    <row r="16669" spans="18:19">
      <c r="R16669" s="178"/>
      <c r="S16669" s="178"/>
    </row>
    <row r="16670" spans="18:19">
      <c r="R16670" s="178"/>
      <c r="S16670" s="178"/>
    </row>
    <row r="16671" spans="18:19">
      <c r="R16671" s="178"/>
      <c r="S16671" s="178"/>
    </row>
    <row r="16672" spans="18:19">
      <c r="R16672" s="178"/>
      <c r="S16672" s="178"/>
    </row>
    <row r="16673" spans="18:19">
      <c r="R16673" s="178"/>
      <c r="S16673" s="178"/>
    </row>
    <row r="16674" spans="18:19">
      <c r="R16674" s="178"/>
      <c r="S16674" s="178"/>
    </row>
    <row r="16675" spans="18:19">
      <c r="R16675" s="178"/>
      <c r="S16675" s="178"/>
    </row>
    <row r="16676" spans="18:19">
      <c r="R16676" s="178"/>
      <c r="S16676" s="178"/>
    </row>
    <row r="16677" spans="18:19">
      <c r="R16677" s="178"/>
      <c r="S16677" s="178"/>
    </row>
    <row r="16678" spans="18:19">
      <c r="R16678" s="178"/>
      <c r="S16678" s="178"/>
    </row>
    <row r="16679" spans="18:19">
      <c r="R16679" s="178"/>
      <c r="S16679" s="178"/>
    </row>
    <row r="16680" spans="18:19">
      <c r="R16680" s="178"/>
      <c r="S16680" s="178"/>
    </row>
    <row r="16681" spans="18:19">
      <c r="R16681" s="178"/>
      <c r="S16681" s="178"/>
    </row>
    <row r="16682" spans="18:19">
      <c r="R16682" s="178"/>
      <c r="S16682" s="178"/>
    </row>
    <row r="16683" spans="18:19">
      <c r="R16683" s="178"/>
      <c r="S16683" s="178"/>
    </row>
    <row r="16684" spans="18:19">
      <c r="R16684" s="178"/>
      <c r="S16684" s="178"/>
    </row>
    <row r="16685" spans="18:19">
      <c r="R16685" s="178"/>
      <c r="S16685" s="178"/>
    </row>
    <row r="16686" spans="18:19">
      <c r="R16686" s="178"/>
      <c r="S16686" s="178"/>
    </row>
    <row r="16687" spans="18:19">
      <c r="R16687" s="178"/>
      <c r="S16687" s="178"/>
    </row>
    <row r="16688" spans="18:19">
      <c r="R16688" s="178"/>
      <c r="S16688" s="178"/>
    </row>
    <row r="16689" spans="18:19">
      <c r="R16689" s="178"/>
      <c r="S16689" s="178"/>
    </row>
    <row r="16690" spans="18:19">
      <c r="R16690" s="178"/>
      <c r="S16690" s="178"/>
    </row>
    <row r="16691" spans="18:19">
      <c r="R16691" s="178"/>
      <c r="S16691" s="178"/>
    </row>
    <row r="16692" spans="18:19">
      <c r="R16692" s="178"/>
      <c r="S16692" s="178"/>
    </row>
    <row r="16693" spans="18:19">
      <c r="R16693" s="178"/>
      <c r="S16693" s="178"/>
    </row>
    <row r="16694" spans="18:19">
      <c r="R16694" s="178"/>
      <c r="S16694" s="178"/>
    </row>
    <row r="16695" spans="18:19">
      <c r="R16695" s="178"/>
      <c r="S16695" s="178"/>
    </row>
    <row r="16696" spans="18:19">
      <c r="R16696" s="178"/>
      <c r="S16696" s="178"/>
    </row>
    <row r="16697" spans="18:19">
      <c r="R16697" s="178"/>
      <c r="S16697" s="178"/>
    </row>
    <row r="16698" spans="18:19">
      <c r="R16698" s="178"/>
      <c r="S16698" s="178"/>
    </row>
    <row r="16699" spans="18:19">
      <c r="R16699" s="178"/>
      <c r="S16699" s="178"/>
    </row>
    <row r="16700" spans="18:19">
      <c r="R16700" s="178"/>
      <c r="S16700" s="178"/>
    </row>
    <row r="16701" spans="18:19">
      <c r="R16701" s="178"/>
      <c r="S16701" s="178"/>
    </row>
    <row r="16702" spans="18:19">
      <c r="R16702" s="178"/>
      <c r="S16702" s="178"/>
    </row>
    <row r="16703" spans="18:19">
      <c r="R16703" s="178"/>
      <c r="S16703" s="178"/>
    </row>
    <row r="16704" spans="18:19">
      <c r="R16704" s="178"/>
      <c r="S16704" s="178"/>
    </row>
    <row r="16705" spans="18:19">
      <c r="R16705" s="178"/>
      <c r="S16705" s="178"/>
    </row>
    <row r="16706" spans="18:19">
      <c r="R16706" s="178"/>
      <c r="S16706" s="178"/>
    </row>
    <row r="16707" spans="18:19">
      <c r="R16707" s="178"/>
      <c r="S16707" s="178"/>
    </row>
    <row r="16708" spans="18:19">
      <c r="R16708" s="178"/>
      <c r="S16708" s="178"/>
    </row>
    <row r="16709" spans="18:19">
      <c r="R16709" s="178"/>
      <c r="S16709" s="178"/>
    </row>
    <row r="16710" spans="18:19">
      <c r="R16710" s="178"/>
      <c r="S16710" s="178"/>
    </row>
    <row r="16711" spans="18:19">
      <c r="R16711" s="178"/>
      <c r="S16711" s="178"/>
    </row>
    <row r="16712" spans="18:19">
      <c r="R16712" s="178"/>
      <c r="S16712" s="178"/>
    </row>
    <row r="16713" spans="18:19">
      <c r="R16713" s="178"/>
      <c r="S16713" s="178"/>
    </row>
    <row r="16714" spans="18:19">
      <c r="R16714" s="178"/>
      <c r="S16714" s="178"/>
    </row>
    <row r="16715" spans="18:19">
      <c r="R16715" s="178"/>
      <c r="S16715" s="178"/>
    </row>
    <row r="16716" spans="18:19">
      <c r="R16716" s="178"/>
      <c r="S16716" s="178"/>
    </row>
    <row r="16717" spans="18:19">
      <c r="R16717" s="178"/>
      <c r="S16717" s="178"/>
    </row>
    <row r="16718" spans="18:19">
      <c r="R16718" s="178"/>
      <c r="S16718" s="178"/>
    </row>
    <row r="16719" spans="18:19">
      <c r="R16719" s="178"/>
      <c r="S16719" s="178"/>
    </row>
    <row r="16720" spans="18:19">
      <c r="R16720" s="178"/>
      <c r="S16720" s="178"/>
    </row>
    <row r="16721" spans="18:19">
      <c r="R16721" s="178"/>
      <c r="S16721" s="178"/>
    </row>
    <row r="16722" spans="18:19">
      <c r="R16722" s="178"/>
      <c r="S16722" s="178"/>
    </row>
    <row r="16723" spans="18:19">
      <c r="R16723" s="178"/>
      <c r="S16723" s="178"/>
    </row>
    <row r="16724" spans="18:19">
      <c r="R16724" s="178"/>
      <c r="S16724" s="178"/>
    </row>
    <row r="16725" spans="18:19">
      <c r="R16725" s="178"/>
      <c r="S16725" s="178"/>
    </row>
    <row r="16726" spans="18:19">
      <c r="R16726" s="178"/>
      <c r="S16726" s="178"/>
    </row>
    <row r="16727" spans="18:19">
      <c r="R16727" s="178"/>
      <c r="S16727" s="178"/>
    </row>
    <row r="16728" spans="18:19">
      <c r="R16728" s="178"/>
      <c r="S16728" s="178"/>
    </row>
    <row r="16729" spans="18:19">
      <c r="R16729" s="178"/>
      <c r="S16729" s="178"/>
    </row>
    <row r="16730" spans="18:19">
      <c r="R16730" s="178"/>
      <c r="S16730" s="178"/>
    </row>
    <row r="16731" spans="18:19">
      <c r="R16731" s="178"/>
      <c r="S16731" s="178"/>
    </row>
    <row r="16732" spans="18:19">
      <c r="R16732" s="178"/>
      <c r="S16732" s="178"/>
    </row>
    <row r="16733" spans="18:19">
      <c r="R16733" s="178"/>
      <c r="S16733" s="178"/>
    </row>
    <row r="16734" spans="18:19">
      <c r="R16734" s="178"/>
      <c r="S16734" s="178"/>
    </row>
    <row r="16735" spans="18:19">
      <c r="R16735" s="178"/>
      <c r="S16735" s="178"/>
    </row>
    <row r="16736" spans="18:19">
      <c r="R16736" s="178"/>
      <c r="S16736" s="178"/>
    </row>
    <row r="16737" spans="18:19">
      <c r="R16737" s="178"/>
      <c r="S16737" s="178"/>
    </row>
    <row r="16738" spans="18:19">
      <c r="R16738" s="178"/>
      <c r="S16738" s="178"/>
    </row>
    <row r="16739" spans="18:19">
      <c r="R16739" s="178"/>
      <c r="S16739" s="178"/>
    </row>
    <row r="16740" spans="18:19">
      <c r="R16740" s="178"/>
      <c r="S16740" s="178"/>
    </row>
    <row r="16741" spans="18:19">
      <c r="R16741" s="178"/>
      <c r="S16741" s="178"/>
    </row>
    <row r="16742" spans="18:19">
      <c r="R16742" s="178"/>
      <c r="S16742" s="178"/>
    </row>
    <row r="16743" spans="18:19">
      <c r="R16743" s="178"/>
      <c r="S16743" s="178"/>
    </row>
    <row r="16744" spans="18:19">
      <c r="R16744" s="178"/>
      <c r="S16744" s="178"/>
    </row>
    <row r="16745" spans="18:19">
      <c r="R16745" s="178"/>
      <c r="S16745" s="178"/>
    </row>
    <row r="16746" spans="18:19">
      <c r="R16746" s="178"/>
      <c r="S16746" s="178"/>
    </row>
    <row r="16747" spans="18:19">
      <c r="R16747" s="178"/>
      <c r="S16747" s="178"/>
    </row>
    <row r="16748" spans="18:19">
      <c r="R16748" s="178"/>
      <c r="S16748" s="178"/>
    </row>
    <row r="16749" spans="18:19">
      <c r="R16749" s="178"/>
      <c r="S16749" s="178"/>
    </row>
    <row r="16750" spans="18:19">
      <c r="R16750" s="178"/>
      <c r="S16750" s="178"/>
    </row>
    <row r="16751" spans="18:19">
      <c r="R16751" s="178"/>
      <c r="S16751" s="178"/>
    </row>
    <row r="16752" spans="18:19">
      <c r="R16752" s="178"/>
      <c r="S16752" s="178"/>
    </row>
    <row r="16753" spans="18:19">
      <c r="R16753" s="178"/>
      <c r="S16753" s="178"/>
    </row>
    <row r="16754" spans="18:19">
      <c r="R16754" s="178"/>
      <c r="S16754" s="178"/>
    </row>
    <row r="16755" spans="18:19">
      <c r="R16755" s="178"/>
      <c r="S16755" s="178"/>
    </row>
    <row r="16756" spans="18:19">
      <c r="R16756" s="178"/>
      <c r="S16756" s="178"/>
    </row>
    <row r="16757" spans="18:19">
      <c r="R16757" s="178"/>
      <c r="S16757" s="178"/>
    </row>
    <row r="16758" spans="18:19">
      <c r="R16758" s="178"/>
      <c r="S16758" s="178"/>
    </row>
    <row r="16759" spans="18:19">
      <c r="R16759" s="178"/>
      <c r="S16759" s="178"/>
    </row>
    <row r="16760" spans="18:19">
      <c r="R16760" s="178"/>
      <c r="S16760" s="178"/>
    </row>
    <row r="16761" spans="18:19">
      <c r="R16761" s="178"/>
      <c r="S16761" s="178"/>
    </row>
    <row r="16762" spans="18:19">
      <c r="R16762" s="178"/>
      <c r="S16762" s="178"/>
    </row>
    <row r="16763" spans="18:19">
      <c r="R16763" s="178"/>
      <c r="S16763" s="178"/>
    </row>
    <row r="16764" spans="18:19">
      <c r="R16764" s="178"/>
      <c r="S16764" s="178"/>
    </row>
    <row r="16765" spans="18:19">
      <c r="R16765" s="178"/>
      <c r="S16765" s="178"/>
    </row>
    <row r="16766" spans="18:19">
      <c r="R16766" s="178"/>
      <c r="S16766" s="178"/>
    </row>
    <row r="16767" spans="18:19">
      <c r="R16767" s="178"/>
      <c r="S16767" s="178"/>
    </row>
    <row r="16768" spans="18:19">
      <c r="R16768" s="178"/>
      <c r="S16768" s="178"/>
    </row>
    <row r="16769" spans="18:19">
      <c r="R16769" s="178"/>
      <c r="S16769" s="178"/>
    </row>
    <row r="16770" spans="18:19">
      <c r="R16770" s="178"/>
      <c r="S16770" s="178"/>
    </row>
    <row r="16771" spans="18:19">
      <c r="R16771" s="178"/>
      <c r="S16771" s="178"/>
    </row>
    <row r="16772" spans="18:19">
      <c r="R16772" s="178"/>
      <c r="S16772" s="178"/>
    </row>
    <row r="16773" spans="18:19">
      <c r="R16773" s="178"/>
      <c r="S16773" s="178"/>
    </row>
    <row r="16774" spans="18:19">
      <c r="R16774" s="178"/>
      <c r="S16774" s="178"/>
    </row>
    <row r="16775" spans="18:19">
      <c r="R16775" s="178"/>
      <c r="S16775" s="178"/>
    </row>
    <row r="16776" spans="18:19">
      <c r="R16776" s="178"/>
      <c r="S16776" s="178"/>
    </row>
    <row r="16777" spans="18:19">
      <c r="R16777" s="178"/>
      <c r="S16777" s="178"/>
    </row>
    <row r="16778" spans="18:19">
      <c r="R16778" s="178"/>
      <c r="S16778" s="178"/>
    </row>
    <row r="16779" spans="18:19">
      <c r="R16779" s="178"/>
      <c r="S16779" s="178"/>
    </row>
    <row r="16780" spans="18:19">
      <c r="R16780" s="178"/>
      <c r="S16780" s="178"/>
    </row>
    <row r="16781" spans="18:19">
      <c r="R16781" s="178"/>
      <c r="S16781" s="178"/>
    </row>
    <row r="16782" spans="18:19">
      <c r="R16782" s="178"/>
      <c r="S16782" s="178"/>
    </row>
    <row r="16783" spans="18:19">
      <c r="R16783" s="178"/>
      <c r="S16783" s="178"/>
    </row>
    <row r="16784" spans="18:19">
      <c r="R16784" s="178"/>
      <c r="S16784" s="178"/>
    </row>
    <row r="16785" spans="18:19">
      <c r="R16785" s="178"/>
      <c r="S16785" s="178"/>
    </row>
    <row r="16786" spans="18:19">
      <c r="R16786" s="178"/>
      <c r="S16786" s="178"/>
    </row>
    <row r="16787" spans="18:19">
      <c r="R16787" s="178"/>
      <c r="S16787" s="178"/>
    </row>
    <row r="16788" spans="18:19">
      <c r="R16788" s="178"/>
      <c r="S16788" s="178"/>
    </row>
    <row r="16789" spans="18:19">
      <c r="R16789" s="178"/>
      <c r="S16789" s="178"/>
    </row>
    <row r="16790" spans="18:19">
      <c r="R16790" s="178"/>
      <c r="S16790" s="178"/>
    </row>
    <row r="16791" spans="18:19">
      <c r="R16791" s="178"/>
      <c r="S16791" s="178"/>
    </row>
    <row r="16792" spans="18:19">
      <c r="R16792" s="178"/>
      <c r="S16792" s="178"/>
    </row>
    <row r="16793" spans="18:19">
      <c r="R16793" s="178"/>
      <c r="S16793" s="178"/>
    </row>
    <row r="16794" spans="18:19">
      <c r="R16794" s="178"/>
      <c r="S16794" s="178"/>
    </row>
    <row r="16795" spans="18:19">
      <c r="R16795" s="178"/>
      <c r="S16795" s="178"/>
    </row>
    <row r="16796" spans="18:19">
      <c r="R16796" s="178"/>
      <c r="S16796" s="178"/>
    </row>
    <row r="16797" spans="18:19">
      <c r="R16797" s="178"/>
      <c r="S16797" s="178"/>
    </row>
    <row r="16798" spans="18:19">
      <c r="R16798" s="178"/>
      <c r="S16798" s="178"/>
    </row>
    <row r="16799" spans="18:19">
      <c r="R16799" s="178"/>
      <c r="S16799" s="178"/>
    </row>
    <row r="16800" spans="18:19">
      <c r="R16800" s="178"/>
      <c r="S16800" s="178"/>
    </row>
    <row r="16801" spans="18:19">
      <c r="R16801" s="178"/>
      <c r="S16801" s="178"/>
    </row>
    <row r="16802" spans="18:19">
      <c r="R16802" s="178"/>
      <c r="S16802" s="178"/>
    </row>
    <row r="16803" spans="18:19">
      <c r="R16803" s="178"/>
      <c r="S16803" s="178"/>
    </row>
    <row r="16804" spans="18:19">
      <c r="R16804" s="178"/>
      <c r="S16804" s="178"/>
    </row>
    <row r="16805" spans="18:19">
      <c r="R16805" s="178"/>
      <c r="S16805" s="178"/>
    </row>
    <row r="16806" spans="18:19">
      <c r="R16806" s="178"/>
      <c r="S16806" s="178"/>
    </row>
    <row r="16807" spans="18:19">
      <c r="R16807" s="178"/>
      <c r="S16807" s="178"/>
    </row>
    <row r="16808" spans="18:19">
      <c r="R16808" s="178"/>
      <c r="S16808" s="178"/>
    </row>
    <row r="16809" spans="18:19">
      <c r="R16809" s="178"/>
      <c r="S16809" s="178"/>
    </row>
    <row r="16810" spans="18:19">
      <c r="R16810" s="178"/>
      <c r="S16810" s="178"/>
    </row>
    <row r="16811" spans="18:19">
      <c r="R16811" s="178"/>
      <c r="S16811" s="178"/>
    </row>
    <row r="16812" spans="18:19">
      <c r="R16812" s="178"/>
      <c r="S16812" s="178"/>
    </row>
    <row r="16813" spans="18:19">
      <c r="R16813" s="178"/>
      <c r="S16813" s="178"/>
    </row>
    <row r="16814" spans="18:19">
      <c r="R16814" s="178"/>
      <c r="S16814" s="178"/>
    </row>
    <row r="16815" spans="18:19">
      <c r="R16815" s="178"/>
      <c r="S16815" s="178"/>
    </row>
    <row r="16816" spans="18:19">
      <c r="R16816" s="178"/>
      <c r="S16816" s="178"/>
    </row>
    <row r="16817" spans="18:19">
      <c r="R16817" s="178"/>
      <c r="S16817" s="178"/>
    </row>
    <row r="16818" spans="18:19">
      <c r="R16818" s="178"/>
      <c r="S16818" s="178"/>
    </row>
    <row r="16819" spans="18:19">
      <c r="R16819" s="178"/>
      <c r="S16819" s="178"/>
    </row>
    <row r="16820" spans="18:19">
      <c r="R16820" s="178"/>
      <c r="S16820" s="178"/>
    </row>
    <row r="16821" spans="18:19">
      <c r="R16821" s="178"/>
      <c r="S16821" s="178"/>
    </row>
    <row r="16822" spans="18:19">
      <c r="R16822" s="178"/>
      <c r="S16822" s="178"/>
    </row>
    <row r="16823" spans="18:19">
      <c r="R16823" s="178"/>
      <c r="S16823" s="178"/>
    </row>
    <row r="16824" spans="18:19">
      <c r="R16824" s="178"/>
      <c r="S16824" s="178"/>
    </row>
    <row r="16825" spans="18:19">
      <c r="R16825" s="178"/>
      <c r="S16825" s="178"/>
    </row>
    <row r="16826" spans="18:19">
      <c r="R16826" s="178"/>
      <c r="S16826" s="178"/>
    </row>
    <row r="16827" spans="18:19">
      <c r="R16827" s="178"/>
      <c r="S16827" s="178"/>
    </row>
    <row r="16828" spans="18:19">
      <c r="R16828" s="178"/>
      <c r="S16828" s="178"/>
    </row>
    <row r="16829" spans="18:19">
      <c r="R16829" s="178"/>
      <c r="S16829" s="178"/>
    </row>
    <row r="16830" spans="18:19">
      <c r="R16830" s="178"/>
      <c r="S16830" s="178"/>
    </row>
    <row r="16831" spans="18:19">
      <c r="R16831" s="178"/>
      <c r="S16831" s="178"/>
    </row>
    <row r="16832" spans="18:19">
      <c r="R16832" s="178"/>
      <c r="S16832" s="178"/>
    </row>
    <row r="16833" spans="18:19">
      <c r="R16833" s="178"/>
      <c r="S16833" s="178"/>
    </row>
    <row r="16834" spans="18:19">
      <c r="R16834" s="178"/>
      <c r="S16834" s="178"/>
    </row>
    <row r="16835" spans="18:19">
      <c r="R16835" s="178"/>
      <c r="S16835" s="178"/>
    </row>
    <row r="16836" spans="18:19">
      <c r="R16836" s="178"/>
      <c r="S16836" s="178"/>
    </row>
    <row r="16837" spans="18:19">
      <c r="R16837" s="178"/>
      <c r="S16837" s="178"/>
    </row>
    <row r="16838" spans="18:19">
      <c r="R16838" s="178"/>
      <c r="S16838" s="178"/>
    </row>
    <row r="16839" spans="18:19">
      <c r="R16839" s="178"/>
      <c r="S16839" s="178"/>
    </row>
    <row r="16840" spans="18:19">
      <c r="R16840" s="178"/>
      <c r="S16840" s="178"/>
    </row>
    <row r="16841" spans="18:19">
      <c r="R16841" s="178"/>
      <c r="S16841" s="178"/>
    </row>
    <row r="16842" spans="18:19">
      <c r="R16842" s="178"/>
      <c r="S16842" s="178"/>
    </row>
    <row r="16843" spans="18:19">
      <c r="R16843" s="178"/>
      <c r="S16843" s="178"/>
    </row>
    <row r="16844" spans="18:19">
      <c r="R16844" s="178"/>
      <c r="S16844" s="178"/>
    </row>
    <row r="16845" spans="18:19">
      <c r="R16845" s="178"/>
      <c r="S16845" s="178"/>
    </row>
    <row r="16846" spans="18:19">
      <c r="R16846" s="178"/>
      <c r="S16846" s="178"/>
    </row>
    <row r="16847" spans="18:19">
      <c r="R16847" s="178"/>
      <c r="S16847" s="178"/>
    </row>
    <row r="16848" spans="18:19">
      <c r="R16848" s="178"/>
      <c r="S16848" s="178"/>
    </row>
    <row r="16849" spans="18:19">
      <c r="R16849" s="178"/>
      <c r="S16849" s="178"/>
    </row>
    <row r="16850" spans="18:19">
      <c r="R16850" s="178"/>
      <c r="S16850" s="178"/>
    </row>
    <row r="16851" spans="18:19">
      <c r="R16851" s="178"/>
      <c r="S16851" s="178"/>
    </row>
    <row r="16852" spans="18:19">
      <c r="R16852" s="178"/>
      <c r="S16852" s="178"/>
    </row>
    <row r="16853" spans="18:19">
      <c r="R16853" s="178"/>
      <c r="S16853" s="178"/>
    </row>
    <row r="16854" spans="18:19">
      <c r="R16854" s="178"/>
      <c r="S16854" s="178"/>
    </row>
    <row r="16855" spans="18:19">
      <c r="R16855" s="178"/>
      <c r="S16855" s="178"/>
    </row>
    <row r="16856" spans="18:19">
      <c r="R16856" s="178"/>
      <c r="S16856" s="178"/>
    </row>
    <row r="16857" spans="18:19">
      <c r="R16857" s="178"/>
      <c r="S16857" s="178"/>
    </row>
    <row r="16858" spans="18:19">
      <c r="R16858" s="178"/>
      <c r="S16858" s="178"/>
    </row>
    <row r="16859" spans="18:19">
      <c r="R16859" s="178"/>
      <c r="S16859" s="178"/>
    </row>
    <row r="16860" spans="18:19">
      <c r="R16860" s="178"/>
      <c r="S16860" s="178"/>
    </row>
    <row r="16861" spans="18:19">
      <c r="R16861" s="178"/>
      <c r="S16861" s="178"/>
    </row>
    <row r="16862" spans="18:19">
      <c r="R16862" s="178"/>
      <c r="S16862" s="178"/>
    </row>
    <row r="16863" spans="18:19">
      <c r="R16863" s="178"/>
      <c r="S16863" s="178"/>
    </row>
    <row r="16864" spans="18:19">
      <c r="R16864" s="178"/>
      <c r="S16864" s="178"/>
    </row>
    <row r="16865" spans="18:19">
      <c r="R16865" s="178"/>
      <c r="S16865" s="178"/>
    </row>
    <row r="16866" spans="18:19">
      <c r="R16866" s="178"/>
      <c r="S16866" s="178"/>
    </row>
    <row r="16867" spans="18:19">
      <c r="R16867" s="178"/>
      <c r="S16867" s="178"/>
    </row>
    <row r="16868" spans="18:19">
      <c r="R16868" s="178"/>
      <c r="S16868" s="178"/>
    </row>
    <row r="16869" spans="18:19">
      <c r="R16869" s="178"/>
      <c r="S16869" s="178"/>
    </row>
    <row r="16870" spans="18:19">
      <c r="R16870" s="178"/>
      <c r="S16870" s="178"/>
    </row>
    <row r="16871" spans="18:19">
      <c r="R16871" s="178"/>
      <c r="S16871" s="178"/>
    </row>
    <row r="16872" spans="18:19">
      <c r="R16872" s="178"/>
      <c r="S16872" s="178"/>
    </row>
    <row r="16873" spans="18:19">
      <c r="R16873" s="178"/>
      <c r="S16873" s="178"/>
    </row>
    <row r="16874" spans="18:19">
      <c r="R16874" s="178"/>
      <c r="S16874" s="178"/>
    </row>
    <row r="16875" spans="18:19">
      <c r="R16875" s="178"/>
      <c r="S16875" s="178"/>
    </row>
    <row r="16876" spans="18:19">
      <c r="R16876" s="178"/>
      <c r="S16876" s="178"/>
    </row>
    <row r="16877" spans="18:19">
      <c r="R16877" s="178"/>
      <c r="S16877" s="178"/>
    </row>
    <row r="16878" spans="18:19">
      <c r="R16878" s="178"/>
      <c r="S16878" s="178"/>
    </row>
    <row r="16879" spans="18:19">
      <c r="R16879" s="178"/>
      <c r="S16879" s="178"/>
    </row>
    <row r="16880" spans="18:19">
      <c r="R16880" s="178"/>
      <c r="S16880" s="178"/>
    </row>
    <row r="16881" spans="18:19">
      <c r="R16881" s="178"/>
      <c r="S16881" s="178"/>
    </row>
    <row r="16882" spans="18:19">
      <c r="R16882" s="178"/>
      <c r="S16882" s="178"/>
    </row>
    <row r="16883" spans="18:19">
      <c r="R16883" s="178"/>
      <c r="S16883" s="178"/>
    </row>
    <row r="16884" spans="18:19">
      <c r="R16884" s="178"/>
      <c r="S16884" s="178"/>
    </row>
    <row r="16885" spans="18:19">
      <c r="R16885" s="178"/>
      <c r="S16885" s="178"/>
    </row>
    <row r="16886" spans="18:19">
      <c r="R16886" s="178"/>
      <c r="S16886" s="178"/>
    </row>
    <row r="16887" spans="18:19">
      <c r="R16887" s="178"/>
      <c r="S16887" s="178"/>
    </row>
    <row r="16888" spans="18:19">
      <c r="R16888" s="178"/>
      <c r="S16888" s="178"/>
    </row>
    <row r="16889" spans="18:19">
      <c r="R16889" s="178"/>
      <c r="S16889" s="178"/>
    </row>
    <row r="16890" spans="18:19">
      <c r="R16890" s="178"/>
      <c r="S16890" s="178"/>
    </row>
    <row r="16891" spans="18:19">
      <c r="R16891" s="178"/>
      <c r="S16891" s="178"/>
    </row>
    <row r="16892" spans="18:19">
      <c r="R16892" s="178"/>
      <c r="S16892" s="178"/>
    </row>
    <row r="16893" spans="18:19">
      <c r="R16893" s="178"/>
      <c r="S16893" s="178"/>
    </row>
    <row r="16894" spans="18:19">
      <c r="R16894" s="178"/>
      <c r="S16894" s="178"/>
    </row>
    <row r="16895" spans="18:19">
      <c r="R16895" s="178"/>
      <c r="S16895" s="178"/>
    </row>
    <row r="16896" spans="18:19">
      <c r="R16896" s="178"/>
      <c r="S16896" s="178"/>
    </row>
    <row r="16897" spans="18:19">
      <c r="R16897" s="178"/>
      <c r="S16897" s="178"/>
    </row>
    <row r="16898" spans="18:19">
      <c r="R16898" s="178"/>
      <c r="S16898" s="178"/>
    </row>
    <row r="16899" spans="18:19">
      <c r="R16899" s="178"/>
      <c r="S16899" s="178"/>
    </row>
    <row r="16900" spans="18:19">
      <c r="R16900" s="178"/>
      <c r="S16900" s="178"/>
    </row>
    <row r="16901" spans="18:19">
      <c r="R16901" s="178"/>
      <c r="S16901" s="178"/>
    </row>
    <row r="16902" spans="18:19">
      <c r="R16902" s="178"/>
      <c r="S16902" s="178"/>
    </row>
    <row r="16903" spans="18:19">
      <c r="R16903" s="178"/>
      <c r="S16903" s="178"/>
    </row>
    <row r="16904" spans="18:19">
      <c r="R16904" s="178"/>
      <c r="S16904" s="178"/>
    </row>
    <row r="16905" spans="18:19">
      <c r="R16905" s="178"/>
      <c r="S16905" s="178"/>
    </row>
    <row r="16906" spans="18:19">
      <c r="R16906" s="178"/>
      <c r="S16906" s="178"/>
    </row>
    <row r="16907" spans="18:19">
      <c r="R16907" s="178"/>
      <c r="S16907" s="178"/>
    </row>
    <row r="16908" spans="18:19">
      <c r="R16908" s="178"/>
      <c r="S16908" s="178"/>
    </row>
    <row r="16909" spans="18:19">
      <c r="R16909" s="178"/>
      <c r="S16909" s="178"/>
    </row>
    <row r="16910" spans="18:19">
      <c r="R16910" s="178"/>
      <c r="S16910" s="178"/>
    </row>
    <row r="16911" spans="18:19">
      <c r="R16911" s="178"/>
      <c r="S16911" s="178"/>
    </row>
    <row r="16912" spans="18:19">
      <c r="R16912" s="178"/>
      <c r="S16912" s="178"/>
    </row>
    <row r="16913" spans="18:19">
      <c r="R16913" s="178"/>
      <c r="S16913" s="178"/>
    </row>
    <row r="16914" spans="18:19">
      <c r="R16914" s="178"/>
      <c r="S16914" s="178"/>
    </row>
    <row r="16915" spans="18:19">
      <c r="R16915" s="178"/>
      <c r="S16915" s="178"/>
    </row>
    <row r="16916" spans="18:19">
      <c r="R16916" s="178"/>
      <c r="S16916" s="178"/>
    </row>
    <row r="16917" spans="18:19">
      <c r="R16917" s="178"/>
      <c r="S16917" s="178"/>
    </row>
    <row r="16918" spans="18:19">
      <c r="R16918" s="178"/>
      <c r="S16918" s="178"/>
    </row>
    <row r="16919" spans="18:19">
      <c r="R16919" s="178"/>
      <c r="S16919" s="178"/>
    </row>
    <row r="16920" spans="18:19">
      <c r="R16920" s="178"/>
      <c r="S16920" s="178"/>
    </row>
    <row r="16921" spans="18:19">
      <c r="R16921" s="178"/>
      <c r="S16921" s="178"/>
    </row>
    <row r="16922" spans="18:19">
      <c r="R16922" s="178"/>
      <c r="S16922" s="178"/>
    </row>
    <row r="16923" spans="18:19">
      <c r="R16923" s="178"/>
      <c r="S16923" s="178"/>
    </row>
    <row r="16924" spans="18:19">
      <c r="R16924" s="178"/>
      <c r="S16924" s="178"/>
    </row>
    <row r="16925" spans="18:19">
      <c r="R16925" s="178"/>
      <c r="S16925" s="178"/>
    </row>
    <row r="16926" spans="18:19">
      <c r="R16926" s="178"/>
      <c r="S16926" s="178"/>
    </row>
    <row r="16927" spans="18:19">
      <c r="R16927" s="178"/>
      <c r="S16927" s="178"/>
    </row>
    <row r="16928" spans="18:19">
      <c r="R16928" s="178"/>
      <c r="S16928" s="178"/>
    </row>
    <row r="16929" spans="18:19">
      <c r="R16929" s="178"/>
      <c r="S16929" s="178"/>
    </row>
    <row r="16930" spans="18:19">
      <c r="R16930" s="178"/>
      <c r="S16930" s="178"/>
    </row>
    <row r="16931" spans="18:19">
      <c r="R16931" s="178"/>
      <c r="S16931" s="178"/>
    </row>
    <row r="16932" spans="18:19">
      <c r="R16932" s="178"/>
      <c r="S16932" s="178"/>
    </row>
    <row r="16933" spans="18:19">
      <c r="R16933" s="178"/>
      <c r="S16933" s="178"/>
    </row>
    <row r="16934" spans="18:19">
      <c r="R16934" s="178"/>
      <c r="S16934" s="178"/>
    </row>
    <row r="16935" spans="18:19">
      <c r="R16935" s="178"/>
      <c r="S16935" s="178"/>
    </row>
    <row r="16936" spans="18:19">
      <c r="R16936" s="178"/>
      <c r="S16936" s="178"/>
    </row>
    <row r="16937" spans="18:19">
      <c r="R16937" s="178"/>
      <c r="S16937" s="178"/>
    </row>
    <row r="16938" spans="18:19">
      <c r="R16938" s="178"/>
      <c r="S16938" s="178"/>
    </row>
    <row r="16939" spans="18:19">
      <c r="R16939" s="178"/>
      <c r="S16939" s="178"/>
    </row>
    <row r="16940" spans="18:19">
      <c r="R16940" s="178"/>
      <c r="S16940" s="178"/>
    </row>
    <row r="16941" spans="18:19">
      <c r="R16941" s="178"/>
      <c r="S16941" s="178"/>
    </row>
    <row r="16942" spans="18:19">
      <c r="R16942" s="178"/>
      <c r="S16942" s="178"/>
    </row>
    <row r="16943" spans="18:19">
      <c r="R16943" s="178"/>
      <c r="S16943" s="178"/>
    </row>
    <row r="16944" spans="18:19">
      <c r="R16944" s="178"/>
      <c r="S16944" s="178"/>
    </row>
    <row r="16945" spans="18:19">
      <c r="R16945" s="178"/>
      <c r="S16945" s="178"/>
    </row>
    <row r="16946" spans="18:19">
      <c r="R16946" s="178"/>
      <c r="S16946" s="178"/>
    </row>
    <row r="16947" spans="18:19">
      <c r="R16947" s="178"/>
      <c r="S16947" s="178"/>
    </row>
    <row r="16948" spans="18:19">
      <c r="R16948" s="178"/>
      <c r="S16948" s="178"/>
    </row>
    <row r="16949" spans="18:19">
      <c r="R16949" s="178"/>
      <c r="S16949" s="178"/>
    </row>
    <row r="16950" spans="18:19">
      <c r="R16950" s="178"/>
      <c r="S16950" s="178"/>
    </row>
    <row r="16951" spans="18:19">
      <c r="R16951" s="178"/>
      <c r="S16951" s="178"/>
    </row>
    <row r="16952" spans="18:19">
      <c r="R16952" s="178"/>
      <c r="S16952" s="178"/>
    </row>
    <row r="16953" spans="18:19">
      <c r="R16953" s="178"/>
      <c r="S16953" s="178"/>
    </row>
    <row r="16954" spans="18:19">
      <c r="R16954" s="178"/>
      <c r="S16954" s="178"/>
    </row>
    <row r="16955" spans="18:19">
      <c r="R16955" s="178"/>
      <c r="S16955" s="178"/>
    </row>
    <row r="16956" spans="18:19">
      <c r="R16956" s="178"/>
      <c r="S16956" s="178"/>
    </row>
    <row r="16957" spans="18:19">
      <c r="R16957" s="178"/>
      <c r="S16957" s="178"/>
    </row>
    <row r="16958" spans="18:19">
      <c r="R16958" s="178"/>
      <c r="S16958" s="178"/>
    </row>
    <row r="16959" spans="18:19">
      <c r="R16959" s="178"/>
      <c r="S16959" s="178"/>
    </row>
    <row r="16960" spans="18:19">
      <c r="R16960" s="178"/>
      <c r="S16960" s="178"/>
    </row>
    <row r="16961" spans="18:19">
      <c r="R16961" s="178"/>
      <c r="S16961" s="178"/>
    </row>
    <row r="16962" spans="18:19">
      <c r="R16962" s="178"/>
      <c r="S16962" s="178"/>
    </row>
    <row r="16963" spans="18:19">
      <c r="R16963" s="178"/>
      <c r="S16963" s="178"/>
    </row>
    <row r="16964" spans="18:19">
      <c r="R16964" s="178"/>
      <c r="S16964" s="178"/>
    </row>
    <row r="16965" spans="18:19">
      <c r="R16965" s="178"/>
      <c r="S16965" s="178"/>
    </row>
    <row r="16966" spans="18:19">
      <c r="R16966" s="178"/>
      <c r="S16966" s="178"/>
    </row>
    <row r="16967" spans="18:19">
      <c r="R16967" s="178"/>
      <c r="S16967" s="178"/>
    </row>
    <row r="16968" spans="18:19">
      <c r="R16968" s="178"/>
      <c r="S16968" s="178"/>
    </row>
    <row r="16969" spans="18:19">
      <c r="R16969" s="178"/>
      <c r="S16969" s="178"/>
    </row>
    <row r="16970" spans="18:19">
      <c r="R16970" s="178"/>
      <c r="S16970" s="178"/>
    </row>
    <row r="16971" spans="18:19">
      <c r="R16971" s="178"/>
      <c r="S16971" s="178"/>
    </row>
    <row r="16972" spans="18:19">
      <c r="R16972" s="178"/>
      <c r="S16972" s="178"/>
    </row>
    <row r="16973" spans="18:19">
      <c r="R16973" s="178"/>
      <c r="S16973" s="178"/>
    </row>
    <row r="16974" spans="18:19">
      <c r="R16974" s="178"/>
      <c r="S16974" s="178"/>
    </row>
    <row r="16975" spans="18:19">
      <c r="R16975" s="178"/>
      <c r="S16975" s="178"/>
    </row>
    <row r="16976" spans="18:19">
      <c r="R16976" s="178"/>
      <c r="S16976" s="178"/>
    </row>
    <row r="16977" spans="18:19">
      <c r="R16977" s="178"/>
      <c r="S16977" s="178"/>
    </row>
    <row r="16978" spans="18:19">
      <c r="R16978" s="178"/>
      <c r="S16978" s="178"/>
    </row>
    <row r="16979" spans="18:19">
      <c r="R16979" s="178"/>
      <c r="S16979" s="178"/>
    </row>
    <row r="16980" spans="18:19">
      <c r="R16980" s="178"/>
      <c r="S16980" s="178"/>
    </row>
    <row r="16981" spans="18:19">
      <c r="R16981" s="178"/>
      <c r="S16981" s="178"/>
    </row>
    <row r="16982" spans="18:19">
      <c r="R16982" s="178"/>
      <c r="S16982" s="178"/>
    </row>
    <row r="16983" spans="18:19">
      <c r="R16983" s="178"/>
      <c r="S16983" s="178"/>
    </row>
    <row r="16984" spans="18:19">
      <c r="R16984" s="178"/>
      <c r="S16984" s="178"/>
    </row>
    <row r="16985" spans="18:19">
      <c r="R16985" s="178"/>
      <c r="S16985" s="178"/>
    </row>
    <row r="16986" spans="18:19">
      <c r="R16986" s="178"/>
      <c r="S16986" s="178"/>
    </row>
    <row r="16987" spans="18:19">
      <c r="R16987" s="178"/>
      <c r="S16987" s="178"/>
    </row>
    <row r="16988" spans="18:19">
      <c r="R16988" s="178"/>
      <c r="S16988" s="178"/>
    </row>
    <row r="16989" spans="18:19">
      <c r="R16989" s="178"/>
      <c r="S16989" s="178"/>
    </row>
    <row r="16990" spans="18:19">
      <c r="R16990" s="178"/>
      <c r="S16990" s="178"/>
    </row>
    <row r="16991" spans="18:19">
      <c r="R16991" s="178"/>
      <c r="S16991" s="178"/>
    </row>
    <row r="16992" spans="18:19">
      <c r="R16992" s="178"/>
      <c r="S16992" s="178"/>
    </row>
    <row r="16993" spans="18:19">
      <c r="R16993" s="178"/>
      <c r="S16993" s="178"/>
    </row>
    <row r="16994" spans="18:19">
      <c r="R16994" s="178"/>
      <c r="S16994" s="178"/>
    </row>
    <row r="16995" spans="18:19">
      <c r="R16995" s="178"/>
      <c r="S16995" s="178"/>
    </row>
    <row r="16996" spans="18:19">
      <c r="R16996" s="178"/>
      <c r="S16996" s="178"/>
    </row>
    <row r="16997" spans="18:19">
      <c r="R16997" s="178"/>
      <c r="S16997" s="178"/>
    </row>
    <row r="16998" spans="18:19">
      <c r="R16998" s="178"/>
      <c r="S16998" s="178"/>
    </row>
    <row r="16999" spans="18:19">
      <c r="R16999" s="178"/>
      <c r="S16999" s="178"/>
    </row>
    <row r="17000" spans="18:19">
      <c r="R17000" s="178"/>
      <c r="S17000" s="178"/>
    </row>
    <row r="17001" spans="18:19">
      <c r="R17001" s="178"/>
      <c r="S17001" s="178"/>
    </row>
    <row r="17002" spans="18:19">
      <c r="R17002" s="178"/>
      <c r="S17002" s="178"/>
    </row>
    <row r="17003" spans="18:19">
      <c r="R17003" s="178"/>
      <c r="S17003" s="178"/>
    </row>
    <row r="17004" spans="18:19">
      <c r="R17004" s="178"/>
      <c r="S17004" s="178"/>
    </row>
    <row r="17005" spans="18:19">
      <c r="R17005" s="178"/>
      <c r="S17005" s="178"/>
    </row>
    <row r="17006" spans="18:19">
      <c r="R17006" s="178"/>
      <c r="S17006" s="178"/>
    </row>
    <row r="17007" spans="18:19">
      <c r="R17007" s="178"/>
      <c r="S17007" s="178"/>
    </row>
    <row r="17008" spans="18:19">
      <c r="R17008" s="178"/>
      <c r="S17008" s="178"/>
    </row>
    <row r="17009" spans="18:19">
      <c r="R17009" s="178"/>
      <c r="S17009" s="178"/>
    </row>
    <row r="17010" spans="18:19">
      <c r="R17010" s="178"/>
      <c r="S17010" s="178"/>
    </row>
    <row r="17011" spans="18:19">
      <c r="R17011" s="178"/>
      <c r="S17011" s="178"/>
    </row>
    <row r="17012" spans="18:19">
      <c r="R17012" s="178"/>
      <c r="S17012" s="178"/>
    </row>
    <row r="17013" spans="18:19">
      <c r="R17013" s="178"/>
      <c r="S17013" s="178"/>
    </row>
    <row r="17014" spans="18:19">
      <c r="R17014" s="178"/>
      <c r="S17014" s="178"/>
    </row>
    <row r="17015" spans="18:19">
      <c r="R17015" s="178"/>
      <c r="S17015" s="178"/>
    </row>
    <row r="17016" spans="18:19">
      <c r="R17016" s="178"/>
      <c r="S17016" s="178"/>
    </row>
    <row r="17017" spans="18:19">
      <c r="R17017" s="178"/>
      <c r="S17017" s="178"/>
    </row>
    <row r="17018" spans="18:19">
      <c r="R17018" s="178"/>
      <c r="S17018" s="178"/>
    </row>
    <row r="17019" spans="18:19">
      <c r="R17019" s="178"/>
      <c r="S17019" s="178"/>
    </row>
    <row r="17020" spans="18:19">
      <c r="R17020" s="178"/>
      <c r="S17020" s="178"/>
    </row>
    <row r="17021" spans="18:19">
      <c r="R17021" s="178"/>
      <c r="S17021" s="178"/>
    </row>
    <row r="17022" spans="18:19">
      <c r="R17022" s="178"/>
      <c r="S17022" s="178"/>
    </row>
    <row r="17023" spans="18:19">
      <c r="R17023" s="178"/>
      <c r="S17023" s="178"/>
    </row>
    <row r="17024" spans="18:19">
      <c r="R17024" s="178"/>
      <c r="S17024" s="178"/>
    </row>
    <row r="17025" spans="18:19">
      <c r="R17025" s="178"/>
      <c r="S17025" s="178"/>
    </row>
    <row r="17026" spans="18:19">
      <c r="R17026" s="178"/>
      <c r="S17026" s="178"/>
    </row>
    <row r="17027" spans="18:19">
      <c r="R17027" s="178"/>
      <c r="S17027" s="178"/>
    </row>
    <row r="17028" spans="18:19">
      <c r="R17028" s="178"/>
      <c r="S17028" s="178"/>
    </row>
    <row r="17029" spans="18:19">
      <c r="R17029" s="178"/>
      <c r="S17029" s="178"/>
    </row>
    <row r="17030" spans="18:19">
      <c r="R17030" s="178"/>
      <c r="S17030" s="178"/>
    </row>
    <row r="17031" spans="18:19">
      <c r="R17031" s="178"/>
      <c r="S17031" s="178"/>
    </row>
    <row r="17032" spans="18:19">
      <c r="R17032" s="178"/>
      <c r="S17032" s="178"/>
    </row>
    <row r="17033" spans="18:19">
      <c r="R17033" s="178"/>
      <c r="S17033" s="178"/>
    </row>
    <row r="17034" spans="18:19">
      <c r="R17034" s="178"/>
      <c r="S17034" s="178"/>
    </row>
    <row r="17035" spans="18:19">
      <c r="R17035" s="178"/>
      <c r="S17035" s="178"/>
    </row>
    <row r="17036" spans="18:19">
      <c r="R17036" s="178"/>
      <c r="S17036" s="178"/>
    </row>
    <row r="17037" spans="18:19">
      <c r="R17037" s="178"/>
      <c r="S17037" s="178"/>
    </row>
    <row r="17038" spans="18:19">
      <c r="R17038" s="178"/>
      <c r="S17038" s="178"/>
    </row>
    <row r="17039" spans="18:19">
      <c r="R17039" s="178"/>
      <c r="S17039" s="178"/>
    </row>
    <row r="17040" spans="18:19">
      <c r="R17040" s="178"/>
      <c r="S17040" s="178"/>
    </row>
    <row r="17041" spans="18:19">
      <c r="R17041" s="178"/>
      <c r="S17041" s="178"/>
    </row>
    <row r="17042" spans="18:19">
      <c r="R17042" s="178"/>
      <c r="S17042" s="178"/>
    </row>
    <row r="17043" spans="18:19">
      <c r="R17043" s="178"/>
      <c r="S17043" s="178"/>
    </row>
    <row r="17044" spans="18:19">
      <c r="R17044" s="178"/>
      <c r="S17044" s="178"/>
    </row>
    <row r="17045" spans="18:19">
      <c r="R17045" s="178"/>
      <c r="S17045" s="178"/>
    </row>
    <row r="17046" spans="18:19">
      <c r="R17046" s="178"/>
      <c r="S17046" s="178"/>
    </row>
    <row r="17047" spans="18:19">
      <c r="R17047" s="178"/>
      <c r="S17047" s="178"/>
    </row>
    <row r="17048" spans="18:19">
      <c r="R17048" s="178"/>
      <c r="S17048" s="178"/>
    </row>
    <row r="17049" spans="18:19">
      <c r="R17049" s="178"/>
      <c r="S17049" s="178"/>
    </row>
    <row r="17050" spans="18:19">
      <c r="R17050" s="178"/>
      <c r="S17050" s="178"/>
    </row>
    <row r="17051" spans="18:19">
      <c r="R17051" s="178"/>
      <c r="S17051" s="178"/>
    </row>
    <row r="17052" spans="18:19">
      <c r="R17052" s="178"/>
      <c r="S17052" s="178"/>
    </row>
    <row r="17053" spans="18:19">
      <c r="R17053" s="178"/>
      <c r="S17053" s="178"/>
    </row>
    <row r="17054" spans="18:19">
      <c r="R17054" s="178"/>
      <c r="S17054" s="178"/>
    </row>
    <row r="17055" spans="18:19">
      <c r="R17055" s="178"/>
      <c r="S17055" s="178"/>
    </row>
    <row r="17056" spans="18:19">
      <c r="R17056" s="178"/>
      <c r="S17056" s="178"/>
    </row>
    <row r="17057" spans="18:19">
      <c r="R17057" s="178"/>
      <c r="S17057" s="178"/>
    </row>
    <row r="17058" spans="18:19">
      <c r="R17058" s="178"/>
      <c r="S17058" s="178"/>
    </row>
    <row r="17059" spans="18:19">
      <c r="R17059" s="178"/>
      <c r="S17059" s="178"/>
    </row>
    <row r="17060" spans="18:19">
      <c r="R17060" s="178"/>
      <c r="S17060" s="178"/>
    </row>
    <row r="17061" spans="18:19">
      <c r="R17061" s="178"/>
      <c r="S17061" s="178"/>
    </row>
    <row r="17062" spans="18:19">
      <c r="R17062" s="178"/>
      <c r="S17062" s="178"/>
    </row>
    <row r="17063" spans="18:19">
      <c r="R17063" s="178"/>
      <c r="S17063" s="178"/>
    </row>
    <row r="17064" spans="18:19">
      <c r="R17064" s="178"/>
      <c r="S17064" s="178"/>
    </row>
    <row r="17065" spans="18:19">
      <c r="R17065" s="178"/>
      <c r="S17065" s="178"/>
    </row>
    <row r="17066" spans="18:19">
      <c r="R17066" s="178"/>
      <c r="S17066" s="178"/>
    </row>
    <row r="17067" spans="18:19">
      <c r="R17067" s="178"/>
      <c r="S17067" s="178"/>
    </row>
    <row r="17068" spans="18:19">
      <c r="R17068" s="178"/>
      <c r="S17068" s="178"/>
    </row>
    <row r="17069" spans="18:19">
      <c r="R17069" s="178"/>
      <c r="S17069" s="178"/>
    </row>
    <row r="17070" spans="18:19">
      <c r="R17070" s="178"/>
      <c r="S17070" s="178"/>
    </row>
    <row r="17071" spans="18:19">
      <c r="R17071" s="178"/>
      <c r="S17071" s="178"/>
    </row>
    <row r="17072" spans="18:19">
      <c r="R17072" s="178"/>
      <c r="S17072" s="178"/>
    </row>
    <row r="17073" spans="18:19">
      <c r="R17073" s="178"/>
      <c r="S17073" s="178"/>
    </row>
    <row r="17074" spans="18:19">
      <c r="R17074" s="178"/>
      <c r="S17074" s="178"/>
    </row>
    <row r="17075" spans="18:19">
      <c r="R17075" s="178"/>
      <c r="S17075" s="178"/>
    </row>
    <row r="17076" spans="18:19">
      <c r="R17076" s="178"/>
      <c r="S17076" s="178"/>
    </row>
    <row r="17077" spans="18:19">
      <c r="R17077" s="178"/>
      <c r="S17077" s="178"/>
    </row>
    <row r="17078" spans="18:19">
      <c r="R17078" s="178"/>
      <c r="S17078" s="178"/>
    </row>
    <row r="17079" spans="18:19">
      <c r="R17079" s="178"/>
      <c r="S17079" s="178"/>
    </row>
    <row r="17080" spans="18:19">
      <c r="R17080" s="178"/>
      <c r="S17080" s="178"/>
    </row>
    <row r="17081" spans="18:19">
      <c r="R17081" s="178"/>
      <c r="S17081" s="178"/>
    </row>
    <row r="17082" spans="18:19">
      <c r="R17082" s="178"/>
      <c r="S17082" s="178"/>
    </row>
    <row r="17083" spans="18:19">
      <c r="R17083" s="178"/>
      <c r="S17083" s="178"/>
    </row>
    <row r="17084" spans="18:19">
      <c r="R17084" s="178"/>
      <c r="S17084" s="178"/>
    </row>
    <row r="17085" spans="18:19">
      <c r="R17085" s="178"/>
      <c r="S17085" s="178"/>
    </row>
    <row r="17086" spans="18:19">
      <c r="R17086" s="178"/>
      <c r="S17086" s="178"/>
    </row>
    <row r="17087" spans="18:19">
      <c r="R17087" s="178"/>
      <c r="S17087" s="178"/>
    </row>
    <row r="17088" spans="18:19">
      <c r="R17088" s="178"/>
      <c r="S17088" s="178"/>
    </row>
    <row r="17089" spans="18:19">
      <c r="R17089" s="178"/>
      <c r="S17089" s="178"/>
    </row>
    <row r="17090" spans="18:19">
      <c r="R17090" s="178"/>
      <c r="S17090" s="178"/>
    </row>
    <row r="17091" spans="18:19">
      <c r="R17091" s="178"/>
      <c r="S17091" s="178"/>
    </row>
    <row r="17092" spans="18:19">
      <c r="R17092" s="178"/>
      <c r="S17092" s="178"/>
    </row>
    <row r="17093" spans="18:19">
      <c r="R17093" s="178"/>
      <c r="S17093" s="178"/>
    </row>
    <row r="17094" spans="18:19">
      <c r="R17094" s="178"/>
      <c r="S17094" s="178"/>
    </row>
    <row r="17095" spans="18:19">
      <c r="R17095" s="178"/>
      <c r="S17095" s="178"/>
    </row>
    <row r="17096" spans="18:19">
      <c r="R17096" s="178"/>
      <c r="S17096" s="178"/>
    </row>
    <row r="17097" spans="18:19">
      <c r="R17097" s="178"/>
      <c r="S17097" s="178"/>
    </row>
    <row r="17098" spans="18:19">
      <c r="R17098" s="178"/>
      <c r="S17098" s="178"/>
    </row>
    <row r="17099" spans="18:19">
      <c r="R17099" s="178"/>
      <c r="S17099" s="178"/>
    </row>
    <row r="17100" spans="18:19">
      <c r="R17100" s="178"/>
      <c r="S17100" s="178"/>
    </row>
    <row r="17101" spans="18:19">
      <c r="R17101" s="178"/>
      <c r="S17101" s="178"/>
    </row>
    <row r="17102" spans="18:19">
      <c r="R17102" s="178"/>
      <c r="S17102" s="178"/>
    </row>
    <row r="17103" spans="18:19">
      <c r="R17103" s="178"/>
      <c r="S17103" s="178"/>
    </row>
    <row r="17104" spans="18:19">
      <c r="R17104" s="178"/>
      <c r="S17104" s="178"/>
    </row>
    <row r="17105" spans="18:19">
      <c r="R17105" s="178"/>
      <c r="S17105" s="178"/>
    </row>
    <row r="17106" spans="18:19">
      <c r="R17106" s="178"/>
      <c r="S17106" s="178"/>
    </row>
    <row r="17107" spans="18:19">
      <c r="R17107" s="178"/>
      <c r="S17107" s="178"/>
    </row>
    <row r="17108" spans="18:19">
      <c r="R17108" s="178"/>
      <c r="S17108" s="178"/>
    </row>
    <row r="17109" spans="18:19">
      <c r="R17109" s="178"/>
      <c r="S17109" s="178"/>
    </row>
    <row r="17110" spans="18:19">
      <c r="R17110" s="178"/>
      <c r="S17110" s="178"/>
    </row>
    <row r="17111" spans="18:19">
      <c r="R17111" s="178"/>
      <c r="S17111" s="178"/>
    </row>
    <row r="17112" spans="18:19">
      <c r="R17112" s="178"/>
      <c r="S17112" s="178"/>
    </row>
    <row r="17113" spans="18:19">
      <c r="R17113" s="178"/>
      <c r="S17113" s="178"/>
    </row>
    <row r="17114" spans="18:19">
      <c r="R17114" s="178"/>
      <c r="S17114" s="178"/>
    </row>
    <row r="17115" spans="18:19">
      <c r="R17115" s="178"/>
      <c r="S17115" s="178"/>
    </row>
    <row r="17116" spans="18:19">
      <c r="R17116" s="178"/>
      <c r="S17116" s="178"/>
    </row>
    <row r="17117" spans="18:19">
      <c r="R17117" s="178"/>
      <c r="S17117" s="178"/>
    </row>
    <row r="17118" spans="18:19">
      <c r="R17118" s="178"/>
      <c r="S17118" s="178"/>
    </row>
    <row r="17119" spans="18:19">
      <c r="R17119" s="178"/>
      <c r="S17119" s="178"/>
    </row>
    <row r="17120" spans="18:19">
      <c r="R17120" s="178"/>
      <c r="S17120" s="178"/>
    </row>
    <row r="17121" spans="18:19">
      <c r="R17121" s="178"/>
      <c r="S17121" s="178"/>
    </row>
    <row r="17122" spans="18:19">
      <c r="R17122" s="178"/>
      <c r="S17122" s="178"/>
    </row>
    <row r="17123" spans="18:19">
      <c r="R17123" s="178"/>
      <c r="S17123" s="178"/>
    </row>
    <row r="17124" spans="18:19">
      <c r="R17124" s="178"/>
      <c r="S17124" s="178"/>
    </row>
    <row r="17125" spans="18:19">
      <c r="R17125" s="178"/>
      <c r="S17125" s="178"/>
    </row>
    <row r="17126" spans="18:19">
      <c r="R17126" s="178"/>
      <c r="S17126" s="178"/>
    </row>
    <row r="17127" spans="18:19">
      <c r="R17127" s="178"/>
      <c r="S17127" s="178"/>
    </row>
    <row r="17128" spans="18:19">
      <c r="R17128" s="178"/>
      <c r="S17128" s="178"/>
    </row>
    <row r="17129" spans="18:19">
      <c r="R17129" s="178"/>
      <c r="S17129" s="178"/>
    </row>
    <row r="17130" spans="18:19">
      <c r="R17130" s="178"/>
      <c r="S17130" s="178"/>
    </row>
    <row r="17131" spans="18:19">
      <c r="R17131" s="178"/>
      <c r="S17131" s="178"/>
    </row>
    <row r="17132" spans="18:19">
      <c r="R17132" s="178"/>
      <c r="S17132" s="178"/>
    </row>
    <row r="17133" spans="18:19">
      <c r="R17133" s="178"/>
      <c r="S17133" s="178"/>
    </row>
    <row r="17134" spans="18:19">
      <c r="R17134" s="178"/>
      <c r="S17134" s="178"/>
    </row>
    <row r="17135" spans="18:19">
      <c r="R17135" s="178"/>
      <c r="S17135" s="178"/>
    </row>
    <row r="17136" spans="18:19">
      <c r="R17136" s="178"/>
      <c r="S17136" s="178"/>
    </row>
    <row r="17137" spans="18:19">
      <c r="R17137" s="178"/>
      <c r="S17137" s="178"/>
    </row>
    <row r="17138" spans="18:19">
      <c r="R17138" s="178"/>
      <c r="S17138" s="178"/>
    </row>
    <row r="17139" spans="18:19">
      <c r="R17139" s="178"/>
      <c r="S17139" s="178"/>
    </row>
    <row r="17140" spans="18:19">
      <c r="R17140" s="178"/>
      <c r="S17140" s="178"/>
    </row>
    <row r="17141" spans="18:19">
      <c r="R17141" s="178"/>
      <c r="S17141" s="178"/>
    </row>
    <row r="17142" spans="18:19">
      <c r="R17142" s="178"/>
      <c r="S17142" s="178"/>
    </row>
    <row r="17143" spans="18:19">
      <c r="R17143" s="178"/>
      <c r="S17143" s="178"/>
    </row>
    <row r="17144" spans="18:19">
      <c r="R17144" s="178"/>
      <c r="S17144" s="178"/>
    </row>
    <row r="17145" spans="18:19">
      <c r="R17145" s="178"/>
      <c r="S17145" s="178"/>
    </row>
    <row r="17146" spans="18:19">
      <c r="R17146" s="178"/>
      <c r="S17146" s="178"/>
    </row>
    <row r="17147" spans="18:19">
      <c r="R17147" s="178"/>
      <c r="S17147" s="178"/>
    </row>
    <row r="17148" spans="18:19">
      <c r="R17148" s="178"/>
      <c r="S17148" s="178"/>
    </row>
    <row r="17149" spans="18:19">
      <c r="R17149" s="178"/>
      <c r="S17149" s="178"/>
    </row>
    <row r="17150" spans="18:19">
      <c r="R17150" s="178"/>
      <c r="S17150" s="178"/>
    </row>
    <row r="17151" spans="18:19">
      <c r="R17151" s="178"/>
      <c r="S17151" s="178"/>
    </row>
    <row r="17152" spans="18:19">
      <c r="R17152" s="178"/>
      <c r="S17152" s="178"/>
    </row>
    <row r="17153" spans="18:19">
      <c r="R17153" s="178"/>
      <c r="S17153" s="178"/>
    </row>
    <row r="17154" spans="18:19">
      <c r="R17154" s="178"/>
      <c r="S17154" s="178"/>
    </row>
    <row r="17155" spans="18:19">
      <c r="R17155" s="178"/>
      <c r="S17155" s="178"/>
    </row>
    <row r="17156" spans="18:19">
      <c r="R17156" s="178"/>
      <c r="S17156" s="178"/>
    </row>
    <row r="17157" spans="18:19">
      <c r="R17157" s="178"/>
      <c r="S17157" s="178"/>
    </row>
    <row r="17158" spans="18:19">
      <c r="R17158" s="178"/>
      <c r="S17158" s="178"/>
    </row>
    <row r="17159" spans="18:19">
      <c r="R17159" s="178"/>
      <c r="S17159" s="178"/>
    </row>
    <row r="17160" spans="18:19">
      <c r="R17160" s="178"/>
      <c r="S17160" s="178"/>
    </row>
    <row r="17161" spans="18:19">
      <c r="R17161" s="178"/>
      <c r="S17161" s="178"/>
    </row>
    <row r="17162" spans="18:19">
      <c r="R17162" s="178"/>
      <c r="S17162" s="178"/>
    </row>
    <row r="17163" spans="18:19">
      <c r="R17163" s="178"/>
      <c r="S17163" s="178"/>
    </row>
    <row r="17164" spans="18:19">
      <c r="R17164" s="178"/>
      <c r="S17164" s="178"/>
    </row>
    <row r="17165" spans="18:19">
      <c r="R17165" s="178"/>
      <c r="S17165" s="178"/>
    </row>
    <row r="17166" spans="18:19">
      <c r="R17166" s="178"/>
      <c r="S17166" s="178"/>
    </row>
    <row r="17167" spans="18:19">
      <c r="R17167" s="178"/>
      <c r="S17167" s="178"/>
    </row>
    <row r="17168" spans="18:19">
      <c r="R17168" s="178"/>
      <c r="S17168" s="178"/>
    </row>
    <row r="17169" spans="18:19">
      <c r="R17169" s="178"/>
      <c r="S17169" s="178"/>
    </row>
    <row r="17170" spans="18:19">
      <c r="R17170" s="178"/>
      <c r="S17170" s="178"/>
    </row>
    <row r="17171" spans="18:19">
      <c r="R17171" s="178"/>
      <c r="S17171" s="178"/>
    </row>
    <row r="17172" spans="18:19">
      <c r="R17172" s="178"/>
      <c r="S17172" s="178"/>
    </row>
    <row r="17173" spans="18:19">
      <c r="R17173" s="178"/>
      <c r="S17173" s="178"/>
    </row>
    <row r="17174" spans="18:19">
      <c r="R17174" s="178"/>
      <c r="S17174" s="178"/>
    </row>
    <row r="17175" spans="18:19">
      <c r="R17175" s="178"/>
      <c r="S17175" s="178"/>
    </row>
    <row r="17176" spans="18:19">
      <c r="R17176" s="178"/>
      <c r="S17176" s="178"/>
    </row>
    <row r="17177" spans="18:19">
      <c r="R17177" s="178"/>
      <c r="S17177" s="178"/>
    </row>
    <row r="17178" spans="18:19">
      <c r="R17178" s="178"/>
      <c r="S17178" s="178"/>
    </row>
    <row r="17179" spans="18:19">
      <c r="R17179" s="178"/>
      <c r="S17179" s="178"/>
    </row>
    <row r="17180" spans="18:19">
      <c r="R17180" s="178"/>
      <c r="S17180" s="178"/>
    </row>
    <row r="17181" spans="18:19">
      <c r="R17181" s="178"/>
      <c r="S17181" s="178"/>
    </row>
    <row r="17182" spans="18:19">
      <c r="R17182" s="178"/>
      <c r="S17182" s="178"/>
    </row>
    <row r="17183" spans="18:19">
      <c r="R17183" s="178"/>
      <c r="S17183" s="178"/>
    </row>
    <row r="17184" spans="18:19">
      <c r="R17184" s="178"/>
      <c r="S17184" s="178"/>
    </row>
    <row r="17185" spans="18:19">
      <c r="R17185" s="178"/>
      <c r="S17185" s="178"/>
    </row>
    <row r="17186" spans="18:19">
      <c r="R17186" s="178"/>
      <c r="S17186" s="178"/>
    </row>
    <row r="17187" spans="18:19">
      <c r="R17187" s="178"/>
      <c r="S17187" s="178"/>
    </row>
    <row r="17188" spans="18:19">
      <c r="R17188" s="178"/>
      <c r="S17188" s="178"/>
    </row>
    <row r="17189" spans="18:19">
      <c r="R17189" s="178"/>
      <c r="S17189" s="178"/>
    </row>
    <row r="17190" spans="18:19">
      <c r="R17190" s="178"/>
      <c r="S17190" s="178"/>
    </row>
    <row r="17191" spans="18:19">
      <c r="R17191" s="178"/>
      <c r="S17191" s="178"/>
    </row>
    <row r="17192" spans="18:19">
      <c r="R17192" s="178"/>
      <c r="S17192" s="178"/>
    </row>
    <row r="17193" spans="18:19">
      <c r="R17193" s="178"/>
      <c r="S17193" s="178"/>
    </row>
    <row r="17194" spans="18:19">
      <c r="R17194" s="178"/>
      <c r="S17194" s="178"/>
    </row>
    <row r="17195" spans="18:19">
      <c r="R17195" s="178"/>
      <c r="S17195" s="178"/>
    </row>
    <row r="17196" spans="18:19">
      <c r="R17196" s="178"/>
      <c r="S17196" s="178"/>
    </row>
    <row r="17197" spans="18:19">
      <c r="R17197" s="178"/>
      <c r="S17197" s="178"/>
    </row>
    <row r="17198" spans="18:19">
      <c r="R17198" s="178"/>
      <c r="S17198" s="178"/>
    </row>
    <row r="17199" spans="18:19">
      <c r="R17199" s="178"/>
      <c r="S17199" s="178"/>
    </row>
    <row r="17200" spans="18:19">
      <c r="R17200" s="178"/>
      <c r="S17200" s="178"/>
    </row>
    <row r="17201" spans="18:19">
      <c r="R17201" s="178"/>
      <c r="S17201" s="178"/>
    </row>
    <row r="17202" spans="18:19">
      <c r="R17202" s="178"/>
      <c r="S17202" s="178"/>
    </row>
    <row r="17203" spans="18:19">
      <c r="R17203" s="178"/>
      <c r="S17203" s="178"/>
    </row>
    <row r="17204" spans="18:19">
      <c r="R17204" s="178"/>
      <c r="S17204" s="178"/>
    </row>
    <row r="17205" spans="18:19">
      <c r="R17205" s="178"/>
      <c r="S17205" s="178"/>
    </row>
    <row r="17206" spans="18:19">
      <c r="R17206" s="178"/>
      <c r="S17206" s="178"/>
    </row>
    <row r="17207" spans="18:19">
      <c r="R17207" s="178"/>
      <c r="S17207" s="178"/>
    </row>
    <row r="17208" spans="18:19">
      <c r="R17208" s="178"/>
      <c r="S17208" s="178"/>
    </row>
    <row r="17209" spans="18:19">
      <c r="R17209" s="178"/>
      <c r="S17209" s="178"/>
    </row>
    <row r="17210" spans="18:19">
      <c r="R17210" s="178"/>
      <c r="S17210" s="178"/>
    </row>
    <row r="17211" spans="18:19">
      <c r="R17211" s="178"/>
      <c r="S17211" s="178"/>
    </row>
    <row r="17212" spans="18:19">
      <c r="R17212" s="178"/>
      <c r="S17212" s="178"/>
    </row>
    <row r="17213" spans="18:19">
      <c r="R17213" s="178"/>
      <c r="S17213" s="178"/>
    </row>
    <row r="17214" spans="18:19">
      <c r="R17214" s="178"/>
      <c r="S17214" s="178"/>
    </row>
    <row r="17215" spans="18:19">
      <c r="R17215" s="178"/>
      <c r="S17215" s="178"/>
    </row>
    <row r="17216" spans="18:19">
      <c r="R17216" s="178"/>
      <c r="S17216" s="178"/>
    </row>
    <row r="17217" spans="18:19">
      <c r="R17217" s="178"/>
      <c r="S17217" s="178"/>
    </row>
    <row r="17218" spans="18:19">
      <c r="R17218" s="178"/>
      <c r="S17218" s="178"/>
    </row>
    <row r="17219" spans="18:19">
      <c r="R17219" s="178"/>
      <c r="S17219" s="178"/>
    </row>
    <row r="17220" spans="18:19">
      <c r="R17220" s="178"/>
      <c r="S17220" s="178"/>
    </row>
    <row r="17221" spans="18:19">
      <c r="R17221" s="178"/>
      <c r="S17221" s="178"/>
    </row>
    <row r="17222" spans="18:19">
      <c r="R17222" s="178"/>
      <c r="S17222" s="178"/>
    </row>
    <row r="17223" spans="18:19">
      <c r="R17223" s="178"/>
      <c r="S17223" s="178"/>
    </row>
    <row r="17224" spans="18:19">
      <c r="R17224" s="178"/>
      <c r="S17224" s="178"/>
    </row>
    <row r="17225" spans="18:19">
      <c r="R17225" s="178"/>
      <c r="S17225" s="178"/>
    </row>
    <row r="17226" spans="18:19">
      <c r="R17226" s="178"/>
      <c r="S17226" s="178"/>
    </row>
    <row r="17227" spans="18:19">
      <c r="R17227" s="178"/>
      <c r="S17227" s="178"/>
    </row>
    <row r="17228" spans="18:19">
      <c r="R17228" s="178"/>
      <c r="S17228" s="178"/>
    </row>
    <row r="17229" spans="18:19">
      <c r="R17229" s="178"/>
      <c r="S17229" s="178"/>
    </row>
    <row r="17230" spans="18:19">
      <c r="R17230" s="178"/>
      <c r="S17230" s="178"/>
    </row>
    <row r="17231" spans="18:19">
      <c r="R17231" s="178"/>
      <c r="S17231" s="178"/>
    </row>
    <row r="17232" spans="18:19">
      <c r="R17232" s="178"/>
      <c r="S17232" s="178"/>
    </row>
    <row r="17233" spans="18:19">
      <c r="R17233" s="178"/>
      <c r="S17233" s="178"/>
    </row>
    <row r="17234" spans="18:19">
      <c r="R17234" s="178"/>
      <c r="S17234" s="178"/>
    </row>
    <row r="17235" spans="18:19">
      <c r="R17235" s="178"/>
      <c r="S17235" s="178"/>
    </row>
    <row r="17236" spans="18:19">
      <c r="R17236" s="178"/>
      <c r="S17236" s="178"/>
    </row>
    <row r="17237" spans="18:19">
      <c r="R17237" s="178"/>
      <c r="S17237" s="178"/>
    </row>
    <row r="17238" spans="18:19">
      <c r="R17238" s="178"/>
      <c r="S17238" s="178"/>
    </row>
    <row r="17239" spans="18:19">
      <c r="R17239" s="178"/>
      <c r="S17239" s="178"/>
    </row>
    <row r="17240" spans="18:19">
      <c r="R17240" s="178"/>
      <c r="S17240" s="178"/>
    </row>
    <row r="17241" spans="18:19">
      <c r="R17241" s="178"/>
      <c r="S17241" s="178"/>
    </row>
    <row r="17242" spans="18:19">
      <c r="R17242" s="178"/>
      <c r="S17242" s="178"/>
    </row>
    <row r="17243" spans="18:19">
      <c r="R17243" s="178"/>
      <c r="S17243" s="178"/>
    </row>
    <row r="17244" spans="18:19">
      <c r="R17244" s="178"/>
      <c r="S17244" s="178"/>
    </row>
    <row r="17245" spans="18:19">
      <c r="R17245" s="178"/>
      <c r="S17245" s="178"/>
    </row>
    <row r="17246" spans="18:19">
      <c r="R17246" s="178"/>
      <c r="S17246" s="178"/>
    </row>
    <row r="17247" spans="18:19">
      <c r="R17247" s="178"/>
      <c r="S17247" s="178"/>
    </row>
    <row r="17248" spans="18:19">
      <c r="R17248" s="178"/>
      <c r="S17248" s="178"/>
    </row>
    <row r="17249" spans="18:19">
      <c r="R17249" s="178"/>
      <c r="S17249" s="178"/>
    </row>
    <row r="17250" spans="18:19">
      <c r="R17250" s="178"/>
      <c r="S17250" s="178"/>
    </row>
    <row r="17251" spans="18:19">
      <c r="R17251" s="178"/>
      <c r="S17251" s="178"/>
    </row>
    <row r="17252" spans="18:19">
      <c r="R17252" s="178"/>
      <c r="S17252" s="178"/>
    </row>
    <row r="17253" spans="18:19">
      <c r="R17253" s="178"/>
      <c r="S17253" s="178"/>
    </row>
    <row r="17254" spans="18:19">
      <c r="R17254" s="178"/>
      <c r="S17254" s="178"/>
    </row>
    <row r="17255" spans="18:19">
      <c r="R17255" s="178"/>
      <c r="S17255" s="178"/>
    </row>
    <row r="17256" spans="18:19">
      <c r="R17256" s="178"/>
      <c r="S17256" s="178"/>
    </row>
    <row r="17257" spans="18:19">
      <c r="R17257" s="178"/>
      <c r="S17257" s="178"/>
    </row>
    <row r="17258" spans="18:19">
      <c r="R17258" s="178"/>
      <c r="S17258" s="178"/>
    </row>
    <row r="17259" spans="18:19">
      <c r="R17259" s="178"/>
      <c r="S17259" s="178"/>
    </row>
    <row r="17260" spans="18:19">
      <c r="R17260" s="178"/>
      <c r="S17260" s="178"/>
    </row>
    <row r="17261" spans="18:19">
      <c r="R17261" s="178"/>
      <c r="S17261" s="178"/>
    </row>
    <row r="17262" spans="18:19">
      <c r="R17262" s="178"/>
      <c r="S17262" s="178"/>
    </row>
    <row r="17263" spans="18:19">
      <c r="R17263" s="178"/>
      <c r="S17263" s="178"/>
    </row>
    <row r="17264" spans="18:19">
      <c r="R17264" s="178"/>
      <c r="S17264" s="178"/>
    </row>
    <row r="17265" spans="18:19">
      <c r="R17265" s="178"/>
      <c r="S17265" s="178"/>
    </row>
    <row r="17266" spans="18:19">
      <c r="R17266" s="178"/>
      <c r="S17266" s="178"/>
    </row>
    <row r="17267" spans="18:19">
      <c r="R17267" s="178"/>
      <c r="S17267" s="178"/>
    </row>
    <row r="17268" spans="18:19">
      <c r="R17268" s="178"/>
      <c r="S17268" s="178"/>
    </row>
    <row r="17269" spans="18:19">
      <c r="R17269" s="178"/>
      <c r="S17269" s="178"/>
    </row>
    <row r="17270" spans="18:19">
      <c r="R17270" s="178"/>
      <c r="S17270" s="178"/>
    </row>
    <row r="17271" spans="18:19">
      <c r="R17271" s="178"/>
      <c r="S17271" s="178"/>
    </row>
    <row r="17272" spans="18:19">
      <c r="R17272" s="178"/>
      <c r="S17272" s="178"/>
    </row>
    <row r="17273" spans="18:19">
      <c r="R17273" s="178"/>
      <c r="S17273" s="178"/>
    </row>
    <row r="17274" spans="18:19">
      <c r="R17274" s="178"/>
      <c r="S17274" s="178"/>
    </row>
    <row r="17275" spans="18:19">
      <c r="R17275" s="178"/>
      <c r="S17275" s="178"/>
    </row>
    <row r="17276" spans="18:19">
      <c r="R17276" s="178"/>
      <c r="S17276" s="178"/>
    </row>
    <row r="17277" spans="18:19">
      <c r="R17277" s="178"/>
      <c r="S17277" s="178"/>
    </row>
    <row r="17278" spans="18:19">
      <c r="R17278" s="178"/>
      <c r="S17278" s="178"/>
    </row>
    <row r="17279" spans="18:19">
      <c r="R17279" s="178"/>
      <c r="S17279" s="178"/>
    </row>
    <row r="17280" spans="18:19">
      <c r="R17280" s="178"/>
      <c r="S17280" s="178"/>
    </row>
    <row r="17281" spans="18:19">
      <c r="R17281" s="178"/>
      <c r="S17281" s="178"/>
    </row>
    <row r="17282" spans="18:19">
      <c r="R17282" s="178"/>
      <c r="S17282" s="178"/>
    </row>
    <row r="17283" spans="18:19">
      <c r="R17283" s="178"/>
      <c r="S17283" s="178"/>
    </row>
    <row r="17284" spans="18:19">
      <c r="R17284" s="178"/>
      <c r="S17284" s="178"/>
    </row>
    <row r="17285" spans="18:19">
      <c r="R17285" s="178"/>
      <c r="S17285" s="178"/>
    </row>
    <row r="17286" spans="18:19">
      <c r="R17286" s="178"/>
      <c r="S17286" s="178"/>
    </row>
    <row r="17287" spans="18:19">
      <c r="R17287" s="178"/>
      <c r="S17287" s="178"/>
    </row>
    <row r="17288" spans="18:19">
      <c r="R17288" s="178"/>
      <c r="S17288" s="178"/>
    </row>
    <row r="17289" spans="18:19">
      <c r="R17289" s="178"/>
      <c r="S17289" s="178"/>
    </row>
    <row r="17290" spans="18:19">
      <c r="R17290" s="178"/>
      <c r="S17290" s="178"/>
    </row>
    <row r="17291" spans="18:19">
      <c r="R17291" s="178"/>
      <c r="S17291" s="178"/>
    </row>
    <row r="17292" spans="18:19">
      <c r="R17292" s="178"/>
      <c r="S17292" s="178"/>
    </row>
    <row r="17293" spans="18:19">
      <c r="R17293" s="178"/>
      <c r="S17293" s="178"/>
    </row>
    <row r="17294" spans="18:19">
      <c r="R17294" s="178"/>
      <c r="S17294" s="178"/>
    </row>
    <row r="17295" spans="18:19">
      <c r="R17295" s="178"/>
      <c r="S17295" s="178"/>
    </row>
    <row r="17296" spans="18:19">
      <c r="R17296" s="178"/>
      <c r="S17296" s="178"/>
    </row>
    <row r="17297" spans="18:19">
      <c r="R17297" s="178"/>
      <c r="S17297" s="178"/>
    </row>
    <row r="17298" spans="18:19">
      <c r="R17298" s="178"/>
      <c r="S17298" s="178"/>
    </row>
    <row r="17299" spans="18:19">
      <c r="R17299" s="178"/>
      <c r="S17299" s="178"/>
    </row>
    <row r="17300" spans="18:19">
      <c r="R17300" s="178"/>
      <c r="S17300" s="178"/>
    </row>
    <row r="17301" spans="18:19">
      <c r="R17301" s="178"/>
      <c r="S17301" s="178"/>
    </row>
    <row r="17302" spans="18:19">
      <c r="R17302" s="178"/>
      <c r="S17302" s="178"/>
    </row>
    <row r="17303" spans="18:19">
      <c r="R17303" s="178"/>
      <c r="S17303" s="178"/>
    </row>
    <row r="17304" spans="18:19">
      <c r="R17304" s="178"/>
      <c r="S17304" s="178"/>
    </row>
    <row r="17305" spans="18:19">
      <c r="R17305" s="178"/>
      <c r="S17305" s="178"/>
    </row>
    <row r="17306" spans="18:19">
      <c r="R17306" s="178"/>
      <c r="S17306" s="178"/>
    </row>
    <row r="17307" spans="18:19">
      <c r="R17307" s="178"/>
      <c r="S17307" s="178"/>
    </row>
    <row r="17308" spans="18:19">
      <c r="R17308" s="178"/>
      <c r="S17308" s="178"/>
    </row>
    <row r="17309" spans="18:19">
      <c r="R17309" s="178"/>
      <c r="S17309" s="178"/>
    </row>
    <row r="17310" spans="18:19">
      <c r="R17310" s="178"/>
      <c r="S17310" s="178"/>
    </row>
    <row r="17311" spans="18:19">
      <c r="R17311" s="178"/>
      <c r="S17311" s="178"/>
    </row>
    <row r="17312" spans="18:19">
      <c r="R17312" s="178"/>
      <c r="S17312" s="178"/>
    </row>
    <row r="17313" spans="18:19">
      <c r="R17313" s="178"/>
      <c r="S17313" s="178"/>
    </row>
    <row r="17314" spans="18:19">
      <c r="R17314" s="178"/>
      <c r="S17314" s="178"/>
    </row>
    <row r="17315" spans="18:19">
      <c r="R17315" s="178"/>
      <c r="S17315" s="178"/>
    </row>
    <row r="17316" spans="18:19">
      <c r="R17316" s="178"/>
      <c r="S17316" s="178"/>
    </row>
    <row r="17317" spans="18:19">
      <c r="R17317" s="178"/>
      <c r="S17317" s="178"/>
    </row>
    <row r="17318" spans="18:19">
      <c r="R17318" s="178"/>
      <c r="S17318" s="178"/>
    </row>
    <row r="17319" spans="18:19">
      <c r="R17319" s="178"/>
      <c r="S17319" s="178"/>
    </row>
    <row r="17320" spans="18:19">
      <c r="R17320" s="178"/>
      <c r="S17320" s="178"/>
    </row>
    <row r="17321" spans="18:19">
      <c r="R17321" s="178"/>
      <c r="S17321" s="178"/>
    </row>
    <row r="17322" spans="18:19">
      <c r="R17322" s="178"/>
      <c r="S17322" s="178"/>
    </row>
    <row r="17323" spans="18:19">
      <c r="R17323" s="178"/>
      <c r="S17323" s="178"/>
    </row>
    <row r="17324" spans="18:19">
      <c r="R17324" s="178"/>
      <c r="S17324" s="178"/>
    </row>
    <row r="17325" spans="18:19">
      <c r="R17325" s="178"/>
      <c r="S17325" s="178"/>
    </row>
    <row r="17326" spans="18:19">
      <c r="R17326" s="178"/>
      <c r="S17326" s="178"/>
    </row>
    <row r="17327" spans="18:19">
      <c r="R17327" s="178"/>
      <c r="S17327" s="178"/>
    </row>
    <row r="17328" spans="18:19">
      <c r="R17328" s="178"/>
      <c r="S17328" s="178"/>
    </row>
    <row r="17329" spans="18:19">
      <c r="R17329" s="178"/>
      <c r="S17329" s="178"/>
    </row>
    <row r="17330" spans="18:19">
      <c r="R17330" s="178"/>
      <c r="S17330" s="178"/>
    </row>
    <row r="17331" spans="18:19">
      <c r="R17331" s="178"/>
      <c r="S17331" s="178"/>
    </row>
    <row r="17332" spans="18:19">
      <c r="R17332" s="178"/>
      <c r="S17332" s="178"/>
    </row>
    <row r="17333" spans="18:19">
      <c r="R17333" s="178"/>
      <c r="S17333" s="178"/>
    </row>
    <row r="17334" spans="18:19">
      <c r="R17334" s="178"/>
      <c r="S17334" s="178"/>
    </row>
    <row r="17335" spans="18:19">
      <c r="R17335" s="178"/>
      <c r="S17335" s="178"/>
    </row>
    <row r="17336" spans="18:19">
      <c r="R17336" s="178"/>
      <c r="S17336" s="178"/>
    </row>
    <row r="17337" spans="18:19">
      <c r="R17337" s="178"/>
      <c r="S17337" s="178"/>
    </row>
    <row r="17338" spans="18:19">
      <c r="R17338" s="178"/>
      <c r="S17338" s="178"/>
    </row>
    <row r="17339" spans="18:19">
      <c r="R17339" s="178"/>
      <c r="S17339" s="178"/>
    </row>
    <row r="17340" spans="18:19">
      <c r="R17340" s="178"/>
      <c r="S17340" s="178"/>
    </row>
    <row r="17341" spans="18:19">
      <c r="R17341" s="178"/>
      <c r="S17341" s="178"/>
    </row>
    <row r="17342" spans="18:19">
      <c r="R17342" s="178"/>
      <c r="S17342" s="178"/>
    </row>
    <row r="17343" spans="18:19">
      <c r="R17343" s="178"/>
      <c r="S17343" s="178"/>
    </row>
    <row r="17344" spans="18:19">
      <c r="R17344" s="178"/>
      <c r="S17344" s="178"/>
    </row>
    <row r="17345" spans="18:19">
      <c r="R17345" s="178"/>
      <c r="S17345" s="178"/>
    </row>
    <row r="17346" spans="18:19">
      <c r="R17346" s="178"/>
      <c r="S17346" s="178"/>
    </row>
    <row r="17347" spans="18:19">
      <c r="R17347" s="178"/>
      <c r="S17347" s="178"/>
    </row>
    <row r="17348" spans="18:19">
      <c r="R17348" s="178"/>
      <c r="S17348" s="178"/>
    </row>
    <row r="17349" spans="18:19">
      <c r="R17349" s="178"/>
      <c r="S17349" s="178"/>
    </row>
    <row r="17350" spans="18:19">
      <c r="R17350" s="178"/>
      <c r="S17350" s="178"/>
    </row>
    <row r="17351" spans="18:19">
      <c r="R17351" s="178"/>
      <c r="S17351" s="178"/>
    </row>
    <row r="17352" spans="18:19">
      <c r="R17352" s="178"/>
      <c r="S17352" s="178"/>
    </row>
    <row r="17353" spans="18:19">
      <c r="R17353" s="178"/>
      <c r="S17353" s="178"/>
    </row>
    <row r="17354" spans="18:19">
      <c r="R17354" s="178"/>
      <c r="S17354" s="178"/>
    </row>
    <row r="17355" spans="18:19">
      <c r="R17355" s="178"/>
      <c r="S17355" s="178"/>
    </row>
    <row r="17356" spans="18:19">
      <c r="R17356" s="178"/>
      <c r="S17356" s="178"/>
    </row>
    <row r="17357" spans="18:19">
      <c r="R17357" s="178"/>
      <c r="S17357" s="178"/>
    </row>
    <row r="17358" spans="18:19">
      <c r="R17358" s="178"/>
      <c r="S17358" s="178"/>
    </row>
    <row r="17359" spans="18:19">
      <c r="R17359" s="178"/>
      <c r="S17359" s="178"/>
    </row>
    <row r="17360" spans="18:19">
      <c r="R17360" s="178"/>
      <c r="S17360" s="178"/>
    </row>
    <row r="17361" spans="18:19">
      <c r="R17361" s="178"/>
      <c r="S17361" s="178"/>
    </row>
    <row r="17362" spans="18:19">
      <c r="R17362" s="178"/>
      <c r="S17362" s="178"/>
    </row>
    <row r="17363" spans="18:19">
      <c r="R17363" s="178"/>
      <c r="S17363" s="178"/>
    </row>
    <row r="17364" spans="18:19">
      <c r="R17364" s="178"/>
      <c r="S17364" s="178"/>
    </row>
    <row r="17365" spans="18:19">
      <c r="R17365" s="178"/>
      <c r="S17365" s="178"/>
    </row>
    <row r="17366" spans="18:19">
      <c r="R17366" s="178"/>
      <c r="S17366" s="178"/>
    </row>
    <row r="17367" spans="18:19">
      <c r="R17367" s="178"/>
      <c r="S17367" s="178"/>
    </row>
    <row r="17368" spans="18:19">
      <c r="R17368" s="178"/>
      <c r="S17368" s="178"/>
    </row>
    <row r="17369" spans="18:19">
      <c r="R17369" s="178"/>
      <c r="S17369" s="178"/>
    </row>
    <row r="17370" spans="18:19">
      <c r="R17370" s="178"/>
      <c r="S17370" s="178"/>
    </row>
    <row r="17371" spans="18:19">
      <c r="R17371" s="178"/>
      <c r="S17371" s="178"/>
    </row>
    <row r="17372" spans="18:19">
      <c r="R17372" s="178"/>
      <c r="S17372" s="178"/>
    </row>
    <row r="17373" spans="18:19">
      <c r="R17373" s="178"/>
      <c r="S17373" s="178"/>
    </row>
    <row r="17374" spans="18:19">
      <c r="R17374" s="178"/>
      <c r="S17374" s="178"/>
    </row>
    <row r="17375" spans="18:19">
      <c r="R17375" s="178"/>
      <c r="S17375" s="178"/>
    </row>
    <row r="17376" spans="18:19">
      <c r="R17376" s="178"/>
      <c r="S17376" s="178"/>
    </row>
    <row r="17377" spans="18:19">
      <c r="R17377" s="178"/>
      <c r="S17377" s="178"/>
    </row>
    <row r="17378" spans="18:19">
      <c r="R17378" s="178"/>
      <c r="S17378" s="178"/>
    </row>
    <row r="17379" spans="18:19">
      <c r="R17379" s="178"/>
      <c r="S17379" s="178"/>
    </row>
    <row r="17380" spans="18:19">
      <c r="R17380" s="178"/>
      <c r="S17380" s="178"/>
    </row>
    <row r="17381" spans="18:19">
      <c r="R17381" s="178"/>
      <c r="S17381" s="178"/>
    </row>
    <row r="17382" spans="18:19">
      <c r="R17382" s="178"/>
      <c r="S17382" s="178"/>
    </row>
    <row r="17383" spans="18:19">
      <c r="R17383" s="178"/>
      <c r="S17383" s="178"/>
    </row>
    <row r="17384" spans="18:19">
      <c r="R17384" s="178"/>
      <c r="S17384" s="178"/>
    </row>
    <row r="17385" spans="18:19">
      <c r="R17385" s="178"/>
      <c r="S17385" s="178"/>
    </row>
    <row r="17386" spans="18:19">
      <c r="R17386" s="178"/>
      <c r="S17386" s="178"/>
    </row>
    <row r="17387" spans="18:19">
      <c r="R17387" s="178"/>
      <c r="S17387" s="178"/>
    </row>
    <row r="17388" spans="18:19">
      <c r="R17388" s="178"/>
      <c r="S17388" s="178"/>
    </row>
    <row r="17389" spans="18:19">
      <c r="R17389" s="178"/>
      <c r="S17389" s="178"/>
    </row>
    <row r="17390" spans="18:19">
      <c r="R17390" s="178"/>
      <c r="S17390" s="178"/>
    </row>
    <row r="17391" spans="18:19">
      <c r="R17391" s="178"/>
      <c r="S17391" s="178"/>
    </row>
    <row r="17392" spans="18:19">
      <c r="R17392" s="178"/>
      <c r="S17392" s="178"/>
    </row>
    <row r="17393" spans="18:19">
      <c r="R17393" s="178"/>
      <c r="S17393" s="178"/>
    </row>
    <row r="17394" spans="18:19">
      <c r="R17394" s="178"/>
      <c r="S17394" s="178"/>
    </row>
    <row r="17395" spans="18:19">
      <c r="R17395" s="178"/>
      <c r="S17395" s="178"/>
    </row>
    <row r="17396" spans="18:19">
      <c r="R17396" s="178"/>
      <c r="S17396" s="178"/>
    </row>
    <row r="17397" spans="18:19">
      <c r="R17397" s="178"/>
      <c r="S17397" s="178"/>
    </row>
    <row r="17398" spans="18:19">
      <c r="R17398" s="178"/>
      <c r="S17398" s="178"/>
    </row>
    <row r="17399" spans="18:19">
      <c r="R17399" s="178"/>
      <c r="S17399" s="178"/>
    </row>
    <row r="17400" spans="18:19">
      <c r="R17400" s="178"/>
      <c r="S17400" s="178"/>
    </row>
    <row r="17401" spans="18:19">
      <c r="R17401" s="178"/>
      <c r="S17401" s="178"/>
    </row>
    <row r="17402" spans="18:19">
      <c r="R17402" s="178"/>
      <c r="S17402" s="178"/>
    </row>
    <row r="17403" spans="18:19">
      <c r="R17403" s="178"/>
      <c r="S17403" s="178"/>
    </row>
    <row r="17404" spans="18:19">
      <c r="R17404" s="178"/>
      <c r="S17404" s="178"/>
    </row>
    <row r="17405" spans="18:19">
      <c r="R17405" s="178"/>
      <c r="S17405" s="178"/>
    </row>
    <row r="17406" spans="18:19">
      <c r="R17406" s="178"/>
      <c r="S17406" s="178"/>
    </row>
    <row r="17407" spans="18:19">
      <c r="R17407" s="178"/>
      <c r="S17407" s="178"/>
    </row>
    <row r="17408" spans="18:19">
      <c r="R17408" s="178"/>
      <c r="S17408" s="178"/>
    </row>
    <row r="17409" spans="18:19">
      <c r="R17409" s="178"/>
      <c r="S17409" s="178"/>
    </row>
    <row r="17410" spans="18:19">
      <c r="R17410" s="178"/>
      <c r="S17410" s="178"/>
    </row>
    <row r="17411" spans="18:19">
      <c r="R17411" s="178"/>
      <c r="S17411" s="178"/>
    </row>
    <row r="17412" spans="18:19">
      <c r="R17412" s="178"/>
      <c r="S17412" s="178"/>
    </row>
    <row r="17413" spans="18:19">
      <c r="R17413" s="178"/>
      <c r="S17413" s="178"/>
    </row>
    <row r="17414" spans="18:19">
      <c r="R17414" s="178"/>
      <c r="S17414" s="178"/>
    </row>
    <row r="17415" spans="18:19">
      <c r="R17415" s="178"/>
      <c r="S17415" s="178"/>
    </row>
    <row r="17416" spans="18:19">
      <c r="R17416" s="178"/>
      <c r="S17416" s="178"/>
    </row>
    <row r="17417" spans="18:19">
      <c r="R17417" s="178"/>
      <c r="S17417" s="178"/>
    </row>
    <row r="17418" spans="18:19">
      <c r="R17418" s="178"/>
      <c r="S17418" s="178"/>
    </row>
    <row r="17419" spans="18:19">
      <c r="R17419" s="178"/>
      <c r="S17419" s="178"/>
    </row>
    <row r="17420" spans="18:19">
      <c r="R17420" s="178"/>
      <c r="S17420" s="178"/>
    </row>
    <row r="17421" spans="18:19">
      <c r="R17421" s="178"/>
      <c r="S17421" s="178"/>
    </row>
    <row r="17422" spans="18:19">
      <c r="R17422" s="178"/>
      <c r="S17422" s="178"/>
    </row>
    <row r="17423" spans="18:19">
      <c r="R17423" s="178"/>
      <c r="S17423" s="178"/>
    </row>
    <row r="17424" spans="18:19">
      <c r="R17424" s="178"/>
      <c r="S17424" s="178"/>
    </row>
    <row r="17425" spans="18:19">
      <c r="R17425" s="178"/>
      <c r="S17425" s="178"/>
    </row>
    <row r="17426" spans="18:19">
      <c r="R17426" s="178"/>
      <c r="S17426" s="178"/>
    </row>
    <row r="17427" spans="18:19">
      <c r="R17427" s="178"/>
      <c r="S17427" s="178"/>
    </row>
    <row r="17428" spans="18:19">
      <c r="R17428" s="178"/>
      <c r="S17428" s="178"/>
    </row>
    <row r="17429" spans="18:19">
      <c r="R17429" s="178"/>
      <c r="S17429" s="178"/>
    </row>
    <row r="17430" spans="18:19">
      <c r="R17430" s="178"/>
      <c r="S17430" s="178"/>
    </row>
    <row r="17431" spans="18:19">
      <c r="R17431" s="178"/>
      <c r="S17431" s="178"/>
    </row>
    <row r="17432" spans="18:19">
      <c r="R17432" s="178"/>
      <c r="S17432" s="178"/>
    </row>
    <row r="17433" spans="18:19">
      <c r="R17433" s="178"/>
      <c r="S17433" s="178"/>
    </row>
    <row r="17434" spans="18:19">
      <c r="R17434" s="178"/>
      <c r="S17434" s="178"/>
    </row>
    <row r="17435" spans="18:19">
      <c r="R17435" s="178"/>
      <c r="S17435" s="178"/>
    </row>
    <row r="17436" spans="18:19">
      <c r="R17436" s="178"/>
      <c r="S17436" s="178"/>
    </row>
    <row r="17437" spans="18:19">
      <c r="R17437" s="178"/>
      <c r="S17437" s="178"/>
    </row>
    <row r="17438" spans="18:19">
      <c r="R17438" s="178"/>
      <c r="S17438" s="178"/>
    </row>
    <row r="17439" spans="18:19">
      <c r="R17439" s="178"/>
      <c r="S17439" s="178"/>
    </row>
    <row r="17440" spans="18:19">
      <c r="R17440" s="178"/>
      <c r="S17440" s="178"/>
    </row>
    <row r="17441" spans="18:19">
      <c r="R17441" s="178"/>
      <c r="S17441" s="178"/>
    </row>
    <row r="17442" spans="18:19">
      <c r="R17442" s="178"/>
      <c r="S17442" s="178"/>
    </row>
    <row r="17443" spans="18:19">
      <c r="R17443" s="178"/>
      <c r="S17443" s="178"/>
    </row>
    <row r="17444" spans="18:19">
      <c r="R17444" s="178"/>
      <c r="S17444" s="178"/>
    </row>
    <row r="17445" spans="18:19">
      <c r="R17445" s="178"/>
      <c r="S17445" s="178"/>
    </row>
    <row r="17446" spans="18:19">
      <c r="R17446" s="178"/>
      <c r="S17446" s="178"/>
    </row>
    <row r="17447" spans="18:19">
      <c r="R17447" s="178"/>
      <c r="S17447" s="178"/>
    </row>
    <row r="17448" spans="18:19">
      <c r="R17448" s="178"/>
      <c r="S17448" s="178"/>
    </row>
    <row r="17449" spans="18:19">
      <c r="R17449" s="178"/>
      <c r="S17449" s="178"/>
    </row>
    <row r="17450" spans="18:19">
      <c r="R17450" s="178"/>
      <c r="S17450" s="178"/>
    </row>
    <row r="17451" spans="18:19">
      <c r="R17451" s="178"/>
      <c r="S17451" s="178"/>
    </row>
    <row r="17452" spans="18:19">
      <c r="R17452" s="178"/>
      <c r="S17452" s="178"/>
    </row>
    <row r="17453" spans="18:19">
      <c r="R17453" s="178"/>
      <c r="S17453" s="178"/>
    </row>
    <row r="17454" spans="18:19">
      <c r="R17454" s="178"/>
      <c r="S17454" s="178"/>
    </row>
    <row r="17455" spans="18:19">
      <c r="R17455" s="178"/>
      <c r="S17455" s="178"/>
    </row>
    <row r="17456" spans="18:19">
      <c r="R17456" s="178"/>
      <c r="S17456" s="178"/>
    </row>
    <row r="17457" spans="18:19">
      <c r="R17457" s="178"/>
      <c r="S17457" s="178"/>
    </row>
    <row r="17458" spans="18:19">
      <c r="R17458" s="178"/>
      <c r="S17458" s="178"/>
    </row>
    <row r="17459" spans="18:19">
      <c r="R17459" s="178"/>
      <c r="S17459" s="178"/>
    </row>
    <row r="17460" spans="18:19">
      <c r="R17460" s="178"/>
      <c r="S17460" s="178"/>
    </row>
    <row r="17461" spans="18:19">
      <c r="R17461" s="178"/>
      <c r="S17461" s="178"/>
    </row>
    <row r="17462" spans="18:19">
      <c r="R17462" s="178"/>
      <c r="S17462" s="178"/>
    </row>
    <row r="17463" spans="18:19">
      <c r="R17463" s="178"/>
      <c r="S17463" s="178"/>
    </row>
    <row r="17464" spans="18:19">
      <c r="R17464" s="178"/>
      <c r="S17464" s="178"/>
    </row>
    <row r="17465" spans="18:19">
      <c r="R17465" s="178"/>
      <c r="S17465" s="178"/>
    </row>
    <row r="17466" spans="18:19">
      <c r="R17466" s="178"/>
      <c r="S17466" s="178"/>
    </row>
    <row r="17467" spans="18:19">
      <c r="R17467" s="178"/>
      <c r="S17467" s="178"/>
    </row>
    <row r="17468" spans="18:19">
      <c r="R17468" s="178"/>
      <c r="S17468" s="178"/>
    </row>
    <row r="17469" spans="18:19">
      <c r="R17469" s="178"/>
      <c r="S17469" s="178"/>
    </row>
    <row r="17470" spans="18:19">
      <c r="R17470" s="178"/>
      <c r="S17470" s="178"/>
    </row>
    <row r="17471" spans="18:19">
      <c r="R17471" s="178"/>
      <c r="S17471" s="178"/>
    </row>
    <row r="17472" spans="18:19">
      <c r="R17472" s="178"/>
      <c r="S17472" s="178"/>
    </row>
    <row r="17473" spans="18:19">
      <c r="R17473" s="178"/>
      <c r="S17473" s="178"/>
    </row>
    <row r="17474" spans="18:19">
      <c r="R17474" s="178"/>
      <c r="S17474" s="178"/>
    </row>
    <row r="17475" spans="18:19">
      <c r="R17475" s="178"/>
      <c r="S17475" s="178"/>
    </row>
    <row r="17476" spans="18:19">
      <c r="R17476" s="178"/>
      <c r="S17476" s="178"/>
    </row>
    <row r="17477" spans="18:19">
      <c r="R17477" s="178"/>
      <c r="S17477" s="178"/>
    </row>
    <row r="17478" spans="18:19">
      <c r="R17478" s="178"/>
      <c r="S17478" s="178"/>
    </row>
    <row r="17479" spans="18:19">
      <c r="R17479" s="178"/>
      <c r="S17479" s="178"/>
    </row>
    <row r="17480" spans="18:19">
      <c r="R17480" s="178"/>
      <c r="S17480" s="178"/>
    </row>
    <row r="17481" spans="18:19">
      <c r="R17481" s="178"/>
      <c r="S17481" s="178"/>
    </row>
    <row r="17482" spans="18:19">
      <c r="R17482" s="178"/>
      <c r="S17482" s="178"/>
    </row>
    <row r="17483" spans="18:19">
      <c r="R17483" s="178"/>
      <c r="S17483" s="178"/>
    </row>
    <row r="17484" spans="18:19">
      <c r="R17484" s="178"/>
      <c r="S17484" s="178"/>
    </row>
    <row r="17485" spans="18:19">
      <c r="R17485" s="178"/>
      <c r="S17485" s="178"/>
    </row>
    <row r="17486" spans="18:19">
      <c r="R17486" s="178"/>
      <c r="S17486" s="178"/>
    </row>
    <row r="17487" spans="18:19">
      <c r="R17487" s="178"/>
      <c r="S17487" s="178"/>
    </row>
    <row r="17488" spans="18:19">
      <c r="R17488" s="178"/>
      <c r="S17488" s="178"/>
    </row>
    <row r="17489" spans="18:19">
      <c r="R17489" s="178"/>
      <c r="S17489" s="178"/>
    </row>
    <row r="17490" spans="18:19">
      <c r="R17490" s="178"/>
      <c r="S17490" s="178"/>
    </row>
    <row r="17491" spans="18:19">
      <c r="R17491" s="178"/>
      <c r="S17491" s="178"/>
    </row>
    <row r="17492" spans="18:19">
      <c r="R17492" s="178"/>
      <c r="S17492" s="178"/>
    </row>
    <row r="17493" spans="18:19">
      <c r="R17493" s="178"/>
      <c r="S17493" s="178"/>
    </row>
    <row r="17494" spans="18:19">
      <c r="R17494" s="178"/>
      <c r="S17494" s="178"/>
    </row>
    <row r="17495" spans="18:19">
      <c r="R17495" s="178"/>
      <c r="S17495" s="178"/>
    </row>
    <row r="17496" spans="18:19">
      <c r="R17496" s="178"/>
      <c r="S17496" s="178"/>
    </row>
    <row r="17497" spans="18:19">
      <c r="R17497" s="178"/>
      <c r="S17497" s="178"/>
    </row>
    <row r="17498" spans="18:19">
      <c r="R17498" s="178"/>
      <c r="S17498" s="178"/>
    </row>
    <row r="17499" spans="18:19">
      <c r="R17499" s="178"/>
      <c r="S17499" s="178"/>
    </row>
    <row r="17500" spans="18:19">
      <c r="R17500" s="178"/>
      <c r="S17500" s="178"/>
    </row>
    <row r="17501" spans="18:19">
      <c r="R17501" s="178"/>
      <c r="S17501" s="178"/>
    </row>
    <row r="17502" spans="18:19">
      <c r="R17502" s="178"/>
      <c r="S17502" s="178"/>
    </row>
    <row r="17503" spans="18:19">
      <c r="R17503" s="178"/>
      <c r="S17503" s="178"/>
    </row>
    <row r="17504" spans="18:19">
      <c r="R17504" s="178"/>
      <c r="S17504" s="178"/>
    </row>
    <row r="17505" spans="18:19">
      <c r="R17505" s="178"/>
      <c r="S17505" s="178"/>
    </row>
    <row r="17506" spans="18:19">
      <c r="R17506" s="178"/>
      <c r="S17506" s="178"/>
    </row>
    <row r="17507" spans="18:19">
      <c r="R17507" s="178"/>
      <c r="S17507" s="178"/>
    </row>
    <row r="17508" spans="18:19">
      <c r="R17508" s="178"/>
      <c r="S17508" s="178"/>
    </row>
    <row r="17509" spans="18:19">
      <c r="R17509" s="178"/>
      <c r="S17509" s="178"/>
    </row>
    <row r="17510" spans="18:19">
      <c r="R17510" s="178"/>
      <c r="S17510" s="178"/>
    </row>
    <row r="17511" spans="18:19">
      <c r="R17511" s="178"/>
      <c r="S17511" s="178"/>
    </row>
    <row r="17512" spans="18:19">
      <c r="R17512" s="178"/>
      <c r="S17512" s="178"/>
    </row>
    <row r="17513" spans="18:19">
      <c r="R17513" s="178"/>
      <c r="S17513" s="178"/>
    </row>
    <row r="17514" spans="18:19">
      <c r="R17514" s="178"/>
      <c r="S17514" s="178"/>
    </row>
    <row r="17515" spans="18:19">
      <c r="R17515" s="178"/>
      <c r="S17515" s="178"/>
    </row>
    <row r="17516" spans="18:19">
      <c r="R17516" s="178"/>
      <c r="S17516" s="178"/>
    </row>
    <row r="17517" spans="18:19">
      <c r="R17517" s="178"/>
      <c r="S17517" s="178"/>
    </row>
    <row r="17518" spans="18:19">
      <c r="R17518" s="178"/>
      <c r="S17518" s="178"/>
    </row>
    <row r="17519" spans="18:19">
      <c r="R17519" s="178"/>
      <c r="S17519" s="178"/>
    </row>
    <row r="17520" spans="18:19">
      <c r="R17520" s="178"/>
      <c r="S17520" s="178"/>
    </row>
    <row r="17521" spans="18:19">
      <c r="R17521" s="178"/>
      <c r="S17521" s="178"/>
    </row>
    <row r="17522" spans="18:19">
      <c r="R17522" s="178"/>
      <c r="S17522" s="178"/>
    </row>
    <row r="17523" spans="18:19">
      <c r="R17523" s="178"/>
      <c r="S17523" s="178"/>
    </row>
    <row r="17524" spans="18:19">
      <c r="R17524" s="178"/>
      <c r="S17524" s="178"/>
    </row>
    <row r="17525" spans="18:19">
      <c r="R17525" s="178"/>
      <c r="S17525" s="178"/>
    </row>
    <row r="17526" spans="18:19">
      <c r="R17526" s="178"/>
      <c r="S17526" s="178"/>
    </row>
    <row r="17527" spans="18:19">
      <c r="R17527" s="178"/>
      <c r="S17527" s="178"/>
    </row>
    <row r="17528" spans="18:19">
      <c r="R17528" s="178"/>
      <c r="S17528" s="178"/>
    </row>
    <row r="17529" spans="18:19">
      <c r="R17529" s="178"/>
      <c r="S17529" s="178"/>
    </row>
    <row r="17530" spans="18:19">
      <c r="R17530" s="178"/>
      <c r="S17530" s="178"/>
    </row>
    <row r="17531" spans="18:19">
      <c r="R17531" s="178"/>
      <c r="S17531" s="178"/>
    </row>
    <row r="17532" spans="18:19">
      <c r="R17532" s="178"/>
      <c r="S17532" s="178"/>
    </row>
    <row r="17533" spans="18:19">
      <c r="R17533" s="178"/>
      <c r="S17533" s="178"/>
    </row>
    <row r="17534" spans="18:19">
      <c r="R17534" s="178"/>
      <c r="S17534" s="178"/>
    </row>
    <row r="17535" spans="18:19">
      <c r="R17535" s="178"/>
      <c r="S17535" s="178"/>
    </row>
    <row r="17536" spans="18:19">
      <c r="R17536" s="178"/>
      <c r="S17536" s="178"/>
    </row>
    <row r="17537" spans="18:19">
      <c r="R17537" s="178"/>
      <c r="S17537" s="178"/>
    </row>
    <row r="17538" spans="18:19">
      <c r="R17538" s="178"/>
      <c r="S17538" s="178"/>
    </row>
    <row r="17539" spans="18:19">
      <c r="R17539" s="178"/>
      <c r="S17539" s="178"/>
    </row>
    <row r="17540" spans="18:19">
      <c r="R17540" s="178"/>
      <c r="S17540" s="178"/>
    </row>
    <row r="17541" spans="18:19">
      <c r="R17541" s="178"/>
      <c r="S17541" s="178"/>
    </row>
    <row r="17542" spans="18:19">
      <c r="R17542" s="178"/>
      <c r="S17542" s="178"/>
    </row>
    <row r="17543" spans="18:19">
      <c r="R17543" s="178"/>
      <c r="S17543" s="178"/>
    </row>
    <row r="17544" spans="18:19">
      <c r="R17544" s="178"/>
      <c r="S17544" s="178"/>
    </row>
    <row r="17545" spans="18:19">
      <c r="R17545" s="178"/>
      <c r="S17545" s="178"/>
    </row>
    <row r="17546" spans="18:19">
      <c r="R17546" s="178"/>
      <c r="S17546" s="178"/>
    </row>
    <row r="17547" spans="18:19">
      <c r="R17547" s="178"/>
      <c r="S17547" s="178"/>
    </row>
    <row r="17548" spans="18:19">
      <c r="R17548" s="178"/>
      <c r="S17548" s="178"/>
    </row>
    <row r="17549" spans="18:19">
      <c r="R17549" s="178"/>
      <c r="S17549" s="178"/>
    </row>
    <row r="17550" spans="18:19">
      <c r="R17550" s="178"/>
      <c r="S17550" s="178"/>
    </row>
    <row r="17551" spans="18:19">
      <c r="R17551" s="178"/>
      <c r="S17551" s="178"/>
    </row>
    <row r="17552" spans="18:19">
      <c r="R17552" s="178"/>
      <c r="S17552" s="178"/>
    </row>
    <row r="17553" spans="18:19">
      <c r="R17553" s="178"/>
      <c r="S17553" s="178"/>
    </row>
    <row r="17554" spans="18:19">
      <c r="R17554" s="178"/>
      <c r="S17554" s="178"/>
    </row>
    <row r="17555" spans="18:19">
      <c r="R17555" s="178"/>
      <c r="S17555" s="178"/>
    </row>
    <row r="17556" spans="18:19">
      <c r="R17556" s="178"/>
      <c r="S17556" s="178"/>
    </row>
    <row r="17557" spans="18:19">
      <c r="R17557" s="178"/>
      <c r="S17557" s="178"/>
    </row>
    <row r="17558" spans="18:19">
      <c r="R17558" s="178"/>
      <c r="S17558" s="178"/>
    </row>
    <row r="17559" spans="18:19">
      <c r="R17559" s="178"/>
      <c r="S17559" s="178"/>
    </row>
    <row r="17560" spans="18:19">
      <c r="R17560" s="178"/>
      <c r="S17560" s="178"/>
    </row>
    <row r="17561" spans="18:19">
      <c r="R17561" s="178"/>
      <c r="S17561" s="178"/>
    </row>
    <row r="17562" spans="18:19">
      <c r="R17562" s="178"/>
      <c r="S17562" s="178"/>
    </row>
    <row r="17563" spans="18:19">
      <c r="R17563" s="178"/>
      <c r="S17563" s="178"/>
    </row>
    <row r="17564" spans="18:19">
      <c r="R17564" s="178"/>
      <c r="S17564" s="178"/>
    </row>
    <row r="17565" spans="18:19">
      <c r="R17565" s="178"/>
      <c r="S17565" s="178"/>
    </row>
    <row r="17566" spans="18:19">
      <c r="R17566" s="178"/>
      <c r="S17566" s="178"/>
    </row>
    <row r="17567" spans="18:19">
      <c r="R17567" s="178"/>
      <c r="S17567" s="178"/>
    </row>
    <row r="17568" spans="18:19">
      <c r="R17568" s="178"/>
      <c r="S17568" s="178"/>
    </row>
    <row r="17569" spans="18:19">
      <c r="R17569" s="178"/>
      <c r="S17569" s="178"/>
    </row>
    <row r="17570" spans="18:19">
      <c r="R17570" s="178"/>
      <c r="S17570" s="178"/>
    </row>
    <row r="17571" spans="18:19">
      <c r="R17571" s="178"/>
      <c r="S17571" s="178"/>
    </row>
    <row r="17572" spans="18:19">
      <c r="R17572" s="178"/>
      <c r="S17572" s="178"/>
    </row>
    <row r="17573" spans="18:19">
      <c r="R17573" s="178"/>
      <c r="S17573" s="178"/>
    </row>
    <row r="17574" spans="18:19">
      <c r="R17574" s="178"/>
      <c r="S17574" s="178"/>
    </row>
    <row r="17575" spans="18:19">
      <c r="R17575" s="178"/>
      <c r="S17575" s="178"/>
    </row>
    <row r="17576" spans="18:19">
      <c r="R17576" s="178"/>
      <c r="S17576" s="178"/>
    </row>
    <row r="17577" spans="18:19">
      <c r="R17577" s="178"/>
      <c r="S17577" s="178"/>
    </row>
    <row r="17578" spans="18:19">
      <c r="R17578" s="178"/>
      <c r="S17578" s="178"/>
    </row>
    <row r="17579" spans="18:19">
      <c r="R17579" s="178"/>
      <c r="S17579" s="178"/>
    </row>
    <row r="17580" spans="18:19">
      <c r="R17580" s="178"/>
      <c r="S17580" s="178"/>
    </row>
    <row r="17581" spans="18:19">
      <c r="R17581" s="178"/>
      <c r="S17581" s="178"/>
    </row>
    <row r="17582" spans="18:19">
      <c r="R17582" s="178"/>
      <c r="S17582" s="178"/>
    </row>
    <row r="17583" spans="18:19">
      <c r="R17583" s="178"/>
      <c r="S17583" s="178"/>
    </row>
    <row r="17584" spans="18:19">
      <c r="R17584" s="178"/>
      <c r="S17584" s="178"/>
    </row>
    <row r="17585" spans="18:19">
      <c r="R17585" s="178"/>
      <c r="S17585" s="178"/>
    </row>
    <row r="17586" spans="18:19">
      <c r="R17586" s="178"/>
      <c r="S17586" s="178"/>
    </row>
    <row r="17587" spans="18:19">
      <c r="R17587" s="178"/>
      <c r="S17587" s="178"/>
    </row>
    <row r="17588" spans="18:19">
      <c r="R17588" s="178"/>
      <c r="S17588" s="178"/>
    </row>
    <row r="17589" spans="18:19">
      <c r="R17589" s="178"/>
      <c r="S17589" s="178"/>
    </row>
    <row r="17590" spans="18:19">
      <c r="R17590" s="178"/>
      <c r="S17590" s="178"/>
    </row>
    <row r="17591" spans="18:19">
      <c r="R17591" s="178"/>
      <c r="S17591" s="178"/>
    </row>
    <row r="17592" spans="18:19">
      <c r="R17592" s="178"/>
      <c r="S17592" s="178"/>
    </row>
    <row r="17593" spans="18:19">
      <c r="R17593" s="178"/>
      <c r="S17593" s="178"/>
    </row>
    <row r="17594" spans="18:19">
      <c r="R17594" s="178"/>
      <c r="S17594" s="178"/>
    </row>
    <row r="17595" spans="18:19">
      <c r="R17595" s="178"/>
      <c r="S17595" s="178"/>
    </row>
    <row r="17596" spans="18:19">
      <c r="R17596" s="178"/>
      <c r="S17596" s="178"/>
    </row>
    <row r="17597" spans="18:19">
      <c r="R17597" s="178"/>
      <c r="S17597" s="178"/>
    </row>
    <row r="17598" spans="18:19">
      <c r="R17598" s="178"/>
      <c r="S17598" s="178"/>
    </row>
    <row r="17599" spans="18:19">
      <c r="R17599" s="178"/>
      <c r="S17599" s="178"/>
    </row>
    <row r="17600" spans="18:19">
      <c r="R17600" s="178"/>
      <c r="S17600" s="178"/>
    </row>
    <row r="17601" spans="18:19">
      <c r="R17601" s="178"/>
      <c r="S17601" s="178"/>
    </row>
    <row r="17602" spans="18:19">
      <c r="R17602" s="178"/>
      <c r="S17602" s="178"/>
    </row>
    <row r="17603" spans="18:19">
      <c r="R17603" s="178"/>
      <c r="S17603" s="178"/>
    </row>
    <row r="17604" spans="18:19">
      <c r="R17604" s="178"/>
      <c r="S17604" s="178"/>
    </row>
    <row r="17605" spans="18:19">
      <c r="R17605" s="178"/>
      <c r="S17605" s="178"/>
    </row>
    <row r="17606" spans="18:19">
      <c r="R17606" s="178"/>
      <c r="S17606" s="178"/>
    </row>
    <row r="17607" spans="18:19">
      <c r="R17607" s="178"/>
      <c r="S17607" s="178"/>
    </row>
    <row r="17608" spans="18:19">
      <c r="R17608" s="178"/>
      <c r="S17608" s="178"/>
    </row>
    <row r="17609" spans="18:19">
      <c r="R17609" s="178"/>
      <c r="S17609" s="178"/>
    </row>
    <row r="17610" spans="18:19">
      <c r="R17610" s="178"/>
      <c r="S17610" s="178"/>
    </row>
    <row r="17611" spans="18:19">
      <c r="R17611" s="178"/>
      <c r="S17611" s="178"/>
    </row>
    <row r="17612" spans="18:19">
      <c r="R17612" s="178"/>
      <c r="S17612" s="178"/>
    </row>
    <row r="17613" spans="18:19">
      <c r="R17613" s="178"/>
      <c r="S17613" s="178"/>
    </row>
    <row r="17614" spans="18:19">
      <c r="R17614" s="178"/>
      <c r="S17614" s="178"/>
    </row>
    <row r="17615" spans="18:19">
      <c r="R17615" s="178"/>
      <c r="S17615" s="178"/>
    </row>
    <row r="17616" spans="18:19">
      <c r="R17616" s="178"/>
      <c r="S17616" s="178"/>
    </row>
    <row r="17617" spans="18:19">
      <c r="R17617" s="178"/>
      <c r="S17617" s="178"/>
    </row>
    <row r="17618" spans="18:19">
      <c r="R17618" s="178"/>
      <c r="S17618" s="178"/>
    </row>
    <row r="17619" spans="18:19">
      <c r="R17619" s="178"/>
      <c r="S17619" s="178"/>
    </row>
    <row r="17620" spans="18:19">
      <c r="R17620" s="178"/>
      <c r="S17620" s="178"/>
    </row>
    <row r="17621" spans="18:19">
      <c r="R17621" s="178"/>
      <c r="S17621" s="178"/>
    </row>
    <row r="17622" spans="18:19">
      <c r="R17622" s="178"/>
      <c r="S17622" s="178"/>
    </row>
    <row r="17623" spans="18:19">
      <c r="R17623" s="178"/>
      <c r="S17623" s="178"/>
    </row>
    <row r="17624" spans="18:19">
      <c r="R17624" s="178"/>
      <c r="S17624" s="178"/>
    </row>
    <row r="17625" spans="18:19">
      <c r="R17625" s="178"/>
      <c r="S17625" s="178"/>
    </row>
    <row r="17626" spans="18:19">
      <c r="R17626" s="178"/>
      <c r="S17626" s="178"/>
    </row>
    <row r="17627" spans="18:19">
      <c r="R17627" s="178"/>
      <c r="S17627" s="178"/>
    </row>
    <row r="17628" spans="18:19">
      <c r="R17628" s="178"/>
      <c r="S17628" s="178"/>
    </row>
    <row r="17629" spans="18:19">
      <c r="R17629" s="178"/>
      <c r="S17629" s="178"/>
    </row>
    <row r="17630" spans="18:19">
      <c r="R17630" s="178"/>
      <c r="S17630" s="178"/>
    </row>
    <row r="17631" spans="18:19">
      <c r="R17631" s="178"/>
      <c r="S17631" s="178"/>
    </row>
    <row r="17632" spans="18:19">
      <c r="R17632" s="178"/>
      <c r="S17632" s="178"/>
    </row>
    <row r="17633" spans="18:19">
      <c r="R17633" s="178"/>
      <c r="S17633" s="178"/>
    </row>
    <row r="17634" spans="18:19">
      <c r="R17634" s="178"/>
      <c r="S17634" s="178"/>
    </row>
    <row r="17635" spans="18:19">
      <c r="R17635" s="178"/>
      <c r="S17635" s="178"/>
    </row>
    <row r="17636" spans="18:19">
      <c r="R17636" s="178"/>
      <c r="S17636" s="178"/>
    </row>
    <row r="17637" spans="18:19">
      <c r="R17637" s="178"/>
      <c r="S17637" s="178"/>
    </row>
    <row r="17638" spans="18:19">
      <c r="R17638" s="178"/>
      <c r="S17638" s="178"/>
    </row>
    <row r="17639" spans="18:19">
      <c r="R17639" s="178"/>
      <c r="S17639" s="178"/>
    </row>
    <row r="17640" spans="18:19">
      <c r="R17640" s="178"/>
      <c r="S17640" s="178"/>
    </row>
    <row r="17641" spans="18:19">
      <c r="R17641" s="178"/>
      <c r="S17641" s="178"/>
    </row>
    <row r="17642" spans="18:19">
      <c r="R17642" s="178"/>
      <c r="S17642" s="178"/>
    </row>
    <row r="17643" spans="18:19">
      <c r="R17643" s="178"/>
      <c r="S17643" s="178"/>
    </row>
    <row r="17644" spans="18:19">
      <c r="R17644" s="178"/>
      <c r="S17644" s="178"/>
    </row>
    <row r="17645" spans="18:19">
      <c r="R17645" s="178"/>
      <c r="S17645" s="178"/>
    </row>
    <row r="17646" spans="18:19">
      <c r="R17646" s="178"/>
      <c r="S17646" s="178"/>
    </row>
    <row r="17647" spans="18:19">
      <c r="R17647" s="178"/>
      <c r="S17647" s="178"/>
    </row>
    <row r="17648" spans="18:19">
      <c r="R17648" s="178"/>
      <c r="S17648" s="178"/>
    </row>
    <row r="17649" spans="18:19">
      <c r="R17649" s="178"/>
      <c r="S17649" s="178"/>
    </row>
    <row r="17650" spans="18:19">
      <c r="R17650" s="178"/>
      <c r="S17650" s="178"/>
    </row>
    <row r="17651" spans="18:19">
      <c r="R17651" s="178"/>
      <c r="S17651" s="178"/>
    </row>
    <row r="17652" spans="18:19">
      <c r="R17652" s="178"/>
      <c r="S17652" s="178"/>
    </row>
    <row r="17653" spans="18:19">
      <c r="R17653" s="178"/>
      <c r="S17653" s="178"/>
    </row>
    <row r="17654" spans="18:19">
      <c r="R17654" s="178"/>
      <c r="S17654" s="178"/>
    </row>
    <row r="17655" spans="18:19">
      <c r="R17655" s="178"/>
      <c r="S17655" s="178"/>
    </row>
    <row r="17656" spans="18:19">
      <c r="R17656" s="178"/>
      <c r="S17656" s="178"/>
    </row>
    <row r="17657" spans="18:19">
      <c r="R17657" s="178"/>
      <c r="S17657" s="178"/>
    </row>
    <row r="17658" spans="18:19">
      <c r="R17658" s="178"/>
      <c r="S17658" s="178"/>
    </row>
    <row r="17659" spans="18:19">
      <c r="R17659" s="178"/>
      <c r="S17659" s="178"/>
    </row>
    <row r="17660" spans="18:19">
      <c r="R17660" s="178"/>
      <c r="S17660" s="178"/>
    </row>
    <row r="17661" spans="18:19">
      <c r="R17661" s="178"/>
      <c r="S17661" s="178"/>
    </row>
    <row r="17662" spans="18:19">
      <c r="R17662" s="178"/>
      <c r="S17662" s="178"/>
    </row>
    <row r="17663" spans="18:19">
      <c r="R17663" s="178"/>
      <c r="S17663" s="178"/>
    </row>
    <row r="17664" spans="18:19">
      <c r="R17664" s="178"/>
      <c r="S17664" s="178"/>
    </row>
    <row r="17665" spans="18:19">
      <c r="R17665" s="178"/>
      <c r="S17665" s="178"/>
    </row>
    <row r="17666" spans="18:19">
      <c r="R17666" s="178"/>
      <c r="S17666" s="178"/>
    </row>
    <row r="17667" spans="18:19">
      <c r="R17667" s="178"/>
      <c r="S17667" s="178"/>
    </row>
    <row r="17668" spans="18:19">
      <c r="R17668" s="178"/>
      <c r="S17668" s="178"/>
    </row>
    <row r="17669" spans="18:19">
      <c r="R17669" s="178"/>
      <c r="S17669" s="178"/>
    </row>
    <row r="17670" spans="18:19">
      <c r="R17670" s="178"/>
      <c r="S17670" s="178"/>
    </row>
    <row r="17671" spans="18:19">
      <c r="R17671" s="178"/>
      <c r="S17671" s="178"/>
    </row>
    <row r="17672" spans="18:19">
      <c r="R17672" s="178"/>
      <c r="S17672" s="178"/>
    </row>
    <row r="17673" spans="18:19">
      <c r="R17673" s="178"/>
      <c r="S17673" s="178"/>
    </row>
    <row r="17674" spans="18:19">
      <c r="R17674" s="178"/>
      <c r="S17674" s="178"/>
    </row>
    <row r="17675" spans="18:19">
      <c r="R17675" s="178"/>
      <c r="S17675" s="178"/>
    </row>
    <row r="17676" spans="18:19">
      <c r="R17676" s="178"/>
      <c r="S17676" s="178"/>
    </row>
    <row r="17677" spans="18:19">
      <c r="R17677" s="178"/>
      <c r="S17677" s="178"/>
    </row>
    <row r="17678" spans="18:19">
      <c r="R17678" s="178"/>
      <c r="S17678" s="178"/>
    </row>
    <row r="17679" spans="18:19">
      <c r="R17679" s="178"/>
      <c r="S17679" s="178"/>
    </row>
    <row r="17680" spans="18:19">
      <c r="R17680" s="178"/>
      <c r="S17680" s="178"/>
    </row>
    <row r="17681" spans="18:19">
      <c r="R17681" s="178"/>
      <c r="S17681" s="178"/>
    </row>
    <row r="17682" spans="18:19">
      <c r="R17682" s="178"/>
      <c r="S17682" s="178"/>
    </row>
    <row r="17683" spans="18:19">
      <c r="R17683" s="178"/>
      <c r="S17683" s="178"/>
    </row>
    <row r="17684" spans="18:19">
      <c r="R17684" s="178"/>
      <c r="S17684" s="178"/>
    </row>
    <row r="17685" spans="18:19">
      <c r="R17685" s="178"/>
      <c r="S17685" s="178"/>
    </row>
    <row r="17686" spans="18:19">
      <c r="R17686" s="178"/>
      <c r="S17686" s="178"/>
    </row>
    <row r="17687" spans="18:19">
      <c r="R17687" s="178"/>
      <c r="S17687" s="178"/>
    </row>
    <row r="17688" spans="18:19">
      <c r="R17688" s="178"/>
      <c r="S17688" s="178"/>
    </row>
    <row r="17689" spans="18:19">
      <c r="R17689" s="178"/>
      <c r="S17689" s="178"/>
    </row>
    <row r="17690" spans="18:19">
      <c r="R17690" s="178"/>
      <c r="S17690" s="178"/>
    </row>
    <row r="17691" spans="18:19">
      <c r="R17691" s="178"/>
      <c r="S17691" s="178"/>
    </row>
    <row r="17692" spans="18:19">
      <c r="R17692" s="178"/>
      <c r="S17692" s="178"/>
    </row>
    <row r="17693" spans="18:19">
      <c r="R17693" s="178"/>
      <c r="S17693" s="178"/>
    </row>
    <row r="17694" spans="18:19">
      <c r="R17694" s="178"/>
      <c r="S17694" s="178"/>
    </row>
    <row r="17695" spans="18:19">
      <c r="R17695" s="178"/>
      <c r="S17695" s="178"/>
    </row>
    <row r="17696" spans="18:19">
      <c r="R17696" s="178"/>
      <c r="S17696" s="178"/>
    </row>
    <row r="17697" spans="18:19">
      <c r="R17697" s="178"/>
      <c r="S17697" s="178"/>
    </row>
    <row r="17698" spans="18:19">
      <c r="R17698" s="178"/>
      <c r="S17698" s="178"/>
    </row>
    <row r="17699" spans="18:19">
      <c r="R17699" s="178"/>
      <c r="S17699" s="178"/>
    </row>
    <row r="17700" spans="18:19">
      <c r="R17700" s="178"/>
      <c r="S17700" s="178"/>
    </row>
    <row r="17701" spans="18:19">
      <c r="R17701" s="178"/>
      <c r="S17701" s="178"/>
    </row>
    <row r="17702" spans="18:19">
      <c r="R17702" s="178"/>
      <c r="S17702" s="178"/>
    </row>
    <row r="17703" spans="18:19">
      <c r="R17703" s="178"/>
      <c r="S17703" s="178"/>
    </row>
    <row r="17704" spans="18:19">
      <c r="R17704" s="178"/>
      <c r="S17704" s="178"/>
    </row>
    <row r="17705" spans="18:19">
      <c r="R17705" s="178"/>
      <c r="S17705" s="178"/>
    </row>
    <row r="17706" spans="18:19">
      <c r="R17706" s="178"/>
      <c r="S17706" s="178"/>
    </row>
    <row r="17707" spans="18:19">
      <c r="R17707" s="178"/>
      <c r="S17707" s="178"/>
    </row>
    <row r="17708" spans="18:19">
      <c r="R17708" s="178"/>
      <c r="S17708" s="178"/>
    </row>
    <row r="17709" spans="18:19">
      <c r="R17709" s="178"/>
      <c r="S17709" s="178"/>
    </row>
    <row r="17710" spans="18:19">
      <c r="R17710" s="178"/>
      <c r="S17710" s="178"/>
    </row>
    <row r="17711" spans="18:19">
      <c r="R17711" s="178"/>
      <c r="S17711" s="178"/>
    </row>
    <row r="17712" spans="18:19">
      <c r="R17712" s="178"/>
      <c r="S17712" s="178"/>
    </row>
    <row r="17713" spans="18:19">
      <c r="R17713" s="178"/>
      <c r="S17713" s="178"/>
    </row>
    <row r="17714" spans="18:19">
      <c r="R17714" s="178"/>
      <c r="S17714" s="178"/>
    </row>
    <row r="17715" spans="18:19">
      <c r="R17715" s="178"/>
      <c r="S17715" s="178"/>
    </row>
    <row r="17716" spans="18:19">
      <c r="R17716" s="178"/>
      <c r="S17716" s="178"/>
    </row>
    <row r="17717" spans="18:19">
      <c r="R17717" s="178"/>
      <c r="S17717" s="178"/>
    </row>
    <row r="17718" spans="18:19">
      <c r="R17718" s="178"/>
      <c r="S17718" s="178"/>
    </row>
    <row r="17719" spans="18:19">
      <c r="R17719" s="178"/>
      <c r="S17719" s="178"/>
    </row>
    <row r="17720" spans="18:19">
      <c r="R17720" s="178"/>
      <c r="S17720" s="178"/>
    </row>
    <row r="17721" spans="18:19">
      <c r="R17721" s="178"/>
      <c r="S17721" s="178"/>
    </row>
    <row r="17722" spans="18:19">
      <c r="R17722" s="178"/>
      <c r="S17722" s="178"/>
    </row>
    <row r="17723" spans="18:19">
      <c r="R17723" s="178"/>
      <c r="S17723" s="178"/>
    </row>
    <row r="17724" spans="18:19">
      <c r="R17724" s="178"/>
      <c r="S17724" s="178"/>
    </row>
    <row r="17725" spans="18:19">
      <c r="R17725" s="178"/>
      <c r="S17725" s="178"/>
    </row>
    <row r="17726" spans="18:19">
      <c r="R17726" s="178"/>
      <c r="S17726" s="178"/>
    </row>
    <row r="17727" spans="18:19">
      <c r="R17727" s="178"/>
      <c r="S17727" s="178"/>
    </row>
    <row r="17728" spans="18:19">
      <c r="R17728" s="178"/>
      <c r="S17728" s="178"/>
    </row>
    <row r="17729" spans="18:19">
      <c r="R17729" s="178"/>
      <c r="S17729" s="178"/>
    </row>
    <row r="17730" spans="18:19">
      <c r="R17730" s="178"/>
      <c r="S17730" s="178"/>
    </row>
    <row r="17731" spans="18:19">
      <c r="R17731" s="178"/>
      <c r="S17731" s="178"/>
    </row>
    <row r="17732" spans="18:19">
      <c r="R17732" s="178"/>
      <c r="S17732" s="178"/>
    </row>
    <row r="17733" spans="18:19">
      <c r="R17733" s="178"/>
      <c r="S17733" s="178"/>
    </row>
    <row r="17734" spans="18:19">
      <c r="R17734" s="178"/>
      <c r="S17734" s="178"/>
    </row>
    <row r="17735" spans="18:19">
      <c r="R17735" s="178"/>
      <c r="S17735" s="178"/>
    </row>
    <row r="17736" spans="18:19">
      <c r="R17736" s="178"/>
      <c r="S17736" s="178"/>
    </row>
    <row r="17737" spans="18:19">
      <c r="R17737" s="178"/>
      <c r="S17737" s="178"/>
    </row>
    <row r="17738" spans="18:19">
      <c r="R17738" s="178"/>
      <c r="S17738" s="178"/>
    </row>
    <row r="17739" spans="18:19">
      <c r="R17739" s="178"/>
      <c r="S17739" s="178"/>
    </row>
    <row r="17740" spans="18:19">
      <c r="R17740" s="178"/>
      <c r="S17740" s="178"/>
    </row>
    <row r="17741" spans="18:19">
      <c r="R17741" s="178"/>
      <c r="S17741" s="178"/>
    </row>
    <row r="17742" spans="18:19">
      <c r="R17742" s="178"/>
      <c r="S17742" s="178"/>
    </row>
    <row r="17743" spans="18:19">
      <c r="R17743" s="178"/>
      <c r="S17743" s="178"/>
    </row>
    <row r="17744" spans="18:19">
      <c r="R17744" s="178"/>
      <c r="S17744" s="178"/>
    </row>
    <row r="17745" spans="18:19">
      <c r="R17745" s="178"/>
      <c r="S17745" s="178"/>
    </row>
    <row r="17746" spans="18:19">
      <c r="R17746" s="178"/>
      <c r="S17746" s="178"/>
    </row>
    <row r="17747" spans="18:19">
      <c r="R17747" s="178"/>
      <c r="S17747" s="178"/>
    </row>
    <row r="17748" spans="18:19">
      <c r="R17748" s="178"/>
      <c r="S17748" s="178"/>
    </row>
    <row r="17749" spans="18:19">
      <c r="R17749" s="178"/>
      <c r="S17749" s="178"/>
    </row>
    <row r="17750" spans="18:19">
      <c r="R17750" s="178"/>
      <c r="S17750" s="178"/>
    </row>
    <row r="17751" spans="18:19">
      <c r="R17751" s="178"/>
      <c r="S17751" s="178"/>
    </row>
    <row r="17752" spans="18:19">
      <c r="R17752" s="178"/>
      <c r="S17752" s="178"/>
    </row>
    <row r="17753" spans="18:19">
      <c r="R17753" s="178"/>
      <c r="S17753" s="178"/>
    </row>
    <row r="17754" spans="18:19">
      <c r="R17754" s="178"/>
      <c r="S17754" s="178"/>
    </row>
    <row r="17755" spans="18:19">
      <c r="R17755" s="178"/>
      <c r="S17755" s="178"/>
    </row>
    <row r="17756" spans="18:19">
      <c r="R17756" s="178"/>
      <c r="S17756" s="178"/>
    </row>
    <row r="17757" spans="18:19">
      <c r="R17757" s="178"/>
      <c r="S17757" s="178"/>
    </row>
    <row r="17758" spans="18:19">
      <c r="R17758" s="178"/>
      <c r="S17758" s="178"/>
    </row>
    <row r="17759" spans="18:19">
      <c r="R17759" s="178"/>
      <c r="S17759" s="178"/>
    </row>
    <row r="17760" spans="18:19">
      <c r="R17760" s="178"/>
      <c r="S17760" s="178"/>
    </row>
    <row r="17761" spans="18:19">
      <c r="R17761" s="178"/>
      <c r="S17761" s="178"/>
    </row>
    <row r="17762" spans="18:19">
      <c r="R17762" s="178"/>
      <c r="S17762" s="178"/>
    </row>
    <row r="17763" spans="18:19">
      <c r="R17763" s="178"/>
      <c r="S17763" s="178"/>
    </row>
    <row r="17764" spans="18:19">
      <c r="R17764" s="178"/>
      <c r="S17764" s="178"/>
    </row>
    <row r="17765" spans="18:19">
      <c r="R17765" s="178"/>
      <c r="S17765" s="178"/>
    </row>
    <row r="17766" spans="18:19">
      <c r="R17766" s="178"/>
      <c r="S17766" s="178"/>
    </row>
    <row r="17767" spans="18:19">
      <c r="R17767" s="178"/>
      <c r="S17767" s="178"/>
    </row>
    <row r="17768" spans="18:19">
      <c r="R17768" s="178"/>
      <c r="S17768" s="178"/>
    </row>
    <row r="17769" spans="18:19">
      <c r="R17769" s="178"/>
      <c r="S17769" s="178"/>
    </row>
    <row r="17770" spans="18:19">
      <c r="R17770" s="178"/>
      <c r="S17770" s="178"/>
    </row>
    <row r="17771" spans="18:19">
      <c r="R17771" s="178"/>
      <c r="S17771" s="178"/>
    </row>
    <row r="17772" spans="18:19">
      <c r="R17772" s="178"/>
      <c r="S17772" s="178"/>
    </row>
    <row r="17773" spans="18:19">
      <c r="R17773" s="178"/>
      <c r="S17773" s="178"/>
    </row>
    <row r="17774" spans="18:19">
      <c r="R17774" s="178"/>
      <c r="S17774" s="178"/>
    </row>
    <row r="17775" spans="18:19">
      <c r="R17775" s="178"/>
      <c r="S17775" s="178"/>
    </row>
    <row r="17776" spans="18:19">
      <c r="R17776" s="178"/>
      <c r="S17776" s="178"/>
    </row>
    <row r="17777" spans="18:19">
      <c r="R17777" s="178"/>
      <c r="S17777" s="178"/>
    </row>
    <row r="17778" spans="18:19">
      <c r="R17778" s="178"/>
      <c r="S17778" s="178"/>
    </row>
    <row r="17779" spans="18:19">
      <c r="R17779" s="178"/>
      <c r="S17779" s="178"/>
    </row>
    <row r="17780" spans="18:19">
      <c r="R17780" s="178"/>
      <c r="S17780" s="178"/>
    </row>
    <row r="17781" spans="18:19">
      <c r="R17781" s="178"/>
      <c r="S17781" s="178"/>
    </row>
    <row r="17782" spans="18:19">
      <c r="R17782" s="178"/>
      <c r="S17782" s="178"/>
    </row>
    <row r="17783" spans="18:19">
      <c r="R17783" s="178"/>
      <c r="S17783" s="178"/>
    </row>
    <row r="17784" spans="18:19">
      <c r="R17784" s="178"/>
      <c r="S17784" s="178"/>
    </row>
    <row r="17785" spans="18:19">
      <c r="R17785" s="178"/>
      <c r="S17785" s="178"/>
    </row>
    <row r="17786" spans="18:19">
      <c r="R17786" s="178"/>
      <c r="S17786" s="178"/>
    </row>
    <row r="17787" spans="18:19">
      <c r="R17787" s="178"/>
      <c r="S17787" s="178"/>
    </row>
    <row r="17788" spans="18:19">
      <c r="R17788" s="178"/>
      <c r="S17788" s="178"/>
    </row>
    <row r="17789" spans="18:19">
      <c r="R17789" s="178"/>
      <c r="S17789" s="178"/>
    </row>
    <row r="17790" spans="18:19">
      <c r="R17790" s="178"/>
      <c r="S17790" s="178"/>
    </row>
    <row r="17791" spans="18:19">
      <c r="R17791" s="178"/>
      <c r="S17791" s="178"/>
    </row>
    <row r="17792" spans="18:19">
      <c r="R17792" s="178"/>
      <c r="S17792" s="178"/>
    </row>
    <row r="17793" spans="18:19">
      <c r="R17793" s="178"/>
      <c r="S17793" s="178"/>
    </row>
    <row r="17794" spans="18:19">
      <c r="R17794" s="178"/>
      <c r="S17794" s="178"/>
    </row>
    <row r="17795" spans="18:19">
      <c r="R17795" s="178"/>
      <c r="S17795" s="178"/>
    </row>
    <row r="17796" spans="18:19">
      <c r="R17796" s="178"/>
      <c r="S17796" s="178"/>
    </row>
    <row r="17797" spans="18:19">
      <c r="R17797" s="178"/>
      <c r="S17797" s="178"/>
    </row>
    <row r="17798" spans="18:19">
      <c r="R17798" s="178"/>
      <c r="S17798" s="178"/>
    </row>
    <row r="17799" spans="18:19">
      <c r="R17799" s="178"/>
      <c r="S17799" s="178"/>
    </row>
    <row r="17800" spans="18:19">
      <c r="R17800" s="178"/>
      <c r="S17800" s="178"/>
    </row>
    <row r="17801" spans="18:19">
      <c r="R17801" s="178"/>
      <c r="S17801" s="178"/>
    </row>
    <row r="17802" spans="18:19">
      <c r="R17802" s="178"/>
      <c r="S17802" s="178"/>
    </row>
    <row r="17803" spans="18:19">
      <c r="R17803" s="178"/>
      <c r="S17803" s="178"/>
    </row>
    <row r="17804" spans="18:19">
      <c r="R17804" s="178"/>
      <c r="S17804" s="178"/>
    </row>
    <row r="17805" spans="18:19">
      <c r="R17805" s="178"/>
      <c r="S17805" s="178"/>
    </row>
    <row r="17806" spans="18:19">
      <c r="R17806" s="178"/>
      <c r="S17806" s="178"/>
    </row>
    <row r="17807" spans="18:19">
      <c r="R17807" s="178"/>
      <c r="S17807" s="178"/>
    </row>
    <row r="17808" spans="18:19">
      <c r="R17808" s="178"/>
      <c r="S17808" s="178"/>
    </row>
    <row r="17809" spans="18:19">
      <c r="R17809" s="178"/>
      <c r="S17809" s="178"/>
    </row>
    <row r="17810" spans="18:19">
      <c r="R17810" s="178"/>
      <c r="S17810" s="178"/>
    </row>
    <row r="17811" spans="18:19">
      <c r="R17811" s="178"/>
      <c r="S17811" s="178"/>
    </row>
    <row r="17812" spans="18:19">
      <c r="R17812" s="178"/>
      <c r="S17812" s="178"/>
    </row>
    <row r="17813" spans="18:19">
      <c r="R17813" s="178"/>
      <c r="S17813" s="178"/>
    </row>
    <row r="17814" spans="18:19">
      <c r="R17814" s="178"/>
      <c r="S17814" s="178"/>
    </row>
    <row r="17815" spans="18:19">
      <c r="R17815" s="178"/>
      <c r="S17815" s="178"/>
    </row>
    <row r="17816" spans="18:19">
      <c r="R17816" s="178"/>
      <c r="S17816" s="178"/>
    </row>
    <row r="17817" spans="18:19">
      <c r="R17817" s="178"/>
      <c r="S17817" s="178"/>
    </row>
    <row r="17818" spans="18:19">
      <c r="R17818" s="178"/>
      <c r="S17818" s="178"/>
    </row>
    <row r="17819" spans="18:19">
      <c r="R17819" s="178"/>
      <c r="S17819" s="178"/>
    </row>
    <row r="17820" spans="18:19">
      <c r="R17820" s="178"/>
      <c r="S17820" s="178"/>
    </row>
    <row r="17821" spans="18:19">
      <c r="R17821" s="178"/>
      <c r="S17821" s="178"/>
    </row>
    <row r="17822" spans="18:19">
      <c r="R17822" s="178"/>
      <c r="S17822" s="178"/>
    </row>
    <row r="17823" spans="18:19">
      <c r="R17823" s="178"/>
      <c r="S17823" s="178"/>
    </row>
    <row r="17824" spans="18:19">
      <c r="R17824" s="178"/>
      <c r="S17824" s="178"/>
    </row>
    <row r="17825" spans="18:19">
      <c r="R17825" s="178"/>
      <c r="S17825" s="178"/>
    </row>
    <row r="17826" spans="18:19">
      <c r="R17826" s="178"/>
      <c r="S17826" s="178"/>
    </row>
    <row r="17827" spans="18:19">
      <c r="R17827" s="178"/>
      <c r="S17827" s="178"/>
    </row>
    <row r="17828" spans="18:19">
      <c r="R17828" s="178"/>
      <c r="S17828" s="178"/>
    </row>
    <row r="17829" spans="18:19">
      <c r="R17829" s="178"/>
      <c r="S17829" s="178"/>
    </row>
    <row r="17830" spans="18:19">
      <c r="R17830" s="178"/>
      <c r="S17830" s="178"/>
    </row>
    <row r="17831" spans="18:19">
      <c r="R17831" s="178"/>
      <c r="S17831" s="178"/>
    </row>
    <row r="17832" spans="18:19">
      <c r="R17832" s="178"/>
      <c r="S17832" s="178"/>
    </row>
    <row r="17833" spans="18:19">
      <c r="R17833" s="178"/>
      <c r="S17833" s="178"/>
    </row>
    <row r="17834" spans="18:19">
      <c r="R17834" s="178"/>
      <c r="S17834" s="178"/>
    </row>
    <row r="17835" spans="18:19">
      <c r="R17835" s="178"/>
      <c r="S17835" s="178"/>
    </row>
    <row r="17836" spans="18:19">
      <c r="R17836" s="178"/>
      <c r="S17836" s="178"/>
    </row>
    <row r="17837" spans="18:19">
      <c r="R17837" s="178"/>
      <c r="S17837" s="178"/>
    </row>
    <row r="17838" spans="18:19">
      <c r="R17838" s="178"/>
      <c r="S17838" s="178"/>
    </row>
    <row r="17839" spans="18:19">
      <c r="R17839" s="178"/>
      <c r="S17839" s="178"/>
    </row>
    <row r="17840" spans="18:19">
      <c r="R17840" s="178"/>
      <c r="S17840" s="178"/>
    </row>
    <row r="17841" spans="18:19">
      <c r="R17841" s="178"/>
      <c r="S17841" s="178"/>
    </row>
    <row r="17842" spans="18:19">
      <c r="R17842" s="178"/>
      <c r="S17842" s="178"/>
    </row>
    <row r="17843" spans="18:19">
      <c r="R17843" s="178"/>
      <c r="S17843" s="178"/>
    </row>
    <row r="17844" spans="18:19">
      <c r="R17844" s="178"/>
      <c r="S17844" s="178"/>
    </row>
    <row r="17845" spans="18:19">
      <c r="R17845" s="178"/>
      <c r="S17845" s="178"/>
    </row>
    <row r="17846" spans="18:19">
      <c r="R17846" s="178"/>
      <c r="S17846" s="178"/>
    </row>
    <row r="17847" spans="18:19">
      <c r="R17847" s="178"/>
      <c r="S17847" s="178"/>
    </row>
    <row r="17848" spans="18:19">
      <c r="R17848" s="178"/>
      <c r="S17848" s="178"/>
    </row>
    <row r="17849" spans="18:19">
      <c r="R17849" s="178"/>
      <c r="S17849" s="178"/>
    </row>
    <row r="17850" spans="18:19">
      <c r="R17850" s="178"/>
      <c r="S17850" s="178"/>
    </row>
    <row r="17851" spans="18:19">
      <c r="R17851" s="178"/>
      <c r="S17851" s="178"/>
    </row>
    <row r="17852" spans="18:19">
      <c r="R17852" s="178"/>
      <c r="S17852" s="178"/>
    </row>
    <row r="17853" spans="18:19">
      <c r="R17853" s="178"/>
      <c r="S17853" s="178"/>
    </row>
    <row r="17854" spans="18:19">
      <c r="R17854" s="178"/>
      <c r="S17854" s="178"/>
    </row>
    <row r="17855" spans="18:19">
      <c r="R17855" s="178"/>
      <c r="S17855" s="178"/>
    </row>
    <row r="17856" spans="18:19">
      <c r="R17856" s="178"/>
      <c r="S17856" s="178"/>
    </row>
    <row r="17857" spans="18:19">
      <c r="R17857" s="178"/>
      <c r="S17857" s="178"/>
    </row>
    <row r="17858" spans="18:19">
      <c r="R17858" s="178"/>
      <c r="S17858" s="178"/>
    </row>
    <row r="17859" spans="18:19">
      <c r="R17859" s="178"/>
      <c r="S17859" s="178"/>
    </row>
    <row r="17860" spans="18:19">
      <c r="R17860" s="178"/>
      <c r="S17860" s="178"/>
    </row>
    <row r="17861" spans="18:19">
      <c r="R17861" s="178"/>
      <c r="S17861" s="178"/>
    </row>
    <row r="17862" spans="18:19">
      <c r="R17862" s="178"/>
      <c r="S17862" s="178"/>
    </row>
    <row r="17863" spans="18:19">
      <c r="R17863" s="178"/>
      <c r="S17863" s="178"/>
    </row>
    <row r="17864" spans="18:19">
      <c r="R17864" s="178"/>
      <c r="S17864" s="178"/>
    </row>
    <row r="17865" spans="18:19">
      <c r="R17865" s="178"/>
      <c r="S17865" s="178"/>
    </row>
    <row r="17866" spans="18:19">
      <c r="R17866" s="178"/>
      <c r="S17866" s="178"/>
    </row>
    <row r="17867" spans="18:19">
      <c r="R17867" s="178"/>
      <c r="S17867" s="178"/>
    </row>
    <row r="17868" spans="18:19">
      <c r="R17868" s="178"/>
      <c r="S17868" s="178"/>
    </row>
    <row r="17869" spans="18:19">
      <c r="R17869" s="178"/>
      <c r="S17869" s="178"/>
    </row>
    <row r="17870" spans="18:19">
      <c r="R17870" s="178"/>
      <c r="S17870" s="178"/>
    </row>
    <row r="17871" spans="18:19">
      <c r="R17871" s="178"/>
      <c r="S17871" s="178"/>
    </row>
    <row r="17872" spans="18:19">
      <c r="R17872" s="178"/>
      <c r="S17872" s="178"/>
    </row>
    <row r="17873" spans="18:19">
      <c r="R17873" s="178"/>
      <c r="S17873" s="178"/>
    </row>
    <row r="17874" spans="18:19">
      <c r="R17874" s="178"/>
      <c r="S17874" s="178"/>
    </row>
    <row r="17875" spans="18:19">
      <c r="R17875" s="178"/>
      <c r="S17875" s="178"/>
    </row>
    <row r="17876" spans="18:19">
      <c r="R17876" s="178"/>
      <c r="S17876" s="178"/>
    </row>
    <row r="17877" spans="18:19">
      <c r="R17877" s="178"/>
      <c r="S17877" s="178"/>
    </row>
    <row r="17878" spans="18:19">
      <c r="R17878" s="178"/>
      <c r="S17878" s="178"/>
    </row>
    <row r="17879" spans="18:19">
      <c r="R17879" s="178"/>
      <c r="S17879" s="178"/>
    </row>
    <row r="17880" spans="18:19">
      <c r="R17880" s="178"/>
      <c r="S17880" s="178"/>
    </row>
    <row r="17881" spans="18:19">
      <c r="R17881" s="178"/>
      <c r="S17881" s="178"/>
    </row>
    <row r="17882" spans="18:19">
      <c r="R17882" s="178"/>
      <c r="S17882" s="178"/>
    </row>
    <row r="17883" spans="18:19">
      <c r="R17883" s="178"/>
      <c r="S17883" s="178"/>
    </row>
    <row r="17884" spans="18:19">
      <c r="R17884" s="178"/>
      <c r="S17884" s="178"/>
    </row>
    <row r="17885" spans="18:19">
      <c r="R17885" s="178"/>
      <c r="S17885" s="178"/>
    </row>
    <row r="17886" spans="18:19">
      <c r="R17886" s="178"/>
      <c r="S17886" s="178"/>
    </row>
    <row r="17887" spans="18:19">
      <c r="R17887" s="178"/>
      <c r="S17887" s="178"/>
    </row>
    <row r="17888" spans="18:19">
      <c r="R17888" s="178"/>
      <c r="S17888" s="178"/>
    </row>
    <row r="17889" spans="18:19">
      <c r="R17889" s="178"/>
      <c r="S17889" s="178"/>
    </row>
    <row r="17890" spans="18:19">
      <c r="R17890" s="178"/>
      <c r="S17890" s="178"/>
    </row>
    <row r="17891" spans="18:19">
      <c r="R17891" s="178"/>
      <c r="S17891" s="178"/>
    </row>
    <row r="17892" spans="18:19">
      <c r="R17892" s="178"/>
      <c r="S17892" s="178"/>
    </row>
    <row r="17893" spans="18:19">
      <c r="R17893" s="178"/>
      <c r="S17893" s="178"/>
    </row>
    <row r="17894" spans="18:19">
      <c r="R17894" s="178"/>
      <c r="S17894" s="178"/>
    </row>
    <row r="17895" spans="18:19">
      <c r="R17895" s="178"/>
      <c r="S17895" s="178"/>
    </row>
    <row r="17896" spans="18:19">
      <c r="R17896" s="178"/>
      <c r="S17896" s="178"/>
    </row>
    <row r="17897" spans="18:19">
      <c r="R17897" s="178"/>
      <c r="S17897" s="178"/>
    </row>
    <row r="17898" spans="18:19">
      <c r="R17898" s="178"/>
      <c r="S17898" s="178"/>
    </row>
    <row r="17899" spans="18:19">
      <c r="R17899" s="178"/>
      <c r="S17899" s="178"/>
    </row>
    <row r="17900" spans="18:19">
      <c r="R17900" s="178"/>
      <c r="S17900" s="178"/>
    </row>
    <row r="17901" spans="18:19">
      <c r="R17901" s="178"/>
      <c r="S17901" s="178"/>
    </row>
    <row r="17902" spans="18:19">
      <c r="R17902" s="178"/>
      <c r="S17902" s="178"/>
    </row>
    <row r="17903" spans="18:19">
      <c r="R17903" s="178"/>
      <c r="S17903" s="178"/>
    </row>
    <row r="17904" spans="18:19">
      <c r="R17904" s="178"/>
      <c r="S17904" s="178"/>
    </row>
    <row r="17905" spans="18:19">
      <c r="R17905" s="178"/>
      <c r="S17905" s="178"/>
    </row>
    <row r="17906" spans="18:19">
      <c r="R17906" s="178"/>
      <c r="S17906" s="178"/>
    </row>
    <row r="17907" spans="18:19">
      <c r="R17907" s="178"/>
      <c r="S17907" s="178"/>
    </row>
    <row r="17908" spans="18:19">
      <c r="R17908" s="178"/>
      <c r="S17908" s="178"/>
    </row>
    <row r="17909" spans="18:19">
      <c r="R17909" s="178"/>
      <c r="S17909" s="178"/>
    </row>
    <row r="17910" spans="18:19">
      <c r="R17910" s="178"/>
      <c r="S17910" s="178"/>
    </row>
    <row r="17911" spans="18:19">
      <c r="R17911" s="178"/>
      <c r="S17911" s="178"/>
    </row>
    <row r="17912" spans="18:19">
      <c r="R17912" s="178"/>
      <c r="S17912" s="178"/>
    </row>
    <row r="17913" spans="18:19">
      <c r="R17913" s="178"/>
      <c r="S17913" s="178"/>
    </row>
    <row r="17914" spans="18:19">
      <c r="R17914" s="178"/>
      <c r="S17914" s="178"/>
    </row>
    <row r="17915" spans="18:19">
      <c r="R17915" s="178"/>
      <c r="S17915" s="178"/>
    </row>
    <row r="17916" spans="18:19">
      <c r="R17916" s="178"/>
      <c r="S17916" s="178"/>
    </row>
    <row r="17917" spans="18:19">
      <c r="R17917" s="178"/>
      <c r="S17917" s="178"/>
    </row>
    <row r="17918" spans="18:19">
      <c r="R17918" s="178"/>
      <c r="S17918" s="178"/>
    </row>
    <row r="17919" spans="18:19">
      <c r="R17919" s="178"/>
      <c r="S17919" s="178"/>
    </row>
    <row r="17920" spans="18:19">
      <c r="R17920" s="178"/>
      <c r="S17920" s="178"/>
    </row>
    <row r="17921" spans="18:19">
      <c r="R17921" s="178"/>
      <c r="S17921" s="178"/>
    </row>
    <row r="17922" spans="18:19">
      <c r="R17922" s="178"/>
      <c r="S17922" s="178"/>
    </row>
    <row r="17923" spans="18:19">
      <c r="R17923" s="178"/>
      <c r="S17923" s="178"/>
    </row>
    <row r="17924" spans="18:19">
      <c r="R17924" s="178"/>
      <c r="S17924" s="178"/>
    </row>
    <row r="17925" spans="18:19">
      <c r="R17925" s="178"/>
      <c r="S17925" s="178"/>
    </row>
    <row r="17926" spans="18:19">
      <c r="R17926" s="178"/>
      <c r="S17926" s="178"/>
    </row>
    <row r="17927" spans="18:19">
      <c r="R17927" s="178"/>
      <c r="S17927" s="178"/>
    </row>
    <row r="17928" spans="18:19">
      <c r="R17928" s="178"/>
      <c r="S17928" s="178"/>
    </row>
    <row r="17929" spans="18:19">
      <c r="R17929" s="178"/>
      <c r="S17929" s="178"/>
    </row>
    <row r="17930" spans="18:19">
      <c r="R17930" s="178"/>
      <c r="S17930" s="178"/>
    </row>
    <row r="17931" spans="18:19">
      <c r="R17931" s="178"/>
      <c r="S17931" s="178"/>
    </row>
    <row r="17932" spans="18:19">
      <c r="R17932" s="178"/>
      <c r="S17932" s="178"/>
    </row>
    <row r="17933" spans="18:19">
      <c r="R17933" s="178"/>
      <c r="S17933" s="178"/>
    </row>
    <row r="17934" spans="18:19">
      <c r="R17934" s="178"/>
      <c r="S17934" s="178"/>
    </row>
    <row r="17935" spans="18:19">
      <c r="R17935" s="178"/>
      <c r="S17935" s="178"/>
    </row>
    <row r="17936" spans="18:19">
      <c r="R17936" s="178"/>
      <c r="S17936" s="178"/>
    </row>
    <row r="17937" spans="18:19">
      <c r="R17937" s="178"/>
      <c r="S17937" s="178"/>
    </row>
    <row r="17938" spans="18:19">
      <c r="R17938" s="178"/>
      <c r="S17938" s="178"/>
    </row>
    <row r="17939" spans="18:19">
      <c r="R17939" s="178"/>
      <c r="S17939" s="178"/>
    </row>
    <row r="17940" spans="18:19">
      <c r="R17940" s="178"/>
      <c r="S17940" s="178"/>
    </row>
    <row r="17941" spans="18:19">
      <c r="R17941" s="178"/>
      <c r="S17941" s="178"/>
    </row>
    <row r="17942" spans="18:19">
      <c r="R17942" s="178"/>
      <c r="S17942" s="178"/>
    </row>
    <row r="17943" spans="18:19">
      <c r="R17943" s="178"/>
      <c r="S17943" s="178"/>
    </row>
    <row r="17944" spans="18:19">
      <c r="R17944" s="178"/>
      <c r="S17944" s="178"/>
    </row>
    <row r="17945" spans="18:19">
      <c r="R17945" s="178"/>
      <c r="S17945" s="178"/>
    </row>
    <row r="17946" spans="18:19">
      <c r="R17946" s="178"/>
      <c r="S17946" s="178"/>
    </row>
    <row r="17947" spans="18:19">
      <c r="R17947" s="178"/>
      <c r="S17947" s="178"/>
    </row>
    <row r="17948" spans="18:19">
      <c r="R17948" s="178"/>
      <c r="S17948" s="178"/>
    </row>
    <row r="17949" spans="18:19">
      <c r="R17949" s="178"/>
      <c r="S17949" s="178"/>
    </row>
    <row r="17950" spans="18:19">
      <c r="R17950" s="178"/>
      <c r="S17950" s="178"/>
    </row>
    <row r="17951" spans="18:19">
      <c r="R17951" s="178"/>
      <c r="S17951" s="178"/>
    </row>
    <row r="17952" spans="18:19">
      <c r="R17952" s="178"/>
      <c r="S17952" s="178"/>
    </row>
    <row r="17953" spans="18:19">
      <c r="R17953" s="178"/>
      <c r="S17953" s="178"/>
    </row>
    <row r="17954" spans="18:19">
      <c r="R17954" s="178"/>
      <c r="S17954" s="178"/>
    </row>
    <row r="17955" spans="18:19">
      <c r="R17955" s="178"/>
      <c r="S17955" s="178"/>
    </row>
    <row r="17956" spans="18:19">
      <c r="R17956" s="178"/>
      <c r="S17956" s="178"/>
    </row>
    <row r="17957" spans="18:19">
      <c r="R17957" s="178"/>
      <c r="S17957" s="178"/>
    </row>
    <row r="17958" spans="18:19">
      <c r="R17958" s="178"/>
      <c r="S17958" s="178"/>
    </row>
    <row r="17959" spans="18:19">
      <c r="R17959" s="178"/>
      <c r="S17959" s="178"/>
    </row>
    <row r="17960" spans="18:19">
      <c r="R17960" s="178"/>
      <c r="S17960" s="178"/>
    </row>
    <row r="17961" spans="18:19">
      <c r="R17961" s="178"/>
      <c r="S17961" s="178"/>
    </row>
    <row r="17962" spans="18:19">
      <c r="R17962" s="178"/>
      <c r="S17962" s="178"/>
    </row>
    <row r="17963" spans="18:19">
      <c r="R17963" s="178"/>
      <c r="S17963" s="178"/>
    </row>
    <row r="17964" spans="18:19">
      <c r="R17964" s="178"/>
      <c r="S17964" s="178"/>
    </row>
    <row r="17965" spans="18:19">
      <c r="R17965" s="178"/>
      <c r="S17965" s="178"/>
    </row>
    <row r="17966" spans="18:19">
      <c r="R17966" s="178"/>
      <c r="S17966" s="178"/>
    </row>
    <row r="17967" spans="18:19">
      <c r="R17967" s="178"/>
      <c r="S17967" s="178"/>
    </row>
    <row r="17968" spans="18:19">
      <c r="R17968" s="178"/>
      <c r="S17968" s="178"/>
    </row>
    <row r="17969" spans="18:19">
      <c r="R17969" s="178"/>
      <c r="S17969" s="178"/>
    </row>
    <row r="17970" spans="18:19">
      <c r="R17970" s="178"/>
      <c r="S17970" s="178"/>
    </row>
    <row r="17971" spans="18:19">
      <c r="R17971" s="178"/>
      <c r="S17971" s="178"/>
    </row>
    <row r="17972" spans="18:19">
      <c r="R17972" s="178"/>
      <c r="S17972" s="178"/>
    </row>
    <row r="17973" spans="18:19">
      <c r="R17973" s="178"/>
      <c r="S17973" s="178"/>
    </row>
    <row r="17974" spans="18:19">
      <c r="R17974" s="178"/>
      <c r="S17974" s="178"/>
    </row>
    <row r="17975" spans="18:19">
      <c r="R17975" s="178"/>
      <c r="S17975" s="178"/>
    </row>
    <row r="17976" spans="18:19">
      <c r="R17976" s="178"/>
      <c r="S17976" s="178"/>
    </row>
    <row r="17977" spans="18:19">
      <c r="R17977" s="178"/>
      <c r="S17977" s="178"/>
    </row>
    <row r="17978" spans="18:19">
      <c r="R17978" s="178"/>
      <c r="S17978" s="178"/>
    </row>
    <row r="17979" spans="18:19">
      <c r="R17979" s="178"/>
      <c r="S17979" s="178"/>
    </row>
    <row r="17980" spans="18:19">
      <c r="R17980" s="178"/>
      <c r="S17980" s="178"/>
    </row>
    <row r="17981" spans="18:19">
      <c r="R17981" s="178"/>
      <c r="S17981" s="178"/>
    </row>
    <row r="17982" spans="18:19">
      <c r="R17982" s="178"/>
      <c r="S17982" s="178"/>
    </row>
    <row r="17983" spans="18:19">
      <c r="R17983" s="178"/>
      <c r="S17983" s="178"/>
    </row>
    <row r="17984" spans="18:19">
      <c r="R17984" s="178"/>
      <c r="S17984" s="178"/>
    </row>
    <row r="17985" spans="18:19">
      <c r="R17985" s="178"/>
      <c r="S17985" s="178"/>
    </row>
    <row r="17986" spans="18:19">
      <c r="R17986" s="178"/>
      <c r="S17986" s="178"/>
    </row>
    <row r="17987" spans="18:19">
      <c r="R17987" s="178"/>
      <c r="S17987" s="178"/>
    </row>
    <row r="17988" spans="18:19">
      <c r="R17988" s="178"/>
      <c r="S17988" s="178"/>
    </row>
    <row r="17989" spans="18:19">
      <c r="R17989" s="178"/>
      <c r="S17989" s="178"/>
    </row>
    <row r="17990" spans="18:19">
      <c r="R17990" s="178"/>
      <c r="S17990" s="178"/>
    </row>
    <row r="17991" spans="18:19">
      <c r="R17991" s="178"/>
      <c r="S17991" s="178"/>
    </row>
    <row r="17992" spans="18:19">
      <c r="R17992" s="178"/>
      <c r="S17992" s="178"/>
    </row>
    <row r="17993" spans="18:19">
      <c r="R17993" s="178"/>
      <c r="S17993" s="178"/>
    </row>
    <row r="17994" spans="18:19">
      <c r="R17994" s="178"/>
      <c r="S17994" s="178"/>
    </row>
    <row r="17995" spans="18:19">
      <c r="R17995" s="178"/>
      <c r="S17995" s="178"/>
    </row>
    <row r="17996" spans="18:19">
      <c r="R17996" s="178"/>
      <c r="S17996" s="178"/>
    </row>
    <row r="17997" spans="18:19">
      <c r="R17997" s="178"/>
      <c r="S17997" s="178"/>
    </row>
    <row r="17998" spans="18:19">
      <c r="R17998" s="178"/>
      <c r="S17998" s="178"/>
    </row>
    <row r="17999" spans="18:19">
      <c r="R17999" s="178"/>
      <c r="S17999" s="178"/>
    </row>
    <row r="18000" spans="18:19">
      <c r="R18000" s="178"/>
      <c r="S18000" s="178"/>
    </row>
    <row r="18001" spans="18:19">
      <c r="R18001" s="178"/>
      <c r="S18001" s="178"/>
    </row>
    <row r="18002" spans="18:19">
      <c r="R18002" s="178"/>
      <c r="S18002" s="178"/>
    </row>
    <row r="18003" spans="18:19">
      <c r="R18003" s="178"/>
      <c r="S18003" s="178"/>
    </row>
    <row r="18004" spans="18:19">
      <c r="R18004" s="178"/>
      <c r="S18004" s="178"/>
    </row>
    <row r="18005" spans="18:19">
      <c r="R18005" s="178"/>
      <c r="S18005" s="178"/>
    </row>
    <row r="18006" spans="18:19">
      <c r="R18006" s="178"/>
      <c r="S18006" s="178"/>
    </row>
    <row r="18007" spans="18:19">
      <c r="R18007" s="178"/>
      <c r="S18007" s="178"/>
    </row>
    <row r="18008" spans="18:19">
      <c r="R18008" s="178"/>
      <c r="S18008" s="178"/>
    </row>
    <row r="18009" spans="18:19">
      <c r="R18009" s="178"/>
      <c r="S18009" s="178"/>
    </row>
    <row r="18010" spans="18:19">
      <c r="R18010" s="178"/>
      <c r="S18010" s="178"/>
    </row>
    <row r="18011" spans="18:19">
      <c r="R18011" s="178"/>
      <c r="S18011" s="178"/>
    </row>
    <row r="18012" spans="18:19">
      <c r="R18012" s="178"/>
      <c r="S18012" s="178"/>
    </row>
    <row r="18013" spans="18:19">
      <c r="R18013" s="178"/>
      <c r="S18013" s="178"/>
    </row>
    <row r="18014" spans="18:19">
      <c r="R18014" s="178"/>
      <c r="S18014" s="178"/>
    </row>
    <row r="18015" spans="18:19">
      <c r="R18015" s="178"/>
      <c r="S18015" s="178"/>
    </row>
    <row r="18016" spans="18:19">
      <c r="R18016" s="178"/>
      <c r="S18016" s="178"/>
    </row>
    <row r="18017" spans="18:19">
      <c r="R18017" s="178"/>
      <c r="S18017" s="178"/>
    </row>
    <row r="18018" spans="18:19">
      <c r="R18018" s="178"/>
      <c r="S18018" s="178"/>
    </row>
    <row r="18019" spans="18:19">
      <c r="R18019" s="178"/>
      <c r="S18019" s="178"/>
    </row>
    <row r="18020" spans="18:19">
      <c r="R18020" s="178"/>
      <c r="S18020" s="178"/>
    </row>
    <row r="18021" spans="18:19">
      <c r="R18021" s="178"/>
      <c r="S18021" s="178"/>
    </row>
    <row r="18022" spans="18:19">
      <c r="R18022" s="178"/>
      <c r="S18022" s="178"/>
    </row>
    <row r="18023" spans="18:19">
      <c r="R18023" s="178"/>
      <c r="S18023" s="178"/>
    </row>
    <row r="18024" spans="18:19">
      <c r="R18024" s="178"/>
      <c r="S18024" s="178"/>
    </row>
    <row r="18025" spans="18:19">
      <c r="R18025" s="178"/>
      <c r="S18025" s="178"/>
    </row>
    <row r="18026" spans="18:19">
      <c r="R18026" s="178"/>
      <c r="S18026" s="178"/>
    </row>
    <row r="18027" spans="18:19">
      <c r="R18027" s="178"/>
      <c r="S18027" s="178"/>
    </row>
    <row r="18028" spans="18:19">
      <c r="R18028" s="178"/>
      <c r="S18028" s="178"/>
    </row>
    <row r="18029" spans="18:19">
      <c r="R18029" s="178"/>
      <c r="S18029" s="178"/>
    </row>
    <row r="18030" spans="18:19">
      <c r="R18030" s="178"/>
      <c r="S18030" s="178"/>
    </row>
    <row r="18031" spans="18:19">
      <c r="R18031" s="178"/>
      <c r="S18031" s="178"/>
    </row>
    <row r="18032" spans="18:19">
      <c r="R18032" s="178"/>
      <c r="S18032" s="178"/>
    </row>
    <row r="18033" spans="18:19">
      <c r="R18033" s="178"/>
      <c r="S18033" s="178"/>
    </row>
    <row r="18034" spans="18:19">
      <c r="R18034" s="178"/>
      <c r="S18034" s="178"/>
    </row>
    <row r="18035" spans="18:19">
      <c r="R18035" s="178"/>
      <c r="S18035" s="178"/>
    </row>
    <row r="18036" spans="18:19">
      <c r="R18036" s="178"/>
      <c r="S18036" s="178"/>
    </row>
    <row r="18037" spans="18:19">
      <c r="R18037" s="178"/>
      <c r="S18037" s="178"/>
    </row>
    <row r="18038" spans="18:19">
      <c r="R18038" s="178"/>
      <c r="S18038" s="178"/>
    </row>
    <row r="18039" spans="18:19">
      <c r="R18039" s="178"/>
      <c r="S18039" s="178"/>
    </row>
    <row r="18040" spans="18:19">
      <c r="R18040" s="178"/>
      <c r="S18040" s="178"/>
    </row>
    <row r="18041" spans="18:19">
      <c r="R18041" s="178"/>
      <c r="S18041" s="178"/>
    </row>
    <row r="18042" spans="18:19">
      <c r="R18042" s="178"/>
      <c r="S18042" s="178"/>
    </row>
    <row r="18043" spans="18:19">
      <c r="R18043" s="178"/>
      <c r="S18043" s="178"/>
    </row>
    <row r="18044" spans="18:19">
      <c r="R18044" s="178"/>
      <c r="S18044" s="178"/>
    </row>
    <row r="18045" spans="18:19">
      <c r="R18045" s="178"/>
      <c r="S18045" s="178"/>
    </row>
    <row r="18046" spans="18:19">
      <c r="R18046" s="178"/>
      <c r="S18046" s="178"/>
    </row>
    <row r="18047" spans="18:19">
      <c r="R18047" s="178"/>
      <c r="S18047" s="178"/>
    </row>
    <row r="18048" spans="18:19">
      <c r="R18048" s="178"/>
      <c r="S18048" s="178"/>
    </row>
    <row r="18049" spans="18:19">
      <c r="R18049" s="178"/>
      <c r="S18049" s="178"/>
    </row>
    <row r="18050" spans="18:19">
      <c r="R18050" s="178"/>
      <c r="S18050" s="178"/>
    </row>
    <row r="18051" spans="18:19">
      <c r="R18051" s="178"/>
      <c r="S18051" s="178"/>
    </row>
    <row r="18052" spans="18:19">
      <c r="R18052" s="178"/>
      <c r="S18052" s="178"/>
    </row>
    <row r="18053" spans="18:19">
      <c r="R18053" s="178"/>
      <c r="S18053" s="178"/>
    </row>
    <row r="18054" spans="18:19">
      <c r="R18054" s="178"/>
      <c r="S18054" s="178"/>
    </row>
    <row r="18055" spans="18:19">
      <c r="R18055" s="178"/>
      <c r="S18055" s="178"/>
    </row>
    <row r="18056" spans="18:19">
      <c r="R18056" s="178"/>
      <c r="S18056" s="178"/>
    </row>
    <row r="18057" spans="18:19">
      <c r="R18057" s="178"/>
      <c r="S18057" s="178"/>
    </row>
    <row r="18058" spans="18:19">
      <c r="R18058" s="178"/>
      <c r="S18058" s="178"/>
    </row>
    <row r="18059" spans="18:19">
      <c r="R18059" s="178"/>
      <c r="S18059" s="178"/>
    </row>
    <row r="18060" spans="18:19">
      <c r="R18060" s="178"/>
      <c r="S18060" s="178"/>
    </row>
    <row r="18061" spans="18:19">
      <c r="R18061" s="178"/>
      <c r="S18061" s="178"/>
    </row>
    <row r="18062" spans="18:19">
      <c r="R18062" s="178"/>
      <c r="S18062" s="178"/>
    </row>
    <row r="18063" spans="18:19">
      <c r="R18063" s="178"/>
      <c r="S18063" s="178"/>
    </row>
    <row r="18064" spans="18:19">
      <c r="R18064" s="178"/>
      <c r="S18064" s="178"/>
    </row>
    <row r="18065" spans="18:19">
      <c r="R18065" s="178"/>
      <c r="S18065" s="178"/>
    </row>
    <row r="18066" spans="18:19">
      <c r="R18066" s="178"/>
      <c r="S18066" s="178"/>
    </row>
    <row r="18067" spans="18:19">
      <c r="R18067" s="178"/>
      <c r="S18067" s="178"/>
    </row>
    <row r="18068" spans="18:19">
      <c r="R18068" s="178"/>
      <c r="S18068" s="178"/>
    </row>
    <row r="18069" spans="18:19">
      <c r="R18069" s="178"/>
      <c r="S18069" s="178"/>
    </row>
    <row r="18070" spans="18:19">
      <c r="R18070" s="178"/>
      <c r="S18070" s="178"/>
    </row>
    <row r="18071" spans="18:19">
      <c r="R18071" s="178"/>
      <c r="S18071" s="178"/>
    </row>
    <row r="18072" spans="18:19">
      <c r="R18072" s="178"/>
      <c r="S18072" s="178"/>
    </row>
    <row r="18073" spans="18:19">
      <c r="R18073" s="178"/>
      <c r="S18073" s="178"/>
    </row>
    <row r="18074" spans="18:19">
      <c r="R18074" s="178"/>
      <c r="S18074" s="178"/>
    </row>
    <row r="18075" spans="18:19">
      <c r="R18075" s="178"/>
      <c r="S18075" s="178"/>
    </row>
    <row r="18076" spans="18:19">
      <c r="R18076" s="178"/>
      <c r="S18076" s="178"/>
    </row>
    <row r="18077" spans="18:19">
      <c r="R18077" s="178"/>
      <c r="S18077" s="178"/>
    </row>
    <row r="18078" spans="18:19">
      <c r="R18078" s="178"/>
      <c r="S18078" s="178"/>
    </row>
    <row r="18079" spans="18:19">
      <c r="R18079" s="178"/>
      <c r="S18079" s="178"/>
    </row>
    <row r="18080" spans="18:19">
      <c r="R18080" s="178"/>
      <c r="S18080" s="178"/>
    </row>
    <row r="18081" spans="18:19">
      <c r="R18081" s="178"/>
      <c r="S18081" s="178"/>
    </row>
    <row r="18082" spans="18:19">
      <c r="R18082" s="178"/>
      <c r="S18082" s="178"/>
    </row>
    <row r="18083" spans="18:19">
      <c r="R18083" s="178"/>
      <c r="S18083" s="178"/>
    </row>
    <row r="18084" spans="18:19">
      <c r="R18084" s="178"/>
      <c r="S18084" s="178"/>
    </row>
    <row r="18085" spans="18:19">
      <c r="R18085" s="178"/>
      <c r="S18085" s="178"/>
    </row>
    <row r="18086" spans="18:19">
      <c r="R18086" s="178"/>
      <c r="S18086" s="178"/>
    </row>
    <row r="18087" spans="18:19">
      <c r="R18087" s="178"/>
      <c r="S18087" s="178"/>
    </row>
    <row r="18088" spans="18:19">
      <c r="R18088" s="178"/>
      <c r="S18088" s="178"/>
    </row>
    <row r="18089" spans="18:19">
      <c r="R18089" s="178"/>
      <c r="S18089" s="178"/>
    </row>
    <row r="18090" spans="18:19">
      <c r="R18090" s="178"/>
      <c r="S18090" s="178"/>
    </row>
    <row r="18091" spans="18:19">
      <c r="R18091" s="178"/>
      <c r="S18091" s="178"/>
    </row>
    <row r="18092" spans="18:19">
      <c r="R18092" s="178"/>
      <c r="S18092" s="178"/>
    </row>
    <row r="18093" spans="18:19">
      <c r="R18093" s="178"/>
      <c r="S18093" s="178"/>
    </row>
    <row r="18094" spans="18:19">
      <c r="R18094" s="178"/>
      <c r="S18094" s="178"/>
    </row>
    <row r="18095" spans="18:19">
      <c r="R18095" s="178"/>
      <c r="S18095" s="178"/>
    </row>
    <row r="18096" spans="18:19">
      <c r="R18096" s="178"/>
      <c r="S18096" s="178"/>
    </row>
    <row r="18097" spans="18:19">
      <c r="R18097" s="178"/>
      <c r="S18097" s="178"/>
    </row>
    <row r="18098" spans="18:19">
      <c r="R18098" s="178"/>
      <c r="S18098" s="178"/>
    </row>
    <row r="18099" spans="18:19">
      <c r="R18099" s="178"/>
      <c r="S18099" s="178"/>
    </row>
    <row r="18100" spans="18:19">
      <c r="R18100" s="178"/>
      <c r="S18100" s="178"/>
    </row>
    <row r="18101" spans="18:19">
      <c r="R18101" s="178"/>
      <c r="S18101" s="178"/>
    </row>
    <row r="18102" spans="18:19">
      <c r="R18102" s="178"/>
      <c r="S18102" s="178"/>
    </row>
    <row r="18103" spans="18:19">
      <c r="R18103" s="178"/>
      <c r="S18103" s="178"/>
    </row>
    <row r="18104" spans="18:19">
      <c r="R18104" s="178"/>
      <c r="S18104" s="178"/>
    </row>
    <row r="18105" spans="18:19">
      <c r="R18105" s="178"/>
      <c r="S18105" s="178"/>
    </row>
    <row r="18106" spans="18:19">
      <c r="R18106" s="178"/>
      <c r="S18106" s="178"/>
    </row>
    <row r="18107" spans="18:19">
      <c r="R18107" s="178"/>
      <c r="S18107" s="178"/>
    </row>
    <row r="18108" spans="18:19">
      <c r="R18108" s="178"/>
      <c r="S18108" s="178"/>
    </row>
    <row r="18109" spans="18:19">
      <c r="R18109" s="178"/>
      <c r="S18109" s="178"/>
    </row>
    <row r="18110" spans="18:19">
      <c r="R18110" s="178"/>
      <c r="S18110" s="178"/>
    </row>
    <row r="18111" spans="18:19">
      <c r="R18111" s="178"/>
      <c r="S18111" s="178"/>
    </row>
    <row r="18112" spans="18:19">
      <c r="R18112" s="178"/>
      <c r="S18112" s="178"/>
    </row>
    <row r="18113" spans="18:19">
      <c r="R18113" s="178"/>
      <c r="S18113" s="178"/>
    </row>
    <row r="18114" spans="18:19">
      <c r="R18114" s="178"/>
      <c r="S18114" s="178"/>
    </row>
    <row r="18115" spans="18:19">
      <c r="R18115" s="178"/>
      <c r="S18115" s="178"/>
    </row>
    <row r="18116" spans="18:19">
      <c r="R18116" s="178"/>
      <c r="S18116" s="178"/>
    </row>
    <row r="18117" spans="18:19">
      <c r="R18117" s="178"/>
      <c r="S18117" s="178"/>
    </row>
    <row r="18118" spans="18:19">
      <c r="R18118" s="178"/>
      <c r="S18118" s="178"/>
    </row>
    <row r="18119" spans="18:19">
      <c r="R18119" s="178"/>
      <c r="S18119" s="178"/>
    </row>
    <row r="18120" spans="18:19">
      <c r="R18120" s="178"/>
      <c r="S18120" s="178"/>
    </row>
    <row r="18121" spans="18:19">
      <c r="R18121" s="178"/>
      <c r="S18121" s="178"/>
    </row>
    <row r="18122" spans="18:19">
      <c r="R18122" s="178"/>
      <c r="S18122" s="178"/>
    </row>
    <row r="18123" spans="18:19">
      <c r="R18123" s="178"/>
      <c r="S18123" s="178"/>
    </row>
    <row r="18124" spans="18:19">
      <c r="R18124" s="178"/>
      <c r="S18124" s="178"/>
    </row>
    <row r="18125" spans="18:19">
      <c r="R18125" s="178"/>
      <c r="S18125" s="178"/>
    </row>
    <row r="18126" spans="18:19">
      <c r="R18126" s="178"/>
      <c r="S18126" s="178"/>
    </row>
    <row r="18127" spans="18:19">
      <c r="R18127" s="178"/>
      <c r="S18127" s="178"/>
    </row>
    <row r="18128" spans="18:19">
      <c r="R18128" s="178"/>
      <c r="S18128" s="178"/>
    </row>
    <row r="18129" spans="18:19">
      <c r="R18129" s="178"/>
      <c r="S18129" s="178"/>
    </row>
    <row r="18130" spans="18:19">
      <c r="R18130" s="178"/>
      <c r="S18130" s="178"/>
    </row>
    <row r="18131" spans="18:19">
      <c r="R18131" s="178"/>
      <c r="S18131" s="178"/>
    </row>
    <row r="18132" spans="18:19">
      <c r="R18132" s="178"/>
      <c r="S18132" s="178"/>
    </row>
    <row r="18133" spans="18:19">
      <c r="R18133" s="178"/>
      <c r="S18133" s="178"/>
    </row>
    <row r="18134" spans="18:19">
      <c r="R18134" s="178"/>
      <c r="S18134" s="178"/>
    </row>
    <row r="18135" spans="18:19">
      <c r="R18135" s="178"/>
      <c r="S18135" s="178"/>
    </row>
    <row r="18136" spans="18:19">
      <c r="R18136" s="178"/>
      <c r="S18136" s="178"/>
    </row>
    <row r="18137" spans="18:19">
      <c r="R18137" s="178"/>
      <c r="S18137" s="178"/>
    </row>
    <row r="18138" spans="18:19">
      <c r="R18138" s="178"/>
      <c r="S18138" s="178"/>
    </row>
    <row r="18139" spans="18:19">
      <c r="R18139" s="178"/>
      <c r="S18139" s="178"/>
    </row>
    <row r="18140" spans="18:19">
      <c r="R18140" s="178"/>
      <c r="S18140" s="178"/>
    </row>
    <row r="18141" spans="18:19">
      <c r="R18141" s="178"/>
      <c r="S18141" s="178"/>
    </row>
    <row r="18142" spans="18:19">
      <c r="R18142" s="178"/>
      <c r="S18142" s="178"/>
    </row>
    <row r="18143" spans="18:19">
      <c r="R18143" s="178"/>
      <c r="S18143" s="178"/>
    </row>
    <row r="18144" spans="18:19">
      <c r="R18144" s="178"/>
      <c r="S18144" s="178"/>
    </row>
    <row r="18145" spans="18:19">
      <c r="R18145" s="178"/>
      <c r="S18145" s="178"/>
    </row>
    <row r="18146" spans="18:19">
      <c r="R18146" s="178"/>
      <c r="S18146" s="178"/>
    </row>
    <row r="18147" spans="18:19">
      <c r="R18147" s="178"/>
      <c r="S18147" s="178"/>
    </row>
    <row r="18148" spans="18:19">
      <c r="R18148" s="178"/>
      <c r="S18148" s="178"/>
    </row>
    <row r="18149" spans="18:19">
      <c r="R18149" s="178"/>
      <c r="S18149" s="178"/>
    </row>
    <row r="18150" spans="18:19">
      <c r="R18150" s="178"/>
      <c r="S18150" s="178"/>
    </row>
    <row r="18151" spans="18:19">
      <c r="R18151" s="178"/>
      <c r="S18151" s="178"/>
    </row>
    <row r="18152" spans="18:19">
      <c r="R18152" s="178"/>
      <c r="S18152" s="178"/>
    </row>
    <row r="18153" spans="18:19">
      <c r="R18153" s="178"/>
      <c r="S18153" s="178"/>
    </row>
    <row r="18154" spans="18:19">
      <c r="R18154" s="178"/>
      <c r="S18154" s="178"/>
    </row>
    <row r="18155" spans="18:19">
      <c r="R18155" s="178"/>
      <c r="S18155" s="178"/>
    </row>
    <row r="18156" spans="18:19">
      <c r="R18156" s="178"/>
      <c r="S18156" s="178"/>
    </row>
    <row r="18157" spans="18:19">
      <c r="R18157" s="178"/>
      <c r="S18157" s="178"/>
    </row>
    <row r="18158" spans="18:19">
      <c r="R18158" s="178"/>
      <c r="S18158" s="178"/>
    </row>
    <row r="18159" spans="18:19">
      <c r="R18159" s="178"/>
      <c r="S18159" s="178"/>
    </row>
    <row r="18160" spans="18:19">
      <c r="R18160" s="178"/>
      <c r="S18160" s="178"/>
    </row>
    <row r="18161" spans="18:19">
      <c r="R18161" s="178"/>
      <c r="S18161" s="178"/>
    </row>
    <row r="18162" spans="18:19">
      <c r="R18162" s="178"/>
      <c r="S18162" s="178"/>
    </row>
    <row r="18163" spans="18:19">
      <c r="R18163" s="178"/>
      <c r="S18163" s="178"/>
    </row>
    <row r="18164" spans="18:19">
      <c r="R18164" s="178"/>
      <c r="S18164" s="178"/>
    </row>
    <row r="18165" spans="18:19">
      <c r="R18165" s="178"/>
      <c r="S18165" s="178"/>
    </row>
    <row r="18166" spans="18:19">
      <c r="R18166" s="178"/>
      <c r="S18166" s="178"/>
    </row>
    <row r="18167" spans="18:19">
      <c r="R18167" s="178"/>
      <c r="S18167" s="178"/>
    </row>
    <row r="18168" spans="18:19">
      <c r="R18168" s="178"/>
      <c r="S18168" s="178"/>
    </row>
    <row r="18169" spans="18:19">
      <c r="R18169" s="178"/>
      <c r="S18169" s="178"/>
    </row>
    <row r="18170" spans="18:19">
      <c r="R18170" s="178"/>
      <c r="S18170" s="178"/>
    </row>
    <row r="18171" spans="18:19">
      <c r="R18171" s="178"/>
      <c r="S18171" s="178"/>
    </row>
    <row r="18172" spans="18:19">
      <c r="R18172" s="178"/>
      <c r="S18172" s="178"/>
    </row>
    <row r="18173" spans="18:19">
      <c r="R18173" s="178"/>
      <c r="S18173" s="178"/>
    </row>
    <row r="18174" spans="18:19">
      <c r="R18174" s="178"/>
      <c r="S18174" s="178"/>
    </row>
    <row r="18175" spans="18:19">
      <c r="R18175" s="178"/>
      <c r="S18175" s="178"/>
    </row>
    <row r="18176" spans="18:19">
      <c r="R18176" s="178"/>
      <c r="S18176" s="178"/>
    </row>
    <row r="18177" spans="18:19">
      <c r="R18177" s="178"/>
      <c r="S18177" s="178"/>
    </row>
    <row r="18178" spans="18:19">
      <c r="R18178" s="178"/>
      <c r="S18178" s="178"/>
    </row>
    <row r="18179" spans="18:19">
      <c r="R18179" s="178"/>
      <c r="S18179" s="178"/>
    </row>
    <row r="18180" spans="18:19">
      <c r="R18180" s="178"/>
      <c r="S18180" s="178"/>
    </row>
    <row r="18181" spans="18:19">
      <c r="R18181" s="178"/>
      <c r="S18181" s="178"/>
    </row>
    <row r="18182" spans="18:19">
      <c r="R18182" s="178"/>
      <c r="S18182" s="178"/>
    </row>
    <row r="18183" spans="18:19">
      <c r="R18183" s="178"/>
      <c r="S18183" s="178"/>
    </row>
    <row r="18184" spans="18:19">
      <c r="R18184" s="178"/>
      <c r="S18184" s="178"/>
    </row>
    <row r="18185" spans="18:19">
      <c r="R18185" s="178"/>
      <c r="S18185" s="178"/>
    </row>
    <row r="18186" spans="18:19">
      <c r="R18186" s="178"/>
      <c r="S18186" s="178"/>
    </row>
    <row r="18187" spans="18:19">
      <c r="R18187" s="178"/>
      <c r="S18187" s="178"/>
    </row>
    <row r="18188" spans="18:19">
      <c r="R18188" s="178"/>
      <c r="S18188" s="178"/>
    </row>
    <row r="18189" spans="18:19">
      <c r="R18189" s="178"/>
      <c r="S18189" s="178"/>
    </row>
    <row r="18190" spans="18:19">
      <c r="R18190" s="178"/>
      <c r="S18190" s="178"/>
    </row>
    <row r="18191" spans="18:19">
      <c r="R18191" s="178"/>
      <c r="S18191" s="178"/>
    </row>
    <row r="18192" spans="18:19">
      <c r="R18192" s="178"/>
      <c r="S18192" s="178"/>
    </row>
    <row r="18193" spans="18:19">
      <c r="R18193" s="178"/>
      <c r="S18193" s="178"/>
    </row>
    <row r="18194" spans="18:19">
      <c r="R18194" s="178"/>
      <c r="S18194" s="178"/>
    </row>
    <row r="18195" spans="18:19">
      <c r="R18195" s="178"/>
      <c r="S18195" s="178"/>
    </row>
    <row r="18196" spans="18:19">
      <c r="R18196" s="178"/>
      <c r="S18196" s="178"/>
    </row>
    <row r="18197" spans="18:19">
      <c r="R18197" s="178"/>
      <c r="S18197" s="178"/>
    </row>
    <row r="18198" spans="18:19">
      <c r="R18198" s="178"/>
      <c r="S18198" s="178"/>
    </row>
    <row r="18199" spans="18:19">
      <c r="R18199" s="178"/>
      <c r="S18199" s="178"/>
    </row>
    <row r="18200" spans="18:19">
      <c r="R18200" s="178"/>
      <c r="S18200" s="178"/>
    </row>
    <row r="18201" spans="18:19">
      <c r="R18201" s="178"/>
      <c r="S18201" s="178"/>
    </row>
    <row r="18202" spans="18:19">
      <c r="R18202" s="178"/>
      <c r="S18202" s="178"/>
    </row>
    <row r="18203" spans="18:19">
      <c r="R18203" s="178"/>
      <c r="S18203" s="178"/>
    </row>
    <row r="18204" spans="18:19">
      <c r="R18204" s="178"/>
      <c r="S18204" s="178"/>
    </row>
    <row r="18205" spans="18:19">
      <c r="R18205" s="178"/>
      <c r="S18205" s="178"/>
    </row>
    <row r="18206" spans="18:19">
      <c r="R18206" s="178"/>
      <c r="S18206" s="178"/>
    </row>
    <row r="18207" spans="18:19">
      <c r="R18207" s="178"/>
      <c r="S18207" s="178"/>
    </row>
    <row r="18208" spans="18:19">
      <c r="R18208" s="178"/>
      <c r="S18208" s="178"/>
    </row>
    <row r="18209" spans="18:19">
      <c r="R18209" s="178"/>
      <c r="S18209" s="178"/>
    </row>
    <row r="18210" spans="18:19">
      <c r="R18210" s="178"/>
      <c r="S18210" s="178"/>
    </row>
    <row r="18211" spans="18:19">
      <c r="R18211" s="178"/>
      <c r="S18211" s="178"/>
    </row>
    <row r="18212" spans="18:19">
      <c r="R18212" s="178"/>
      <c r="S18212" s="178"/>
    </row>
    <row r="18213" spans="18:19">
      <c r="R18213" s="178"/>
      <c r="S18213" s="178"/>
    </row>
    <row r="18214" spans="18:19">
      <c r="R18214" s="178"/>
      <c r="S18214" s="178"/>
    </row>
    <row r="18215" spans="18:19">
      <c r="R18215" s="178"/>
      <c r="S18215" s="178"/>
    </row>
    <row r="18216" spans="18:19">
      <c r="R18216" s="178"/>
      <c r="S18216" s="178"/>
    </row>
    <row r="18217" spans="18:19">
      <c r="R18217" s="178"/>
      <c r="S18217" s="178"/>
    </row>
    <row r="18218" spans="18:19">
      <c r="R18218" s="178"/>
      <c r="S18218" s="178"/>
    </row>
    <row r="18219" spans="18:19">
      <c r="R18219" s="178"/>
      <c r="S18219" s="178"/>
    </row>
    <row r="18220" spans="18:19">
      <c r="R18220" s="178"/>
      <c r="S18220" s="178"/>
    </row>
    <row r="18221" spans="18:19">
      <c r="R18221" s="178"/>
      <c r="S18221" s="178"/>
    </row>
    <row r="18222" spans="18:19">
      <c r="R18222" s="178"/>
      <c r="S18222" s="178"/>
    </row>
    <row r="18223" spans="18:19">
      <c r="R18223" s="178"/>
      <c r="S18223" s="178"/>
    </row>
    <row r="18224" spans="18:19">
      <c r="R18224" s="178"/>
      <c r="S18224" s="178"/>
    </row>
    <row r="18225" spans="18:19">
      <c r="R18225" s="178"/>
      <c r="S18225" s="178"/>
    </row>
    <row r="18226" spans="18:19">
      <c r="R18226" s="178"/>
      <c r="S18226" s="178"/>
    </row>
    <row r="18227" spans="18:19">
      <c r="R18227" s="178"/>
      <c r="S18227" s="178"/>
    </row>
    <row r="18228" spans="18:19">
      <c r="R18228" s="178"/>
      <c r="S18228" s="178"/>
    </row>
    <row r="18229" spans="18:19">
      <c r="R18229" s="178"/>
      <c r="S18229" s="178"/>
    </row>
    <row r="18230" spans="18:19">
      <c r="R18230" s="178"/>
      <c r="S18230" s="178"/>
    </row>
    <row r="18231" spans="18:19">
      <c r="R18231" s="178"/>
      <c r="S18231" s="178"/>
    </row>
    <row r="18232" spans="18:19">
      <c r="R18232" s="178"/>
      <c r="S18232" s="178"/>
    </row>
    <row r="18233" spans="18:19">
      <c r="R18233" s="178"/>
      <c r="S18233" s="178"/>
    </row>
    <row r="18234" spans="18:19">
      <c r="R18234" s="178"/>
      <c r="S18234" s="178"/>
    </row>
    <row r="18235" spans="18:19">
      <c r="R18235" s="178"/>
      <c r="S18235" s="178"/>
    </row>
    <row r="18236" spans="18:19">
      <c r="R18236" s="178"/>
      <c r="S18236" s="178"/>
    </row>
    <row r="18237" spans="18:19">
      <c r="R18237" s="178"/>
      <c r="S18237" s="178"/>
    </row>
    <row r="18238" spans="18:19">
      <c r="R18238" s="178"/>
      <c r="S18238" s="178"/>
    </row>
    <row r="18239" spans="18:19">
      <c r="R18239" s="178"/>
      <c r="S18239" s="178"/>
    </row>
    <row r="18240" spans="18:19">
      <c r="R18240" s="178"/>
      <c r="S18240" s="178"/>
    </row>
    <row r="18241" spans="18:19">
      <c r="R18241" s="178"/>
      <c r="S18241" s="178"/>
    </row>
    <row r="18242" spans="18:19">
      <c r="R18242" s="178"/>
      <c r="S18242" s="178"/>
    </row>
    <row r="18243" spans="18:19">
      <c r="R18243" s="178"/>
      <c r="S18243" s="178"/>
    </row>
    <row r="18244" spans="18:19">
      <c r="R18244" s="178"/>
      <c r="S18244" s="178"/>
    </row>
    <row r="18245" spans="18:19">
      <c r="R18245" s="178"/>
      <c r="S18245" s="178"/>
    </row>
    <row r="18246" spans="18:19">
      <c r="R18246" s="178"/>
      <c r="S18246" s="178"/>
    </row>
    <row r="18247" spans="18:19">
      <c r="R18247" s="178"/>
      <c r="S18247" s="178"/>
    </row>
    <row r="18248" spans="18:19">
      <c r="R18248" s="178"/>
      <c r="S18248" s="178"/>
    </row>
    <row r="18249" spans="18:19">
      <c r="R18249" s="178"/>
      <c r="S18249" s="178"/>
    </row>
    <row r="18250" spans="18:19">
      <c r="R18250" s="178"/>
      <c r="S18250" s="178"/>
    </row>
    <row r="18251" spans="18:19">
      <c r="R18251" s="178"/>
      <c r="S18251" s="178"/>
    </row>
    <row r="18252" spans="18:19">
      <c r="R18252" s="178"/>
      <c r="S18252" s="178"/>
    </row>
    <row r="18253" spans="18:19">
      <c r="R18253" s="178"/>
      <c r="S18253" s="178"/>
    </row>
    <row r="18254" spans="18:19">
      <c r="R18254" s="178"/>
      <c r="S18254" s="178"/>
    </row>
    <row r="18255" spans="18:19">
      <c r="R18255" s="178"/>
      <c r="S18255" s="178"/>
    </row>
    <row r="18256" spans="18:19">
      <c r="R18256" s="178"/>
      <c r="S18256" s="178"/>
    </row>
    <row r="18257" spans="18:19">
      <c r="R18257" s="178"/>
      <c r="S18257" s="178"/>
    </row>
    <row r="18258" spans="18:19">
      <c r="R18258" s="178"/>
      <c r="S18258" s="178"/>
    </row>
    <row r="18259" spans="18:19">
      <c r="R18259" s="178"/>
      <c r="S18259" s="178"/>
    </row>
    <row r="18260" spans="18:19">
      <c r="R18260" s="178"/>
      <c r="S18260" s="178"/>
    </row>
    <row r="18261" spans="18:19">
      <c r="R18261" s="178"/>
      <c r="S18261" s="178"/>
    </row>
    <row r="18262" spans="18:19">
      <c r="R18262" s="178"/>
      <c r="S18262" s="178"/>
    </row>
    <row r="18263" spans="18:19">
      <c r="R18263" s="178"/>
      <c r="S18263" s="178"/>
    </row>
    <row r="18264" spans="18:19">
      <c r="R18264" s="178"/>
      <c r="S18264" s="178"/>
    </row>
    <row r="18265" spans="18:19">
      <c r="R18265" s="178"/>
      <c r="S18265" s="178"/>
    </row>
    <row r="18266" spans="18:19">
      <c r="R18266" s="178"/>
      <c r="S18266" s="178"/>
    </row>
    <row r="18267" spans="18:19">
      <c r="R18267" s="178"/>
      <c r="S18267" s="178"/>
    </row>
    <row r="18268" spans="18:19">
      <c r="R18268" s="178"/>
      <c r="S18268" s="178"/>
    </row>
    <row r="18269" spans="18:19">
      <c r="R18269" s="178"/>
      <c r="S18269" s="178"/>
    </row>
    <row r="18270" spans="18:19">
      <c r="R18270" s="178"/>
      <c r="S18270" s="178"/>
    </row>
    <row r="18271" spans="18:19">
      <c r="R18271" s="178"/>
      <c r="S18271" s="178"/>
    </row>
    <row r="18272" spans="18:19">
      <c r="R18272" s="178"/>
      <c r="S18272" s="178"/>
    </row>
    <row r="18273" spans="18:19">
      <c r="R18273" s="178"/>
      <c r="S18273" s="178"/>
    </row>
    <row r="18274" spans="18:19">
      <c r="R18274" s="178"/>
      <c r="S18274" s="178"/>
    </row>
    <row r="18275" spans="18:19">
      <c r="R18275" s="178"/>
      <c r="S18275" s="178"/>
    </row>
    <row r="18276" spans="18:19">
      <c r="R18276" s="178"/>
      <c r="S18276" s="178"/>
    </row>
    <row r="18277" spans="18:19">
      <c r="R18277" s="178"/>
      <c r="S18277" s="178"/>
    </row>
    <row r="18278" spans="18:19">
      <c r="R18278" s="178"/>
      <c r="S18278" s="178"/>
    </row>
    <row r="18279" spans="18:19">
      <c r="R18279" s="178"/>
      <c r="S18279" s="178"/>
    </row>
    <row r="18280" spans="18:19">
      <c r="R18280" s="178"/>
      <c r="S18280" s="178"/>
    </row>
    <row r="18281" spans="18:19">
      <c r="R18281" s="178"/>
      <c r="S18281" s="178"/>
    </row>
    <row r="18282" spans="18:19">
      <c r="R18282" s="178"/>
      <c r="S18282" s="178"/>
    </row>
    <row r="18283" spans="18:19">
      <c r="R18283" s="178"/>
      <c r="S18283" s="178"/>
    </row>
    <row r="18284" spans="18:19">
      <c r="R18284" s="178"/>
      <c r="S18284" s="178"/>
    </row>
    <row r="18285" spans="18:19">
      <c r="R18285" s="178"/>
      <c r="S18285" s="178"/>
    </row>
    <row r="18286" spans="18:19">
      <c r="R18286" s="178"/>
      <c r="S18286" s="178"/>
    </row>
    <row r="18287" spans="18:19">
      <c r="R18287" s="178"/>
      <c r="S18287" s="178"/>
    </row>
    <row r="18288" spans="18:19">
      <c r="R18288" s="178"/>
      <c r="S18288" s="178"/>
    </row>
    <row r="18289" spans="18:19">
      <c r="R18289" s="178"/>
      <c r="S18289" s="178"/>
    </row>
    <row r="18290" spans="18:19">
      <c r="R18290" s="178"/>
      <c r="S18290" s="178"/>
    </row>
    <row r="18291" spans="18:19">
      <c r="R18291" s="178"/>
      <c r="S18291" s="178"/>
    </row>
    <row r="18292" spans="18:19">
      <c r="R18292" s="178"/>
      <c r="S18292" s="178"/>
    </row>
    <row r="18293" spans="18:19">
      <c r="R18293" s="178"/>
      <c r="S18293" s="178"/>
    </row>
    <row r="18294" spans="18:19">
      <c r="R18294" s="178"/>
      <c r="S18294" s="178"/>
    </row>
    <row r="18295" spans="18:19">
      <c r="R18295" s="178"/>
      <c r="S18295" s="178"/>
    </row>
    <row r="18296" spans="18:19">
      <c r="R18296" s="178"/>
      <c r="S18296" s="178"/>
    </row>
    <row r="18297" spans="18:19">
      <c r="R18297" s="178"/>
      <c r="S18297" s="178"/>
    </row>
    <row r="18298" spans="18:19">
      <c r="R18298" s="178"/>
      <c r="S18298" s="178"/>
    </row>
    <row r="18299" spans="18:19">
      <c r="R18299" s="178"/>
      <c r="S18299" s="178"/>
    </row>
    <row r="18300" spans="18:19">
      <c r="R18300" s="178"/>
      <c r="S18300" s="178"/>
    </row>
    <row r="18301" spans="18:19">
      <c r="R18301" s="178"/>
      <c r="S18301" s="178"/>
    </row>
    <row r="18302" spans="18:19">
      <c r="R18302" s="178"/>
      <c r="S18302" s="178"/>
    </row>
    <row r="18303" spans="18:19">
      <c r="R18303" s="178"/>
      <c r="S18303" s="178"/>
    </row>
    <row r="18304" spans="18:19">
      <c r="R18304" s="178"/>
      <c r="S18304" s="178"/>
    </row>
    <row r="18305" spans="18:19">
      <c r="R18305" s="178"/>
      <c r="S18305" s="178"/>
    </row>
    <row r="18306" spans="18:19">
      <c r="R18306" s="178"/>
      <c r="S18306" s="178"/>
    </row>
    <row r="18307" spans="18:19">
      <c r="R18307" s="178"/>
      <c r="S18307" s="178"/>
    </row>
    <row r="18308" spans="18:19">
      <c r="R18308" s="178"/>
      <c r="S18308" s="178"/>
    </row>
    <row r="18309" spans="18:19">
      <c r="R18309" s="178"/>
      <c r="S18309" s="178"/>
    </row>
    <row r="18310" spans="18:19">
      <c r="R18310" s="178"/>
      <c r="S18310" s="178"/>
    </row>
    <row r="18311" spans="18:19">
      <c r="R18311" s="178"/>
      <c r="S18311" s="178"/>
    </row>
    <row r="18312" spans="18:19">
      <c r="R18312" s="178"/>
      <c r="S18312" s="178"/>
    </row>
    <row r="18313" spans="18:19">
      <c r="R18313" s="178"/>
      <c r="S18313" s="178"/>
    </row>
    <row r="18314" spans="18:19">
      <c r="R18314" s="178"/>
      <c r="S18314" s="178"/>
    </row>
    <row r="18315" spans="18:19">
      <c r="R18315" s="178"/>
      <c r="S18315" s="178"/>
    </row>
    <row r="18316" spans="18:19">
      <c r="R18316" s="178"/>
      <c r="S18316" s="178"/>
    </row>
    <row r="18317" spans="18:19">
      <c r="R18317" s="178"/>
      <c r="S18317" s="178"/>
    </row>
    <row r="18318" spans="18:19">
      <c r="R18318" s="178"/>
      <c r="S18318" s="178"/>
    </row>
    <row r="18319" spans="18:19">
      <c r="R18319" s="178"/>
      <c r="S18319" s="178"/>
    </row>
    <row r="18320" spans="18:19">
      <c r="R18320" s="178"/>
      <c r="S18320" s="178"/>
    </row>
    <row r="18321" spans="18:19">
      <c r="R18321" s="178"/>
      <c r="S18321" s="178"/>
    </row>
    <row r="18322" spans="18:19">
      <c r="R18322" s="178"/>
      <c r="S18322" s="178"/>
    </row>
    <row r="18323" spans="18:19">
      <c r="R18323" s="178"/>
      <c r="S18323" s="178"/>
    </row>
    <row r="18324" spans="18:19">
      <c r="R18324" s="178"/>
      <c r="S18324" s="178"/>
    </row>
    <row r="18325" spans="18:19">
      <c r="R18325" s="178"/>
      <c r="S18325" s="178"/>
    </row>
    <row r="18326" spans="18:19">
      <c r="R18326" s="178"/>
      <c r="S18326" s="178"/>
    </row>
    <row r="18327" spans="18:19">
      <c r="R18327" s="178"/>
      <c r="S18327" s="178"/>
    </row>
    <row r="18328" spans="18:19">
      <c r="R18328" s="178"/>
      <c r="S18328" s="178"/>
    </row>
    <row r="18329" spans="18:19">
      <c r="R18329" s="178"/>
      <c r="S18329" s="178"/>
    </row>
    <row r="18330" spans="18:19">
      <c r="R18330" s="178"/>
      <c r="S18330" s="178"/>
    </row>
    <row r="18331" spans="18:19">
      <c r="R18331" s="178"/>
      <c r="S18331" s="178"/>
    </row>
    <row r="18332" spans="18:19">
      <c r="R18332" s="178"/>
      <c r="S18332" s="178"/>
    </row>
    <row r="18333" spans="18:19">
      <c r="R18333" s="178"/>
      <c r="S18333" s="178"/>
    </row>
    <row r="18334" spans="18:19">
      <c r="R18334" s="178"/>
      <c r="S18334" s="178"/>
    </row>
    <row r="18335" spans="18:19">
      <c r="R18335" s="178"/>
      <c r="S18335" s="178"/>
    </row>
    <row r="18336" spans="18:19">
      <c r="R18336" s="178"/>
      <c r="S18336" s="178"/>
    </row>
    <row r="18337" spans="18:19">
      <c r="R18337" s="178"/>
      <c r="S18337" s="178"/>
    </row>
    <row r="18338" spans="18:19">
      <c r="R18338" s="178"/>
      <c r="S18338" s="178"/>
    </row>
    <row r="18339" spans="18:19">
      <c r="R18339" s="178"/>
      <c r="S18339" s="178"/>
    </row>
    <row r="18340" spans="18:19">
      <c r="R18340" s="178"/>
      <c r="S18340" s="178"/>
    </row>
    <row r="18341" spans="18:19">
      <c r="R18341" s="178"/>
      <c r="S18341" s="178"/>
    </row>
    <row r="18342" spans="18:19">
      <c r="R18342" s="178"/>
      <c r="S18342" s="178"/>
    </row>
    <row r="18343" spans="18:19">
      <c r="R18343" s="178"/>
      <c r="S18343" s="178"/>
    </row>
    <row r="18344" spans="18:19">
      <c r="R18344" s="178"/>
      <c r="S18344" s="178"/>
    </row>
    <row r="18345" spans="18:19">
      <c r="R18345" s="178"/>
      <c r="S18345" s="178"/>
    </row>
    <row r="18346" spans="18:19">
      <c r="R18346" s="178"/>
      <c r="S18346" s="178"/>
    </row>
    <row r="18347" spans="18:19">
      <c r="R18347" s="178"/>
      <c r="S18347" s="178"/>
    </row>
    <row r="18348" spans="18:19">
      <c r="R18348" s="178"/>
      <c r="S18348" s="178"/>
    </row>
    <row r="18349" spans="18:19">
      <c r="R18349" s="178"/>
      <c r="S18349" s="178"/>
    </row>
    <row r="18350" spans="18:19">
      <c r="R18350" s="178"/>
      <c r="S18350" s="178"/>
    </row>
    <row r="18351" spans="18:19">
      <c r="R18351" s="178"/>
      <c r="S18351" s="178"/>
    </row>
    <row r="18352" spans="18:19">
      <c r="R18352" s="178"/>
      <c r="S18352" s="178"/>
    </row>
    <row r="18353" spans="18:19">
      <c r="R18353" s="178"/>
      <c r="S18353" s="178"/>
    </row>
    <row r="18354" spans="18:19">
      <c r="R18354" s="178"/>
      <c r="S18354" s="178"/>
    </row>
    <row r="18355" spans="18:19">
      <c r="R18355" s="178"/>
      <c r="S18355" s="178"/>
    </row>
    <row r="18356" spans="18:19">
      <c r="R18356" s="178"/>
      <c r="S18356" s="178"/>
    </row>
    <row r="18357" spans="18:19">
      <c r="R18357" s="178"/>
      <c r="S18357" s="178"/>
    </row>
    <row r="18358" spans="18:19">
      <c r="R18358" s="178"/>
      <c r="S18358" s="178"/>
    </row>
    <row r="18359" spans="18:19">
      <c r="R18359" s="178"/>
      <c r="S18359" s="178"/>
    </row>
    <row r="18360" spans="18:19">
      <c r="R18360" s="178"/>
      <c r="S18360" s="178"/>
    </row>
    <row r="18361" spans="18:19">
      <c r="R18361" s="178"/>
      <c r="S18361" s="178"/>
    </row>
    <row r="18362" spans="18:19">
      <c r="R18362" s="178"/>
      <c r="S18362" s="178"/>
    </row>
    <row r="18363" spans="18:19">
      <c r="R18363" s="178"/>
      <c r="S18363" s="178"/>
    </row>
    <row r="18364" spans="18:19">
      <c r="R18364" s="178"/>
      <c r="S18364" s="178"/>
    </row>
    <row r="18365" spans="18:19">
      <c r="R18365" s="178"/>
      <c r="S18365" s="178"/>
    </row>
    <row r="18366" spans="18:19">
      <c r="R18366" s="178"/>
      <c r="S18366" s="178"/>
    </row>
    <row r="18367" spans="18:19">
      <c r="R18367" s="178"/>
      <c r="S18367" s="178"/>
    </row>
    <row r="18368" spans="18:19">
      <c r="R18368" s="178"/>
      <c r="S18368" s="178"/>
    </row>
    <row r="18369" spans="18:19">
      <c r="R18369" s="178"/>
      <c r="S18369" s="178"/>
    </row>
    <row r="18370" spans="18:19">
      <c r="R18370" s="178"/>
      <c r="S18370" s="178"/>
    </row>
    <row r="18371" spans="18:19">
      <c r="R18371" s="178"/>
      <c r="S18371" s="178"/>
    </row>
    <row r="18372" spans="18:19">
      <c r="R18372" s="178"/>
      <c r="S18372" s="178"/>
    </row>
    <row r="18373" spans="18:19">
      <c r="R18373" s="178"/>
      <c r="S18373" s="178"/>
    </row>
    <row r="18374" spans="18:19">
      <c r="R18374" s="178"/>
      <c r="S18374" s="178"/>
    </row>
    <row r="18375" spans="18:19">
      <c r="R18375" s="178"/>
      <c r="S18375" s="178"/>
    </row>
    <row r="18376" spans="18:19">
      <c r="R18376" s="178"/>
      <c r="S18376" s="178"/>
    </row>
    <row r="18377" spans="18:19">
      <c r="R18377" s="178"/>
      <c r="S18377" s="178"/>
    </row>
    <row r="18378" spans="18:19">
      <c r="R18378" s="178"/>
      <c r="S18378" s="178"/>
    </row>
    <row r="18379" spans="18:19">
      <c r="R18379" s="178"/>
      <c r="S18379" s="178"/>
    </row>
    <row r="18380" spans="18:19">
      <c r="R18380" s="178"/>
      <c r="S18380" s="178"/>
    </row>
    <row r="18381" spans="18:19">
      <c r="R18381" s="178"/>
      <c r="S18381" s="178"/>
    </row>
    <row r="18382" spans="18:19">
      <c r="R18382" s="178"/>
      <c r="S18382" s="178"/>
    </row>
    <row r="18383" spans="18:19">
      <c r="R18383" s="178"/>
      <c r="S18383" s="178"/>
    </row>
    <row r="18384" spans="18:19">
      <c r="R18384" s="178"/>
      <c r="S18384" s="178"/>
    </row>
    <row r="18385" spans="18:19">
      <c r="R18385" s="178"/>
      <c r="S18385" s="178"/>
    </row>
    <row r="18386" spans="18:19">
      <c r="R18386" s="178"/>
      <c r="S18386" s="178"/>
    </row>
    <row r="18387" spans="18:19">
      <c r="R18387" s="178"/>
      <c r="S18387" s="178"/>
    </row>
    <row r="18388" spans="18:19">
      <c r="R18388" s="178"/>
      <c r="S18388" s="178"/>
    </row>
    <row r="18389" spans="18:19">
      <c r="R18389" s="178"/>
      <c r="S18389" s="178"/>
    </row>
    <row r="18390" spans="18:19">
      <c r="R18390" s="178"/>
      <c r="S18390" s="178"/>
    </row>
    <row r="18391" spans="18:19">
      <c r="R18391" s="178"/>
      <c r="S18391" s="178"/>
    </row>
    <row r="18392" spans="18:19">
      <c r="R18392" s="178"/>
      <c r="S18392" s="178"/>
    </row>
    <row r="18393" spans="18:19">
      <c r="R18393" s="178"/>
      <c r="S18393" s="178"/>
    </row>
    <row r="18394" spans="18:19">
      <c r="R18394" s="178"/>
      <c r="S18394" s="178"/>
    </row>
    <row r="18395" spans="18:19">
      <c r="R18395" s="178"/>
      <c r="S18395" s="178"/>
    </row>
    <row r="18396" spans="18:19">
      <c r="R18396" s="178"/>
      <c r="S18396" s="178"/>
    </row>
    <row r="18397" spans="18:19">
      <c r="R18397" s="178"/>
      <c r="S18397" s="178"/>
    </row>
    <row r="18398" spans="18:19">
      <c r="R18398" s="178"/>
      <c r="S18398" s="178"/>
    </row>
    <row r="18399" spans="18:19">
      <c r="R18399" s="178"/>
      <c r="S18399" s="178"/>
    </row>
    <row r="18400" spans="18:19">
      <c r="R18400" s="178"/>
      <c r="S18400" s="178"/>
    </row>
    <row r="18401" spans="18:19">
      <c r="R18401" s="178"/>
      <c r="S18401" s="178"/>
    </row>
    <row r="18402" spans="18:19">
      <c r="R18402" s="178"/>
      <c r="S18402" s="178"/>
    </row>
    <row r="18403" spans="18:19">
      <c r="R18403" s="178"/>
      <c r="S18403" s="178"/>
    </row>
    <row r="18404" spans="18:19">
      <c r="R18404" s="178"/>
      <c r="S18404" s="178"/>
    </row>
    <row r="18405" spans="18:19">
      <c r="R18405" s="178"/>
      <c r="S18405" s="178"/>
    </row>
    <row r="18406" spans="18:19">
      <c r="R18406" s="178"/>
      <c r="S18406" s="178"/>
    </row>
    <row r="18407" spans="18:19">
      <c r="R18407" s="178"/>
      <c r="S18407" s="178"/>
    </row>
    <row r="18408" spans="18:19">
      <c r="R18408" s="178"/>
      <c r="S18408" s="178"/>
    </row>
    <row r="18409" spans="18:19">
      <c r="R18409" s="178"/>
      <c r="S18409" s="178"/>
    </row>
    <row r="18410" spans="18:19">
      <c r="R18410" s="178"/>
      <c r="S18410" s="178"/>
    </row>
    <row r="18411" spans="18:19">
      <c r="R18411" s="178"/>
      <c r="S18411" s="178"/>
    </row>
    <row r="18412" spans="18:19">
      <c r="R18412" s="178"/>
      <c r="S18412" s="178"/>
    </row>
    <row r="18413" spans="18:19">
      <c r="R18413" s="178"/>
      <c r="S18413" s="178"/>
    </row>
    <row r="18414" spans="18:19">
      <c r="R18414" s="178"/>
      <c r="S18414" s="178"/>
    </row>
    <row r="18415" spans="18:19">
      <c r="R18415" s="178"/>
      <c r="S18415" s="178"/>
    </row>
    <row r="18416" spans="18:19">
      <c r="R18416" s="178"/>
      <c r="S18416" s="178"/>
    </row>
    <row r="18417" spans="18:19">
      <c r="R18417" s="178"/>
      <c r="S18417" s="178"/>
    </row>
    <row r="18418" spans="18:19">
      <c r="R18418" s="178"/>
      <c r="S18418" s="178"/>
    </row>
    <row r="18419" spans="18:19">
      <c r="R18419" s="178"/>
      <c r="S18419" s="178"/>
    </row>
    <row r="18420" spans="18:19">
      <c r="R18420" s="178"/>
      <c r="S18420" s="178"/>
    </row>
    <row r="18421" spans="18:19">
      <c r="R18421" s="178"/>
      <c r="S18421" s="178"/>
    </row>
    <row r="18422" spans="18:19">
      <c r="R18422" s="178"/>
      <c r="S18422" s="178"/>
    </row>
    <row r="18423" spans="18:19">
      <c r="R18423" s="178"/>
      <c r="S18423" s="178"/>
    </row>
    <row r="18424" spans="18:19">
      <c r="R18424" s="178"/>
      <c r="S18424" s="178"/>
    </row>
    <row r="18425" spans="18:19">
      <c r="R18425" s="178"/>
      <c r="S18425" s="178"/>
    </row>
    <row r="18426" spans="18:19">
      <c r="R18426" s="178"/>
      <c r="S18426" s="178"/>
    </row>
    <row r="18427" spans="18:19">
      <c r="R18427" s="178"/>
      <c r="S18427" s="178"/>
    </row>
    <row r="18428" spans="18:19">
      <c r="R18428" s="178"/>
      <c r="S18428" s="178"/>
    </row>
    <row r="18429" spans="18:19">
      <c r="R18429" s="178"/>
      <c r="S18429" s="178"/>
    </row>
    <row r="18430" spans="18:19">
      <c r="R18430" s="178"/>
      <c r="S18430" s="178"/>
    </row>
    <row r="18431" spans="18:19">
      <c r="R18431" s="178"/>
      <c r="S18431" s="178"/>
    </row>
    <row r="18432" spans="18:19">
      <c r="R18432" s="178"/>
      <c r="S18432" s="178"/>
    </row>
    <row r="18433" spans="18:19">
      <c r="R18433" s="178"/>
      <c r="S18433" s="178"/>
    </row>
    <row r="18434" spans="18:19">
      <c r="R18434" s="178"/>
      <c r="S18434" s="178"/>
    </row>
    <row r="18435" spans="18:19">
      <c r="R18435" s="178"/>
      <c r="S18435" s="178"/>
    </row>
    <row r="18436" spans="18:19">
      <c r="R18436" s="178"/>
      <c r="S18436" s="178"/>
    </row>
    <row r="18437" spans="18:19">
      <c r="R18437" s="178"/>
      <c r="S18437" s="178"/>
    </row>
    <row r="18438" spans="18:19">
      <c r="R18438" s="178"/>
      <c r="S18438" s="178"/>
    </row>
    <row r="18439" spans="18:19">
      <c r="R18439" s="178"/>
      <c r="S18439" s="178"/>
    </row>
    <row r="18440" spans="18:19">
      <c r="R18440" s="178"/>
      <c r="S18440" s="178"/>
    </row>
    <row r="18441" spans="18:19">
      <c r="R18441" s="178"/>
      <c r="S18441" s="178"/>
    </row>
    <row r="18442" spans="18:19">
      <c r="R18442" s="178"/>
      <c r="S18442" s="178"/>
    </row>
    <row r="18443" spans="18:19">
      <c r="R18443" s="178"/>
      <c r="S18443" s="178"/>
    </row>
    <row r="18444" spans="18:19">
      <c r="R18444" s="178"/>
      <c r="S18444" s="178"/>
    </row>
    <row r="18445" spans="18:19">
      <c r="R18445" s="178"/>
      <c r="S18445" s="178"/>
    </row>
    <row r="18446" spans="18:19">
      <c r="R18446" s="178"/>
      <c r="S18446" s="178"/>
    </row>
    <row r="18447" spans="18:19">
      <c r="R18447" s="178"/>
      <c r="S18447" s="178"/>
    </row>
    <row r="18448" spans="18:19">
      <c r="R18448" s="178"/>
      <c r="S18448" s="178"/>
    </row>
    <row r="18449" spans="18:19">
      <c r="R18449" s="178"/>
      <c r="S18449" s="178"/>
    </row>
    <row r="18450" spans="18:19">
      <c r="R18450" s="178"/>
      <c r="S18450" s="178"/>
    </row>
    <row r="18451" spans="18:19">
      <c r="R18451" s="178"/>
      <c r="S18451" s="178"/>
    </row>
    <row r="18452" spans="18:19">
      <c r="R18452" s="178"/>
      <c r="S18452" s="178"/>
    </row>
    <row r="18453" spans="18:19">
      <c r="R18453" s="178"/>
      <c r="S18453" s="178"/>
    </row>
    <row r="18454" spans="18:19">
      <c r="R18454" s="178"/>
      <c r="S18454" s="178"/>
    </row>
    <row r="18455" spans="18:19">
      <c r="R18455" s="178"/>
      <c r="S18455" s="178"/>
    </row>
    <row r="18456" spans="18:19">
      <c r="R18456" s="178"/>
      <c r="S18456" s="178"/>
    </row>
    <row r="18457" spans="18:19">
      <c r="R18457" s="178"/>
      <c r="S18457" s="178"/>
    </row>
    <row r="18458" spans="18:19">
      <c r="R18458" s="178"/>
      <c r="S18458" s="178"/>
    </row>
    <row r="18459" spans="18:19">
      <c r="R18459" s="178"/>
      <c r="S18459" s="178"/>
    </row>
    <row r="18460" spans="18:19">
      <c r="R18460" s="178"/>
      <c r="S18460" s="178"/>
    </row>
    <row r="18461" spans="18:19">
      <c r="R18461" s="178"/>
      <c r="S18461" s="178"/>
    </row>
    <row r="18462" spans="18:19">
      <c r="R18462" s="178"/>
      <c r="S18462" s="178"/>
    </row>
    <row r="18463" spans="18:19">
      <c r="R18463" s="178"/>
      <c r="S18463" s="178"/>
    </row>
    <row r="18464" spans="18:19">
      <c r="R18464" s="178"/>
      <c r="S18464" s="178"/>
    </row>
    <row r="18465" spans="18:19">
      <c r="R18465" s="178"/>
      <c r="S18465" s="178"/>
    </row>
    <row r="18466" spans="18:19">
      <c r="R18466" s="178"/>
      <c r="S18466" s="178"/>
    </row>
    <row r="18467" spans="18:19">
      <c r="R18467" s="178"/>
      <c r="S18467" s="178"/>
    </row>
    <row r="18468" spans="18:19">
      <c r="R18468" s="178"/>
      <c r="S18468" s="178"/>
    </row>
    <row r="18469" spans="18:19">
      <c r="R18469" s="178"/>
      <c r="S18469" s="178"/>
    </row>
    <row r="18470" spans="18:19">
      <c r="R18470" s="178"/>
      <c r="S18470" s="178"/>
    </row>
    <row r="18471" spans="18:19">
      <c r="R18471" s="178"/>
      <c r="S18471" s="178"/>
    </row>
    <row r="18472" spans="18:19">
      <c r="R18472" s="178"/>
      <c r="S18472" s="178"/>
    </row>
    <row r="18473" spans="18:19">
      <c r="R18473" s="178"/>
      <c r="S18473" s="178"/>
    </row>
    <row r="18474" spans="18:19">
      <c r="R18474" s="178"/>
      <c r="S18474" s="178"/>
    </row>
    <row r="18475" spans="18:19">
      <c r="R18475" s="178"/>
      <c r="S18475" s="178"/>
    </row>
    <row r="18476" spans="18:19">
      <c r="R18476" s="178"/>
      <c r="S18476" s="178"/>
    </row>
    <row r="18477" spans="18:19">
      <c r="R18477" s="178"/>
      <c r="S18477" s="178"/>
    </row>
    <row r="18478" spans="18:19">
      <c r="R18478" s="178"/>
      <c r="S18478" s="178"/>
    </row>
    <row r="18479" spans="18:19">
      <c r="R18479" s="178"/>
      <c r="S18479" s="178"/>
    </row>
    <row r="18480" spans="18:19">
      <c r="R18480" s="178"/>
      <c r="S18480" s="178"/>
    </row>
    <row r="18481" spans="18:19">
      <c r="R18481" s="178"/>
      <c r="S18481" s="178"/>
    </row>
    <row r="18482" spans="18:19">
      <c r="R18482" s="178"/>
      <c r="S18482" s="178"/>
    </row>
    <row r="18483" spans="18:19">
      <c r="R18483" s="178"/>
      <c r="S18483" s="178"/>
    </row>
    <row r="18484" spans="18:19">
      <c r="R18484" s="178"/>
      <c r="S18484" s="178"/>
    </row>
    <row r="18485" spans="18:19">
      <c r="R18485" s="178"/>
      <c r="S18485" s="178"/>
    </row>
    <row r="18486" spans="18:19">
      <c r="R18486" s="178"/>
      <c r="S18486" s="178"/>
    </row>
    <row r="18487" spans="18:19">
      <c r="R18487" s="178"/>
      <c r="S18487" s="178"/>
    </row>
    <row r="18488" spans="18:19">
      <c r="R18488" s="178"/>
      <c r="S18488" s="178"/>
    </row>
    <row r="18489" spans="18:19">
      <c r="R18489" s="178"/>
      <c r="S18489" s="178"/>
    </row>
    <row r="18490" spans="18:19">
      <c r="R18490" s="178"/>
      <c r="S18490" s="178"/>
    </row>
    <row r="18491" spans="18:19">
      <c r="R18491" s="178"/>
      <c r="S18491" s="178"/>
    </row>
    <row r="18492" spans="18:19">
      <c r="R18492" s="178"/>
      <c r="S18492" s="178"/>
    </row>
    <row r="18493" spans="18:19">
      <c r="R18493" s="178"/>
      <c r="S18493" s="178"/>
    </row>
    <row r="18494" spans="18:19">
      <c r="R18494" s="178"/>
      <c r="S18494" s="178"/>
    </row>
    <row r="18495" spans="18:19">
      <c r="R18495" s="178"/>
      <c r="S18495" s="178"/>
    </row>
    <row r="18496" spans="18:19">
      <c r="R18496" s="178"/>
      <c r="S18496" s="178"/>
    </row>
    <row r="18497" spans="18:19">
      <c r="R18497" s="178"/>
      <c r="S18497" s="178"/>
    </row>
    <row r="18498" spans="18:19">
      <c r="R18498" s="178"/>
      <c r="S18498" s="178"/>
    </row>
    <row r="18499" spans="18:19">
      <c r="R18499" s="178"/>
      <c r="S18499" s="178"/>
    </row>
    <row r="18500" spans="18:19">
      <c r="R18500" s="178"/>
      <c r="S18500" s="178"/>
    </row>
    <row r="18501" spans="18:19">
      <c r="R18501" s="178"/>
      <c r="S18501" s="178"/>
    </row>
    <row r="18502" spans="18:19">
      <c r="R18502" s="178"/>
      <c r="S18502" s="178"/>
    </row>
    <row r="18503" spans="18:19">
      <c r="R18503" s="178"/>
      <c r="S18503" s="178"/>
    </row>
    <row r="18504" spans="18:19">
      <c r="R18504" s="178"/>
      <c r="S18504" s="178"/>
    </row>
    <row r="18505" spans="18:19">
      <c r="R18505" s="178"/>
      <c r="S18505" s="178"/>
    </row>
    <row r="18506" spans="18:19">
      <c r="R18506" s="178"/>
      <c r="S18506" s="178"/>
    </row>
    <row r="18507" spans="18:19">
      <c r="R18507" s="178"/>
      <c r="S18507" s="178"/>
    </row>
    <row r="18508" spans="18:19">
      <c r="R18508" s="178"/>
      <c r="S18508" s="178"/>
    </row>
    <row r="18509" spans="18:19">
      <c r="R18509" s="178"/>
      <c r="S18509" s="178"/>
    </row>
    <row r="18510" spans="18:19">
      <c r="R18510" s="178"/>
      <c r="S18510" s="178"/>
    </row>
    <row r="18511" spans="18:19">
      <c r="R18511" s="178"/>
      <c r="S18511" s="178"/>
    </row>
    <row r="18512" spans="18:19">
      <c r="R18512" s="178"/>
      <c r="S18512" s="178"/>
    </row>
    <row r="18513" spans="18:19">
      <c r="R18513" s="178"/>
      <c r="S18513" s="178"/>
    </row>
    <row r="18514" spans="18:19">
      <c r="R18514" s="178"/>
      <c r="S18514" s="178"/>
    </row>
    <row r="18515" spans="18:19">
      <c r="R18515" s="178"/>
      <c r="S18515" s="178"/>
    </row>
    <row r="18516" spans="18:19">
      <c r="R18516" s="178"/>
      <c r="S18516" s="178"/>
    </row>
    <row r="18517" spans="18:19">
      <c r="R18517" s="178"/>
      <c r="S18517" s="178"/>
    </row>
    <row r="18518" spans="18:19">
      <c r="R18518" s="178"/>
      <c r="S18518" s="178"/>
    </row>
    <row r="18519" spans="18:19">
      <c r="R18519" s="178"/>
      <c r="S18519" s="178"/>
    </row>
    <row r="18520" spans="18:19">
      <c r="R18520" s="178"/>
      <c r="S18520" s="178"/>
    </row>
    <row r="18521" spans="18:19">
      <c r="R18521" s="178"/>
      <c r="S18521" s="178"/>
    </row>
    <row r="18522" spans="18:19">
      <c r="R18522" s="178"/>
      <c r="S18522" s="178"/>
    </row>
    <row r="18523" spans="18:19">
      <c r="R18523" s="178"/>
      <c r="S18523" s="178"/>
    </row>
    <row r="18524" spans="18:19">
      <c r="R18524" s="178"/>
      <c r="S18524" s="178"/>
    </row>
    <row r="18525" spans="18:19">
      <c r="R18525" s="178"/>
      <c r="S18525" s="178"/>
    </row>
    <row r="18526" spans="18:19">
      <c r="R18526" s="178"/>
      <c r="S18526" s="178"/>
    </row>
    <row r="18527" spans="18:19">
      <c r="R18527" s="178"/>
      <c r="S18527" s="178"/>
    </row>
    <row r="18528" spans="18:19">
      <c r="R18528" s="178"/>
      <c r="S18528" s="178"/>
    </row>
    <row r="18529" spans="18:19">
      <c r="R18529" s="178"/>
      <c r="S18529" s="178"/>
    </row>
    <row r="18530" spans="18:19">
      <c r="R18530" s="178"/>
      <c r="S18530" s="178"/>
    </row>
    <row r="18531" spans="18:19">
      <c r="R18531" s="178"/>
      <c r="S18531" s="178"/>
    </row>
    <row r="18532" spans="18:19">
      <c r="R18532" s="178"/>
      <c r="S18532" s="178"/>
    </row>
    <row r="18533" spans="18:19">
      <c r="R18533" s="178"/>
      <c r="S18533" s="178"/>
    </row>
    <row r="18534" spans="18:19">
      <c r="R18534" s="178"/>
      <c r="S18534" s="178"/>
    </row>
    <row r="18535" spans="18:19">
      <c r="R18535" s="178"/>
      <c r="S18535" s="178"/>
    </row>
    <row r="18536" spans="18:19">
      <c r="R18536" s="178"/>
      <c r="S18536" s="178"/>
    </row>
    <row r="18537" spans="18:19">
      <c r="R18537" s="178"/>
      <c r="S18537" s="178"/>
    </row>
    <row r="18538" spans="18:19">
      <c r="R18538" s="178"/>
      <c r="S18538" s="178"/>
    </row>
    <row r="18539" spans="18:19">
      <c r="R18539" s="178"/>
      <c r="S18539" s="178"/>
    </row>
    <row r="18540" spans="18:19">
      <c r="R18540" s="178"/>
      <c r="S18540" s="178"/>
    </row>
    <row r="18541" spans="18:19">
      <c r="R18541" s="178"/>
      <c r="S18541" s="178"/>
    </row>
    <row r="18542" spans="18:19">
      <c r="R18542" s="178"/>
      <c r="S18542" s="178"/>
    </row>
    <row r="18543" spans="18:19">
      <c r="R18543" s="178"/>
      <c r="S18543" s="178"/>
    </row>
    <row r="18544" spans="18:19">
      <c r="R18544" s="178"/>
      <c r="S18544" s="178"/>
    </row>
    <row r="18545" spans="18:19">
      <c r="R18545" s="178"/>
      <c r="S18545" s="178"/>
    </row>
    <row r="18546" spans="18:19">
      <c r="R18546" s="178"/>
      <c r="S18546" s="178"/>
    </row>
    <row r="18547" spans="18:19">
      <c r="R18547" s="178"/>
      <c r="S18547" s="178"/>
    </row>
    <row r="18548" spans="18:19">
      <c r="R18548" s="178"/>
      <c r="S18548" s="178"/>
    </row>
    <row r="18549" spans="18:19">
      <c r="R18549" s="178"/>
      <c r="S18549" s="178"/>
    </row>
    <row r="18550" spans="18:19">
      <c r="R18550" s="178"/>
      <c r="S18550" s="178"/>
    </row>
    <row r="18551" spans="18:19">
      <c r="R18551" s="178"/>
      <c r="S18551" s="178"/>
    </row>
    <row r="18552" spans="18:19">
      <c r="R18552" s="178"/>
      <c r="S18552" s="178"/>
    </row>
    <row r="18553" spans="18:19">
      <c r="R18553" s="178"/>
      <c r="S18553" s="178"/>
    </row>
    <row r="18554" spans="18:19">
      <c r="R18554" s="178"/>
      <c r="S18554" s="178"/>
    </row>
    <row r="18555" spans="18:19">
      <c r="R18555" s="178"/>
      <c r="S18555" s="178"/>
    </row>
    <row r="18556" spans="18:19">
      <c r="R18556" s="178"/>
      <c r="S18556" s="178"/>
    </row>
    <row r="18557" spans="18:19">
      <c r="R18557" s="178"/>
      <c r="S18557" s="178"/>
    </row>
    <row r="18558" spans="18:19">
      <c r="R18558" s="178"/>
      <c r="S18558" s="178"/>
    </row>
    <row r="18559" spans="18:19">
      <c r="R18559" s="178"/>
      <c r="S18559" s="178"/>
    </row>
    <row r="18560" spans="18:19">
      <c r="R18560" s="178"/>
      <c r="S18560" s="178"/>
    </row>
    <row r="18561" spans="18:19">
      <c r="R18561" s="178"/>
      <c r="S18561" s="178"/>
    </row>
    <row r="18562" spans="18:19">
      <c r="R18562" s="178"/>
      <c r="S18562" s="178"/>
    </row>
    <row r="18563" spans="18:19">
      <c r="R18563" s="178"/>
      <c r="S18563" s="178"/>
    </row>
    <row r="18564" spans="18:19">
      <c r="R18564" s="178"/>
      <c r="S18564" s="178"/>
    </row>
    <row r="18565" spans="18:19">
      <c r="R18565" s="178"/>
      <c r="S18565" s="178"/>
    </row>
    <row r="18566" spans="18:19">
      <c r="R18566" s="178"/>
      <c r="S18566" s="178"/>
    </row>
    <row r="18567" spans="18:19">
      <c r="R18567" s="178"/>
      <c r="S18567" s="178"/>
    </row>
    <row r="18568" spans="18:19">
      <c r="R18568" s="178"/>
      <c r="S18568" s="178"/>
    </row>
    <row r="18569" spans="18:19">
      <c r="R18569" s="178"/>
      <c r="S18569" s="178"/>
    </row>
    <row r="18570" spans="18:19">
      <c r="R18570" s="178"/>
      <c r="S18570" s="178"/>
    </row>
    <row r="18571" spans="18:19">
      <c r="R18571" s="178"/>
      <c r="S18571" s="178"/>
    </row>
    <row r="18572" spans="18:19">
      <c r="R18572" s="178"/>
      <c r="S18572" s="178"/>
    </row>
    <row r="18573" spans="18:19">
      <c r="R18573" s="178"/>
      <c r="S18573" s="178"/>
    </row>
    <row r="18574" spans="18:19">
      <c r="R18574" s="178"/>
      <c r="S18574" s="178"/>
    </row>
    <row r="18575" spans="18:19">
      <c r="R18575" s="178"/>
      <c r="S18575" s="178"/>
    </row>
    <row r="18576" spans="18:19">
      <c r="R18576" s="178"/>
      <c r="S18576" s="178"/>
    </row>
    <row r="18577" spans="18:19">
      <c r="R18577" s="178"/>
      <c r="S18577" s="178"/>
    </row>
    <row r="18578" spans="18:19">
      <c r="R18578" s="178"/>
      <c r="S18578" s="178"/>
    </row>
    <row r="18579" spans="18:19">
      <c r="R18579" s="178"/>
      <c r="S18579" s="178"/>
    </row>
    <row r="18580" spans="18:19">
      <c r="R18580" s="178"/>
      <c r="S18580" s="178"/>
    </row>
    <row r="18581" spans="18:19">
      <c r="R18581" s="178"/>
      <c r="S18581" s="178"/>
    </row>
    <row r="18582" spans="18:19">
      <c r="R18582" s="178"/>
      <c r="S18582" s="178"/>
    </row>
    <row r="18583" spans="18:19">
      <c r="R18583" s="178"/>
      <c r="S18583" s="178"/>
    </row>
    <row r="18584" spans="18:19">
      <c r="R18584" s="178"/>
      <c r="S18584" s="178"/>
    </row>
    <row r="18585" spans="18:19">
      <c r="R18585" s="178"/>
      <c r="S18585" s="178"/>
    </row>
    <row r="18586" spans="18:19">
      <c r="R18586" s="178"/>
      <c r="S18586" s="178"/>
    </row>
    <row r="18587" spans="18:19">
      <c r="R18587" s="178"/>
      <c r="S18587" s="178"/>
    </row>
    <row r="18588" spans="18:19">
      <c r="R18588" s="178"/>
      <c r="S18588" s="178"/>
    </row>
    <row r="18589" spans="18:19">
      <c r="R18589" s="178"/>
      <c r="S18589" s="178"/>
    </row>
    <row r="18590" spans="18:19">
      <c r="R18590" s="178"/>
      <c r="S18590" s="178"/>
    </row>
    <row r="18591" spans="18:19">
      <c r="R18591" s="178"/>
      <c r="S18591" s="178"/>
    </row>
    <row r="18592" spans="18:19">
      <c r="R18592" s="178"/>
      <c r="S18592" s="178"/>
    </row>
    <row r="18593" spans="18:19">
      <c r="R18593" s="178"/>
      <c r="S18593" s="178"/>
    </row>
    <row r="18594" spans="18:19">
      <c r="R18594" s="178"/>
      <c r="S18594" s="178"/>
    </row>
    <row r="18595" spans="18:19">
      <c r="R18595" s="178"/>
      <c r="S18595" s="178"/>
    </row>
    <row r="18596" spans="18:19">
      <c r="R18596" s="178"/>
      <c r="S18596" s="178"/>
    </row>
    <row r="18597" spans="18:19">
      <c r="R18597" s="178"/>
      <c r="S18597" s="178"/>
    </row>
    <row r="18598" spans="18:19">
      <c r="R18598" s="178"/>
      <c r="S18598" s="178"/>
    </row>
    <row r="18599" spans="18:19">
      <c r="R18599" s="178"/>
      <c r="S18599" s="178"/>
    </row>
    <row r="18600" spans="18:19">
      <c r="R18600" s="178"/>
      <c r="S18600" s="178"/>
    </row>
    <row r="18601" spans="18:19">
      <c r="R18601" s="178"/>
      <c r="S18601" s="178"/>
    </row>
    <row r="18602" spans="18:19">
      <c r="R18602" s="178"/>
      <c r="S18602" s="178"/>
    </row>
    <row r="18603" spans="18:19">
      <c r="R18603" s="178"/>
      <c r="S18603" s="178"/>
    </row>
    <row r="18604" spans="18:19">
      <c r="R18604" s="178"/>
      <c r="S18604" s="178"/>
    </row>
    <row r="18605" spans="18:19">
      <c r="R18605" s="178"/>
      <c r="S18605" s="178"/>
    </row>
    <row r="18606" spans="18:19">
      <c r="R18606" s="178"/>
      <c r="S18606" s="178"/>
    </row>
    <row r="18607" spans="18:19">
      <c r="R18607" s="178"/>
      <c r="S18607" s="178"/>
    </row>
    <row r="18608" spans="18:19">
      <c r="R18608" s="178"/>
      <c r="S18608" s="178"/>
    </row>
    <row r="18609" spans="18:19">
      <c r="R18609" s="178"/>
      <c r="S18609" s="178"/>
    </row>
    <row r="18610" spans="18:19">
      <c r="R18610" s="178"/>
      <c r="S18610" s="178"/>
    </row>
    <row r="18611" spans="18:19">
      <c r="R18611" s="178"/>
      <c r="S18611" s="178"/>
    </row>
    <row r="18612" spans="18:19">
      <c r="R18612" s="178"/>
      <c r="S18612" s="178"/>
    </row>
    <row r="18613" spans="18:19">
      <c r="R18613" s="178"/>
      <c r="S18613" s="178"/>
    </row>
    <row r="18614" spans="18:19">
      <c r="R18614" s="178"/>
      <c r="S18614" s="178"/>
    </row>
    <row r="18615" spans="18:19">
      <c r="R18615" s="178"/>
      <c r="S18615" s="178"/>
    </row>
    <row r="18616" spans="18:19">
      <c r="R18616" s="178"/>
      <c r="S18616" s="178"/>
    </row>
    <row r="18617" spans="18:19">
      <c r="R18617" s="178"/>
      <c r="S18617" s="178"/>
    </row>
    <row r="18618" spans="18:19">
      <c r="R18618" s="178"/>
      <c r="S18618" s="178"/>
    </row>
    <row r="18619" spans="18:19">
      <c r="R18619" s="178"/>
      <c r="S18619" s="178"/>
    </row>
    <row r="18620" spans="18:19">
      <c r="R18620" s="178"/>
      <c r="S18620" s="178"/>
    </row>
    <row r="18621" spans="18:19">
      <c r="R18621" s="178"/>
      <c r="S18621" s="178"/>
    </row>
    <row r="18622" spans="18:19">
      <c r="R18622" s="178"/>
      <c r="S18622" s="178"/>
    </row>
    <row r="18623" spans="18:19">
      <c r="R18623" s="178"/>
      <c r="S18623" s="178"/>
    </row>
    <row r="18624" spans="18:19">
      <c r="R18624" s="178"/>
      <c r="S18624" s="178"/>
    </row>
    <row r="18625" spans="18:19">
      <c r="R18625" s="178"/>
      <c r="S18625" s="178"/>
    </row>
    <row r="18626" spans="18:19">
      <c r="R18626" s="178"/>
      <c r="S18626" s="178"/>
    </row>
    <row r="18627" spans="18:19">
      <c r="R18627" s="178"/>
      <c r="S18627" s="178"/>
    </row>
    <row r="18628" spans="18:19">
      <c r="R18628" s="178"/>
      <c r="S18628" s="178"/>
    </row>
    <row r="18629" spans="18:19">
      <c r="R18629" s="178"/>
      <c r="S18629" s="178"/>
    </row>
    <row r="18630" spans="18:19">
      <c r="R18630" s="178"/>
      <c r="S18630" s="178"/>
    </row>
    <row r="18631" spans="18:19">
      <c r="R18631" s="178"/>
      <c r="S18631" s="178"/>
    </row>
    <row r="18632" spans="18:19">
      <c r="R18632" s="178"/>
      <c r="S18632" s="178"/>
    </row>
    <row r="18633" spans="18:19">
      <c r="R18633" s="178"/>
      <c r="S18633" s="178"/>
    </row>
    <row r="18634" spans="18:19">
      <c r="R18634" s="178"/>
      <c r="S18634" s="178"/>
    </row>
    <row r="18635" spans="18:19">
      <c r="R18635" s="178"/>
      <c r="S18635" s="178"/>
    </row>
    <row r="18636" spans="18:19">
      <c r="R18636" s="178"/>
      <c r="S18636" s="178"/>
    </row>
    <row r="18637" spans="18:19">
      <c r="R18637" s="178"/>
      <c r="S18637" s="178"/>
    </row>
    <row r="18638" spans="18:19">
      <c r="R18638" s="178"/>
      <c r="S18638" s="178"/>
    </row>
    <row r="18639" spans="18:19">
      <c r="R18639" s="178"/>
      <c r="S18639" s="178"/>
    </row>
    <row r="18640" spans="18:19">
      <c r="R18640" s="178"/>
      <c r="S18640" s="178"/>
    </row>
    <row r="18641" spans="18:19">
      <c r="R18641" s="178"/>
      <c r="S18641" s="178"/>
    </row>
    <row r="18642" spans="18:19">
      <c r="R18642" s="178"/>
      <c r="S18642" s="178"/>
    </row>
    <row r="18643" spans="18:19">
      <c r="R18643" s="178"/>
      <c r="S18643" s="178"/>
    </row>
    <row r="18644" spans="18:19">
      <c r="R18644" s="178"/>
      <c r="S18644" s="178"/>
    </row>
    <row r="18645" spans="18:19">
      <c r="R18645" s="178"/>
      <c r="S18645" s="178"/>
    </row>
    <row r="18646" spans="18:19">
      <c r="R18646" s="178"/>
      <c r="S18646" s="178"/>
    </row>
    <row r="18647" spans="18:19">
      <c r="R18647" s="178"/>
      <c r="S18647" s="178"/>
    </row>
    <row r="18648" spans="18:19">
      <c r="R18648" s="178"/>
      <c r="S18648" s="178"/>
    </row>
    <row r="18649" spans="18:19">
      <c r="R18649" s="178"/>
      <c r="S18649" s="178"/>
    </row>
    <row r="18650" spans="18:19">
      <c r="R18650" s="178"/>
      <c r="S18650" s="178"/>
    </row>
    <row r="18651" spans="18:19">
      <c r="R18651" s="178"/>
      <c r="S18651" s="178"/>
    </row>
    <row r="18652" spans="18:19">
      <c r="R18652" s="178"/>
      <c r="S18652" s="178"/>
    </row>
    <row r="18653" spans="18:19">
      <c r="R18653" s="178"/>
      <c r="S18653" s="178"/>
    </row>
    <row r="18654" spans="18:19">
      <c r="R18654" s="178"/>
      <c r="S18654" s="178"/>
    </row>
    <row r="18655" spans="18:19">
      <c r="R18655" s="178"/>
      <c r="S18655" s="178"/>
    </row>
    <row r="18656" spans="18:19">
      <c r="R18656" s="178"/>
      <c r="S18656" s="178"/>
    </row>
    <row r="18657" spans="18:19">
      <c r="R18657" s="178"/>
      <c r="S18657" s="178"/>
    </row>
    <row r="18658" spans="18:19">
      <c r="R18658" s="178"/>
      <c r="S18658" s="178"/>
    </row>
    <row r="18659" spans="18:19">
      <c r="R18659" s="178"/>
      <c r="S18659" s="178"/>
    </row>
    <row r="18660" spans="18:19">
      <c r="R18660" s="178"/>
      <c r="S18660" s="178"/>
    </row>
    <row r="18661" spans="18:19">
      <c r="R18661" s="178"/>
      <c r="S18661" s="178"/>
    </row>
    <row r="18662" spans="18:19">
      <c r="R18662" s="178"/>
      <c r="S18662" s="178"/>
    </row>
    <row r="18663" spans="18:19">
      <c r="R18663" s="178"/>
      <c r="S18663" s="178"/>
    </row>
    <row r="18664" spans="18:19">
      <c r="R18664" s="178"/>
      <c r="S18664" s="178"/>
    </row>
    <row r="18665" spans="18:19">
      <c r="R18665" s="178"/>
      <c r="S18665" s="178"/>
    </row>
    <row r="18666" spans="18:19">
      <c r="R18666" s="178"/>
      <c r="S18666" s="178"/>
    </row>
    <row r="18667" spans="18:19">
      <c r="R18667" s="178"/>
      <c r="S18667" s="178"/>
    </row>
    <row r="18668" spans="18:19">
      <c r="R18668" s="178"/>
      <c r="S18668" s="178"/>
    </row>
    <row r="18669" spans="18:19">
      <c r="R18669" s="178"/>
      <c r="S18669" s="178"/>
    </row>
    <row r="18670" spans="18:19">
      <c r="R18670" s="178"/>
      <c r="S18670" s="178"/>
    </row>
    <row r="18671" spans="18:19">
      <c r="R18671" s="178"/>
      <c r="S18671" s="178"/>
    </row>
    <row r="18672" spans="18:19">
      <c r="R18672" s="178"/>
      <c r="S18672" s="178"/>
    </row>
    <row r="18673" spans="18:19">
      <c r="R18673" s="178"/>
      <c r="S18673" s="178"/>
    </row>
    <row r="18674" spans="18:19">
      <c r="R18674" s="178"/>
      <c r="S18674" s="178"/>
    </row>
    <row r="18675" spans="18:19">
      <c r="R18675" s="178"/>
      <c r="S18675" s="178"/>
    </row>
    <row r="18676" spans="18:19">
      <c r="R18676" s="178"/>
      <c r="S18676" s="178"/>
    </row>
    <row r="18677" spans="18:19">
      <c r="R18677" s="178"/>
      <c r="S18677" s="178"/>
    </row>
    <row r="18678" spans="18:19">
      <c r="R18678" s="178"/>
      <c r="S18678" s="178"/>
    </row>
    <row r="18679" spans="18:19">
      <c r="R18679" s="178"/>
      <c r="S18679" s="178"/>
    </row>
    <row r="18680" spans="18:19">
      <c r="R18680" s="178"/>
      <c r="S18680" s="178"/>
    </row>
    <row r="18681" spans="18:19">
      <c r="R18681" s="178"/>
      <c r="S18681" s="178"/>
    </row>
    <row r="18682" spans="18:19">
      <c r="R18682" s="178"/>
      <c r="S18682" s="178"/>
    </row>
    <row r="18683" spans="18:19">
      <c r="R18683" s="178"/>
      <c r="S18683" s="178"/>
    </row>
    <row r="18684" spans="18:19">
      <c r="R18684" s="178"/>
      <c r="S18684" s="178"/>
    </row>
    <row r="18685" spans="18:19">
      <c r="R18685" s="178"/>
      <c r="S18685" s="178"/>
    </row>
    <row r="18686" spans="18:19">
      <c r="R18686" s="178"/>
      <c r="S18686" s="178"/>
    </row>
    <row r="18687" spans="18:19">
      <c r="R18687" s="178"/>
      <c r="S18687" s="178"/>
    </row>
    <row r="18688" spans="18:19">
      <c r="R18688" s="178"/>
      <c r="S18688" s="178"/>
    </row>
    <row r="18689" spans="18:19">
      <c r="R18689" s="178"/>
      <c r="S18689" s="178"/>
    </row>
    <row r="18690" spans="18:19">
      <c r="R18690" s="178"/>
      <c r="S18690" s="178"/>
    </row>
    <row r="18691" spans="18:19">
      <c r="R18691" s="178"/>
      <c r="S18691" s="178"/>
    </row>
    <row r="18692" spans="18:19">
      <c r="R18692" s="178"/>
      <c r="S18692" s="178"/>
    </row>
    <row r="18693" spans="18:19">
      <c r="R18693" s="178"/>
      <c r="S18693" s="178"/>
    </row>
    <row r="18694" spans="18:19">
      <c r="R18694" s="178"/>
      <c r="S18694" s="178"/>
    </row>
    <row r="18695" spans="18:19">
      <c r="R18695" s="178"/>
      <c r="S18695" s="178"/>
    </row>
    <row r="18696" spans="18:19">
      <c r="R18696" s="178"/>
      <c r="S18696" s="178"/>
    </row>
    <row r="18697" spans="18:19">
      <c r="R18697" s="178"/>
      <c r="S18697" s="178"/>
    </row>
    <row r="18698" spans="18:19">
      <c r="R18698" s="178"/>
      <c r="S18698" s="178"/>
    </row>
    <row r="18699" spans="18:19">
      <c r="R18699" s="178"/>
      <c r="S18699" s="178"/>
    </row>
    <row r="18700" spans="18:19">
      <c r="R18700" s="178"/>
      <c r="S18700" s="178"/>
    </row>
    <row r="18701" spans="18:19">
      <c r="R18701" s="178"/>
      <c r="S18701" s="178"/>
    </row>
    <row r="18702" spans="18:19">
      <c r="R18702" s="178"/>
      <c r="S18702" s="178"/>
    </row>
    <row r="18703" spans="18:19">
      <c r="R18703" s="178"/>
      <c r="S18703" s="178"/>
    </row>
    <row r="18704" spans="18:19">
      <c r="R18704" s="178"/>
      <c r="S18704" s="178"/>
    </row>
    <row r="18705" spans="18:19">
      <c r="R18705" s="178"/>
      <c r="S18705" s="178"/>
    </row>
    <row r="18706" spans="18:19">
      <c r="R18706" s="178"/>
      <c r="S18706" s="178"/>
    </row>
    <row r="18707" spans="18:19">
      <c r="R18707" s="178"/>
      <c r="S18707" s="178"/>
    </row>
    <row r="18708" spans="18:19">
      <c r="R18708" s="178"/>
      <c r="S18708" s="178"/>
    </row>
    <row r="18709" spans="18:19">
      <c r="R18709" s="178"/>
      <c r="S18709" s="178"/>
    </row>
    <row r="18710" spans="18:19">
      <c r="R18710" s="178"/>
      <c r="S18710" s="178"/>
    </row>
    <row r="18711" spans="18:19">
      <c r="R18711" s="178"/>
      <c r="S18711" s="178"/>
    </row>
    <row r="18712" spans="18:19">
      <c r="R18712" s="178"/>
      <c r="S18712" s="178"/>
    </row>
    <row r="18713" spans="18:19">
      <c r="R18713" s="178"/>
      <c r="S18713" s="178"/>
    </row>
    <row r="18714" spans="18:19">
      <c r="R18714" s="178"/>
      <c r="S18714" s="178"/>
    </row>
    <row r="18715" spans="18:19">
      <c r="R18715" s="178"/>
      <c r="S18715" s="178"/>
    </row>
    <row r="18716" spans="18:19">
      <c r="R18716" s="178"/>
      <c r="S18716" s="178"/>
    </row>
    <row r="18717" spans="18:19">
      <c r="R18717" s="178"/>
      <c r="S18717" s="178"/>
    </row>
    <row r="18718" spans="18:19">
      <c r="R18718" s="178"/>
      <c r="S18718" s="178"/>
    </row>
    <row r="18719" spans="18:19">
      <c r="R18719" s="178"/>
      <c r="S18719" s="178"/>
    </row>
    <row r="18720" spans="18:19">
      <c r="R18720" s="178"/>
      <c r="S18720" s="178"/>
    </row>
    <row r="18721" spans="18:19">
      <c r="R18721" s="178"/>
      <c r="S18721" s="178"/>
    </row>
    <row r="18722" spans="18:19">
      <c r="R18722" s="178"/>
      <c r="S18722" s="178"/>
    </row>
    <row r="18723" spans="18:19">
      <c r="R18723" s="178"/>
      <c r="S18723" s="178"/>
    </row>
    <row r="18724" spans="18:19">
      <c r="R18724" s="178"/>
      <c r="S18724" s="178"/>
    </row>
    <row r="18725" spans="18:19">
      <c r="R18725" s="178"/>
      <c r="S18725" s="178"/>
    </row>
    <row r="18726" spans="18:19">
      <c r="R18726" s="178"/>
      <c r="S18726" s="178"/>
    </row>
    <row r="18727" spans="18:19">
      <c r="R18727" s="178"/>
      <c r="S18727" s="178"/>
    </row>
    <row r="18728" spans="18:19">
      <c r="R18728" s="178"/>
      <c r="S18728" s="178"/>
    </row>
    <row r="18729" spans="18:19">
      <c r="R18729" s="178"/>
      <c r="S18729" s="178"/>
    </row>
    <row r="18730" spans="18:19">
      <c r="R18730" s="178"/>
      <c r="S18730" s="178"/>
    </row>
    <row r="18731" spans="18:19">
      <c r="R18731" s="178"/>
      <c r="S18731" s="178"/>
    </row>
    <row r="18732" spans="18:19">
      <c r="R18732" s="178"/>
      <c r="S18732" s="178"/>
    </row>
    <row r="18733" spans="18:19">
      <c r="R18733" s="178"/>
      <c r="S18733" s="178"/>
    </row>
    <row r="18734" spans="18:19">
      <c r="R18734" s="178"/>
      <c r="S18734" s="178"/>
    </row>
    <row r="18735" spans="18:19">
      <c r="R18735" s="178"/>
      <c r="S18735" s="178"/>
    </row>
    <row r="18736" spans="18:19">
      <c r="R18736" s="178"/>
      <c r="S18736" s="178"/>
    </row>
    <row r="18737" spans="18:19">
      <c r="R18737" s="178"/>
      <c r="S18737" s="178"/>
    </row>
    <row r="18738" spans="18:19">
      <c r="R18738" s="178"/>
      <c r="S18738" s="178"/>
    </row>
    <row r="18739" spans="18:19">
      <c r="R18739" s="178"/>
      <c r="S18739" s="178"/>
    </row>
    <row r="18740" spans="18:19">
      <c r="R18740" s="178"/>
      <c r="S18740" s="178"/>
    </row>
    <row r="18741" spans="18:19">
      <c r="R18741" s="178"/>
      <c r="S18741" s="178"/>
    </row>
    <row r="18742" spans="18:19">
      <c r="R18742" s="178"/>
      <c r="S18742" s="178"/>
    </row>
    <row r="18743" spans="18:19">
      <c r="R18743" s="178"/>
      <c r="S18743" s="178"/>
    </row>
    <row r="18744" spans="18:19">
      <c r="R18744" s="178"/>
      <c r="S18744" s="178"/>
    </row>
    <row r="18745" spans="18:19">
      <c r="R18745" s="178"/>
      <c r="S18745" s="178"/>
    </row>
    <row r="18746" spans="18:19">
      <c r="R18746" s="178"/>
      <c r="S18746" s="178"/>
    </row>
    <row r="18747" spans="18:19">
      <c r="R18747" s="178"/>
      <c r="S18747" s="178"/>
    </row>
    <row r="18748" spans="18:19">
      <c r="R18748" s="178"/>
      <c r="S18748" s="178"/>
    </row>
    <row r="18749" spans="18:19">
      <c r="R18749" s="178"/>
      <c r="S18749" s="178"/>
    </row>
    <row r="18750" spans="18:19">
      <c r="R18750" s="178"/>
      <c r="S18750" s="178"/>
    </row>
    <row r="18751" spans="18:19">
      <c r="R18751" s="178"/>
      <c r="S18751" s="178"/>
    </row>
    <row r="18752" spans="18:19">
      <c r="R18752" s="178"/>
      <c r="S18752" s="178"/>
    </row>
    <row r="18753" spans="18:19">
      <c r="R18753" s="178"/>
      <c r="S18753" s="178"/>
    </row>
    <row r="18754" spans="18:19">
      <c r="R18754" s="178"/>
      <c r="S18754" s="178"/>
    </row>
    <row r="18755" spans="18:19">
      <c r="R18755" s="178"/>
      <c r="S18755" s="178"/>
    </row>
    <row r="18756" spans="18:19">
      <c r="R18756" s="178"/>
      <c r="S18756" s="178"/>
    </row>
    <row r="18757" spans="18:19">
      <c r="R18757" s="178"/>
      <c r="S18757" s="178"/>
    </row>
    <row r="18758" spans="18:19">
      <c r="R18758" s="178"/>
      <c r="S18758" s="178"/>
    </row>
    <row r="18759" spans="18:19">
      <c r="R18759" s="178"/>
      <c r="S18759" s="178"/>
    </row>
    <row r="18760" spans="18:19">
      <c r="R18760" s="178"/>
      <c r="S18760" s="178"/>
    </row>
    <row r="18761" spans="18:19">
      <c r="R18761" s="178"/>
      <c r="S18761" s="178"/>
    </row>
    <row r="18762" spans="18:19">
      <c r="R18762" s="178"/>
      <c r="S18762" s="178"/>
    </row>
    <row r="18763" spans="18:19">
      <c r="R18763" s="178"/>
      <c r="S18763" s="178"/>
    </row>
    <row r="18764" spans="18:19">
      <c r="R18764" s="178"/>
      <c r="S18764" s="178"/>
    </row>
    <row r="18765" spans="18:19">
      <c r="R18765" s="178"/>
      <c r="S18765" s="178"/>
    </row>
    <row r="18766" spans="18:19">
      <c r="R18766" s="178"/>
      <c r="S18766" s="178"/>
    </row>
    <row r="18767" spans="18:19">
      <c r="R18767" s="178"/>
      <c r="S18767" s="178"/>
    </row>
    <row r="18768" spans="18:19">
      <c r="R18768" s="178"/>
      <c r="S18768" s="178"/>
    </row>
    <row r="18769" spans="18:19">
      <c r="R18769" s="178"/>
      <c r="S18769" s="178"/>
    </row>
    <row r="18770" spans="18:19">
      <c r="R18770" s="178"/>
      <c r="S18770" s="178"/>
    </row>
    <row r="18771" spans="18:19">
      <c r="R18771" s="178"/>
      <c r="S18771" s="178"/>
    </row>
    <row r="18772" spans="18:19">
      <c r="R18772" s="178"/>
      <c r="S18772" s="178"/>
    </row>
    <row r="18773" spans="18:19">
      <c r="R18773" s="178"/>
      <c r="S18773" s="178"/>
    </row>
    <row r="18774" spans="18:19">
      <c r="R18774" s="178"/>
      <c r="S18774" s="178"/>
    </row>
    <row r="18775" spans="18:19">
      <c r="R18775" s="178"/>
      <c r="S18775" s="178"/>
    </row>
    <row r="18776" spans="18:19">
      <c r="R18776" s="178"/>
      <c r="S18776" s="178"/>
    </row>
    <row r="18777" spans="18:19">
      <c r="R18777" s="178"/>
      <c r="S18777" s="178"/>
    </row>
    <row r="18778" spans="18:19">
      <c r="R18778" s="178"/>
      <c r="S18778" s="178"/>
    </row>
    <row r="18779" spans="18:19">
      <c r="R18779" s="178"/>
      <c r="S18779" s="178"/>
    </row>
    <row r="18780" spans="18:19">
      <c r="R18780" s="178"/>
      <c r="S18780" s="178"/>
    </row>
    <row r="18781" spans="18:19">
      <c r="R18781" s="178"/>
      <c r="S18781" s="178"/>
    </row>
    <row r="18782" spans="18:19">
      <c r="R18782" s="178"/>
      <c r="S18782" s="178"/>
    </row>
    <row r="18783" spans="18:19">
      <c r="R18783" s="178"/>
      <c r="S18783" s="178"/>
    </row>
    <row r="18784" spans="18:19">
      <c r="R18784" s="178"/>
      <c r="S18784" s="178"/>
    </row>
    <row r="18785" spans="18:19">
      <c r="R18785" s="178"/>
      <c r="S18785" s="178"/>
    </row>
    <row r="18786" spans="18:19">
      <c r="R18786" s="178"/>
      <c r="S18786" s="178"/>
    </row>
    <row r="18787" spans="18:19">
      <c r="R18787" s="178"/>
      <c r="S18787" s="178"/>
    </row>
    <row r="18788" spans="18:19">
      <c r="R18788" s="178"/>
      <c r="S18788" s="178"/>
    </row>
    <row r="18789" spans="18:19">
      <c r="R18789" s="178"/>
      <c r="S18789" s="178"/>
    </row>
    <row r="18790" spans="18:19">
      <c r="R18790" s="178"/>
      <c r="S18790" s="178"/>
    </row>
    <row r="18791" spans="18:19">
      <c r="R18791" s="178"/>
      <c r="S18791" s="178"/>
    </row>
    <row r="18792" spans="18:19">
      <c r="R18792" s="178"/>
      <c r="S18792" s="178"/>
    </row>
    <row r="18793" spans="18:19">
      <c r="R18793" s="178"/>
      <c r="S18793" s="178"/>
    </row>
    <row r="18794" spans="18:19">
      <c r="R18794" s="178"/>
      <c r="S18794" s="178"/>
    </row>
    <row r="18795" spans="18:19">
      <c r="R18795" s="178"/>
      <c r="S18795" s="178"/>
    </row>
    <row r="18796" spans="18:19">
      <c r="R18796" s="178"/>
      <c r="S18796" s="178"/>
    </row>
    <row r="18797" spans="18:19">
      <c r="R18797" s="178"/>
      <c r="S18797" s="178"/>
    </row>
    <row r="18798" spans="18:19">
      <c r="R18798" s="178"/>
      <c r="S18798" s="178"/>
    </row>
    <row r="18799" spans="18:19">
      <c r="R18799" s="178"/>
      <c r="S18799" s="178"/>
    </row>
    <row r="18800" spans="18:19">
      <c r="R18800" s="178"/>
      <c r="S18800" s="178"/>
    </row>
    <row r="18801" spans="18:19">
      <c r="R18801" s="178"/>
      <c r="S18801" s="178"/>
    </row>
    <row r="18802" spans="18:19">
      <c r="R18802" s="178"/>
      <c r="S18802" s="178"/>
    </row>
    <row r="18803" spans="18:19">
      <c r="R18803" s="178"/>
      <c r="S18803" s="178"/>
    </row>
    <row r="18804" spans="18:19">
      <c r="R18804" s="178"/>
      <c r="S18804" s="178"/>
    </row>
    <row r="18805" spans="18:19">
      <c r="R18805" s="178"/>
      <c r="S18805" s="178"/>
    </row>
    <row r="18806" spans="18:19">
      <c r="R18806" s="178"/>
      <c r="S18806" s="178"/>
    </row>
    <row r="18807" spans="18:19">
      <c r="R18807" s="178"/>
      <c r="S18807" s="178"/>
    </row>
    <row r="18808" spans="18:19">
      <c r="R18808" s="178"/>
      <c r="S18808" s="178"/>
    </row>
    <row r="18809" spans="18:19">
      <c r="R18809" s="178"/>
      <c r="S18809" s="178"/>
    </row>
    <row r="18810" spans="18:19">
      <c r="R18810" s="178"/>
      <c r="S18810" s="178"/>
    </row>
    <row r="18811" spans="18:19">
      <c r="R18811" s="178"/>
      <c r="S18811" s="178"/>
    </row>
    <row r="18812" spans="18:19">
      <c r="R18812" s="178"/>
      <c r="S18812" s="178"/>
    </row>
    <row r="18813" spans="18:19">
      <c r="R18813" s="178"/>
      <c r="S18813" s="178"/>
    </row>
    <row r="18814" spans="18:19">
      <c r="R18814" s="178"/>
      <c r="S18814" s="178"/>
    </row>
    <row r="18815" spans="18:19">
      <c r="R18815" s="178"/>
      <c r="S18815" s="178"/>
    </row>
    <row r="18816" spans="18:19">
      <c r="R18816" s="178"/>
      <c r="S18816" s="178"/>
    </row>
    <row r="18817" spans="18:19">
      <c r="R18817" s="178"/>
      <c r="S18817" s="178"/>
    </row>
    <row r="18818" spans="18:19">
      <c r="R18818" s="178"/>
      <c r="S18818" s="178"/>
    </row>
    <row r="18819" spans="18:19">
      <c r="R18819" s="178"/>
      <c r="S18819" s="178"/>
    </row>
    <row r="18820" spans="18:19">
      <c r="R18820" s="178"/>
      <c r="S18820" s="178"/>
    </row>
    <row r="18821" spans="18:19">
      <c r="R18821" s="178"/>
      <c r="S18821" s="178"/>
    </row>
    <row r="18822" spans="18:19">
      <c r="R18822" s="178"/>
      <c r="S18822" s="178"/>
    </row>
    <row r="18823" spans="18:19">
      <c r="R18823" s="178"/>
      <c r="S18823" s="178"/>
    </row>
    <row r="18824" spans="18:19">
      <c r="R18824" s="178"/>
      <c r="S18824" s="178"/>
    </row>
    <row r="18825" spans="18:19">
      <c r="R18825" s="178"/>
      <c r="S18825" s="178"/>
    </row>
    <row r="18826" spans="18:19">
      <c r="R18826" s="178"/>
      <c r="S18826" s="178"/>
    </row>
    <row r="18827" spans="18:19">
      <c r="R18827" s="178"/>
      <c r="S18827" s="178"/>
    </row>
    <row r="18828" spans="18:19">
      <c r="R18828" s="178"/>
      <c r="S18828" s="178"/>
    </row>
    <row r="18829" spans="18:19">
      <c r="R18829" s="178"/>
      <c r="S18829" s="178"/>
    </row>
    <row r="18830" spans="18:19">
      <c r="R18830" s="178"/>
      <c r="S18830" s="178"/>
    </row>
    <row r="18831" spans="18:19">
      <c r="R18831" s="178"/>
      <c r="S18831" s="178"/>
    </row>
    <row r="18832" spans="18:19">
      <c r="R18832" s="178"/>
      <c r="S18832" s="178"/>
    </row>
    <row r="18833" spans="18:19">
      <c r="R18833" s="178"/>
      <c r="S18833" s="178"/>
    </row>
    <row r="18834" spans="18:19">
      <c r="R18834" s="178"/>
      <c r="S18834" s="178"/>
    </row>
    <row r="18835" spans="18:19">
      <c r="R18835" s="178"/>
      <c r="S18835" s="178"/>
    </row>
    <row r="18836" spans="18:19">
      <c r="R18836" s="178"/>
      <c r="S18836" s="178"/>
    </row>
    <row r="18837" spans="18:19">
      <c r="R18837" s="178"/>
      <c r="S18837" s="178"/>
    </row>
    <row r="18838" spans="18:19">
      <c r="R18838" s="178"/>
      <c r="S18838" s="178"/>
    </row>
    <row r="18839" spans="18:19">
      <c r="R18839" s="178"/>
      <c r="S18839" s="178"/>
    </row>
    <row r="18840" spans="18:19">
      <c r="R18840" s="178"/>
      <c r="S18840" s="178"/>
    </row>
    <row r="18841" spans="18:19">
      <c r="R18841" s="178"/>
      <c r="S18841" s="178"/>
    </row>
    <row r="18842" spans="18:19">
      <c r="R18842" s="178"/>
      <c r="S18842" s="178"/>
    </row>
    <row r="18843" spans="18:19">
      <c r="R18843" s="178"/>
      <c r="S18843" s="178"/>
    </row>
    <row r="18844" spans="18:19">
      <c r="R18844" s="178"/>
      <c r="S18844" s="178"/>
    </row>
    <row r="18845" spans="18:19">
      <c r="R18845" s="178"/>
      <c r="S18845" s="178"/>
    </row>
    <row r="18846" spans="18:19">
      <c r="R18846" s="178"/>
      <c r="S18846" s="178"/>
    </row>
    <row r="18847" spans="18:19">
      <c r="R18847" s="178"/>
      <c r="S18847" s="178"/>
    </row>
    <row r="18848" spans="18:19">
      <c r="R18848" s="178"/>
      <c r="S18848" s="178"/>
    </row>
    <row r="18849" spans="18:19">
      <c r="R18849" s="178"/>
      <c r="S18849" s="178"/>
    </row>
    <row r="18850" spans="18:19">
      <c r="R18850" s="178"/>
      <c r="S18850" s="178"/>
    </row>
    <row r="18851" spans="18:19">
      <c r="R18851" s="178"/>
      <c r="S18851" s="178"/>
    </row>
    <row r="18852" spans="18:19">
      <c r="R18852" s="178"/>
      <c r="S18852" s="178"/>
    </row>
    <row r="18853" spans="18:19">
      <c r="R18853" s="178"/>
      <c r="S18853" s="178"/>
    </row>
    <row r="18854" spans="18:19">
      <c r="R18854" s="178"/>
      <c r="S18854" s="178"/>
    </row>
    <row r="18855" spans="18:19">
      <c r="R18855" s="178"/>
      <c r="S18855" s="178"/>
    </row>
    <row r="18856" spans="18:19">
      <c r="R18856" s="178"/>
      <c r="S18856" s="178"/>
    </row>
    <row r="18857" spans="18:19">
      <c r="R18857" s="178"/>
      <c r="S18857" s="178"/>
    </row>
    <row r="18858" spans="18:19">
      <c r="R18858" s="178"/>
      <c r="S18858" s="178"/>
    </row>
    <row r="18859" spans="18:19">
      <c r="R18859" s="178"/>
      <c r="S18859" s="178"/>
    </row>
    <row r="18860" spans="18:19">
      <c r="R18860" s="178"/>
      <c r="S18860" s="178"/>
    </row>
    <row r="18861" spans="18:19">
      <c r="R18861" s="178"/>
      <c r="S18861" s="178"/>
    </row>
    <row r="18862" spans="18:19">
      <c r="R18862" s="178"/>
      <c r="S18862" s="178"/>
    </row>
    <row r="18863" spans="18:19">
      <c r="R18863" s="178"/>
      <c r="S18863" s="178"/>
    </row>
    <row r="18864" spans="18:19">
      <c r="R18864" s="178"/>
      <c r="S18864" s="178"/>
    </row>
    <row r="18865" spans="18:19">
      <c r="R18865" s="178"/>
      <c r="S18865" s="178"/>
    </row>
    <row r="18866" spans="18:19">
      <c r="R18866" s="178"/>
      <c r="S18866" s="178"/>
    </row>
    <row r="18867" spans="18:19">
      <c r="R18867" s="178"/>
      <c r="S18867" s="178"/>
    </row>
    <row r="18868" spans="18:19">
      <c r="R18868" s="178"/>
      <c r="S18868" s="178"/>
    </row>
    <row r="18869" spans="18:19">
      <c r="R18869" s="178"/>
      <c r="S18869" s="178"/>
    </row>
    <row r="18870" spans="18:19">
      <c r="R18870" s="178"/>
      <c r="S18870" s="178"/>
    </row>
    <row r="18871" spans="18:19">
      <c r="R18871" s="178"/>
      <c r="S18871" s="178"/>
    </row>
    <row r="18872" spans="18:19">
      <c r="R18872" s="178"/>
      <c r="S18872" s="178"/>
    </row>
    <row r="18873" spans="18:19">
      <c r="R18873" s="178"/>
      <c r="S18873" s="178"/>
    </row>
    <row r="18874" spans="18:19">
      <c r="R18874" s="178"/>
      <c r="S18874" s="178"/>
    </row>
    <row r="18875" spans="18:19">
      <c r="R18875" s="178"/>
      <c r="S18875" s="178"/>
    </row>
    <row r="18876" spans="18:19">
      <c r="R18876" s="178"/>
      <c r="S18876" s="178"/>
    </row>
    <row r="18877" spans="18:19">
      <c r="R18877" s="178"/>
      <c r="S18877" s="178"/>
    </row>
    <row r="18878" spans="18:19">
      <c r="R18878" s="178"/>
      <c r="S18878" s="178"/>
    </row>
    <row r="18879" spans="18:19">
      <c r="R18879" s="178"/>
      <c r="S18879" s="178"/>
    </row>
    <row r="18880" spans="18:19">
      <c r="R18880" s="178"/>
      <c r="S18880" s="178"/>
    </row>
    <row r="18881" spans="18:19">
      <c r="R18881" s="178"/>
      <c r="S18881" s="178"/>
    </row>
    <row r="18882" spans="18:19">
      <c r="R18882" s="178"/>
      <c r="S18882" s="178"/>
    </row>
    <row r="18883" spans="18:19">
      <c r="R18883" s="178"/>
      <c r="S18883" s="178"/>
    </row>
    <row r="18884" spans="18:19">
      <c r="R18884" s="178"/>
      <c r="S18884" s="178"/>
    </row>
    <row r="18885" spans="18:19">
      <c r="R18885" s="178"/>
      <c r="S18885" s="178"/>
    </row>
    <row r="18886" spans="18:19">
      <c r="R18886" s="178"/>
      <c r="S18886" s="178"/>
    </row>
    <row r="18887" spans="18:19">
      <c r="R18887" s="178"/>
      <c r="S18887" s="178"/>
    </row>
    <row r="18888" spans="18:19">
      <c r="R18888" s="178"/>
      <c r="S18888" s="178"/>
    </row>
    <row r="18889" spans="18:19">
      <c r="R18889" s="178"/>
      <c r="S18889" s="178"/>
    </row>
    <row r="18890" spans="18:19">
      <c r="R18890" s="178"/>
      <c r="S18890" s="178"/>
    </row>
    <row r="18891" spans="18:19">
      <c r="R18891" s="178"/>
      <c r="S18891" s="178"/>
    </row>
    <row r="18892" spans="18:19">
      <c r="R18892" s="178"/>
      <c r="S18892" s="178"/>
    </row>
    <row r="18893" spans="18:19">
      <c r="R18893" s="178"/>
      <c r="S18893" s="178"/>
    </row>
    <row r="18894" spans="18:19">
      <c r="R18894" s="178"/>
      <c r="S18894" s="178"/>
    </row>
    <row r="18895" spans="18:19">
      <c r="R18895" s="178"/>
      <c r="S18895" s="178"/>
    </row>
    <row r="18896" spans="18:19">
      <c r="R18896" s="178"/>
      <c r="S18896" s="178"/>
    </row>
    <row r="18897" spans="18:19">
      <c r="R18897" s="178"/>
      <c r="S18897" s="178"/>
    </row>
    <row r="18898" spans="18:19">
      <c r="R18898" s="178"/>
      <c r="S18898" s="178"/>
    </row>
    <row r="18899" spans="18:19">
      <c r="R18899" s="178"/>
      <c r="S18899" s="178"/>
    </row>
    <row r="18900" spans="18:19">
      <c r="R18900" s="178"/>
      <c r="S18900" s="178"/>
    </row>
    <row r="18901" spans="18:19">
      <c r="R18901" s="178"/>
      <c r="S18901" s="178"/>
    </row>
    <row r="18902" spans="18:19">
      <c r="R18902" s="178"/>
      <c r="S18902" s="178"/>
    </row>
    <row r="18903" spans="18:19">
      <c r="R18903" s="178"/>
      <c r="S18903" s="178"/>
    </row>
    <row r="18904" spans="18:19">
      <c r="R18904" s="178"/>
      <c r="S18904" s="178"/>
    </row>
    <row r="18905" spans="18:19">
      <c r="R18905" s="178"/>
      <c r="S18905" s="178"/>
    </row>
    <row r="18906" spans="18:19">
      <c r="R18906" s="178"/>
      <c r="S18906" s="178"/>
    </row>
    <row r="18907" spans="18:19">
      <c r="R18907" s="178"/>
      <c r="S18907" s="178"/>
    </row>
    <row r="18908" spans="18:19">
      <c r="R18908" s="178"/>
      <c r="S18908" s="178"/>
    </row>
    <row r="18909" spans="18:19">
      <c r="R18909" s="178"/>
      <c r="S18909" s="178"/>
    </row>
    <row r="18910" spans="18:19">
      <c r="R18910" s="178"/>
      <c r="S18910" s="178"/>
    </row>
    <row r="18911" spans="18:19">
      <c r="R18911" s="178"/>
      <c r="S18911" s="178"/>
    </row>
    <row r="18912" spans="18:19">
      <c r="R18912" s="178"/>
      <c r="S18912" s="178"/>
    </row>
    <row r="18913" spans="18:19">
      <c r="R18913" s="178"/>
      <c r="S18913" s="178"/>
    </row>
    <row r="18914" spans="18:19">
      <c r="R18914" s="178"/>
      <c r="S18914" s="178"/>
    </row>
    <row r="18915" spans="18:19">
      <c r="R18915" s="178"/>
      <c r="S18915" s="178"/>
    </row>
    <row r="18916" spans="18:19">
      <c r="R18916" s="178"/>
      <c r="S18916" s="178"/>
    </row>
    <row r="18917" spans="18:19">
      <c r="R18917" s="178"/>
      <c r="S18917" s="178"/>
    </row>
    <row r="18918" spans="18:19">
      <c r="R18918" s="178"/>
      <c r="S18918" s="178"/>
    </row>
    <row r="18919" spans="18:19">
      <c r="R18919" s="178"/>
      <c r="S18919" s="178"/>
    </row>
    <row r="18920" spans="18:19">
      <c r="R18920" s="178"/>
      <c r="S18920" s="178"/>
    </row>
    <row r="18921" spans="18:19">
      <c r="R18921" s="178"/>
      <c r="S18921" s="178"/>
    </row>
    <row r="18922" spans="18:19">
      <c r="R18922" s="178"/>
      <c r="S18922" s="178"/>
    </row>
    <row r="18923" spans="18:19">
      <c r="R18923" s="178"/>
      <c r="S18923" s="178"/>
    </row>
    <row r="18924" spans="18:19">
      <c r="R18924" s="178"/>
      <c r="S18924" s="178"/>
    </row>
    <row r="18925" spans="18:19">
      <c r="R18925" s="178"/>
      <c r="S18925" s="178"/>
    </row>
    <row r="18926" spans="18:19">
      <c r="R18926" s="178"/>
      <c r="S18926" s="178"/>
    </row>
    <row r="18927" spans="18:19">
      <c r="R18927" s="178"/>
      <c r="S18927" s="178"/>
    </row>
    <row r="18928" spans="18:19">
      <c r="R18928" s="178"/>
      <c r="S18928" s="178"/>
    </row>
    <row r="18929" spans="18:19">
      <c r="R18929" s="178"/>
      <c r="S18929" s="178"/>
    </row>
    <row r="18930" spans="18:19">
      <c r="R18930" s="178"/>
      <c r="S18930" s="178"/>
    </row>
    <row r="18931" spans="18:19">
      <c r="R18931" s="178"/>
      <c r="S18931" s="178"/>
    </row>
    <row r="18932" spans="18:19">
      <c r="R18932" s="178"/>
      <c r="S18932" s="178"/>
    </row>
    <row r="18933" spans="18:19">
      <c r="R18933" s="178"/>
      <c r="S18933" s="178"/>
    </row>
    <row r="18934" spans="18:19">
      <c r="R18934" s="178"/>
      <c r="S18934" s="178"/>
    </row>
    <row r="18935" spans="18:19">
      <c r="R18935" s="178"/>
      <c r="S18935" s="178"/>
    </row>
    <row r="18936" spans="18:19">
      <c r="R18936" s="178"/>
      <c r="S18936" s="178"/>
    </row>
    <row r="18937" spans="18:19">
      <c r="R18937" s="178"/>
      <c r="S18937" s="178"/>
    </row>
    <row r="18938" spans="18:19">
      <c r="R18938" s="178"/>
      <c r="S18938" s="178"/>
    </row>
    <row r="18939" spans="18:19">
      <c r="R18939" s="178"/>
      <c r="S18939" s="178"/>
    </row>
    <row r="18940" spans="18:19">
      <c r="R18940" s="178"/>
      <c r="S18940" s="178"/>
    </row>
    <row r="18941" spans="18:19">
      <c r="R18941" s="178"/>
      <c r="S18941" s="178"/>
    </row>
    <row r="18942" spans="18:19">
      <c r="R18942" s="178"/>
      <c r="S18942" s="178"/>
    </row>
    <row r="18943" spans="18:19">
      <c r="R18943" s="178"/>
      <c r="S18943" s="178"/>
    </row>
    <row r="18944" spans="18:19">
      <c r="R18944" s="178"/>
      <c r="S18944" s="178"/>
    </row>
    <row r="18945" spans="18:19">
      <c r="R18945" s="178"/>
      <c r="S18945" s="178"/>
    </row>
    <row r="18946" spans="18:19">
      <c r="R18946" s="178"/>
      <c r="S18946" s="178"/>
    </row>
    <row r="18947" spans="18:19">
      <c r="R18947" s="178"/>
      <c r="S18947" s="178"/>
    </row>
    <row r="18948" spans="18:19">
      <c r="R18948" s="178"/>
      <c r="S18948" s="178"/>
    </row>
    <row r="18949" spans="18:19">
      <c r="R18949" s="178"/>
      <c r="S18949" s="178"/>
    </row>
    <row r="18950" spans="18:19">
      <c r="R18950" s="178"/>
      <c r="S18950" s="178"/>
    </row>
    <row r="18951" spans="18:19">
      <c r="R18951" s="178"/>
      <c r="S18951" s="178"/>
    </row>
    <row r="18952" spans="18:19">
      <c r="R18952" s="178"/>
      <c r="S18952" s="178"/>
    </row>
    <row r="18953" spans="18:19">
      <c r="R18953" s="178"/>
      <c r="S18953" s="178"/>
    </row>
    <row r="18954" spans="18:19">
      <c r="R18954" s="178"/>
      <c r="S18954" s="178"/>
    </row>
    <row r="18955" spans="18:19">
      <c r="R18955" s="178"/>
      <c r="S18955" s="178"/>
    </row>
    <row r="18956" spans="18:19">
      <c r="R18956" s="178"/>
      <c r="S18956" s="178"/>
    </row>
    <row r="18957" spans="18:19">
      <c r="R18957" s="178"/>
      <c r="S18957" s="178"/>
    </row>
    <row r="18958" spans="18:19">
      <c r="R18958" s="178"/>
      <c r="S18958" s="178"/>
    </row>
    <row r="18959" spans="18:19">
      <c r="R18959" s="178"/>
      <c r="S18959" s="178"/>
    </row>
    <row r="18960" spans="18:19">
      <c r="R18960" s="178"/>
      <c r="S18960" s="178"/>
    </row>
    <row r="18961" spans="18:19">
      <c r="R18961" s="178"/>
      <c r="S18961" s="178"/>
    </row>
    <row r="18962" spans="18:19">
      <c r="R18962" s="178"/>
      <c r="S18962" s="178"/>
    </row>
    <row r="18963" spans="18:19">
      <c r="R18963" s="178"/>
      <c r="S18963" s="178"/>
    </row>
    <row r="18964" spans="18:19">
      <c r="R18964" s="178"/>
      <c r="S18964" s="178"/>
    </row>
    <row r="18965" spans="18:19">
      <c r="R18965" s="178"/>
      <c r="S18965" s="178"/>
    </row>
    <row r="18966" spans="18:19">
      <c r="R18966" s="178"/>
      <c r="S18966" s="178"/>
    </row>
    <row r="18967" spans="18:19">
      <c r="R18967" s="178"/>
      <c r="S18967" s="178"/>
    </row>
    <row r="18968" spans="18:19">
      <c r="R18968" s="178"/>
      <c r="S18968" s="178"/>
    </row>
    <row r="18969" spans="18:19">
      <c r="R18969" s="178"/>
      <c r="S18969" s="178"/>
    </row>
    <row r="18970" spans="18:19">
      <c r="R18970" s="178"/>
      <c r="S18970" s="178"/>
    </row>
    <row r="18971" spans="18:19">
      <c r="R18971" s="178"/>
      <c r="S18971" s="178"/>
    </row>
    <row r="18972" spans="18:19">
      <c r="R18972" s="178"/>
      <c r="S18972" s="178"/>
    </row>
    <row r="18973" spans="18:19">
      <c r="R18973" s="178"/>
      <c r="S18973" s="178"/>
    </row>
    <row r="18974" spans="18:19">
      <c r="R18974" s="178"/>
      <c r="S18974" s="178"/>
    </row>
    <row r="18975" spans="18:19">
      <c r="R18975" s="178"/>
      <c r="S18975" s="178"/>
    </row>
    <row r="18976" spans="18:19">
      <c r="R18976" s="178"/>
      <c r="S18976" s="178"/>
    </row>
    <row r="18977" spans="18:19">
      <c r="R18977" s="178"/>
      <c r="S18977" s="178"/>
    </row>
    <row r="18978" spans="18:19">
      <c r="R18978" s="178"/>
      <c r="S18978" s="178"/>
    </row>
    <row r="18979" spans="18:19">
      <c r="R18979" s="178"/>
      <c r="S18979" s="178"/>
    </row>
    <row r="18980" spans="18:19">
      <c r="R18980" s="178"/>
      <c r="S18980" s="178"/>
    </row>
    <row r="18981" spans="18:19">
      <c r="R18981" s="178"/>
      <c r="S18981" s="178"/>
    </row>
    <row r="18982" spans="18:19">
      <c r="R18982" s="178"/>
      <c r="S18982" s="178"/>
    </row>
    <row r="18983" spans="18:19">
      <c r="R18983" s="178"/>
      <c r="S18983" s="178"/>
    </row>
    <row r="18984" spans="18:19">
      <c r="R18984" s="178"/>
      <c r="S18984" s="178"/>
    </row>
    <row r="18985" spans="18:19">
      <c r="R18985" s="178"/>
      <c r="S18985" s="178"/>
    </row>
    <row r="18986" spans="18:19">
      <c r="R18986" s="178"/>
      <c r="S18986" s="178"/>
    </row>
    <row r="18987" spans="18:19">
      <c r="R18987" s="178"/>
      <c r="S18987" s="178"/>
    </row>
    <row r="18988" spans="18:19">
      <c r="R18988" s="178"/>
      <c r="S18988" s="178"/>
    </row>
    <row r="18989" spans="18:19">
      <c r="R18989" s="178"/>
      <c r="S18989" s="178"/>
    </row>
    <row r="18990" spans="18:19">
      <c r="R18990" s="178"/>
      <c r="S18990" s="178"/>
    </row>
    <row r="18991" spans="18:19">
      <c r="R18991" s="178"/>
      <c r="S18991" s="178"/>
    </row>
    <row r="18992" spans="18:19">
      <c r="R18992" s="178"/>
      <c r="S18992" s="178"/>
    </row>
    <row r="18993" spans="18:19">
      <c r="R18993" s="178"/>
      <c r="S18993" s="178"/>
    </row>
    <row r="18994" spans="18:19">
      <c r="R18994" s="178"/>
      <c r="S18994" s="178"/>
    </row>
    <row r="18995" spans="18:19">
      <c r="R18995" s="178"/>
      <c r="S18995" s="178"/>
    </row>
    <row r="18996" spans="18:19">
      <c r="R18996" s="178"/>
      <c r="S18996" s="178"/>
    </row>
    <row r="18997" spans="18:19">
      <c r="R18997" s="178"/>
      <c r="S18997" s="178"/>
    </row>
    <row r="18998" spans="18:19">
      <c r="R18998" s="178"/>
      <c r="S18998" s="178"/>
    </row>
    <row r="18999" spans="18:19">
      <c r="R18999" s="178"/>
      <c r="S18999" s="178"/>
    </row>
    <row r="19000" spans="18:19">
      <c r="R19000" s="178"/>
      <c r="S19000" s="178"/>
    </row>
    <row r="19001" spans="18:19">
      <c r="R19001" s="178"/>
      <c r="S19001" s="178"/>
    </row>
    <row r="19002" spans="18:19">
      <c r="R19002" s="178"/>
      <c r="S19002" s="178"/>
    </row>
    <row r="19003" spans="18:19">
      <c r="R19003" s="178"/>
      <c r="S19003" s="178"/>
    </row>
    <row r="19004" spans="18:19">
      <c r="R19004" s="178"/>
      <c r="S19004" s="178"/>
    </row>
    <row r="19005" spans="18:19">
      <c r="R19005" s="178"/>
      <c r="S19005" s="178"/>
    </row>
    <row r="19006" spans="18:19">
      <c r="R19006" s="178"/>
      <c r="S19006" s="178"/>
    </row>
    <row r="19007" spans="18:19">
      <c r="R19007" s="178"/>
      <c r="S19007" s="178"/>
    </row>
    <row r="19008" spans="18:19">
      <c r="R19008" s="178"/>
      <c r="S19008" s="178"/>
    </row>
    <row r="19009" spans="18:19">
      <c r="R19009" s="178"/>
      <c r="S19009" s="178"/>
    </row>
    <row r="19010" spans="18:19">
      <c r="R19010" s="178"/>
      <c r="S19010" s="178"/>
    </row>
    <row r="19011" spans="18:19">
      <c r="R19011" s="178"/>
      <c r="S19011" s="178"/>
    </row>
    <row r="19012" spans="18:19">
      <c r="R19012" s="178"/>
      <c r="S19012" s="178"/>
    </row>
    <row r="19013" spans="18:19">
      <c r="R19013" s="178"/>
      <c r="S19013" s="178"/>
    </row>
    <row r="19014" spans="18:19">
      <c r="R19014" s="178"/>
      <c r="S19014" s="178"/>
    </row>
    <row r="19015" spans="18:19">
      <c r="R19015" s="178"/>
      <c r="S19015" s="178"/>
    </row>
    <row r="19016" spans="18:19">
      <c r="R19016" s="178"/>
      <c r="S19016" s="178"/>
    </row>
    <row r="19017" spans="18:19">
      <c r="R19017" s="178"/>
      <c r="S19017" s="178"/>
    </row>
    <row r="19018" spans="18:19">
      <c r="R19018" s="178"/>
      <c r="S19018" s="178"/>
    </row>
    <row r="19019" spans="18:19">
      <c r="R19019" s="178"/>
      <c r="S19019" s="178"/>
    </row>
    <row r="19020" spans="18:19">
      <c r="R19020" s="178"/>
      <c r="S19020" s="178"/>
    </row>
    <row r="19021" spans="18:19">
      <c r="R19021" s="178"/>
      <c r="S19021" s="178"/>
    </row>
    <row r="19022" spans="18:19">
      <c r="R19022" s="178"/>
      <c r="S19022" s="178"/>
    </row>
    <row r="19023" spans="18:19">
      <c r="R19023" s="178"/>
      <c r="S19023" s="178"/>
    </row>
    <row r="19024" spans="18:19">
      <c r="R19024" s="178"/>
      <c r="S19024" s="178"/>
    </row>
    <row r="19025" spans="18:19">
      <c r="R19025" s="178"/>
      <c r="S19025" s="178"/>
    </row>
    <row r="19026" spans="18:19">
      <c r="R19026" s="178"/>
      <c r="S19026" s="178"/>
    </row>
    <row r="19027" spans="18:19">
      <c r="R19027" s="178"/>
      <c r="S19027" s="178"/>
    </row>
    <row r="19028" spans="18:19">
      <c r="R19028" s="178"/>
      <c r="S19028" s="178"/>
    </row>
    <row r="19029" spans="18:19">
      <c r="R19029" s="178"/>
      <c r="S19029" s="178"/>
    </row>
    <row r="19030" spans="18:19">
      <c r="R19030" s="178"/>
      <c r="S19030" s="178"/>
    </row>
    <row r="19031" spans="18:19">
      <c r="R19031" s="178"/>
      <c r="S19031" s="178"/>
    </row>
    <row r="19032" spans="18:19">
      <c r="R19032" s="178"/>
      <c r="S19032" s="178"/>
    </row>
    <row r="19033" spans="18:19">
      <c r="R19033" s="178"/>
      <c r="S19033" s="178"/>
    </row>
    <row r="19034" spans="18:19">
      <c r="R19034" s="178"/>
      <c r="S19034" s="178"/>
    </row>
    <row r="19035" spans="18:19">
      <c r="R19035" s="178"/>
      <c r="S19035" s="178"/>
    </row>
    <row r="19036" spans="18:19">
      <c r="R19036" s="178"/>
      <c r="S19036" s="178"/>
    </row>
    <row r="19037" spans="18:19">
      <c r="R19037" s="178"/>
      <c r="S19037" s="178"/>
    </row>
    <row r="19038" spans="18:19">
      <c r="R19038" s="178"/>
      <c r="S19038" s="178"/>
    </row>
    <row r="19039" spans="18:19">
      <c r="R19039" s="178"/>
      <c r="S19039" s="178"/>
    </row>
    <row r="19040" spans="18:19">
      <c r="R19040" s="178"/>
      <c r="S19040" s="178"/>
    </row>
    <row r="19041" spans="18:19">
      <c r="R19041" s="178"/>
      <c r="S19041" s="178"/>
    </row>
    <row r="19042" spans="18:19">
      <c r="R19042" s="178"/>
      <c r="S19042" s="178"/>
    </row>
    <row r="19043" spans="18:19">
      <c r="R19043" s="178"/>
      <c r="S19043" s="178"/>
    </row>
    <row r="19044" spans="18:19">
      <c r="R19044" s="178"/>
      <c r="S19044" s="178"/>
    </row>
    <row r="19045" spans="18:19">
      <c r="R19045" s="178"/>
      <c r="S19045" s="178"/>
    </row>
    <row r="19046" spans="18:19">
      <c r="R19046" s="178"/>
      <c r="S19046" s="178"/>
    </row>
    <row r="19047" spans="18:19">
      <c r="R19047" s="178"/>
      <c r="S19047" s="178"/>
    </row>
    <row r="19048" spans="18:19">
      <c r="R19048" s="178"/>
      <c r="S19048" s="178"/>
    </row>
    <row r="19049" spans="18:19">
      <c r="R19049" s="178"/>
      <c r="S19049" s="178"/>
    </row>
    <row r="19050" spans="18:19">
      <c r="R19050" s="178"/>
      <c r="S19050" s="178"/>
    </row>
    <row r="19051" spans="18:19">
      <c r="R19051" s="178"/>
      <c r="S19051" s="178"/>
    </row>
    <row r="19052" spans="18:19">
      <c r="R19052" s="178"/>
      <c r="S19052" s="178"/>
    </row>
    <row r="19053" spans="18:19">
      <c r="R19053" s="178"/>
      <c r="S19053" s="178"/>
    </row>
    <row r="19054" spans="18:19">
      <c r="R19054" s="178"/>
      <c r="S19054" s="178"/>
    </row>
    <row r="19055" spans="18:19">
      <c r="R19055" s="178"/>
      <c r="S19055" s="178"/>
    </row>
    <row r="19056" spans="18:19">
      <c r="R19056" s="178"/>
      <c r="S19056" s="178"/>
    </row>
    <row r="19057" spans="18:19">
      <c r="R19057" s="178"/>
      <c r="S19057" s="178"/>
    </row>
    <row r="19058" spans="18:19">
      <c r="R19058" s="178"/>
      <c r="S19058" s="178"/>
    </row>
    <row r="19059" spans="18:19">
      <c r="R19059" s="178"/>
      <c r="S19059" s="178"/>
    </row>
    <row r="19060" spans="18:19">
      <c r="R19060" s="178"/>
      <c r="S19060" s="178"/>
    </row>
    <row r="19061" spans="18:19">
      <c r="R19061" s="178"/>
      <c r="S19061" s="178"/>
    </row>
    <row r="19062" spans="18:19">
      <c r="R19062" s="178"/>
      <c r="S19062" s="178"/>
    </row>
    <row r="19063" spans="18:19">
      <c r="R19063" s="178"/>
      <c r="S19063" s="178"/>
    </row>
    <row r="19064" spans="18:19">
      <c r="R19064" s="178"/>
      <c r="S19064" s="178"/>
    </row>
    <row r="19065" spans="18:19">
      <c r="R19065" s="178"/>
      <c r="S19065" s="178"/>
    </row>
    <row r="19066" spans="18:19">
      <c r="R19066" s="178"/>
      <c r="S19066" s="178"/>
    </row>
    <row r="19067" spans="18:19">
      <c r="R19067" s="178"/>
      <c r="S19067" s="178"/>
    </row>
    <row r="19068" spans="18:19">
      <c r="R19068" s="178"/>
      <c r="S19068" s="178"/>
    </row>
    <row r="19069" spans="18:19">
      <c r="R19069" s="178"/>
      <c r="S19069" s="178"/>
    </row>
    <row r="19070" spans="18:19">
      <c r="R19070" s="178"/>
      <c r="S19070" s="178"/>
    </row>
    <row r="19071" spans="18:19">
      <c r="R19071" s="178"/>
      <c r="S19071" s="178"/>
    </row>
    <row r="19072" spans="18:19">
      <c r="R19072" s="178"/>
      <c r="S19072" s="178"/>
    </row>
    <row r="19073" spans="18:19">
      <c r="R19073" s="178"/>
      <c r="S19073" s="178"/>
    </row>
    <row r="19074" spans="18:19">
      <c r="R19074" s="178"/>
      <c r="S19074" s="178"/>
    </row>
    <row r="19075" spans="18:19">
      <c r="R19075" s="178"/>
      <c r="S19075" s="178"/>
    </row>
    <row r="19076" spans="18:19">
      <c r="R19076" s="178"/>
      <c r="S19076" s="178"/>
    </row>
    <row r="19077" spans="18:19">
      <c r="R19077" s="178"/>
      <c r="S19077" s="178"/>
    </row>
    <row r="19078" spans="18:19">
      <c r="R19078" s="178"/>
      <c r="S19078" s="178"/>
    </row>
    <row r="19079" spans="18:19">
      <c r="R19079" s="178"/>
      <c r="S19079" s="178"/>
    </row>
    <row r="19080" spans="18:19">
      <c r="R19080" s="178"/>
      <c r="S19080" s="178"/>
    </row>
    <row r="19081" spans="18:19">
      <c r="R19081" s="178"/>
      <c r="S19081" s="178"/>
    </row>
    <row r="19082" spans="18:19">
      <c r="R19082" s="178"/>
      <c r="S19082" s="178"/>
    </row>
    <row r="19083" spans="18:19">
      <c r="R19083" s="178"/>
      <c r="S19083" s="178"/>
    </row>
    <row r="19084" spans="18:19">
      <c r="R19084" s="178"/>
      <c r="S19084" s="178"/>
    </row>
    <row r="19085" spans="18:19">
      <c r="R19085" s="178"/>
      <c r="S19085" s="178"/>
    </row>
    <row r="19086" spans="18:19">
      <c r="R19086" s="178"/>
      <c r="S19086" s="178"/>
    </row>
    <row r="19087" spans="18:19">
      <c r="R19087" s="178"/>
      <c r="S19087" s="178"/>
    </row>
    <row r="19088" spans="18:19">
      <c r="R19088" s="178"/>
      <c r="S19088" s="178"/>
    </row>
    <row r="19089" spans="18:19">
      <c r="R19089" s="178"/>
      <c r="S19089" s="178"/>
    </row>
    <row r="19090" spans="18:19">
      <c r="R19090" s="178"/>
      <c r="S19090" s="178"/>
    </row>
    <row r="19091" spans="18:19">
      <c r="R19091" s="178"/>
      <c r="S19091" s="178"/>
    </row>
    <row r="19092" spans="18:19">
      <c r="R19092" s="178"/>
      <c r="S19092" s="178"/>
    </row>
    <row r="19093" spans="18:19">
      <c r="R19093" s="178"/>
      <c r="S19093" s="178"/>
    </row>
    <row r="19094" spans="18:19">
      <c r="R19094" s="178"/>
      <c r="S19094" s="178"/>
    </row>
    <row r="19095" spans="18:19">
      <c r="R19095" s="178"/>
      <c r="S19095" s="178"/>
    </row>
    <row r="19096" spans="18:19">
      <c r="R19096" s="178"/>
      <c r="S19096" s="178"/>
    </row>
    <row r="19097" spans="18:19">
      <c r="R19097" s="178"/>
      <c r="S19097" s="178"/>
    </row>
    <row r="19098" spans="18:19">
      <c r="R19098" s="178"/>
      <c r="S19098" s="178"/>
    </row>
    <row r="19099" spans="18:19">
      <c r="R19099" s="178"/>
      <c r="S19099" s="178"/>
    </row>
    <row r="19100" spans="18:19">
      <c r="R19100" s="178"/>
      <c r="S19100" s="178"/>
    </row>
    <row r="19101" spans="18:19">
      <c r="R19101" s="178"/>
      <c r="S19101" s="178"/>
    </row>
    <row r="19102" spans="18:19">
      <c r="R19102" s="178"/>
      <c r="S19102" s="178"/>
    </row>
    <row r="19103" spans="18:19">
      <c r="R19103" s="178"/>
      <c r="S19103" s="178"/>
    </row>
    <row r="19104" spans="18:19">
      <c r="R19104" s="178"/>
      <c r="S19104" s="178"/>
    </row>
    <row r="19105" spans="18:19">
      <c r="R19105" s="178"/>
      <c r="S19105" s="178"/>
    </row>
    <row r="19106" spans="18:19">
      <c r="R19106" s="178"/>
      <c r="S19106" s="178"/>
    </row>
    <row r="19107" spans="18:19">
      <c r="R19107" s="178"/>
      <c r="S19107" s="178"/>
    </row>
    <row r="19108" spans="18:19">
      <c r="R19108" s="178"/>
      <c r="S19108" s="178"/>
    </row>
    <row r="19109" spans="18:19">
      <c r="R19109" s="178"/>
      <c r="S19109" s="178"/>
    </row>
    <row r="19110" spans="18:19">
      <c r="R19110" s="178"/>
      <c r="S19110" s="178"/>
    </row>
    <row r="19111" spans="18:19">
      <c r="R19111" s="178"/>
      <c r="S19111" s="178"/>
    </row>
    <row r="19112" spans="18:19">
      <c r="R19112" s="178"/>
      <c r="S19112" s="178"/>
    </row>
    <row r="19113" spans="18:19">
      <c r="R19113" s="178"/>
      <c r="S19113" s="178"/>
    </row>
    <row r="19114" spans="18:19">
      <c r="R19114" s="178"/>
      <c r="S19114" s="178"/>
    </row>
    <row r="19115" spans="18:19">
      <c r="R19115" s="178"/>
      <c r="S19115" s="178"/>
    </row>
    <row r="19116" spans="18:19">
      <c r="R19116" s="178"/>
      <c r="S19116" s="178"/>
    </row>
    <row r="19117" spans="18:19">
      <c r="R19117" s="178"/>
      <c r="S19117" s="178"/>
    </row>
    <row r="19118" spans="18:19">
      <c r="R19118" s="178"/>
      <c r="S19118" s="178"/>
    </row>
    <row r="19119" spans="18:19">
      <c r="R19119" s="178"/>
      <c r="S19119" s="178"/>
    </row>
    <row r="19120" spans="18:19">
      <c r="R19120" s="178"/>
      <c r="S19120" s="178"/>
    </row>
    <row r="19121" spans="18:19">
      <c r="R19121" s="178"/>
      <c r="S19121" s="178"/>
    </row>
    <row r="19122" spans="18:19">
      <c r="R19122" s="178"/>
      <c r="S19122" s="178"/>
    </row>
    <row r="19123" spans="18:19">
      <c r="R19123" s="178"/>
      <c r="S19123" s="178"/>
    </row>
    <row r="19124" spans="18:19">
      <c r="R19124" s="178"/>
      <c r="S19124" s="178"/>
    </row>
    <row r="19125" spans="18:19">
      <c r="R19125" s="178"/>
      <c r="S19125" s="178"/>
    </row>
    <row r="19126" spans="18:19">
      <c r="R19126" s="178"/>
      <c r="S19126" s="178"/>
    </row>
    <row r="19127" spans="18:19">
      <c r="R19127" s="178"/>
      <c r="S19127" s="178"/>
    </row>
    <row r="19128" spans="18:19">
      <c r="R19128" s="178"/>
      <c r="S19128" s="178"/>
    </row>
    <row r="19129" spans="18:19">
      <c r="R19129" s="178"/>
      <c r="S19129" s="178"/>
    </row>
    <row r="19130" spans="18:19">
      <c r="R19130" s="178"/>
      <c r="S19130" s="178"/>
    </row>
    <row r="19131" spans="18:19">
      <c r="R19131" s="178"/>
      <c r="S19131" s="178"/>
    </row>
    <row r="19132" spans="18:19">
      <c r="R19132" s="178"/>
      <c r="S19132" s="178"/>
    </row>
    <row r="19133" spans="18:19">
      <c r="R19133" s="178"/>
      <c r="S19133" s="178"/>
    </row>
    <row r="19134" spans="18:19">
      <c r="R19134" s="178"/>
      <c r="S19134" s="178"/>
    </row>
    <row r="19135" spans="18:19">
      <c r="R19135" s="178"/>
      <c r="S19135" s="178"/>
    </row>
    <row r="19136" spans="18:19">
      <c r="R19136" s="178"/>
      <c r="S19136" s="178"/>
    </row>
    <row r="19137" spans="18:19">
      <c r="R19137" s="178"/>
      <c r="S19137" s="178"/>
    </row>
    <row r="19138" spans="18:19">
      <c r="R19138" s="178"/>
      <c r="S19138" s="178"/>
    </row>
    <row r="19139" spans="18:19">
      <c r="R19139" s="178"/>
      <c r="S19139" s="178"/>
    </row>
    <row r="19140" spans="18:19">
      <c r="R19140" s="178"/>
      <c r="S19140" s="178"/>
    </row>
    <row r="19141" spans="18:19">
      <c r="R19141" s="178"/>
      <c r="S19141" s="178"/>
    </row>
    <row r="19142" spans="18:19">
      <c r="R19142" s="178"/>
      <c r="S19142" s="178"/>
    </row>
    <row r="19143" spans="18:19">
      <c r="R19143" s="178"/>
      <c r="S19143" s="178"/>
    </row>
    <row r="19144" spans="18:19">
      <c r="R19144" s="178"/>
      <c r="S19144" s="178"/>
    </row>
    <row r="19145" spans="18:19">
      <c r="R19145" s="178"/>
      <c r="S19145" s="178"/>
    </row>
    <row r="19146" spans="18:19">
      <c r="R19146" s="178"/>
      <c r="S19146" s="178"/>
    </row>
    <row r="19147" spans="18:19">
      <c r="R19147" s="178"/>
      <c r="S19147" s="178"/>
    </row>
    <row r="19148" spans="18:19">
      <c r="R19148" s="178"/>
      <c r="S19148" s="178"/>
    </row>
    <row r="19149" spans="18:19">
      <c r="R19149" s="178"/>
      <c r="S19149" s="178"/>
    </row>
    <row r="19150" spans="18:19">
      <c r="R19150" s="178"/>
      <c r="S19150" s="178"/>
    </row>
    <row r="19151" spans="18:19">
      <c r="R19151" s="178"/>
      <c r="S19151" s="178"/>
    </row>
    <row r="19152" spans="18:19">
      <c r="R19152" s="178"/>
      <c r="S19152" s="178"/>
    </row>
    <row r="19153" spans="18:19">
      <c r="R19153" s="178"/>
      <c r="S19153" s="178"/>
    </row>
    <row r="19154" spans="18:19">
      <c r="R19154" s="178"/>
      <c r="S19154" s="178"/>
    </row>
    <row r="19155" spans="18:19">
      <c r="R19155" s="178"/>
      <c r="S19155" s="178"/>
    </row>
    <row r="19156" spans="18:19">
      <c r="R19156" s="178"/>
      <c r="S19156" s="178"/>
    </row>
    <row r="19157" spans="18:19">
      <c r="R19157" s="178"/>
      <c r="S19157" s="178"/>
    </row>
    <row r="19158" spans="18:19">
      <c r="R19158" s="178"/>
      <c r="S19158" s="178"/>
    </row>
    <row r="19159" spans="18:19">
      <c r="R19159" s="178"/>
      <c r="S19159" s="178"/>
    </row>
    <row r="19160" spans="18:19">
      <c r="R19160" s="178"/>
      <c r="S19160" s="178"/>
    </row>
    <row r="19161" spans="18:19">
      <c r="R19161" s="178"/>
      <c r="S19161" s="178"/>
    </row>
    <row r="19162" spans="18:19">
      <c r="R19162" s="178"/>
      <c r="S19162" s="178"/>
    </row>
    <row r="19163" spans="18:19">
      <c r="R19163" s="178"/>
      <c r="S19163" s="178"/>
    </row>
    <row r="19164" spans="18:19">
      <c r="R19164" s="178"/>
      <c r="S19164" s="178"/>
    </row>
    <row r="19165" spans="18:19">
      <c r="R19165" s="178"/>
      <c r="S19165" s="178"/>
    </row>
    <row r="19166" spans="18:19">
      <c r="R19166" s="178"/>
      <c r="S19166" s="178"/>
    </row>
    <row r="19167" spans="18:19">
      <c r="R19167" s="178"/>
      <c r="S19167" s="178"/>
    </row>
    <row r="19168" spans="18:19">
      <c r="R19168" s="178"/>
      <c r="S19168" s="178"/>
    </row>
    <row r="19169" spans="18:19">
      <c r="R19169" s="178"/>
      <c r="S19169" s="178"/>
    </row>
    <row r="19170" spans="18:19">
      <c r="R19170" s="178"/>
      <c r="S19170" s="178"/>
    </row>
    <row r="19171" spans="18:19">
      <c r="R19171" s="178"/>
      <c r="S19171" s="178"/>
    </row>
    <row r="19172" spans="18:19">
      <c r="R19172" s="178"/>
      <c r="S19172" s="178"/>
    </row>
    <row r="19173" spans="18:19">
      <c r="R19173" s="178"/>
      <c r="S19173" s="178"/>
    </row>
    <row r="19174" spans="18:19">
      <c r="R19174" s="178"/>
      <c r="S19174" s="178"/>
    </row>
    <row r="19175" spans="18:19">
      <c r="R19175" s="178"/>
      <c r="S19175" s="178"/>
    </row>
    <row r="19176" spans="18:19">
      <c r="R19176" s="178"/>
      <c r="S19176" s="178"/>
    </row>
    <row r="19177" spans="18:19">
      <c r="R19177" s="178"/>
      <c r="S19177" s="178"/>
    </row>
    <row r="19178" spans="18:19">
      <c r="R19178" s="178"/>
      <c r="S19178" s="178"/>
    </row>
    <row r="19179" spans="18:19">
      <c r="R19179" s="178"/>
      <c r="S19179" s="178"/>
    </row>
    <row r="19180" spans="18:19">
      <c r="R19180" s="178"/>
      <c r="S19180" s="178"/>
    </row>
    <row r="19181" spans="18:19">
      <c r="R19181" s="178"/>
      <c r="S19181" s="178"/>
    </row>
    <row r="19182" spans="18:19">
      <c r="R19182" s="178"/>
      <c r="S19182" s="178"/>
    </row>
    <row r="19183" spans="18:19">
      <c r="R19183" s="178"/>
      <c r="S19183" s="178"/>
    </row>
    <row r="19184" spans="18:19">
      <c r="R19184" s="178"/>
      <c r="S19184" s="178"/>
    </row>
    <row r="19185" spans="18:19">
      <c r="R19185" s="178"/>
      <c r="S19185" s="178"/>
    </row>
    <row r="19186" spans="18:19">
      <c r="R19186" s="178"/>
      <c r="S19186" s="178"/>
    </row>
    <row r="19187" spans="18:19">
      <c r="R19187" s="178"/>
      <c r="S19187" s="178"/>
    </row>
    <row r="19188" spans="18:19">
      <c r="R19188" s="178"/>
      <c r="S19188" s="178"/>
    </row>
    <row r="19189" spans="18:19">
      <c r="R19189" s="178"/>
      <c r="S19189" s="178"/>
    </row>
    <row r="19190" spans="18:19">
      <c r="R19190" s="178"/>
      <c r="S19190" s="178"/>
    </row>
    <row r="19191" spans="18:19">
      <c r="R19191" s="178"/>
      <c r="S19191" s="178"/>
    </row>
    <row r="19192" spans="18:19">
      <c r="R19192" s="178"/>
      <c r="S19192" s="178"/>
    </row>
    <row r="19193" spans="18:19">
      <c r="R19193" s="178"/>
      <c r="S19193" s="178"/>
    </row>
    <row r="19194" spans="18:19">
      <c r="R19194" s="178"/>
      <c r="S19194" s="178"/>
    </row>
    <row r="19195" spans="18:19">
      <c r="R19195" s="178"/>
      <c r="S19195" s="178"/>
    </row>
    <row r="19196" spans="18:19">
      <c r="R19196" s="178"/>
      <c r="S19196" s="178"/>
    </row>
    <row r="19197" spans="18:19">
      <c r="R19197" s="178"/>
      <c r="S19197" s="178"/>
    </row>
    <row r="19198" spans="18:19">
      <c r="R19198" s="178"/>
      <c r="S19198" s="178"/>
    </row>
    <row r="19199" spans="18:19">
      <c r="R19199" s="178"/>
      <c r="S19199" s="178"/>
    </row>
    <row r="19200" spans="18:19">
      <c r="R19200" s="178"/>
      <c r="S19200" s="178"/>
    </row>
    <row r="19201" spans="18:19">
      <c r="R19201" s="178"/>
      <c r="S19201" s="178"/>
    </row>
    <row r="19202" spans="18:19">
      <c r="R19202" s="178"/>
      <c r="S19202" s="178"/>
    </row>
    <row r="19203" spans="18:19">
      <c r="R19203" s="178"/>
      <c r="S19203" s="178"/>
    </row>
    <row r="19204" spans="18:19">
      <c r="R19204" s="178"/>
      <c r="S19204" s="178"/>
    </row>
    <row r="19205" spans="18:19">
      <c r="R19205" s="178"/>
      <c r="S19205" s="178"/>
    </row>
    <row r="19206" spans="18:19">
      <c r="R19206" s="178"/>
      <c r="S19206" s="178"/>
    </row>
    <row r="19207" spans="18:19">
      <c r="R19207" s="178"/>
      <c r="S19207" s="178"/>
    </row>
    <row r="19208" spans="18:19">
      <c r="R19208" s="178"/>
      <c r="S19208" s="178"/>
    </row>
    <row r="19209" spans="18:19">
      <c r="R19209" s="178"/>
      <c r="S19209" s="178"/>
    </row>
    <row r="19210" spans="18:19">
      <c r="R19210" s="178"/>
      <c r="S19210" s="178"/>
    </row>
    <row r="19211" spans="18:19">
      <c r="R19211" s="178"/>
      <c r="S19211" s="178"/>
    </row>
    <row r="19212" spans="18:19">
      <c r="R19212" s="178"/>
      <c r="S19212" s="178"/>
    </row>
    <row r="19213" spans="18:19">
      <c r="R19213" s="178"/>
      <c r="S19213" s="178"/>
    </row>
    <row r="19214" spans="18:19">
      <c r="R19214" s="178"/>
      <c r="S19214" s="178"/>
    </row>
    <row r="19215" spans="18:19">
      <c r="R19215" s="178"/>
      <c r="S19215" s="178"/>
    </row>
    <row r="19216" spans="18:19">
      <c r="R19216" s="178"/>
      <c r="S19216" s="178"/>
    </row>
    <row r="19217" spans="18:19">
      <c r="R19217" s="178"/>
      <c r="S19217" s="178"/>
    </row>
    <row r="19218" spans="18:19">
      <c r="R19218" s="178"/>
      <c r="S19218" s="178"/>
    </row>
    <row r="19219" spans="18:19">
      <c r="R19219" s="178"/>
      <c r="S19219" s="178"/>
    </row>
    <row r="19220" spans="18:19">
      <c r="R19220" s="178"/>
      <c r="S19220" s="178"/>
    </row>
    <row r="19221" spans="18:19">
      <c r="R19221" s="178"/>
      <c r="S19221" s="178"/>
    </row>
    <row r="19222" spans="18:19">
      <c r="R19222" s="178"/>
      <c r="S19222" s="178"/>
    </row>
    <row r="19223" spans="18:19">
      <c r="R19223" s="178"/>
      <c r="S19223" s="178"/>
    </row>
    <row r="19224" spans="18:19">
      <c r="R19224" s="178"/>
      <c r="S19224" s="178"/>
    </row>
    <row r="19225" spans="18:19">
      <c r="R19225" s="178"/>
      <c r="S19225" s="178"/>
    </row>
    <row r="19226" spans="18:19">
      <c r="R19226" s="178"/>
      <c r="S19226" s="178"/>
    </row>
    <row r="19227" spans="18:19">
      <c r="R19227" s="178"/>
      <c r="S19227" s="178"/>
    </row>
    <row r="19228" spans="18:19">
      <c r="R19228" s="178"/>
      <c r="S19228" s="178"/>
    </row>
    <row r="19229" spans="18:19">
      <c r="R19229" s="178"/>
      <c r="S19229" s="178"/>
    </row>
    <row r="19230" spans="18:19">
      <c r="R19230" s="178"/>
      <c r="S19230" s="178"/>
    </row>
    <row r="19231" spans="18:19">
      <c r="R19231" s="178"/>
      <c r="S19231" s="178"/>
    </row>
    <row r="19232" spans="18:19">
      <c r="R19232" s="178"/>
      <c r="S19232" s="178"/>
    </row>
    <row r="19233" spans="18:19">
      <c r="R19233" s="178"/>
      <c r="S19233" s="178"/>
    </row>
    <row r="19234" spans="18:19">
      <c r="R19234" s="178"/>
      <c r="S19234" s="178"/>
    </row>
    <row r="19235" spans="18:19">
      <c r="R19235" s="178"/>
      <c r="S19235" s="178"/>
    </row>
    <row r="19236" spans="18:19">
      <c r="R19236" s="178"/>
      <c r="S19236" s="178"/>
    </row>
    <row r="19237" spans="18:19">
      <c r="R19237" s="178"/>
      <c r="S19237" s="178"/>
    </row>
    <row r="19238" spans="18:19">
      <c r="R19238" s="178"/>
      <c r="S19238" s="178"/>
    </row>
    <row r="19239" spans="18:19">
      <c r="R19239" s="178"/>
      <c r="S19239" s="178"/>
    </row>
    <row r="19240" spans="18:19">
      <c r="R19240" s="178"/>
      <c r="S19240" s="178"/>
    </row>
    <row r="19241" spans="18:19">
      <c r="R19241" s="178"/>
      <c r="S19241" s="178"/>
    </row>
    <row r="19242" spans="18:19">
      <c r="R19242" s="178"/>
      <c r="S19242" s="178"/>
    </row>
    <row r="19243" spans="18:19">
      <c r="R19243" s="178"/>
      <c r="S19243" s="178"/>
    </row>
    <row r="19244" spans="18:19">
      <c r="R19244" s="178"/>
      <c r="S19244" s="178"/>
    </row>
    <row r="19245" spans="18:19">
      <c r="R19245" s="178"/>
      <c r="S19245" s="178"/>
    </row>
    <row r="19246" spans="18:19">
      <c r="R19246" s="178"/>
      <c r="S19246" s="178"/>
    </row>
    <row r="19247" spans="18:19">
      <c r="R19247" s="178"/>
      <c r="S19247" s="178"/>
    </row>
    <row r="19248" spans="18:19">
      <c r="R19248" s="178"/>
      <c r="S19248" s="178"/>
    </row>
    <row r="19249" spans="18:19">
      <c r="R19249" s="178"/>
      <c r="S19249" s="178"/>
    </row>
    <row r="19250" spans="18:19">
      <c r="R19250" s="178"/>
      <c r="S19250" s="178"/>
    </row>
    <row r="19251" spans="18:19">
      <c r="R19251" s="178"/>
      <c r="S19251" s="178"/>
    </row>
    <row r="19252" spans="18:19">
      <c r="R19252" s="178"/>
      <c r="S19252" s="178"/>
    </row>
    <row r="19253" spans="18:19">
      <c r="R19253" s="178"/>
      <c r="S19253" s="178"/>
    </row>
    <row r="19254" spans="18:19">
      <c r="R19254" s="178"/>
      <c r="S19254" s="178"/>
    </row>
    <row r="19255" spans="18:19">
      <c r="R19255" s="178"/>
      <c r="S19255" s="178"/>
    </row>
    <row r="19256" spans="18:19">
      <c r="R19256" s="178"/>
      <c r="S19256" s="178"/>
    </row>
    <row r="19257" spans="18:19">
      <c r="R19257" s="178"/>
      <c r="S19257" s="178"/>
    </row>
    <row r="19258" spans="18:19">
      <c r="R19258" s="178"/>
      <c r="S19258" s="178"/>
    </row>
    <row r="19259" spans="18:19">
      <c r="R19259" s="178"/>
      <c r="S19259" s="178"/>
    </row>
    <row r="19260" spans="18:19">
      <c r="R19260" s="178"/>
      <c r="S19260" s="178"/>
    </row>
    <row r="19261" spans="18:19">
      <c r="R19261" s="178"/>
      <c r="S19261" s="178"/>
    </row>
    <row r="19262" spans="18:19">
      <c r="R19262" s="178"/>
      <c r="S19262" s="178"/>
    </row>
    <row r="19263" spans="18:19">
      <c r="R19263" s="178"/>
      <c r="S19263" s="178"/>
    </row>
    <row r="19264" spans="18:19">
      <c r="R19264" s="178"/>
      <c r="S19264" s="178"/>
    </row>
    <row r="19265" spans="18:19">
      <c r="R19265" s="178"/>
      <c r="S19265" s="178"/>
    </row>
    <row r="19266" spans="18:19">
      <c r="R19266" s="178"/>
      <c r="S19266" s="178"/>
    </row>
    <row r="19267" spans="18:19">
      <c r="R19267" s="178"/>
      <c r="S19267" s="178"/>
    </row>
    <row r="19268" spans="18:19">
      <c r="R19268" s="178"/>
      <c r="S19268" s="178"/>
    </row>
    <row r="19269" spans="18:19">
      <c r="R19269" s="178"/>
      <c r="S19269" s="178"/>
    </row>
    <row r="19270" spans="18:19">
      <c r="R19270" s="178"/>
      <c r="S19270" s="178"/>
    </row>
    <row r="19271" spans="18:19">
      <c r="R19271" s="178"/>
      <c r="S19271" s="178"/>
    </row>
    <row r="19272" spans="18:19">
      <c r="R19272" s="178"/>
      <c r="S19272" s="178"/>
    </row>
    <row r="19273" spans="18:19">
      <c r="R19273" s="178"/>
      <c r="S19273" s="178"/>
    </row>
    <row r="19274" spans="18:19">
      <c r="R19274" s="178"/>
      <c r="S19274" s="178"/>
    </row>
    <row r="19275" spans="18:19">
      <c r="R19275" s="178"/>
      <c r="S19275" s="178"/>
    </row>
    <row r="19276" spans="18:19">
      <c r="R19276" s="178"/>
      <c r="S19276" s="178"/>
    </row>
    <row r="19277" spans="18:19">
      <c r="R19277" s="178"/>
      <c r="S19277" s="178"/>
    </row>
    <row r="19278" spans="18:19">
      <c r="R19278" s="178"/>
      <c r="S19278" s="178"/>
    </row>
    <row r="19279" spans="18:19">
      <c r="R19279" s="178"/>
      <c r="S19279" s="178"/>
    </row>
    <row r="19280" spans="18:19">
      <c r="R19280" s="178"/>
      <c r="S19280" s="178"/>
    </row>
    <row r="19281" spans="18:19">
      <c r="R19281" s="178"/>
      <c r="S19281" s="178"/>
    </row>
    <row r="19282" spans="18:19">
      <c r="R19282" s="178"/>
      <c r="S19282" s="178"/>
    </row>
    <row r="19283" spans="18:19">
      <c r="R19283" s="178"/>
      <c r="S19283" s="178"/>
    </row>
    <row r="19284" spans="18:19">
      <c r="R19284" s="178"/>
      <c r="S19284" s="178"/>
    </row>
    <row r="19285" spans="18:19">
      <c r="R19285" s="178"/>
      <c r="S19285" s="178"/>
    </row>
    <row r="19286" spans="18:19">
      <c r="R19286" s="178"/>
      <c r="S19286" s="178"/>
    </row>
    <row r="19287" spans="18:19">
      <c r="R19287" s="178"/>
      <c r="S19287" s="178"/>
    </row>
    <row r="19288" spans="18:19">
      <c r="R19288" s="178"/>
      <c r="S19288" s="178"/>
    </row>
    <row r="19289" spans="18:19">
      <c r="R19289" s="178"/>
      <c r="S19289" s="178"/>
    </row>
    <row r="19290" spans="18:19">
      <c r="R19290" s="178"/>
      <c r="S19290" s="178"/>
    </row>
    <row r="19291" spans="18:19">
      <c r="R19291" s="178"/>
      <c r="S19291" s="178"/>
    </row>
    <row r="19292" spans="18:19">
      <c r="R19292" s="178"/>
      <c r="S19292" s="178"/>
    </row>
    <row r="19293" spans="18:19">
      <c r="R19293" s="178"/>
      <c r="S19293" s="178"/>
    </row>
    <row r="19294" spans="18:19">
      <c r="R19294" s="178"/>
      <c r="S19294" s="178"/>
    </row>
    <row r="19295" spans="18:19">
      <c r="R19295" s="178"/>
      <c r="S19295" s="178"/>
    </row>
    <row r="19296" spans="18:19">
      <c r="R19296" s="178"/>
      <c r="S19296" s="178"/>
    </row>
    <row r="19297" spans="18:19">
      <c r="R19297" s="178"/>
      <c r="S19297" s="178"/>
    </row>
    <row r="19298" spans="18:19">
      <c r="R19298" s="178"/>
      <c r="S19298" s="178"/>
    </row>
    <row r="19299" spans="18:19">
      <c r="R19299" s="178"/>
      <c r="S19299" s="178"/>
    </row>
    <row r="19300" spans="18:19">
      <c r="R19300" s="178"/>
      <c r="S19300" s="178"/>
    </row>
    <row r="19301" spans="18:19">
      <c r="R19301" s="178"/>
      <c r="S19301" s="178"/>
    </row>
    <row r="19302" spans="18:19">
      <c r="R19302" s="178"/>
      <c r="S19302" s="178"/>
    </row>
    <row r="19303" spans="18:19">
      <c r="R19303" s="178"/>
      <c r="S19303" s="178"/>
    </row>
    <row r="19304" spans="18:19">
      <c r="R19304" s="178"/>
      <c r="S19304" s="178"/>
    </row>
    <row r="19305" spans="18:19">
      <c r="R19305" s="178"/>
      <c r="S19305" s="178"/>
    </row>
    <row r="19306" spans="18:19">
      <c r="R19306" s="178"/>
      <c r="S19306" s="178"/>
    </row>
    <row r="19307" spans="18:19">
      <c r="R19307" s="178"/>
      <c r="S19307" s="178"/>
    </row>
    <row r="19308" spans="18:19">
      <c r="R19308" s="178"/>
      <c r="S19308" s="178"/>
    </row>
    <row r="19309" spans="18:19">
      <c r="R19309" s="178"/>
      <c r="S19309" s="178"/>
    </row>
    <row r="19310" spans="18:19">
      <c r="R19310" s="178"/>
      <c r="S19310" s="178"/>
    </row>
    <row r="19311" spans="18:19">
      <c r="R19311" s="178"/>
      <c r="S19311" s="178"/>
    </row>
    <row r="19312" spans="18:19">
      <c r="R19312" s="178"/>
      <c r="S19312" s="178"/>
    </row>
    <row r="19313" spans="18:19">
      <c r="R19313" s="178"/>
      <c r="S19313" s="178"/>
    </row>
    <row r="19314" spans="18:19">
      <c r="R19314" s="178"/>
      <c r="S19314" s="178"/>
    </row>
    <row r="19315" spans="18:19">
      <c r="R19315" s="178"/>
      <c r="S19315" s="178"/>
    </row>
    <row r="19316" spans="18:19">
      <c r="R19316" s="178"/>
      <c r="S19316" s="178"/>
    </row>
    <row r="19317" spans="18:19">
      <c r="R19317" s="178"/>
      <c r="S19317" s="178"/>
    </row>
    <row r="19318" spans="18:19">
      <c r="R19318" s="178"/>
      <c r="S19318" s="178"/>
    </row>
    <row r="19319" spans="18:19">
      <c r="R19319" s="178"/>
      <c r="S19319" s="178"/>
    </row>
    <row r="19320" spans="18:19">
      <c r="R19320" s="178"/>
      <c r="S19320" s="178"/>
    </row>
    <row r="19321" spans="18:19">
      <c r="R19321" s="178"/>
      <c r="S19321" s="178"/>
    </row>
    <row r="19322" spans="18:19">
      <c r="R19322" s="178"/>
      <c r="S19322" s="178"/>
    </row>
    <row r="19323" spans="18:19">
      <c r="R19323" s="178"/>
      <c r="S19323" s="178"/>
    </row>
    <row r="19324" spans="18:19">
      <c r="R19324" s="178"/>
      <c r="S19324" s="178"/>
    </row>
    <row r="19325" spans="18:19">
      <c r="R19325" s="178"/>
      <c r="S19325" s="178"/>
    </row>
    <row r="19326" spans="18:19">
      <c r="R19326" s="178"/>
      <c r="S19326" s="178"/>
    </row>
    <row r="19327" spans="18:19">
      <c r="R19327" s="178"/>
      <c r="S19327" s="178"/>
    </row>
    <row r="19328" spans="18:19">
      <c r="R19328" s="178"/>
      <c r="S19328" s="178"/>
    </row>
    <row r="19329" spans="18:19">
      <c r="R19329" s="178"/>
      <c r="S19329" s="178"/>
    </row>
    <row r="19330" spans="18:19">
      <c r="R19330" s="178"/>
      <c r="S19330" s="178"/>
    </row>
    <row r="19331" spans="18:19">
      <c r="R19331" s="178"/>
      <c r="S19331" s="178"/>
    </row>
    <row r="19332" spans="18:19">
      <c r="R19332" s="178"/>
      <c r="S19332" s="178"/>
    </row>
    <row r="19333" spans="18:19">
      <c r="R19333" s="178"/>
      <c r="S19333" s="178"/>
    </row>
    <row r="19334" spans="18:19">
      <c r="R19334" s="178"/>
      <c r="S19334" s="178"/>
    </row>
    <row r="19335" spans="18:19">
      <c r="R19335" s="178"/>
      <c r="S19335" s="178"/>
    </row>
    <row r="19336" spans="18:19">
      <c r="R19336" s="178"/>
      <c r="S19336" s="178"/>
    </row>
    <row r="19337" spans="18:19">
      <c r="R19337" s="178"/>
      <c r="S19337" s="178"/>
    </row>
    <row r="19338" spans="18:19">
      <c r="R19338" s="178"/>
      <c r="S19338" s="178"/>
    </row>
    <row r="19339" spans="18:19">
      <c r="R19339" s="178"/>
      <c r="S19339" s="178"/>
    </row>
    <row r="19340" spans="18:19">
      <c r="R19340" s="178"/>
      <c r="S19340" s="178"/>
    </row>
    <row r="19341" spans="18:19">
      <c r="R19341" s="178"/>
      <c r="S19341" s="178"/>
    </row>
    <row r="19342" spans="18:19">
      <c r="R19342" s="178"/>
      <c r="S19342" s="178"/>
    </row>
    <row r="19343" spans="18:19">
      <c r="R19343" s="178"/>
      <c r="S19343" s="178"/>
    </row>
    <row r="19344" spans="18:19">
      <c r="R19344" s="178"/>
      <c r="S19344" s="178"/>
    </row>
    <row r="19345" spans="18:19">
      <c r="R19345" s="178"/>
      <c r="S19345" s="178"/>
    </row>
    <row r="19346" spans="18:19">
      <c r="R19346" s="178"/>
      <c r="S19346" s="178"/>
    </row>
    <row r="19347" spans="18:19">
      <c r="R19347" s="178"/>
      <c r="S19347" s="178"/>
    </row>
    <row r="19348" spans="18:19">
      <c r="R19348" s="178"/>
      <c r="S19348" s="178"/>
    </row>
    <row r="19349" spans="18:19">
      <c r="R19349" s="178"/>
      <c r="S19349" s="178"/>
    </row>
    <row r="19350" spans="18:19">
      <c r="R19350" s="178"/>
      <c r="S19350" s="178"/>
    </row>
    <row r="19351" spans="18:19">
      <c r="R19351" s="178"/>
      <c r="S19351" s="178"/>
    </row>
    <row r="19352" spans="18:19">
      <c r="R19352" s="178"/>
      <c r="S19352" s="178"/>
    </row>
    <row r="19353" spans="18:19">
      <c r="R19353" s="178"/>
      <c r="S19353" s="178"/>
    </row>
    <row r="19354" spans="18:19">
      <c r="R19354" s="178"/>
      <c r="S19354" s="178"/>
    </row>
    <row r="19355" spans="18:19">
      <c r="R19355" s="178"/>
      <c r="S19355" s="178"/>
    </row>
    <row r="19356" spans="18:19">
      <c r="R19356" s="178"/>
      <c r="S19356" s="178"/>
    </row>
    <row r="19357" spans="18:19">
      <c r="R19357" s="178"/>
      <c r="S19357" s="178"/>
    </row>
    <row r="19358" spans="18:19">
      <c r="R19358" s="178"/>
      <c r="S19358" s="178"/>
    </row>
    <row r="19359" spans="18:19">
      <c r="R19359" s="178"/>
      <c r="S19359" s="178"/>
    </row>
    <row r="19360" spans="18:19">
      <c r="R19360" s="178"/>
      <c r="S19360" s="178"/>
    </row>
    <row r="19361" spans="18:19">
      <c r="R19361" s="178"/>
      <c r="S19361" s="178"/>
    </row>
    <row r="19362" spans="18:19">
      <c r="R19362" s="178"/>
      <c r="S19362" s="178"/>
    </row>
    <row r="19363" spans="18:19">
      <c r="R19363" s="178"/>
      <c r="S19363" s="178"/>
    </row>
    <row r="19364" spans="18:19">
      <c r="R19364" s="178"/>
      <c r="S19364" s="178"/>
    </row>
    <row r="19365" spans="18:19">
      <c r="R19365" s="178"/>
      <c r="S19365" s="178"/>
    </row>
    <row r="19366" spans="18:19">
      <c r="R19366" s="178"/>
      <c r="S19366" s="178"/>
    </row>
    <row r="19367" spans="18:19">
      <c r="R19367" s="178"/>
      <c r="S19367" s="178"/>
    </row>
    <row r="19368" spans="18:19">
      <c r="R19368" s="178"/>
      <c r="S19368" s="178"/>
    </row>
    <row r="19369" spans="18:19">
      <c r="R19369" s="178"/>
      <c r="S19369" s="178"/>
    </row>
    <row r="19370" spans="18:19">
      <c r="R19370" s="178"/>
      <c r="S19370" s="178"/>
    </row>
    <row r="19371" spans="18:19">
      <c r="R19371" s="178"/>
      <c r="S19371" s="178"/>
    </row>
    <row r="19372" spans="18:19">
      <c r="R19372" s="178"/>
      <c r="S19372" s="178"/>
    </row>
    <row r="19373" spans="18:19">
      <c r="R19373" s="178"/>
      <c r="S19373" s="178"/>
    </row>
    <row r="19374" spans="18:19">
      <c r="R19374" s="178"/>
      <c r="S19374" s="178"/>
    </row>
    <row r="19375" spans="18:19">
      <c r="R19375" s="178"/>
      <c r="S19375" s="178"/>
    </row>
    <row r="19376" spans="18:19">
      <c r="R19376" s="178"/>
      <c r="S19376" s="178"/>
    </row>
    <row r="19377" spans="18:19">
      <c r="R19377" s="178"/>
      <c r="S19377" s="178"/>
    </row>
    <row r="19378" spans="18:19">
      <c r="R19378" s="178"/>
      <c r="S19378" s="178"/>
    </row>
    <row r="19379" spans="18:19">
      <c r="R19379" s="178"/>
      <c r="S19379" s="178"/>
    </row>
    <row r="19380" spans="18:19">
      <c r="R19380" s="178"/>
      <c r="S19380" s="178"/>
    </row>
    <row r="19381" spans="18:19">
      <c r="R19381" s="178"/>
      <c r="S19381" s="178"/>
    </row>
    <row r="19382" spans="18:19">
      <c r="R19382" s="178"/>
      <c r="S19382" s="178"/>
    </row>
    <row r="19383" spans="18:19">
      <c r="R19383" s="178"/>
      <c r="S19383" s="178"/>
    </row>
    <row r="19384" spans="18:19">
      <c r="R19384" s="178"/>
      <c r="S19384" s="178"/>
    </row>
    <row r="19385" spans="18:19">
      <c r="R19385" s="178"/>
      <c r="S19385" s="178"/>
    </row>
    <row r="19386" spans="18:19">
      <c r="R19386" s="178"/>
      <c r="S19386" s="178"/>
    </row>
    <row r="19387" spans="18:19">
      <c r="R19387" s="178"/>
      <c r="S19387" s="178"/>
    </row>
    <row r="19388" spans="18:19">
      <c r="R19388" s="178"/>
      <c r="S19388" s="178"/>
    </row>
    <row r="19389" spans="18:19">
      <c r="R19389" s="178"/>
      <c r="S19389" s="178"/>
    </row>
    <row r="19390" spans="18:19">
      <c r="R19390" s="178"/>
      <c r="S19390" s="178"/>
    </row>
    <row r="19391" spans="18:19">
      <c r="R19391" s="178"/>
      <c r="S19391" s="178"/>
    </row>
    <row r="19392" spans="18:19">
      <c r="R19392" s="178"/>
      <c r="S19392" s="178"/>
    </row>
    <row r="19393" spans="18:19">
      <c r="R19393" s="178"/>
      <c r="S19393" s="178"/>
    </row>
    <row r="19394" spans="18:19">
      <c r="R19394" s="178"/>
      <c r="S19394" s="178"/>
    </row>
    <row r="19395" spans="18:19">
      <c r="R19395" s="178"/>
      <c r="S19395" s="178"/>
    </row>
    <row r="19396" spans="18:19">
      <c r="R19396" s="178"/>
      <c r="S19396" s="178"/>
    </row>
    <row r="19397" spans="18:19">
      <c r="R19397" s="178"/>
      <c r="S19397" s="178"/>
    </row>
    <row r="19398" spans="18:19">
      <c r="R19398" s="178"/>
      <c r="S19398" s="178"/>
    </row>
    <row r="19399" spans="18:19">
      <c r="R19399" s="178"/>
      <c r="S19399" s="178"/>
    </row>
    <row r="19400" spans="18:19">
      <c r="R19400" s="178"/>
      <c r="S19400" s="178"/>
    </row>
    <row r="19401" spans="18:19">
      <c r="R19401" s="178"/>
      <c r="S19401" s="178"/>
    </row>
    <row r="19402" spans="18:19">
      <c r="R19402" s="178"/>
      <c r="S19402" s="178"/>
    </row>
    <row r="19403" spans="18:19">
      <c r="R19403" s="178"/>
      <c r="S19403" s="178"/>
    </row>
    <row r="19404" spans="18:19">
      <c r="R19404" s="178"/>
      <c r="S19404" s="178"/>
    </row>
    <row r="19405" spans="18:19">
      <c r="R19405" s="178"/>
      <c r="S19405" s="178"/>
    </row>
    <row r="19406" spans="18:19">
      <c r="R19406" s="178"/>
      <c r="S19406" s="178"/>
    </row>
    <row r="19407" spans="18:19">
      <c r="R19407" s="178"/>
      <c r="S19407" s="178"/>
    </row>
    <row r="19408" spans="18:19">
      <c r="R19408" s="178"/>
      <c r="S19408" s="178"/>
    </row>
    <row r="19409" spans="18:19">
      <c r="R19409" s="178"/>
      <c r="S19409" s="178"/>
    </row>
    <row r="19410" spans="18:19">
      <c r="R19410" s="178"/>
      <c r="S19410" s="178"/>
    </row>
    <row r="19411" spans="18:19">
      <c r="R19411" s="178"/>
      <c r="S19411" s="178"/>
    </row>
    <row r="19412" spans="18:19">
      <c r="R19412" s="178"/>
      <c r="S19412" s="178"/>
    </row>
    <row r="19413" spans="18:19">
      <c r="R19413" s="178"/>
      <c r="S19413" s="178"/>
    </row>
    <row r="19414" spans="18:19">
      <c r="R19414" s="178"/>
      <c r="S19414" s="178"/>
    </row>
    <row r="19415" spans="18:19">
      <c r="R19415" s="178"/>
      <c r="S19415" s="178"/>
    </row>
    <row r="19416" spans="18:19">
      <c r="R19416" s="178"/>
      <c r="S19416" s="178"/>
    </row>
    <row r="19417" spans="18:19">
      <c r="R19417" s="178"/>
      <c r="S19417" s="178"/>
    </row>
    <row r="19418" spans="18:19">
      <c r="R19418" s="178"/>
      <c r="S19418" s="178"/>
    </row>
    <row r="19419" spans="18:19">
      <c r="R19419" s="178"/>
      <c r="S19419" s="178"/>
    </row>
    <row r="19420" spans="18:19">
      <c r="R19420" s="178"/>
      <c r="S19420" s="178"/>
    </row>
    <row r="19421" spans="18:19">
      <c r="R19421" s="178"/>
      <c r="S19421" s="178"/>
    </row>
    <row r="19422" spans="18:19">
      <c r="R19422" s="178"/>
      <c r="S19422" s="178"/>
    </row>
    <row r="19423" spans="18:19">
      <c r="R19423" s="178"/>
      <c r="S19423" s="178"/>
    </row>
    <row r="19424" spans="18:19">
      <c r="R19424" s="178"/>
      <c r="S19424" s="178"/>
    </row>
    <row r="19425" spans="18:19">
      <c r="R19425" s="178"/>
      <c r="S19425" s="178"/>
    </row>
    <row r="19426" spans="18:19">
      <c r="R19426" s="178"/>
      <c r="S19426" s="178"/>
    </row>
    <row r="19427" spans="18:19">
      <c r="R19427" s="178"/>
      <c r="S19427" s="178"/>
    </row>
    <row r="19428" spans="18:19">
      <c r="R19428" s="178"/>
      <c r="S19428" s="178"/>
    </row>
    <row r="19429" spans="18:19">
      <c r="R19429" s="178"/>
      <c r="S19429" s="178"/>
    </row>
    <row r="19430" spans="18:19">
      <c r="R19430" s="178"/>
      <c r="S19430" s="178"/>
    </row>
    <row r="19431" spans="18:19">
      <c r="R19431" s="178"/>
      <c r="S19431" s="178"/>
    </row>
    <row r="19432" spans="18:19">
      <c r="R19432" s="178"/>
      <c r="S19432" s="178"/>
    </row>
    <row r="19433" spans="18:19">
      <c r="R19433" s="178"/>
      <c r="S19433" s="178"/>
    </row>
    <row r="19434" spans="18:19">
      <c r="R19434" s="178"/>
      <c r="S19434" s="178"/>
    </row>
    <row r="19435" spans="18:19">
      <c r="R19435" s="178"/>
      <c r="S19435" s="178"/>
    </row>
    <row r="19436" spans="18:19">
      <c r="R19436" s="178"/>
      <c r="S19436" s="178"/>
    </row>
    <row r="19437" spans="18:19">
      <c r="R19437" s="178"/>
      <c r="S19437" s="178"/>
    </row>
    <row r="19438" spans="18:19">
      <c r="R19438" s="178"/>
      <c r="S19438" s="178"/>
    </row>
    <row r="19439" spans="18:19">
      <c r="R19439" s="178"/>
      <c r="S19439" s="178"/>
    </row>
    <row r="19440" spans="18:19">
      <c r="R19440" s="178"/>
      <c r="S19440" s="178"/>
    </row>
    <row r="19441" spans="18:19">
      <c r="R19441" s="178"/>
      <c r="S19441" s="178"/>
    </row>
    <row r="19442" spans="18:19">
      <c r="R19442" s="178"/>
      <c r="S19442" s="178"/>
    </row>
    <row r="19443" spans="18:19">
      <c r="R19443" s="178"/>
      <c r="S19443" s="178"/>
    </row>
    <row r="19444" spans="18:19">
      <c r="R19444" s="178"/>
      <c r="S19444" s="178"/>
    </row>
    <row r="19445" spans="18:19">
      <c r="R19445" s="178"/>
      <c r="S19445" s="178"/>
    </row>
    <row r="19446" spans="18:19">
      <c r="R19446" s="178"/>
      <c r="S19446" s="178"/>
    </row>
    <row r="19447" spans="18:19">
      <c r="R19447" s="178"/>
      <c r="S19447" s="178"/>
    </row>
    <row r="19448" spans="18:19">
      <c r="R19448" s="178"/>
      <c r="S19448" s="178"/>
    </row>
    <row r="19449" spans="18:19">
      <c r="R19449" s="178"/>
      <c r="S19449" s="178"/>
    </row>
    <row r="19450" spans="18:19">
      <c r="R19450" s="178"/>
      <c r="S19450" s="178"/>
    </row>
    <row r="19451" spans="18:19">
      <c r="R19451" s="178"/>
      <c r="S19451" s="178"/>
    </row>
    <row r="19452" spans="18:19">
      <c r="R19452" s="178"/>
      <c r="S19452" s="178"/>
    </row>
    <row r="19453" spans="18:19">
      <c r="R19453" s="178"/>
      <c r="S19453" s="178"/>
    </row>
    <row r="19454" spans="18:19">
      <c r="R19454" s="178"/>
      <c r="S19454" s="178"/>
    </row>
    <row r="19455" spans="18:19">
      <c r="R19455" s="178"/>
      <c r="S19455" s="178"/>
    </row>
    <row r="19456" spans="18:19">
      <c r="R19456" s="178"/>
      <c r="S19456" s="178"/>
    </row>
    <row r="19457" spans="18:19">
      <c r="R19457" s="178"/>
      <c r="S19457" s="178"/>
    </row>
    <row r="19458" spans="18:19">
      <c r="R19458" s="178"/>
      <c r="S19458" s="178"/>
    </row>
    <row r="19459" spans="18:19">
      <c r="R19459" s="178"/>
      <c r="S19459" s="178"/>
    </row>
    <row r="19460" spans="18:19">
      <c r="R19460" s="178"/>
      <c r="S19460" s="178"/>
    </row>
    <row r="19461" spans="18:19">
      <c r="R19461" s="178"/>
      <c r="S19461" s="178"/>
    </row>
    <row r="19462" spans="18:19">
      <c r="R19462" s="178"/>
      <c r="S19462" s="178"/>
    </row>
    <row r="19463" spans="18:19">
      <c r="R19463" s="178"/>
      <c r="S19463" s="178"/>
    </row>
    <row r="19464" spans="18:19">
      <c r="R19464" s="178"/>
      <c r="S19464" s="178"/>
    </row>
    <row r="19465" spans="18:19">
      <c r="R19465" s="178"/>
      <c r="S19465" s="178"/>
    </row>
    <row r="19466" spans="18:19">
      <c r="R19466" s="178"/>
      <c r="S19466" s="178"/>
    </row>
    <row r="19467" spans="18:19">
      <c r="R19467" s="178"/>
      <c r="S19467" s="178"/>
    </row>
    <row r="19468" spans="18:19">
      <c r="R19468" s="178"/>
      <c r="S19468" s="178"/>
    </row>
    <row r="19469" spans="18:19">
      <c r="R19469" s="178"/>
      <c r="S19469" s="178"/>
    </row>
    <row r="19470" spans="18:19">
      <c r="R19470" s="178"/>
      <c r="S19470" s="178"/>
    </row>
    <row r="19471" spans="18:19">
      <c r="R19471" s="178"/>
      <c r="S19471" s="178"/>
    </row>
    <row r="19472" spans="18:19">
      <c r="R19472" s="178"/>
      <c r="S19472" s="178"/>
    </row>
    <row r="19473" spans="18:19">
      <c r="R19473" s="178"/>
      <c r="S19473" s="178"/>
    </row>
    <row r="19474" spans="18:19">
      <c r="R19474" s="178"/>
      <c r="S19474" s="178"/>
    </row>
    <row r="19475" spans="18:19">
      <c r="R19475" s="178"/>
      <c r="S19475" s="178"/>
    </row>
    <row r="19476" spans="18:19">
      <c r="R19476" s="178"/>
      <c r="S19476" s="178"/>
    </row>
    <row r="19477" spans="18:19">
      <c r="R19477" s="178"/>
      <c r="S19477" s="178"/>
    </row>
    <row r="19478" spans="18:19">
      <c r="R19478" s="178"/>
      <c r="S19478" s="178"/>
    </row>
    <row r="19479" spans="18:19">
      <c r="R19479" s="178"/>
      <c r="S19479" s="178"/>
    </row>
    <row r="19480" spans="18:19">
      <c r="R19480" s="178"/>
      <c r="S19480" s="178"/>
    </row>
    <row r="19481" spans="18:19">
      <c r="R19481" s="178"/>
      <c r="S19481" s="178"/>
    </row>
    <row r="19482" spans="18:19">
      <c r="R19482" s="178"/>
      <c r="S19482" s="178"/>
    </row>
    <row r="19483" spans="18:19">
      <c r="R19483" s="178"/>
      <c r="S19483" s="178"/>
    </row>
    <row r="19484" spans="18:19">
      <c r="R19484" s="178"/>
      <c r="S19484" s="178"/>
    </row>
    <row r="19485" spans="18:19">
      <c r="R19485" s="178"/>
      <c r="S19485" s="178"/>
    </row>
    <row r="19486" spans="18:19">
      <c r="R19486" s="178"/>
      <c r="S19486" s="178"/>
    </row>
    <row r="19487" spans="18:19">
      <c r="R19487" s="178"/>
      <c r="S19487" s="178"/>
    </row>
    <row r="19488" spans="18:19">
      <c r="R19488" s="178"/>
      <c r="S19488" s="178"/>
    </row>
    <row r="19489" spans="18:19">
      <c r="R19489" s="178"/>
      <c r="S19489" s="178"/>
    </row>
    <row r="19490" spans="18:19">
      <c r="R19490" s="178"/>
      <c r="S19490" s="178"/>
    </row>
    <row r="19491" spans="18:19">
      <c r="R19491" s="178"/>
      <c r="S19491" s="178"/>
    </row>
    <row r="19492" spans="18:19">
      <c r="R19492" s="178"/>
      <c r="S19492" s="178"/>
    </row>
    <row r="19493" spans="18:19">
      <c r="R19493" s="178"/>
      <c r="S19493" s="178"/>
    </row>
    <row r="19494" spans="18:19">
      <c r="R19494" s="178"/>
      <c r="S19494" s="178"/>
    </row>
    <row r="19495" spans="18:19">
      <c r="R19495" s="178"/>
      <c r="S19495" s="178"/>
    </row>
    <row r="19496" spans="18:19">
      <c r="R19496" s="178"/>
      <c r="S19496" s="178"/>
    </row>
    <row r="19497" spans="18:19">
      <c r="R19497" s="178"/>
      <c r="S19497" s="178"/>
    </row>
    <row r="19498" spans="18:19">
      <c r="R19498" s="178"/>
      <c r="S19498" s="178"/>
    </row>
    <row r="19499" spans="18:19">
      <c r="R19499" s="178"/>
      <c r="S19499" s="178"/>
    </row>
    <row r="19500" spans="18:19">
      <c r="R19500" s="178"/>
      <c r="S19500" s="178"/>
    </row>
    <row r="19501" spans="18:19">
      <c r="R19501" s="178"/>
      <c r="S19501" s="178"/>
    </row>
    <row r="19502" spans="18:19">
      <c r="R19502" s="178"/>
      <c r="S19502" s="178"/>
    </row>
    <row r="19503" spans="18:19">
      <c r="R19503" s="178"/>
      <c r="S19503" s="178"/>
    </row>
    <row r="19504" spans="18:19">
      <c r="R19504" s="178"/>
      <c r="S19504" s="178"/>
    </row>
    <row r="19505" spans="18:19">
      <c r="R19505" s="178"/>
      <c r="S19505" s="178"/>
    </row>
    <row r="19506" spans="18:19">
      <c r="R19506" s="178"/>
      <c r="S19506" s="178"/>
    </row>
    <row r="19507" spans="18:19">
      <c r="R19507" s="178"/>
      <c r="S19507" s="178"/>
    </row>
    <row r="19508" spans="18:19">
      <c r="R19508" s="178"/>
      <c r="S19508" s="178"/>
    </row>
    <row r="19509" spans="18:19">
      <c r="R19509" s="178"/>
      <c r="S19509" s="178"/>
    </row>
    <row r="19510" spans="18:19">
      <c r="R19510" s="178"/>
      <c r="S19510" s="178"/>
    </row>
    <row r="19511" spans="18:19">
      <c r="R19511" s="178"/>
      <c r="S19511" s="178"/>
    </row>
    <row r="19512" spans="18:19">
      <c r="R19512" s="178"/>
      <c r="S19512" s="178"/>
    </row>
    <row r="19513" spans="18:19">
      <c r="R19513" s="178"/>
      <c r="S19513" s="178"/>
    </row>
    <row r="19514" spans="18:19">
      <c r="R19514" s="178"/>
      <c r="S19514" s="178"/>
    </row>
    <row r="19515" spans="18:19">
      <c r="R19515" s="178"/>
      <c r="S19515" s="178"/>
    </row>
    <row r="19516" spans="18:19">
      <c r="R19516" s="178"/>
      <c r="S19516" s="178"/>
    </row>
    <row r="19517" spans="18:19">
      <c r="R19517" s="178"/>
      <c r="S19517" s="178"/>
    </row>
    <row r="19518" spans="18:19">
      <c r="R19518" s="178"/>
      <c r="S19518" s="178"/>
    </row>
    <row r="19519" spans="18:19">
      <c r="R19519" s="178"/>
      <c r="S19519" s="178"/>
    </row>
    <row r="19520" spans="18:19">
      <c r="R19520" s="178"/>
      <c r="S19520" s="178"/>
    </row>
    <row r="19521" spans="18:19">
      <c r="R19521" s="178"/>
      <c r="S19521" s="178"/>
    </row>
    <row r="19522" spans="18:19">
      <c r="R19522" s="178"/>
      <c r="S19522" s="178"/>
    </row>
    <row r="19523" spans="18:19">
      <c r="R19523" s="178"/>
      <c r="S19523" s="178"/>
    </row>
    <row r="19524" spans="18:19">
      <c r="R19524" s="178"/>
      <c r="S19524" s="178"/>
    </row>
    <row r="19525" spans="18:19">
      <c r="R19525" s="178"/>
      <c r="S19525" s="178"/>
    </row>
    <row r="19526" spans="18:19">
      <c r="R19526" s="178"/>
      <c r="S19526" s="178"/>
    </row>
    <row r="19527" spans="18:19">
      <c r="R19527" s="178"/>
      <c r="S19527" s="178"/>
    </row>
    <row r="19528" spans="18:19">
      <c r="R19528" s="178"/>
      <c r="S19528" s="178"/>
    </row>
    <row r="19529" spans="18:19">
      <c r="R19529" s="178"/>
      <c r="S19529" s="178"/>
    </row>
    <row r="19530" spans="18:19">
      <c r="R19530" s="178"/>
      <c r="S19530" s="178"/>
    </row>
    <row r="19531" spans="18:19">
      <c r="R19531" s="178"/>
      <c r="S19531" s="178"/>
    </row>
    <row r="19532" spans="18:19">
      <c r="R19532" s="178"/>
      <c r="S19532" s="178"/>
    </row>
    <row r="19533" spans="18:19">
      <c r="R19533" s="178"/>
      <c r="S19533" s="178"/>
    </row>
    <row r="19534" spans="18:19">
      <c r="R19534" s="178"/>
      <c r="S19534" s="178"/>
    </row>
    <row r="19535" spans="18:19">
      <c r="R19535" s="178"/>
      <c r="S19535" s="178"/>
    </row>
    <row r="19536" spans="18:19">
      <c r="R19536" s="178"/>
      <c r="S19536" s="178"/>
    </row>
    <row r="19537" spans="18:19">
      <c r="R19537" s="178"/>
      <c r="S19537" s="178"/>
    </row>
    <row r="19538" spans="18:19">
      <c r="R19538" s="178"/>
      <c r="S19538" s="178"/>
    </row>
    <row r="19539" spans="18:19">
      <c r="R19539" s="178"/>
      <c r="S19539" s="178"/>
    </row>
    <row r="19540" spans="18:19">
      <c r="R19540" s="178"/>
      <c r="S19540" s="178"/>
    </row>
    <row r="19541" spans="18:19">
      <c r="R19541" s="178"/>
      <c r="S19541" s="178"/>
    </row>
    <row r="19542" spans="18:19">
      <c r="R19542" s="178"/>
      <c r="S19542" s="178"/>
    </row>
    <row r="19543" spans="18:19">
      <c r="R19543" s="178"/>
      <c r="S19543" s="178"/>
    </row>
    <row r="19544" spans="18:19">
      <c r="R19544" s="178"/>
      <c r="S19544" s="178"/>
    </row>
    <row r="19545" spans="18:19">
      <c r="R19545" s="178"/>
      <c r="S19545" s="178"/>
    </row>
    <row r="19546" spans="18:19">
      <c r="R19546" s="178"/>
      <c r="S19546" s="178"/>
    </row>
    <row r="19547" spans="18:19">
      <c r="R19547" s="178"/>
      <c r="S19547" s="178"/>
    </row>
    <row r="19548" spans="18:19">
      <c r="R19548" s="178"/>
      <c r="S19548" s="178"/>
    </row>
    <row r="19549" spans="18:19">
      <c r="R19549" s="178"/>
      <c r="S19549" s="178"/>
    </row>
    <row r="19550" spans="18:19">
      <c r="R19550" s="178"/>
      <c r="S19550" s="178"/>
    </row>
    <row r="19551" spans="18:19">
      <c r="R19551" s="178"/>
      <c r="S19551" s="178"/>
    </row>
    <row r="19552" spans="18:19">
      <c r="R19552" s="178"/>
      <c r="S19552" s="178"/>
    </row>
    <row r="19553" spans="18:19">
      <c r="R19553" s="178"/>
      <c r="S19553" s="178"/>
    </row>
    <row r="19554" spans="18:19">
      <c r="R19554" s="178"/>
      <c r="S19554" s="178"/>
    </row>
    <row r="19555" spans="18:19">
      <c r="R19555" s="178"/>
      <c r="S19555" s="178"/>
    </row>
    <row r="19556" spans="18:19">
      <c r="R19556" s="178"/>
      <c r="S19556" s="178"/>
    </row>
    <row r="19557" spans="18:19">
      <c r="R19557" s="178"/>
      <c r="S19557" s="178"/>
    </row>
    <row r="19558" spans="18:19">
      <c r="R19558" s="178"/>
      <c r="S19558" s="178"/>
    </row>
    <row r="19559" spans="18:19">
      <c r="R19559" s="178"/>
      <c r="S19559" s="178"/>
    </row>
    <row r="19560" spans="18:19">
      <c r="R19560" s="178"/>
      <c r="S19560" s="178"/>
    </row>
    <row r="19561" spans="18:19">
      <c r="R19561" s="178"/>
      <c r="S19561" s="178"/>
    </row>
    <row r="19562" spans="18:19">
      <c r="R19562" s="178"/>
      <c r="S19562" s="178"/>
    </row>
    <row r="19563" spans="18:19">
      <c r="R19563" s="178"/>
      <c r="S19563" s="178"/>
    </row>
    <row r="19564" spans="18:19">
      <c r="R19564" s="178"/>
      <c r="S19564" s="178"/>
    </row>
    <row r="19565" spans="18:19">
      <c r="R19565" s="178"/>
      <c r="S19565" s="178"/>
    </row>
    <row r="19566" spans="18:19">
      <c r="R19566" s="178"/>
      <c r="S19566" s="178"/>
    </row>
    <row r="19567" spans="18:19">
      <c r="R19567" s="178"/>
      <c r="S19567" s="178"/>
    </row>
    <row r="19568" spans="18:19">
      <c r="R19568" s="178"/>
      <c r="S19568" s="178"/>
    </row>
    <row r="19569" spans="18:19">
      <c r="R19569" s="178"/>
      <c r="S19569" s="178"/>
    </row>
    <row r="19570" spans="18:19">
      <c r="R19570" s="178"/>
      <c r="S19570" s="178"/>
    </row>
    <row r="19571" spans="18:19">
      <c r="R19571" s="178"/>
      <c r="S19571" s="178"/>
    </row>
    <row r="19572" spans="18:19">
      <c r="R19572" s="178"/>
      <c r="S19572" s="178"/>
    </row>
    <row r="19573" spans="18:19">
      <c r="R19573" s="178"/>
      <c r="S19573" s="178"/>
    </row>
    <row r="19574" spans="18:19">
      <c r="R19574" s="178"/>
      <c r="S19574" s="178"/>
    </row>
    <row r="19575" spans="18:19">
      <c r="R19575" s="178"/>
      <c r="S19575" s="178"/>
    </row>
    <row r="19576" spans="18:19">
      <c r="R19576" s="178"/>
      <c r="S19576" s="178"/>
    </row>
    <row r="19577" spans="18:19">
      <c r="R19577" s="178"/>
      <c r="S19577" s="178"/>
    </row>
    <row r="19578" spans="18:19">
      <c r="R19578" s="178"/>
      <c r="S19578" s="178"/>
    </row>
    <row r="19579" spans="18:19">
      <c r="R19579" s="178"/>
      <c r="S19579" s="178"/>
    </row>
    <row r="19580" spans="18:19">
      <c r="R19580" s="178"/>
      <c r="S19580" s="178"/>
    </row>
    <row r="19581" spans="18:19">
      <c r="R19581" s="178"/>
      <c r="S19581" s="178"/>
    </row>
    <row r="19582" spans="18:19">
      <c r="R19582" s="178"/>
      <c r="S19582" s="178"/>
    </row>
    <row r="19583" spans="18:19">
      <c r="R19583" s="178"/>
      <c r="S19583" s="178"/>
    </row>
    <row r="19584" spans="18:19">
      <c r="R19584" s="178"/>
      <c r="S19584" s="178"/>
    </row>
    <row r="19585" spans="18:19">
      <c r="R19585" s="178"/>
      <c r="S19585" s="178"/>
    </row>
    <row r="19586" spans="18:19">
      <c r="R19586" s="178"/>
      <c r="S19586" s="178"/>
    </row>
    <row r="19587" spans="18:19">
      <c r="R19587" s="178"/>
      <c r="S19587" s="178"/>
    </row>
    <row r="19588" spans="18:19">
      <c r="R19588" s="178"/>
      <c r="S19588" s="178"/>
    </row>
    <row r="19589" spans="18:19">
      <c r="R19589" s="178"/>
      <c r="S19589" s="178"/>
    </row>
    <row r="19590" spans="18:19">
      <c r="R19590" s="178"/>
      <c r="S19590" s="178"/>
    </row>
    <row r="19591" spans="18:19">
      <c r="R19591" s="178"/>
      <c r="S19591" s="178"/>
    </row>
    <row r="19592" spans="18:19">
      <c r="R19592" s="178"/>
      <c r="S19592" s="178"/>
    </row>
    <row r="19593" spans="18:19">
      <c r="R19593" s="178"/>
      <c r="S19593" s="178"/>
    </row>
    <row r="19594" spans="18:19">
      <c r="R19594" s="178"/>
      <c r="S19594" s="178"/>
    </row>
    <row r="19595" spans="18:19">
      <c r="R19595" s="178"/>
      <c r="S19595" s="178"/>
    </row>
    <row r="19596" spans="18:19">
      <c r="R19596" s="178"/>
      <c r="S19596" s="178"/>
    </row>
    <row r="19597" spans="18:19">
      <c r="R19597" s="178"/>
      <c r="S19597" s="178"/>
    </row>
    <row r="19598" spans="18:19">
      <c r="R19598" s="178"/>
      <c r="S19598" s="178"/>
    </row>
    <row r="19599" spans="18:19">
      <c r="R19599" s="178"/>
      <c r="S19599" s="178"/>
    </row>
    <row r="19600" spans="18:19">
      <c r="R19600" s="178"/>
      <c r="S19600" s="178"/>
    </row>
    <row r="19601" spans="18:19">
      <c r="R19601" s="178"/>
      <c r="S19601" s="178"/>
    </row>
    <row r="19602" spans="18:19">
      <c r="R19602" s="178"/>
      <c r="S19602" s="178"/>
    </row>
    <row r="19603" spans="18:19">
      <c r="R19603" s="178"/>
      <c r="S19603" s="178"/>
    </row>
    <row r="19604" spans="18:19">
      <c r="R19604" s="178"/>
      <c r="S19604" s="178"/>
    </row>
    <row r="19605" spans="18:19">
      <c r="R19605" s="178"/>
      <c r="S19605" s="178"/>
    </row>
    <row r="19606" spans="18:19">
      <c r="R19606" s="178"/>
      <c r="S19606" s="178"/>
    </row>
    <row r="19607" spans="18:19">
      <c r="R19607" s="178"/>
      <c r="S19607" s="178"/>
    </row>
    <row r="19608" spans="18:19">
      <c r="R19608" s="178"/>
      <c r="S19608" s="178"/>
    </row>
    <row r="19609" spans="18:19">
      <c r="R19609" s="178"/>
      <c r="S19609" s="178"/>
    </row>
    <row r="19610" spans="18:19">
      <c r="R19610" s="178"/>
      <c r="S19610" s="178"/>
    </row>
    <row r="19611" spans="18:19">
      <c r="R19611" s="178"/>
      <c r="S19611" s="178"/>
    </row>
    <row r="19612" spans="18:19">
      <c r="R19612" s="178"/>
      <c r="S19612" s="178"/>
    </row>
    <row r="19613" spans="18:19">
      <c r="R19613" s="178"/>
      <c r="S19613" s="178"/>
    </row>
    <row r="19614" spans="18:19">
      <c r="R19614" s="178"/>
      <c r="S19614" s="178"/>
    </row>
    <row r="19615" spans="18:19">
      <c r="R19615" s="178"/>
      <c r="S19615" s="178"/>
    </row>
    <row r="19616" spans="18:19">
      <c r="R19616" s="178"/>
      <c r="S19616" s="178"/>
    </row>
    <row r="19617" spans="18:19">
      <c r="R19617" s="178"/>
      <c r="S19617" s="178"/>
    </row>
    <row r="19618" spans="18:19">
      <c r="R19618" s="178"/>
      <c r="S19618" s="178"/>
    </row>
    <row r="19619" spans="18:19">
      <c r="R19619" s="178"/>
      <c r="S19619" s="178"/>
    </row>
    <row r="19620" spans="18:19">
      <c r="R19620" s="178"/>
      <c r="S19620" s="178"/>
    </row>
    <row r="19621" spans="18:19">
      <c r="R19621" s="178"/>
      <c r="S19621" s="178"/>
    </row>
    <row r="19622" spans="18:19">
      <c r="R19622" s="178"/>
      <c r="S19622" s="178"/>
    </row>
    <row r="19623" spans="18:19">
      <c r="R19623" s="178"/>
      <c r="S19623" s="178"/>
    </row>
    <row r="19624" spans="18:19">
      <c r="R19624" s="178"/>
      <c r="S19624" s="178"/>
    </row>
    <row r="19625" spans="18:19">
      <c r="R19625" s="178"/>
      <c r="S19625" s="178"/>
    </row>
    <row r="19626" spans="18:19">
      <c r="R19626" s="178"/>
      <c r="S19626" s="178"/>
    </row>
    <row r="19627" spans="18:19">
      <c r="R19627" s="178"/>
      <c r="S19627" s="178"/>
    </row>
    <row r="19628" spans="18:19">
      <c r="R19628" s="178"/>
      <c r="S19628" s="178"/>
    </row>
    <row r="19629" spans="18:19">
      <c r="R19629" s="178"/>
      <c r="S19629" s="178"/>
    </row>
    <row r="19630" spans="18:19">
      <c r="R19630" s="178"/>
      <c r="S19630" s="178"/>
    </row>
    <row r="19631" spans="18:19">
      <c r="R19631" s="178"/>
      <c r="S19631" s="178"/>
    </row>
    <row r="19632" spans="18:19">
      <c r="R19632" s="178"/>
      <c r="S19632" s="178"/>
    </row>
    <row r="19633" spans="18:19">
      <c r="R19633" s="178"/>
      <c r="S19633" s="178"/>
    </row>
    <row r="19634" spans="18:19">
      <c r="R19634" s="178"/>
      <c r="S19634" s="178"/>
    </row>
    <row r="19635" spans="18:19">
      <c r="R19635" s="178"/>
      <c r="S19635" s="178"/>
    </row>
    <row r="19636" spans="18:19">
      <c r="R19636" s="178"/>
      <c r="S19636" s="178"/>
    </row>
    <row r="19637" spans="18:19">
      <c r="R19637" s="178"/>
      <c r="S19637" s="178"/>
    </row>
    <row r="19638" spans="18:19">
      <c r="R19638" s="178"/>
      <c r="S19638" s="178"/>
    </row>
    <row r="19639" spans="18:19">
      <c r="R19639" s="178"/>
      <c r="S19639" s="178"/>
    </row>
    <row r="19640" spans="18:19">
      <c r="R19640" s="178"/>
      <c r="S19640" s="178"/>
    </row>
    <row r="19641" spans="18:19">
      <c r="R19641" s="178"/>
      <c r="S19641" s="178"/>
    </row>
    <row r="19642" spans="18:19">
      <c r="R19642" s="178"/>
      <c r="S19642" s="178"/>
    </row>
    <row r="19643" spans="18:19">
      <c r="R19643" s="178"/>
      <c r="S19643" s="178"/>
    </row>
    <row r="19644" spans="18:19">
      <c r="R19644" s="178"/>
      <c r="S19644" s="178"/>
    </row>
    <row r="19645" spans="18:19">
      <c r="R19645" s="178"/>
      <c r="S19645" s="178"/>
    </row>
    <row r="19646" spans="18:19">
      <c r="R19646" s="178"/>
      <c r="S19646" s="178"/>
    </row>
    <row r="19647" spans="18:19">
      <c r="R19647" s="178"/>
      <c r="S19647" s="178"/>
    </row>
    <row r="19648" spans="18:19">
      <c r="R19648" s="178"/>
      <c r="S19648" s="178"/>
    </row>
    <row r="19649" spans="18:19">
      <c r="R19649" s="178"/>
      <c r="S19649" s="178"/>
    </row>
    <row r="19650" spans="18:19">
      <c r="R19650" s="178"/>
      <c r="S19650" s="178"/>
    </row>
    <row r="19651" spans="18:19">
      <c r="R19651" s="178"/>
      <c r="S19651" s="178"/>
    </row>
    <row r="19652" spans="18:19">
      <c r="R19652" s="178"/>
      <c r="S19652" s="178"/>
    </row>
    <row r="19653" spans="18:19">
      <c r="R19653" s="178"/>
      <c r="S19653" s="178"/>
    </row>
    <row r="19654" spans="18:19">
      <c r="R19654" s="178"/>
      <c r="S19654" s="178"/>
    </row>
    <row r="19655" spans="18:19">
      <c r="R19655" s="178"/>
      <c r="S19655" s="178"/>
    </row>
    <row r="19656" spans="18:19">
      <c r="R19656" s="178"/>
      <c r="S19656" s="178"/>
    </row>
    <row r="19657" spans="18:19">
      <c r="R19657" s="178"/>
      <c r="S19657" s="178"/>
    </row>
    <row r="19658" spans="18:19">
      <c r="R19658" s="178"/>
      <c r="S19658" s="178"/>
    </row>
    <row r="19659" spans="18:19">
      <c r="R19659" s="178"/>
      <c r="S19659" s="178"/>
    </row>
    <row r="19660" spans="18:19">
      <c r="R19660" s="178"/>
      <c r="S19660" s="178"/>
    </row>
    <row r="19661" spans="18:19">
      <c r="R19661" s="178"/>
      <c r="S19661" s="178"/>
    </row>
    <row r="19662" spans="18:19">
      <c r="R19662" s="178"/>
      <c r="S19662" s="178"/>
    </row>
    <row r="19663" spans="18:19">
      <c r="R19663" s="178"/>
      <c r="S19663" s="178"/>
    </row>
    <row r="19664" spans="18:19">
      <c r="R19664" s="178"/>
      <c r="S19664" s="178"/>
    </row>
    <row r="19665" spans="18:19">
      <c r="R19665" s="178"/>
      <c r="S19665" s="178"/>
    </row>
    <row r="19666" spans="18:19">
      <c r="R19666" s="178"/>
      <c r="S19666" s="178"/>
    </row>
    <row r="19667" spans="18:19">
      <c r="R19667" s="178"/>
      <c r="S19667" s="178"/>
    </row>
    <row r="19668" spans="18:19">
      <c r="R19668" s="178"/>
      <c r="S19668" s="178"/>
    </row>
    <row r="19669" spans="18:19">
      <c r="R19669" s="178"/>
      <c r="S19669" s="178"/>
    </row>
    <row r="19670" spans="18:19">
      <c r="R19670" s="178"/>
      <c r="S19670" s="178"/>
    </row>
    <row r="19671" spans="18:19">
      <c r="R19671" s="178"/>
      <c r="S19671" s="178"/>
    </row>
    <row r="19672" spans="18:19">
      <c r="R19672" s="178"/>
      <c r="S19672" s="178"/>
    </row>
    <row r="19673" spans="18:19">
      <c r="R19673" s="178"/>
      <c r="S19673" s="178"/>
    </row>
    <row r="19674" spans="18:19">
      <c r="R19674" s="178"/>
      <c r="S19674" s="178"/>
    </row>
    <row r="19675" spans="18:19">
      <c r="R19675" s="178"/>
      <c r="S19675" s="178"/>
    </row>
    <row r="19676" spans="18:19">
      <c r="R19676" s="178"/>
      <c r="S19676" s="178"/>
    </row>
    <row r="19677" spans="18:19">
      <c r="R19677" s="178"/>
      <c r="S19677" s="178"/>
    </row>
    <row r="19678" spans="18:19">
      <c r="R19678" s="178"/>
      <c r="S19678" s="178"/>
    </row>
    <row r="19679" spans="18:19">
      <c r="R19679" s="178"/>
      <c r="S19679" s="178"/>
    </row>
    <row r="19680" spans="18:19">
      <c r="R19680" s="178"/>
      <c r="S19680" s="178"/>
    </row>
    <row r="19681" spans="18:19">
      <c r="R19681" s="178"/>
      <c r="S19681" s="178"/>
    </row>
    <row r="19682" spans="18:19">
      <c r="R19682" s="178"/>
      <c r="S19682" s="178"/>
    </row>
    <row r="19683" spans="18:19">
      <c r="R19683" s="178"/>
      <c r="S19683" s="178"/>
    </row>
    <row r="19684" spans="18:19">
      <c r="R19684" s="178"/>
      <c r="S19684" s="178"/>
    </row>
    <row r="19685" spans="18:19">
      <c r="R19685" s="178"/>
      <c r="S19685" s="178"/>
    </row>
    <row r="19686" spans="18:19">
      <c r="R19686" s="178"/>
      <c r="S19686" s="178"/>
    </row>
    <row r="19687" spans="18:19">
      <c r="R19687" s="178"/>
      <c r="S19687" s="178"/>
    </row>
    <row r="19688" spans="18:19">
      <c r="R19688" s="178"/>
      <c r="S19688" s="178"/>
    </row>
    <row r="19689" spans="18:19">
      <c r="R19689" s="178"/>
      <c r="S19689" s="178"/>
    </row>
    <row r="19690" spans="18:19">
      <c r="R19690" s="178"/>
      <c r="S19690" s="178"/>
    </row>
    <row r="19691" spans="18:19">
      <c r="R19691" s="178"/>
      <c r="S19691" s="178"/>
    </row>
    <row r="19692" spans="18:19">
      <c r="R19692" s="178"/>
      <c r="S19692" s="178"/>
    </row>
    <row r="19693" spans="18:19">
      <c r="R19693" s="178"/>
      <c r="S19693" s="178"/>
    </row>
    <row r="19694" spans="18:19">
      <c r="R19694" s="178"/>
      <c r="S19694" s="178"/>
    </row>
    <row r="19695" spans="18:19">
      <c r="R19695" s="178"/>
      <c r="S19695" s="178"/>
    </row>
    <row r="19696" spans="18:19">
      <c r="R19696" s="178"/>
      <c r="S19696" s="178"/>
    </row>
    <row r="19697" spans="18:19">
      <c r="R19697" s="178"/>
      <c r="S19697" s="178"/>
    </row>
    <row r="19698" spans="18:19">
      <c r="R19698" s="178"/>
      <c r="S19698" s="178"/>
    </row>
    <row r="19699" spans="18:19">
      <c r="R19699" s="178"/>
      <c r="S19699" s="178"/>
    </row>
    <row r="19700" spans="18:19">
      <c r="R19700" s="178"/>
      <c r="S19700" s="178"/>
    </row>
    <row r="19701" spans="18:19">
      <c r="R19701" s="178"/>
      <c r="S19701" s="178"/>
    </row>
    <row r="19702" spans="18:19">
      <c r="R19702" s="178"/>
      <c r="S19702" s="178"/>
    </row>
    <row r="19703" spans="18:19">
      <c r="R19703" s="178"/>
      <c r="S19703" s="178"/>
    </row>
    <row r="19704" spans="18:19">
      <c r="R19704" s="178"/>
      <c r="S19704" s="178"/>
    </row>
    <row r="19705" spans="18:19">
      <c r="R19705" s="178"/>
      <c r="S19705" s="178"/>
    </row>
    <row r="19706" spans="18:19">
      <c r="R19706" s="178"/>
      <c r="S19706" s="178"/>
    </row>
    <row r="19707" spans="18:19">
      <c r="R19707" s="178"/>
      <c r="S19707" s="178"/>
    </row>
    <row r="19708" spans="18:19">
      <c r="R19708" s="178"/>
      <c r="S19708" s="178"/>
    </row>
    <row r="19709" spans="18:19">
      <c r="R19709" s="178"/>
      <c r="S19709" s="178"/>
    </row>
    <row r="19710" spans="18:19">
      <c r="R19710" s="178"/>
      <c r="S19710" s="178"/>
    </row>
    <row r="19711" spans="18:19">
      <c r="R19711" s="178"/>
      <c r="S19711" s="178"/>
    </row>
    <row r="19712" spans="18:19">
      <c r="R19712" s="178"/>
      <c r="S19712" s="178"/>
    </row>
    <row r="19713" spans="18:19">
      <c r="R19713" s="178"/>
      <c r="S19713" s="178"/>
    </row>
    <row r="19714" spans="18:19">
      <c r="R19714" s="178"/>
      <c r="S19714" s="178"/>
    </row>
    <row r="19715" spans="18:19">
      <c r="R19715" s="178"/>
      <c r="S19715" s="178"/>
    </row>
    <row r="19716" spans="18:19">
      <c r="R19716" s="178"/>
      <c r="S19716" s="178"/>
    </row>
    <row r="19717" spans="18:19">
      <c r="R19717" s="178"/>
      <c r="S19717" s="178"/>
    </row>
    <row r="19718" spans="18:19">
      <c r="R19718" s="178"/>
      <c r="S19718" s="178"/>
    </row>
    <row r="19719" spans="18:19">
      <c r="R19719" s="178"/>
      <c r="S19719" s="178"/>
    </row>
    <row r="19720" spans="18:19">
      <c r="R19720" s="178"/>
      <c r="S19720" s="178"/>
    </row>
    <row r="19721" spans="18:19">
      <c r="R19721" s="178"/>
      <c r="S19721" s="178"/>
    </row>
    <row r="19722" spans="18:19">
      <c r="R19722" s="178"/>
      <c r="S19722" s="178"/>
    </row>
    <row r="19723" spans="18:19">
      <c r="R19723" s="178"/>
      <c r="S19723" s="178"/>
    </row>
    <row r="19724" spans="18:19">
      <c r="R19724" s="178"/>
      <c r="S19724" s="178"/>
    </row>
    <row r="19725" spans="18:19">
      <c r="R19725" s="178"/>
      <c r="S19725" s="178"/>
    </row>
    <row r="19726" spans="18:19">
      <c r="R19726" s="178"/>
      <c r="S19726" s="178"/>
    </row>
    <row r="19727" spans="18:19">
      <c r="R19727" s="178"/>
      <c r="S19727" s="178"/>
    </row>
    <row r="19728" spans="18:19">
      <c r="R19728" s="178"/>
      <c r="S19728" s="178"/>
    </row>
    <row r="19729" spans="18:19">
      <c r="R19729" s="178"/>
      <c r="S19729" s="178"/>
    </row>
    <row r="19730" spans="18:19">
      <c r="R19730" s="178"/>
      <c r="S19730" s="178"/>
    </row>
    <row r="19731" spans="18:19">
      <c r="R19731" s="178"/>
      <c r="S19731" s="178"/>
    </row>
    <row r="19732" spans="18:19">
      <c r="R19732" s="178"/>
      <c r="S19732" s="178"/>
    </row>
    <row r="19733" spans="18:19">
      <c r="R19733" s="178"/>
      <c r="S19733" s="178"/>
    </row>
    <row r="19734" spans="18:19">
      <c r="R19734" s="178"/>
      <c r="S19734" s="178"/>
    </row>
    <row r="19735" spans="18:19">
      <c r="R19735" s="178"/>
      <c r="S19735" s="178"/>
    </row>
    <row r="19736" spans="18:19">
      <c r="R19736" s="178"/>
      <c r="S19736" s="178"/>
    </row>
    <row r="19737" spans="18:19">
      <c r="R19737" s="178"/>
      <c r="S19737" s="178"/>
    </row>
    <row r="19738" spans="18:19">
      <c r="R19738" s="178"/>
      <c r="S19738" s="178"/>
    </row>
    <row r="19739" spans="18:19">
      <c r="R19739" s="178"/>
      <c r="S19739" s="178"/>
    </row>
    <row r="19740" spans="18:19">
      <c r="R19740" s="178"/>
      <c r="S19740" s="178"/>
    </row>
    <row r="19741" spans="18:19">
      <c r="R19741" s="178"/>
      <c r="S19741" s="178"/>
    </row>
    <row r="19742" spans="18:19">
      <c r="R19742" s="178"/>
      <c r="S19742" s="178"/>
    </row>
    <row r="19743" spans="18:19">
      <c r="R19743" s="178"/>
      <c r="S19743" s="178"/>
    </row>
    <row r="19744" spans="18:19">
      <c r="R19744" s="178"/>
      <c r="S19744" s="178"/>
    </row>
    <row r="19745" spans="18:19">
      <c r="R19745" s="178"/>
      <c r="S19745" s="178"/>
    </row>
    <row r="19746" spans="18:19">
      <c r="R19746" s="178"/>
      <c r="S19746" s="178"/>
    </row>
    <row r="19747" spans="18:19">
      <c r="R19747" s="178"/>
      <c r="S19747" s="178"/>
    </row>
    <row r="19748" spans="18:19">
      <c r="R19748" s="178"/>
      <c r="S19748" s="178"/>
    </row>
    <row r="19749" spans="18:19">
      <c r="R19749" s="178"/>
      <c r="S19749" s="178"/>
    </row>
    <row r="19750" spans="18:19">
      <c r="R19750" s="178"/>
      <c r="S19750" s="178"/>
    </row>
    <row r="19751" spans="18:19">
      <c r="R19751" s="178"/>
      <c r="S19751" s="178"/>
    </row>
    <row r="19752" spans="18:19">
      <c r="R19752" s="178"/>
      <c r="S19752" s="178"/>
    </row>
    <row r="19753" spans="18:19">
      <c r="R19753" s="178"/>
      <c r="S19753" s="178"/>
    </row>
    <row r="19754" spans="18:19">
      <c r="R19754" s="178"/>
      <c r="S19754" s="178"/>
    </row>
    <row r="19755" spans="18:19">
      <c r="R19755" s="178"/>
      <c r="S19755" s="178"/>
    </row>
    <row r="19756" spans="18:19">
      <c r="R19756" s="178"/>
      <c r="S19756" s="178"/>
    </row>
    <row r="19757" spans="18:19">
      <c r="R19757" s="178"/>
      <c r="S19757" s="178"/>
    </row>
    <row r="19758" spans="18:19">
      <c r="R19758" s="178"/>
      <c r="S19758" s="178"/>
    </row>
    <row r="19759" spans="18:19">
      <c r="R19759" s="178"/>
      <c r="S19759" s="178"/>
    </row>
    <row r="19760" spans="18:19">
      <c r="R19760" s="178"/>
      <c r="S19760" s="178"/>
    </row>
    <row r="19761" spans="18:19">
      <c r="R19761" s="178"/>
      <c r="S19761" s="178"/>
    </row>
    <row r="19762" spans="18:19">
      <c r="R19762" s="178"/>
      <c r="S19762" s="178"/>
    </row>
    <row r="19763" spans="18:19">
      <c r="R19763" s="178"/>
      <c r="S19763" s="178"/>
    </row>
    <row r="19764" spans="18:19">
      <c r="R19764" s="178"/>
      <c r="S19764" s="178"/>
    </row>
    <row r="19765" spans="18:19">
      <c r="R19765" s="178"/>
      <c r="S19765" s="178"/>
    </row>
    <row r="19766" spans="18:19">
      <c r="R19766" s="178"/>
      <c r="S19766" s="178"/>
    </row>
    <row r="19767" spans="18:19">
      <c r="R19767" s="178"/>
      <c r="S19767" s="178"/>
    </row>
    <row r="19768" spans="18:19">
      <c r="R19768" s="178"/>
      <c r="S19768" s="178"/>
    </row>
    <row r="19769" spans="18:19">
      <c r="R19769" s="178"/>
      <c r="S19769" s="178"/>
    </row>
    <row r="19770" spans="18:19">
      <c r="R19770" s="178"/>
      <c r="S19770" s="178"/>
    </row>
    <row r="19771" spans="18:19">
      <c r="R19771" s="178"/>
      <c r="S19771" s="178"/>
    </row>
    <row r="19772" spans="18:19">
      <c r="R19772" s="178"/>
      <c r="S19772" s="178"/>
    </row>
    <row r="19773" spans="18:19">
      <c r="R19773" s="178"/>
      <c r="S19773" s="178"/>
    </row>
    <row r="19774" spans="18:19">
      <c r="R19774" s="178"/>
      <c r="S19774" s="178"/>
    </row>
    <row r="19775" spans="18:19">
      <c r="R19775" s="178"/>
      <c r="S19775" s="178"/>
    </row>
    <row r="19776" spans="18:19">
      <c r="R19776" s="178"/>
      <c r="S19776" s="178"/>
    </row>
    <row r="19777" spans="18:19">
      <c r="R19777" s="178"/>
      <c r="S19777" s="178"/>
    </row>
    <row r="19778" spans="18:19">
      <c r="R19778" s="178"/>
      <c r="S19778" s="178"/>
    </row>
    <row r="19779" spans="18:19">
      <c r="R19779" s="178"/>
      <c r="S19779" s="178"/>
    </row>
    <row r="19780" spans="18:19">
      <c r="R19780" s="178"/>
      <c r="S19780" s="178"/>
    </row>
    <row r="19781" spans="18:19">
      <c r="R19781" s="178"/>
      <c r="S19781" s="178"/>
    </row>
    <row r="19782" spans="18:19">
      <c r="R19782" s="178"/>
      <c r="S19782" s="178"/>
    </row>
    <row r="19783" spans="18:19">
      <c r="R19783" s="178"/>
      <c r="S19783" s="178"/>
    </row>
    <row r="19784" spans="18:19">
      <c r="R19784" s="178"/>
      <c r="S19784" s="178"/>
    </row>
    <row r="19785" spans="18:19">
      <c r="R19785" s="178"/>
      <c r="S19785" s="178"/>
    </row>
    <row r="19786" spans="18:19">
      <c r="R19786" s="178"/>
      <c r="S19786" s="178"/>
    </row>
    <row r="19787" spans="18:19">
      <c r="R19787" s="178"/>
      <c r="S19787" s="178"/>
    </row>
    <row r="19788" spans="18:19">
      <c r="R19788" s="178"/>
      <c r="S19788" s="178"/>
    </row>
    <row r="19789" spans="18:19">
      <c r="R19789" s="178"/>
      <c r="S19789" s="178"/>
    </row>
    <row r="19790" spans="18:19">
      <c r="R19790" s="178"/>
      <c r="S19790" s="178"/>
    </row>
    <row r="19791" spans="18:19">
      <c r="R19791" s="178"/>
      <c r="S19791" s="178"/>
    </row>
    <row r="19792" spans="18:19">
      <c r="R19792" s="178"/>
      <c r="S19792" s="178"/>
    </row>
    <row r="19793" spans="18:19">
      <c r="R19793" s="178"/>
      <c r="S19793" s="178"/>
    </row>
    <row r="19794" spans="18:19">
      <c r="R19794" s="178"/>
      <c r="S19794" s="178"/>
    </row>
    <row r="19795" spans="18:19">
      <c r="R19795" s="178"/>
      <c r="S19795" s="178"/>
    </row>
    <row r="19796" spans="18:19">
      <c r="R19796" s="178"/>
      <c r="S19796" s="178"/>
    </row>
    <row r="19797" spans="18:19">
      <c r="R19797" s="178"/>
      <c r="S19797" s="178"/>
    </row>
    <row r="19798" spans="18:19">
      <c r="R19798" s="178"/>
      <c r="S19798" s="178"/>
    </row>
    <row r="19799" spans="18:19">
      <c r="R19799" s="178"/>
      <c r="S19799" s="178"/>
    </row>
    <row r="19800" spans="18:19">
      <c r="R19800" s="178"/>
      <c r="S19800" s="178"/>
    </row>
    <row r="19801" spans="18:19">
      <c r="R19801" s="178"/>
      <c r="S19801" s="178"/>
    </row>
    <row r="19802" spans="18:19">
      <c r="R19802" s="178"/>
      <c r="S19802" s="178"/>
    </row>
    <row r="19803" spans="18:19">
      <c r="R19803" s="178"/>
      <c r="S19803" s="178"/>
    </row>
    <row r="19804" spans="18:19">
      <c r="R19804" s="178"/>
      <c r="S19804" s="178"/>
    </row>
    <row r="19805" spans="18:19">
      <c r="R19805" s="178"/>
      <c r="S19805" s="178"/>
    </row>
    <row r="19806" spans="18:19">
      <c r="R19806" s="178"/>
      <c r="S19806" s="178"/>
    </row>
    <row r="19807" spans="18:19">
      <c r="R19807" s="178"/>
      <c r="S19807" s="178"/>
    </row>
    <row r="19808" spans="18:19">
      <c r="R19808" s="178"/>
      <c r="S19808" s="178"/>
    </row>
    <row r="19809" spans="18:19">
      <c r="R19809" s="178"/>
      <c r="S19809" s="178"/>
    </row>
    <row r="19810" spans="18:19">
      <c r="R19810" s="178"/>
      <c r="S19810" s="178"/>
    </row>
    <row r="19811" spans="18:19">
      <c r="R19811" s="178"/>
      <c r="S19811" s="178"/>
    </row>
    <row r="19812" spans="18:19">
      <c r="R19812" s="178"/>
      <c r="S19812" s="178"/>
    </row>
    <row r="19813" spans="18:19">
      <c r="R19813" s="178"/>
      <c r="S19813" s="178"/>
    </row>
    <row r="19814" spans="18:19">
      <c r="R19814" s="178"/>
      <c r="S19814" s="178"/>
    </row>
    <row r="19815" spans="18:19">
      <c r="R19815" s="178"/>
      <c r="S19815" s="178"/>
    </row>
    <row r="19816" spans="18:19">
      <c r="R19816" s="178"/>
      <c r="S19816" s="178"/>
    </row>
    <row r="19817" spans="18:19">
      <c r="R19817" s="178"/>
      <c r="S19817" s="178"/>
    </row>
    <row r="19818" spans="18:19">
      <c r="R19818" s="178"/>
      <c r="S19818" s="178"/>
    </row>
    <row r="19819" spans="18:19">
      <c r="R19819" s="178"/>
      <c r="S19819" s="178"/>
    </row>
    <row r="19820" spans="18:19">
      <c r="R19820" s="178"/>
      <c r="S19820" s="178"/>
    </row>
    <row r="19821" spans="18:19">
      <c r="R19821" s="178"/>
      <c r="S19821" s="178"/>
    </row>
    <row r="19822" spans="18:19">
      <c r="R19822" s="178"/>
      <c r="S19822" s="178"/>
    </row>
    <row r="19823" spans="18:19">
      <c r="R19823" s="178"/>
      <c r="S19823" s="178"/>
    </row>
    <row r="19824" spans="18:19">
      <c r="R19824" s="178"/>
      <c r="S19824" s="178"/>
    </row>
    <row r="19825" spans="18:19">
      <c r="R19825" s="178"/>
      <c r="S19825" s="178"/>
    </row>
    <row r="19826" spans="18:19">
      <c r="R19826" s="178"/>
      <c r="S19826" s="178"/>
    </row>
    <row r="19827" spans="18:19">
      <c r="R19827" s="178"/>
      <c r="S19827" s="178"/>
    </row>
    <row r="19828" spans="18:19">
      <c r="R19828" s="178"/>
      <c r="S19828" s="178"/>
    </row>
    <row r="19829" spans="18:19">
      <c r="R19829" s="178"/>
      <c r="S19829" s="178"/>
    </row>
    <row r="19830" spans="18:19">
      <c r="R19830" s="178"/>
      <c r="S19830" s="178"/>
    </row>
    <row r="19831" spans="18:19">
      <c r="R19831" s="178"/>
      <c r="S19831" s="178"/>
    </row>
    <row r="19832" spans="18:19">
      <c r="R19832" s="178"/>
      <c r="S19832" s="178"/>
    </row>
    <row r="19833" spans="18:19">
      <c r="R19833" s="178"/>
      <c r="S19833" s="178"/>
    </row>
    <row r="19834" spans="18:19">
      <c r="R19834" s="178"/>
      <c r="S19834" s="178"/>
    </row>
    <row r="19835" spans="18:19">
      <c r="R19835" s="178"/>
      <c r="S19835" s="178"/>
    </row>
    <row r="19836" spans="18:19">
      <c r="R19836" s="178"/>
      <c r="S19836" s="178"/>
    </row>
    <row r="19837" spans="18:19">
      <c r="R19837" s="178"/>
      <c r="S19837" s="178"/>
    </row>
    <row r="19838" spans="18:19">
      <c r="R19838" s="178"/>
      <c r="S19838" s="178"/>
    </row>
    <row r="19839" spans="18:19">
      <c r="R19839" s="178"/>
      <c r="S19839" s="178"/>
    </row>
    <row r="19840" spans="18:19">
      <c r="R19840" s="178"/>
      <c r="S19840" s="178"/>
    </row>
    <row r="19841" spans="18:19">
      <c r="R19841" s="178"/>
      <c r="S19841" s="178"/>
    </row>
    <row r="19842" spans="18:19">
      <c r="R19842" s="178"/>
      <c r="S19842" s="178"/>
    </row>
    <row r="19843" spans="18:19">
      <c r="R19843" s="178"/>
      <c r="S19843" s="178"/>
    </row>
    <row r="19844" spans="18:19">
      <c r="R19844" s="178"/>
      <c r="S19844" s="178"/>
    </row>
    <row r="19845" spans="18:19">
      <c r="R19845" s="178"/>
      <c r="S19845" s="178"/>
    </row>
    <row r="19846" spans="18:19">
      <c r="R19846" s="178"/>
      <c r="S19846" s="178"/>
    </row>
    <row r="19847" spans="18:19">
      <c r="R19847" s="178"/>
      <c r="S19847" s="178"/>
    </row>
    <row r="19848" spans="18:19">
      <c r="R19848" s="178"/>
      <c r="S19848" s="178"/>
    </row>
    <row r="19849" spans="18:19">
      <c r="R19849" s="178"/>
      <c r="S19849" s="178"/>
    </row>
    <row r="19850" spans="18:19">
      <c r="R19850" s="178"/>
      <c r="S19850" s="178"/>
    </row>
    <row r="19851" spans="18:19">
      <c r="R19851" s="178"/>
      <c r="S19851" s="178"/>
    </row>
    <row r="19852" spans="18:19">
      <c r="R19852" s="178"/>
      <c r="S19852" s="178"/>
    </row>
    <row r="19853" spans="18:19">
      <c r="R19853" s="178"/>
      <c r="S19853" s="178"/>
    </row>
    <row r="19854" spans="18:19">
      <c r="R19854" s="178"/>
      <c r="S19854" s="178"/>
    </row>
    <row r="19855" spans="18:19">
      <c r="R19855" s="178"/>
      <c r="S19855" s="178"/>
    </row>
    <row r="19856" spans="18:19">
      <c r="R19856" s="178"/>
      <c r="S19856" s="178"/>
    </row>
    <row r="19857" spans="18:19">
      <c r="R19857" s="178"/>
      <c r="S19857" s="178"/>
    </row>
    <row r="19858" spans="18:19">
      <c r="R19858" s="178"/>
      <c r="S19858" s="178"/>
    </row>
    <row r="19859" spans="18:19">
      <c r="R19859" s="178"/>
      <c r="S19859" s="178"/>
    </row>
    <row r="19860" spans="18:19">
      <c r="R19860" s="178"/>
      <c r="S19860" s="178"/>
    </row>
    <row r="19861" spans="18:19">
      <c r="R19861" s="178"/>
      <c r="S19861" s="178"/>
    </row>
    <row r="19862" spans="18:19">
      <c r="R19862" s="178"/>
      <c r="S19862" s="178"/>
    </row>
    <row r="19863" spans="18:19">
      <c r="R19863" s="178"/>
      <c r="S19863" s="178"/>
    </row>
    <row r="19864" spans="18:19">
      <c r="R19864" s="178"/>
      <c r="S19864" s="178"/>
    </row>
    <row r="19865" spans="18:19">
      <c r="R19865" s="178"/>
      <c r="S19865" s="178"/>
    </row>
    <row r="19866" spans="18:19">
      <c r="R19866" s="178"/>
      <c r="S19866" s="178"/>
    </row>
    <row r="19867" spans="18:19">
      <c r="R19867" s="178"/>
      <c r="S19867" s="178"/>
    </row>
    <row r="19868" spans="18:19">
      <c r="R19868" s="178"/>
      <c r="S19868" s="178"/>
    </row>
    <row r="19869" spans="18:19">
      <c r="R19869" s="178"/>
      <c r="S19869" s="178"/>
    </row>
    <row r="19870" spans="18:19">
      <c r="R19870" s="178"/>
      <c r="S19870" s="178"/>
    </row>
    <row r="19871" spans="18:19">
      <c r="R19871" s="178"/>
      <c r="S19871" s="178"/>
    </row>
    <row r="19872" spans="18:19">
      <c r="R19872" s="178"/>
      <c r="S19872" s="178"/>
    </row>
    <row r="19873" spans="18:19">
      <c r="R19873" s="178"/>
      <c r="S19873" s="178"/>
    </row>
    <row r="19874" spans="18:19">
      <c r="R19874" s="178"/>
      <c r="S19874" s="178"/>
    </row>
    <row r="19875" spans="18:19">
      <c r="R19875" s="178"/>
      <c r="S19875" s="178"/>
    </row>
    <row r="19876" spans="18:19">
      <c r="R19876" s="178"/>
      <c r="S19876" s="178"/>
    </row>
    <row r="19877" spans="18:19">
      <c r="R19877" s="178"/>
      <c r="S19877" s="178"/>
    </row>
    <row r="19878" spans="18:19">
      <c r="R19878" s="178"/>
      <c r="S19878" s="178"/>
    </row>
    <row r="19879" spans="18:19">
      <c r="R19879" s="178"/>
      <c r="S19879" s="178"/>
    </row>
    <row r="19880" spans="18:19">
      <c r="R19880" s="178"/>
      <c r="S19880" s="178"/>
    </row>
    <row r="19881" spans="18:19">
      <c r="R19881" s="178"/>
      <c r="S19881" s="178"/>
    </row>
    <row r="19882" spans="18:19">
      <c r="R19882" s="178"/>
      <c r="S19882" s="178"/>
    </row>
    <row r="19883" spans="18:19">
      <c r="R19883" s="178"/>
      <c r="S19883" s="178"/>
    </row>
    <row r="19884" spans="18:19">
      <c r="R19884" s="178"/>
      <c r="S19884" s="178"/>
    </row>
    <row r="19885" spans="18:19">
      <c r="R19885" s="178"/>
      <c r="S19885" s="178"/>
    </row>
    <row r="19886" spans="18:19">
      <c r="R19886" s="178"/>
      <c r="S19886" s="178"/>
    </row>
    <row r="19887" spans="18:19">
      <c r="R19887" s="178"/>
      <c r="S19887" s="178"/>
    </row>
    <row r="19888" spans="18:19">
      <c r="R19888" s="178"/>
      <c r="S19888" s="178"/>
    </row>
    <row r="19889" spans="18:19">
      <c r="R19889" s="178"/>
      <c r="S19889" s="178"/>
    </row>
    <row r="19890" spans="18:19">
      <c r="R19890" s="178"/>
      <c r="S19890" s="178"/>
    </row>
    <row r="19891" spans="18:19">
      <c r="R19891" s="178"/>
      <c r="S19891" s="178"/>
    </row>
    <row r="19892" spans="18:19">
      <c r="R19892" s="178"/>
      <c r="S19892" s="178"/>
    </row>
    <row r="19893" spans="18:19">
      <c r="R19893" s="178"/>
      <c r="S19893" s="178"/>
    </row>
    <row r="19894" spans="18:19">
      <c r="R19894" s="178"/>
      <c r="S19894" s="178"/>
    </row>
    <row r="19895" spans="18:19">
      <c r="R19895" s="178"/>
      <c r="S19895" s="178"/>
    </row>
    <row r="19896" spans="18:19">
      <c r="R19896" s="178"/>
      <c r="S19896" s="178"/>
    </row>
    <row r="19897" spans="18:19">
      <c r="R19897" s="178"/>
      <c r="S19897" s="178"/>
    </row>
    <row r="19898" spans="18:19">
      <c r="R19898" s="178"/>
      <c r="S19898" s="178"/>
    </row>
    <row r="19899" spans="18:19">
      <c r="R19899" s="178"/>
      <c r="S19899" s="178"/>
    </row>
    <row r="19900" spans="18:19">
      <c r="R19900" s="178"/>
      <c r="S19900" s="178"/>
    </row>
    <row r="19901" spans="18:19">
      <c r="R19901" s="178"/>
      <c r="S19901" s="178"/>
    </row>
    <row r="19902" spans="18:19">
      <c r="R19902" s="178"/>
      <c r="S19902" s="178"/>
    </row>
    <row r="19903" spans="18:19">
      <c r="R19903" s="178"/>
      <c r="S19903" s="178"/>
    </row>
    <row r="19904" spans="18:19">
      <c r="R19904" s="178"/>
      <c r="S19904" s="178"/>
    </row>
    <row r="19905" spans="18:19">
      <c r="R19905" s="178"/>
      <c r="S19905" s="178"/>
    </row>
    <row r="19906" spans="18:19">
      <c r="R19906" s="178"/>
      <c r="S19906" s="178"/>
    </row>
    <row r="19907" spans="18:19">
      <c r="R19907" s="178"/>
      <c r="S19907" s="178"/>
    </row>
    <row r="19908" spans="18:19">
      <c r="R19908" s="178"/>
      <c r="S19908" s="178"/>
    </row>
    <row r="19909" spans="18:19">
      <c r="R19909" s="178"/>
      <c r="S19909" s="178"/>
    </row>
    <row r="19910" spans="18:19">
      <c r="R19910" s="178"/>
      <c r="S19910" s="178"/>
    </row>
    <row r="19911" spans="18:19">
      <c r="R19911" s="178"/>
      <c r="S19911" s="178"/>
    </row>
    <row r="19912" spans="18:19">
      <c r="R19912" s="178"/>
      <c r="S19912" s="178"/>
    </row>
    <row r="19913" spans="18:19">
      <c r="R19913" s="178"/>
      <c r="S19913" s="178"/>
    </row>
    <row r="19914" spans="18:19">
      <c r="R19914" s="178"/>
      <c r="S19914" s="178"/>
    </row>
    <row r="19915" spans="18:19">
      <c r="R19915" s="178"/>
      <c r="S19915" s="178"/>
    </row>
    <row r="19916" spans="18:19">
      <c r="R19916" s="178"/>
      <c r="S19916" s="178"/>
    </row>
    <row r="19917" spans="18:19">
      <c r="R19917" s="178"/>
      <c r="S19917" s="178"/>
    </row>
    <row r="19918" spans="18:19">
      <c r="R19918" s="178"/>
      <c r="S19918" s="178"/>
    </row>
    <row r="19919" spans="18:19">
      <c r="R19919" s="178"/>
      <c r="S19919" s="178"/>
    </row>
    <row r="19920" spans="18:19">
      <c r="R19920" s="178"/>
      <c r="S19920" s="178"/>
    </row>
    <row r="19921" spans="18:19">
      <c r="R19921" s="178"/>
      <c r="S19921" s="178"/>
    </row>
    <row r="19922" spans="18:19">
      <c r="R19922" s="178"/>
      <c r="S19922" s="178"/>
    </row>
    <row r="19923" spans="18:19">
      <c r="R19923" s="178"/>
      <c r="S19923" s="178"/>
    </row>
    <row r="19924" spans="18:19">
      <c r="R19924" s="178"/>
      <c r="S19924" s="178"/>
    </row>
    <row r="19925" spans="18:19">
      <c r="R19925" s="178"/>
      <c r="S19925" s="178"/>
    </row>
    <row r="19926" spans="18:19">
      <c r="R19926" s="178"/>
      <c r="S19926" s="178"/>
    </row>
    <row r="19927" spans="18:19">
      <c r="R19927" s="178"/>
      <c r="S19927" s="178"/>
    </row>
    <row r="19928" spans="18:19">
      <c r="R19928" s="178"/>
      <c r="S19928" s="178"/>
    </row>
    <row r="19929" spans="18:19">
      <c r="R19929" s="178"/>
      <c r="S19929" s="178"/>
    </row>
    <row r="19930" spans="18:19">
      <c r="R19930" s="178"/>
      <c r="S19930" s="178"/>
    </row>
    <row r="19931" spans="18:19">
      <c r="R19931" s="178"/>
      <c r="S19931" s="178"/>
    </row>
    <row r="19932" spans="18:19">
      <c r="R19932" s="178"/>
      <c r="S19932" s="178"/>
    </row>
    <row r="19933" spans="18:19">
      <c r="R19933" s="178"/>
      <c r="S19933" s="178"/>
    </row>
    <row r="19934" spans="18:19">
      <c r="R19934" s="178"/>
      <c r="S19934" s="178"/>
    </row>
    <row r="19935" spans="18:19">
      <c r="R19935" s="178"/>
      <c r="S19935" s="178"/>
    </row>
    <row r="19936" spans="18:19">
      <c r="R19936" s="178"/>
      <c r="S19936" s="178"/>
    </row>
    <row r="19937" spans="18:19">
      <c r="R19937" s="178"/>
      <c r="S19937" s="178"/>
    </row>
    <row r="19938" spans="18:19">
      <c r="R19938" s="178"/>
      <c r="S19938" s="178"/>
    </row>
    <row r="19939" spans="18:19">
      <c r="R19939" s="178"/>
      <c r="S19939" s="178"/>
    </row>
    <row r="19940" spans="18:19">
      <c r="R19940" s="178"/>
      <c r="S19940" s="178"/>
    </row>
    <row r="19941" spans="18:19">
      <c r="R19941" s="178"/>
      <c r="S19941" s="178"/>
    </row>
    <row r="19942" spans="18:19">
      <c r="R19942" s="178"/>
      <c r="S19942" s="178"/>
    </row>
    <row r="19943" spans="18:19">
      <c r="R19943" s="178"/>
      <c r="S19943" s="178"/>
    </row>
    <row r="19944" spans="18:19">
      <c r="R19944" s="178"/>
      <c r="S19944" s="178"/>
    </row>
    <row r="19945" spans="18:19">
      <c r="R19945" s="178"/>
      <c r="S19945" s="178"/>
    </row>
    <row r="19946" spans="18:19">
      <c r="R19946" s="178"/>
      <c r="S19946" s="178"/>
    </row>
    <row r="19947" spans="18:19">
      <c r="R19947" s="178"/>
      <c r="S19947" s="178"/>
    </row>
    <row r="19948" spans="18:19">
      <c r="R19948" s="178"/>
      <c r="S19948" s="178"/>
    </row>
    <row r="19949" spans="18:19">
      <c r="R19949" s="178"/>
      <c r="S19949" s="178"/>
    </row>
    <row r="19950" spans="18:19">
      <c r="R19950" s="178"/>
      <c r="S19950" s="178"/>
    </row>
    <row r="19951" spans="18:19">
      <c r="R19951" s="178"/>
      <c r="S19951" s="178"/>
    </row>
    <row r="19952" spans="18:19">
      <c r="R19952" s="178"/>
      <c r="S19952" s="178"/>
    </row>
    <row r="19953" spans="18:19">
      <c r="R19953" s="178"/>
      <c r="S19953" s="178"/>
    </row>
    <row r="19954" spans="18:19">
      <c r="R19954" s="178"/>
      <c r="S19954" s="178"/>
    </row>
    <row r="19955" spans="18:19">
      <c r="R19955" s="178"/>
      <c r="S19955" s="178"/>
    </row>
    <row r="19956" spans="18:19">
      <c r="R19956" s="178"/>
      <c r="S19956" s="178"/>
    </row>
    <row r="19957" spans="18:19">
      <c r="R19957" s="178"/>
      <c r="S19957" s="178"/>
    </row>
    <row r="19958" spans="18:19">
      <c r="R19958" s="178"/>
      <c r="S19958" s="178"/>
    </row>
    <row r="19959" spans="18:19">
      <c r="R19959" s="178"/>
      <c r="S19959" s="178"/>
    </row>
    <row r="19960" spans="18:19">
      <c r="R19960" s="178"/>
      <c r="S19960" s="178"/>
    </row>
    <row r="19961" spans="18:19">
      <c r="R19961" s="178"/>
      <c r="S19961" s="178"/>
    </row>
    <row r="19962" spans="18:19">
      <c r="R19962" s="178"/>
      <c r="S19962" s="178"/>
    </row>
    <row r="19963" spans="18:19">
      <c r="R19963" s="178"/>
      <c r="S19963" s="178"/>
    </row>
    <row r="19964" spans="18:19">
      <c r="R19964" s="178"/>
      <c r="S19964" s="178"/>
    </row>
    <row r="19965" spans="18:19">
      <c r="R19965" s="178"/>
      <c r="S19965" s="178"/>
    </row>
    <row r="19966" spans="18:19">
      <c r="R19966" s="178"/>
      <c r="S19966" s="178"/>
    </row>
    <row r="19967" spans="18:19">
      <c r="R19967" s="178"/>
      <c r="S19967" s="178"/>
    </row>
    <row r="19968" spans="18:19">
      <c r="R19968" s="178"/>
      <c r="S19968" s="178"/>
    </row>
    <row r="19969" spans="18:19">
      <c r="R19969" s="178"/>
      <c r="S19969" s="178"/>
    </row>
    <row r="19970" spans="18:19">
      <c r="R19970" s="178"/>
      <c r="S19970" s="178"/>
    </row>
    <row r="19971" spans="18:19">
      <c r="R19971" s="178"/>
      <c r="S19971" s="178"/>
    </row>
    <row r="19972" spans="18:19">
      <c r="R19972" s="178"/>
      <c r="S19972" s="178"/>
    </row>
    <row r="19973" spans="18:19">
      <c r="R19973" s="178"/>
      <c r="S19973" s="178"/>
    </row>
    <row r="19974" spans="18:19">
      <c r="R19974" s="178"/>
      <c r="S19974" s="178"/>
    </row>
    <row r="19975" spans="18:19">
      <c r="R19975" s="178"/>
      <c r="S19975" s="178"/>
    </row>
    <row r="19976" spans="18:19">
      <c r="R19976" s="178"/>
      <c r="S19976" s="178"/>
    </row>
    <row r="19977" spans="18:19">
      <c r="R19977" s="178"/>
      <c r="S19977" s="178"/>
    </row>
    <row r="19978" spans="18:19">
      <c r="R19978" s="178"/>
      <c r="S19978" s="178"/>
    </row>
    <row r="19979" spans="18:19">
      <c r="R19979" s="178"/>
      <c r="S19979" s="178"/>
    </row>
    <row r="19980" spans="18:19">
      <c r="R19980" s="178"/>
      <c r="S19980" s="178"/>
    </row>
    <row r="19981" spans="18:19">
      <c r="R19981" s="178"/>
      <c r="S19981" s="178"/>
    </row>
    <row r="19982" spans="18:19">
      <c r="R19982" s="178"/>
      <c r="S19982" s="178"/>
    </row>
    <row r="19983" spans="18:19">
      <c r="R19983" s="178"/>
      <c r="S19983" s="178"/>
    </row>
    <row r="19984" spans="18:19">
      <c r="R19984" s="178"/>
      <c r="S19984" s="178"/>
    </row>
    <row r="19985" spans="18:19">
      <c r="R19985" s="178"/>
      <c r="S19985" s="178"/>
    </row>
    <row r="19986" spans="18:19">
      <c r="R19986" s="178"/>
      <c r="S19986" s="178"/>
    </row>
    <row r="19987" spans="18:19">
      <c r="R19987" s="178"/>
      <c r="S19987" s="178"/>
    </row>
    <row r="19988" spans="18:19">
      <c r="R19988" s="178"/>
      <c r="S19988" s="178"/>
    </row>
    <row r="19989" spans="18:19">
      <c r="R19989" s="178"/>
      <c r="S19989" s="178"/>
    </row>
    <row r="19990" spans="18:19">
      <c r="R19990" s="178"/>
      <c r="S19990" s="178"/>
    </row>
    <row r="19991" spans="18:19">
      <c r="R19991" s="178"/>
      <c r="S19991" s="178"/>
    </row>
    <row r="19992" spans="18:19">
      <c r="R19992" s="178"/>
      <c r="S19992" s="178"/>
    </row>
    <row r="19993" spans="18:19">
      <c r="R19993" s="178"/>
      <c r="S19993" s="178"/>
    </row>
    <row r="19994" spans="18:19">
      <c r="R19994" s="178"/>
      <c r="S19994" s="178"/>
    </row>
    <row r="19995" spans="18:19">
      <c r="R19995" s="178"/>
      <c r="S19995" s="178"/>
    </row>
    <row r="19996" spans="18:19">
      <c r="R19996" s="178"/>
      <c r="S19996" s="178"/>
    </row>
    <row r="19997" spans="18:19">
      <c r="R19997" s="178"/>
      <c r="S19997" s="178"/>
    </row>
    <row r="19998" spans="18:19">
      <c r="R19998" s="178"/>
      <c r="S19998" s="178"/>
    </row>
    <row r="19999" spans="18:19">
      <c r="R19999" s="178"/>
      <c r="S19999" s="178"/>
    </row>
    <row r="20000" spans="18:19">
      <c r="R20000" s="178"/>
      <c r="S20000" s="178"/>
    </row>
    <row r="20001" spans="18:19">
      <c r="R20001" s="178"/>
      <c r="S20001" s="178"/>
    </row>
    <row r="20002" spans="18:19">
      <c r="R20002" s="178"/>
      <c r="S20002" s="178"/>
    </row>
    <row r="20003" spans="18:19">
      <c r="R20003" s="178"/>
      <c r="S20003" s="178"/>
    </row>
    <row r="20004" spans="18:19">
      <c r="R20004" s="178"/>
      <c r="S20004" s="178"/>
    </row>
    <row r="20005" spans="18:19">
      <c r="R20005" s="178"/>
      <c r="S20005" s="178"/>
    </row>
    <row r="20006" spans="18:19">
      <c r="R20006" s="178"/>
      <c r="S20006" s="178"/>
    </row>
    <row r="20007" spans="18:19">
      <c r="R20007" s="178"/>
      <c r="S20007" s="178"/>
    </row>
    <row r="20008" spans="18:19">
      <c r="R20008" s="178"/>
      <c r="S20008" s="178"/>
    </row>
    <row r="20009" spans="18:19">
      <c r="R20009" s="178"/>
      <c r="S20009" s="178"/>
    </row>
    <row r="20010" spans="18:19">
      <c r="R20010" s="178"/>
      <c r="S20010" s="178"/>
    </row>
    <row r="20011" spans="18:19">
      <c r="R20011" s="178"/>
      <c r="S20011" s="178"/>
    </row>
    <row r="20012" spans="18:19">
      <c r="R20012" s="178"/>
      <c r="S20012" s="178"/>
    </row>
    <row r="20013" spans="18:19">
      <c r="R20013" s="178"/>
      <c r="S20013" s="178"/>
    </row>
    <row r="20014" spans="18:19">
      <c r="R20014" s="178"/>
      <c r="S20014" s="178"/>
    </row>
    <row r="20015" spans="18:19">
      <c r="R20015" s="178"/>
      <c r="S20015" s="178"/>
    </row>
    <row r="20016" spans="18:19">
      <c r="R20016" s="178"/>
      <c r="S20016" s="178"/>
    </row>
    <row r="20017" spans="18:19">
      <c r="R20017" s="178"/>
      <c r="S20017" s="178"/>
    </row>
    <row r="20018" spans="18:19">
      <c r="R20018" s="178"/>
      <c r="S20018" s="178"/>
    </row>
    <row r="20019" spans="18:19">
      <c r="R20019" s="178"/>
      <c r="S20019" s="178"/>
    </row>
    <row r="20020" spans="18:19">
      <c r="R20020" s="178"/>
      <c r="S20020" s="178"/>
    </row>
    <row r="20021" spans="18:19">
      <c r="R20021" s="178"/>
      <c r="S20021" s="178"/>
    </row>
    <row r="20022" spans="18:19">
      <c r="R20022" s="178"/>
      <c r="S20022" s="178"/>
    </row>
    <row r="20023" spans="18:19">
      <c r="R20023" s="178"/>
      <c r="S20023" s="178"/>
    </row>
    <row r="20024" spans="18:19">
      <c r="R20024" s="178"/>
      <c r="S20024" s="178"/>
    </row>
    <row r="20025" spans="18:19">
      <c r="R20025" s="178"/>
      <c r="S20025" s="178"/>
    </row>
    <row r="20026" spans="18:19">
      <c r="R20026" s="178"/>
      <c r="S20026" s="178"/>
    </row>
    <row r="20027" spans="18:19">
      <c r="R20027" s="178"/>
      <c r="S20027" s="178"/>
    </row>
    <row r="20028" spans="18:19">
      <c r="R20028" s="178"/>
      <c r="S20028" s="178"/>
    </row>
    <row r="20029" spans="18:19">
      <c r="R20029" s="178"/>
      <c r="S20029" s="178"/>
    </row>
    <row r="20030" spans="18:19">
      <c r="R20030" s="178"/>
      <c r="S20030" s="178"/>
    </row>
    <row r="20031" spans="18:19">
      <c r="R20031" s="178"/>
      <c r="S20031" s="178"/>
    </row>
    <row r="20032" spans="18:19">
      <c r="R20032" s="178"/>
      <c r="S20032" s="178"/>
    </row>
    <row r="20033" spans="18:19">
      <c r="R20033" s="178"/>
      <c r="S20033" s="178"/>
    </row>
    <row r="20034" spans="18:19">
      <c r="R20034" s="178"/>
      <c r="S20034" s="178"/>
    </row>
    <row r="20035" spans="18:19">
      <c r="R20035" s="178"/>
      <c r="S20035" s="178"/>
    </row>
    <row r="20036" spans="18:19">
      <c r="R20036" s="178"/>
      <c r="S20036" s="178"/>
    </row>
    <row r="20037" spans="18:19">
      <c r="R20037" s="178"/>
      <c r="S20037" s="178"/>
    </row>
    <row r="20038" spans="18:19">
      <c r="R20038" s="178"/>
      <c r="S20038" s="178"/>
    </row>
    <row r="20039" spans="18:19">
      <c r="R20039" s="178"/>
      <c r="S20039" s="178"/>
    </row>
    <row r="20040" spans="18:19">
      <c r="R20040" s="178"/>
      <c r="S20040" s="178"/>
    </row>
    <row r="20041" spans="18:19">
      <c r="R20041" s="178"/>
      <c r="S20041" s="178"/>
    </row>
    <row r="20042" spans="18:19">
      <c r="R20042" s="178"/>
      <c r="S20042" s="178"/>
    </row>
    <row r="20043" spans="18:19">
      <c r="R20043" s="178"/>
      <c r="S20043" s="178"/>
    </row>
    <row r="20044" spans="18:19">
      <c r="R20044" s="178"/>
      <c r="S20044" s="178"/>
    </row>
    <row r="20045" spans="18:19">
      <c r="R20045" s="178"/>
      <c r="S20045" s="178"/>
    </row>
    <row r="20046" spans="18:19">
      <c r="R20046" s="178"/>
      <c r="S20046" s="178"/>
    </row>
    <row r="20047" spans="18:19">
      <c r="R20047" s="178"/>
      <c r="S20047" s="178"/>
    </row>
    <row r="20048" spans="18:19">
      <c r="R20048" s="178"/>
      <c r="S20048" s="178"/>
    </row>
    <row r="20049" spans="18:19">
      <c r="R20049" s="178"/>
      <c r="S20049" s="178"/>
    </row>
    <row r="20050" spans="18:19">
      <c r="R20050" s="178"/>
      <c r="S20050" s="178"/>
    </row>
    <row r="20051" spans="18:19">
      <c r="R20051" s="178"/>
      <c r="S20051" s="178"/>
    </row>
    <row r="20052" spans="18:19">
      <c r="R20052" s="178"/>
      <c r="S20052" s="178"/>
    </row>
    <row r="20053" spans="18:19">
      <c r="R20053" s="178"/>
      <c r="S20053" s="178"/>
    </row>
    <row r="20054" spans="18:19">
      <c r="R20054" s="178"/>
      <c r="S20054" s="178"/>
    </row>
    <row r="20055" spans="18:19">
      <c r="R20055" s="178"/>
      <c r="S20055" s="178"/>
    </row>
    <row r="20056" spans="18:19">
      <c r="R20056" s="178"/>
      <c r="S20056" s="178"/>
    </row>
    <row r="20057" spans="18:19">
      <c r="R20057" s="178"/>
      <c r="S20057" s="178"/>
    </row>
    <row r="20058" spans="18:19">
      <c r="R20058" s="178"/>
      <c r="S20058" s="178"/>
    </row>
    <row r="20059" spans="18:19">
      <c r="R20059" s="178"/>
      <c r="S20059" s="178"/>
    </row>
    <row r="20060" spans="18:19">
      <c r="R20060" s="178"/>
      <c r="S20060" s="178"/>
    </row>
    <row r="20061" spans="18:19">
      <c r="R20061" s="178"/>
      <c r="S20061" s="178"/>
    </row>
    <row r="20062" spans="18:19">
      <c r="R20062" s="178"/>
      <c r="S20062" s="178"/>
    </row>
    <row r="20063" spans="18:19">
      <c r="R20063" s="178"/>
      <c r="S20063" s="178"/>
    </row>
    <row r="20064" spans="18:19">
      <c r="R20064" s="178"/>
      <c r="S20064" s="178"/>
    </row>
    <row r="20065" spans="18:19">
      <c r="R20065" s="178"/>
      <c r="S20065" s="178"/>
    </row>
    <row r="20066" spans="18:19">
      <c r="R20066" s="178"/>
      <c r="S20066" s="178"/>
    </row>
    <row r="20067" spans="18:19">
      <c r="R20067" s="178"/>
      <c r="S20067" s="178"/>
    </row>
    <row r="20068" spans="18:19">
      <c r="R20068" s="178"/>
      <c r="S20068" s="178"/>
    </row>
    <row r="20069" spans="18:19">
      <c r="R20069" s="178"/>
      <c r="S20069" s="178"/>
    </row>
    <row r="20070" spans="18:19">
      <c r="R20070" s="178"/>
      <c r="S20070" s="178"/>
    </row>
    <row r="20071" spans="18:19">
      <c r="R20071" s="178"/>
      <c r="S20071" s="178"/>
    </row>
    <row r="20072" spans="18:19">
      <c r="R20072" s="178"/>
      <c r="S20072" s="178"/>
    </row>
    <row r="20073" spans="18:19">
      <c r="R20073" s="178"/>
      <c r="S20073" s="178"/>
    </row>
    <row r="20074" spans="18:19">
      <c r="R20074" s="178"/>
      <c r="S20074" s="178"/>
    </row>
    <row r="20075" spans="18:19">
      <c r="R20075" s="178"/>
      <c r="S20075" s="178"/>
    </row>
    <row r="20076" spans="18:19">
      <c r="R20076" s="178"/>
      <c r="S20076" s="178"/>
    </row>
    <row r="20077" spans="18:19">
      <c r="R20077" s="178"/>
      <c r="S20077" s="178"/>
    </row>
    <row r="20078" spans="18:19">
      <c r="R20078" s="178"/>
      <c r="S20078" s="178"/>
    </row>
    <row r="20079" spans="18:19">
      <c r="R20079" s="178"/>
      <c r="S20079" s="178"/>
    </row>
    <row r="20080" spans="18:19">
      <c r="R20080" s="178"/>
      <c r="S20080" s="178"/>
    </row>
    <row r="20081" spans="18:19">
      <c r="R20081" s="178"/>
      <c r="S20081" s="178"/>
    </row>
    <row r="20082" spans="18:19">
      <c r="R20082" s="178"/>
      <c r="S20082" s="178"/>
    </row>
    <row r="20083" spans="18:19">
      <c r="R20083" s="178"/>
      <c r="S20083" s="178"/>
    </row>
    <row r="20084" spans="18:19">
      <c r="R20084" s="178"/>
      <c r="S20084" s="178"/>
    </row>
    <row r="20085" spans="18:19">
      <c r="R20085" s="178"/>
      <c r="S20085" s="178"/>
    </row>
    <row r="20086" spans="18:19">
      <c r="R20086" s="178"/>
      <c r="S20086" s="178"/>
    </row>
    <row r="20087" spans="18:19">
      <c r="R20087" s="178"/>
      <c r="S20087" s="178"/>
    </row>
    <row r="20088" spans="18:19">
      <c r="R20088" s="178"/>
      <c r="S20088" s="178"/>
    </row>
    <row r="20089" spans="18:19">
      <c r="R20089" s="178"/>
      <c r="S20089" s="178"/>
    </row>
    <row r="20090" spans="18:19">
      <c r="R20090" s="178"/>
      <c r="S20090" s="178"/>
    </row>
    <row r="20091" spans="18:19">
      <c r="R20091" s="178"/>
      <c r="S20091" s="178"/>
    </row>
    <row r="20092" spans="18:19">
      <c r="R20092" s="178"/>
      <c r="S20092" s="178"/>
    </row>
    <row r="20093" spans="18:19">
      <c r="R20093" s="178"/>
      <c r="S20093" s="178"/>
    </row>
    <row r="20094" spans="18:19">
      <c r="R20094" s="178"/>
      <c r="S20094" s="178"/>
    </row>
    <row r="20095" spans="18:19">
      <c r="R20095" s="178"/>
      <c r="S20095" s="178"/>
    </row>
    <row r="20096" spans="18:19">
      <c r="R20096" s="178"/>
      <c r="S20096" s="178"/>
    </row>
    <row r="20097" spans="18:19">
      <c r="R20097" s="178"/>
      <c r="S20097" s="178"/>
    </row>
    <row r="20098" spans="18:19">
      <c r="R20098" s="178"/>
      <c r="S20098" s="178"/>
    </row>
    <row r="20099" spans="18:19">
      <c r="R20099" s="178"/>
      <c r="S20099" s="178"/>
    </row>
    <row r="20100" spans="18:19">
      <c r="R20100" s="178"/>
      <c r="S20100" s="178"/>
    </row>
    <row r="20101" spans="18:19">
      <c r="R20101" s="178"/>
      <c r="S20101" s="178"/>
    </row>
    <row r="20102" spans="18:19">
      <c r="R20102" s="178"/>
      <c r="S20102" s="178"/>
    </row>
    <row r="20103" spans="18:19">
      <c r="R20103" s="178"/>
      <c r="S20103" s="178"/>
    </row>
    <row r="20104" spans="18:19">
      <c r="R20104" s="178"/>
      <c r="S20104" s="178"/>
    </row>
    <row r="20105" spans="18:19">
      <c r="R20105" s="178"/>
      <c r="S20105" s="178"/>
    </row>
    <row r="20106" spans="18:19">
      <c r="R20106" s="178"/>
      <c r="S20106" s="178"/>
    </row>
    <row r="20107" spans="18:19">
      <c r="R20107" s="178"/>
      <c r="S20107" s="178"/>
    </row>
    <row r="20108" spans="18:19">
      <c r="R20108" s="178"/>
      <c r="S20108" s="178"/>
    </row>
    <row r="20109" spans="18:19">
      <c r="R20109" s="178"/>
      <c r="S20109" s="178"/>
    </row>
    <row r="20110" spans="18:19">
      <c r="R20110" s="178"/>
      <c r="S20110" s="178"/>
    </row>
    <row r="20111" spans="18:19">
      <c r="R20111" s="178"/>
      <c r="S20111" s="178"/>
    </row>
    <row r="20112" spans="18:19">
      <c r="R20112" s="178"/>
      <c r="S20112" s="178"/>
    </row>
    <row r="20113" spans="18:19">
      <c r="R20113" s="178"/>
      <c r="S20113" s="178"/>
    </row>
    <row r="20114" spans="18:19">
      <c r="R20114" s="178"/>
      <c r="S20114" s="178"/>
    </row>
    <row r="20115" spans="18:19">
      <c r="R20115" s="178"/>
      <c r="S20115" s="178"/>
    </row>
    <row r="20116" spans="18:19">
      <c r="R20116" s="178"/>
      <c r="S20116" s="178"/>
    </row>
    <row r="20117" spans="18:19">
      <c r="R20117" s="178"/>
      <c r="S20117" s="178"/>
    </row>
    <row r="20118" spans="18:19">
      <c r="R20118" s="178"/>
      <c r="S20118" s="178"/>
    </row>
    <row r="20119" spans="18:19">
      <c r="R20119" s="178"/>
      <c r="S20119" s="178"/>
    </row>
    <row r="20120" spans="18:19">
      <c r="R20120" s="178"/>
      <c r="S20120" s="178"/>
    </row>
    <row r="20121" spans="18:19">
      <c r="R20121" s="178"/>
      <c r="S20121" s="178"/>
    </row>
    <row r="20122" spans="18:19">
      <c r="R20122" s="178"/>
      <c r="S20122" s="178"/>
    </row>
    <row r="20123" spans="18:19">
      <c r="R20123" s="178"/>
      <c r="S20123" s="178"/>
    </row>
    <row r="20124" spans="18:19">
      <c r="R20124" s="178"/>
      <c r="S20124" s="178"/>
    </row>
    <row r="20125" spans="18:19">
      <c r="R20125" s="178"/>
      <c r="S20125" s="178"/>
    </row>
    <row r="20126" spans="18:19">
      <c r="R20126" s="178"/>
      <c r="S20126" s="178"/>
    </row>
    <row r="20127" spans="18:19">
      <c r="R20127" s="178"/>
      <c r="S20127" s="178"/>
    </row>
    <row r="20128" spans="18:19">
      <c r="R20128" s="178"/>
      <c r="S20128" s="178"/>
    </row>
    <row r="20129" spans="18:19">
      <c r="R20129" s="178"/>
      <c r="S20129" s="178"/>
    </row>
    <row r="20130" spans="18:19">
      <c r="R20130" s="178"/>
      <c r="S20130" s="178"/>
    </row>
    <row r="20131" spans="18:19">
      <c r="R20131" s="178"/>
      <c r="S20131" s="178"/>
    </row>
    <row r="20132" spans="18:19">
      <c r="R20132" s="178"/>
      <c r="S20132" s="178"/>
    </row>
    <row r="20133" spans="18:19">
      <c r="R20133" s="178"/>
      <c r="S20133" s="178"/>
    </row>
    <row r="20134" spans="18:19">
      <c r="R20134" s="178"/>
      <c r="S20134" s="178"/>
    </row>
    <row r="20135" spans="18:19">
      <c r="R20135" s="178"/>
      <c r="S20135" s="178"/>
    </row>
    <row r="20136" spans="18:19">
      <c r="R20136" s="178"/>
      <c r="S20136" s="178"/>
    </row>
    <row r="20137" spans="18:19">
      <c r="R20137" s="178"/>
      <c r="S20137" s="178"/>
    </row>
    <row r="20138" spans="18:19">
      <c r="R20138" s="178"/>
      <c r="S20138" s="178"/>
    </row>
    <row r="20139" spans="18:19">
      <c r="R20139" s="178"/>
      <c r="S20139" s="178"/>
    </row>
    <row r="20140" spans="18:19">
      <c r="R20140" s="178"/>
      <c r="S20140" s="178"/>
    </row>
    <row r="20141" spans="18:19">
      <c r="R20141" s="178"/>
      <c r="S20141" s="178"/>
    </row>
    <row r="20142" spans="18:19">
      <c r="R20142" s="178"/>
      <c r="S20142" s="178"/>
    </row>
    <row r="20143" spans="18:19">
      <c r="R20143" s="178"/>
      <c r="S20143" s="178"/>
    </row>
    <row r="20144" spans="18:19">
      <c r="R20144" s="178"/>
      <c r="S20144" s="178"/>
    </row>
    <row r="20145" spans="18:19">
      <c r="R20145" s="178"/>
      <c r="S20145" s="178"/>
    </row>
    <row r="20146" spans="18:19">
      <c r="R20146" s="178"/>
      <c r="S20146" s="178"/>
    </row>
    <row r="20147" spans="18:19">
      <c r="R20147" s="178"/>
      <c r="S20147" s="178"/>
    </row>
    <row r="20148" spans="18:19">
      <c r="R20148" s="178"/>
      <c r="S20148" s="178"/>
    </row>
    <row r="20149" spans="18:19">
      <c r="R20149" s="178"/>
      <c r="S20149" s="178"/>
    </row>
    <row r="20150" spans="18:19">
      <c r="R20150" s="178"/>
      <c r="S20150" s="178"/>
    </row>
    <row r="20151" spans="18:19">
      <c r="R20151" s="178"/>
      <c r="S20151" s="178"/>
    </row>
    <row r="20152" spans="18:19">
      <c r="R20152" s="178"/>
      <c r="S20152" s="178"/>
    </row>
    <row r="20153" spans="18:19">
      <c r="R20153" s="178"/>
      <c r="S20153" s="178"/>
    </row>
    <row r="20154" spans="18:19">
      <c r="R20154" s="178"/>
      <c r="S20154" s="178"/>
    </row>
    <row r="20155" spans="18:19">
      <c r="R20155" s="178"/>
      <c r="S20155" s="178"/>
    </row>
    <row r="20156" spans="18:19">
      <c r="R20156" s="178"/>
      <c r="S20156" s="178"/>
    </row>
    <row r="20157" spans="18:19">
      <c r="R20157" s="178"/>
      <c r="S20157" s="178"/>
    </row>
    <row r="20158" spans="18:19">
      <c r="R20158" s="178"/>
      <c r="S20158" s="178"/>
    </row>
    <row r="20159" spans="18:19">
      <c r="R20159" s="178"/>
      <c r="S20159" s="178"/>
    </row>
    <row r="20160" spans="18:19">
      <c r="R20160" s="178"/>
      <c r="S20160" s="178"/>
    </row>
    <row r="20161" spans="18:19">
      <c r="R20161" s="178"/>
      <c r="S20161" s="178"/>
    </row>
    <row r="20162" spans="18:19">
      <c r="R20162" s="178"/>
      <c r="S20162" s="178"/>
    </row>
    <row r="20163" spans="18:19">
      <c r="R20163" s="178"/>
      <c r="S20163" s="178"/>
    </row>
    <row r="20164" spans="18:19">
      <c r="R20164" s="178"/>
      <c r="S20164" s="178"/>
    </row>
    <row r="20165" spans="18:19">
      <c r="R20165" s="178"/>
      <c r="S20165" s="178"/>
    </row>
    <row r="20166" spans="18:19">
      <c r="R20166" s="178"/>
      <c r="S20166" s="178"/>
    </row>
    <row r="20167" spans="18:19">
      <c r="R20167" s="178"/>
      <c r="S20167" s="178"/>
    </row>
    <row r="20168" spans="18:19">
      <c r="R20168" s="178"/>
      <c r="S20168" s="178"/>
    </row>
    <row r="20169" spans="18:19">
      <c r="R20169" s="178"/>
      <c r="S20169" s="178"/>
    </row>
    <row r="20170" spans="18:19">
      <c r="R20170" s="178"/>
      <c r="S20170" s="178"/>
    </row>
    <row r="20171" spans="18:19">
      <c r="R20171" s="178"/>
      <c r="S20171" s="178"/>
    </row>
    <row r="20172" spans="18:19">
      <c r="R20172" s="178"/>
      <c r="S20172" s="178"/>
    </row>
    <row r="20173" spans="18:19">
      <c r="R20173" s="178"/>
      <c r="S20173" s="178"/>
    </row>
    <row r="20174" spans="18:19">
      <c r="R20174" s="178"/>
      <c r="S20174" s="178"/>
    </row>
    <row r="20175" spans="18:19">
      <c r="R20175" s="178"/>
      <c r="S20175" s="178"/>
    </row>
    <row r="20176" spans="18:19">
      <c r="R20176" s="178"/>
      <c r="S20176" s="178"/>
    </row>
    <row r="20177" spans="18:19">
      <c r="R20177" s="178"/>
      <c r="S20177" s="178"/>
    </row>
    <row r="20178" spans="18:19">
      <c r="R20178" s="178"/>
      <c r="S20178" s="178"/>
    </row>
    <row r="20179" spans="18:19">
      <c r="R20179" s="178"/>
      <c r="S20179" s="178"/>
    </row>
    <row r="20180" spans="18:19">
      <c r="R20180" s="178"/>
      <c r="S20180" s="178"/>
    </row>
    <row r="20181" spans="18:19">
      <c r="R20181" s="178"/>
      <c r="S20181" s="178"/>
    </row>
    <row r="20182" spans="18:19">
      <c r="R20182" s="178"/>
      <c r="S20182" s="178"/>
    </row>
    <row r="20183" spans="18:19">
      <c r="R20183" s="178"/>
      <c r="S20183" s="178"/>
    </row>
    <row r="20184" spans="18:19">
      <c r="R20184" s="178"/>
      <c r="S20184" s="178"/>
    </row>
    <row r="20185" spans="18:19">
      <c r="R20185" s="178"/>
      <c r="S20185" s="178"/>
    </row>
    <row r="20186" spans="18:19">
      <c r="R20186" s="178"/>
      <c r="S20186" s="178"/>
    </row>
    <row r="20187" spans="18:19">
      <c r="R20187" s="178"/>
      <c r="S20187" s="178"/>
    </row>
    <row r="20188" spans="18:19">
      <c r="R20188" s="178"/>
      <c r="S20188" s="178"/>
    </row>
    <row r="20189" spans="18:19">
      <c r="R20189" s="178"/>
      <c r="S20189" s="178"/>
    </row>
    <row r="20190" spans="18:19">
      <c r="R20190" s="178"/>
      <c r="S20190" s="178"/>
    </row>
    <row r="20191" spans="18:19">
      <c r="R20191" s="178"/>
      <c r="S20191" s="178"/>
    </row>
    <row r="20192" spans="18:19">
      <c r="R20192" s="178"/>
      <c r="S20192" s="178"/>
    </row>
    <row r="20193" spans="18:19">
      <c r="R20193" s="178"/>
      <c r="S20193" s="178"/>
    </row>
    <row r="20194" spans="18:19">
      <c r="R20194" s="178"/>
      <c r="S20194" s="178"/>
    </row>
    <row r="20195" spans="18:19">
      <c r="R20195" s="178"/>
      <c r="S20195" s="178"/>
    </row>
    <row r="20196" spans="18:19">
      <c r="R20196" s="178"/>
      <c r="S20196" s="178"/>
    </row>
    <row r="20197" spans="18:19">
      <c r="R20197" s="178"/>
      <c r="S20197" s="178"/>
    </row>
    <row r="20198" spans="18:19">
      <c r="R20198" s="178"/>
      <c r="S20198" s="178"/>
    </row>
    <row r="20199" spans="18:19">
      <c r="R20199" s="178"/>
      <c r="S20199" s="178"/>
    </row>
    <row r="20200" spans="18:19">
      <c r="R20200" s="178"/>
      <c r="S20200" s="178"/>
    </row>
    <row r="20201" spans="18:19">
      <c r="R20201" s="178"/>
      <c r="S20201" s="178"/>
    </row>
    <row r="20202" spans="18:19">
      <c r="R20202" s="178"/>
      <c r="S20202" s="178"/>
    </row>
    <row r="20203" spans="18:19">
      <c r="R20203" s="178"/>
      <c r="S20203" s="178"/>
    </row>
    <row r="20204" spans="18:19">
      <c r="R20204" s="178"/>
      <c r="S20204" s="178"/>
    </row>
    <row r="20205" spans="18:19">
      <c r="R20205" s="178"/>
      <c r="S20205" s="178"/>
    </row>
    <row r="20206" spans="18:19">
      <c r="R20206" s="178"/>
      <c r="S20206" s="178"/>
    </row>
    <row r="20207" spans="18:19">
      <c r="R20207" s="178"/>
      <c r="S20207" s="178"/>
    </row>
    <row r="20208" spans="18:19">
      <c r="R20208" s="178"/>
      <c r="S20208" s="178"/>
    </row>
    <row r="20209" spans="18:19">
      <c r="R20209" s="178"/>
      <c r="S20209" s="178"/>
    </row>
    <row r="20210" spans="18:19">
      <c r="R20210" s="178"/>
      <c r="S20210" s="178"/>
    </row>
    <row r="20211" spans="18:19">
      <c r="R20211" s="178"/>
      <c r="S20211" s="178"/>
    </row>
    <row r="20212" spans="18:19">
      <c r="R20212" s="178"/>
      <c r="S20212" s="178"/>
    </row>
    <row r="20213" spans="18:19">
      <c r="R20213" s="178"/>
      <c r="S20213" s="178"/>
    </row>
    <row r="20214" spans="18:19">
      <c r="R20214" s="178"/>
      <c r="S20214" s="178"/>
    </row>
    <row r="20215" spans="18:19">
      <c r="R20215" s="178"/>
      <c r="S20215" s="178"/>
    </row>
    <row r="20216" spans="18:19">
      <c r="R20216" s="178"/>
      <c r="S20216" s="178"/>
    </row>
    <row r="20217" spans="18:19">
      <c r="R20217" s="178"/>
      <c r="S20217" s="178"/>
    </row>
    <row r="20218" spans="18:19">
      <c r="R20218" s="178"/>
      <c r="S20218" s="178"/>
    </row>
    <row r="20219" spans="18:19">
      <c r="R20219" s="178"/>
      <c r="S20219" s="178"/>
    </row>
    <row r="20220" spans="18:19">
      <c r="R20220" s="178"/>
      <c r="S20220" s="178"/>
    </row>
    <row r="20221" spans="18:19">
      <c r="R20221" s="178"/>
      <c r="S20221" s="178"/>
    </row>
    <row r="20222" spans="18:19">
      <c r="R20222" s="178"/>
      <c r="S20222" s="178"/>
    </row>
    <row r="20223" spans="18:19">
      <c r="R20223" s="178"/>
      <c r="S20223" s="178"/>
    </row>
    <row r="20224" spans="18:19">
      <c r="R20224" s="178"/>
      <c r="S20224" s="178"/>
    </row>
    <row r="20225" spans="18:19">
      <c r="R20225" s="178"/>
      <c r="S20225" s="178"/>
    </row>
    <row r="20226" spans="18:19">
      <c r="R20226" s="178"/>
      <c r="S20226" s="178"/>
    </row>
    <row r="20227" spans="18:19">
      <c r="R20227" s="178"/>
      <c r="S20227" s="178"/>
    </row>
    <row r="20228" spans="18:19">
      <c r="R20228" s="178"/>
      <c r="S20228" s="178"/>
    </row>
    <row r="20229" spans="18:19">
      <c r="R20229" s="178"/>
      <c r="S20229" s="178"/>
    </row>
    <row r="20230" spans="18:19">
      <c r="R20230" s="178"/>
      <c r="S20230" s="178"/>
    </row>
    <row r="20231" spans="18:19">
      <c r="R20231" s="178"/>
      <c r="S20231" s="178"/>
    </row>
    <row r="20232" spans="18:19">
      <c r="R20232" s="178"/>
      <c r="S20232" s="178"/>
    </row>
    <row r="20233" spans="18:19">
      <c r="R20233" s="178"/>
      <c r="S20233" s="178"/>
    </row>
    <row r="20234" spans="18:19">
      <c r="R20234" s="178"/>
      <c r="S20234" s="178"/>
    </row>
    <row r="20235" spans="18:19">
      <c r="R20235" s="178"/>
      <c r="S20235" s="178"/>
    </row>
    <row r="20236" spans="18:19">
      <c r="R20236" s="178"/>
      <c r="S20236" s="178"/>
    </row>
    <row r="20237" spans="18:19">
      <c r="R20237" s="178"/>
      <c r="S20237" s="178"/>
    </row>
    <row r="20238" spans="18:19">
      <c r="R20238" s="178"/>
      <c r="S20238" s="178"/>
    </row>
    <row r="20239" spans="18:19">
      <c r="R20239" s="178"/>
      <c r="S20239" s="178"/>
    </row>
    <row r="20240" spans="18:19">
      <c r="R20240" s="178"/>
      <c r="S20240" s="178"/>
    </row>
    <row r="20241" spans="18:19">
      <c r="R20241" s="178"/>
      <c r="S20241" s="178"/>
    </row>
    <row r="20242" spans="18:19">
      <c r="R20242" s="178"/>
      <c r="S20242" s="178"/>
    </row>
    <row r="20243" spans="18:19">
      <c r="R20243" s="178"/>
      <c r="S20243" s="178"/>
    </row>
    <row r="20244" spans="18:19">
      <c r="R20244" s="178"/>
      <c r="S20244" s="178"/>
    </row>
    <row r="20245" spans="18:19">
      <c r="R20245" s="178"/>
      <c r="S20245" s="178"/>
    </row>
    <row r="20246" spans="18:19">
      <c r="R20246" s="178"/>
      <c r="S20246" s="178"/>
    </row>
    <row r="20247" spans="18:19">
      <c r="R20247" s="178"/>
      <c r="S20247" s="178"/>
    </row>
    <row r="20248" spans="18:19">
      <c r="R20248" s="178"/>
      <c r="S20248" s="178"/>
    </row>
    <row r="20249" spans="18:19">
      <c r="R20249" s="178"/>
      <c r="S20249" s="178"/>
    </row>
    <row r="20250" spans="18:19">
      <c r="R20250" s="178"/>
      <c r="S20250" s="178"/>
    </row>
    <row r="20251" spans="18:19">
      <c r="R20251" s="178"/>
      <c r="S20251" s="178"/>
    </row>
    <row r="20252" spans="18:19">
      <c r="R20252" s="178"/>
      <c r="S20252" s="178"/>
    </row>
    <row r="20253" spans="18:19">
      <c r="R20253" s="178"/>
      <c r="S20253" s="178"/>
    </row>
    <row r="20254" spans="18:19">
      <c r="R20254" s="178"/>
      <c r="S20254" s="178"/>
    </row>
    <row r="20255" spans="18:19">
      <c r="R20255" s="178"/>
      <c r="S20255" s="178"/>
    </row>
    <row r="20256" spans="18:19">
      <c r="R20256" s="178"/>
      <c r="S20256" s="178"/>
    </row>
    <row r="20257" spans="18:19">
      <c r="R20257" s="178"/>
      <c r="S20257" s="178"/>
    </row>
    <row r="20258" spans="18:19">
      <c r="R20258" s="178"/>
      <c r="S20258" s="178"/>
    </row>
    <row r="20259" spans="18:19">
      <c r="R20259" s="178"/>
      <c r="S20259" s="178"/>
    </row>
    <row r="20260" spans="18:19">
      <c r="R20260" s="178"/>
      <c r="S20260" s="178"/>
    </row>
    <row r="20261" spans="18:19">
      <c r="R20261" s="178"/>
      <c r="S20261" s="178"/>
    </row>
    <row r="20262" spans="18:19">
      <c r="R20262" s="178"/>
      <c r="S20262" s="178"/>
    </row>
    <row r="20263" spans="18:19">
      <c r="R20263" s="178"/>
      <c r="S20263" s="178"/>
    </row>
    <row r="20264" spans="18:19">
      <c r="R20264" s="178"/>
      <c r="S20264" s="178"/>
    </row>
    <row r="20265" spans="18:19">
      <c r="R20265" s="178"/>
      <c r="S20265" s="178"/>
    </row>
    <row r="20266" spans="18:19">
      <c r="R20266" s="178"/>
      <c r="S20266" s="178"/>
    </row>
    <row r="20267" spans="18:19">
      <c r="R20267" s="178"/>
      <c r="S20267" s="178"/>
    </row>
    <row r="20268" spans="18:19">
      <c r="R20268" s="178"/>
      <c r="S20268" s="178"/>
    </row>
    <row r="20269" spans="18:19">
      <c r="R20269" s="178"/>
      <c r="S20269" s="178"/>
    </row>
    <row r="20270" spans="18:19">
      <c r="R20270" s="178"/>
      <c r="S20270" s="178"/>
    </row>
    <row r="20271" spans="18:19">
      <c r="R20271" s="178"/>
      <c r="S20271" s="178"/>
    </row>
    <row r="20272" spans="18:19">
      <c r="R20272" s="178"/>
      <c r="S20272" s="178"/>
    </row>
    <row r="20273" spans="18:19">
      <c r="R20273" s="178"/>
      <c r="S20273" s="178"/>
    </row>
    <row r="20274" spans="18:19">
      <c r="R20274" s="178"/>
      <c r="S20274" s="178"/>
    </row>
    <row r="20275" spans="18:19">
      <c r="R20275" s="178"/>
      <c r="S20275" s="178"/>
    </row>
    <row r="20276" spans="18:19">
      <c r="R20276" s="178"/>
      <c r="S20276" s="178"/>
    </row>
    <row r="20277" spans="18:19">
      <c r="R20277" s="178"/>
      <c r="S20277" s="178"/>
    </row>
    <row r="20278" spans="18:19">
      <c r="R20278" s="178"/>
      <c r="S20278" s="178"/>
    </row>
    <row r="20279" spans="18:19">
      <c r="R20279" s="178"/>
      <c r="S20279" s="178"/>
    </row>
    <row r="20280" spans="18:19">
      <c r="R20280" s="178"/>
      <c r="S20280" s="178"/>
    </row>
    <row r="20281" spans="18:19">
      <c r="R20281" s="178"/>
      <c r="S20281" s="178"/>
    </row>
    <row r="20282" spans="18:19">
      <c r="R20282" s="178"/>
      <c r="S20282" s="178"/>
    </row>
    <row r="20283" spans="18:19">
      <c r="R20283" s="178"/>
      <c r="S20283" s="178"/>
    </row>
    <row r="20284" spans="18:19">
      <c r="R20284" s="178"/>
      <c r="S20284" s="178"/>
    </row>
    <row r="20285" spans="18:19">
      <c r="R20285" s="178"/>
      <c r="S20285" s="178"/>
    </row>
    <row r="20286" spans="18:19">
      <c r="R20286" s="178"/>
      <c r="S20286" s="178"/>
    </row>
    <row r="20287" spans="18:19">
      <c r="R20287" s="178"/>
      <c r="S20287" s="178"/>
    </row>
    <row r="20288" spans="18:19">
      <c r="R20288" s="178"/>
      <c r="S20288" s="178"/>
    </row>
    <row r="20289" spans="18:19">
      <c r="R20289" s="178"/>
      <c r="S20289" s="178"/>
    </row>
    <row r="20290" spans="18:19">
      <c r="R20290" s="178"/>
      <c r="S20290" s="178"/>
    </row>
    <row r="20291" spans="18:19">
      <c r="R20291" s="178"/>
      <c r="S20291" s="178"/>
    </row>
    <row r="20292" spans="18:19">
      <c r="R20292" s="178"/>
      <c r="S20292" s="178"/>
    </row>
    <row r="20293" spans="18:19">
      <c r="R20293" s="178"/>
      <c r="S20293" s="178"/>
    </row>
    <row r="20294" spans="18:19">
      <c r="R20294" s="178"/>
      <c r="S20294" s="178"/>
    </row>
    <row r="20295" spans="18:19">
      <c r="R20295" s="178"/>
      <c r="S20295" s="178"/>
    </row>
    <row r="20296" spans="18:19">
      <c r="R20296" s="178"/>
      <c r="S20296" s="178"/>
    </row>
    <row r="20297" spans="18:19">
      <c r="R20297" s="178"/>
      <c r="S20297" s="178"/>
    </row>
    <row r="20298" spans="18:19">
      <c r="R20298" s="178"/>
      <c r="S20298" s="178"/>
    </row>
    <row r="20299" spans="18:19">
      <c r="R20299" s="178"/>
      <c r="S20299" s="178"/>
    </row>
    <row r="20300" spans="18:19">
      <c r="R20300" s="178"/>
      <c r="S20300" s="178"/>
    </row>
    <row r="20301" spans="18:19">
      <c r="R20301" s="178"/>
      <c r="S20301" s="178"/>
    </row>
    <row r="20302" spans="18:19">
      <c r="R20302" s="178"/>
      <c r="S20302" s="178"/>
    </row>
    <row r="20303" spans="18:19">
      <c r="R20303" s="178"/>
      <c r="S20303" s="178"/>
    </row>
    <row r="20304" spans="18:19">
      <c r="R20304" s="178"/>
      <c r="S20304" s="178"/>
    </row>
    <row r="20305" spans="18:19">
      <c r="R20305" s="178"/>
      <c r="S20305" s="178"/>
    </row>
    <row r="20306" spans="18:19">
      <c r="R20306" s="178"/>
      <c r="S20306" s="178"/>
    </row>
    <row r="20307" spans="18:19">
      <c r="R20307" s="178"/>
      <c r="S20307" s="178"/>
    </row>
    <row r="20308" spans="18:19">
      <c r="R20308" s="178"/>
      <c r="S20308" s="178"/>
    </row>
    <row r="20309" spans="18:19">
      <c r="R20309" s="178"/>
      <c r="S20309" s="178"/>
    </row>
    <row r="20310" spans="18:19">
      <c r="R20310" s="178"/>
      <c r="S20310" s="178"/>
    </row>
    <row r="20311" spans="18:19">
      <c r="R20311" s="178"/>
      <c r="S20311" s="178"/>
    </row>
    <row r="20312" spans="18:19">
      <c r="R20312" s="178"/>
      <c r="S20312" s="178"/>
    </row>
    <row r="20313" spans="18:19">
      <c r="R20313" s="178"/>
      <c r="S20313" s="178"/>
    </row>
    <row r="20314" spans="18:19">
      <c r="R20314" s="178"/>
      <c r="S20314" s="178"/>
    </row>
    <row r="20315" spans="18:19">
      <c r="R20315" s="178"/>
      <c r="S20315" s="178"/>
    </row>
    <row r="20316" spans="18:19">
      <c r="R20316" s="178"/>
      <c r="S20316" s="178"/>
    </row>
    <row r="20317" spans="18:19">
      <c r="R20317" s="178"/>
      <c r="S20317" s="178"/>
    </row>
    <row r="20318" spans="18:19">
      <c r="R20318" s="178"/>
      <c r="S20318" s="178"/>
    </row>
    <row r="20319" spans="18:19">
      <c r="R20319" s="178"/>
      <c r="S20319" s="178"/>
    </row>
    <row r="20320" spans="18:19">
      <c r="R20320" s="178"/>
      <c r="S20320" s="178"/>
    </row>
    <row r="20321" spans="18:19">
      <c r="R20321" s="178"/>
      <c r="S20321" s="178"/>
    </row>
    <row r="20322" spans="18:19">
      <c r="R20322" s="178"/>
      <c r="S20322" s="178"/>
    </row>
    <row r="20323" spans="18:19">
      <c r="R20323" s="178"/>
      <c r="S20323" s="178"/>
    </row>
    <row r="20324" spans="18:19">
      <c r="R20324" s="178"/>
      <c r="S20324" s="178"/>
    </row>
    <row r="20325" spans="18:19">
      <c r="R20325" s="178"/>
      <c r="S20325" s="178"/>
    </row>
    <row r="20326" spans="18:19">
      <c r="R20326" s="178"/>
      <c r="S20326" s="178"/>
    </row>
    <row r="20327" spans="18:19">
      <c r="R20327" s="178"/>
      <c r="S20327" s="178"/>
    </row>
    <row r="20328" spans="18:19">
      <c r="R20328" s="178"/>
      <c r="S20328" s="178"/>
    </row>
    <row r="20329" spans="18:19">
      <c r="R20329" s="178"/>
      <c r="S20329" s="178"/>
    </row>
    <row r="20330" spans="18:19">
      <c r="R20330" s="178"/>
      <c r="S20330" s="178"/>
    </row>
    <row r="20331" spans="18:19">
      <c r="R20331" s="178"/>
      <c r="S20331" s="178"/>
    </row>
    <row r="20332" spans="18:19">
      <c r="R20332" s="178"/>
      <c r="S20332" s="178"/>
    </row>
    <row r="20333" spans="18:19">
      <c r="R20333" s="178"/>
      <c r="S20333" s="178"/>
    </row>
    <row r="20334" spans="18:19">
      <c r="R20334" s="178"/>
      <c r="S20334" s="178"/>
    </row>
    <row r="20335" spans="18:19">
      <c r="R20335" s="178"/>
      <c r="S20335" s="178"/>
    </row>
    <row r="20336" spans="18:19">
      <c r="R20336" s="178"/>
      <c r="S20336" s="178"/>
    </row>
    <row r="20337" spans="18:19">
      <c r="R20337" s="178"/>
      <c r="S20337" s="178"/>
    </row>
    <row r="20338" spans="18:19">
      <c r="R20338" s="178"/>
      <c r="S20338" s="178"/>
    </row>
    <row r="20339" spans="18:19">
      <c r="R20339" s="178"/>
      <c r="S20339" s="178"/>
    </row>
    <row r="20340" spans="18:19">
      <c r="R20340" s="178"/>
      <c r="S20340" s="178"/>
    </row>
    <row r="20341" spans="18:19">
      <c r="R20341" s="178"/>
      <c r="S20341" s="178"/>
    </row>
    <row r="20342" spans="18:19">
      <c r="R20342" s="178"/>
      <c r="S20342" s="178"/>
    </row>
    <row r="20343" spans="18:19">
      <c r="R20343" s="178"/>
      <c r="S20343" s="178"/>
    </row>
    <row r="20344" spans="18:19">
      <c r="R20344" s="178"/>
      <c r="S20344" s="178"/>
    </row>
    <row r="20345" spans="18:19">
      <c r="R20345" s="178"/>
      <c r="S20345" s="178"/>
    </row>
    <row r="20346" spans="18:19">
      <c r="R20346" s="178"/>
      <c r="S20346" s="178"/>
    </row>
    <row r="20347" spans="18:19">
      <c r="R20347" s="178"/>
      <c r="S20347" s="178"/>
    </row>
    <row r="20348" spans="18:19">
      <c r="R20348" s="178"/>
      <c r="S20348" s="178"/>
    </row>
    <row r="20349" spans="18:19">
      <c r="R20349" s="178"/>
      <c r="S20349" s="178"/>
    </row>
    <row r="20350" spans="18:19">
      <c r="R20350" s="178"/>
      <c r="S20350" s="178"/>
    </row>
    <row r="20351" spans="18:19">
      <c r="R20351" s="178"/>
      <c r="S20351" s="178"/>
    </row>
    <row r="20352" spans="18:19">
      <c r="R20352" s="178"/>
      <c r="S20352" s="178"/>
    </row>
    <row r="20353" spans="18:19">
      <c r="R20353" s="178"/>
      <c r="S20353" s="178"/>
    </row>
    <row r="20354" spans="18:19">
      <c r="R20354" s="178"/>
      <c r="S20354" s="178"/>
    </row>
    <row r="20355" spans="18:19">
      <c r="R20355" s="178"/>
      <c r="S20355" s="178"/>
    </row>
    <row r="20356" spans="18:19">
      <c r="R20356" s="178"/>
      <c r="S20356" s="178"/>
    </row>
    <row r="20357" spans="18:19">
      <c r="R20357" s="178"/>
      <c r="S20357" s="178"/>
    </row>
    <row r="20358" spans="18:19">
      <c r="R20358" s="178"/>
      <c r="S20358" s="178"/>
    </row>
    <row r="20359" spans="18:19">
      <c r="R20359" s="178"/>
      <c r="S20359" s="178"/>
    </row>
    <row r="20360" spans="18:19">
      <c r="R20360" s="178"/>
      <c r="S20360" s="178"/>
    </row>
    <row r="20361" spans="18:19">
      <c r="R20361" s="178"/>
      <c r="S20361" s="178"/>
    </row>
    <row r="20362" spans="18:19">
      <c r="R20362" s="178"/>
      <c r="S20362" s="178"/>
    </row>
    <row r="20363" spans="18:19">
      <c r="R20363" s="178"/>
      <c r="S20363" s="178"/>
    </row>
    <row r="20364" spans="18:19">
      <c r="R20364" s="178"/>
      <c r="S20364" s="178"/>
    </row>
    <row r="20365" spans="18:19">
      <c r="R20365" s="178"/>
      <c r="S20365" s="178"/>
    </row>
    <row r="20366" spans="18:19">
      <c r="R20366" s="178"/>
      <c r="S20366" s="178"/>
    </row>
    <row r="20367" spans="18:19">
      <c r="R20367" s="178"/>
      <c r="S20367" s="178"/>
    </row>
    <row r="20368" spans="18:19">
      <c r="R20368" s="178"/>
      <c r="S20368" s="178"/>
    </row>
    <row r="20369" spans="18:19">
      <c r="R20369" s="178"/>
      <c r="S20369" s="178"/>
    </row>
    <row r="20370" spans="18:19">
      <c r="R20370" s="178"/>
      <c r="S20370" s="178"/>
    </row>
    <row r="20371" spans="18:19">
      <c r="R20371" s="178"/>
      <c r="S20371" s="178"/>
    </row>
    <row r="20372" spans="18:19">
      <c r="R20372" s="178"/>
      <c r="S20372" s="178"/>
    </row>
    <row r="20373" spans="18:19">
      <c r="R20373" s="178"/>
      <c r="S20373" s="178"/>
    </row>
    <row r="20374" spans="18:19">
      <c r="R20374" s="178"/>
      <c r="S20374" s="178"/>
    </row>
    <row r="20375" spans="18:19">
      <c r="R20375" s="178"/>
      <c r="S20375" s="178"/>
    </row>
    <row r="20376" spans="18:19">
      <c r="R20376" s="178"/>
      <c r="S20376" s="178"/>
    </row>
    <row r="20377" spans="18:19">
      <c r="R20377" s="178"/>
      <c r="S20377" s="178"/>
    </row>
    <row r="20378" spans="18:19">
      <c r="R20378" s="178"/>
      <c r="S20378" s="178"/>
    </row>
    <row r="20379" spans="18:19">
      <c r="R20379" s="178"/>
      <c r="S20379" s="178"/>
    </row>
    <row r="20380" spans="18:19">
      <c r="R20380" s="178"/>
      <c r="S20380" s="178"/>
    </row>
    <row r="20381" spans="18:19">
      <c r="R20381" s="178"/>
      <c r="S20381" s="178"/>
    </row>
    <row r="20382" spans="18:19">
      <c r="R20382" s="178"/>
      <c r="S20382" s="178"/>
    </row>
    <row r="20383" spans="18:19">
      <c r="R20383" s="178"/>
      <c r="S20383" s="178"/>
    </row>
    <row r="20384" spans="18:19">
      <c r="R20384" s="178"/>
      <c r="S20384" s="178"/>
    </row>
    <row r="20385" spans="18:19">
      <c r="R20385" s="178"/>
      <c r="S20385" s="178"/>
    </row>
    <row r="20386" spans="18:19">
      <c r="R20386" s="178"/>
      <c r="S20386" s="178"/>
    </row>
    <row r="20387" spans="18:19">
      <c r="R20387" s="178"/>
      <c r="S20387" s="178"/>
    </row>
    <row r="20388" spans="18:19">
      <c r="R20388" s="178"/>
      <c r="S20388" s="178"/>
    </row>
    <row r="20389" spans="18:19">
      <c r="R20389" s="178"/>
      <c r="S20389" s="178"/>
    </row>
    <row r="20390" spans="18:19">
      <c r="R20390" s="178"/>
      <c r="S20390" s="178"/>
    </row>
    <row r="20391" spans="18:19">
      <c r="R20391" s="178"/>
      <c r="S20391" s="178"/>
    </row>
    <row r="20392" spans="18:19">
      <c r="R20392" s="178"/>
      <c r="S20392" s="178"/>
    </row>
    <row r="20393" spans="18:19">
      <c r="R20393" s="178"/>
      <c r="S20393" s="178"/>
    </row>
    <row r="20394" spans="18:19">
      <c r="R20394" s="178"/>
      <c r="S20394" s="178"/>
    </row>
    <row r="20395" spans="18:19">
      <c r="R20395" s="178"/>
      <c r="S20395" s="178"/>
    </row>
    <row r="20396" spans="18:19">
      <c r="R20396" s="178"/>
      <c r="S20396" s="178"/>
    </row>
    <row r="20397" spans="18:19">
      <c r="R20397" s="178"/>
      <c r="S20397" s="178"/>
    </row>
    <row r="20398" spans="18:19">
      <c r="R20398" s="178"/>
      <c r="S20398" s="178"/>
    </row>
    <row r="20399" spans="18:19">
      <c r="R20399" s="178"/>
      <c r="S20399" s="178"/>
    </row>
    <row r="20400" spans="18:19">
      <c r="R20400" s="178"/>
      <c r="S20400" s="178"/>
    </row>
    <row r="20401" spans="18:19">
      <c r="R20401" s="178"/>
      <c r="S20401" s="178"/>
    </row>
    <row r="20402" spans="18:19">
      <c r="R20402" s="178"/>
      <c r="S20402" s="178"/>
    </row>
    <row r="20403" spans="18:19">
      <c r="R20403" s="178"/>
      <c r="S20403" s="178"/>
    </row>
    <row r="20404" spans="18:19">
      <c r="R20404" s="178"/>
      <c r="S20404" s="178"/>
    </row>
    <row r="20405" spans="18:19">
      <c r="R20405" s="178"/>
      <c r="S20405" s="178"/>
    </row>
    <row r="20406" spans="18:19">
      <c r="R20406" s="178"/>
      <c r="S20406" s="178"/>
    </row>
    <row r="20407" spans="18:19">
      <c r="R20407" s="178"/>
      <c r="S20407" s="178"/>
    </row>
    <row r="20408" spans="18:19">
      <c r="R20408" s="178"/>
      <c r="S20408" s="178"/>
    </row>
    <row r="20409" spans="18:19">
      <c r="R20409" s="178"/>
      <c r="S20409" s="178"/>
    </row>
    <row r="20410" spans="18:19">
      <c r="R20410" s="178"/>
      <c r="S20410" s="178"/>
    </row>
    <row r="20411" spans="18:19">
      <c r="R20411" s="178"/>
      <c r="S20411" s="178"/>
    </row>
    <row r="20412" spans="18:19">
      <c r="R20412" s="178"/>
      <c r="S20412" s="178"/>
    </row>
    <row r="20413" spans="18:19">
      <c r="R20413" s="178"/>
      <c r="S20413" s="178"/>
    </row>
    <row r="20414" spans="18:19">
      <c r="R20414" s="178"/>
      <c r="S20414" s="178"/>
    </row>
    <row r="20415" spans="18:19">
      <c r="R20415" s="178"/>
      <c r="S20415" s="178"/>
    </row>
    <row r="20416" spans="18:19">
      <c r="R20416" s="178"/>
      <c r="S20416" s="178"/>
    </row>
    <row r="20417" spans="18:19">
      <c r="R20417" s="178"/>
      <c r="S20417" s="178"/>
    </row>
    <row r="20418" spans="18:19">
      <c r="R20418" s="178"/>
      <c r="S20418" s="178"/>
    </row>
    <row r="20419" spans="18:19">
      <c r="R20419" s="178"/>
      <c r="S20419" s="178"/>
    </row>
    <row r="20420" spans="18:19">
      <c r="R20420" s="178"/>
      <c r="S20420" s="178"/>
    </row>
    <row r="20421" spans="18:19">
      <c r="R20421" s="178"/>
      <c r="S20421" s="178"/>
    </row>
    <row r="20422" spans="18:19">
      <c r="R20422" s="178"/>
      <c r="S20422" s="178"/>
    </row>
    <row r="20423" spans="18:19">
      <c r="R20423" s="178"/>
      <c r="S20423" s="178"/>
    </row>
    <row r="20424" spans="18:19">
      <c r="R20424" s="178"/>
      <c r="S20424" s="178"/>
    </row>
    <row r="20425" spans="18:19">
      <c r="R20425" s="178"/>
      <c r="S20425" s="178"/>
    </row>
    <row r="20426" spans="18:19">
      <c r="R20426" s="178"/>
      <c r="S20426" s="178"/>
    </row>
    <row r="20427" spans="18:19">
      <c r="R20427" s="178"/>
      <c r="S20427" s="178"/>
    </row>
    <row r="20428" spans="18:19">
      <c r="R20428" s="178"/>
      <c r="S20428" s="178"/>
    </row>
    <row r="20429" spans="18:19">
      <c r="R20429" s="178"/>
      <c r="S20429" s="178"/>
    </row>
    <row r="20430" spans="18:19">
      <c r="R20430" s="178"/>
      <c r="S20430" s="178"/>
    </row>
    <row r="20431" spans="18:19">
      <c r="R20431" s="178"/>
      <c r="S20431" s="178"/>
    </row>
    <row r="20432" spans="18:19">
      <c r="R20432" s="178"/>
      <c r="S20432" s="178"/>
    </row>
    <row r="20433" spans="18:19">
      <c r="R20433" s="178"/>
      <c r="S20433" s="178"/>
    </row>
    <row r="20434" spans="18:19">
      <c r="R20434" s="178"/>
      <c r="S20434" s="178"/>
    </row>
    <row r="20435" spans="18:19">
      <c r="R20435" s="178"/>
      <c r="S20435" s="178"/>
    </row>
    <row r="20436" spans="18:19">
      <c r="R20436" s="178"/>
      <c r="S20436" s="178"/>
    </row>
    <row r="20437" spans="18:19">
      <c r="R20437" s="178"/>
      <c r="S20437" s="178"/>
    </row>
    <row r="20438" spans="18:19">
      <c r="R20438" s="178"/>
      <c r="S20438" s="178"/>
    </row>
    <row r="20439" spans="18:19">
      <c r="R20439" s="178"/>
      <c r="S20439" s="178"/>
    </row>
    <row r="20440" spans="18:19">
      <c r="R20440" s="178"/>
      <c r="S20440" s="178"/>
    </row>
    <row r="20441" spans="18:19">
      <c r="R20441" s="178"/>
      <c r="S20441" s="178"/>
    </row>
    <row r="20442" spans="18:19">
      <c r="R20442" s="178"/>
      <c r="S20442" s="178"/>
    </row>
    <row r="20443" spans="18:19">
      <c r="R20443" s="178"/>
      <c r="S20443" s="178"/>
    </row>
    <row r="20444" spans="18:19">
      <c r="R20444" s="178"/>
      <c r="S20444" s="178"/>
    </row>
    <row r="20445" spans="18:19">
      <c r="R20445" s="178"/>
      <c r="S20445" s="178"/>
    </row>
    <row r="20446" spans="18:19">
      <c r="R20446" s="178"/>
      <c r="S20446" s="178"/>
    </row>
    <row r="20447" spans="18:19">
      <c r="R20447" s="178"/>
      <c r="S20447" s="178"/>
    </row>
    <row r="20448" spans="18:19">
      <c r="R20448" s="178"/>
      <c r="S20448" s="178"/>
    </row>
    <row r="20449" spans="18:19">
      <c r="R20449" s="178"/>
      <c r="S20449" s="178"/>
    </row>
    <row r="20450" spans="18:19">
      <c r="R20450" s="178"/>
      <c r="S20450" s="178"/>
    </row>
    <row r="20451" spans="18:19">
      <c r="R20451" s="178"/>
      <c r="S20451" s="178"/>
    </row>
    <row r="20452" spans="18:19">
      <c r="R20452" s="178"/>
      <c r="S20452" s="178"/>
    </row>
    <row r="20453" spans="18:19">
      <c r="R20453" s="178"/>
      <c r="S20453" s="178"/>
    </row>
    <row r="20454" spans="18:19">
      <c r="R20454" s="178"/>
      <c r="S20454" s="178"/>
    </row>
    <row r="20455" spans="18:19">
      <c r="R20455" s="178"/>
      <c r="S20455" s="178"/>
    </row>
    <row r="20456" spans="18:19">
      <c r="R20456" s="178"/>
      <c r="S20456" s="178"/>
    </row>
    <row r="20457" spans="18:19">
      <c r="R20457" s="178"/>
      <c r="S20457" s="178"/>
    </row>
    <row r="20458" spans="18:19">
      <c r="R20458" s="178"/>
      <c r="S20458" s="178"/>
    </row>
    <row r="20459" spans="18:19">
      <c r="R20459" s="178"/>
      <c r="S20459" s="178"/>
    </row>
    <row r="20460" spans="18:19">
      <c r="R20460" s="178"/>
      <c r="S20460" s="178"/>
    </row>
    <row r="20461" spans="18:19">
      <c r="R20461" s="178"/>
      <c r="S20461" s="178"/>
    </row>
    <row r="20462" spans="18:19">
      <c r="R20462" s="178"/>
      <c r="S20462" s="178"/>
    </row>
    <row r="20463" spans="18:19">
      <c r="R20463" s="178"/>
      <c r="S20463" s="178"/>
    </row>
    <row r="20464" spans="18:19">
      <c r="R20464" s="178"/>
      <c r="S20464" s="178"/>
    </row>
    <row r="20465" spans="18:19">
      <c r="R20465" s="178"/>
      <c r="S20465" s="178"/>
    </row>
    <row r="20466" spans="18:19">
      <c r="R20466" s="178"/>
      <c r="S20466" s="178"/>
    </row>
    <row r="20467" spans="18:19">
      <c r="R20467" s="178"/>
      <c r="S20467" s="178"/>
    </row>
    <row r="20468" spans="18:19">
      <c r="R20468" s="178"/>
      <c r="S20468" s="178"/>
    </row>
    <row r="20469" spans="18:19">
      <c r="R20469" s="178"/>
      <c r="S20469" s="178"/>
    </row>
    <row r="20470" spans="18:19">
      <c r="R20470" s="178"/>
      <c r="S20470" s="178"/>
    </row>
    <row r="20471" spans="18:19">
      <c r="R20471" s="178"/>
      <c r="S20471" s="178"/>
    </row>
    <row r="20472" spans="18:19">
      <c r="R20472" s="178"/>
      <c r="S20472" s="178"/>
    </row>
    <row r="20473" spans="18:19">
      <c r="R20473" s="178"/>
      <c r="S20473" s="178"/>
    </row>
    <row r="20474" spans="18:19">
      <c r="R20474" s="178"/>
      <c r="S20474" s="178"/>
    </row>
    <row r="20475" spans="18:19">
      <c r="R20475" s="178"/>
      <c r="S20475" s="178"/>
    </row>
    <row r="20476" spans="18:19">
      <c r="R20476" s="178"/>
      <c r="S20476" s="178"/>
    </row>
    <row r="20477" spans="18:19">
      <c r="R20477" s="178"/>
      <c r="S20477" s="178"/>
    </row>
    <row r="20478" spans="18:19">
      <c r="R20478" s="178"/>
      <c r="S20478" s="178"/>
    </row>
    <row r="20479" spans="18:19">
      <c r="R20479" s="178"/>
      <c r="S20479" s="178"/>
    </row>
    <row r="20480" spans="18:19">
      <c r="R20480" s="178"/>
      <c r="S20480" s="178"/>
    </row>
    <row r="20481" spans="18:19">
      <c r="R20481" s="178"/>
      <c r="S20481" s="178"/>
    </row>
    <row r="20482" spans="18:19">
      <c r="R20482" s="178"/>
      <c r="S20482" s="178"/>
    </row>
    <row r="20483" spans="18:19">
      <c r="R20483" s="178"/>
      <c r="S20483" s="178"/>
    </row>
    <row r="20484" spans="18:19">
      <c r="R20484" s="178"/>
      <c r="S20484" s="178"/>
    </row>
    <row r="20485" spans="18:19">
      <c r="R20485" s="178"/>
      <c r="S20485" s="178"/>
    </row>
    <row r="20486" spans="18:19">
      <c r="R20486" s="178"/>
      <c r="S20486" s="178"/>
    </row>
    <row r="20487" spans="18:19">
      <c r="R20487" s="178"/>
      <c r="S20487" s="178"/>
    </row>
    <row r="20488" spans="18:19">
      <c r="R20488" s="178"/>
      <c r="S20488" s="178"/>
    </row>
    <row r="20489" spans="18:19">
      <c r="R20489" s="178"/>
      <c r="S20489" s="178"/>
    </row>
    <row r="20490" spans="18:19">
      <c r="R20490" s="178"/>
      <c r="S20490" s="178"/>
    </row>
    <row r="20491" spans="18:19">
      <c r="R20491" s="178"/>
      <c r="S20491" s="178"/>
    </row>
    <row r="20492" spans="18:19">
      <c r="R20492" s="178"/>
      <c r="S20492" s="178"/>
    </row>
    <row r="20493" spans="18:19">
      <c r="R20493" s="178"/>
      <c r="S20493" s="178"/>
    </row>
    <row r="20494" spans="18:19">
      <c r="R20494" s="178"/>
      <c r="S20494" s="178"/>
    </row>
    <row r="20495" spans="18:19">
      <c r="R20495" s="178"/>
      <c r="S20495" s="178"/>
    </row>
    <row r="20496" spans="18:19">
      <c r="R20496" s="178"/>
      <c r="S20496" s="178"/>
    </row>
    <row r="20497" spans="18:19">
      <c r="R20497" s="178"/>
      <c r="S20497" s="178"/>
    </row>
    <row r="20498" spans="18:19">
      <c r="R20498" s="178"/>
      <c r="S20498" s="178"/>
    </row>
    <row r="20499" spans="18:19">
      <c r="R20499" s="178"/>
      <c r="S20499" s="178"/>
    </row>
    <row r="20500" spans="18:19">
      <c r="R20500" s="178"/>
      <c r="S20500" s="178"/>
    </row>
    <row r="20501" spans="18:19">
      <c r="R20501" s="178"/>
      <c r="S20501" s="178"/>
    </row>
    <row r="20502" spans="18:19">
      <c r="R20502" s="178"/>
      <c r="S20502" s="178"/>
    </row>
    <row r="20503" spans="18:19">
      <c r="R20503" s="178"/>
      <c r="S20503" s="178"/>
    </row>
    <row r="20504" spans="18:19">
      <c r="R20504" s="178"/>
      <c r="S20504" s="178"/>
    </row>
    <row r="20505" spans="18:19">
      <c r="R20505" s="178"/>
      <c r="S20505" s="178"/>
    </row>
    <row r="20506" spans="18:19">
      <c r="R20506" s="178"/>
      <c r="S20506" s="178"/>
    </row>
    <row r="20507" spans="18:19">
      <c r="R20507" s="178"/>
      <c r="S20507" s="178"/>
    </row>
    <row r="20508" spans="18:19">
      <c r="R20508" s="178"/>
      <c r="S20508" s="178"/>
    </row>
    <row r="20509" spans="18:19">
      <c r="R20509" s="178"/>
      <c r="S20509" s="178"/>
    </row>
    <row r="20510" spans="18:19">
      <c r="R20510" s="178"/>
      <c r="S20510" s="178"/>
    </row>
    <row r="20511" spans="18:19">
      <c r="R20511" s="178"/>
      <c r="S20511" s="178"/>
    </row>
    <row r="20512" spans="18:19">
      <c r="R20512" s="178"/>
      <c r="S20512" s="178"/>
    </row>
    <row r="20513" spans="18:19">
      <c r="R20513" s="178"/>
      <c r="S20513" s="178"/>
    </row>
    <row r="20514" spans="18:19">
      <c r="R20514" s="178"/>
      <c r="S20514" s="178"/>
    </row>
    <row r="20515" spans="18:19">
      <c r="R20515" s="178"/>
      <c r="S20515" s="178"/>
    </row>
    <row r="20516" spans="18:19">
      <c r="R20516" s="178"/>
      <c r="S20516" s="178"/>
    </row>
    <row r="20517" spans="18:19">
      <c r="R20517" s="178"/>
      <c r="S20517" s="178"/>
    </row>
    <row r="20518" spans="18:19">
      <c r="R20518" s="178"/>
      <c r="S20518" s="178"/>
    </row>
    <row r="20519" spans="18:19">
      <c r="R20519" s="178"/>
      <c r="S20519" s="178"/>
    </row>
    <row r="20520" spans="18:19">
      <c r="R20520" s="178"/>
      <c r="S20520" s="178"/>
    </row>
    <row r="20521" spans="18:19">
      <c r="R20521" s="178"/>
      <c r="S20521" s="178"/>
    </row>
    <row r="20522" spans="18:19">
      <c r="R20522" s="178"/>
      <c r="S20522" s="178"/>
    </row>
    <row r="20523" spans="18:19">
      <c r="R20523" s="178"/>
      <c r="S20523" s="178"/>
    </row>
    <row r="20524" spans="18:19">
      <c r="R20524" s="178"/>
      <c r="S20524" s="178"/>
    </row>
    <row r="20525" spans="18:19">
      <c r="R20525" s="178"/>
      <c r="S20525" s="178"/>
    </row>
    <row r="20526" spans="18:19">
      <c r="R20526" s="178"/>
      <c r="S20526" s="178"/>
    </row>
    <row r="20527" spans="18:19">
      <c r="R20527" s="178"/>
      <c r="S20527" s="178"/>
    </row>
    <row r="20528" spans="18:19">
      <c r="R20528" s="178"/>
      <c r="S20528" s="178"/>
    </row>
    <row r="20529" spans="18:19">
      <c r="R20529" s="178"/>
      <c r="S20529" s="178"/>
    </row>
    <row r="20530" spans="18:19">
      <c r="R20530" s="178"/>
      <c r="S20530" s="178"/>
    </row>
    <row r="20531" spans="18:19">
      <c r="R20531" s="178"/>
      <c r="S20531" s="178"/>
    </row>
    <row r="20532" spans="18:19">
      <c r="R20532" s="178"/>
      <c r="S20532" s="178"/>
    </row>
    <row r="20533" spans="18:19">
      <c r="R20533" s="178"/>
      <c r="S20533" s="178"/>
    </row>
    <row r="20534" spans="18:19">
      <c r="R20534" s="178"/>
      <c r="S20534" s="178"/>
    </row>
    <row r="20535" spans="18:19">
      <c r="R20535" s="178"/>
      <c r="S20535" s="178"/>
    </row>
    <row r="20536" spans="18:19">
      <c r="R20536" s="178"/>
      <c r="S20536" s="178"/>
    </row>
    <row r="20537" spans="18:19">
      <c r="R20537" s="178"/>
      <c r="S20537" s="178"/>
    </row>
    <row r="20538" spans="18:19">
      <c r="R20538" s="178"/>
      <c r="S20538" s="178"/>
    </row>
    <row r="20539" spans="18:19">
      <c r="R20539" s="178"/>
      <c r="S20539" s="178"/>
    </row>
    <row r="20540" spans="18:19">
      <c r="R20540" s="178"/>
      <c r="S20540" s="178"/>
    </row>
    <row r="20541" spans="18:19">
      <c r="R20541" s="178"/>
      <c r="S20541" s="178"/>
    </row>
    <row r="20542" spans="18:19">
      <c r="R20542" s="178"/>
      <c r="S20542" s="178"/>
    </row>
    <row r="20543" spans="18:19">
      <c r="R20543" s="178"/>
      <c r="S20543" s="178"/>
    </row>
    <row r="20544" spans="18:19">
      <c r="R20544" s="178"/>
      <c r="S20544" s="178"/>
    </row>
    <row r="20545" spans="18:19">
      <c r="R20545" s="178"/>
      <c r="S20545" s="178"/>
    </row>
    <row r="20546" spans="18:19">
      <c r="R20546" s="178"/>
      <c r="S20546" s="178"/>
    </row>
    <row r="20547" spans="18:19">
      <c r="R20547" s="178"/>
      <c r="S20547" s="178"/>
    </row>
    <row r="20548" spans="18:19">
      <c r="R20548" s="178"/>
      <c r="S20548" s="178"/>
    </row>
    <row r="20549" spans="18:19">
      <c r="R20549" s="178"/>
      <c r="S20549" s="178"/>
    </row>
    <row r="20550" spans="18:19">
      <c r="R20550" s="178"/>
      <c r="S20550" s="178"/>
    </row>
    <row r="20551" spans="18:19">
      <c r="R20551" s="178"/>
      <c r="S20551" s="178"/>
    </row>
    <row r="20552" spans="18:19">
      <c r="R20552" s="178"/>
      <c r="S20552" s="178"/>
    </row>
    <row r="20553" spans="18:19">
      <c r="R20553" s="178"/>
      <c r="S20553" s="178"/>
    </row>
    <row r="20554" spans="18:19">
      <c r="R20554" s="178"/>
      <c r="S20554" s="178"/>
    </row>
    <row r="20555" spans="18:19">
      <c r="R20555" s="178"/>
      <c r="S20555" s="178"/>
    </row>
    <row r="20556" spans="18:19">
      <c r="R20556" s="178"/>
      <c r="S20556" s="178"/>
    </row>
    <row r="20557" spans="18:19">
      <c r="R20557" s="178"/>
      <c r="S20557" s="178"/>
    </row>
    <row r="20558" spans="18:19">
      <c r="R20558" s="178"/>
      <c r="S20558" s="178"/>
    </row>
    <row r="20559" spans="18:19">
      <c r="R20559" s="178"/>
      <c r="S20559" s="178"/>
    </row>
    <row r="20560" spans="18:19">
      <c r="R20560" s="178"/>
      <c r="S20560" s="178"/>
    </row>
    <row r="20561" spans="18:19">
      <c r="R20561" s="178"/>
      <c r="S20561" s="178"/>
    </row>
    <row r="20562" spans="18:19">
      <c r="R20562" s="178"/>
      <c r="S20562" s="178"/>
    </row>
    <row r="20563" spans="18:19">
      <c r="R20563" s="178"/>
      <c r="S20563" s="178"/>
    </row>
    <row r="20564" spans="18:19">
      <c r="R20564" s="178"/>
      <c r="S20564" s="178"/>
    </row>
    <row r="20565" spans="18:19">
      <c r="R20565" s="178"/>
      <c r="S20565" s="178"/>
    </row>
    <row r="20566" spans="18:19">
      <c r="R20566" s="178"/>
      <c r="S20566" s="178"/>
    </row>
    <row r="20567" spans="18:19">
      <c r="R20567" s="178"/>
      <c r="S20567" s="178"/>
    </row>
    <row r="20568" spans="18:19">
      <c r="R20568" s="178"/>
      <c r="S20568" s="178"/>
    </row>
    <row r="20569" spans="18:19">
      <c r="R20569" s="178"/>
      <c r="S20569" s="178"/>
    </row>
    <row r="20570" spans="18:19">
      <c r="R20570" s="178"/>
      <c r="S20570" s="178"/>
    </row>
    <row r="20571" spans="18:19">
      <c r="R20571" s="178"/>
      <c r="S20571" s="178"/>
    </row>
    <row r="20572" spans="18:19">
      <c r="R20572" s="178"/>
      <c r="S20572" s="178"/>
    </row>
    <row r="20573" spans="18:19">
      <c r="R20573" s="178"/>
      <c r="S20573" s="178"/>
    </row>
    <row r="20574" spans="18:19">
      <c r="R20574" s="178"/>
      <c r="S20574" s="178"/>
    </row>
    <row r="20575" spans="18:19">
      <c r="R20575" s="178"/>
      <c r="S20575" s="178"/>
    </row>
    <row r="20576" spans="18:19">
      <c r="R20576" s="178"/>
      <c r="S20576" s="178"/>
    </row>
    <row r="20577" spans="18:19">
      <c r="R20577" s="178"/>
      <c r="S20577" s="178"/>
    </row>
    <row r="20578" spans="18:19">
      <c r="R20578" s="178"/>
      <c r="S20578" s="178"/>
    </row>
    <row r="20579" spans="18:19">
      <c r="R20579" s="178"/>
      <c r="S20579" s="178"/>
    </row>
    <row r="20580" spans="18:19">
      <c r="R20580" s="178"/>
      <c r="S20580" s="178"/>
    </row>
    <row r="20581" spans="18:19">
      <c r="R20581" s="178"/>
      <c r="S20581" s="178"/>
    </row>
    <row r="20582" spans="18:19">
      <c r="R20582" s="178"/>
      <c r="S20582" s="178"/>
    </row>
    <row r="20583" spans="18:19">
      <c r="R20583" s="178"/>
      <c r="S20583" s="178"/>
    </row>
    <row r="20584" spans="18:19">
      <c r="R20584" s="178"/>
      <c r="S20584" s="178"/>
    </row>
    <row r="20585" spans="18:19">
      <c r="R20585" s="178"/>
      <c r="S20585" s="178"/>
    </row>
    <row r="20586" spans="18:19">
      <c r="R20586" s="178"/>
      <c r="S20586" s="178"/>
    </row>
    <row r="20587" spans="18:19">
      <c r="R20587" s="178"/>
      <c r="S20587" s="178"/>
    </row>
    <row r="20588" spans="18:19">
      <c r="R20588" s="178"/>
      <c r="S20588" s="178"/>
    </row>
    <row r="20589" spans="18:19">
      <c r="R20589" s="178"/>
      <c r="S20589" s="178"/>
    </row>
    <row r="20590" spans="18:19">
      <c r="R20590" s="178"/>
      <c r="S20590" s="178"/>
    </row>
    <row r="20591" spans="18:19">
      <c r="R20591" s="178"/>
      <c r="S20591" s="178"/>
    </row>
    <row r="20592" spans="18:19">
      <c r="R20592" s="178"/>
      <c r="S20592" s="178"/>
    </row>
    <row r="20593" spans="18:19">
      <c r="R20593" s="178"/>
      <c r="S20593" s="178"/>
    </row>
    <row r="20594" spans="18:19">
      <c r="R20594" s="178"/>
      <c r="S20594" s="178"/>
    </row>
    <row r="20595" spans="18:19">
      <c r="R20595" s="178"/>
      <c r="S20595" s="178"/>
    </row>
    <row r="20596" spans="18:19">
      <c r="R20596" s="178"/>
      <c r="S20596" s="178"/>
    </row>
    <row r="20597" spans="18:19">
      <c r="R20597" s="178"/>
      <c r="S20597" s="178"/>
    </row>
    <row r="20598" spans="18:19">
      <c r="R20598" s="178"/>
      <c r="S20598" s="178"/>
    </row>
    <row r="20599" spans="18:19">
      <c r="R20599" s="178"/>
      <c r="S20599" s="178"/>
    </row>
    <row r="20600" spans="18:19">
      <c r="R20600" s="178"/>
      <c r="S20600" s="178"/>
    </row>
    <row r="20601" spans="18:19">
      <c r="R20601" s="178"/>
      <c r="S20601" s="178"/>
    </row>
    <row r="20602" spans="18:19">
      <c r="R20602" s="178"/>
      <c r="S20602" s="178"/>
    </row>
    <row r="20603" spans="18:19">
      <c r="R20603" s="178"/>
      <c r="S20603" s="178"/>
    </row>
    <row r="20604" spans="18:19">
      <c r="R20604" s="178"/>
      <c r="S20604" s="178"/>
    </row>
    <row r="20605" spans="18:19">
      <c r="R20605" s="178"/>
      <c r="S20605" s="178"/>
    </row>
    <row r="20606" spans="18:19">
      <c r="R20606" s="178"/>
      <c r="S20606" s="178"/>
    </row>
    <row r="20607" spans="18:19">
      <c r="R20607" s="178"/>
      <c r="S20607" s="178"/>
    </row>
    <row r="20608" spans="18:19">
      <c r="R20608" s="178"/>
      <c r="S20608" s="178"/>
    </row>
    <row r="20609" spans="18:19">
      <c r="R20609" s="178"/>
      <c r="S20609" s="178"/>
    </row>
    <row r="20610" spans="18:19">
      <c r="R20610" s="178"/>
      <c r="S20610" s="178"/>
    </row>
    <row r="20611" spans="18:19">
      <c r="R20611" s="178"/>
      <c r="S20611" s="178"/>
    </row>
    <row r="20612" spans="18:19">
      <c r="R20612" s="178"/>
      <c r="S20612" s="178"/>
    </row>
    <row r="20613" spans="18:19">
      <c r="R20613" s="178"/>
      <c r="S20613" s="178"/>
    </row>
    <row r="20614" spans="18:19">
      <c r="R20614" s="178"/>
      <c r="S20614" s="178"/>
    </row>
    <row r="20615" spans="18:19">
      <c r="R20615" s="178"/>
      <c r="S20615" s="178"/>
    </row>
    <row r="20616" spans="18:19">
      <c r="R20616" s="178"/>
      <c r="S20616" s="178"/>
    </row>
    <row r="20617" spans="18:19">
      <c r="R20617" s="178"/>
      <c r="S20617" s="178"/>
    </row>
    <row r="20618" spans="18:19">
      <c r="R20618" s="178"/>
      <c r="S20618" s="178"/>
    </row>
    <row r="20619" spans="18:19">
      <c r="R20619" s="178"/>
      <c r="S20619" s="178"/>
    </row>
    <row r="20620" spans="18:19">
      <c r="R20620" s="178"/>
      <c r="S20620" s="178"/>
    </row>
    <row r="20621" spans="18:19">
      <c r="R20621" s="178"/>
      <c r="S20621" s="178"/>
    </row>
    <row r="20622" spans="18:19">
      <c r="R20622" s="178"/>
      <c r="S20622" s="178"/>
    </row>
    <row r="20623" spans="18:19">
      <c r="R20623" s="178"/>
      <c r="S20623" s="178"/>
    </row>
    <row r="20624" spans="18:19">
      <c r="R20624" s="178"/>
      <c r="S20624" s="178"/>
    </row>
    <row r="20625" spans="18:19">
      <c r="R20625" s="178"/>
      <c r="S20625" s="178"/>
    </row>
    <row r="20626" spans="18:19">
      <c r="R20626" s="178"/>
      <c r="S20626" s="178"/>
    </row>
    <row r="20627" spans="18:19">
      <c r="R20627" s="178"/>
      <c r="S20627" s="178"/>
    </row>
    <row r="20628" spans="18:19">
      <c r="R20628" s="178"/>
      <c r="S20628" s="178"/>
    </row>
    <row r="20629" spans="18:19">
      <c r="R20629" s="178"/>
      <c r="S20629" s="178"/>
    </row>
    <row r="20630" spans="18:19">
      <c r="R20630" s="178"/>
      <c r="S20630" s="178"/>
    </row>
    <row r="20631" spans="18:19">
      <c r="R20631" s="178"/>
      <c r="S20631" s="178"/>
    </row>
    <row r="20632" spans="18:19">
      <c r="R20632" s="178"/>
      <c r="S20632" s="178"/>
    </row>
    <row r="20633" spans="18:19">
      <c r="R20633" s="178"/>
      <c r="S20633" s="178"/>
    </row>
    <row r="20634" spans="18:19">
      <c r="R20634" s="178"/>
      <c r="S20634" s="178"/>
    </row>
    <row r="20635" spans="18:19">
      <c r="R20635" s="178"/>
      <c r="S20635" s="178"/>
    </row>
    <row r="20636" spans="18:19">
      <c r="R20636" s="178"/>
      <c r="S20636" s="178"/>
    </row>
    <row r="20637" spans="18:19">
      <c r="R20637" s="178"/>
      <c r="S20637" s="178"/>
    </row>
    <row r="20638" spans="18:19">
      <c r="R20638" s="178"/>
      <c r="S20638" s="178"/>
    </row>
    <row r="20639" spans="18:19">
      <c r="R20639" s="178"/>
      <c r="S20639" s="178"/>
    </row>
    <row r="20640" spans="18:19">
      <c r="R20640" s="178"/>
      <c r="S20640" s="178"/>
    </row>
    <row r="20641" spans="18:19">
      <c r="R20641" s="178"/>
      <c r="S20641" s="178"/>
    </row>
    <row r="20642" spans="18:19">
      <c r="R20642" s="178"/>
      <c r="S20642" s="178"/>
    </row>
    <row r="20643" spans="18:19">
      <c r="R20643" s="178"/>
      <c r="S20643" s="178"/>
    </row>
    <row r="20644" spans="18:19">
      <c r="R20644" s="178"/>
      <c r="S20644" s="178"/>
    </row>
    <row r="20645" spans="18:19">
      <c r="R20645" s="178"/>
      <c r="S20645" s="178"/>
    </row>
    <row r="20646" spans="18:19">
      <c r="R20646" s="178"/>
      <c r="S20646" s="178"/>
    </row>
    <row r="20647" spans="18:19">
      <c r="R20647" s="178"/>
      <c r="S20647" s="178"/>
    </row>
    <row r="20648" spans="18:19">
      <c r="R20648" s="178"/>
      <c r="S20648" s="178"/>
    </row>
    <row r="20649" spans="18:19">
      <c r="R20649" s="178"/>
      <c r="S20649" s="178"/>
    </row>
    <row r="20650" spans="18:19">
      <c r="R20650" s="178"/>
      <c r="S20650" s="178"/>
    </row>
    <row r="20651" spans="18:19">
      <c r="R20651" s="178"/>
      <c r="S20651" s="178"/>
    </row>
    <row r="20652" spans="18:19">
      <c r="R20652" s="178"/>
      <c r="S20652" s="178"/>
    </row>
    <row r="20653" spans="18:19">
      <c r="R20653" s="178"/>
      <c r="S20653" s="178"/>
    </row>
    <row r="20654" spans="18:19">
      <c r="R20654" s="178"/>
      <c r="S20654" s="178"/>
    </row>
    <row r="20655" spans="18:19">
      <c r="R20655" s="178"/>
      <c r="S20655" s="178"/>
    </row>
    <row r="20656" spans="18:19">
      <c r="R20656" s="178"/>
      <c r="S20656" s="178"/>
    </row>
    <row r="20657" spans="18:19">
      <c r="R20657" s="178"/>
      <c r="S20657" s="178"/>
    </row>
    <row r="20658" spans="18:19">
      <c r="R20658" s="178"/>
      <c r="S20658" s="178"/>
    </row>
    <row r="20659" spans="18:19">
      <c r="R20659" s="178"/>
      <c r="S20659" s="178"/>
    </row>
    <row r="20660" spans="18:19">
      <c r="R20660" s="178"/>
      <c r="S20660" s="178"/>
    </row>
    <row r="20661" spans="18:19">
      <c r="R20661" s="178"/>
      <c r="S20661" s="178"/>
    </row>
    <row r="20662" spans="18:19">
      <c r="R20662" s="178"/>
      <c r="S20662" s="178"/>
    </row>
    <row r="20663" spans="18:19">
      <c r="R20663" s="178"/>
      <c r="S20663" s="178"/>
    </row>
    <row r="20664" spans="18:19">
      <c r="R20664" s="178"/>
      <c r="S20664" s="178"/>
    </row>
    <row r="20665" spans="18:19">
      <c r="R20665" s="178"/>
      <c r="S20665" s="178"/>
    </row>
    <row r="20666" spans="18:19">
      <c r="R20666" s="178"/>
      <c r="S20666" s="178"/>
    </row>
    <row r="20667" spans="18:19">
      <c r="R20667" s="178"/>
      <c r="S20667" s="178"/>
    </row>
    <row r="20668" spans="18:19">
      <c r="R20668" s="178"/>
      <c r="S20668" s="178"/>
    </row>
    <row r="20669" spans="18:19">
      <c r="R20669" s="178"/>
      <c r="S20669" s="178"/>
    </row>
    <row r="20670" spans="18:19">
      <c r="R20670" s="178"/>
      <c r="S20670" s="178"/>
    </row>
    <row r="20671" spans="18:19">
      <c r="R20671" s="178"/>
      <c r="S20671" s="178"/>
    </row>
    <row r="20672" spans="18:19">
      <c r="R20672" s="178"/>
      <c r="S20672" s="178"/>
    </row>
    <row r="20673" spans="18:19">
      <c r="R20673" s="178"/>
      <c r="S20673" s="178"/>
    </row>
    <row r="20674" spans="18:19">
      <c r="R20674" s="178"/>
      <c r="S20674" s="178"/>
    </row>
    <row r="20675" spans="18:19">
      <c r="R20675" s="178"/>
      <c r="S20675" s="178"/>
    </row>
    <row r="20676" spans="18:19">
      <c r="R20676" s="178"/>
      <c r="S20676" s="178"/>
    </row>
    <row r="20677" spans="18:19">
      <c r="R20677" s="178"/>
      <c r="S20677" s="178"/>
    </row>
    <row r="20678" spans="18:19">
      <c r="R20678" s="178"/>
      <c r="S20678" s="178"/>
    </row>
    <row r="20679" spans="18:19">
      <c r="R20679" s="178"/>
      <c r="S20679" s="178"/>
    </row>
    <row r="20680" spans="18:19">
      <c r="R20680" s="178"/>
      <c r="S20680" s="178"/>
    </row>
    <row r="20681" spans="18:19">
      <c r="R20681" s="178"/>
      <c r="S20681" s="178"/>
    </row>
    <row r="20682" spans="18:19">
      <c r="R20682" s="178"/>
      <c r="S20682" s="178"/>
    </row>
    <row r="20683" spans="18:19">
      <c r="R20683" s="178"/>
      <c r="S20683" s="178"/>
    </row>
    <row r="20684" spans="18:19">
      <c r="R20684" s="178"/>
      <c r="S20684" s="178"/>
    </row>
    <row r="20685" spans="18:19">
      <c r="R20685" s="178"/>
      <c r="S20685" s="178"/>
    </row>
    <row r="20686" spans="18:19">
      <c r="R20686" s="178"/>
      <c r="S20686" s="178"/>
    </row>
    <row r="20687" spans="18:19">
      <c r="R20687" s="178"/>
      <c r="S20687" s="178"/>
    </row>
    <row r="20688" spans="18:19">
      <c r="R20688" s="178"/>
      <c r="S20688" s="178"/>
    </row>
    <row r="20689" spans="18:19">
      <c r="R20689" s="178"/>
      <c r="S20689" s="178"/>
    </row>
    <row r="20690" spans="18:19">
      <c r="R20690" s="178"/>
      <c r="S20690" s="178"/>
    </row>
    <row r="20691" spans="18:19">
      <c r="R20691" s="178"/>
      <c r="S20691" s="178"/>
    </row>
    <row r="20692" spans="18:19">
      <c r="R20692" s="178"/>
      <c r="S20692" s="178"/>
    </row>
    <row r="20693" spans="18:19">
      <c r="R20693" s="178"/>
      <c r="S20693" s="178"/>
    </row>
    <row r="20694" spans="18:19">
      <c r="R20694" s="178"/>
      <c r="S20694" s="178"/>
    </row>
    <row r="20695" spans="18:19">
      <c r="R20695" s="178"/>
      <c r="S20695" s="178"/>
    </row>
    <row r="20696" spans="18:19">
      <c r="R20696" s="178"/>
      <c r="S20696" s="178"/>
    </row>
    <row r="20697" spans="18:19">
      <c r="R20697" s="178"/>
      <c r="S20697" s="178"/>
    </row>
    <row r="20698" spans="18:19">
      <c r="R20698" s="178"/>
      <c r="S20698" s="178"/>
    </row>
    <row r="20699" spans="18:19">
      <c r="R20699" s="178"/>
      <c r="S20699" s="178"/>
    </row>
    <row r="20700" spans="18:19">
      <c r="R20700" s="178"/>
      <c r="S20700" s="178"/>
    </row>
    <row r="20701" spans="18:19">
      <c r="R20701" s="178"/>
      <c r="S20701" s="178"/>
    </row>
    <row r="20702" spans="18:19">
      <c r="R20702" s="178"/>
      <c r="S20702" s="178"/>
    </row>
    <row r="20703" spans="18:19">
      <c r="R20703" s="178"/>
      <c r="S20703" s="178"/>
    </row>
    <row r="20704" spans="18:19">
      <c r="R20704" s="178"/>
      <c r="S20704" s="178"/>
    </row>
    <row r="20705" spans="18:19">
      <c r="R20705" s="178"/>
      <c r="S20705" s="178"/>
    </row>
    <row r="20706" spans="18:19">
      <c r="R20706" s="178"/>
      <c r="S20706" s="178"/>
    </row>
    <row r="20707" spans="18:19">
      <c r="R20707" s="178"/>
      <c r="S20707" s="178"/>
    </row>
    <row r="20708" spans="18:19">
      <c r="R20708" s="178"/>
      <c r="S20708" s="178"/>
    </row>
    <row r="20709" spans="18:19">
      <c r="R20709" s="178"/>
      <c r="S20709" s="178"/>
    </row>
    <row r="20710" spans="18:19">
      <c r="R20710" s="178"/>
      <c r="S20710" s="178"/>
    </row>
    <row r="20711" spans="18:19">
      <c r="R20711" s="178"/>
      <c r="S20711" s="178"/>
    </row>
    <row r="20712" spans="18:19">
      <c r="R20712" s="178"/>
      <c r="S20712" s="178"/>
    </row>
    <row r="20713" spans="18:19">
      <c r="R20713" s="178"/>
      <c r="S20713" s="178"/>
    </row>
    <row r="20714" spans="18:19">
      <c r="R20714" s="178"/>
      <c r="S20714" s="178"/>
    </row>
    <row r="20715" spans="18:19">
      <c r="R20715" s="178"/>
      <c r="S20715" s="178"/>
    </row>
    <row r="20716" spans="18:19">
      <c r="R20716" s="178"/>
      <c r="S20716" s="178"/>
    </row>
    <row r="20717" spans="18:19">
      <c r="R20717" s="178"/>
      <c r="S20717" s="178"/>
    </row>
    <row r="20718" spans="18:19">
      <c r="R20718" s="178"/>
      <c r="S20718" s="178"/>
    </row>
    <row r="20719" spans="18:19">
      <c r="R20719" s="178"/>
      <c r="S20719" s="178"/>
    </row>
    <row r="20720" spans="18:19">
      <c r="R20720" s="178"/>
      <c r="S20720" s="178"/>
    </row>
    <row r="20721" spans="18:19">
      <c r="R20721" s="178"/>
      <c r="S20721" s="178"/>
    </row>
    <row r="20722" spans="18:19">
      <c r="R20722" s="178"/>
      <c r="S20722" s="178"/>
    </row>
    <row r="20723" spans="18:19">
      <c r="R20723" s="178"/>
      <c r="S20723" s="178"/>
    </row>
    <row r="20724" spans="18:19">
      <c r="R20724" s="178"/>
      <c r="S20724" s="178"/>
    </row>
    <row r="20725" spans="18:19">
      <c r="R20725" s="178"/>
      <c r="S20725" s="178"/>
    </row>
    <row r="20726" spans="18:19">
      <c r="R20726" s="178"/>
      <c r="S20726" s="178"/>
    </row>
    <row r="20727" spans="18:19">
      <c r="R20727" s="178"/>
      <c r="S20727" s="178"/>
    </row>
    <row r="20728" spans="18:19">
      <c r="R20728" s="178"/>
      <c r="S20728" s="178"/>
    </row>
    <row r="20729" spans="18:19">
      <c r="R20729" s="178"/>
      <c r="S20729" s="178"/>
    </row>
    <row r="20730" spans="18:19">
      <c r="R20730" s="178"/>
      <c r="S20730" s="178"/>
    </row>
    <row r="20731" spans="18:19">
      <c r="R20731" s="178"/>
      <c r="S20731" s="178"/>
    </row>
    <row r="20732" spans="18:19">
      <c r="R20732" s="178"/>
      <c r="S20732" s="178"/>
    </row>
    <row r="20733" spans="18:19">
      <c r="R20733" s="178"/>
      <c r="S20733" s="178"/>
    </row>
    <row r="20734" spans="18:19">
      <c r="R20734" s="178"/>
      <c r="S20734" s="178"/>
    </row>
    <row r="20735" spans="18:19">
      <c r="R20735" s="178"/>
      <c r="S20735" s="178"/>
    </row>
    <row r="20736" spans="18:19">
      <c r="R20736" s="178"/>
      <c r="S20736" s="178"/>
    </row>
    <row r="20737" spans="18:19">
      <c r="R20737" s="178"/>
      <c r="S20737" s="178"/>
    </row>
    <row r="20738" spans="18:19">
      <c r="R20738" s="178"/>
      <c r="S20738" s="178"/>
    </row>
    <row r="20739" spans="18:19">
      <c r="R20739" s="178"/>
      <c r="S20739" s="178"/>
    </row>
    <row r="20740" spans="18:19">
      <c r="R20740" s="178"/>
      <c r="S20740" s="178"/>
    </row>
    <row r="20741" spans="18:19">
      <c r="R20741" s="178"/>
      <c r="S20741" s="178"/>
    </row>
    <row r="20742" spans="18:19">
      <c r="R20742" s="178"/>
      <c r="S20742" s="178"/>
    </row>
    <row r="20743" spans="18:19">
      <c r="R20743" s="178"/>
      <c r="S20743" s="178"/>
    </row>
    <row r="20744" spans="18:19">
      <c r="R20744" s="178"/>
      <c r="S20744" s="178"/>
    </row>
    <row r="20745" spans="18:19">
      <c r="R20745" s="178"/>
      <c r="S20745" s="178"/>
    </row>
    <row r="20746" spans="18:19">
      <c r="R20746" s="178"/>
      <c r="S20746" s="178"/>
    </row>
    <row r="20747" spans="18:19">
      <c r="R20747" s="178"/>
      <c r="S20747" s="178"/>
    </row>
    <row r="20748" spans="18:19">
      <c r="R20748" s="178"/>
      <c r="S20748" s="178"/>
    </row>
    <row r="20749" spans="18:19">
      <c r="R20749" s="178"/>
      <c r="S20749" s="178"/>
    </row>
    <row r="20750" spans="18:19">
      <c r="R20750" s="178"/>
      <c r="S20750" s="178"/>
    </row>
    <row r="20751" spans="18:19">
      <c r="R20751" s="178"/>
      <c r="S20751" s="178"/>
    </row>
    <row r="20752" spans="18:19">
      <c r="R20752" s="178"/>
      <c r="S20752" s="178"/>
    </row>
    <row r="20753" spans="18:19">
      <c r="R20753" s="178"/>
      <c r="S20753" s="178"/>
    </row>
    <row r="20754" spans="18:19">
      <c r="R20754" s="178"/>
      <c r="S20754" s="178"/>
    </row>
    <row r="20755" spans="18:19">
      <c r="R20755" s="178"/>
      <c r="S20755" s="178"/>
    </row>
    <row r="20756" spans="18:19">
      <c r="R20756" s="178"/>
      <c r="S20756" s="178"/>
    </row>
    <row r="20757" spans="18:19">
      <c r="R20757" s="178"/>
      <c r="S20757" s="178"/>
    </row>
    <row r="20758" spans="18:19">
      <c r="R20758" s="178"/>
      <c r="S20758" s="178"/>
    </row>
    <row r="20759" spans="18:19">
      <c r="R20759" s="178"/>
      <c r="S20759" s="178"/>
    </row>
    <row r="20760" spans="18:19">
      <c r="R20760" s="178"/>
      <c r="S20760" s="178"/>
    </row>
    <row r="20761" spans="18:19">
      <c r="R20761" s="178"/>
      <c r="S20761" s="178"/>
    </row>
    <row r="20762" spans="18:19">
      <c r="R20762" s="178"/>
      <c r="S20762" s="178"/>
    </row>
    <row r="20763" spans="18:19">
      <c r="R20763" s="178"/>
      <c r="S20763" s="178"/>
    </row>
    <row r="20764" spans="18:19">
      <c r="R20764" s="178"/>
      <c r="S20764" s="178"/>
    </row>
    <row r="20765" spans="18:19">
      <c r="R20765" s="178"/>
      <c r="S20765" s="178"/>
    </row>
    <row r="20766" spans="18:19">
      <c r="R20766" s="178"/>
      <c r="S20766" s="178"/>
    </row>
    <row r="20767" spans="18:19">
      <c r="R20767" s="178"/>
      <c r="S20767" s="178"/>
    </row>
    <row r="20768" spans="18:19">
      <c r="R20768" s="178"/>
      <c r="S20768" s="178"/>
    </row>
    <row r="20769" spans="18:19">
      <c r="R20769" s="178"/>
      <c r="S20769" s="178"/>
    </row>
    <row r="20770" spans="18:19">
      <c r="R20770" s="178"/>
      <c r="S20770" s="178"/>
    </row>
    <row r="20771" spans="18:19">
      <c r="R20771" s="178"/>
      <c r="S20771" s="178"/>
    </row>
    <row r="20772" spans="18:19">
      <c r="R20772" s="178"/>
      <c r="S20772" s="178"/>
    </row>
    <row r="20773" spans="18:19">
      <c r="R20773" s="178"/>
      <c r="S20773" s="178"/>
    </row>
    <row r="20774" spans="18:19">
      <c r="R20774" s="178"/>
      <c r="S20774" s="178"/>
    </row>
    <row r="20775" spans="18:19">
      <c r="R20775" s="178"/>
      <c r="S20775" s="178"/>
    </row>
    <row r="20776" spans="18:19">
      <c r="R20776" s="178"/>
      <c r="S20776" s="178"/>
    </row>
    <row r="20777" spans="18:19">
      <c r="R20777" s="178"/>
      <c r="S20777" s="178"/>
    </row>
    <row r="20778" spans="18:19">
      <c r="R20778" s="178"/>
      <c r="S20778" s="178"/>
    </row>
    <row r="20779" spans="18:19">
      <c r="R20779" s="178"/>
      <c r="S20779" s="178"/>
    </row>
    <row r="20780" spans="18:19">
      <c r="R20780" s="178"/>
      <c r="S20780" s="178"/>
    </row>
    <row r="20781" spans="18:19">
      <c r="R20781" s="178"/>
      <c r="S20781" s="178"/>
    </row>
    <row r="20782" spans="18:19">
      <c r="R20782" s="178"/>
      <c r="S20782" s="178"/>
    </row>
    <row r="20783" spans="18:19">
      <c r="R20783" s="178"/>
      <c r="S20783" s="178"/>
    </row>
    <row r="20784" spans="18:19">
      <c r="R20784" s="178"/>
      <c r="S20784" s="178"/>
    </row>
    <row r="20785" spans="18:19">
      <c r="R20785" s="178"/>
      <c r="S20785" s="178"/>
    </row>
    <row r="20786" spans="18:19">
      <c r="R20786" s="178"/>
      <c r="S20786" s="178"/>
    </row>
    <row r="20787" spans="18:19">
      <c r="R20787" s="178"/>
      <c r="S20787" s="178"/>
    </row>
    <row r="20788" spans="18:19">
      <c r="R20788" s="178"/>
      <c r="S20788" s="178"/>
    </row>
    <row r="20789" spans="18:19">
      <c r="R20789" s="178"/>
      <c r="S20789" s="178"/>
    </row>
    <row r="20790" spans="18:19">
      <c r="R20790" s="178"/>
      <c r="S20790" s="178"/>
    </row>
    <row r="20791" spans="18:19">
      <c r="R20791" s="178"/>
      <c r="S20791" s="178"/>
    </row>
    <row r="20792" spans="18:19">
      <c r="R20792" s="178"/>
      <c r="S20792" s="178"/>
    </row>
    <row r="20793" spans="18:19">
      <c r="R20793" s="178"/>
      <c r="S20793" s="178"/>
    </row>
    <row r="20794" spans="18:19">
      <c r="R20794" s="178"/>
      <c r="S20794" s="178"/>
    </row>
    <row r="20795" spans="18:19">
      <c r="R20795" s="178"/>
      <c r="S20795" s="178"/>
    </row>
    <row r="20796" spans="18:19">
      <c r="R20796" s="178"/>
      <c r="S20796" s="178"/>
    </row>
    <row r="20797" spans="18:19">
      <c r="R20797" s="178"/>
      <c r="S20797" s="178"/>
    </row>
    <row r="20798" spans="18:19">
      <c r="R20798" s="178"/>
      <c r="S20798" s="178"/>
    </row>
    <row r="20799" spans="18:19">
      <c r="R20799" s="178"/>
      <c r="S20799" s="178"/>
    </row>
    <row r="20800" spans="18:19">
      <c r="R20800" s="178"/>
      <c r="S20800" s="178"/>
    </row>
    <row r="20801" spans="18:19">
      <c r="R20801" s="178"/>
      <c r="S20801" s="178"/>
    </row>
    <row r="20802" spans="18:19">
      <c r="R20802" s="178"/>
      <c r="S20802" s="178"/>
    </row>
    <row r="20803" spans="18:19">
      <c r="R20803" s="178"/>
      <c r="S20803" s="178"/>
    </row>
    <row r="20804" spans="18:19">
      <c r="R20804" s="178"/>
      <c r="S20804" s="178"/>
    </row>
    <row r="20805" spans="18:19">
      <c r="R20805" s="178"/>
      <c r="S20805" s="178"/>
    </row>
    <row r="20806" spans="18:19">
      <c r="R20806" s="178"/>
      <c r="S20806" s="178"/>
    </row>
    <row r="20807" spans="18:19">
      <c r="R20807" s="178"/>
      <c r="S20807" s="178"/>
    </row>
    <row r="20808" spans="18:19">
      <c r="R20808" s="178"/>
      <c r="S20808" s="178"/>
    </row>
    <row r="20809" spans="18:19">
      <c r="R20809" s="178"/>
      <c r="S20809" s="178"/>
    </row>
    <row r="20810" spans="18:19">
      <c r="R20810" s="178"/>
      <c r="S20810" s="178"/>
    </row>
    <row r="20811" spans="18:19">
      <c r="R20811" s="178"/>
      <c r="S20811" s="178"/>
    </row>
    <row r="20812" spans="18:19">
      <c r="R20812" s="178"/>
      <c r="S20812" s="178"/>
    </row>
    <row r="20813" spans="18:19">
      <c r="R20813" s="178"/>
      <c r="S20813" s="178"/>
    </row>
    <row r="20814" spans="18:19">
      <c r="R20814" s="178"/>
      <c r="S20814" s="178"/>
    </row>
    <row r="20815" spans="18:19">
      <c r="R20815" s="178"/>
      <c r="S20815" s="178"/>
    </row>
    <row r="20816" spans="18:19">
      <c r="R20816" s="178"/>
      <c r="S20816" s="178"/>
    </row>
    <row r="20817" spans="18:19">
      <c r="R20817" s="178"/>
      <c r="S20817" s="178"/>
    </row>
    <row r="20818" spans="18:19">
      <c r="R20818" s="178"/>
      <c r="S20818" s="178"/>
    </row>
    <row r="20819" spans="18:19">
      <c r="R20819" s="178"/>
      <c r="S20819" s="178"/>
    </row>
    <row r="20820" spans="18:19">
      <c r="R20820" s="178"/>
      <c r="S20820" s="178"/>
    </row>
    <row r="20821" spans="18:19">
      <c r="R20821" s="178"/>
      <c r="S20821" s="178"/>
    </row>
    <row r="20822" spans="18:19">
      <c r="R20822" s="178"/>
      <c r="S20822" s="178"/>
    </row>
    <row r="20823" spans="18:19">
      <c r="R20823" s="178"/>
      <c r="S20823" s="178"/>
    </row>
    <row r="20824" spans="18:19">
      <c r="R20824" s="178"/>
      <c r="S20824" s="178"/>
    </row>
    <row r="20825" spans="18:19">
      <c r="R20825" s="178"/>
      <c r="S20825" s="178"/>
    </row>
    <row r="20826" spans="18:19">
      <c r="R20826" s="178"/>
      <c r="S20826" s="178"/>
    </row>
    <row r="20827" spans="18:19">
      <c r="R20827" s="178"/>
      <c r="S20827" s="178"/>
    </row>
    <row r="20828" spans="18:19">
      <c r="R20828" s="178"/>
      <c r="S20828" s="178"/>
    </row>
    <row r="20829" spans="18:19">
      <c r="R20829" s="178"/>
      <c r="S20829" s="178"/>
    </row>
    <row r="20830" spans="18:19">
      <c r="R20830" s="178"/>
      <c r="S20830" s="178"/>
    </row>
    <row r="20831" spans="18:19">
      <c r="R20831" s="178"/>
      <c r="S20831" s="178"/>
    </row>
    <row r="20832" spans="18:19">
      <c r="R20832" s="178"/>
      <c r="S20832" s="178"/>
    </row>
    <row r="20833" spans="18:19">
      <c r="R20833" s="178"/>
      <c r="S20833" s="178"/>
    </row>
    <row r="20834" spans="18:19">
      <c r="R20834" s="178"/>
      <c r="S20834" s="178"/>
    </row>
    <row r="20835" spans="18:19">
      <c r="R20835" s="178"/>
      <c r="S20835" s="178"/>
    </row>
    <row r="20836" spans="18:19">
      <c r="R20836" s="178"/>
      <c r="S20836" s="178"/>
    </row>
    <row r="20837" spans="18:19">
      <c r="R20837" s="178"/>
      <c r="S20837" s="178"/>
    </row>
    <row r="20838" spans="18:19">
      <c r="R20838" s="178"/>
      <c r="S20838" s="178"/>
    </row>
    <row r="20839" spans="18:19">
      <c r="R20839" s="178"/>
      <c r="S20839" s="178"/>
    </row>
    <row r="20840" spans="18:19">
      <c r="R20840" s="178"/>
      <c r="S20840" s="178"/>
    </row>
    <row r="20841" spans="18:19">
      <c r="R20841" s="178"/>
      <c r="S20841" s="178"/>
    </row>
    <row r="20842" spans="18:19">
      <c r="R20842" s="178"/>
      <c r="S20842" s="178"/>
    </row>
    <row r="20843" spans="18:19">
      <c r="R20843" s="178"/>
      <c r="S20843" s="178"/>
    </row>
    <row r="20844" spans="18:19">
      <c r="R20844" s="178"/>
      <c r="S20844" s="178"/>
    </row>
    <row r="20845" spans="18:19">
      <c r="R20845" s="178"/>
      <c r="S20845" s="178"/>
    </row>
    <row r="20846" spans="18:19">
      <c r="R20846" s="178"/>
      <c r="S20846" s="178"/>
    </row>
    <row r="20847" spans="18:19">
      <c r="R20847" s="178"/>
      <c r="S20847" s="178"/>
    </row>
    <row r="20848" spans="18:19">
      <c r="R20848" s="178"/>
      <c r="S20848" s="178"/>
    </row>
    <row r="20849" spans="18:19">
      <c r="R20849" s="178"/>
      <c r="S20849" s="178"/>
    </row>
    <row r="20850" spans="18:19">
      <c r="R20850" s="178"/>
      <c r="S20850" s="178"/>
    </row>
    <row r="20851" spans="18:19">
      <c r="R20851" s="178"/>
      <c r="S20851" s="178"/>
    </row>
    <row r="20852" spans="18:19">
      <c r="R20852" s="178"/>
      <c r="S20852" s="178"/>
    </row>
    <row r="20853" spans="18:19">
      <c r="R20853" s="178"/>
      <c r="S20853" s="178"/>
    </row>
    <row r="20854" spans="18:19">
      <c r="R20854" s="178"/>
      <c r="S20854" s="178"/>
    </row>
    <row r="20855" spans="18:19">
      <c r="R20855" s="178"/>
      <c r="S20855" s="178"/>
    </row>
    <row r="20856" spans="18:19">
      <c r="R20856" s="178"/>
      <c r="S20856" s="178"/>
    </row>
    <row r="20857" spans="18:19">
      <c r="R20857" s="178"/>
      <c r="S20857" s="178"/>
    </row>
    <row r="20858" spans="18:19">
      <c r="R20858" s="178"/>
      <c r="S20858" s="178"/>
    </row>
    <row r="20859" spans="18:19">
      <c r="R20859" s="178"/>
      <c r="S20859" s="178"/>
    </row>
    <row r="20860" spans="18:19">
      <c r="R20860" s="178"/>
      <c r="S20860" s="178"/>
    </row>
    <row r="20861" spans="18:19">
      <c r="R20861" s="178"/>
      <c r="S20861" s="178"/>
    </row>
    <row r="20862" spans="18:19">
      <c r="R20862" s="178"/>
      <c r="S20862" s="178"/>
    </row>
    <row r="20863" spans="18:19">
      <c r="R20863" s="178"/>
      <c r="S20863" s="178"/>
    </row>
    <row r="20864" spans="18:19">
      <c r="R20864" s="178"/>
      <c r="S20864" s="178"/>
    </row>
    <row r="20865" spans="18:19">
      <c r="R20865" s="178"/>
      <c r="S20865" s="178"/>
    </row>
    <row r="20866" spans="18:19">
      <c r="R20866" s="178"/>
      <c r="S20866" s="178"/>
    </row>
    <row r="20867" spans="18:19">
      <c r="R20867" s="178"/>
      <c r="S20867" s="178"/>
    </row>
    <row r="20868" spans="18:19">
      <c r="R20868" s="178"/>
      <c r="S20868" s="178"/>
    </row>
    <row r="20869" spans="18:19">
      <c r="R20869" s="178"/>
      <c r="S20869" s="178"/>
    </row>
    <row r="20870" spans="18:19">
      <c r="R20870" s="178"/>
      <c r="S20870" s="178"/>
    </row>
    <row r="20871" spans="18:19">
      <c r="R20871" s="178"/>
      <c r="S20871" s="178"/>
    </row>
    <row r="20872" spans="18:19">
      <c r="R20872" s="178"/>
      <c r="S20872" s="178"/>
    </row>
    <row r="20873" spans="18:19">
      <c r="R20873" s="178"/>
      <c r="S20873" s="178"/>
    </row>
    <row r="20874" spans="18:19">
      <c r="R20874" s="178"/>
      <c r="S20874" s="178"/>
    </row>
    <row r="20875" spans="18:19">
      <c r="R20875" s="178"/>
      <c r="S20875" s="178"/>
    </row>
    <row r="20876" spans="18:19">
      <c r="R20876" s="178"/>
      <c r="S20876" s="178"/>
    </row>
    <row r="20877" spans="18:19">
      <c r="R20877" s="178"/>
      <c r="S20877" s="178"/>
    </row>
    <row r="20878" spans="18:19">
      <c r="R20878" s="178"/>
      <c r="S20878" s="178"/>
    </row>
    <row r="20879" spans="18:19">
      <c r="R20879" s="178"/>
      <c r="S20879" s="178"/>
    </row>
    <row r="20880" spans="18:19">
      <c r="R20880" s="178"/>
      <c r="S20880" s="178"/>
    </row>
    <row r="20881" spans="18:19">
      <c r="R20881" s="178"/>
      <c r="S20881" s="178"/>
    </row>
    <row r="20882" spans="18:19">
      <c r="R20882" s="178"/>
      <c r="S20882" s="178"/>
    </row>
    <row r="20883" spans="18:19">
      <c r="R20883" s="178"/>
      <c r="S20883" s="178"/>
    </row>
    <row r="20884" spans="18:19">
      <c r="R20884" s="178"/>
      <c r="S20884" s="178"/>
    </row>
    <row r="20885" spans="18:19">
      <c r="R20885" s="178"/>
      <c r="S20885" s="178"/>
    </row>
    <row r="20886" spans="18:19">
      <c r="R20886" s="178"/>
      <c r="S20886" s="178"/>
    </row>
    <row r="20887" spans="18:19">
      <c r="R20887" s="178"/>
      <c r="S20887" s="178"/>
    </row>
    <row r="20888" spans="18:19">
      <c r="R20888" s="178"/>
      <c r="S20888" s="178"/>
    </row>
    <row r="20889" spans="18:19">
      <c r="R20889" s="178"/>
      <c r="S20889" s="178"/>
    </row>
    <row r="20890" spans="18:19">
      <c r="R20890" s="178"/>
      <c r="S20890" s="178"/>
    </row>
    <row r="20891" spans="18:19">
      <c r="R20891" s="178"/>
      <c r="S20891" s="178"/>
    </row>
    <row r="20892" spans="18:19">
      <c r="R20892" s="178"/>
      <c r="S20892" s="178"/>
    </row>
    <row r="20893" spans="18:19">
      <c r="R20893" s="178"/>
      <c r="S20893" s="178"/>
    </row>
    <row r="20894" spans="18:19">
      <c r="R20894" s="178"/>
      <c r="S20894" s="178"/>
    </row>
    <row r="20895" spans="18:19">
      <c r="R20895" s="178"/>
      <c r="S20895" s="178"/>
    </row>
    <row r="20896" spans="18:19">
      <c r="R20896" s="178"/>
      <c r="S20896" s="178"/>
    </row>
    <row r="20897" spans="18:19">
      <c r="R20897" s="178"/>
      <c r="S20897" s="178"/>
    </row>
    <row r="20898" spans="18:19">
      <c r="R20898" s="178"/>
      <c r="S20898" s="178"/>
    </row>
    <row r="20899" spans="18:19">
      <c r="R20899" s="178"/>
      <c r="S20899" s="178"/>
    </row>
    <row r="20900" spans="18:19">
      <c r="R20900" s="178"/>
      <c r="S20900" s="178"/>
    </row>
    <row r="20901" spans="18:19">
      <c r="R20901" s="178"/>
      <c r="S20901" s="178"/>
    </row>
    <row r="20902" spans="18:19">
      <c r="R20902" s="178"/>
      <c r="S20902" s="178"/>
    </row>
    <row r="20903" spans="18:19">
      <c r="R20903" s="178"/>
      <c r="S20903" s="178"/>
    </row>
    <row r="20904" spans="18:19">
      <c r="R20904" s="178"/>
      <c r="S20904" s="178"/>
    </row>
    <row r="20905" spans="18:19">
      <c r="R20905" s="178"/>
      <c r="S20905" s="178"/>
    </row>
    <row r="20906" spans="18:19">
      <c r="R20906" s="178"/>
      <c r="S20906" s="178"/>
    </row>
    <row r="20907" spans="18:19">
      <c r="R20907" s="178"/>
      <c r="S20907" s="178"/>
    </row>
    <row r="20908" spans="18:19">
      <c r="R20908" s="178"/>
      <c r="S20908" s="178"/>
    </row>
    <row r="20909" spans="18:19">
      <c r="R20909" s="178"/>
      <c r="S20909" s="178"/>
    </row>
    <row r="20910" spans="18:19">
      <c r="R20910" s="178"/>
      <c r="S20910" s="178"/>
    </row>
    <row r="20911" spans="18:19">
      <c r="R20911" s="178"/>
      <c r="S20911" s="178"/>
    </row>
    <row r="20912" spans="18:19">
      <c r="R20912" s="178"/>
      <c r="S20912" s="178"/>
    </row>
    <row r="20913" spans="18:19">
      <c r="R20913" s="178"/>
      <c r="S20913" s="178"/>
    </row>
    <row r="20914" spans="18:19">
      <c r="R20914" s="178"/>
      <c r="S20914" s="178"/>
    </row>
    <row r="20915" spans="18:19">
      <c r="R20915" s="178"/>
      <c r="S20915" s="178"/>
    </row>
    <row r="20916" spans="18:19">
      <c r="R20916" s="178"/>
      <c r="S20916" s="178"/>
    </row>
    <row r="20917" spans="18:19">
      <c r="R20917" s="178"/>
      <c r="S20917" s="178"/>
    </row>
    <row r="20918" spans="18:19">
      <c r="R20918" s="178"/>
      <c r="S20918" s="178"/>
    </row>
    <row r="20919" spans="18:19">
      <c r="R20919" s="178"/>
      <c r="S20919" s="178"/>
    </row>
    <row r="20920" spans="18:19">
      <c r="R20920" s="178"/>
      <c r="S20920" s="178"/>
    </row>
    <row r="20921" spans="18:19">
      <c r="R20921" s="178"/>
      <c r="S20921" s="178"/>
    </row>
    <row r="20922" spans="18:19">
      <c r="R20922" s="178"/>
      <c r="S20922" s="178"/>
    </row>
    <row r="20923" spans="18:19">
      <c r="R20923" s="178"/>
      <c r="S20923" s="178"/>
    </row>
    <row r="20924" spans="18:19">
      <c r="R20924" s="178"/>
      <c r="S20924" s="178"/>
    </row>
    <row r="20925" spans="18:19">
      <c r="R20925" s="178"/>
      <c r="S20925" s="178"/>
    </row>
    <row r="20926" spans="18:19">
      <c r="R20926" s="178"/>
      <c r="S20926" s="178"/>
    </row>
    <row r="20927" spans="18:19">
      <c r="R20927" s="178"/>
      <c r="S20927" s="178"/>
    </row>
    <row r="20928" spans="18:19">
      <c r="R20928" s="178"/>
      <c r="S20928" s="178"/>
    </row>
    <row r="20929" spans="18:19">
      <c r="R20929" s="178"/>
      <c r="S20929" s="178"/>
    </row>
    <row r="20930" spans="18:19">
      <c r="R20930" s="178"/>
      <c r="S20930" s="178"/>
    </row>
    <row r="20931" spans="18:19">
      <c r="R20931" s="178"/>
      <c r="S20931" s="178"/>
    </row>
    <row r="20932" spans="18:19">
      <c r="R20932" s="178"/>
      <c r="S20932" s="178"/>
    </row>
    <row r="20933" spans="18:19">
      <c r="R20933" s="178"/>
      <c r="S20933" s="178"/>
    </row>
    <row r="20934" spans="18:19">
      <c r="R20934" s="178"/>
      <c r="S20934" s="178"/>
    </row>
    <row r="20935" spans="18:19">
      <c r="R20935" s="178"/>
      <c r="S20935" s="178"/>
    </row>
    <row r="20936" spans="18:19">
      <c r="R20936" s="178"/>
      <c r="S20936" s="178"/>
    </row>
    <row r="20937" spans="18:19">
      <c r="R20937" s="178"/>
      <c r="S20937" s="178"/>
    </row>
    <row r="20938" spans="18:19">
      <c r="R20938" s="178"/>
      <c r="S20938" s="178"/>
    </row>
    <row r="20939" spans="18:19">
      <c r="R20939" s="178"/>
      <c r="S20939" s="178"/>
    </row>
    <row r="20940" spans="18:19">
      <c r="R20940" s="178"/>
      <c r="S20940" s="178"/>
    </row>
    <row r="20941" spans="18:19">
      <c r="R20941" s="178"/>
      <c r="S20941" s="178"/>
    </row>
    <row r="20942" spans="18:19">
      <c r="R20942" s="178"/>
      <c r="S20942" s="178"/>
    </row>
    <row r="20943" spans="18:19">
      <c r="R20943" s="178"/>
      <c r="S20943" s="178"/>
    </row>
    <row r="20944" spans="18:19">
      <c r="R20944" s="178"/>
      <c r="S20944" s="178"/>
    </row>
    <row r="20945" spans="18:19">
      <c r="R20945" s="178"/>
      <c r="S20945" s="178"/>
    </row>
    <row r="20946" spans="18:19">
      <c r="R20946" s="178"/>
      <c r="S20946" s="178"/>
    </row>
    <row r="20947" spans="18:19">
      <c r="R20947" s="178"/>
      <c r="S20947" s="178"/>
    </row>
    <row r="20948" spans="18:19">
      <c r="R20948" s="178"/>
      <c r="S20948" s="178"/>
    </row>
    <row r="20949" spans="18:19">
      <c r="R20949" s="178"/>
      <c r="S20949" s="178"/>
    </row>
    <row r="20950" spans="18:19">
      <c r="R20950" s="178"/>
      <c r="S20950" s="178"/>
    </row>
    <row r="20951" spans="18:19">
      <c r="R20951" s="178"/>
      <c r="S20951" s="178"/>
    </row>
    <row r="20952" spans="18:19">
      <c r="R20952" s="178"/>
      <c r="S20952" s="178"/>
    </row>
    <row r="20953" spans="18:19">
      <c r="R20953" s="178"/>
      <c r="S20953" s="178"/>
    </row>
    <row r="20954" spans="18:19">
      <c r="R20954" s="178"/>
      <c r="S20954" s="178"/>
    </row>
    <row r="20955" spans="18:19">
      <c r="R20955" s="178"/>
      <c r="S20955" s="178"/>
    </row>
    <row r="20956" spans="18:19">
      <c r="R20956" s="178"/>
      <c r="S20956" s="178"/>
    </row>
    <row r="20957" spans="18:19">
      <c r="R20957" s="178"/>
      <c r="S20957" s="178"/>
    </row>
    <row r="20958" spans="18:19">
      <c r="R20958" s="178"/>
      <c r="S20958" s="178"/>
    </row>
    <row r="20959" spans="18:19">
      <c r="R20959" s="178"/>
      <c r="S20959" s="178"/>
    </row>
    <row r="20960" spans="18:19">
      <c r="R20960" s="178"/>
      <c r="S20960" s="178"/>
    </row>
    <row r="20961" spans="18:19">
      <c r="R20961" s="178"/>
      <c r="S20961" s="178"/>
    </row>
    <row r="20962" spans="18:19">
      <c r="R20962" s="178"/>
      <c r="S20962" s="178"/>
    </row>
    <row r="20963" spans="18:19">
      <c r="R20963" s="178"/>
      <c r="S20963" s="178"/>
    </row>
    <row r="20964" spans="18:19">
      <c r="R20964" s="178"/>
      <c r="S20964" s="178"/>
    </row>
    <row r="20965" spans="18:19">
      <c r="R20965" s="178"/>
      <c r="S20965" s="178"/>
    </row>
    <row r="20966" spans="18:19">
      <c r="R20966" s="178"/>
      <c r="S20966" s="178"/>
    </row>
    <row r="20967" spans="18:19">
      <c r="R20967" s="178"/>
      <c r="S20967" s="178"/>
    </row>
    <row r="20968" spans="18:19">
      <c r="R20968" s="178"/>
      <c r="S20968" s="178"/>
    </row>
    <row r="20969" spans="18:19">
      <c r="R20969" s="178"/>
      <c r="S20969" s="178"/>
    </row>
    <row r="20970" spans="18:19">
      <c r="R20970" s="178"/>
      <c r="S20970" s="178"/>
    </row>
    <row r="20971" spans="18:19">
      <c r="R20971" s="178"/>
      <c r="S20971" s="178"/>
    </row>
    <row r="20972" spans="18:19">
      <c r="R20972" s="178"/>
      <c r="S20972" s="178"/>
    </row>
    <row r="20973" spans="18:19">
      <c r="R20973" s="178"/>
      <c r="S20973" s="178"/>
    </row>
    <row r="20974" spans="18:19">
      <c r="R20974" s="178"/>
      <c r="S20974" s="178"/>
    </row>
    <row r="20975" spans="18:19">
      <c r="R20975" s="178"/>
      <c r="S20975" s="178"/>
    </row>
    <row r="20976" spans="18:19">
      <c r="R20976" s="178"/>
      <c r="S20976" s="178"/>
    </row>
    <row r="20977" spans="18:19">
      <c r="R20977" s="178"/>
      <c r="S20977" s="178"/>
    </row>
    <row r="20978" spans="18:19">
      <c r="R20978" s="178"/>
      <c r="S20978" s="178"/>
    </row>
    <row r="20979" spans="18:19">
      <c r="R20979" s="178"/>
      <c r="S20979" s="178"/>
    </row>
    <row r="20980" spans="18:19">
      <c r="R20980" s="178"/>
      <c r="S20980" s="178"/>
    </row>
    <row r="20981" spans="18:19">
      <c r="R20981" s="178"/>
      <c r="S20981" s="178"/>
    </row>
    <row r="20982" spans="18:19">
      <c r="R20982" s="178"/>
      <c r="S20982" s="178"/>
    </row>
    <row r="20983" spans="18:19">
      <c r="R20983" s="178"/>
      <c r="S20983" s="178"/>
    </row>
    <row r="20984" spans="18:19">
      <c r="R20984" s="178"/>
      <c r="S20984" s="178"/>
    </row>
    <row r="20985" spans="18:19">
      <c r="R20985" s="178"/>
      <c r="S20985" s="178"/>
    </row>
    <row r="20986" spans="18:19">
      <c r="R20986" s="178"/>
      <c r="S20986" s="178"/>
    </row>
    <row r="20987" spans="18:19">
      <c r="R20987" s="178"/>
      <c r="S20987" s="178"/>
    </row>
    <row r="20988" spans="18:19">
      <c r="R20988" s="178"/>
      <c r="S20988" s="178"/>
    </row>
    <row r="20989" spans="18:19">
      <c r="R20989" s="178"/>
      <c r="S20989" s="178"/>
    </row>
    <row r="20990" spans="18:19">
      <c r="R20990" s="178"/>
      <c r="S20990" s="178"/>
    </row>
    <row r="20991" spans="18:19">
      <c r="R20991" s="178"/>
      <c r="S20991" s="178"/>
    </row>
    <row r="20992" spans="18:19">
      <c r="R20992" s="178"/>
      <c r="S20992" s="178"/>
    </row>
    <row r="20993" spans="18:19">
      <c r="R20993" s="178"/>
      <c r="S20993" s="178"/>
    </row>
    <row r="20994" spans="18:19">
      <c r="R20994" s="178"/>
      <c r="S20994" s="178"/>
    </row>
    <row r="20995" spans="18:19">
      <c r="R20995" s="178"/>
      <c r="S20995" s="178"/>
    </row>
    <row r="20996" spans="18:19">
      <c r="R20996" s="178"/>
      <c r="S20996" s="178"/>
    </row>
    <row r="20997" spans="18:19">
      <c r="R20997" s="178"/>
      <c r="S20997" s="178"/>
    </row>
    <row r="20998" spans="18:19">
      <c r="R20998" s="178"/>
      <c r="S20998" s="178"/>
    </row>
    <row r="20999" spans="18:19">
      <c r="R20999" s="178"/>
      <c r="S20999" s="178"/>
    </row>
    <row r="21000" spans="18:19">
      <c r="R21000" s="178"/>
      <c r="S21000" s="178"/>
    </row>
    <row r="21001" spans="18:19">
      <c r="R21001" s="178"/>
      <c r="S21001" s="178"/>
    </row>
    <row r="21002" spans="18:19">
      <c r="R21002" s="178"/>
      <c r="S21002" s="178"/>
    </row>
    <row r="21003" spans="18:19">
      <c r="R21003" s="178"/>
      <c r="S21003" s="178"/>
    </row>
    <row r="21004" spans="18:19">
      <c r="R21004" s="178"/>
      <c r="S21004" s="178"/>
    </row>
    <row r="21005" spans="18:19">
      <c r="R21005" s="178"/>
      <c r="S21005" s="178"/>
    </row>
    <row r="21006" spans="18:19">
      <c r="R21006" s="178"/>
      <c r="S21006" s="178"/>
    </row>
    <row r="21007" spans="18:19">
      <c r="R21007" s="178"/>
      <c r="S21007" s="178"/>
    </row>
    <row r="21008" spans="18:19">
      <c r="R21008" s="178"/>
      <c r="S21008" s="178"/>
    </row>
    <row r="21009" spans="18:19">
      <c r="R21009" s="178"/>
      <c r="S21009" s="178"/>
    </row>
    <row r="21010" spans="18:19">
      <c r="R21010" s="178"/>
      <c r="S21010" s="178"/>
    </row>
    <row r="21011" spans="18:19">
      <c r="R21011" s="178"/>
      <c r="S21011" s="178"/>
    </row>
    <row r="21012" spans="18:19">
      <c r="R21012" s="178"/>
      <c r="S21012" s="178"/>
    </row>
    <row r="21013" spans="18:19">
      <c r="R21013" s="178"/>
      <c r="S21013" s="178"/>
    </row>
    <row r="21014" spans="18:19">
      <c r="R21014" s="178"/>
      <c r="S21014" s="178"/>
    </row>
    <row r="21015" spans="18:19">
      <c r="R21015" s="178"/>
      <c r="S21015" s="178"/>
    </row>
    <row r="21016" spans="18:19">
      <c r="R21016" s="178"/>
      <c r="S21016" s="178"/>
    </row>
    <row r="21017" spans="18:19">
      <c r="R21017" s="178"/>
      <c r="S21017" s="178"/>
    </row>
    <row r="21018" spans="18:19">
      <c r="R21018" s="178"/>
      <c r="S21018" s="178"/>
    </row>
    <row r="21019" spans="18:19">
      <c r="R21019" s="178"/>
      <c r="S21019" s="178"/>
    </row>
    <row r="21020" spans="18:19">
      <c r="R21020" s="178"/>
      <c r="S21020" s="178"/>
    </row>
    <row r="21021" spans="18:19">
      <c r="R21021" s="178"/>
      <c r="S21021" s="178"/>
    </row>
    <row r="21022" spans="18:19">
      <c r="R21022" s="178"/>
      <c r="S21022" s="178"/>
    </row>
    <row r="21023" spans="18:19">
      <c r="R21023" s="178"/>
      <c r="S21023" s="178"/>
    </row>
    <row r="21024" spans="18:19">
      <c r="R21024" s="178"/>
      <c r="S21024" s="178"/>
    </row>
    <row r="21025" spans="18:19">
      <c r="R21025" s="178"/>
      <c r="S21025" s="178"/>
    </row>
    <row r="21026" spans="18:19">
      <c r="R21026" s="178"/>
      <c r="S21026" s="178"/>
    </row>
    <row r="21027" spans="18:19">
      <c r="R21027" s="178"/>
      <c r="S21027" s="178"/>
    </row>
    <row r="21028" spans="18:19">
      <c r="R21028" s="178"/>
      <c r="S21028" s="178"/>
    </row>
    <row r="21029" spans="18:19">
      <c r="R21029" s="178"/>
      <c r="S21029" s="178"/>
    </row>
    <row r="21030" spans="18:19">
      <c r="R21030" s="178"/>
      <c r="S21030" s="178"/>
    </row>
    <row r="21031" spans="18:19">
      <c r="R21031" s="178"/>
      <c r="S21031" s="178"/>
    </row>
    <row r="21032" spans="18:19">
      <c r="R21032" s="178"/>
      <c r="S21032" s="178"/>
    </row>
    <row r="21033" spans="18:19">
      <c r="R21033" s="178"/>
      <c r="S21033" s="178"/>
    </row>
    <row r="21034" spans="18:19">
      <c r="R21034" s="178"/>
      <c r="S21034" s="178"/>
    </row>
    <row r="21035" spans="18:19">
      <c r="R21035" s="178"/>
      <c r="S21035" s="178"/>
    </row>
    <row r="21036" spans="18:19">
      <c r="R21036" s="178"/>
      <c r="S21036" s="178"/>
    </row>
    <row r="21037" spans="18:19">
      <c r="R21037" s="178"/>
      <c r="S21037" s="178"/>
    </row>
    <row r="21038" spans="18:19">
      <c r="R21038" s="178"/>
      <c r="S21038" s="178"/>
    </row>
    <row r="21039" spans="18:19">
      <c r="R21039" s="178"/>
      <c r="S21039" s="178"/>
    </row>
    <row r="21040" spans="18:19">
      <c r="R21040" s="178"/>
      <c r="S21040" s="178"/>
    </row>
    <row r="21041" spans="18:19">
      <c r="R21041" s="178"/>
      <c r="S21041" s="178"/>
    </row>
    <row r="21042" spans="18:19">
      <c r="R21042" s="178"/>
      <c r="S21042" s="178"/>
    </row>
    <row r="21043" spans="18:19">
      <c r="R21043" s="178"/>
      <c r="S21043" s="178"/>
    </row>
    <row r="21044" spans="18:19">
      <c r="R21044" s="178"/>
      <c r="S21044" s="178"/>
    </row>
    <row r="21045" spans="18:19">
      <c r="R21045" s="178"/>
      <c r="S21045" s="178"/>
    </row>
    <row r="21046" spans="18:19">
      <c r="R21046" s="178"/>
      <c r="S21046" s="178"/>
    </row>
    <row r="21047" spans="18:19">
      <c r="R21047" s="178"/>
      <c r="S21047" s="178"/>
    </row>
    <row r="21048" spans="18:19">
      <c r="R21048" s="178"/>
      <c r="S21048" s="178"/>
    </row>
    <row r="21049" spans="18:19">
      <c r="R21049" s="178"/>
      <c r="S21049" s="178"/>
    </row>
    <row r="21050" spans="18:19">
      <c r="R21050" s="178"/>
      <c r="S21050" s="178"/>
    </row>
    <row r="21051" spans="18:19">
      <c r="R21051" s="178"/>
      <c r="S21051" s="178"/>
    </row>
    <row r="21052" spans="18:19">
      <c r="R21052" s="178"/>
      <c r="S21052" s="178"/>
    </row>
    <row r="21053" spans="18:19">
      <c r="R21053" s="178"/>
      <c r="S21053" s="178"/>
    </row>
    <row r="21054" spans="18:19">
      <c r="R21054" s="178"/>
      <c r="S21054" s="178"/>
    </row>
    <row r="21055" spans="18:19">
      <c r="R21055" s="178"/>
      <c r="S21055" s="178"/>
    </row>
    <row r="21056" spans="18:19">
      <c r="R21056" s="178"/>
      <c r="S21056" s="178"/>
    </row>
    <row r="21057" spans="18:19">
      <c r="R21057" s="178"/>
      <c r="S21057" s="178"/>
    </row>
    <row r="21058" spans="18:19">
      <c r="R21058" s="178"/>
      <c r="S21058" s="178"/>
    </row>
    <row r="21059" spans="18:19">
      <c r="R21059" s="178"/>
      <c r="S21059" s="178"/>
    </row>
    <row r="21060" spans="18:19">
      <c r="R21060" s="178"/>
      <c r="S21060" s="178"/>
    </row>
    <row r="21061" spans="18:19">
      <c r="R21061" s="178"/>
      <c r="S21061" s="178"/>
    </row>
    <row r="21062" spans="18:19">
      <c r="R21062" s="178"/>
      <c r="S21062" s="178"/>
    </row>
    <row r="21063" spans="18:19">
      <c r="R21063" s="178"/>
      <c r="S21063" s="178"/>
    </row>
    <row r="21064" spans="18:19">
      <c r="R21064" s="178"/>
      <c r="S21064" s="178"/>
    </row>
    <row r="21065" spans="18:19">
      <c r="R21065" s="178"/>
      <c r="S21065" s="178"/>
    </row>
    <row r="21066" spans="18:19">
      <c r="R21066" s="178"/>
      <c r="S21066" s="178"/>
    </row>
    <row r="21067" spans="18:19">
      <c r="R21067" s="178"/>
      <c r="S21067" s="178"/>
    </row>
    <row r="21068" spans="18:19">
      <c r="R21068" s="178"/>
      <c r="S21068" s="178"/>
    </row>
    <row r="21069" spans="18:19">
      <c r="R21069" s="178"/>
      <c r="S21069" s="178"/>
    </row>
    <row r="21070" spans="18:19">
      <c r="R21070" s="178"/>
      <c r="S21070" s="178"/>
    </row>
    <row r="21071" spans="18:19">
      <c r="R21071" s="178"/>
      <c r="S21071" s="178"/>
    </row>
    <row r="21072" spans="18:19">
      <c r="R21072" s="178"/>
      <c r="S21072" s="178"/>
    </row>
    <row r="21073" spans="18:19">
      <c r="R21073" s="178"/>
      <c r="S21073" s="178"/>
    </row>
    <row r="21074" spans="18:19">
      <c r="R21074" s="178"/>
      <c r="S21074" s="178"/>
    </row>
    <row r="21075" spans="18:19">
      <c r="R21075" s="178"/>
      <c r="S21075" s="178"/>
    </row>
    <row r="21076" spans="18:19">
      <c r="R21076" s="178"/>
      <c r="S21076" s="178"/>
    </row>
    <row r="21077" spans="18:19">
      <c r="R21077" s="178"/>
      <c r="S21077" s="178"/>
    </row>
    <row r="21078" spans="18:19">
      <c r="R21078" s="178"/>
      <c r="S21078" s="178"/>
    </row>
    <row r="21079" spans="18:19">
      <c r="R21079" s="178"/>
      <c r="S21079" s="178"/>
    </row>
    <row r="21080" spans="18:19">
      <c r="R21080" s="178"/>
      <c r="S21080" s="178"/>
    </row>
    <row r="21081" spans="18:19">
      <c r="R21081" s="178"/>
      <c r="S21081" s="178"/>
    </row>
    <row r="21082" spans="18:19">
      <c r="R21082" s="178"/>
      <c r="S21082" s="178"/>
    </row>
    <row r="21083" spans="18:19">
      <c r="R21083" s="178"/>
      <c r="S21083" s="178"/>
    </row>
    <row r="21084" spans="18:19">
      <c r="R21084" s="178"/>
      <c r="S21084" s="178"/>
    </row>
    <row r="21085" spans="18:19">
      <c r="R21085" s="178"/>
      <c r="S21085" s="178"/>
    </row>
    <row r="21086" spans="18:19">
      <c r="R21086" s="178"/>
      <c r="S21086" s="178"/>
    </row>
    <row r="21087" spans="18:19">
      <c r="R21087" s="178"/>
      <c r="S21087" s="178"/>
    </row>
    <row r="21088" spans="18:19">
      <c r="R21088" s="178"/>
      <c r="S21088" s="178"/>
    </row>
    <row r="21089" spans="18:19">
      <c r="R21089" s="178"/>
      <c r="S21089" s="178"/>
    </row>
    <row r="21090" spans="18:19">
      <c r="R21090" s="178"/>
      <c r="S21090" s="178"/>
    </row>
    <row r="21091" spans="18:19">
      <c r="R21091" s="178"/>
      <c r="S21091" s="178"/>
    </row>
    <row r="21092" spans="18:19">
      <c r="R21092" s="178"/>
      <c r="S21092" s="178"/>
    </row>
    <row r="21093" spans="18:19">
      <c r="R21093" s="178"/>
      <c r="S21093" s="178"/>
    </row>
    <row r="21094" spans="18:19">
      <c r="R21094" s="178"/>
      <c r="S21094" s="178"/>
    </row>
    <row r="21095" spans="18:19">
      <c r="R21095" s="178"/>
      <c r="S21095" s="178"/>
    </row>
    <row r="21096" spans="18:19">
      <c r="R21096" s="178"/>
      <c r="S21096" s="178"/>
    </row>
    <row r="21097" spans="18:19">
      <c r="R21097" s="178"/>
      <c r="S21097" s="178"/>
    </row>
    <row r="21098" spans="18:19">
      <c r="R21098" s="178"/>
      <c r="S21098" s="178"/>
    </row>
    <row r="21099" spans="18:19">
      <c r="R21099" s="178"/>
      <c r="S21099" s="178"/>
    </row>
    <row r="21100" spans="18:19">
      <c r="R21100" s="178"/>
      <c r="S21100" s="178"/>
    </row>
    <row r="21101" spans="18:19">
      <c r="R21101" s="178"/>
      <c r="S21101" s="178"/>
    </row>
    <row r="21102" spans="18:19">
      <c r="R21102" s="178"/>
      <c r="S21102" s="178"/>
    </row>
    <row r="21103" spans="18:19">
      <c r="R21103" s="178"/>
      <c r="S21103" s="178"/>
    </row>
    <row r="21104" spans="18:19">
      <c r="R21104" s="178"/>
      <c r="S21104" s="178"/>
    </row>
    <row r="21105" spans="18:19">
      <c r="R21105" s="178"/>
      <c r="S21105" s="178"/>
    </row>
    <row r="21106" spans="18:19">
      <c r="R21106" s="178"/>
      <c r="S21106" s="178"/>
    </row>
    <row r="21107" spans="18:19">
      <c r="R21107" s="178"/>
      <c r="S21107" s="178"/>
    </row>
    <row r="21108" spans="18:19">
      <c r="R21108" s="178"/>
      <c r="S21108" s="178"/>
    </row>
    <row r="21109" spans="18:19">
      <c r="R21109" s="178"/>
      <c r="S21109" s="178"/>
    </row>
    <row r="21110" spans="18:19">
      <c r="R21110" s="178"/>
      <c r="S21110" s="178"/>
    </row>
    <row r="21111" spans="18:19">
      <c r="R21111" s="178"/>
      <c r="S21111" s="178"/>
    </row>
    <row r="21112" spans="18:19">
      <c r="R21112" s="178"/>
      <c r="S21112" s="178"/>
    </row>
    <row r="21113" spans="18:19">
      <c r="R21113" s="178"/>
      <c r="S21113" s="178"/>
    </row>
    <row r="21114" spans="18:19">
      <c r="R21114" s="178"/>
      <c r="S21114" s="178"/>
    </row>
    <row r="21115" spans="18:19">
      <c r="R21115" s="178"/>
      <c r="S21115" s="178"/>
    </row>
    <row r="21116" spans="18:19">
      <c r="R21116" s="178"/>
      <c r="S21116" s="178"/>
    </row>
    <row r="21117" spans="18:19">
      <c r="R21117" s="178"/>
      <c r="S21117" s="178"/>
    </row>
    <row r="21118" spans="18:19">
      <c r="R21118" s="178"/>
      <c r="S21118" s="178"/>
    </row>
    <row r="21119" spans="18:19">
      <c r="R21119" s="178"/>
      <c r="S21119" s="178"/>
    </row>
    <row r="21120" spans="18:19">
      <c r="R21120" s="178"/>
      <c r="S21120" s="178"/>
    </row>
    <row r="21121" spans="18:19">
      <c r="R21121" s="178"/>
      <c r="S21121" s="178"/>
    </row>
    <row r="21122" spans="18:19">
      <c r="R21122" s="178"/>
      <c r="S21122" s="178"/>
    </row>
    <row r="21123" spans="18:19">
      <c r="R21123" s="178"/>
      <c r="S21123" s="178"/>
    </row>
    <row r="21124" spans="18:19">
      <c r="R21124" s="178"/>
      <c r="S21124" s="178"/>
    </row>
    <row r="21125" spans="18:19">
      <c r="R21125" s="178"/>
      <c r="S21125" s="178"/>
    </row>
    <row r="21126" spans="18:19">
      <c r="R21126" s="178"/>
      <c r="S21126" s="178"/>
    </row>
    <row r="21127" spans="18:19">
      <c r="R21127" s="178"/>
      <c r="S21127" s="178"/>
    </row>
    <row r="21128" spans="18:19">
      <c r="R21128" s="178"/>
      <c r="S21128" s="178"/>
    </row>
    <row r="21129" spans="18:19">
      <c r="R21129" s="178"/>
      <c r="S21129" s="178"/>
    </row>
    <row r="21130" spans="18:19">
      <c r="R21130" s="178"/>
      <c r="S21130" s="178"/>
    </row>
    <row r="21131" spans="18:19">
      <c r="R21131" s="178"/>
      <c r="S21131" s="178"/>
    </row>
    <row r="21132" spans="18:19">
      <c r="R21132" s="178"/>
      <c r="S21132" s="178"/>
    </row>
    <row r="21133" spans="18:19">
      <c r="R21133" s="178"/>
      <c r="S21133" s="178"/>
    </row>
    <row r="21134" spans="18:19">
      <c r="R21134" s="178"/>
      <c r="S21134" s="178"/>
    </row>
    <row r="21135" spans="18:19">
      <c r="R21135" s="178"/>
      <c r="S21135" s="178"/>
    </row>
    <row r="21136" spans="18:19">
      <c r="R21136" s="178"/>
      <c r="S21136" s="178"/>
    </row>
    <row r="21137" spans="18:19">
      <c r="R21137" s="178"/>
      <c r="S21137" s="178"/>
    </row>
    <row r="21138" spans="18:19">
      <c r="R21138" s="178"/>
      <c r="S21138" s="178"/>
    </row>
    <row r="21139" spans="18:19">
      <c r="R21139" s="178"/>
      <c r="S21139" s="178"/>
    </row>
    <row r="21140" spans="18:19">
      <c r="R21140" s="178"/>
      <c r="S21140" s="178"/>
    </row>
    <row r="21141" spans="18:19">
      <c r="R21141" s="178"/>
      <c r="S21141" s="178"/>
    </row>
    <row r="21142" spans="18:19">
      <c r="R21142" s="178"/>
      <c r="S21142" s="178"/>
    </row>
    <row r="21143" spans="18:19">
      <c r="R21143" s="178"/>
      <c r="S21143" s="178"/>
    </row>
    <row r="21144" spans="18:19">
      <c r="R21144" s="178"/>
      <c r="S21144" s="178"/>
    </row>
    <row r="21145" spans="18:19">
      <c r="R21145" s="178"/>
      <c r="S21145" s="178"/>
    </row>
    <row r="21146" spans="18:19">
      <c r="R21146" s="178"/>
      <c r="S21146" s="178"/>
    </row>
    <row r="21147" spans="18:19">
      <c r="R21147" s="178"/>
      <c r="S21147" s="178"/>
    </row>
    <row r="21148" spans="18:19">
      <c r="R21148" s="178"/>
      <c r="S21148" s="178"/>
    </row>
    <row r="21149" spans="18:19">
      <c r="R21149" s="178"/>
      <c r="S21149" s="178"/>
    </row>
    <row r="21150" spans="18:19">
      <c r="R21150" s="178"/>
      <c r="S21150" s="178"/>
    </row>
    <row r="21151" spans="18:19">
      <c r="R21151" s="178"/>
      <c r="S21151" s="178"/>
    </row>
    <row r="21152" spans="18:19">
      <c r="R21152" s="178"/>
      <c r="S21152" s="178"/>
    </row>
    <row r="21153" spans="18:19">
      <c r="R21153" s="178"/>
      <c r="S21153" s="178"/>
    </row>
    <row r="21154" spans="18:19">
      <c r="R21154" s="178"/>
      <c r="S21154" s="178"/>
    </row>
    <row r="21155" spans="18:19">
      <c r="R21155" s="178"/>
      <c r="S21155" s="178"/>
    </row>
    <row r="21156" spans="18:19">
      <c r="R21156" s="178"/>
      <c r="S21156" s="178"/>
    </row>
    <row r="21157" spans="18:19">
      <c r="R21157" s="178"/>
      <c r="S21157" s="178"/>
    </row>
    <row r="21158" spans="18:19">
      <c r="R21158" s="178"/>
      <c r="S21158" s="178"/>
    </row>
    <row r="21159" spans="18:19">
      <c r="R21159" s="178"/>
      <c r="S21159" s="178"/>
    </row>
    <row r="21160" spans="18:19">
      <c r="R21160" s="178"/>
      <c r="S21160" s="178"/>
    </row>
    <row r="21161" spans="18:19">
      <c r="R21161" s="178"/>
      <c r="S21161" s="178"/>
    </row>
    <row r="21162" spans="18:19">
      <c r="R21162" s="178"/>
      <c r="S21162" s="178"/>
    </row>
    <row r="21163" spans="18:19">
      <c r="R21163" s="178"/>
      <c r="S21163" s="178"/>
    </row>
    <row r="21164" spans="18:19">
      <c r="R21164" s="178"/>
      <c r="S21164" s="178"/>
    </row>
    <row r="21165" spans="18:19">
      <c r="R21165" s="178"/>
      <c r="S21165" s="178"/>
    </row>
    <row r="21166" spans="18:19">
      <c r="R21166" s="178"/>
      <c r="S21166" s="178"/>
    </row>
    <row r="21167" spans="18:19">
      <c r="R21167" s="178"/>
      <c r="S21167" s="178"/>
    </row>
    <row r="21168" spans="18:19">
      <c r="R21168" s="178"/>
      <c r="S21168" s="178"/>
    </row>
    <row r="21169" spans="18:19">
      <c r="R21169" s="178"/>
      <c r="S21169" s="178"/>
    </row>
    <row r="21170" spans="18:19">
      <c r="R21170" s="178"/>
      <c r="S21170" s="178"/>
    </row>
    <row r="21171" spans="18:19">
      <c r="R21171" s="178"/>
      <c r="S21171" s="178"/>
    </row>
    <row r="21172" spans="18:19">
      <c r="R21172" s="178"/>
      <c r="S21172" s="178"/>
    </row>
    <row r="21173" spans="18:19">
      <c r="R21173" s="178"/>
      <c r="S21173" s="178"/>
    </row>
    <row r="21174" spans="18:19">
      <c r="R21174" s="178"/>
      <c r="S21174" s="178"/>
    </row>
    <row r="21175" spans="18:19">
      <c r="R21175" s="178"/>
      <c r="S21175" s="178"/>
    </row>
    <row r="21176" spans="18:19">
      <c r="R21176" s="178"/>
      <c r="S21176" s="178"/>
    </row>
    <row r="21177" spans="18:19">
      <c r="R21177" s="178"/>
      <c r="S21177" s="178"/>
    </row>
    <row r="21178" spans="18:19">
      <c r="R21178" s="178"/>
      <c r="S21178" s="178"/>
    </row>
    <row r="21179" spans="18:19">
      <c r="R21179" s="178"/>
      <c r="S21179" s="178"/>
    </row>
    <row r="21180" spans="18:19">
      <c r="R21180" s="178"/>
      <c r="S21180" s="178"/>
    </row>
    <row r="21181" spans="18:19">
      <c r="R21181" s="178"/>
      <c r="S21181" s="178"/>
    </row>
    <row r="21182" spans="18:19">
      <c r="R21182" s="178"/>
      <c r="S21182" s="178"/>
    </row>
    <row r="21183" spans="18:19">
      <c r="R21183" s="178"/>
      <c r="S21183" s="178"/>
    </row>
    <row r="21184" spans="18:19">
      <c r="R21184" s="178"/>
      <c r="S21184" s="178"/>
    </row>
    <row r="21185" spans="18:19">
      <c r="R21185" s="178"/>
      <c r="S21185" s="178"/>
    </row>
    <row r="21186" spans="18:19">
      <c r="R21186" s="178"/>
      <c r="S21186" s="178"/>
    </row>
    <row r="21187" spans="18:19">
      <c r="R21187" s="178"/>
      <c r="S21187" s="178"/>
    </row>
    <row r="21188" spans="18:19">
      <c r="R21188" s="178"/>
      <c r="S21188" s="178"/>
    </row>
    <row r="21189" spans="18:19">
      <c r="R21189" s="178"/>
      <c r="S21189" s="178"/>
    </row>
    <row r="21190" spans="18:19">
      <c r="R21190" s="178"/>
      <c r="S21190" s="178"/>
    </row>
    <row r="21191" spans="18:19">
      <c r="R21191" s="178"/>
      <c r="S21191" s="178"/>
    </row>
    <row r="21192" spans="18:19">
      <c r="R21192" s="178"/>
      <c r="S21192" s="178"/>
    </row>
    <row r="21193" spans="18:19">
      <c r="R21193" s="178"/>
      <c r="S21193" s="178"/>
    </row>
    <row r="21194" spans="18:19">
      <c r="R21194" s="178"/>
      <c r="S21194" s="178"/>
    </row>
    <row r="21195" spans="18:19">
      <c r="R21195" s="178"/>
      <c r="S21195" s="178"/>
    </row>
    <row r="21196" spans="18:19">
      <c r="R21196" s="178"/>
      <c r="S21196" s="178"/>
    </row>
    <row r="21197" spans="18:19">
      <c r="R21197" s="178"/>
      <c r="S21197" s="178"/>
    </row>
    <row r="21198" spans="18:19">
      <c r="R21198" s="178"/>
      <c r="S21198" s="178"/>
    </row>
    <row r="21199" spans="18:19">
      <c r="R21199" s="178"/>
      <c r="S21199" s="178"/>
    </row>
    <row r="21200" spans="18:19">
      <c r="R21200" s="178"/>
      <c r="S21200" s="178"/>
    </row>
    <row r="21201" spans="18:19">
      <c r="R21201" s="178"/>
      <c r="S21201" s="178"/>
    </row>
    <row r="21202" spans="18:19">
      <c r="R21202" s="178"/>
      <c r="S21202" s="178"/>
    </row>
    <row r="21203" spans="18:19">
      <c r="R21203" s="178"/>
      <c r="S21203" s="178"/>
    </row>
    <row r="21204" spans="18:19">
      <c r="R21204" s="178"/>
      <c r="S21204" s="178"/>
    </row>
    <row r="21205" spans="18:19">
      <c r="R21205" s="178"/>
      <c r="S21205" s="178"/>
    </row>
    <row r="21206" spans="18:19">
      <c r="R21206" s="178"/>
      <c r="S21206" s="178"/>
    </row>
    <row r="21207" spans="18:19">
      <c r="R21207" s="178"/>
      <c r="S21207" s="178"/>
    </row>
    <row r="21208" spans="18:19">
      <c r="R21208" s="178"/>
      <c r="S21208" s="178"/>
    </row>
    <row r="21209" spans="18:19">
      <c r="R21209" s="178"/>
      <c r="S21209" s="178"/>
    </row>
    <row r="21210" spans="18:19">
      <c r="R21210" s="178"/>
      <c r="S21210" s="178"/>
    </row>
    <row r="21211" spans="18:19">
      <c r="R21211" s="178"/>
      <c r="S21211" s="178"/>
    </row>
    <row r="21212" spans="18:19">
      <c r="R21212" s="178"/>
      <c r="S21212" s="178"/>
    </row>
    <row r="21213" spans="18:19">
      <c r="R21213" s="178"/>
      <c r="S21213" s="178"/>
    </row>
    <row r="21214" spans="18:19">
      <c r="R21214" s="178"/>
      <c r="S21214" s="178"/>
    </row>
    <row r="21215" spans="18:19">
      <c r="R21215" s="178"/>
      <c r="S21215" s="178"/>
    </row>
    <row r="21216" spans="18:19">
      <c r="R21216" s="178"/>
      <c r="S21216" s="178"/>
    </row>
    <row r="21217" spans="18:19">
      <c r="R21217" s="178"/>
      <c r="S21217" s="178"/>
    </row>
    <row r="21218" spans="18:19">
      <c r="R21218" s="178"/>
      <c r="S21218" s="178"/>
    </row>
    <row r="21219" spans="18:19">
      <c r="R21219" s="178"/>
      <c r="S21219" s="178"/>
    </row>
    <row r="21220" spans="18:19">
      <c r="R21220" s="178"/>
      <c r="S21220" s="178"/>
    </row>
    <row r="21221" spans="18:19">
      <c r="R21221" s="178"/>
      <c r="S21221" s="178"/>
    </row>
    <row r="21222" spans="18:19">
      <c r="R21222" s="178"/>
      <c r="S21222" s="178"/>
    </row>
    <row r="21223" spans="18:19">
      <c r="R21223" s="178"/>
      <c r="S21223" s="178"/>
    </row>
    <row r="21224" spans="18:19">
      <c r="R21224" s="178"/>
      <c r="S21224" s="178"/>
    </row>
    <row r="21225" spans="18:19">
      <c r="R21225" s="178"/>
      <c r="S21225" s="178"/>
    </row>
    <row r="21226" spans="18:19">
      <c r="R21226" s="178"/>
      <c r="S21226" s="178"/>
    </row>
    <row r="21227" spans="18:19">
      <c r="R21227" s="178"/>
      <c r="S21227" s="178"/>
    </row>
    <row r="21228" spans="18:19">
      <c r="R21228" s="178"/>
      <c r="S21228" s="178"/>
    </row>
    <row r="21229" spans="18:19">
      <c r="R21229" s="178"/>
      <c r="S21229" s="178"/>
    </row>
    <row r="21230" spans="18:19">
      <c r="R21230" s="178"/>
      <c r="S21230" s="178"/>
    </row>
    <row r="21231" spans="18:19">
      <c r="R21231" s="178"/>
      <c r="S21231" s="178"/>
    </row>
    <row r="21232" spans="18:19">
      <c r="R21232" s="178"/>
      <c r="S21232" s="178"/>
    </row>
    <row r="21233" spans="18:19">
      <c r="R21233" s="178"/>
      <c r="S21233" s="178"/>
    </row>
    <row r="21234" spans="18:19">
      <c r="R21234" s="178"/>
      <c r="S21234" s="178"/>
    </row>
    <row r="21235" spans="18:19">
      <c r="R21235" s="178"/>
      <c r="S21235" s="178"/>
    </row>
    <row r="21236" spans="18:19">
      <c r="R21236" s="178"/>
      <c r="S21236" s="178"/>
    </row>
    <row r="21237" spans="18:19">
      <c r="R21237" s="178"/>
      <c r="S21237" s="178"/>
    </row>
    <row r="21238" spans="18:19">
      <c r="R21238" s="178"/>
      <c r="S21238" s="178"/>
    </row>
    <row r="21239" spans="18:19">
      <c r="R21239" s="178"/>
      <c r="S21239" s="178"/>
    </row>
    <row r="21240" spans="18:19">
      <c r="R21240" s="178"/>
      <c r="S21240" s="178"/>
    </row>
    <row r="21241" spans="18:19">
      <c r="R21241" s="178"/>
      <c r="S21241" s="178"/>
    </row>
    <row r="21242" spans="18:19">
      <c r="R21242" s="178"/>
      <c r="S21242" s="178"/>
    </row>
    <row r="21243" spans="18:19">
      <c r="R21243" s="178"/>
      <c r="S21243" s="178"/>
    </row>
    <row r="21244" spans="18:19">
      <c r="R21244" s="178"/>
      <c r="S21244" s="178"/>
    </row>
    <row r="21245" spans="18:19">
      <c r="R21245" s="178"/>
      <c r="S21245" s="178"/>
    </row>
    <row r="21246" spans="18:19">
      <c r="R21246" s="178"/>
      <c r="S21246" s="178"/>
    </row>
    <row r="21247" spans="18:19">
      <c r="R21247" s="178"/>
      <c r="S21247" s="178"/>
    </row>
    <row r="21248" spans="18:19">
      <c r="R21248" s="178"/>
      <c r="S21248" s="178"/>
    </row>
    <row r="21249" spans="18:19">
      <c r="R21249" s="178"/>
      <c r="S21249" s="178"/>
    </row>
    <row r="21250" spans="18:19">
      <c r="R21250" s="178"/>
      <c r="S21250" s="178"/>
    </row>
    <row r="21251" spans="18:19">
      <c r="R21251" s="178"/>
      <c r="S21251" s="178"/>
    </row>
    <row r="21252" spans="18:19">
      <c r="R21252" s="178"/>
      <c r="S21252" s="178"/>
    </row>
    <row r="21253" spans="18:19">
      <c r="R21253" s="178"/>
      <c r="S21253" s="178"/>
    </row>
    <row r="21254" spans="18:19">
      <c r="R21254" s="178"/>
      <c r="S21254" s="178"/>
    </row>
    <row r="21255" spans="18:19">
      <c r="R21255" s="178"/>
      <c r="S21255" s="178"/>
    </row>
    <row r="21256" spans="18:19">
      <c r="R21256" s="178"/>
      <c r="S21256" s="178"/>
    </row>
    <row r="21257" spans="18:19">
      <c r="R21257" s="178"/>
      <c r="S21257" s="178"/>
    </row>
    <row r="21258" spans="18:19">
      <c r="R21258" s="178"/>
      <c r="S21258" s="178"/>
    </row>
    <row r="21259" spans="18:19">
      <c r="R21259" s="178"/>
      <c r="S21259" s="178"/>
    </row>
    <row r="21260" spans="18:19">
      <c r="R21260" s="178"/>
      <c r="S21260" s="178"/>
    </row>
    <row r="21261" spans="18:19">
      <c r="R21261" s="178"/>
      <c r="S21261" s="178"/>
    </row>
    <row r="21262" spans="18:19">
      <c r="R21262" s="178"/>
      <c r="S21262" s="178"/>
    </row>
    <row r="21263" spans="18:19">
      <c r="R21263" s="178"/>
      <c r="S21263" s="178"/>
    </row>
    <row r="21264" spans="18:19">
      <c r="R21264" s="178"/>
      <c r="S21264" s="178"/>
    </row>
    <row r="21265" spans="18:19">
      <c r="R21265" s="178"/>
      <c r="S21265" s="178"/>
    </row>
    <row r="21266" spans="18:19">
      <c r="R21266" s="178"/>
      <c r="S21266" s="178"/>
    </row>
    <row r="21267" spans="18:19">
      <c r="R21267" s="178"/>
      <c r="S21267" s="178"/>
    </row>
    <row r="21268" spans="18:19">
      <c r="R21268" s="178"/>
      <c r="S21268" s="178"/>
    </row>
    <row r="21269" spans="18:19">
      <c r="R21269" s="178"/>
      <c r="S21269" s="178"/>
    </row>
    <row r="21270" spans="18:19">
      <c r="R21270" s="178"/>
      <c r="S21270" s="178"/>
    </row>
    <row r="21271" spans="18:19">
      <c r="R21271" s="178"/>
      <c r="S21271" s="178"/>
    </row>
    <row r="21272" spans="18:19">
      <c r="R21272" s="178"/>
      <c r="S21272" s="178"/>
    </row>
    <row r="21273" spans="18:19">
      <c r="R21273" s="178"/>
      <c r="S21273" s="178"/>
    </row>
    <row r="21274" spans="18:19">
      <c r="R21274" s="178"/>
      <c r="S21274" s="178"/>
    </row>
    <row r="21275" spans="18:19">
      <c r="R21275" s="178"/>
      <c r="S21275" s="178"/>
    </row>
    <row r="21276" spans="18:19">
      <c r="R21276" s="178"/>
      <c r="S21276" s="178"/>
    </row>
    <row r="21277" spans="18:19">
      <c r="R21277" s="178"/>
      <c r="S21277" s="178"/>
    </row>
    <row r="21278" spans="18:19">
      <c r="R21278" s="178"/>
      <c r="S21278" s="178"/>
    </row>
    <row r="21279" spans="18:19">
      <c r="R21279" s="178"/>
      <c r="S21279" s="178"/>
    </row>
    <row r="21280" spans="18:19">
      <c r="R21280" s="178"/>
      <c r="S21280" s="178"/>
    </row>
    <row r="21281" spans="18:19">
      <c r="R21281" s="178"/>
      <c r="S21281" s="178"/>
    </row>
    <row r="21282" spans="18:19">
      <c r="R21282" s="178"/>
      <c r="S21282" s="178"/>
    </row>
    <row r="21283" spans="18:19">
      <c r="R21283" s="178"/>
      <c r="S21283" s="178"/>
    </row>
    <row r="21284" spans="18:19">
      <c r="R21284" s="178"/>
      <c r="S21284" s="178"/>
    </row>
    <row r="21285" spans="18:19">
      <c r="R21285" s="178"/>
      <c r="S21285" s="178"/>
    </row>
    <row r="21286" spans="18:19">
      <c r="R21286" s="178"/>
      <c r="S21286" s="178"/>
    </row>
    <row r="21287" spans="18:19">
      <c r="R21287" s="178"/>
      <c r="S21287" s="178"/>
    </row>
    <row r="21288" spans="18:19">
      <c r="R21288" s="178"/>
      <c r="S21288" s="178"/>
    </row>
    <row r="21289" spans="18:19">
      <c r="R21289" s="178"/>
      <c r="S21289" s="178"/>
    </row>
    <row r="21290" spans="18:19">
      <c r="R21290" s="178"/>
      <c r="S21290" s="178"/>
    </row>
    <row r="21291" spans="18:19">
      <c r="R21291" s="178"/>
      <c r="S21291" s="178"/>
    </row>
    <row r="21292" spans="18:19">
      <c r="R21292" s="178"/>
      <c r="S21292" s="178"/>
    </row>
    <row r="21293" spans="18:19">
      <c r="R21293" s="178"/>
      <c r="S21293" s="178"/>
    </row>
    <row r="21294" spans="18:19">
      <c r="R21294" s="178"/>
      <c r="S21294" s="178"/>
    </row>
    <row r="21295" spans="18:19">
      <c r="R21295" s="178"/>
      <c r="S21295" s="178"/>
    </row>
    <row r="21296" spans="18:19">
      <c r="R21296" s="178"/>
      <c r="S21296" s="178"/>
    </row>
    <row r="21297" spans="18:19">
      <c r="R21297" s="178"/>
      <c r="S21297" s="178"/>
    </row>
    <row r="21298" spans="18:19">
      <c r="R21298" s="178"/>
      <c r="S21298" s="178"/>
    </row>
    <row r="21299" spans="18:19">
      <c r="R21299" s="178"/>
      <c r="S21299" s="178"/>
    </row>
    <row r="21300" spans="18:19">
      <c r="R21300" s="178"/>
      <c r="S21300" s="178"/>
    </row>
    <row r="21301" spans="18:19">
      <c r="R21301" s="178"/>
      <c r="S21301" s="178"/>
    </row>
    <row r="21302" spans="18:19">
      <c r="R21302" s="178"/>
      <c r="S21302" s="178"/>
    </row>
    <row r="21303" spans="18:19">
      <c r="R21303" s="178"/>
      <c r="S21303" s="178"/>
    </row>
    <row r="21304" spans="18:19">
      <c r="R21304" s="178"/>
      <c r="S21304" s="178"/>
    </row>
    <row r="21305" spans="18:19">
      <c r="R21305" s="178"/>
      <c r="S21305" s="178"/>
    </row>
    <row r="21306" spans="18:19">
      <c r="R21306" s="178"/>
      <c r="S21306" s="178"/>
    </row>
    <row r="21307" spans="18:19">
      <c r="R21307" s="178"/>
      <c r="S21307" s="178"/>
    </row>
    <row r="21308" spans="18:19">
      <c r="R21308" s="178"/>
      <c r="S21308" s="178"/>
    </row>
    <row r="21309" spans="18:19">
      <c r="R21309" s="178"/>
      <c r="S21309" s="178"/>
    </row>
    <row r="21310" spans="18:19">
      <c r="R21310" s="178"/>
      <c r="S21310" s="178"/>
    </row>
    <row r="21311" spans="18:19">
      <c r="R21311" s="178"/>
      <c r="S21311" s="178"/>
    </row>
    <row r="21312" spans="18:19">
      <c r="R21312" s="178"/>
      <c r="S21312" s="178"/>
    </row>
    <row r="21313" spans="18:19">
      <c r="R21313" s="178"/>
      <c r="S21313" s="178"/>
    </row>
    <row r="21314" spans="18:19">
      <c r="R21314" s="178"/>
      <c r="S21314" s="178"/>
    </row>
    <row r="21315" spans="18:19">
      <c r="R21315" s="178"/>
      <c r="S21315" s="178"/>
    </row>
    <row r="21316" spans="18:19">
      <c r="R21316" s="178"/>
      <c r="S21316" s="178"/>
    </row>
    <row r="21317" spans="18:19">
      <c r="R21317" s="178"/>
      <c r="S21317" s="178"/>
    </row>
    <row r="21318" spans="18:19">
      <c r="R21318" s="178"/>
      <c r="S21318" s="178"/>
    </row>
    <row r="21319" spans="18:19">
      <c r="R21319" s="178"/>
      <c r="S21319" s="178"/>
    </row>
    <row r="21320" spans="18:19">
      <c r="R21320" s="178"/>
      <c r="S21320" s="178"/>
    </row>
    <row r="21321" spans="18:19">
      <c r="R21321" s="178"/>
      <c r="S21321" s="178"/>
    </row>
    <row r="21322" spans="18:19">
      <c r="R21322" s="178"/>
      <c r="S21322" s="178"/>
    </row>
    <row r="21323" spans="18:19">
      <c r="R21323" s="178"/>
      <c r="S21323" s="178"/>
    </row>
    <row r="21324" spans="18:19">
      <c r="R21324" s="178"/>
      <c r="S21324" s="178"/>
    </row>
    <row r="21325" spans="18:19">
      <c r="R21325" s="178"/>
      <c r="S21325" s="178"/>
    </row>
    <row r="21326" spans="18:19">
      <c r="R21326" s="178"/>
      <c r="S21326" s="178"/>
    </row>
    <row r="21327" spans="18:19">
      <c r="R21327" s="178"/>
      <c r="S21327" s="178"/>
    </row>
    <row r="21328" spans="18:19">
      <c r="R21328" s="178"/>
      <c r="S21328" s="178"/>
    </row>
    <row r="21329" spans="18:19">
      <c r="R21329" s="178"/>
      <c r="S21329" s="178"/>
    </row>
    <row r="21330" spans="18:19">
      <c r="R21330" s="178"/>
      <c r="S21330" s="178"/>
    </row>
    <row r="21331" spans="18:19">
      <c r="R21331" s="178"/>
      <c r="S21331" s="178"/>
    </row>
    <row r="21332" spans="18:19">
      <c r="R21332" s="178"/>
      <c r="S21332" s="178"/>
    </row>
    <row r="21333" spans="18:19">
      <c r="R21333" s="178"/>
      <c r="S21333" s="178"/>
    </row>
    <row r="21334" spans="18:19">
      <c r="R21334" s="178"/>
      <c r="S21334" s="178"/>
    </row>
    <row r="21335" spans="18:19">
      <c r="R21335" s="178"/>
      <c r="S21335" s="178"/>
    </row>
    <row r="21336" spans="18:19">
      <c r="R21336" s="178"/>
      <c r="S21336" s="178"/>
    </row>
    <row r="21337" spans="18:19">
      <c r="R21337" s="178"/>
      <c r="S21337" s="178"/>
    </row>
    <row r="21338" spans="18:19">
      <c r="R21338" s="178"/>
      <c r="S21338" s="178"/>
    </row>
    <row r="21339" spans="18:19">
      <c r="R21339" s="178"/>
      <c r="S21339" s="178"/>
    </row>
    <row r="21340" spans="18:19">
      <c r="R21340" s="178"/>
      <c r="S21340" s="178"/>
    </row>
    <row r="21341" spans="18:19">
      <c r="R21341" s="178"/>
      <c r="S21341" s="178"/>
    </row>
    <row r="21342" spans="18:19">
      <c r="R21342" s="178"/>
      <c r="S21342" s="178"/>
    </row>
    <row r="21343" spans="18:19">
      <c r="R21343" s="178"/>
      <c r="S21343" s="178"/>
    </row>
    <row r="21344" spans="18:19">
      <c r="R21344" s="178"/>
      <c r="S21344" s="178"/>
    </row>
    <row r="21345" spans="18:19">
      <c r="R21345" s="178"/>
      <c r="S21345" s="178"/>
    </row>
    <row r="21346" spans="18:19">
      <c r="R21346" s="178"/>
      <c r="S21346" s="178"/>
    </row>
    <row r="21347" spans="18:19">
      <c r="R21347" s="178"/>
      <c r="S21347" s="178"/>
    </row>
    <row r="21348" spans="18:19">
      <c r="R21348" s="178"/>
      <c r="S21348" s="178"/>
    </row>
    <row r="21349" spans="18:19">
      <c r="R21349" s="178"/>
      <c r="S21349" s="178"/>
    </row>
    <row r="21350" spans="18:19">
      <c r="R21350" s="178"/>
      <c r="S21350" s="178"/>
    </row>
    <row r="21351" spans="18:19">
      <c r="R21351" s="178"/>
      <c r="S21351" s="178"/>
    </row>
    <row r="21352" spans="18:19">
      <c r="R21352" s="178"/>
      <c r="S21352" s="178"/>
    </row>
    <row r="21353" spans="18:19">
      <c r="R21353" s="178"/>
      <c r="S21353" s="178"/>
    </row>
    <row r="21354" spans="18:19">
      <c r="R21354" s="178"/>
      <c r="S21354" s="178"/>
    </row>
    <row r="21355" spans="18:19">
      <c r="R21355" s="178"/>
      <c r="S21355" s="178"/>
    </row>
    <row r="21356" spans="18:19">
      <c r="R21356" s="178"/>
      <c r="S21356" s="178"/>
    </row>
    <row r="21357" spans="18:19">
      <c r="R21357" s="178"/>
      <c r="S21357" s="178"/>
    </row>
    <row r="21358" spans="18:19">
      <c r="R21358" s="178"/>
      <c r="S21358" s="178"/>
    </row>
    <row r="21359" spans="18:19">
      <c r="R21359" s="178"/>
      <c r="S21359" s="178"/>
    </row>
    <row r="21360" spans="18:19">
      <c r="R21360" s="178"/>
      <c r="S21360" s="178"/>
    </row>
    <row r="21361" spans="18:19">
      <c r="R21361" s="178"/>
      <c r="S21361" s="178"/>
    </row>
    <row r="21362" spans="18:19">
      <c r="R21362" s="178"/>
      <c r="S21362" s="178"/>
    </row>
    <row r="21363" spans="18:19">
      <c r="R21363" s="178"/>
      <c r="S21363" s="178"/>
    </row>
    <row r="21364" spans="18:19">
      <c r="R21364" s="178"/>
      <c r="S21364" s="178"/>
    </row>
    <row r="21365" spans="18:19">
      <c r="R21365" s="178"/>
      <c r="S21365" s="178"/>
    </row>
    <row r="21366" spans="18:19">
      <c r="R21366" s="178"/>
      <c r="S21366" s="178"/>
    </row>
    <row r="21367" spans="18:19">
      <c r="R21367" s="178"/>
      <c r="S21367" s="178"/>
    </row>
    <row r="21368" spans="18:19">
      <c r="R21368" s="178"/>
      <c r="S21368" s="178"/>
    </row>
    <row r="21369" spans="18:19">
      <c r="R21369" s="178"/>
      <c r="S21369" s="178"/>
    </row>
    <row r="21370" spans="18:19">
      <c r="R21370" s="178"/>
      <c r="S21370" s="178"/>
    </row>
    <row r="21371" spans="18:19">
      <c r="R21371" s="178"/>
      <c r="S21371" s="178"/>
    </row>
    <row r="21372" spans="18:19">
      <c r="R21372" s="178"/>
      <c r="S21372" s="178"/>
    </row>
    <row r="21373" spans="18:19">
      <c r="R21373" s="178"/>
      <c r="S21373" s="178"/>
    </row>
    <row r="21374" spans="18:19">
      <c r="R21374" s="178"/>
      <c r="S21374" s="178"/>
    </row>
    <row r="21375" spans="18:19">
      <c r="R21375" s="178"/>
      <c r="S21375" s="178"/>
    </row>
    <row r="21376" spans="18:19">
      <c r="R21376" s="178"/>
      <c r="S21376" s="178"/>
    </row>
    <row r="21377" spans="18:19">
      <c r="R21377" s="178"/>
      <c r="S21377" s="178"/>
    </row>
    <row r="21378" spans="18:19">
      <c r="R21378" s="178"/>
      <c r="S21378" s="178"/>
    </row>
    <row r="21379" spans="18:19">
      <c r="R21379" s="178"/>
      <c r="S21379" s="178"/>
    </row>
    <row r="21380" spans="18:19">
      <c r="R21380" s="178"/>
      <c r="S21380" s="178"/>
    </row>
    <row r="21381" spans="18:19">
      <c r="R21381" s="178"/>
      <c r="S21381" s="178"/>
    </row>
    <row r="21382" spans="18:19">
      <c r="R21382" s="178"/>
      <c r="S21382" s="178"/>
    </row>
    <row r="21383" spans="18:19">
      <c r="R21383" s="178"/>
      <c r="S21383" s="178"/>
    </row>
    <row r="21384" spans="18:19">
      <c r="R21384" s="178"/>
      <c r="S21384" s="178"/>
    </row>
    <row r="21385" spans="18:19">
      <c r="R21385" s="178"/>
      <c r="S21385" s="178"/>
    </row>
    <row r="21386" spans="18:19">
      <c r="R21386" s="178"/>
      <c r="S21386" s="178"/>
    </row>
    <row r="21387" spans="18:19">
      <c r="R21387" s="178"/>
      <c r="S21387" s="178"/>
    </row>
    <row r="21388" spans="18:19">
      <c r="R21388" s="178"/>
      <c r="S21388" s="178"/>
    </row>
    <row r="21389" spans="18:19">
      <c r="R21389" s="178"/>
      <c r="S21389" s="178"/>
    </row>
    <row r="21390" spans="18:19">
      <c r="R21390" s="178"/>
      <c r="S21390" s="178"/>
    </row>
    <row r="21391" spans="18:19">
      <c r="R21391" s="178"/>
      <c r="S21391" s="178"/>
    </row>
    <row r="21392" spans="18:19">
      <c r="R21392" s="178"/>
      <c r="S21392" s="178"/>
    </row>
    <row r="21393" spans="18:19">
      <c r="R21393" s="178"/>
      <c r="S21393" s="178"/>
    </row>
    <row r="21394" spans="18:19">
      <c r="R21394" s="178"/>
      <c r="S21394" s="178"/>
    </row>
    <row r="21395" spans="18:19">
      <c r="R21395" s="178"/>
      <c r="S21395" s="178"/>
    </row>
    <row r="21396" spans="18:19">
      <c r="R21396" s="178"/>
      <c r="S21396" s="178"/>
    </row>
    <row r="21397" spans="18:19">
      <c r="R21397" s="178"/>
      <c r="S21397" s="178"/>
    </row>
    <row r="21398" spans="18:19">
      <c r="R21398" s="178"/>
      <c r="S21398" s="178"/>
    </row>
    <row r="21399" spans="18:19">
      <c r="R21399" s="178"/>
      <c r="S21399" s="178"/>
    </row>
    <row r="21400" spans="18:19">
      <c r="R21400" s="178"/>
      <c r="S21400" s="178"/>
    </row>
    <row r="21401" spans="18:19">
      <c r="R21401" s="178"/>
      <c r="S21401" s="178"/>
    </row>
    <row r="21402" spans="18:19">
      <c r="R21402" s="178"/>
      <c r="S21402" s="178"/>
    </row>
    <row r="21403" spans="18:19">
      <c r="R21403" s="178"/>
      <c r="S21403" s="178"/>
    </row>
    <row r="21404" spans="18:19">
      <c r="R21404" s="178"/>
      <c r="S21404" s="178"/>
    </row>
    <row r="21405" spans="18:19">
      <c r="R21405" s="178"/>
      <c r="S21405" s="178"/>
    </row>
    <row r="21406" spans="18:19">
      <c r="R21406" s="178"/>
      <c r="S21406" s="178"/>
    </row>
    <row r="21407" spans="18:19">
      <c r="R21407" s="178"/>
      <c r="S21407" s="178"/>
    </row>
    <row r="21408" spans="18:19">
      <c r="R21408" s="178"/>
      <c r="S21408" s="178"/>
    </row>
    <row r="21409" spans="18:19">
      <c r="R21409" s="178"/>
      <c r="S21409" s="178"/>
    </row>
    <row r="21410" spans="18:19">
      <c r="R21410" s="178"/>
      <c r="S21410" s="178"/>
    </row>
    <row r="21411" spans="18:19">
      <c r="R21411" s="178"/>
      <c r="S21411" s="178"/>
    </row>
    <row r="21412" spans="18:19">
      <c r="R21412" s="178"/>
      <c r="S21412" s="178"/>
    </row>
    <row r="21413" spans="18:19">
      <c r="R21413" s="178"/>
      <c r="S21413" s="178"/>
    </row>
    <row r="21414" spans="18:19">
      <c r="R21414" s="178"/>
      <c r="S21414" s="178"/>
    </row>
    <row r="21415" spans="18:19">
      <c r="R21415" s="178"/>
      <c r="S21415" s="178"/>
    </row>
    <row r="21416" spans="18:19">
      <c r="R21416" s="178"/>
      <c r="S21416" s="178"/>
    </row>
    <row r="21417" spans="18:19">
      <c r="R21417" s="178"/>
      <c r="S21417" s="178"/>
    </row>
    <row r="21418" spans="18:19">
      <c r="R21418" s="178"/>
      <c r="S21418" s="178"/>
    </row>
    <row r="21419" spans="18:19">
      <c r="R21419" s="178"/>
      <c r="S21419" s="178"/>
    </row>
    <row r="21420" spans="18:19">
      <c r="R21420" s="178"/>
      <c r="S21420" s="178"/>
    </row>
    <row r="21421" spans="18:19">
      <c r="R21421" s="178"/>
      <c r="S21421" s="178"/>
    </row>
    <row r="21422" spans="18:19">
      <c r="R21422" s="178"/>
      <c r="S21422" s="178"/>
    </row>
    <row r="21423" spans="18:19">
      <c r="R21423" s="178"/>
      <c r="S21423" s="178"/>
    </row>
    <row r="21424" spans="18:19">
      <c r="R21424" s="178"/>
      <c r="S21424" s="178"/>
    </row>
    <row r="21425" spans="18:19">
      <c r="R21425" s="178"/>
      <c r="S21425" s="178"/>
    </row>
    <row r="21426" spans="18:19">
      <c r="R21426" s="178"/>
      <c r="S21426" s="178"/>
    </row>
    <row r="21427" spans="18:19">
      <c r="R21427" s="178"/>
      <c r="S21427" s="178"/>
    </row>
    <row r="21428" spans="18:19">
      <c r="R21428" s="178"/>
      <c r="S21428" s="178"/>
    </row>
    <row r="21429" spans="18:19">
      <c r="R21429" s="178"/>
      <c r="S21429" s="178"/>
    </row>
    <row r="21430" spans="18:19">
      <c r="R21430" s="178"/>
      <c r="S21430" s="178"/>
    </row>
    <row r="21431" spans="18:19">
      <c r="R21431" s="178"/>
      <c r="S21431" s="178"/>
    </row>
    <row r="21432" spans="18:19">
      <c r="R21432" s="178"/>
      <c r="S21432" s="178"/>
    </row>
    <row r="21433" spans="18:19">
      <c r="R21433" s="178"/>
      <c r="S21433" s="178"/>
    </row>
    <row r="21434" spans="18:19">
      <c r="R21434" s="178"/>
      <c r="S21434" s="178"/>
    </row>
    <row r="21435" spans="18:19">
      <c r="R21435" s="178"/>
      <c r="S21435" s="178"/>
    </row>
    <row r="21436" spans="18:19">
      <c r="R21436" s="178"/>
      <c r="S21436" s="178"/>
    </row>
    <row r="21437" spans="18:19">
      <c r="R21437" s="178"/>
      <c r="S21437" s="178"/>
    </row>
    <row r="21438" spans="18:19">
      <c r="R21438" s="178"/>
      <c r="S21438" s="178"/>
    </row>
    <row r="21439" spans="18:19">
      <c r="R21439" s="178"/>
      <c r="S21439" s="178"/>
    </row>
    <row r="21440" spans="18:19">
      <c r="R21440" s="178"/>
      <c r="S21440" s="178"/>
    </row>
    <row r="21441" spans="18:19">
      <c r="R21441" s="178"/>
      <c r="S21441" s="178"/>
    </row>
    <row r="21442" spans="18:19">
      <c r="R21442" s="178"/>
      <c r="S21442" s="178"/>
    </row>
    <row r="21443" spans="18:19">
      <c r="R21443" s="178"/>
      <c r="S21443" s="178"/>
    </row>
    <row r="21444" spans="18:19">
      <c r="R21444" s="178"/>
      <c r="S21444" s="178"/>
    </row>
    <row r="21445" spans="18:19">
      <c r="R21445" s="178"/>
      <c r="S21445" s="178"/>
    </row>
    <row r="21446" spans="18:19">
      <c r="R21446" s="178"/>
      <c r="S21446" s="178"/>
    </row>
    <row r="21447" spans="18:19">
      <c r="R21447" s="178"/>
      <c r="S21447" s="178"/>
    </row>
    <row r="21448" spans="18:19">
      <c r="R21448" s="178"/>
      <c r="S21448" s="178"/>
    </row>
    <row r="21449" spans="18:19">
      <c r="R21449" s="178"/>
      <c r="S21449" s="178"/>
    </row>
    <row r="21450" spans="18:19">
      <c r="R21450" s="178"/>
      <c r="S21450" s="178"/>
    </row>
    <row r="21451" spans="18:19">
      <c r="R21451" s="178"/>
      <c r="S21451" s="178"/>
    </row>
    <row r="21452" spans="18:19">
      <c r="R21452" s="178"/>
      <c r="S21452" s="178"/>
    </row>
    <row r="21453" spans="18:19">
      <c r="R21453" s="178"/>
      <c r="S21453" s="178"/>
    </row>
    <row r="21454" spans="18:19">
      <c r="R21454" s="178"/>
      <c r="S21454" s="178"/>
    </row>
    <row r="21455" spans="18:19">
      <c r="R21455" s="178"/>
      <c r="S21455" s="178"/>
    </row>
    <row r="21456" spans="18:19">
      <c r="R21456" s="178"/>
      <c r="S21456" s="178"/>
    </row>
    <row r="21457" spans="18:19">
      <c r="R21457" s="178"/>
      <c r="S21457" s="178"/>
    </row>
    <row r="21458" spans="18:19">
      <c r="R21458" s="178"/>
      <c r="S21458" s="178"/>
    </row>
    <row r="21459" spans="18:19">
      <c r="R21459" s="178"/>
      <c r="S21459" s="178"/>
    </row>
    <row r="21460" spans="18:19">
      <c r="R21460" s="178"/>
      <c r="S21460" s="178"/>
    </row>
    <row r="21461" spans="18:19">
      <c r="R21461" s="178"/>
      <c r="S21461" s="178"/>
    </row>
    <row r="21462" spans="18:19">
      <c r="R21462" s="178"/>
      <c r="S21462" s="178"/>
    </row>
    <row r="21463" spans="18:19">
      <c r="R21463" s="178"/>
      <c r="S21463" s="178"/>
    </row>
    <row r="21464" spans="18:19">
      <c r="R21464" s="178"/>
      <c r="S21464" s="178"/>
    </row>
    <row r="21465" spans="18:19">
      <c r="R21465" s="178"/>
      <c r="S21465" s="178"/>
    </row>
    <row r="21466" spans="18:19">
      <c r="R21466" s="178"/>
      <c r="S21466" s="178"/>
    </row>
    <row r="21467" spans="18:19">
      <c r="R21467" s="178"/>
      <c r="S21467" s="178"/>
    </row>
    <row r="21468" spans="18:19">
      <c r="R21468" s="178"/>
      <c r="S21468" s="178"/>
    </row>
    <row r="21469" spans="18:19">
      <c r="R21469" s="178"/>
      <c r="S21469" s="178"/>
    </row>
    <row r="21470" spans="18:19">
      <c r="R21470" s="178"/>
      <c r="S21470" s="178"/>
    </row>
    <row r="21471" spans="18:19">
      <c r="R21471" s="178"/>
      <c r="S21471" s="178"/>
    </row>
    <row r="21472" spans="18:19">
      <c r="R21472" s="178"/>
      <c r="S21472" s="178"/>
    </row>
    <row r="21473" spans="18:19">
      <c r="R21473" s="178"/>
      <c r="S21473" s="178"/>
    </row>
    <row r="21474" spans="18:19">
      <c r="R21474" s="178"/>
      <c r="S21474" s="178"/>
    </row>
    <row r="21475" spans="18:19">
      <c r="R21475" s="178"/>
      <c r="S21475" s="178"/>
    </row>
    <row r="21476" spans="18:19">
      <c r="R21476" s="178"/>
      <c r="S21476" s="178"/>
    </row>
    <row r="21477" spans="18:19">
      <c r="R21477" s="178"/>
      <c r="S21477" s="178"/>
    </row>
    <row r="21478" spans="18:19">
      <c r="R21478" s="178"/>
      <c r="S21478" s="178"/>
    </row>
    <row r="21479" spans="18:19">
      <c r="R21479" s="178"/>
      <c r="S21479" s="178"/>
    </row>
    <row r="21480" spans="18:19">
      <c r="R21480" s="178"/>
      <c r="S21480" s="178"/>
    </row>
    <row r="21481" spans="18:19">
      <c r="R21481" s="178"/>
      <c r="S21481" s="178"/>
    </row>
    <row r="21482" spans="18:19">
      <c r="R21482" s="178"/>
      <c r="S21482" s="178"/>
    </row>
    <row r="21483" spans="18:19">
      <c r="R21483" s="178"/>
      <c r="S21483" s="178"/>
    </row>
    <row r="21484" spans="18:19">
      <c r="R21484" s="178"/>
      <c r="S21484" s="178"/>
    </row>
    <row r="21485" spans="18:19">
      <c r="R21485" s="178"/>
      <c r="S21485" s="178"/>
    </row>
    <row r="21486" spans="18:19">
      <c r="R21486" s="178"/>
      <c r="S21486" s="178"/>
    </row>
    <row r="21487" spans="18:19">
      <c r="R21487" s="178"/>
      <c r="S21487" s="178"/>
    </row>
    <row r="21488" spans="18:19">
      <c r="R21488" s="178"/>
      <c r="S21488" s="178"/>
    </row>
    <row r="21489" spans="18:19">
      <c r="R21489" s="178"/>
      <c r="S21489" s="178"/>
    </row>
    <row r="21490" spans="18:19">
      <c r="R21490" s="178"/>
      <c r="S21490" s="178"/>
    </row>
    <row r="21491" spans="18:19">
      <c r="R21491" s="178"/>
      <c r="S21491" s="178"/>
    </row>
    <row r="21492" spans="18:19">
      <c r="R21492" s="178"/>
      <c r="S21492" s="178"/>
    </row>
    <row r="21493" spans="18:19">
      <c r="R21493" s="178"/>
      <c r="S21493" s="178"/>
    </row>
    <row r="21494" spans="18:19">
      <c r="R21494" s="178"/>
      <c r="S21494" s="178"/>
    </row>
    <row r="21495" spans="18:19">
      <c r="R21495" s="178"/>
      <c r="S21495" s="178"/>
    </row>
    <row r="21496" spans="18:19">
      <c r="R21496" s="178"/>
      <c r="S21496" s="178"/>
    </row>
    <row r="21497" spans="18:19">
      <c r="R21497" s="178"/>
      <c r="S21497" s="178"/>
    </row>
    <row r="21498" spans="18:19">
      <c r="R21498" s="178"/>
      <c r="S21498" s="178"/>
    </row>
    <row r="21499" spans="18:19">
      <c r="R21499" s="178"/>
      <c r="S21499" s="178"/>
    </row>
    <row r="21500" spans="18:19">
      <c r="R21500" s="178"/>
      <c r="S21500" s="178"/>
    </row>
    <row r="21501" spans="18:19">
      <c r="R21501" s="178"/>
      <c r="S21501" s="178"/>
    </row>
    <row r="21502" spans="18:19">
      <c r="R21502" s="178"/>
      <c r="S21502" s="178"/>
    </row>
    <row r="21503" spans="18:19">
      <c r="R21503" s="178"/>
      <c r="S21503" s="178"/>
    </row>
    <row r="21504" spans="18:19">
      <c r="R21504" s="178"/>
      <c r="S21504" s="178"/>
    </row>
    <row r="21505" spans="18:19">
      <c r="R21505" s="178"/>
      <c r="S21505" s="178"/>
    </row>
    <row r="21506" spans="18:19">
      <c r="R21506" s="178"/>
      <c r="S21506" s="178"/>
    </row>
    <row r="21507" spans="18:19">
      <c r="R21507" s="178"/>
      <c r="S21507" s="178"/>
    </row>
    <row r="21508" spans="18:19">
      <c r="R21508" s="178"/>
      <c r="S21508" s="178"/>
    </row>
    <row r="21509" spans="18:19">
      <c r="R21509" s="178"/>
      <c r="S21509" s="178"/>
    </row>
    <row r="21510" spans="18:19">
      <c r="R21510" s="178"/>
      <c r="S21510" s="178"/>
    </row>
    <row r="21511" spans="18:19">
      <c r="R21511" s="178"/>
      <c r="S21511" s="178"/>
    </row>
    <row r="21512" spans="18:19">
      <c r="R21512" s="178"/>
      <c r="S21512" s="178"/>
    </row>
    <row r="21513" spans="18:19">
      <c r="R21513" s="178"/>
      <c r="S21513" s="178"/>
    </row>
    <row r="21514" spans="18:19">
      <c r="R21514" s="178"/>
      <c r="S21514" s="178"/>
    </row>
    <row r="21515" spans="18:19">
      <c r="R21515" s="178"/>
      <c r="S21515" s="178"/>
    </row>
    <row r="21516" spans="18:19">
      <c r="R21516" s="178"/>
      <c r="S21516" s="178"/>
    </row>
    <row r="21517" spans="18:19">
      <c r="R21517" s="178"/>
      <c r="S21517" s="178"/>
    </row>
    <row r="21518" spans="18:19">
      <c r="R21518" s="178"/>
      <c r="S21518" s="178"/>
    </row>
    <row r="21519" spans="18:19">
      <c r="R21519" s="178"/>
      <c r="S21519" s="178"/>
    </row>
    <row r="21520" spans="18:19">
      <c r="R21520" s="178"/>
      <c r="S21520" s="178"/>
    </row>
    <row r="21521" spans="18:19">
      <c r="R21521" s="178"/>
      <c r="S21521" s="178"/>
    </row>
    <row r="21522" spans="18:19">
      <c r="R21522" s="178"/>
      <c r="S21522" s="178"/>
    </row>
    <row r="21523" spans="18:19">
      <c r="R21523" s="178"/>
      <c r="S21523" s="178"/>
    </row>
    <row r="21524" spans="18:19">
      <c r="R21524" s="178"/>
      <c r="S21524" s="178"/>
    </row>
    <row r="21525" spans="18:19">
      <c r="R21525" s="178"/>
      <c r="S21525" s="178"/>
    </row>
    <row r="21526" spans="18:19">
      <c r="R21526" s="178"/>
      <c r="S21526" s="178"/>
    </row>
    <row r="21527" spans="18:19">
      <c r="R21527" s="178"/>
      <c r="S21527" s="178"/>
    </row>
    <row r="21528" spans="18:19">
      <c r="R21528" s="178"/>
      <c r="S21528" s="178"/>
    </row>
    <row r="21529" spans="18:19">
      <c r="R21529" s="178"/>
      <c r="S21529" s="178"/>
    </row>
    <row r="21530" spans="18:19">
      <c r="R21530" s="178"/>
      <c r="S21530" s="178"/>
    </row>
    <row r="21531" spans="18:19">
      <c r="R21531" s="178"/>
      <c r="S21531" s="178"/>
    </row>
    <row r="21532" spans="18:19">
      <c r="R21532" s="178"/>
      <c r="S21532" s="178"/>
    </row>
    <row r="21533" spans="18:19">
      <c r="R21533" s="178"/>
      <c r="S21533" s="178"/>
    </row>
    <row r="21534" spans="18:19">
      <c r="R21534" s="178"/>
      <c r="S21534" s="178"/>
    </row>
    <row r="21535" spans="18:19">
      <c r="R21535" s="178"/>
      <c r="S21535" s="178"/>
    </row>
    <row r="21536" spans="18:19">
      <c r="R21536" s="178"/>
      <c r="S21536" s="178"/>
    </row>
    <row r="21537" spans="18:19">
      <c r="R21537" s="178"/>
      <c r="S21537" s="178"/>
    </row>
    <row r="21538" spans="18:19">
      <c r="R21538" s="178"/>
      <c r="S21538" s="178"/>
    </row>
    <row r="21539" spans="18:19">
      <c r="R21539" s="178"/>
      <c r="S21539" s="178"/>
    </row>
    <row r="21540" spans="18:19">
      <c r="R21540" s="178"/>
      <c r="S21540" s="178"/>
    </row>
    <row r="21541" spans="18:19">
      <c r="R21541" s="178"/>
      <c r="S21541" s="178"/>
    </row>
    <row r="21542" spans="18:19">
      <c r="R21542" s="178"/>
      <c r="S21542" s="178"/>
    </row>
    <row r="21543" spans="18:19">
      <c r="R21543" s="178"/>
      <c r="S21543" s="178"/>
    </row>
    <row r="21544" spans="18:19">
      <c r="R21544" s="178"/>
      <c r="S21544" s="178"/>
    </row>
    <row r="21545" spans="18:19">
      <c r="R21545" s="178"/>
      <c r="S21545" s="178"/>
    </row>
    <row r="21546" spans="18:19">
      <c r="R21546" s="178"/>
      <c r="S21546" s="178"/>
    </row>
    <row r="21547" spans="18:19">
      <c r="R21547" s="178"/>
      <c r="S21547" s="178"/>
    </row>
    <row r="21548" spans="18:19">
      <c r="R21548" s="178"/>
      <c r="S21548" s="178"/>
    </row>
    <row r="21549" spans="18:19">
      <c r="R21549" s="178"/>
      <c r="S21549" s="178"/>
    </row>
    <row r="21550" spans="18:19">
      <c r="R21550" s="178"/>
      <c r="S21550" s="178"/>
    </row>
    <row r="21551" spans="18:19">
      <c r="R21551" s="178"/>
      <c r="S21551" s="178"/>
    </row>
    <row r="21552" spans="18:19">
      <c r="R21552" s="178"/>
      <c r="S21552" s="178"/>
    </row>
    <row r="21553" spans="18:19">
      <c r="R21553" s="178"/>
      <c r="S21553" s="178"/>
    </row>
    <row r="21554" spans="18:19">
      <c r="R21554" s="178"/>
      <c r="S21554" s="178"/>
    </row>
    <row r="21555" spans="18:19">
      <c r="R21555" s="178"/>
      <c r="S21555" s="178"/>
    </row>
    <row r="21556" spans="18:19">
      <c r="R21556" s="178"/>
      <c r="S21556" s="178"/>
    </row>
    <row r="21557" spans="18:19">
      <c r="R21557" s="178"/>
      <c r="S21557" s="178"/>
    </row>
    <row r="21558" spans="18:19">
      <c r="R21558" s="178"/>
      <c r="S21558" s="178"/>
    </row>
    <row r="21559" spans="18:19">
      <c r="R21559" s="178"/>
      <c r="S21559" s="178"/>
    </row>
    <row r="21560" spans="18:19">
      <c r="R21560" s="178"/>
      <c r="S21560" s="178"/>
    </row>
    <row r="21561" spans="18:19">
      <c r="R21561" s="178"/>
      <c r="S21561" s="178"/>
    </row>
    <row r="21562" spans="18:19">
      <c r="R21562" s="178"/>
      <c r="S21562" s="178"/>
    </row>
    <row r="21563" spans="18:19">
      <c r="R21563" s="178"/>
      <c r="S21563" s="178"/>
    </row>
    <row r="21564" spans="18:19">
      <c r="R21564" s="178"/>
      <c r="S21564" s="178"/>
    </row>
    <row r="21565" spans="18:19">
      <c r="R21565" s="178"/>
      <c r="S21565" s="178"/>
    </row>
    <row r="21566" spans="18:19">
      <c r="R21566" s="178"/>
      <c r="S21566" s="178"/>
    </row>
    <row r="21567" spans="18:19">
      <c r="R21567" s="178"/>
      <c r="S21567" s="178"/>
    </row>
    <row r="21568" spans="18:19">
      <c r="R21568" s="178"/>
      <c r="S21568" s="178"/>
    </row>
    <row r="21569" spans="18:19">
      <c r="R21569" s="178"/>
      <c r="S21569" s="178"/>
    </row>
    <row r="21570" spans="18:19">
      <c r="R21570" s="178"/>
      <c r="S21570" s="178"/>
    </row>
    <row r="21571" spans="18:19">
      <c r="R21571" s="178"/>
      <c r="S21571" s="178"/>
    </row>
    <row r="21572" spans="18:19">
      <c r="R21572" s="178"/>
      <c r="S21572" s="178"/>
    </row>
    <row r="21573" spans="18:19">
      <c r="R21573" s="178"/>
      <c r="S21573" s="178"/>
    </row>
    <row r="21574" spans="18:19">
      <c r="R21574" s="178"/>
      <c r="S21574" s="178"/>
    </row>
    <row r="21575" spans="18:19">
      <c r="R21575" s="178"/>
      <c r="S21575" s="178"/>
    </row>
    <row r="21576" spans="18:19">
      <c r="R21576" s="178"/>
      <c r="S21576" s="178"/>
    </row>
    <row r="21577" spans="18:19">
      <c r="R21577" s="178"/>
      <c r="S21577" s="178"/>
    </row>
    <row r="21578" spans="18:19">
      <c r="R21578" s="178"/>
      <c r="S21578" s="178"/>
    </row>
    <row r="21579" spans="18:19">
      <c r="R21579" s="178"/>
      <c r="S21579" s="178"/>
    </row>
    <row r="21580" spans="18:19">
      <c r="R21580" s="178"/>
      <c r="S21580" s="178"/>
    </row>
    <row r="21581" spans="18:19">
      <c r="R21581" s="178"/>
      <c r="S21581" s="178"/>
    </row>
    <row r="21582" spans="18:19">
      <c r="R21582" s="178"/>
      <c r="S21582" s="178"/>
    </row>
    <row r="21583" spans="18:19">
      <c r="R21583" s="178"/>
      <c r="S21583" s="178"/>
    </row>
    <row r="21584" spans="18:19">
      <c r="R21584" s="178"/>
      <c r="S21584" s="178"/>
    </row>
    <row r="21585" spans="18:19">
      <c r="R21585" s="178"/>
      <c r="S21585" s="178"/>
    </row>
    <row r="21586" spans="18:19">
      <c r="R21586" s="178"/>
      <c r="S21586" s="178"/>
    </row>
    <row r="21587" spans="18:19">
      <c r="R21587" s="178"/>
      <c r="S21587" s="178"/>
    </row>
    <row r="21588" spans="18:19">
      <c r="R21588" s="178"/>
      <c r="S21588" s="178"/>
    </row>
    <row r="21589" spans="18:19">
      <c r="R21589" s="178"/>
      <c r="S21589" s="178"/>
    </row>
    <row r="21590" spans="18:19">
      <c r="R21590" s="178"/>
      <c r="S21590" s="178"/>
    </row>
    <row r="21591" spans="18:19">
      <c r="R21591" s="178"/>
      <c r="S21591" s="178"/>
    </row>
    <row r="21592" spans="18:19">
      <c r="R21592" s="178"/>
      <c r="S21592" s="178"/>
    </row>
    <row r="21593" spans="18:19">
      <c r="R21593" s="178"/>
      <c r="S21593" s="178"/>
    </row>
    <row r="21594" spans="18:19">
      <c r="R21594" s="178"/>
      <c r="S21594" s="178"/>
    </row>
    <row r="21595" spans="18:19">
      <c r="R21595" s="178"/>
      <c r="S21595" s="178"/>
    </row>
    <row r="21596" spans="18:19">
      <c r="R21596" s="178"/>
      <c r="S21596" s="178"/>
    </row>
    <row r="21597" spans="18:19">
      <c r="R21597" s="178"/>
      <c r="S21597" s="178"/>
    </row>
    <row r="21598" spans="18:19">
      <c r="R21598" s="178"/>
      <c r="S21598" s="178"/>
    </row>
    <row r="21599" spans="18:19">
      <c r="R21599" s="178"/>
      <c r="S21599" s="178"/>
    </row>
    <row r="21600" spans="18:19">
      <c r="R21600" s="178"/>
      <c r="S21600" s="178"/>
    </row>
    <row r="21601" spans="18:19">
      <c r="R21601" s="178"/>
      <c r="S21601" s="178"/>
    </row>
    <row r="21602" spans="18:19">
      <c r="R21602" s="178"/>
      <c r="S21602" s="178"/>
    </row>
    <row r="21603" spans="18:19">
      <c r="R21603" s="178"/>
      <c r="S21603" s="178"/>
    </row>
    <row r="21604" spans="18:19">
      <c r="R21604" s="178"/>
      <c r="S21604" s="178"/>
    </row>
    <row r="21605" spans="18:19">
      <c r="R21605" s="178"/>
      <c r="S21605" s="178"/>
    </row>
    <row r="21606" spans="18:19">
      <c r="R21606" s="178"/>
      <c r="S21606" s="178"/>
    </row>
    <row r="21607" spans="18:19">
      <c r="R21607" s="178"/>
      <c r="S21607" s="178"/>
    </row>
    <row r="21608" spans="18:19">
      <c r="R21608" s="178"/>
      <c r="S21608" s="178"/>
    </row>
    <row r="21609" spans="18:19">
      <c r="R21609" s="178"/>
      <c r="S21609" s="178"/>
    </row>
    <row r="21610" spans="18:19">
      <c r="R21610" s="178"/>
      <c r="S21610" s="178"/>
    </row>
    <row r="21611" spans="18:19">
      <c r="R21611" s="178"/>
      <c r="S21611" s="178"/>
    </row>
    <row r="21612" spans="18:19">
      <c r="R21612" s="178"/>
      <c r="S21612" s="178"/>
    </row>
    <row r="21613" spans="18:19">
      <c r="R21613" s="178"/>
      <c r="S21613" s="178"/>
    </row>
    <row r="21614" spans="18:19">
      <c r="R21614" s="178"/>
      <c r="S21614" s="178"/>
    </row>
    <row r="21615" spans="18:19">
      <c r="R21615" s="178"/>
      <c r="S21615" s="178"/>
    </row>
    <row r="21616" spans="18:19">
      <c r="R21616" s="178"/>
      <c r="S21616" s="178"/>
    </row>
    <row r="21617" spans="18:19">
      <c r="R21617" s="178"/>
      <c r="S21617" s="178"/>
    </row>
    <row r="21618" spans="18:19">
      <c r="R21618" s="178"/>
      <c r="S21618" s="178"/>
    </row>
    <row r="21619" spans="18:19">
      <c r="R21619" s="178"/>
      <c r="S21619" s="178"/>
    </row>
    <row r="21620" spans="18:19">
      <c r="R21620" s="178"/>
      <c r="S21620" s="178"/>
    </row>
    <row r="21621" spans="18:19">
      <c r="R21621" s="178"/>
      <c r="S21621" s="178"/>
    </row>
    <row r="21622" spans="18:19">
      <c r="R21622" s="178"/>
      <c r="S21622" s="178"/>
    </row>
    <row r="21623" spans="18:19">
      <c r="R21623" s="178"/>
      <c r="S21623" s="178"/>
    </row>
    <row r="21624" spans="18:19">
      <c r="R21624" s="178"/>
      <c r="S21624" s="178"/>
    </row>
    <row r="21625" spans="18:19">
      <c r="R21625" s="178"/>
      <c r="S21625" s="178"/>
    </row>
    <row r="21626" spans="18:19">
      <c r="R21626" s="178"/>
      <c r="S21626" s="178"/>
    </row>
    <row r="21627" spans="18:19">
      <c r="R21627" s="178"/>
      <c r="S21627" s="178"/>
    </row>
    <row r="21628" spans="18:19">
      <c r="R21628" s="178"/>
      <c r="S21628" s="178"/>
    </row>
    <row r="21629" spans="18:19">
      <c r="R21629" s="178"/>
      <c r="S21629" s="178"/>
    </row>
    <row r="21630" spans="18:19">
      <c r="R21630" s="178"/>
      <c r="S21630" s="178"/>
    </row>
    <row r="21631" spans="18:19">
      <c r="R21631" s="178"/>
      <c r="S21631" s="178"/>
    </row>
    <row r="21632" spans="18:19">
      <c r="R21632" s="178"/>
      <c r="S21632" s="178"/>
    </row>
    <row r="21633" spans="18:19">
      <c r="R21633" s="178"/>
      <c r="S21633" s="178"/>
    </row>
    <row r="21634" spans="18:19">
      <c r="R21634" s="178"/>
      <c r="S21634" s="178"/>
    </row>
    <row r="21635" spans="18:19">
      <c r="R21635" s="178"/>
      <c r="S21635" s="178"/>
    </row>
    <row r="21636" spans="18:19">
      <c r="R21636" s="178"/>
      <c r="S21636" s="178"/>
    </row>
    <row r="21637" spans="18:19">
      <c r="R21637" s="178"/>
      <c r="S21637" s="178"/>
    </row>
    <row r="21638" spans="18:19">
      <c r="R21638" s="178"/>
      <c r="S21638" s="178"/>
    </row>
    <row r="21639" spans="18:19">
      <c r="R21639" s="178"/>
      <c r="S21639" s="178"/>
    </row>
    <row r="21640" spans="18:19">
      <c r="R21640" s="178"/>
      <c r="S21640" s="178"/>
    </row>
    <row r="21641" spans="18:19">
      <c r="R21641" s="178"/>
      <c r="S21641" s="178"/>
    </row>
    <row r="21642" spans="18:19">
      <c r="R21642" s="178"/>
      <c r="S21642" s="178"/>
    </row>
    <row r="21643" spans="18:19">
      <c r="R21643" s="178"/>
      <c r="S21643" s="178"/>
    </row>
    <row r="21644" spans="18:19">
      <c r="R21644" s="178"/>
      <c r="S21644" s="178"/>
    </row>
    <row r="21645" spans="18:19">
      <c r="R21645" s="178"/>
      <c r="S21645" s="178"/>
    </row>
    <row r="21646" spans="18:19">
      <c r="R21646" s="178"/>
      <c r="S21646" s="178"/>
    </row>
    <row r="21647" spans="18:19">
      <c r="R21647" s="178"/>
      <c r="S21647" s="178"/>
    </row>
    <row r="21648" spans="18:19">
      <c r="R21648" s="178"/>
      <c r="S21648" s="178"/>
    </row>
    <row r="21649" spans="18:19">
      <c r="R21649" s="178"/>
      <c r="S21649" s="178"/>
    </row>
    <row r="21650" spans="18:19">
      <c r="R21650" s="178"/>
      <c r="S21650" s="178"/>
    </row>
    <row r="21651" spans="18:19">
      <c r="R21651" s="178"/>
      <c r="S21651" s="178"/>
    </row>
    <row r="21652" spans="18:19">
      <c r="R21652" s="178"/>
      <c r="S21652" s="178"/>
    </row>
    <row r="21653" spans="18:19">
      <c r="R21653" s="178"/>
      <c r="S21653" s="178"/>
    </row>
    <row r="21654" spans="18:19">
      <c r="R21654" s="178"/>
      <c r="S21654" s="178"/>
    </row>
    <row r="21655" spans="18:19">
      <c r="R21655" s="178"/>
      <c r="S21655" s="178"/>
    </row>
    <row r="21656" spans="18:19">
      <c r="R21656" s="178"/>
      <c r="S21656" s="178"/>
    </row>
    <row r="21657" spans="18:19">
      <c r="R21657" s="178"/>
      <c r="S21657" s="178"/>
    </row>
    <row r="21658" spans="18:19">
      <c r="R21658" s="178"/>
      <c r="S21658" s="178"/>
    </row>
    <row r="21659" spans="18:19">
      <c r="R21659" s="178"/>
      <c r="S21659" s="178"/>
    </row>
    <row r="21660" spans="18:19">
      <c r="R21660" s="178"/>
      <c r="S21660" s="178"/>
    </row>
    <row r="21661" spans="18:19">
      <c r="R21661" s="178"/>
      <c r="S21661" s="178"/>
    </row>
    <row r="21662" spans="18:19">
      <c r="R21662" s="178"/>
      <c r="S21662" s="178"/>
    </row>
    <row r="21663" spans="18:19">
      <c r="R21663" s="178"/>
      <c r="S21663" s="178"/>
    </row>
    <row r="21664" spans="18:19">
      <c r="R21664" s="178"/>
      <c r="S21664" s="178"/>
    </row>
    <row r="21665" spans="18:19">
      <c r="R21665" s="178"/>
      <c r="S21665" s="178"/>
    </row>
    <row r="21666" spans="18:19">
      <c r="R21666" s="178"/>
      <c r="S21666" s="178"/>
    </row>
    <row r="21667" spans="18:19">
      <c r="R21667" s="178"/>
      <c r="S21667" s="178"/>
    </row>
    <row r="21668" spans="18:19">
      <c r="R21668" s="178"/>
      <c r="S21668" s="178"/>
    </row>
    <row r="21669" spans="18:19">
      <c r="R21669" s="178"/>
      <c r="S21669" s="178"/>
    </row>
    <row r="21670" spans="18:19">
      <c r="R21670" s="178"/>
      <c r="S21670" s="178"/>
    </row>
    <row r="21671" spans="18:19">
      <c r="R21671" s="178"/>
      <c r="S21671" s="178"/>
    </row>
    <row r="21672" spans="18:19">
      <c r="R21672" s="178"/>
      <c r="S21672" s="178"/>
    </row>
    <row r="21673" spans="18:19">
      <c r="R21673" s="178"/>
      <c r="S21673" s="178"/>
    </row>
    <row r="21674" spans="18:19">
      <c r="R21674" s="178"/>
      <c r="S21674" s="178"/>
    </row>
    <row r="21675" spans="18:19">
      <c r="R21675" s="178"/>
      <c r="S21675" s="178"/>
    </row>
    <row r="21676" spans="18:19">
      <c r="R21676" s="178"/>
      <c r="S21676" s="178"/>
    </row>
    <row r="21677" spans="18:19">
      <c r="R21677" s="178"/>
      <c r="S21677" s="178"/>
    </row>
    <row r="21678" spans="18:19">
      <c r="R21678" s="178"/>
      <c r="S21678" s="178"/>
    </row>
    <row r="21679" spans="18:19">
      <c r="R21679" s="178"/>
      <c r="S21679" s="178"/>
    </row>
    <row r="21680" spans="18:19">
      <c r="R21680" s="178"/>
      <c r="S21680" s="178"/>
    </row>
    <row r="21681" spans="18:19">
      <c r="R21681" s="178"/>
      <c r="S21681" s="178"/>
    </row>
    <row r="21682" spans="18:19">
      <c r="R21682" s="178"/>
      <c r="S21682" s="178"/>
    </row>
    <row r="21683" spans="18:19">
      <c r="R21683" s="178"/>
      <c r="S21683" s="178"/>
    </row>
    <row r="21684" spans="18:19">
      <c r="R21684" s="178"/>
      <c r="S21684" s="178"/>
    </row>
    <row r="21685" spans="18:19">
      <c r="R21685" s="178"/>
      <c r="S21685" s="178"/>
    </row>
    <row r="21686" spans="18:19">
      <c r="R21686" s="178"/>
      <c r="S21686" s="178"/>
    </row>
    <row r="21687" spans="18:19">
      <c r="R21687" s="178"/>
      <c r="S21687" s="178"/>
    </row>
    <row r="21688" spans="18:19">
      <c r="R21688" s="178"/>
      <c r="S21688" s="178"/>
    </row>
    <row r="21689" spans="18:19">
      <c r="R21689" s="178"/>
      <c r="S21689" s="178"/>
    </row>
    <row r="21690" spans="18:19">
      <c r="R21690" s="178"/>
      <c r="S21690" s="178"/>
    </row>
    <row r="21691" spans="18:19">
      <c r="R21691" s="178"/>
      <c r="S21691" s="178"/>
    </row>
    <row r="21692" spans="18:19">
      <c r="R21692" s="178"/>
      <c r="S21692" s="178"/>
    </row>
    <row r="21693" spans="18:19">
      <c r="R21693" s="178"/>
      <c r="S21693" s="178"/>
    </row>
    <row r="21694" spans="18:19">
      <c r="R21694" s="178"/>
      <c r="S21694" s="178"/>
    </row>
    <row r="21695" spans="18:19">
      <c r="R21695" s="178"/>
      <c r="S21695" s="178"/>
    </row>
    <row r="21696" spans="18:19">
      <c r="R21696" s="178"/>
      <c r="S21696" s="178"/>
    </row>
    <row r="21697" spans="18:19">
      <c r="R21697" s="178"/>
      <c r="S21697" s="178"/>
    </row>
    <row r="21698" spans="18:19">
      <c r="R21698" s="178"/>
      <c r="S21698" s="178"/>
    </row>
    <row r="21699" spans="18:19">
      <c r="R21699" s="178"/>
      <c r="S21699" s="178"/>
    </row>
    <row r="21700" spans="18:19">
      <c r="R21700" s="178"/>
      <c r="S21700" s="178"/>
    </row>
    <row r="21701" spans="18:19">
      <c r="R21701" s="178"/>
      <c r="S21701" s="178"/>
    </row>
    <row r="21702" spans="18:19">
      <c r="R21702" s="178"/>
      <c r="S21702" s="178"/>
    </row>
    <row r="21703" spans="18:19">
      <c r="R21703" s="178"/>
      <c r="S21703" s="178"/>
    </row>
    <row r="21704" spans="18:19">
      <c r="R21704" s="178"/>
      <c r="S21704" s="178"/>
    </row>
    <row r="21705" spans="18:19">
      <c r="R21705" s="178"/>
      <c r="S21705" s="178"/>
    </row>
    <row r="21706" spans="18:19">
      <c r="R21706" s="178"/>
      <c r="S21706" s="178"/>
    </row>
    <row r="21707" spans="18:19">
      <c r="R21707" s="178"/>
      <c r="S21707" s="178"/>
    </row>
    <row r="21708" spans="18:19">
      <c r="R21708" s="178"/>
      <c r="S21708" s="178"/>
    </row>
    <row r="21709" spans="18:19">
      <c r="R21709" s="178"/>
      <c r="S21709" s="178"/>
    </row>
    <row r="21710" spans="18:19">
      <c r="R21710" s="178"/>
      <c r="S21710" s="178"/>
    </row>
    <row r="21711" spans="18:19">
      <c r="R21711" s="178"/>
      <c r="S21711" s="178"/>
    </row>
    <row r="21712" spans="18:19">
      <c r="R21712" s="178"/>
      <c r="S21712" s="178"/>
    </row>
    <row r="21713" spans="18:19">
      <c r="R21713" s="178"/>
      <c r="S21713" s="178"/>
    </row>
    <row r="21714" spans="18:19">
      <c r="R21714" s="178"/>
      <c r="S21714" s="178"/>
    </row>
    <row r="21715" spans="18:19">
      <c r="R21715" s="178"/>
      <c r="S21715" s="178"/>
    </row>
    <row r="21716" spans="18:19">
      <c r="R21716" s="178"/>
      <c r="S21716" s="178"/>
    </row>
    <row r="21717" spans="18:19">
      <c r="R21717" s="178"/>
      <c r="S21717" s="178"/>
    </row>
    <row r="21718" spans="18:19">
      <c r="R21718" s="178"/>
      <c r="S21718" s="178"/>
    </row>
    <row r="21719" spans="18:19">
      <c r="R21719" s="178"/>
      <c r="S21719" s="178"/>
    </row>
    <row r="21720" spans="18:19">
      <c r="R21720" s="178"/>
      <c r="S21720" s="178"/>
    </row>
    <row r="21721" spans="18:19">
      <c r="R21721" s="178"/>
      <c r="S21721" s="178"/>
    </row>
    <row r="21722" spans="18:19">
      <c r="R21722" s="178"/>
      <c r="S21722" s="178"/>
    </row>
    <row r="21723" spans="18:19">
      <c r="R21723" s="178"/>
      <c r="S21723" s="178"/>
    </row>
    <row r="21724" spans="18:19">
      <c r="R21724" s="178"/>
      <c r="S21724" s="178"/>
    </row>
    <row r="21725" spans="18:19">
      <c r="R21725" s="178"/>
      <c r="S21725" s="178"/>
    </row>
    <row r="21726" spans="18:19">
      <c r="R21726" s="178"/>
      <c r="S21726" s="178"/>
    </row>
    <row r="21727" spans="18:19">
      <c r="R21727" s="178"/>
      <c r="S21727" s="178"/>
    </row>
    <row r="21728" spans="18:19">
      <c r="R21728" s="178"/>
      <c r="S21728" s="178"/>
    </row>
    <row r="21729" spans="18:19">
      <c r="R21729" s="178"/>
      <c r="S21729" s="178"/>
    </row>
    <row r="21730" spans="18:19">
      <c r="R21730" s="178"/>
      <c r="S21730" s="178"/>
    </row>
    <row r="21731" spans="18:19">
      <c r="R21731" s="178"/>
      <c r="S21731" s="178"/>
    </row>
    <row r="21732" spans="18:19">
      <c r="R21732" s="178"/>
      <c r="S21732" s="178"/>
    </row>
    <row r="21733" spans="18:19">
      <c r="R21733" s="178"/>
      <c r="S21733" s="178"/>
    </row>
    <row r="21734" spans="18:19">
      <c r="R21734" s="178"/>
      <c r="S21734" s="178"/>
    </row>
    <row r="21735" spans="18:19">
      <c r="R21735" s="178"/>
      <c r="S21735" s="178"/>
    </row>
    <row r="21736" spans="18:19">
      <c r="R21736" s="178"/>
      <c r="S21736" s="178"/>
    </row>
    <row r="21737" spans="18:19">
      <c r="R21737" s="178"/>
      <c r="S21737" s="178"/>
    </row>
    <row r="21738" spans="18:19">
      <c r="R21738" s="178"/>
      <c r="S21738" s="178"/>
    </row>
    <row r="21739" spans="18:19">
      <c r="R21739" s="178"/>
      <c r="S21739" s="178"/>
    </row>
    <row r="21740" spans="18:19">
      <c r="R21740" s="178"/>
      <c r="S21740" s="178"/>
    </row>
    <row r="21741" spans="18:19">
      <c r="R21741" s="178"/>
      <c r="S21741" s="178"/>
    </row>
    <row r="21742" spans="18:19">
      <c r="R21742" s="178"/>
      <c r="S21742" s="178"/>
    </row>
    <row r="21743" spans="18:19">
      <c r="R21743" s="178"/>
      <c r="S21743" s="178"/>
    </row>
    <row r="21744" spans="18:19">
      <c r="R21744" s="178"/>
      <c r="S21744" s="178"/>
    </row>
    <row r="21745" spans="18:19">
      <c r="R21745" s="178"/>
      <c r="S21745" s="178"/>
    </row>
    <row r="21746" spans="18:19">
      <c r="R21746" s="178"/>
      <c r="S21746" s="178"/>
    </row>
    <row r="21747" spans="18:19">
      <c r="R21747" s="178"/>
      <c r="S21747" s="178"/>
    </row>
    <row r="21748" spans="18:19">
      <c r="R21748" s="178"/>
      <c r="S21748" s="178"/>
    </row>
    <row r="21749" spans="18:19">
      <c r="R21749" s="178"/>
      <c r="S21749" s="178"/>
    </row>
    <row r="21750" spans="18:19">
      <c r="R21750" s="178"/>
      <c r="S21750" s="178"/>
    </row>
    <row r="21751" spans="18:19">
      <c r="R21751" s="178"/>
      <c r="S21751" s="178"/>
    </row>
    <row r="21752" spans="18:19">
      <c r="R21752" s="178"/>
      <c r="S21752" s="178"/>
    </row>
    <row r="21753" spans="18:19">
      <c r="R21753" s="178"/>
      <c r="S21753" s="178"/>
    </row>
    <row r="21754" spans="18:19">
      <c r="R21754" s="178"/>
      <c r="S21754" s="178"/>
    </row>
    <row r="21755" spans="18:19">
      <c r="R21755" s="178"/>
      <c r="S21755" s="178"/>
    </row>
    <row r="21756" spans="18:19">
      <c r="R21756" s="178"/>
      <c r="S21756" s="178"/>
    </row>
    <row r="21757" spans="18:19">
      <c r="R21757" s="178"/>
      <c r="S21757" s="178"/>
    </row>
    <row r="21758" spans="18:19">
      <c r="R21758" s="178"/>
      <c r="S21758" s="178"/>
    </row>
    <row r="21759" spans="18:19">
      <c r="R21759" s="178"/>
      <c r="S21759" s="178"/>
    </row>
    <row r="21760" spans="18:19">
      <c r="R21760" s="178"/>
      <c r="S21760" s="178"/>
    </row>
    <row r="21761" spans="18:19">
      <c r="R21761" s="178"/>
      <c r="S21761" s="178"/>
    </row>
    <row r="21762" spans="18:19">
      <c r="R21762" s="178"/>
      <c r="S21762" s="178"/>
    </row>
    <row r="21763" spans="18:19">
      <c r="R21763" s="178"/>
      <c r="S21763" s="178"/>
    </row>
    <row r="21764" spans="18:19">
      <c r="R21764" s="178"/>
      <c r="S21764" s="178"/>
    </row>
    <row r="21765" spans="18:19">
      <c r="R21765" s="178"/>
      <c r="S21765" s="178"/>
    </row>
    <row r="21766" spans="18:19">
      <c r="R21766" s="178"/>
      <c r="S21766" s="178"/>
    </row>
    <row r="21767" spans="18:19">
      <c r="R21767" s="178"/>
      <c r="S21767" s="178"/>
    </row>
    <row r="21768" spans="18:19">
      <c r="R21768" s="178"/>
      <c r="S21768" s="178"/>
    </row>
    <row r="21769" spans="18:19">
      <c r="R21769" s="178"/>
      <c r="S21769" s="178"/>
    </row>
    <row r="21770" spans="18:19">
      <c r="R21770" s="178"/>
      <c r="S21770" s="178"/>
    </row>
    <row r="21771" spans="18:19">
      <c r="R21771" s="178"/>
      <c r="S21771" s="178"/>
    </row>
    <row r="21772" spans="18:19">
      <c r="R21772" s="178"/>
      <c r="S21772" s="178"/>
    </row>
    <row r="21773" spans="18:19">
      <c r="R21773" s="178"/>
      <c r="S21773" s="178"/>
    </row>
    <row r="21774" spans="18:19">
      <c r="R21774" s="178"/>
      <c r="S21774" s="178"/>
    </row>
    <row r="21775" spans="18:19">
      <c r="R21775" s="178"/>
      <c r="S21775" s="178"/>
    </row>
    <row r="21776" spans="18:19">
      <c r="R21776" s="178"/>
      <c r="S21776" s="178"/>
    </row>
    <row r="21777" spans="18:19">
      <c r="R21777" s="178"/>
      <c r="S21777" s="178"/>
    </row>
    <row r="21778" spans="18:19">
      <c r="R21778" s="178"/>
      <c r="S21778" s="178"/>
    </row>
    <row r="21779" spans="18:19">
      <c r="R21779" s="178"/>
      <c r="S21779" s="178"/>
    </row>
    <row r="21780" spans="18:19">
      <c r="R21780" s="178"/>
      <c r="S21780" s="178"/>
    </row>
    <row r="21781" spans="18:19">
      <c r="R21781" s="178"/>
      <c r="S21781" s="178"/>
    </row>
    <row r="21782" spans="18:19">
      <c r="R21782" s="178"/>
      <c r="S21782" s="178"/>
    </row>
    <row r="21783" spans="18:19">
      <c r="R21783" s="178"/>
      <c r="S21783" s="178"/>
    </row>
    <row r="21784" spans="18:19">
      <c r="R21784" s="178"/>
      <c r="S21784" s="178"/>
    </row>
    <row r="21785" spans="18:19">
      <c r="R21785" s="178"/>
      <c r="S21785" s="178"/>
    </row>
    <row r="21786" spans="18:19">
      <c r="R21786" s="178"/>
      <c r="S21786" s="178"/>
    </row>
    <row r="21787" spans="18:19">
      <c r="R21787" s="178"/>
      <c r="S21787" s="178"/>
    </row>
    <row r="21788" spans="18:19">
      <c r="R21788" s="178"/>
      <c r="S21788" s="178"/>
    </row>
    <row r="21789" spans="18:19">
      <c r="R21789" s="178"/>
      <c r="S21789" s="178"/>
    </row>
    <row r="21790" spans="18:19">
      <c r="R21790" s="178"/>
      <c r="S21790" s="178"/>
    </row>
    <row r="21791" spans="18:19">
      <c r="R21791" s="178"/>
      <c r="S21791" s="178"/>
    </row>
    <row r="21792" spans="18:19">
      <c r="R21792" s="178"/>
      <c r="S21792" s="178"/>
    </row>
    <row r="21793" spans="18:19">
      <c r="R21793" s="178"/>
      <c r="S21793" s="178"/>
    </row>
    <row r="21794" spans="18:19">
      <c r="R21794" s="178"/>
      <c r="S21794" s="178"/>
    </row>
    <row r="21795" spans="18:19">
      <c r="R21795" s="178"/>
      <c r="S21795" s="178"/>
    </row>
    <row r="21796" spans="18:19">
      <c r="R21796" s="178"/>
      <c r="S21796" s="178"/>
    </row>
    <row r="21797" spans="18:19">
      <c r="R21797" s="178"/>
      <c r="S21797" s="178"/>
    </row>
    <row r="21798" spans="18:19">
      <c r="R21798" s="178"/>
      <c r="S21798" s="178"/>
    </row>
    <row r="21799" spans="18:19">
      <c r="R21799" s="178"/>
      <c r="S21799" s="178"/>
    </row>
    <row r="21800" spans="18:19">
      <c r="R21800" s="178"/>
      <c r="S21800" s="178"/>
    </row>
    <row r="21801" spans="18:19">
      <c r="R21801" s="178"/>
      <c r="S21801" s="178"/>
    </row>
    <row r="21802" spans="18:19">
      <c r="R21802" s="178"/>
      <c r="S21802" s="178"/>
    </row>
    <row r="21803" spans="18:19">
      <c r="R21803" s="178"/>
      <c r="S21803" s="178"/>
    </row>
    <row r="21804" spans="18:19">
      <c r="R21804" s="178"/>
      <c r="S21804" s="178"/>
    </row>
    <row r="21805" spans="18:19">
      <c r="R21805" s="178"/>
      <c r="S21805" s="178"/>
    </row>
    <row r="21806" spans="18:19">
      <c r="R21806" s="178"/>
      <c r="S21806" s="178"/>
    </row>
    <row r="21807" spans="18:19">
      <c r="R21807" s="178"/>
      <c r="S21807" s="178"/>
    </row>
    <row r="21808" spans="18:19">
      <c r="R21808" s="178"/>
      <c r="S21808" s="178"/>
    </row>
    <row r="21809" spans="18:19">
      <c r="R21809" s="178"/>
      <c r="S21809" s="178"/>
    </row>
    <row r="21810" spans="18:19">
      <c r="R21810" s="178"/>
      <c r="S21810" s="178"/>
    </row>
    <row r="21811" spans="18:19">
      <c r="R21811" s="178"/>
      <c r="S21811" s="178"/>
    </row>
    <row r="21812" spans="18:19">
      <c r="R21812" s="178"/>
      <c r="S21812" s="178"/>
    </row>
    <row r="21813" spans="18:19">
      <c r="R21813" s="178"/>
      <c r="S21813" s="178"/>
    </row>
    <row r="21814" spans="18:19">
      <c r="R21814" s="178"/>
      <c r="S21814" s="178"/>
    </row>
    <row r="21815" spans="18:19">
      <c r="R21815" s="178"/>
      <c r="S21815" s="178"/>
    </row>
    <row r="21816" spans="18:19">
      <c r="R21816" s="178"/>
      <c r="S21816" s="178"/>
    </row>
    <row r="21817" spans="18:19">
      <c r="R21817" s="178"/>
      <c r="S21817" s="178"/>
    </row>
    <row r="21818" spans="18:19">
      <c r="R21818" s="178"/>
      <c r="S21818" s="178"/>
    </row>
    <row r="21819" spans="18:19">
      <c r="R21819" s="178"/>
      <c r="S21819" s="178"/>
    </row>
    <row r="21820" spans="18:19">
      <c r="R21820" s="178"/>
      <c r="S21820" s="178"/>
    </row>
    <row r="21821" spans="18:19">
      <c r="R21821" s="178"/>
      <c r="S21821" s="178"/>
    </row>
    <row r="21822" spans="18:19">
      <c r="R21822" s="178"/>
      <c r="S21822" s="178"/>
    </row>
    <row r="21823" spans="18:19">
      <c r="R21823" s="178"/>
      <c r="S21823" s="178"/>
    </row>
    <row r="21824" spans="18:19">
      <c r="R21824" s="178"/>
      <c r="S21824" s="178"/>
    </row>
    <row r="21825" spans="18:19">
      <c r="R21825" s="178"/>
      <c r="S21825" s="178"/>
    </row>
    <row r="21826" spans="18:19">
      <c r="R21826" s="178"/>
      <c r="S21826" s="178"/>
    </row>
    <row r="21827" spans="18:19">
      <c r="R21827" s="178"/>
      <c r="S21827" s="178"/>
    </row>
    <row r="21828" spans="18:19">
      <c r="R21828" s="178"/>
      <c r="S21828" s="178"/>
    </row>
    <row r="21829" spans="18:19">
      <c r="R21829" s="178"/>
      <c r="S21829" s="178"/>
    </row>
    <row r="21830" spans="18:19">
      <c r="R21830" s="178"/>
      <c r="S21830" s="178"/>
    </row>
    <row r="21831" spans="18:19">
      <c r="R21831" s="178"/>
      <c r="S21831" s="178"/>
    </row>
    <row r="21832" spans="18:19">
      <c r="R21832" s="178"/>
      <c r="S21832" s="178"/>
    </row>
    <row r="21833" spans="18:19">
      <c r="R21833" s="178"/>
      <c r="S21833" s="178"/>
    </row>
    <row r="21834" spans="18:19">
      <c r="R21834" s="178"/>
      <c r="S21834" s="178"/>
    </row>
    <row r="21835" spans="18:19">
      <c r="R21835" s="178"/>
      <c r="S21835" s="178"/>
    </row>
    <row r="21836" spans="18:19">
      <c r="R21836" s="178"/>
      <c r="S21836" s="178"/>
    </row>
    <row r="21837" spans="18:19">
      <c r="R21837" s="178"/>
      <c r="S21837" s="178"/>
    </row>
    <row r="21838" spans="18:19">
      <c r="R21838" s="178"/>
      <c r="S21838" s="178"/>
    </row>
    <row r="21839" spans="18:19">
      <c r="R21839" s="178"/>
      <c r="S21839" s="178"/>
    </row>
    <row r="21840" spans="18:19">
      <c r="R21840" s="178"/>
      <c r="S21840" s="178"/>
    </row>
    <row r="21841" spans="18:19">
      <c r="R21841" s="178"/>
      <c r="S21841" s="178"/>
    </row>
    <row r="21842" spans="18:19">
      <c r="R21842" s="178"/>
      <c r="S21842" s="178"/>
    </row>
    <row r="21843" spans="18:19">
      <c r="R21843" s="178"/>
      <c r="S21843" s="178"/>
    </row>
    <row r="21844" spans="18:19">
      <c r="R21844" s="178"/>
      <c r="S21844" s="178"/>
    </row>
    <row r="21845" spans="18:19">
      <c r="R21845" s="178"/>
      <c r="S21845" s="178"/>
    </row>
    <row r="21846" spans="18:19">
      <c r="R21846" s="178"/>
      <c r="S21846" s="178"/>
    </row>
    <row r="21847" spans="18:19">
      <c r="R21847" s="178"/>
      <c r="S21847" s="178"/>
    </row>
    <row r="21848" spans="18:19">
      <c r="R21848" s="178"/>
      <c r="S21848" s="178"/>
    </row>
    <row r="21849" spans="18:19">
      <c r="R21849" s="178"/>
      <c r="S21849" s="178"/>
    </row>
    <row r="21850" spans="18:19">
      <c r="R21850" s="178"/>
      <c r="S21850" s="178"/>
    </row>
    <row r="21851" spans="18:19">
      <c r="R21851" s="178"/>
      <c r="S21851" s="178"/>
    </row>
    <row r="21852" spans="18:19">
      <c r="R21852" s="178"/>
      <c r="S21852" s="178"/>
    </row>
    <row r="21853" spans="18:19">
      <c r="R21853" s="178"/>
      <c r="S21853" s="178"/>
    </row>
    <row r="21854" spans="18:19">
      <c r="R21854" s="178"/>
      <c r="S21854" s="178"/>
    </row>
    <row r="21855" spans="18:19">
      <c r="R21855" s="178"/>
      <c r="S21855" s="178"/>
    </row>
    <row r="21856" spans="18:19">
      <c r="R21856" s="178"/>
      <c r="S21856" s="178"/>
    </row>
    <row r="21857" spans="18:19">
      <c r="R21857" s="178"/>
      <c r="S21857" s="178"/>
    </row>
    <row r="21858" spans="18:19">
      <c r="R21858" s="178"/>
      <c r="S21858" s="178"/>
    </row>
    <row r="21859" spans="18:19">
      <c r="R21859" s="178"/>
      <c r="S21859" s="178"/>
    </row>
    <row r="21860" spans="18:19">
      <c r="R21860" s="178"/>
      <c r="S21860" s="178"/>
    </row>
    <row r="21861" spans="18:19">
      <c r="R21861" s="178"/>
      <c r="S21861" s="178"/>
    </row>
    <row r="21862" spans="18:19">
      <c r="R21862" s="178"/>
      <c r="S21862" s="178"/>
    </row>
    <row r="21863" spans="18:19">
      <c r="R21863" s="178"/>
      <c r="S21863" s="178"/>
    </row>
    <row r="21864" spans="18:19">
      <c r="R21864" s="178"/>
      <c r="S21864" s="178"/>
    </row>
    <row r="21865" spans="18:19">
      <c r="R21865" s="178"/>
      <c r="S21865" s="178"/>
    </row>
    <row r="21866" spans="18:19">
      <c r="R21866" s="178"/>
      <c r="S21866" s="178"/>
    </row>
    <row r="21867" spans="18:19">
      <c r="R21867" s="178"/>
      <c r="S21867" s="178"/>
    </row>
    <row r="21868" spans="18:19">
      <c r="R21868" s="178"/>
      <c r="S21868" s="178"/>
    </row>
    <row r="21869" spans="18:19">
      <c r="R21869" s="178"/>
      <c r="S21869" s="178"/>
    </row>
    <row r="21870" spans="18:19">
      <c r="R21870" s="178"/>
      <c r="S21870" s="178"/>
    </row>
    <row r="21871" spans="18:19">
      <c r="R21871" s="178"/>
      <c r="S21871" s="178"/>
    </row>
    <row r="21872" spans="18:19">
      <c r="R21872" s="178"/>
      <c r="S21872" s="178"/>
    </row>
    <row r="21873" spans="18:19">
      <c r="R21873" s="178"/>
      <c r="S21873" s="178"/>
    </row>
    <row r="21874" spans="18:19">
      <c r="R21874" s="178"/>
      <c r="S21874" s="178"/>
    </row>
    <row r="21875" spans="18:19">
      <c r="R21875" s="178"/>
      <c r="S21875" s="178"/>
    </row>
    <row r="21876" spans="18:19">
      <c r="R21876" s="178"/>
      <c r="S21876" s="178"/>
    </row>
    <row r="21877" spans="18:19">
      <c r="R21877" s="178"/>
      <c r="S21877" s="178"/>
    </row>
    <row r="21878" spans="18:19">
      <c r="R21878" s="178"/>
      <c r="S21878" s="178"/>
    </row>
    <row r="21879" spans="18:19">
      <c r="R21879" s="178"/>
      <c r="S21879" s="178"/>
    </row>
    <row r="21880" spans="18:19">
      <c r="R21880" s="178"/>
      <c r="S21880" s="178"/>
    </row>
    <row r="21881" spans="18:19">
      <c r="R21881" s="178"/>
      <c r="S21881" s="178"/>
    </row>
    <row r="21882" spans="18:19">
      <c r="R21882" s="178"/>
      <c r="S21882" s="178"/>
    </row>
    <row r="21883" spans="18:19">
      <c r="R21883" s="178"/>
      <c r="S21883" s="178"/>
    </row>
    <row r="21884" spans="18:19">
      <c r="R21884" s="178"/>
      <c r="S21884" s="178"/>
    </row>
    <row r="21885" spans="18:19">
      <c r="R21885" s="178"/>
      <c r="S21885" s="178"/>
    </row>
    <row r="21886" spans="18:19">
      <c r="R21886" s="178"/>
      <c r="S21886" s="178"/>
    </row>
    <row r="21887" spans="18:19">
      <c r="R21887" s="178"/>
      <c r="S21887" s="178"/>
    </row>
    <row r="21888" spans="18:19">
      <c r="R21888" s="178"/>
      <c r="S21888" s="178"/>
    </row>
    <row r="21889" spans="18:19">
      <c r="R21889" s="178"/>
      <c r="S21889" s="178"/>
    </row>
    <row r="21890" spans="18:19">
      <c r="R21890" s="178"/>
      <c r="S21890" s="178"/>
    </row>
    <row r="21891" spans="18:19">
      <c r="R21891" s="178"/>
      <c r="S21891" s="178"/>
    </row>
    <row r="21892" spans="18:19">
      <c r="R21892" s="178"/>
      <c r="S21892" s="178"/>
    </row>
    <row r="21893" spans="18:19">
      <c r="R21893" s="178"/>
      <c r="S21893" s="178"/>
    </row>
    <row r="21894" spans="18:19">
      <c r="R21894" s="178"/>
      <c r="S21894" s="178"/>
    </row>
    <row r="21895" spans="18:19">
      <c r="R21895" s="178"/>
      <c r="S21895" s="178"/>
    </row>
    <row r="21896" spans="18:19">
      <c r="R21896" s="178"/>
      <c r="S21896" s="178"/>
    </row>
    <row r="21897" spans="18:19">
      <c r="R21897" s="178"/>
      <c r="S21897" s="178"/>
    </row>
    <row r="21898" spans="18:19">
      <c r="R21898" s="178"/>
      <c r="S21898" s="178"/>
    </row>
    <row r="21899" spans="18:19">
      <c r="R21899" s="178"/>
      <c r="S21899" s="178"/>
    </row>
    <row r="21900" spans="18:19">
      <c r="R21900" s="178"/>
      <c r="S21900" s="178"/>
    </row>
    <row r="21901" spans="18:19">
      <c r="R21901" s="178"/>
      <c r="S21901" s="178"/>
    </row>
    <row r="21902" spans="18:19">
      <c r="R21902" s="178"/>
      <c r="S21902" s="178"/>
    </row>
    <row r="21903" spans="18:19">
      <c r="R21903" s="178"/>
      <c r="S21903" s="178"/>
    </row>
    <row r="21904" spans="18:19">
      <c r="R21904" s="178"/>
      <c r="S21904" s="178"/>
    </row>
    <row r="21905" spans="18:19">
      <c r="R21905" s="178"/>
      <c r="S21905" s="178"/>
    </row>
    <row r="21906" spans="18:19">
      <c r="R21906" s="178"/>
      <c r="S21906" s="178"/>
    </row>
    <row r="21907" spans="18:19">
      <c r="R21907" s="178"/>
      <c r="S21907" s="178"/>
    </row>
    <row r="21908" spans="18:19">
      <c r="R21908" s="178"/>
      <c r="S21908" s="178"/>
    </row>
    <row r="21909" spans="18:19">
      <c r="R21909" s="178"/>
      <c r="S21909" s="178"/>
    </row>
    <row r="21910" spans="18:19">
      <c r="R21910" s="178"/>
      <c r="S21910" s="178"/>
    </row>
    <row r="21911" spans="18:19">
      <c r="R21911" s="178"/>
      <c r="S21911" s="178"/>
    </row>
    <row r="21912" spans="18:19">
      <c r="R21912" s="178"/>
      <c r="S21912" s="178"/>
    </row>
    <row r="21913" spans="18:19">
      <c r="R21913" s="178"/>
      <c r="S21913" s="178"/>
    </row>
    <row r="21914" spans="18:19">
      <c r="R21914" s="178"/>
      <c r="S21914" s="178"/>
    </row>
    <row r="21915" spans="18:19">
      <c r="R21915" s="178"/>
      <c r="S21915" s="178"/>
    </row>
    <row r="21916" spans="18:19">
      <c r="R21916" s="178"/>
      <c r="S21916" s="178"/>
    </row>
    <row r="21917" spans="18:19">
      <c r="R21917" s="178"/>
      <c r="S21917" s="178"/>
    </row>
    <row r="21918" spans="18:19">
      <c r="R21918" s="178"/>
      <c r="S21918" s="178"/>
    </row>
    <row r="21919" spans="18:19">
      <c r="R21919" s="178"/>
      <c r="S21919" s="178"/>
    </row>
    <row r="21920" spans="18:19">
      <c r="R21920" s="178"/>
      <c r="S21920" s="178"/>
    </row>
    <row r="21921" spans="18:19">
      <c r="R21921" s="178"/>
      <c r="S21921" s="178"/>
    </row>
    <row r="21922" spans="18:19">
      <c r="R21922" s="178"/>
      <c r="S21922" s="178"/>
    </row>
    <row r="21923" spans="18:19">
      <c r="R21923" s="178"/>
      <c r="S21923" s="178"/>
    </row>
    <row r="21924" spans="18:19">
      <c r="R21924" s="178"/>
      <c r="S21924" s="178"/>
    </row>
    <row r="21925" spans="18:19">
      <c r="R21925" s="178"/>
      <c r="S21925" s="178"/>
    </row>
    <row r="21926" spans="18:19">
      <c r="R21926" s="178"/>
      <c r="S21926" s="178"/>
    </row>
    <row r="21927" spans="18:19">
      <c r="R21927" s="178"/>
      <c r="S21927" s="178"/>
    </row>
    <row r="21928" spans="18:19">
      <c r="R21928" s="178"/>
      <c r="S21928" s="178"/>
    </row>
    <row r="21929" spans="18:19">
      <c r="R21929" s="178"/>
      <c r="S21929" s="178"/>
    </row>
    <row r="21930" spans="18:19">
      <c r="R21930" s="178"/>
      <c r="S21930" s="178"/>
    </row>
    <row r="21931" spans="18:19">
      <c r="R21931" s="178"/>
      <c r="S21931" s="178"/>
    </row>
    <row r="21932" spans="18:19">
      <c r="R21932" s="178"/>
      <c r="S21932" s="178"/>
    </row>
    <row r="21933" spans="18:19">
      <c r="R21933" s="178"/>
      <c r="S21933" s="178"/>
    </row>
    <row r="21934" spans="18:19">
      <c r="R21934" s="178"/>
      <c r="S21934" s="178"/>
    </row>
    <row r="21935" spans="18:19">
      <c r="R21935" s="178"/>
      <c r="S21935" s="178"/>
    </row>
    <row r="21936" spans="18:19">
      <c r="R21936" s="178"/>
      <c r="S21936" s="178"/>
    </row>
    <row r="21937" spans="18:19">
      <c r="R21937" s="178"/>
      <c r="S21937" s="178"/>
    </row>
    <row r="21938" spans="18:19">
      <c r="R21938" s="178"/>
      <c r="S21938" s="178"/>
    </row>
    <row r="21939" spans="18:19">
      <c r="R21939" s="178"/>
      <c r="S21939" s="178"/>
    </row>
    <row r="21940" spans="18:19">
      <c r="R21940" s="178"/>
      <c r="S21940" s="178"/>
    </row>
    <row r="21941" spans="18:19">
      <c r="R21941" s="178"/>
      <c r="S21941" s="178"/>
    </row>
    <row r="21942" spans="18:19">
      <c r="R21942" s="178"/>
      <c r="S21942" s="178"/>
    </row>
    <row r="21943" spans="18:19">
      <c r="R21943" s="178"/>
      <c r="S21943" s="178"/>
    </row>
    <row r="21944" spans="18:19">
      <c r="R21944" s="178"/>
      <c r="S21944" s="178"/>
    </row>
    <row r="21945" spans="18:19">
      <c r="R21945" s="178"/>
      <c r="S21945" s="178"/>
    </row>
    <row r="21946" spans="18:19">
      <c r="R21946" s="178"/>
      <c r="S21946" s="178"/>
    </row>
    <row r="21947" spans="18:19">
      <c r="R21947" s="178"/>
      <c r="S21947" s="178"/>
    </row>
    <row r="21948" spans="18:19">
      <c r="R21948" s="178"/>
      <c r="S21948" s="178"/>
    </row>
    <row r="21949" spans="18:19">
      <c r="R21949" s="178"/>
      <c r="S21949" s="178"/>
    </row>
    <row r="21950" spans="18:19">
      <c r="R21950" s="178"/>
      <c r="S21950" s="178"/>
    </row>
    <row r="21951" spans="18:19">
      <c r="R21951" s="178"/>
      <c r="S21951" s="178"/>
    </row>
    <row r="21952" spans="18:19">
      <c r="R21952" s="178"/>
      <c r="S21952" s="178"/>
    </row>
    <row r="21953" spans="18:19">
      <c r="R21953" s="178"/>
      <c r="S21953" s="178"/>
    </row>
    <row r="21954" spans="18:19">
      <c r="R21954" s="178"/>
      <c r="S21954" s="178"/>
    </row>
    <row r="21955" spans="18:19">
      <c r="R21955" s="178"/>
      <c r="S21955" s="178"/>
    </row>
    <row r="21956" spans="18:19">
      <c r="R21956" s="178"/>
      <c r="S21956" s="178"/>
    </row>
    <row r="21957" spans="18:19">
      <c r="R21957" s="178"/>
      <c r="S21957" s="178"/>
    </row>
    <row r="21958" spans="18:19">
      <c r="R21958" s="178"/>
      <c r="S21958" s="178"/>
    </row>
    <row r="21959" spans="18:19">
      <c r="R21959" s="178"/>
      <c r="S21959" s="178"/>
    </row>
    <row r="21960" spans="18:19">
      <c r="R21960" s="178"/>
      <c r="S21960" s="178"/>
    </row>
    <row r="21961" spans="18:19">
      <c r="R21961" s="178"/>
      <c r="S21961" s="178"/>
    </row>
    <row r="21962" spans="18:19">
      <c r="R21962" s="178"/>
      <c r="S21962" s="178"/>
    </row>
    <row r="21963" spans="18:19">
      <c r="R21963" s="178"/>
      <c r="S21963" s="178"/>
    </row>
    <row r="21964" spans="18:19">
      <c r="R21964" s="178"/>
      <c r="S21964" s="178"/>
    </row>
    <row r="21965" spans="18:19">
      <c r="R21965" s="178"/>
      <c r="S21965" s="178"/>
    </row>
    <row r="21966" spans="18:19">
      <c r="R21966" s="178"/>
      <c r="S21966" s="178"/>
    </row>
    <row r="21967" spans="18:19">
      <c r="R21967" s="178"/>
      <c r="S21967" s="178"/>
    </row>
    <row r="21968" spans="18:19">
      <c r="R21968" s="178"/>
      <c r="S21968" s="178"/>
    </row>
    <row r="21969" spans="18:19">
      <c r="R21969" s="178"/>
      <c r="S21969" s="178"/>
    </row>
    <row r="21970" spans="18:19">
      <c r="R21970" s="178"/>
      <c r="S21970" s="178"/>
    </row>
    <row r="21971" spans="18:19">
      <c r="R21971" s="178"/>
      <c r="S21971" s="178"/>
    </row>
    <row r="21972" spans="18:19">
      <c r="R21972" s="178"/>
      <c r="S21972" s="178"/>
    </row>
    <row r="21973" spans="18:19">
      <c r="R21973" s="178"/>
      <c r="S21973" s="178"/>
    </row>
    <row r="21974" spans="18:19">
      <c r="R21974" s="178"/>
      <c r="S21974" s="178"/>
    </row>
    <row r="21975" spans="18:19">
      <c r="R21975" s="178"/>
      <c r="S21975" s="178"/>
    </row>
    <row r="21976" spans="18:19">
      <c r="R21976" s="178"/>
      <c r="S21976" s="178"/>
    </row>
    <row r="21977" spans="18:19">
      <c r="R21977" s="178"/>
      <c r="S21977" s="178"/>
    </row>
    <row r="21978" spans="18:19">
      <c r="R21978" s="178"/>
      <c r="S21978" s="178"/>
    </row>
    <row r="21979" spans="18:19">
      <c r="R21979" s="178"/>
      <c r="S21979" s="178"/>
    </row>
    <row r="21980" spans="18:19">
      <c r="R21980" s="178"/>
      <c r="S21980" s="178"/>
    </row>
    <row r="21981" spans="18:19">
      <c r="R21981" s="178"/>
      <c r="S21981" s="178"/>
    </row>
    <row r="21982" spans="18:19">
      <c r="R21982" s="178"/>
      <c r="S21982" s="178"/>
    </row>
    <row r="21983" spans="18:19">
      <c r="R21983" s="178"/>
      <c r="S21983" s="178"/>
    </row>
    <row r="21984" spans="18:19">
      <c r="R21984" s="178"/>
      <c r="S21984" s="178"/>
    </row>
    <row r="21985" spans="18:19">
      <c r="R21985" s="178"/>
      <c r="S21985" s="178"/>
    </row>
    <row r="21986" spans="18:19">
      <c r="R21986" s="178"/>
      <c r="S21986" s="178"/>
    </row>
    <row r="21987" spans="18:19">
      <c r="R21987" s="178"/>
      <c r="S21987" s="178"/>
    </row>
    <row r="21988" spans="18:19">
      <c r="R21988" s="178"/>
      <c r="S21988" s="178"/>
    </row>
    <row r="21989" spans="18:19">
      <c r="R21989" s="178"/>
      <c r="S21989" s="178"/>
    </row>
    <row r="21990" spans="18:19">
      <c r="R21990" s="178"/>
      <c r="S21990" s="178"/>
    </row>
    <row r="21991" spans="18:19">
      <c r="R21991" s="178"/>
      <c r="S21991" s="178"/>
    </row>
    <row r="21992" spans="18:19">
      <c r="R21992" s="178"/>
      <c r="S21992" s="178"/>
    </row>
    <row r="21993" spans="18:19">
      <c r="R21993" s="178"/>
      <c r="S21993" s="178"/>
    </row>
    <row r="21994" spans="18:19">
      <c r="R21994" s="178"/>
      <c r="S21994" s="178"/>
    </row>
    <row r="21995" spans="18:19">
      <c r="R21995" s="178"/>
      <c r="S21995" s="178"/>
    </row>
    <row r="21996" spans="18:19">
      <c r="R21996" s="178"/>
      <c r="S21996" s="178"/>
    </row>
    <row r="21997" spans="18:19">
      <c r="R21997" s="178"/>
      <c r="S21997" s="178"/>
    </row>
    <row r="21998" spans="18:19">
      <c r="R21998" s="178"/>
      <c r="S21998" s="178"/>
    </row>
    <row r="21999" spans="18:19">
      <c r="R21999" s="178"/>
      <c r="S21999" s="178"/>
    </row>
    <row r="22000" spans="18:19">
      <c r="R22000" s="178"/>
      <c r="S22000" s="178"/>
    </row>
    <row r="22001" spans="18:19">
      <c r="R22001" s="178"/>
      <c r="S22001" s="178"/>
    </row>
    <row r="22002" spans="18:19">
      <c r="R22002" s="178"/>
      <c r="S22002" s="178"/>
    </row>
    <row r="22003" spans="18:19">
      <c r="R22003" s="178"/>
      <c r="S22003" s="178"/>
    </row>
    <row r="22004" spans="18:19">
      <c r="R22004" s="178"/>
      <c r="S22004" s="178"/>
    </row>
    <row r="22005" spans="18:19">
      <c r="R22005" s="178"/>
      <c r="S22005" s="178"/>
    </row>
    <row r="22006" spans="18:19">
      <c r="R22006" s="178"/>
      <c r="S22006" s="178"/>
    </row>
    <row r="22007" spans="18:19">
      <c r="R22007" s="178"/>
      <c r="S22007" s="178"/>
    </row>
    <row r="22008" spans="18:19">
      <c r="R22008" s="178"/>
      <c r="S22008" s="178"/>
    </row>
    <row r="22009" spans="18:19">
      <c r="R22009" s="178"/>
      <c r="S22009" s="178"/>
    </row>
    <row r="22010" spans="18:19">
      <c r="R22010" s="178"/>
      <c r="S22010" s="178"/>
    </row>
    <row r="22011" spans="18:19">
      <c r="R22011" s="178"/>
      <c r="S22011" s="178"/>
    </row>
    <row r="22012" spans="18:19">
      <c r="R22012" s="178"/>
      <c r="S22012" s="178"/>
    </row>
    <row r="22013" spans="18:19">
      <c r="R22013" s="178"/>
      <c r="S22013" s="178"/>
    </row>
    <row r="22014" spans="18:19">
      <c r="R22014" s="178"/>
      <c r="S22014" s="178"/>
    </row>
    <row r="22015" spans="18:19">
      <c r="R22015" s="178"/>
      <c r="S22015" s="178"/>
    </row>
    <row r="22016" spans="18:19">
      <c r="R22016" s="178"/>
      <c r="S22016" s="178"/>
    </row>
    <row r="22017" spans="18:19">
      <c r="R22017" s="178"/>
      <c r="S22017" s="178"/>
    </row>
    <row r="22018" spans="18:19">
      <c r="R22018" s="178"/>
      <c r="S22018" s="178"/>
    </row>
    <row r="22019" spans="18:19">
      <c r="R22019" s="178"/>
      <c r="S22019" s="178"/>
    </row>
    <row r="22020" spans="18:19">
      <c r="R22020" s="178"/>
      <c r="S22020" s="178"/>
    </row>
    <row r="22021" spans="18:19">
      <c r="R22021" s="178"/>
      <c r="S22021" s="178"/>
    </row>
    <row r="22022" spans="18:19">
      <c r="R22022" s="178"/>
      <c r="S22022" s="178"/>
    </row>
    <row r="22023" spans="18:19">
      <c r="R22023" s="178"/>
      <c r="S22023" s="178"/>
    </row>
    <row r="22024" spans="18:19">
      <c r="R22024" s="178"/>
      <c r="S22024" s="178"/>
    </row>
    <row r="22025" spans="18:19">
      <c r="R22025" s="178"/>
      <c r="S22025" s="178"/>
    </row>
    <row r="22026" spans="18:19">
      <c r="R22026" s="178"/>
      <c r="S22026" s="178"/>
    </row>
    <row r="22027" spans="18:19">
      <c r="R22027" s="178"/>
      <c r="S22027" s="178"/>
    </row>
    <row r="22028" spans="18:19">
      <c r="R22028" s="178"/>
      <c r="S22028" s="178"/>
    </row>
    <row r="22029" spans="18:19">
      <c r="R22029" s="178"/>
      <c r="S22029" s="178"/>
    </row>
    <row r="22030" spans="18:19">
      <c r="R22030" s="178"/>
      <c r="S22030" s="178"/>
    </row>
    <row r="22031" spans="18:19">
      <c r="R22031" s="178"/>
      <c r="S22031" s="178"/>
    </row>
    <row r="22032" spans="18:19">
      <c r="R22032" s="178"/>
      <c r="S22032" s="178"/>
    </row>
    <row r="22033" spans="18:19">
      <c r="R22033" s="178"/>
      <c r="S22033" s="178"/>
    </row>
    <row r="22034" spans="18:19">
      <c r="R22034" s="178"/>
      <c r="S22034" s="178"/>
    </row>
    <row r="22035" spans="18:19">
      <c r="R22035" s="178"/>
      <c r="S22035" s="178"/>
    </row>
    <row r="22036" spans="18:19">
      <c r="R22036" s="178"/>
      <c r="S22036" s="178"/>
    </row>
    <row r="22037" spans="18:19">
      <c r="R22037" s="178"/>
      <c r="S22037" s="178"/>
    </row>
    <row r="22038" spans="18:19">
      <c r="R22038" s="178"/>
      <c r="S22038" s="178"/>
    </row>
    <row r="22039" spans="18:19">
      <c r="R22039" s="178"/>
      <c r="S22039" s="178"/>
    </row>
    <row r="22040" spans="18:19">
      <c r="R22040" s="178"/>
      <c r="S22040" s="178"/>
    </row>
    <row r="22041" spans="18:19">
      <c r="R22041" s="178"/>
      <c r="S22041" s="178"/>
    </row>
    <row r="22042" spans="18:19">
      <c r="R22042" s="178"/>
      <c r="S22042" s="178"/>
    </row>
    <row r="22043" spans="18:19">
      <c r="R22043" s="178"/>
      <c r="S22043" s="178"/>
    </row>
    <row r="22044" spans="18:19">
      <c r="R22044" s="178"/>
      <c r="S22044" s="178"/>
    </row>
    <row r="22045" spans="18:19">
      <c r="R22045" s="178"/>
      <c r="S22045" s="178"/>
    </row>
    <row r="22046" spans="18:19">
      <c r="R22046" s="178"/>
      <c r="S22046" s="178"/>
    </row>
    <row r="22047" spans="18:19">
      <c r="R22047" s="178"/>
      <c r="S22047" s="178"/>
    </row>
    <row r="22048" spans="18:19">
      <c r="R22048" s="178"/>
      <c r="S22048" s="178"/>
    </row>
    <row r="22049" spans="18:19">
      <c r="R22049" s="178"/>
      <c r="S22049" s="178"/>
    </row>
    <row r="22050" spans="18:19">
      <c r="R22050" s="178"/>
      <c r="S22050" s="178"/>
    </row>
    <row r="22051" spans="18:19">
      <c r="R22051" s="178"/>
      <c r="S22051" s="178"/>
    </row>
    <row r="22052" spans="18:19">
      <c r="R22052" s="178"/>
      <c r="S22052" s="178"/>
    </row>
    <row r="22053" spans="18:19">
      <c r="R22053" s="178"/>
      <c r="S22053" s="178"/>
    </row>
    <row r="22054" spans="18:19">
      <c r="R22054" s="178"/>
      <c r="S22054" s="178"/>
    </row>
    <row r="22055" spans="18:19">
      <c r="R22055" s="178"/>
      <c r="S22055" s="178"/>
    </row>
    <row r="22056" spans="18:19">
      <c r="R22056" s="178"/>
      <c r="S22056" s="178"/>
    </row>
    <row r="22057" spans="18:19">
      <c r="R22057" s="178"/>
      <c r="S22057" s="178"/>
    </row>
    <row r="22058" spans="18:19">
      <c r="R22058" s="178"/>
      <c r="S22058" s="178"/>
    </row>
    <row r="22059" spans="18:19">
      <c r="R22059" s="178"/>
      <c r="S22059" s="178"/>
    </row>
    <row r="22060" spans="18:19">
      <c r="R22060" s="178"/>
      <c r="S22060" s="178"/>
    </row>
    <row r="22061" spans="18:19">
      <c r="R22061" s="178"/>
      <c r="S22061" s="178"/>
    </row>
    <row r="22062" spans="18:19">
      <c r="R22062" s="178"/>
      <c r="S22062" s="178"/>
    </row>
    <row r="22063" spans="18:19">
      <c r="R22063" s="178"/>
      <c r="S22063" s="178"/>
    </row>
    <row r="22064" spans="18:19">
      <c r="R22064" s="178"/>
      <c r="S22064" s="178"/>
    </row>
    <row r="22065" spans="18:19">
      <c r="R22065" s="178"/>
      <c r="S22065" s="178"/>
    </row>
    <row r="22066" spans="18:19">
      <c r="R22066" s="178"/>
      <c r="S22066" s="178"/>
    </row>
    <row r="22067" spans="18:19">
      <c r="R22067" s="178"/>
      <c r="S22067" s="178"/>
    </row>
    <row r="22068" spans="18:19">
      <c r="R22068" s="178"/>
      <c r="S22068" s="178"/>
    </row>
    <row r="22069" spans="18:19">
      <c r="R22069" s="178"/>
      <c r="S22069" s="178"/>
    </row>
    <row r="22070" spans="18:19">
      <c r="R22070" s="178"/>
      <c r="S22070" s="178"/>
    </row>
    <row r="22071" spans="18:19">
      <c r="R22071" s="178"/>
      <c r="S22071" s="178"/>
    </row>
    <row r="22072" spans="18:19">
      <c r="R22072" s="178"/>
      <c r="S22072" s="178"/>
    </row>
    <row r="22073" spans="18:19">
      <c r="R22073" s="178"/>
      <c r="S22073" s="178"/>
    </row>
    <row r="22074" spans="18:19">
      <c r="R22074" s="178"/>
      <c r="S22074" s="178"/>
    </row>
    <row r="22075" spans="18:19">
      <c r="R22075" s="178"/>
      <c r="S22075" s="178"/>
    </row>
    <row r="22076" spans="18:19">
      <c r="R22076" s="178"/>
      <c r="S22076" s="178"/>
    </row>
    <row r="22077" spans="18:19">
      <c r="R22077" s="178"/>
      <c r="S22077" s="178"/>
    </row>
    <row r="22078" spans="18:19">
      <c r="R22078" s="178"/>
      <c r="S22078" s="178"/>
    </row>
    <row r="22079" spans="18:19">
      <c r="R22079" s="178"/>
      <c r="S22079" s="178"/>
    </row>
    <row r="22080" spans="18:19">
      <c r="R22080" s="178"/>
      <c r="S22080" s="178"/>
    </row>
    <row r="22081" spans="18:19">
      <c r="R22081" s="178"/>
      <c r="S22081" s="178"/>
    </row>
    <row r="22082" spans="18:19">
      <c r="R22082" s="178"/>
      <c r="S22082" s="178"/>
    </row>
    <row r="22083" spans="18:19">
      <c r="R22083" s="178"/>
      <c r="S22083" s="178"/>
    </row>
    <row r="22084" spans="18:19">
      <c r="R22084" s="178"/>
      <c r="S22084" s="178"/>
    </row>
    <row r="22085" spans="18:19">
      <c r="R22085" s="178"/>
      <c r="S22085" s="178"/>
    </row>
    <row r="22086" spans="18:19">
      <c r="R22086" s="178"/>
      <c r="S22086" s="178"/>
    </row>
    <row r="22087" spans="18:19">
      <c r="R22087" s="178"/>
      <c r="S22087" s="178"/>
    </row>
    <row r="22088" spans="18:19">
      <c r="R22088" s="178"/>
      <c r="S22088" s="178"/>
    </row>
    <row r="22089" spans="18:19">
      <c r="R22089" s="178"/>
      <c r="S22089" s="178"/>
    </row>
    <row r="22090" spans="18:19">
      <c r="R22090" s="178"/>
      <c r="S22090" s="178"/>
    </row>
    <row r="22091" spans="18:19">
      <c r="R22091" s="178"/>
      <c r="S22091" s="178"/>
    </row>
    <row r="22092" spans="18:19">
      <c r="R22092" s="178"/>
      <c r="S22092" s="178"/>
    </row>
    <row r="22093" spans="18:19">
      <c r="R22093" s="178"/>
      <c r="S22093" s="178"/>
    </row>
    <row r="22094" spans="18:19">
      <c r="R22094" s="178"/>
      <c r="S22094" s="178"/>
    </row>
    <row r="22095" spans="18:19">
      <c r="R22095" s="178"/>
      <c r="S22095" s="178"/>
    </row>
    <row r="22096" spans="18:19">
      <c r="R22096" s="178"/>
      <c r="S22096" s="178"/>
    </row>
    <row r="22097" spans="18:19">
      <c r="R22097" s="178"/>
      <c r="S22097" s="178"/>
    </row>
    <row r="22098" spans="18:19">
      <c r="R22098" s="178"/>
      <c r="S22098" s="178"/>
    </row>
    <row r="22099" spans="18:19">
      <c r="R22099" s="178"/>
      <c r="S22099" s="178"/>
    </row>
    <row r="22100" spans="18:19">
      <c r="R22100" s="178"/>
      <c r="S22100" s="178"/>
    </row>
    <row r="22101" spans="18:19">
      <c r="R22101" s="178"/>
      <c r="S22101" s="178"/>
    </row>
    <row r="22102" spans="18:19">
      <c r="R22102" s="178"/>
      <c r="S22102" s="178"/>
    </row>
    <row r="22103" spans="18:19">
      <c r="R22103" s="178"/>
      <c r="S22103" s="178"/>
    </row>
    <row r="22104" spans="18:19">
      <c r="R22104" s="178"/>
      <c r="S22104" s="178"/>
    </row>
    <row r="22105" spans="18:19">
      <c r="R22105" s="178"/>
      <c r="S22105" s="178"/>
    </row>
    <row r="22106" spans="18:19">
      <c r="R22106" s="178"/>
      <c r="S22106" s="178"/>
    </row>
    <row r="22107" spans="18:19">
      <c r="R22107" s="178"/>
      <c r="S22107" s="178"/>
    </row>
    <row r="22108" spans="18:19">
      <c r="R22108" s="178"/>
      <c r="S22108" s="178"/>
    </row>
    <row r="22109" spans="18:19">
      <c r="R22109" s="178"/>
      <c r="S22109" s="178"/>
    </row>
    <row r="22110" spans="18:19">
      <c r="R22110" s="178"/>
      <c r="S22110" s="178"/>
    </row>
    <row r="22111" spans="18:19">
      <c r="R22111" s="178"/>
      <c r="S22111" s="178"/>
    </row>
    <row r="22112" spans="18:19">
      <c r="R22112" s="178"/>
      <c r="S22112" s="178"/>
    </row>
    <row r="22113" spans="18:19">
      <c r="R22113" s="178"/>
      <c r="S22113" s="178"/>
    </row>
    <row r="22114" spans="18:19">
      <c r="R22114" s="178"/>
      <c r="S22114" s="178"/>
    </row>
    <row r="22115" spans="18:19">
      <c r="R22115" s="178"/>
      <c r="S22115" s="178"/>
    </row>
    <row r="22116" spans="18:19">
      <c r="R22116" s="178"/>
      <c r="S22116" s="178"/>
    </row>
    <row r="22117" spans="18:19">
      <c r="R22117" s="178"/>
      <c r="S22117" s="178"/>
    </row>
    <row r="22118" spans="18:19">
      <c r="R22118" s="178"/>
      <c r="S22118" s="178"/>
    </row>
    <row r="22119" spans="18:19">
      <c r="R22119" s="178"/>
      <c r="S22119" s="178"/>
    </row>
    <row r="22120" spans="18:19">
      <c r="R22120" s="178"/>
      <c r="S22120" s="178"/>
    </row>
    <row r="22121" spans="18:19">
      <c r="R22121" s="178"/>
      <c r="S22121" s="178"/>
    </row>
    <row r="22122" spans="18:19">
      <c r="R22122" s="178"/>
      <c r="S22122" s="178"/>
    </row>
    <row r="22123" spans="18:19">
      <c r="R22123" s="178"/>
      <c r="S22123" s="178"/>
    </row>
    <row r="22124" spans="18:19">
      <c r="R22124" s="178"/>
      <c r="S22124" s="178"/>
    </row>
    <row r="22125" spans="18:19">
      <c r="R22125" s="178"/>
      <c r="S22125" s="178"/>
    </row>
    <row r="22126" spans="18:19">
      <c r="R22126" s="178"/>
      <c r="S22126" s="178"/>
    </row>
    <row r="22127" spans="18:19">
      <c r="R22127" s="178"/>
      <c r="S22127" s="178"/>
    </row>
    <row r="22128" spans="18:19">
      <c r="R22128" s="178"/>
      <c r="S22128" s="178"/>
    </row>
    <row r="22129" spans="18:19">
      <c r="R22129" s="178"/>
      <c r="S22129" s="178"/>
    </row>
    <row r="22130" spans="18:19">
      <c r="R22130" s="178"/>
      <c r="S22130" s="178"/>
    </row>
    <row r="22131" spans="18:19">
      <c r="R22131" s="178"/>
      <c r="S22131" s="178"/>
    </row>
    <row r="22132" spans="18:19">
      <c r="R22132" s="178"/>
      <c r="S22132" s="178"/>
    </row>
    <row r="22133" spans="18:19">
      <c r="R22133" s="178"/>
      <c r="S22133" s="178"/>
    </row>
    <row r="22134" spans="18:19">
      <c r="R22134" s="178"/>
      <c r="S22134" s="178"/>
    </row>
    <row r="22135" spans="18:19">
      <c r="R22135" s="178"/>
      <c r="S22135" s="178"/>
    </row>
    <row r="22136" spans="18:19">
      <c r="R22136" s="178"/>
      <c r="S22136" s="178"/>
    </row>
    <row r="22137" spans="18:19">
      <c r="R22137" s="178"/>
      <c r="S22137" s="178"/>
    </row>
    <row r="22138" spans="18:19">
      <c r="R22138" s="178"/>
      <c r="S22138" s="178"/>
    </row>
    <row r="22139" spans="18:19">
      <c r="R22139" s="178"/>
      <c r="S22139" s="178"/>
    </row>
    <row r="22140" spans="18:19">
      <c r="R22140" s="178"/>
      <c r="S22140" s="178"/>
    </row>
    <row r="22141" spans="18:19">
      <c r="R22141" s="178"/>
      <c r="S22141" s="178"/>
    </row>
    <row r="22142" spans="18:19">
      <c r="R22142" s="178"/>
      <c r="S22142" s="178"/>
    </row>
    <row r="22143" spans="18:19">
      <c r="R22143" s="178"/>
      <c r="S22143" s="178"/>
    </row>
    <row r="22144" spans="18:19">
      <c r="R22144" s="178"/>
      <c r="S22144" s="178"/>
    </row>
    <row r="22145" spans="18:19">
      <c r="R22145" s="178"/>
      <c r="S22145" s="178"/>
    </row>
    <row r="22146" spans="18:19">
      <c r="R22146" s="178"/>
      <c r="S22146" s="178"/>
    </row>
    <row r="22147" spans="18:19">
      <c r="R22147" s="178"/>
      <c r="S22147" s="178"/>
    </row>
    <row r="22148" spans="18:19">
      <c r="R22148" s="178"/>
      <c r="S22148" s="178"/>
    </row>
    <row r="22149" spans="18:19">
      <c r="R22149" s="178"/>
      <c r="S22149" s="178"/>
    </row>
    <row r="22150" spans="18:19">
      <c r="R22150" s="178"/>
      <c r="S22150" s="178"/>
    </row>
    <row r="22151" spans="18:19">
      <c r="R22151" s="178"/>
      <c r="S22151" s="178"/>
    </row>
    <row r="22152" spans="18:19">
      <c r="R22152" s="178"/>
      <c r="S22152" s="178"/>
    </row>
    <row r="22153" spans="18:19">
      <c r="R22153" s="178"/>
      <c r="S22153" s="178"/>
    </row>
    <row r="22154" spans="18:19">
      <c r="R22154" s="178"/>
      <c r="S22154" s="178"/>
    </row>
    <row r="22155" spans="18:19">
      <c r="R22155" s="178"/>
      <c r="S22155" s="178"/>
    </row>
    <row r="22156" spans="18:19">
      <c r="R22156" s="178"/>
      <c r="S22156" s="178"/>
    </row>
    <row r="22157" spans="18:19">
      <c r="R22157" s="178"/>
      <c r="S22157" s="178"/>
    </row>
    <row r="22158" spans="18:19">
      <c r="R22158" s="178"/>
      <c r="S22158" s="178"/>
    </row>
    <row r="22159" spans="18:19">
      <c r="R22159" s="178"/>
      <c r="S22159" s="178"/>
    </row>
    <row r="22160" spans="18:19">
      <c r="R22160" s="178"/>
      <c r="S22160" s="178"/>
    </row>
    <row r="22161" spans="18:19">
      <c r="R22161" s="178"/>
      <c r="S22161" s="178"/>
    </row>
    <row r="22162" spans="18:19">
      <c r="R22162" s="178"/>
      <c r="S22162" s="178"/>
    </row>
    <row r="22163" spans="18:19">
      <c r="R22163" s="178"/>
      <c r="S22163" s="178"/>
    </row>
    <row r="22164" spans="18:19">
      <c r="R22164" s="178"/>
      <c r="S22164" s="178"/>
    </row>
    <row r="22165" spans="18:19">
      <c r="R22165" s="178"/>
      <c r="S22165" s="178"/>
    </row>
    <row r="22166" spans="18:19">
      <c r="R22166" s="178"/>
      <c r="S22166" s="178"/>
    </row>
    <row r="22167" spans="18:19">
      <c r="R22167" s="178"/>
      <c r="S22167" s="178"/>
    </row>
    <row r="22168" spans="18:19">
      <c r="R22168" s="178"/>
      <c r="S22168" s="178"/>
    </row>
    <row r="22169" spans="18:19">
      <c r="R22169" s="178"/>
      <c r="S22169" s="178"/>
    </row>
    <row r="22170" spans="18:19">
      <c r="R22170" s="178"/>
      <c r="S22170" s="178"/>
    </row>
    <row r="22171" spans="18:19">
      <c r="R22171" s="178"/>
      <c r="S22171" s="178"/>
    </row>
    <row r="22172" spans="18:19">
      <c r="R22172" s="178"/>
      <c r="S22172" s="178"/>
    </row>
    <row r="22173" spans="18:19">
      <c r="R22173" s="178"/>
      <c r="S22173" s="178"/>
    </row>
    <row r="22174" spans="18:19">
      <c r="R22174" s="178"/>
      <c r="S22174" s="178"/>
    </row>
    <row r="22175" spans="18:19">
      <c r="R22175" s="178"/>
      <c r="S22175" s="178"/>
    </row>
    <row r="22176" spans="18:19">
      <c r="R22176" s="178"/>
      <c r="S22176" s="178"/>
    </row>
    <row r="22177" spans="18:19">
      <c r="R22177" s="178"/>
      <c r="S22177" s="178"/>
    </row>
    <row r="22178" spans="18:19">
      <c r="R22178" s="178"/>
      <c r="S22178" s="178"/>
    </row>
    <row r="22179" spans="18:19">
      <c r="R22179" s="178"/>
      <c r="S22179" s="178"/>
    </row>
    <row r="22180" spans="18:19">
      <c r="R22180" s="178"/>
      <c r="S22180" s="178"/>
    </row>
    <row r="22181" spans="18:19">
      <c r="R22181" s="178"/>
      <c r="S22181" s="178"/>
    </row>
    <row r="22182" spans="18:19">
      <c r="R22182" s="178"/>
      <c r="S22182" s="178"/>
    </row>
    <row r="22183" spans="18:19">
      <c r="R22183" s="178"/>
      <c r="S22183" s="178"/>
    </row>
    <row r="22184" spans="18:19">
      <c r="R22184" s="178"/>
      <c r="S22184" s="178"/>
    </row>
    <row r="22185" spans="18:19">
      <c r="R22185" s="178"/>
      <c r="S22185" s="178"/>
    </row>
    <row r="22186" spans="18:19">
      <c r="R22186" s="178"/>
      <c r="S22186" s="178"/>
    </row>
    <row r="22187" spans="18:19">
      <c r="R22187" s="178"/>
      <c r="S22187" s="178"/>
    </row>
    <row r="22188" spans="18:19">
      <c r="R22188" s="178"/>
      <c r="S22188" s="178"/>
    </row>
    <row r="22189" spans="18:19">
      <c r="R22189" s="178"/>
      <c r="S22189" s="178"/>
    </row>
    <row r="22190" spans="18:19">
      <c r="R22190" s="178"/>
      <c r="S22190" s="178"/>
    </row>
    <row r="22191" spans="18:19">
      <c r="R22191" s="178"/>
      <c r="S22191" s="178"/>
    </row>
    <row r="22192" spans="18:19">
      <c r="R22192" s="178"/>
      <c r="S22192" s="178"/>
    </row>
    <row r="22193" spans="18:19">
      <c r="R22193" s="178"/>
      <c r="S22193" s="178"/>
    </row>
    <row r="22194" spans="18:19">
      <c r="R22194" s="178"/>
      <c r="S22194" s="178"/>
    </row>
    <row r="22195" spans="18:19">
      <c r="R22195" s="178"/>
      <c r="S22195" s="178"/>
    </row>
    <row r="22196" spans="18:19">
      <c r="R22196" s="178"/>
      <c r="S22196" s="178"/>
    </row>
    <row r="22197" spans="18:19">
      <c r="R22197" s="178"/>
      <c r="S22197" s="178"/>
    </row>
    <row r="22198" spans="18:19">
      <c r="R22198" s="178"/>
      <c r="S22198" s="178"/>
    </row>
    <row r="22199" spans="18:19">
      <c r="R22199" s="178"/>
      <c r="S22199" s="178"/>
    </row>
    <row r="22200" spans="18:19">
      <c r="R22200" s="178"/>
      <c r="S22200" s="178"/>
    </row>
    <row r="22201" spans="18:19">
      <c r="R22201" s="178"/>
      <c r="S22201" s="178"/>
    </row>
    <row r="22202" spans="18:19">
      <c r="R22202" s="178"/>
      <c r="S22202" s="178"/>
    </row>
    <row r="22203" spans="18:19">
      <c r="R22203" s="178"/>
      <c r="S22203" s="178"/>
    </row>
    <row r="22204" spans="18:19">
      <c r="R22204" s="178"/>
      <c r="S22204" s="178"/>
    </row>
    <row r="22205" spans="18:19">
      <c r="R22205" s="178"/>
      <c r="S22205" s="178"/>
    </row>
    <row r="22206" spans="18:19">
      <c r="R22206" s="178"/>
      <c r="S22206" s="178"/>
    </row>
    <row r="22207" spans="18:19">
      <c r="R22207" s="178"/>
      <c r="S22207" s="178"/>
    </row>
    <row r="22208" spans="18:19">
      <c r="R22208" s="178"/>
      <c r="S22208" s="178"/>
    </row>
    <row r="22209" spans="18:19">
      <c r="R22209" s="178"/>
      <c r="S22209" s="178"/>
    </row>
    <row r="22210" spans="18:19">
      <c r="R22210" s="178"/>
      <c r="S22210" s="178"/>
    </row>
    <row r="22211" spans="18:19">
      <c r="R22211" s="178"/>
      <c r="S22211" s="178"/>
    </row>
    <row r="22212" spans="18:19">
      <c r="R22212" s="178"/>
      <c r="S22212" s="178"/>
    </row>
    <row r="22213" spans="18:19">
      <c r="R22213" s="178"/>
      <c r="S22213" s="178"/>
    </row>
    <row r="22214" spans="18:19">
      <c r="R22214" s="178"/>
      <c r="S22214" s="178"/>
    </row>
    <row r="22215" spans="18:19">
      <c r="R22215" s="178"/>
      <c r="S22215" s="178"/>
    </row>
    <row r="22216" spans="18:19">
      <c r="R22216" s="178"/>
      <c r="S22216" s="178"/>
    </row>
    <row r="22217" spans="18:19">
      <c r="R22217" s="178"/>
      <c r="S22217" s="178"/>
    </row>
    <row r="22218" spans="18:19">
      <c r="R22218" s="178"/>
      <c r="S22218" s="178"/>
    </row>
    <row r="22219" spans="18:19">
      <c r="R22219" s="178"/>
      <c r="S22219" s="178"/>
    </row>
    <row r="22220" spans="18:19">
      <c r="R22220" s="178"/>
      <c r="S22220" s="178"/>
    </row>
    <row r="22221" spans="18:19">
      <c r="R22221" s="178"/>
      <c r="S22221" s="178"/>
    </row>
    <row r="22222" spans="18:19">
      <c r="R22222" s="178"/>
      <c r="S22222" s="178"/>
    </row>
    <row r="22223" spans="18:19">
      <c r="R22223" s="178"/>
      <c r="S22223" s="178"/>
    </row>
    <row r="22224" spans="18:19">
      <c r="R22224" s="178"/>
      <c r="S22224" s="178"/>
    </row>
    <row r="22225" spans="18:19">
      <c r="R22225" s="178"/>
      <c r="S22225" s="178"/>
    </row>
    <row r="22226" spans="18:19">
      <c r="R22226" s="178"/>
      <c r="S22226" s="178"/>
    </row>
    <row r="22227" spans="18:19">
      <c r="R22227" s="178"/>
      <c r="S22227" s="178"/>
    </row>
    <row r="22228" spans="18:19">
      <c r="R22228" s="178"/>
      <c r="S22228" s="178"/>
    </row>
    <row r="22229" spans="18:19">
      <c r="R22229" s="178"/>
      <c r="S22229" s="178"/>
    </row>
    <row r="22230" spans="18:19">
      <c r="R22230" s="178"/>
      <c r="S22230" s="178"/>
    </row>
    <row r="22231" spans="18:19">
      <c r="R22231" s="178"/>
      <c r="S22231" s="178"/>
    </row>
    <row r="22232" spans="18:19">
      <c r="R22232" s="178"/>
      <c r="S22232" s="178"/>
    </row>
    <row r="22233" spans="18:19">
      <c r="R22233" s="178"/>
      <c r="S22233" s="178"/>
    </row>
    <row r="22234" spans="18:19">
      <c r="R22234" s="178"/>
      <c r="S22234" s="178"/>
    </row>
    <row r="22235" spans="18:19">
      <c r="R22235" s="178"/>
      <c r="S22235" s="178"/>
    </row>
    <row r="22236" spans="18:19">
      <c r="R22236" s="178"/>
      <c r="S22236" s="178"/>
    </row>
    <row r="22237" spans="18:19">
      <c r="R22237" s="178"/>
      <c r="S22237" s="178"/>
    </row>
    <row r="22238" spans="18:19">
      <c r="R22238" s="178"/>
      <c r="S22238" s="178"/>
    </row>
    <row r="22239" spans="18:19">
      <c r="R22239" s="178"/>
      <c r="S22239" s="178"/>
    </row>
    <row r="22240" spans="18:19">
      <c r="R22240" s="178"/>
      <c r="S22240" s="178"/>
    </row>
    <row r="22241" spans="18:19">
      <c r="R22241" s="178"/>
      <c r="S22241" s="178"/>
    </row>
    <row r="22242" spans="18:19">
      <c r="R22242" s="178"/>
      <c r="S22242" s="178"/>
    </row>
    <row r="22243" spans="18:19">
      <c r="R22243" s="178"/>
      <c r="S22243" s="178"/>
    </row>
    <row r="22244" spans="18:19">
      <c r="R22244" s="178"/>
      <c r="S22244" s="178"/>
    </row>
    <row r="22245" spans="18:19">
      <c r="R22245" s="178"/>
      <c r="S22245" s="178"/>
    </row>
    <row r="22246" spans="18:19">
      <c r="R22246" s="178"/>
      <c r="S22246" s="178"/>
    </row>
    <row r="22247" spans="18:19">
      <c r="R22247" s="178"/>
      <c r="S22247" s="178"/>
    </row>
    <row r="22248" spans="18:19">
      <c r="R22248" s="178"/>
      <c r="S22248" s="178"/>
    </row>
    <row r="22249" spans="18:19">
      <c r="R22249" s="178"/>
      <c r="S22249" s="178"/>
    </row>
    <row r="22250" spans="18:19">
      <c r="R22250" s="178"/>
      <c r="S22250" s="178"/>
    </row>
    <row r="22251" spans="18:19">
      <c r="R22251" s="178"/>
      <c r="S22251" s="178"/>
    </row>
    <row r="22252" spans="18:19">
      <c r="R22252" s="178"/>
      <c r="S22252" s="178"/>
    </row>
    <row r="22253" spans="18:19">
      <c r="R22253" s="178"/>
      <c r="S22253" s="178"/>
    </row>
    <row r="22254" spans="18:19">
      <c r="R22254" s="178"/>
      <c r="S22254" s="178"/>
    </row>
    <row r="22255" spans="18:19">
      <c r="R22255" s="178"/>
      <c r="S22255" s="178"/>
    </row>
    <row r="22256" spans="18:19">
      <c r="R22256" s="178"/>
      <c r="S22256" s="178"/>
    </row>
    <row r="22257" spans="18:19">
      <c r="R22257" s="178"/>
      <c r="S22257" s="178"/>
    </row>
    <row r="22258" spans="18:19">
      <c r="R22258" s="178"/>
      <c r="S22258" s="178"/>
    </row>
    <row r="22259" spans="18:19">
      <c r="R22259" s="178"/>
      <c r="S22259" s="178"/>
    </row>
    <row r="22260" spans="18:19">
      <c r="R22260" s="178"/>
      <c r="S22260" s="178"/>
    </row>
    <row r="22261" spans="18:19">
      <c r="R22261" s="178"/>
      <c r="S22261" s="178"/>
    </row>
    <row r="22262" spans="18:19">
      <c r="R22262" s="178"/>
      <c r="S22262" s="178"/>
    </row>
    <row r="22263" spans="18:19">
      <c r="R22263" s="178"/>
      <c r="S22263" s="178"/>
    </row>
    <row r="22264" spans="18:19">
      <c r="R22264" s="178"/>
      <c r="S22264" s="178"/>
    </row>
    <row r="22265" spans="18:19">
      <c r="R22265" s="178"/>
      <c r="S22265" s="178"/>
    </row>
    <row r="22266" spans="18:19">
      <c r="R22266" s="178"/>
      <c r="S22266" s="178"/>
    </row>
    <row r="22267" spans="18:19">
      <c r="R22267" s="178"/>
      <c r="S22267" s="178"/>
    </row>
    <row r="22268" spans="18:19">
      <c r="R22268" s="178"/>
      <c r="S22268" s="178"/>
    </row>
    <row r="22269" spans="18:19">
      <c r="R22269" s="178"/>
      <c r="S22269" s="178"/>
    </row>
    <row r="22270" spans="18:19">
      <c r="R22270" s="178"/>
      <c r="S22270" s="178"/>
    </row>
    <row r="22271" spans="18:19">
      <c r="R22271" s="178"/>
      <c r="S22271" s="178"/>
    </row>
    <row r="22272" spans="18:19">
      <c r="R22272" s="178"/>
      <c r="S22272" s="178"/>
    </row>
    <row r="22273" spans="18:19">
      <c r="R22273" s="178"/>
      <c r="S22273" s="178"/>
    </row>
    <row r="22274" spans="18:19">
      <c r="R22274" s="178"/>
      <c r="S22274" s="178"/>
    </row>
    <row r="22275" spans="18:19">
      <c r="R22275" s="178"/>
      <c r="S22275" s="178"/>
    </row>
    <row r="22276" spans="18:19">
      <c r="R22276" s="178"/>
      <c r="S22276" s="178"/>
    </row>
    <row r="22277" spans="18:19">
      <c r="R22277" s="178"/>
      <c r="S22277" s="178"/>
    </row>
    <row r="22278" spans="18:19">
      <c r="R22278" s="178"/>
      <c r="S22278" s="178"/>
    </row>
    <row r="22279" spans="18:19">
      <c r="R22279" s="178"/>
      <c r="S22279" s="178"/>
    </row>
    <row r="22280" spans="18:19">
      <c r="R22280" s="178"/>
      <c r="S22280" s="178"/>
    </row>
    <row r="22281" spans="18:19">
      <c r="R22281" s="178"/>
      <c r="S22281" s="178"/>
    </row>
    <row r="22282" spans="18:19">
      <c r="R22282" s="178"/>
      <c r="S22282" s="178"/>
    </row>
    <row r="22283" spans="18:19">
      <c r="R22283" s="178"/>
      <c r="S22283" s="178"/>
    </row>
    <row r="22284" spans="18:19">
      <c r="R22284" s="178"/>
      <c r="S22284" s="178"/>
    </row>
    <row r="22285" spans="18:19">
      <c r="R22285" s="178"/>
      <c r="S22285" s="178"/>
    </row>
    <row r="22286" spans="18:19">
      <c r="R22286" s="178"/>
      <c r="S22286" s="178"/>
    </row>
    <row r="22287" spans="18:19">
      <c r="R22287" s="178"/>
      <c r="S22287" s="178"/>
    </row>
    <row r="22288" spans="18:19">
      <c r="R22288" s="178"/>
      <c r="S22288" s="178"/>
    </row>
    <row r="22289" spans="18:19">
      <c r="R22289" s="178"/>
      <c r="S22289" s="178"/>
    </row>
    <row r="22290" spans="18:19">
      <c r="R22290" s="178"/>
      <c r="S22290" s="178"/>
    </row>
    <row r="22291" spans="18:19">
      <c r="R22291" s="178"/>
      <c r="S22291" s="178"/>
    </row>
    <row r="22292" spans="18:19">
      <c r="R22292" s="178"/>
      <c r="S22292" s="178"/>
    </row>
    <row r="22293" spans="18:19">
      <c r="R22293" s="178"/>
      <c r="S22293" s="178"/>
    </row>
    <row r="22294" spans="18:19">
      <c r="R22294" s="178"/>
      <c r="S22294" s="178"/>
    </row>
    <row r="22295" spans="18:19">
      <c r="R22295" s="178"/>
      <c r="S22295" s="178"/>
    </row>
    <row r="22296" spans="18:19">
      <c r="R22296" s="178"/>
      <c r="S22296" s="178"/>
    </row>
    <row r="22297" spans="18:19">
      <c r="R22297" s="178"/>
      <c r="S22297" s="178"/>
    </row>
    <row r="22298" spans="18:19">
      <c r="R22298" s="178"/>
      <c r="S22298" s="178"/>
    </row>
    <row r="22299" spans="18:19">
      <c r="R22299" s="178"/>
      <c r="S22299" s="178"/>
    </row>
    <row r="22300" spans="18:19">
      <c r="R22300" s="178"/>
      <c r="S22300" s="178"/>
    </row>
    <row r="22301" spans="18:19">
      <c r="R22301" s="178"/>
      <c r="S22301" s="178"/>
    </row>
    <row r="22302" spans="18:19">
      <c r="R22302" s="178"/>
      <c r="S22302" s="178"/>
    </row>
    <row r="22303" spans="18:19">
      <c r="R22303" s="178"/>
      <c r="S22303" s="178"/>
    </row>
    <row r="22304" spans="18:19">
      <c r="R22304" s="178"/>
      <c r="S22304" s="178"/>
    </row>
    <row r="22305" spans="18:19">
      <c r="R22305" s="178"/>
      <c r="S22305" s="178"/>
    </row>
    <row r="22306" spans="18:19">
      <c r="R22306" s="178"/>
      <c r="S22306" s="178"/>
    </row>
    <row r="22307" spans="18:19">
      <c r="R22307" s="178"/>
      <c r="S22307" s="178"/>
    </row>
    <row r="22308" spans="18:19">
      <c r="R22308" s="178"/>
      <c r="S22308" s="178"/>
    </row>
    <row r="22309" spans="18:19">
      <c r="R22309" s="178"/>
      <c r="S22309" s="178"/>
    </row>
    <row r="22310" spans="18:19">
      <c r="R22310" s="178"/>
      <c r="S22310" s="178"/>
    </row>
    <row r="22311" spans="18:19">
      <c r="R22311" s="178"/>
      <c r="S22311" s="178"/>
    </row>
    <row r="22312" spans="18:19">
      <c r="R22312" s="178"/>
      <c r="S22312" s="178"/>
    </row>
    <row r="22313" spans="18:19">
      <c r="R22313" s="178"/>
      <c r="S22313" s="178"/>
    </row>
    <row r="22314" spans="18:19">
      <c r="R22314" s="178"/>
      <c r="S22314" s="178"/>
    </row>
    <row r="22315" spans="18:19">
      <c r="R22315" s="178"/>
      <c r="S22315" s="178"/>
    </row>
    <row r="22316" spans="18:19">
      <c r="R22316" s="178"/>
      <c r="S22316" s="178"/>
    </row>
    <row r="22317" spans="18:19">
      <c r="R22317" s="178"/>
      <c r="S22317" s="178"/>
    </row>
    <row r="22318" spans="18:19">
      <c r="R22318" s="178"/>
      <c r="S22318" s="178"/>
    </row>
    <row r="22319" spans="18:19">
      <c r="R22319" s="178"/>
      <c r="S22319" s="178"/>
    </row>
    <row r="22320" spans="18:19">
      <c r="R22320" s="178"/>
      <c r="S22320" s="178"/>
    </row>
    <row r="22321" spans="18:19">
      <c r="R22321" s="178"/>
      <c r="S22321" s="178"/>
    </row>
    <row r="22322" spans="18:19">
      <c r="R22322" s="178"/>
      <c r="S22322" s="178"/>
    </row>
    <row r="22323" spans="18:19">
      <c r="R22323" s="178"/>
      <c r="S22323" s="178"/>
    </row>
    <row r="22324" spans="18:19">
      <c r="R22324" s="178"/>
      <c r="S22324" s="178"/>
    </row>
    <row r="22325" spans="18:19">
      <c r="R22325" s="178"/>
      <c r="S22325" s="178"/>
    </row>
    <row r="22326" spans="18:19">
      <c r="R22326" s="178"/>
      <c r="S22326" s="178"/>
    </row>
    <row r="22327" spans="18:19">
      <c r="R22327" s="178"/>
      <c r="S22327" s="178"/>
    </row>
    <row r="22328" spans="18:19">
      <c r="R22328" s="178"/>
      <c r="S22328" s="178"/>
    </row>
    <row r="22329" spans="18:19">
      <c r="R22329" s="178"/>
      <c r="S22329" s="178"/>
    </row>
    <row r="22330" spans="18:19">
      <c r="R22330" s="178"/>
      <c r="S22330" s="178"/>
    </row>
    <row r="22331" spans="18:19">
      <c r="R22331" s="178"/>
      <c r="S22331" s="178"/>
    </row>
    <row r="22332" spans="18:19">
      <c r="R22332" s="178"/>
      <c r="S22332" s="178"/>
    </row>
    <row r="22333" spans="18:19">
      <c r="R22333" s="178"/>
      <c r="S22333" s="178"/>
    </row>
    <row r="22334" spans="18:19">
      <c r="R22334" s="178"/>
      <c r="S22334" s="178"/>
    </row>
    <row r="22335" spans="18:19">
      <c r="R22335" s="178"/>
      <c r="S22335" s="178"/>
    </row>
    <row r="22336" spans="18:19">
      <c r="R22336" s="178"/>
      <c r="S22336" s="178"/>
    </row>
    <row r="22337" spans="18:19">
      <c r="R22337" s="178"/>
      <c r="S22337" s="178"/>
    </row>
    <row r="22338" spans="18:19">
      <c r="R22338" s="178"/>
      <c r="S22338" s="178"/>
    </row>
    <row r="22339" spans="18:19">
      <c r="R22339" s="178"/>
      <c r="S22339" s="178"/>
    </row>
    <row r="22340" spans="18:19">
      <c r="R22340" s="178"/>
      <c r="S22340" s="178"/>
    </row>
    <row r="22341" spans="18:19">
      <c r="R22341" s="178"/>
      <c r="S22341" s="178"/>
    </row>
    <row r="22342" spans="18:19">
      <c r="R22342" s="178"/>
      <c r="S22342" s="178"/>
    </row>
    <row r="22343" spans="18:19">
      <c r="R22343" s="178"/>
      <c r="S22343" s="178"/>
    </row>
    <row r="22344" spans="18:19">
      <c r="R22344" s="178"/>
      <c r="S22344" s="178"/>
    </row>
    <row r="22345" spans="18:19">
      <c r="R22345" s="178"/>
      <c r="S22345" s="178"/>
    </row>
    <row r="22346" spans="18:19">
      <c r="R22346" s="178"/>
      <c r="S22346" s="178"/>
    </row>
    <row r="22347" spans="18:19">
      <c r="R22347" s="178"/>
      <c r="S22347" s="178"/>
    </row>
    <row r="22348" spans="18:19">
      <c r="R22348" s="178"/>
      <c r="S22348" s="178"/>
    </row>
    <row r="22349" spans="18:19">
      <c r="R22349" s="178"/>
      <c r="S22349" s="178"/>
    </row>
    <row r="22350" spans="18:19">
      <c r="R22350" s="178"/>
      <c r="S22350" s="178"/>
    </row>
    <row r="22351" spans="18:19">
      <c r="R22351" s="178"/>
      <c r="S22351" s="178"/>
    </row>
    <row r="22352" spans="18:19">
      <c r="R22352" s="178"/>
      <c r="S22352" s="178"/>
    </row>
    <row r="22353" spans="18:19">
      <c r="R22353" s="178"/>
      <c r="S22353" s="178"/>
    </row>
    <row r="22354" spans="18:19">
      <c r="R22354" s="178"/>
      <c r="S22354" s="178"/>
    </row>
    <row r="22355" spans="18:19">
      <c r="R22355" s="178"/>
      <c r="S22355" s="178"/>
    </row>
    <row r="22356" spans="18:19">
      <c r="R22356" s="178"/>
      <c r="S22356" s="178"/>
    </row>
    <row r="22357" spans="18:19">
      <c r="R22357" s="178"/>
      <c r="S22357" s="178"/>
    </row>
    <row r="22358" spans="18:19">
      <c r="R22358" s="178"/>
      <c r="S22358" s="178"/>
    </row>
    <row r="22359" spans="18:19">
      <c r="R22359" s="178"/>
      <c r="S22359" s="178"/>
    </row>
    <row r="22360" spans="18:19">
      <c r="R22360" s="178"/>
      <c r="S22360" s="178"/>
    </row>
    <row r="22361" spans="18:19">
      <c r="R22361" s="178"/>
      <c r="S22361" s="178"/>
    </row>
    <row r="22362" spans="18:19">
      <c r="R22362" s="178"/>
      <c r="S22362" s="178"/>
    </row>
    <row r="22363" spans="18:19">
      <c r="R22363" s="178"/>
      <c r="S22363" s="178"/>
    </row>
    <row r="22364" spans="18:19">
      <c r="R22364" s="178"/>
      <c r="S22364" s="178"/>
    </row>
    <row r="22365" spans="18:19">
      <c r="R22365" s="178"/>
      <c r="S22365" s="178"/>
    </row>
    <row r="22366" spans="18:19">
      <c r="R22366" s="178"/>
      <c r="S22366" s="178"/>
    </row>
    <row r="22367" spans="18:19">
      <c r="R22367" s="178"/>
      <c r="S22367" s="178"/>
    </row>
    <row r="22368" spans="18:19">
      <c r="R22368" s="178"/>
      <c r="S22368" s="178"/>
    </row>
    <row r="22369" spans="18:19">
      <c r="R22369" s="178"/>
      <c r="S22369" s="178"/>
    </row>
    <row r="22370" spans="18:19">
      <c r="R22370" s="178"/>
      <c r="S22370" s="178"/>
    </row>
    <row r="22371" spans="18:19">
      <c r="R22371" s="178"/>
      <c r="S22371" s="178"/>
    </row>
    <row r="22372" spans="18:19">
      <c r="R22372" s="178"/>
      <c r="S22372" s="178"/>
    </row>
    <row r="22373" spans="18:19">
      <c r="R22373" s="178"/>
      <c r="S22373" s="178"/>
    </row>
    <row r="22374" spans="18:19">
      <c r="R22374" s="178"/>
      <c r="S22374" s="178"/>
    </row>
    <row r="22375" spans="18:19">
      <c r="R22375" s="178"/>
      <c r="S22375" s="178"/>
    </row>
    <row r="22376" spans="18:19">
      <c r="R22376" s="178"/>
      <c r="S22376" s="178"/>
    </row>
    <row r="22377" spans="18:19">
      <c r="R22377" s="178"/>
      <c r="S22377" s="178"/>
    </row>
    <row r="22378" spans="18:19">
      <c r="R22378" s="178"/>
      <c r="S22378" s="178"/>
    </row>
    <row r="22379" spans="18:19">
      <c r="R22379" s="178"/>
      <c r="S22379" s="178"/>
    </row>
    <row r="22380" spans="18:19">
      <c r="R22380" s="178"/>
      <c r="S22380" s="178"/>
    </row>
    <row r="22381" spans="18:19">
      <c r="R22381" s="178"/>
      <c r="S22381" s="178"/>
    </row>
    <row r="22382" spans="18:19">
      <c r="R22382" s="178"/>
      <c r="S22382" s="178"/>
    </row>
    <row r="22383" spans="18:19">
      <c r="R22383" s="178"/>
      <c r="S22383" s="178"/>
    </row>
    <row r="22384" spans="18:19">
      <c r="R22384" s="178"/>
      <c r="S22384" s="178"/>
    </row>
    <row r="22385" spans="18:19">
      <c r="R22385" s="178"/>
      <c r="S22385" s="178"/>
    </row>
    <row r="22386" spans="18:19">
      <c r="R22386" s="178"/>
      <c r="S22386" s="178"/>
    </row>
    <row r="22387" spans="18:19">
      <c r="R22387" s="178"/>
      <c r="S22387" s="178"/>
    </row>
    <row r="22388" spans="18:19">
      <c r="R22388" s="178"/>
      <c r="S22388" s="178"/>
    </row>
    <row r="22389" spans="18:19">
      <c r="R22389" s="178"/>
      <c r="S22389" s="178"/>
    </row>
    <row r="22390" spans="18:19">
      <c r="R22390" s="178"/>
      <c r="S22390" s="178"/>
    </row>
    <row r="22391" spans="18:19">
      <c r="R22391" s="178"/>
      <c r="S22391" s="178"/>
    </row>
    <row r="22392" spans="18:19">
      <c r="R22392" s="178"/>
      <c r="S22392" s="178"/>
    </row>
    <row r="22393" spans="18:19">
      <c r="R22393" s="178"/>
      <c r="S22393" s="178"/>
    </row>
    <row r="22394" spans="18:19">
      <c r="R22394" s="178"/>
      <c r="S22394" s="178"/>
    </row>
    <row r="22395" spans="18:19">
      <c r="R22395" s="178"/>
      <c r="S22395" s="178"/>
    </row>
    <row r="22396" spans="18:19">
      <c r="R22396" s="178"/>
      <c r="S22396" s="178"/>
    </row>
    <row r="22397" spans="18:19">
      <c r="R22397" s="178"/>
      <c r="S22397" s="178"/>
    </row>
    <row r="22398" spans="18:19">
      <c r="R22398" s="178"/>
      <c r="S22398" s="178"/>
    </row>
    <row r="22399" spans="18:19">
      <c r="R22399" s="178"/>
      <c r="S22399" s="178"/>
    </row>
    <row r="22400" spans="18:19">
      <c r="R22400" s="178"/>
      <c r="S22400" s="178"/>
    </row>
    <row r="22401" spans="18:19">
      <c r="R22401" s="178"/>
      <c r="S22401" s="178"/>
    </row>
    <row r="22402" spans="18:19">
      <c r="R22402" s="178"/>
      <c r="S22402" s="178"/>
    </row>
    <row r="22403" spans="18:19">
      <c r="R22403" s="178"/>
      <c r="S22403" s="178"/>
    </row>
    <row r="22404" spans="18:19">
      <c r="R22404" s="178"/>
      <c r="S22404" s="178"/>
    </row>
    <row r="22405" spans="18:19">
      <c r="R22405" s="178"/>
      <c r="S22405" s="178"/>
    </row>
    <row r="22406" spans="18:19">
      <c r="R22406" s="178"/>
      <c r="S22406" s="178"/>
    </row>
    <row r="22407" spans="18:19">
      <c r="R22407" s="178"/>
      <c r="S22407" s="178"/>
    </row>
    <row r="22408" spans="18:19">
      <c r="R22408" s="178"/>
      <c r="S22408" s="178"/>
    </row>
    <row r="22409" spans="18:19">
      <c r="R22409" s="178"/>
      <c r="S22409" s="178"/>
    </row>
    <row r="22410" spans="18:19">
      <c r="R22410" s="178"/>
      <c r="S22410" s="178"/>
    </row>
    <row r="22411" spans="18:19">
      <c r="R22411" s="178"/>
      <c r="S22411" s="178"/>
    </row>
    <row r="22412" spans="18:19">
      <c r="R22412" s="178"/>
      <c r="S22412" s="178"/>
    </row>
    <row r="22413" spans="18:19">
      <c r="R22413" s="178"/>
      <c r="S22413" s="178"/>
    </row>
    <row r="22414" spans="18:19">
      <c r="R22414" s="178"/>
      <c r="S22414" s="178"/>
    </row>
    <row r="22415" spans="18:19">
      <c r="R22415" s="178"/>
      <c r="S22415" s="178"/>
    </row>
    <row r="22416" spans="18:19">
      <c r="R22416" s="178"/>
      <c r="S22416" s="178"/>
    </row>
    <row r="22417" spans="18:19">
      <c r="R22417" s="178"/>
      <c r="S22417" s="178"/>
    </row>
    <row r="22418" spans="18:19">
      <c r="R22418" s="178"/>
      <c r="S22418" s="178"/>
    </row>
    <row r="22419" spans="18:19">
      <c r="R22419" s="178"/>
      <c r="S22419" s="178"/>
    </row>
    <row r="22420" spans="18:19">
      <c r="R22420" s="178"/>
      <c r="S22420" s="178"/>
    </row>
    <row r="22421" spans="18:19">
      <c r="R22421" s="178"/>
      <c r="S22421" s="178"/>
    </row>
    <row r="22422" spans="18:19">
      <c r="R22422" s="178"/>
      <c r="S22422" s="178"/>
    </row>
    <row r="22423" spans="18:19">
      <c r="R22423" s="178"/>
      <c r="S22423" s="178"/>
    </row>
    <row r="22424" spans="18:19">
      <c r="R22424" s="178"/>
      <c r="S22424" s="178"/>
    </row>
    <row r="22425" spans="18:19">
      <c r="R22425" s="178"/>
      <c r="S22425" s="178"/>
    </row>
    <row r="22426" spans="18:19">
      <c r="R22426" s="178"/>
      <c r="S22426" s="178"/>
    </row>
    <row r="22427" spans="18:19">
      <c r="R22427" s="178"/>
      <c r="S22427" s="178"/>
    </row>
    <row r="22428" spans="18:19">
      <c r="R22428" s="178"/>
      <c r="S22428" s="178"/>
    </row>
    <row r="22429" spans="18:19">
      <c r="R22429" s="178"/>
      <c r="S22429" s="178"/>
    </row>
    <row r="22430" spans="18:19">
      <c r="R22430" s="178"/>
      <c r="S22430" s="178"/>
    </row>
    <row r="22431" spans="18:19">
      <c r="R22431" s="178"/>
      <c r="S22431" s="178"/>
    </row>
    <row r="22432" spans="18:19">
      <c r="R22432" s="178"/>
      <c r="S22432" s="178"/>
    </row>
    <row r="22433" spans="18:19">
      <c r="R22433" s="178"/>
      <c r="S22433" s="178"/>
    </row>
    <row r="22434" spans="18:19">
      <c r="R22434" s="178"/>
      <c r="S22434" s="178"/>
    </row>
    <row r="22435" spans="18:19">
      <c r="R22435" s="178"/>
      <c r="S22435" s="178"/>
    </row>
    <row r="22436" spans="18:19">
      <c r="R22436" s="178"/>
      <c r="S22436" s="178"/>
    </row>
    <row r="22437" spans="18:19">
      <c r="R22437" s="178"/>
      <c r="S22437" s="178"/>
    </row>
    <row r="22438" spans="18:19">
      <c r="R22438" s="178"/>
      <c r="S22438" s="178"/>
    </row>
    <row r="22439" spans="18:19">
      <c r="R22439" s="178"/>
      <c r="S22439" s="178"/>
    </row>
    <row r="22440" spans="18:19">
      <c r="R22440" s="178"/>
      <c r="S22440" s="178"/>
    </row>
    <row r="22441" spans="18:19">
      <c r="R22441" s="178"/>
      <c r="S22441" s="178"/>
    </row>
    <row r="22442" spans="18:19">
      <c r="R22442" s="178"/>
      <c r="S22442" s="178"/>
    </row>
    <row r="22443" spans="18:19">
      <c r="R22443" s="178"/>
      <c r="S22443" s="178"/>
    </row>
    <row r="22444" spans="18:19">
      <c r="R22444" s="178"/>
      <c r="S22444" s="178"/>
    </row>
    <row r="22445" spans="18:19">
      <c r="R22445" s="178"/>
      <c r="S22445" s="178"/>
    </row>
    <row r="22446" spans="18:19">
      <c r="R22446" s="178"/>
      <c r="S22446" s="178"/>
    </row>
    <row r="22447" spans="18:19">
      <c r="R22447" s="178"/>
      <c r="S22447" s="178"/>
    </row>
    <row r="22448" spans="18:19">
      <c r="R22448" s="178"/>
      <c r="S22448" s="178"/>
    </row>
    <row r="22449" spans="18:19">
      <c r="R22449" s="178"/>
      <c r="S22449" s="178"/>
    </row>
    <row r="22450" spans="18:19">
      <c r="R22450" s="178"/>
      <c r="S22450" s="178"/>
    </row>
    <row r="22451" spans="18:19">
      <c r="R22451" s="178"/>
      <c r="S22451" s="178"/>
    </row>
    <row r="22452" spans="18:19">
      <c r="R22452" s="178"/>
      <c r="S22452" s="178"/>
    </row>
    <row r="22453" spans="18:19">
      <c r="R22453" s="178"/>
      <c r="S22453" s="178"/>
    </row>
    <row r="22454" spans="18:19">
      <c r="R22454" s="178"/>
      <c r="S22454" s="178"/>
    </row>
    <row r="22455" spans="18:19">
      <c r="R22455" s="178"/>
      <c r="S22455" s="178"/>
    </row>
    <row r="22456" spans="18:19">
      <c r="R22456" s="178"/>
      <c r="S22456" s="178"/>
    </row>
    <row r="22457" spans="18:19">
      <c r="R22457" s="178"/>
      <c r="S22457" s="178"/>
    </row>
    <row r="22458" spans="18:19">
      <c r="R22458" s="178"/>
      <c r="S22458" s="178"/>
    </row>
    <row r="22459" spans="18:19">
      <c r="R22459" s="178"/>
      <c r="S22459" s="178"/>
    </row>
    <row r="22460" spans="18:19">
      <c r="R22460" s="178"/>
      <c r="S22460" s="178"/>
    </row>
    <row r="22461" spans="18:19">
      <c r="R22461" s="178"/>
      <c r="S22461" s="178"/>
    </row>
    <row r="22462" spans="18:19">
      <c r="R22462" s="178"/>
      <c r="S22462" s="178"/>
    </row>
    <row r="22463" spans="18:19">
      <c r="R22463" s="178"/>
      <c r="S22463" s="178"/>
    </row>
    <row r="22464" spans="18:19">
      <c r="R22464" s="178"/>
      <c r="S22464" s="178"/>
    </row>
    <row r="22465" spans="18:19">
      <c r="R22465" s="178"/>
      <c r="S22465" s="178"/>
    </row>
    <row r="22466" spans="18:19">
      <c r="R22466" s="178"/>
      <c r="S22466" s="178"/>
    </row>
    <row r="22467" spans="18:19">
      <c r="R22467" s="178"/>
      <c r="S22467" s="178"/>
    </row>
    <row r="22468" spans="18:19">
      <c r="R22468" s="178"/>
      <c r="S22468" s="178"/>
    </row>
    <row r="22469" spans="18:19">
      <c r="R22469" s="178"/>
      <c r="S22469" s="178"/>
    </row>
    <row r="22470" spans="18:19">
      <c r="R22470" s="178"/>
      <c r="S22470" s="178"/>
    </row>
    <row r="22471" spans="18:19">
      <c r="R22471" s="178"/>
      <c r="S22471" s="178"/>
    </row>
    <row r="22472" spans="18:19">
      <c r="R22472" s="178"/>
      <c r="S22472" s="178"/>
    </row>
    <row r="22473" spans="18:19">
      <c r="R22473" s="178"/>
      <c r="S22473" s="178"/>
    </row>
    <row r="22474" spans="18:19">
      <c r="R22474" s="178"/>
      <c r="S22474" s="178"/>
    </row>
    <row r="22475" spans="18:19">
      <c r="R22475" s="178"/>
      <c r="S22475" s="178"/>
    </row>
    <row r="22476" spans="18:19">
      <c r="R22476" s="178"/>
      <c r="S22476" s="178"/>
    </row>
    <row r="22477" spans="18:19">
      <c r="R22477" s="178"/>
      <c r="S22477" s="178"/>
    </row>
    <row r="22478" spans="18:19">
      <c r="R22478" s="178"/>
      <c r="S22478" s="178"/>
    </row>
    <row r="22479" spans="18:19">
      <c r="R22479" s="178"/>
      <c r="S22479" s="178"/>
    </row>
    <row r="22480" spans="18:19">
      <c r="R22480" s="178"/>
      <c r="S22480" s="178"/>
    </row>
    <row r="22481" spans="18:19">
      <c r="R22481" s="178"/>
      <c r="S22481" s="178"/>
    </row>
    <row r="22482" spans="18:19">
      <c r="R22482" s="178"/>
      <c r="S22482" s="178"/>
    </row>
    <row r="22483" spans="18:19">
      <c r="R22483" s="178"/>
      <c r="S22483" s="178"/>
    </row>
    <row r="22484" spans="18:19">
      <c r="R22484" s="178"/>
      <c r="S22484" s="178"/>
    </row>
    <row r="22485" spans="18:19">
      <c r="R22485" s="178"/>
      <c r="S22485" s="178"/>
    </row>
    <row r="22486" spans="18:19">
      <c r="R22486" s="178"/>
      <c r="S22486" s="178"/>
    </row>
    <row r="22487" spans="18:19">
      <c r="R22487" s="178"/>
      <c r="S22487" s="178"/>
    </row>
    <row r="22488" spans="18:19">
      <c r="R22488" s="178"/>
      <c r="S22488" s="178"/>
    </row>
    <row r="22489" spans="18:19">
      <c r="R22489" s="178"/>
      <c r="S22489" s="178"/>
    </row>
    <row r="22490" spans="18:19">
      <c r="R22490" s="178"/>
      <c r="S22490" s="178"/>
    </row>
    <row r="22491" spans="18:19">
      <c r="R22491" s="178"/>
      <c r="S22491" s="178"/>
    </row>
    <row r="22492" spans="18:19">
      <c r="R22492" s="178"/>
      <c r="S22492" s="178"/>
    </row>
    <row r="22493" spans="18:19">
      <c r="R22493" s="178"/>
      <c r="S22493" s="178"/>
    </row>
    <row r="22494" spans="18:19">
      <c r="R22494" s="178"/>
      <c r="S22494" s="178"/>
    </row>
    <row r="22495" spans="18:19">
      <c r="R22495" s="178"/>
      <c r="S22495" s="178"/>
    </row>
    <row r="22496" spans="18:19">
      <c r="R22496" s="178"/>
      <c r="S22496" s="178"/>
    </row>
    <row r="22497" spans="18:19">
      <c r="R22497" s="178"/>
      <c r="S22497" s="178"/>
    </row>
    <row r="22498" spans="18:19">
      <c r="R22498" s="178"/>
      <c r="S22498" s="178"/>
    </row>
    <row r="22499" spans="18:19">
      <c r="R22499" s="178"/>
      <c r="S22499" s="178"/>
    </row>
    <row r="22500" spans="18:19">
      <c r="R22500" s="178"/>
      <c r="S22500" s="178"/>
    </row>
    <row r="22501" spans="18:19">
      <c r="R22501" s="178"/>
      <c r="S22501" s="178"/>
    </row>
    <row r="22502" spans="18:19">
      <c r="R22502" s="178"/>
      <c r="S22502" s="178"/>
    </row>
    <row r="22503" spans="18:19">
      <c r="R22503" s="178"/>
      <c r="S22503" s="178"/>
    </row>
    <row r="22504" spans="18:19">
      <c r="R22504" s="178"/>
      <c r="S22504" s="178"/>
    </row>
    <row r="22505" spans="18:19">
      <c r="R22505" s="178"/>
      <c r="S22505" s="178"/>
    </row>
    <row r="22506" spans="18:19">
      <c r="R22506" s="178"/>
      <c r="S22506" s="178"/>
    </row>
    <row r="22507" spans="18:19">
      <c r="R22507" s="178"/>
      <c r="S22507" s="178"/>
    </row>
    <row r="22508" spans="18:19">
      <c r="R22508" s="178"/>
      <c r="S22508" s="178"/>
    </row>
    <row r="22509" spans="18:19">
      <c r="R22509" s="178"/>
      <c r="S22509" s="178"/>
    </row>
    <row r="22510" spans="18:19">
      <c r="R22510" s="178"/>
      <c r="S22510" s="178"/>
    </row>
    <row r="22511" spans="18:19">
      <c r="R22511" s="178"/>
      <c r="S22511" s="178"/>
    </row>
    <row r="22512" spans="18:19">
      <c r="R22512" s="178"/>
      <c r="S22512" s="178"/>
    </row>
    <row r="22513" spans="18:19">
      <c r="R22513" s="178"/>
      <c r="S22513" s="178"/>
    </row>
    <row r="22514" spans="18:19">
      <c r="R22514" s="178"/>
      <c r="S22514" s="178"/>
    </row>
    <row r="22515" spans="18:19">
      <c r="R22515" s="178"/>
      <c r="S22515" s="178"/>
    </row>
    <row r="22516" spans="18:19">
      <c r="R22516" s="178"/>
      <c r="S22516" s="178"/>
    </row>
    <row r="22517" spans="18:19">
      <c r="R22517" s="178"/>
      <c r="S22517" s="178"/>
    </row>
    <row r="22518" spans="18:19">
      <c r="R22518" s="178"/>
      <c r="S22518" s="178"/>
    </row>
    <row r="22519" spans="18:19">
      <c r="R22519" s="178"/>
      <c r="S22519" s="178"/>
    </row>
    <row r="22520" spans="18:19">
      <c r="R22520" s="178"/>
      <c r="S22520" s="178"/>
    </row>
    <row r="22521" spans="18:19">
      <c r="R22521" s="178"/>
      <c r="S22521" s="178"/>
    </row>
    <row r="22522" spans="18:19">
      <c r="R22522" s="178"/>
      <c r="S22522" s="178"/>
    </row>
    <row r="22523" spans="18:19">
      <c r="R22523" s="178"/>
      <c r="S22523" s="178"/>
    </row>
    <row r="22524" spans="18:19">
      <c r="R22524" s="178"/>
      <c r="S22524" s="178"/>
    </row>
    <row r="22525" spans="18:19">
      <c r="R22525" s="178"/>
      <c r="S22525" s="178"/>
    </row>
    <row r="22526" spans="18:19">
      <c r="R22526" s="178"/>
      <c r="S22526" s="178"/>
    </row>
    <row r="22527" spans="18:19">
      <c r="R22527" s="178"/>
      <c r="S22527" s="178"/>
    </row>
    <row r="22528" spans="18:19">
      <c r="R22528" s="178"/>
      <c r="S22528" s="178"/>
    </row>
    <row r="22529" spans="18:19">
      <c r="R22529" s="178"/>
      <c r="S22529" s="178"/>
    </row>
    <row r="22530" spans="18:19">
      <c r="R22530" s="178"/>
      <c r="S22530" s="178"/>
    </row>
    <row r="22531" spans="18:19">
      <c r="R22531" s="178"/>
      <c r="S22531" s="178"/>
    </row>
    <row r="22532" spans="18:19">
      <c r="R22532" s="178"/>
      <c r="S22532" s="178"/>
    </row>
    <row r="22533" spans="18:19">
      <c r="R22533" s="178"/>
      <c r="S22533" s="178"/>
    </row>
    <row r="22534" spans="18:19">
      <c r="R22534" s="178"/>
      <c r="S22534" s="178"/>
    </row>
    <row r="22535" spans="18:19">
      <c r="R22535" s="178"/>
      <c r="S22535" s="178"/>
    </row>
    <row r="22536" spans="18:19">
      <c r="R22536" s="178"/>
      <c r="S22536" s="178"/>
    </row>
    <row r="22537" spans="18:19">
      <c r="R22537" s="178"/>
      <c r="S22537" s="178"/>
    </row>
    <row r="22538" spans="18:19">
      <c r="R22538" s="178"/>
      <c r="S22538" s="178"/>
    </row>
    <row r="22539" spans="18:19">
      <c r="R22539" s="178"/>
      <c r="S22539" s="178"/>
    </row>
    <row r="22540" spans="18:19">
      <c r="R22540" s="178"/>
      <c r="S22540" s="178"/>
    </row>
    <row r="22541" spans="18:19">
      <c r="R22541" s="178"/>
      <c r="S22541" s="178"/>
    </row>
    <row r="22542" spans="18:19">
      <c r="R22542" s="178"/>
      <c r="S22542" s="178"/>
    </row>
    <row r="22543" spans="18:19">
      <c r="R22543" s="178"/>
      <c r="S22543" s="178"/>
    </row>
    <row r="22544" spans="18:19">
      <c r="R22544" s="178"/>
      <c r="S22544" s="178"/>
    </row>
    <row r="22545" spans="18:19">
      <c r="R22545" s="178"/>
      <c r="S22545" s="178"/>
    </row>
    <row r="22546" spans="18:19">
      <c r="R22546" s="178"/>
      <c r="S22546" s="178"/>
    </row>
    <row r="22547" spans="18:19">
      <c r="R22547" s="178"/>
      <c r="S22547" s="178"/>
    </row>
    <row r="22548" spans="18:19">
      <c r="R22548" s="178"/>
      <c r="S22548" s="178"/>
    </row>
    <row r="22549" spans="18:19">
      <c r="R22549" s="178"/>
      <c r="S22549" s="178"/>
    </row>
    <row r="22550" spans="18:19">
      <c r="R22550" s="178"/>
      <c r="S22550" s="178"/>
    </row>
    <row r="22551" spans="18:19">
      <c r="R22551" s="178"/>
      <c r="S22551" s="178"/>
    </row>
    <row r="22552" spans="18:19">
      <c r="R22552" s="178"/>
      <c r="S22552" s="178"/>
    </row>
    <row r="22553" spans="18:19">
      <c r="R22553" s="178"/>
      <c r="S22553" s="178"/>
    </row>
    <row r="22554" spans="18:19">
      <c r="R22554" s="178"/>
      <c r="S22554" s="178"/>
    </row>
    <row r="22555" spans="18:19">
      <c r="R22555" s="178"/>
      <c r="S22555" s="178"/>
    </row>
    <row r="22556" spans="18:19">
      <c r="R22556" s="178"/>
      <c r="S22556" s="178"/>
    </row>
    <row r="22557" spans="18:19">
      <c r="R22557" s="178"/>
      <c r="S22557" s="178"/>
    </row>
    <row r="22558" spans="18:19">
      <c r="R22558" s="178"/>
      <c r="S22558" s="178"/>
    </row>
    <row r="22559" spans="18:19">
      <c r="R22559" s="178"/>
      <c r="S22559" s="178"/>
    </row>
    <row r="22560" spans="18:19">
      <c r="R22560" s="178"/>
      <c r="S22560" s="178"/>
    </row>
    <row r="22561" spans="18:19">
      <c r="R22561" s="178"/>
      <c r="S22561" s="178"/>
    </row>
    <row r="22562" spans="18:19">
      <c r="R22562" s="178"/>
      <c r="S22562" s="178"/>
    </row>
    <row r="22563" spans="18:19">
      <c r="R22563" s="178"/>
      <c r="S22563" s="178"/>
    </row>
    <row r="22564" spans="18:19">
      <c r="R22564" s="178"/>
      <c r="S22564" s="178"/>
    </row>
    <row r="22565" spans="18:19">
      <c r="R22565" s="178"/>
      <c r="S22565" s="178"/>
    </row>
    <row r="22566" spans="18:19">
      <c r="R22566" s="178"/>
      <c r="S22566" s="178"/>
    </row>
    <row r="22567" spans="18:19">
      <c r="R22567" s="178"/>
      <c r="S22567" s="178"/>
    </row>
    <row r="22568" spans="18:19">
      <c r="R22568" s="178"/>
      <c r="S22568" s="178"/>
    </row>
    <row r="22569" spans="18:19">
      <c r="R22569" s="178"/>
      <c r="S22569" s="178"/>
    </row>
    <row r="22570" spans="18:19">
      <c r="R22570" s="178"/>
      <c r="S22570" s="178"/>
    </row>
    <row r="22571" spans="18:19">
      <c r="R22571" s="178"/>
      <c r="S22571" s="178"/>
    </row>
    <row r="22572" spans="18:19">
      <c r="R22572" s="178"/>
      <c r="S22572" s="178"/>
    </row>
    <row r="22573" spans="18:19">
      <c r="R22573" s="178"/>
      <c r="S22573" s="178"/>
    </row>
    <row r="22574" spans="18:19">
      <c r="R22574" s="178"/>
      <c r="S22574" s="178"/>
    </row>
    <row r="22575" spans="18:19">
      <c r="R22575" s="178"/>
      <c r="S22575" s="178"/>
    </row>
    <row r="22576" spans="18:19">
      <c r="R22576" s="178"/>
      <c r="S22576" s="178"/>
    </row>
    <row r="22577" spans="18:19">
      <c r="R22577" s="178"/>
      <c r="S22577" s="178"/>
    </row>
    <row r="22578" spans="18:19">
      <c r="R22578" s="178"/>
      <c r="S22578" s="178"/>
    </row>
    <row r="22579" spans="18:19">
      <c r="R22579" s="178"/>
      <c r="S22579" s="178"/>
    </row>
    <row r="22580" spans="18:19">
      <c r="R22580" s="178"/>
      <c r="S22580" s="178"/>
    </row>
    <row r="22581" spans="18:19">
      <c r="R22581" s="178"/>
      <c r="S22581" s="178"/>
    </row>
    <row r="22582" spans="18:19">
      <c r="R22582" s="178"/>
      <c r="S22582" s="178"/>
    </row>
    <row r="22583" spans="18:19">
      <c r="R22583" s="178"/>
      <c r="S22583" s="178"/>
    </row>
    <row r="22584" spans="18:19">
      <c r="R22584" s="178"/>
      <c r="S22584" s="178"/>
    </row>
    <row r="22585" spans="18:19">
      <c r="R22585" s="178"/>
      <c r="S22585" s="178"/>
    </row>
    <row r="22586" spans="18:19">
      <c r="R22586" s="178"/>
      <c r="S22586" s="178"/>
    </row>
    <row r="22587" spans="18:19">
      <c r="R22587" s="178"/>
      <c r="S22587" s="178"/>
    </row>
    <row r="22588" spans="18:19">
      <c r="R22588" s="178"/>
      <c r="S22588" s="178"/>
    </row>
    <row r="22589" spans="18:19">
      <c r="R22589" s="178"/>
      <c r="S22589" s="178"/>
    </row>
    <row r="22590" spans="18:19">
      <c r="R22590" s="178"/>
      <c r="S22590" s="178"/>
    </row>
    <row r="22591" spans="18:19">
      <c r="R22591" s="178"/>
      <c r="S22591" s="178"/>
    </row>
    <row r="22592" spans="18:19">
      <c r="R22592" s="178"/>
      <c r="S22592" s="178"/>
    </row>
    <row r="22593" spans="18:19">
      <c r="R22593" s="178"/>
      <c r="S22593" s="178"/>
    </row>
    <row r="22594" spans="18:19">
      <c r="R22594" s="178"/>
      <c r="S22594" s="178"/>
    </row>
    <row r="22595" spans="18:19">
      <c r="R22595" s="178"/>
      <c r="S22595" s="178"/>
    </row>
    <row r="22596" spans="18:19">
      <c r="R22596" s="178"/>
      <c r="S22596" s="178"/>
    </row>
    <row r="22597" spans="18:19">
      <c r="R22597" s="178"/>
      <c r="S22597" s="178"/>
    </row>
    <row r="22598" spans="18:19">
      <c r="R22598" s="178"/>
      <c r="S22598" s="178"/>
    </row>
    <row r="22599" spans="18:19">
      <c r="R22599" s="178"/>
      <c r="S22599" s="178"/>
    </row>
    <row r="22600" spans="18:19">
      <c r="R22600" s="178"/>
      <c r="S22600" s="178"/>
    </row>
    <row r="22601" spans="18:19">
      <c r="R22601" s="178"/>
      <c r="S22601" s="178"/>
    </row>
    <row r="22602" spans="18:19">
      <c r="R22602" s="178"/>
      <c r="S22602" s="178"/>
    </row>
    <row r="22603" spans="18:19">
      <c r="R22603" s="178"/>
      <c r="S22603" s="178"/>
    </row>
    <row r="22604" spans="18:19">
      <c r="R22604" s="178"/>
      <c r="S22604" s="178"/>
    </row>
    <row r="22605" spans="18:19">
      <c r="R22605" s="178"/>
      <c r="S22605" s="178"/>
    </row>
    <row r="22606" spans="18:19">
      <c r="R22606" s="178"/>
      <c r="S22606" s="178"/>
    </row>
    <row r="22607" spans="18:19">
      <c r="R22607" s="178"/>
      <c r="S22607" s="178"/>
    </row>
    <row r="22608" spans="18:19">
      <c r="R22608" s="178"/>
      <c r="S22608" s="178"/>
    </row>
    <row r="22609" spans="18:19">
      <c r="R22609" s="178"/>
      <c r="S22609" s="178"/>
    </row>
    <row r="22610" spans="18:19">
      <c r="R22610" s="178"/>
      <c r="S22610" s="178"/>
    </row>
    <row r="22611" spans="18:19">
      <c r="R22611" s="178"/>
      <c r="S22611" s="178"/>
    </row>
    <row r="22612" spans="18:19">
      <c r="R22612" s="178"/>
      <c r="S22612" s="178"/>
    </row>
    <row r="22613" spans="18:19">
      <c r="R22613" s="178"/>
      <c r="S22613" s="178"/>
    </row>
    <row r="22614" spans="18:19">
      <c r="R22614" s="178"/>
      <c r="S22614" s="178"/>
    </row>
    <row r="22615" spans="18:19">
      <c r="R22615" s="178"/>
      <c r="S22615" s="178"/>
    </row>
    <row r="22616" spans="18:19">
      <c r="R22616" s="178"/>
      <c r="S22616" s="178"/>
    </row>
    <row r="22617" spans="18:19">
      <c r="R22617" s="178"/>
      <c r="S22617" s="178"/>
    </row>
    <row r="22618" spans="18:19">
      <c r="R22618" s="178"/>
      <c r="S22618" s="178"/>
    </row>
    <row r="22619" spans="18:19">
      <c r="R22619" s="178"/>
      <c r="S22619" s="178"/>
    </row>
    <row r="22620" spans="18:19">
      <c r="R22620" s="178"/>
      <c r="S22620" s="178"/>
    </row>
    <row r="22621" spans="18:19">
      <c r="R22621" s="178"/>
      <c r="S22621" s="178"/>
    </row>
    <row r="22622" spans="18:19">
      <c r="R22622" s="178"/>
      <c r="S22622" s="178"/>
    </row>
    <row r="22623" spans="18:19">
      <c r="R22623" s="178"/>
      <c r="S22623" s="178"/>
    </row>
    <row r="22624" spans="18:19">
      <c r="R22624" s="178"/>
      <c r="S22624" s="178"/>
    </row>
    <row r="22625" spans="18:19">
      <c r="R22625" s="178"/>
      <c r="S22625" s="178"/>
    </row>
    <row r="22626" spans="18:19">
      <c r="R22626" s="178"/>
      <c r="S22626" s="178"/>
    </row>
    <row r="22627" spans="18:19">
      <c r="R22627" s="178"/>
      <c r="S22627" s="178"/>
    </row>
    <row r="22628" spans="18:19">
      <c r="R22628" s="178"/>
      <c r="S22628" s="178"/>
    </row>
    <row r="22629" spans="18:19">
      <c r="R22629" s="178"/>
      <c r="S22629" s="178"/>
    </row>
    <row r="22630" spans="18:19">
      <c r="R22630" s="178"/>
      <c r="S22630" s="178"/>
    </row>
    <row r="22631" spans="18:19">
      <c r="R22631" s="178"/>
      <c r="S22631" s="178"/>
    </row>
    <row r="22632" spans="18:19">
      <c r="R22632" s="178"/>
      <c r="S22632" s="178"/>
    </row>
    <row r="22633" spans="18:19">
      <c r="R22633" s="178"/>
      <c r="S22633" s="178"/>
    </row>
    <row r="22634" spans="18:19">
      <c r="R22634" s="178"/>
      <c r="S22634" s="178"/>
    </row>
    <row r="22635" spans="18:19">
      <c r="R22635" s="178"/>
      <c r="S22635" s="178"/>
    </row>
    <row r="22636" spans="18:19">
      <c r="R22636" s="178"/>
      <c r="S22636" s="178"/>
    </row>
    <row r="22637" spans="18:19">
      <c r="R22637" s="178"/>
      <c r="S22637" s="178"/>
    </row>
    <row r="22638" spans="18:19">
      <c r="R22638" s="178"/>
      <c r="S22638" s="178"/>
    </row>
    <row r="22639" spans="18:19">
      <c r="R22639" s="178"/>
      <c r="S22639" s="178"/>
    </row>
    <row r="22640" spans="18:19">
      <c r="R22640" s="178"/>
      <c r="S22640" s="178"/>
    </row>
    <row r="22641" spans="18:19">
      <c r="R22641" s="178"/>
      <c r="S22641" s="178"/>
    </row>
    <row r="22642" spans="18:19">
      <c r="R22642" s="178"/>
      <c r="S22642" s="178"/>
    </row>
    <row r="22643" spans="18:19">
      <c r="R22643" s="178"/>
      <c r="S22643" s="178"/>
    </row>
    <row r="22644" spans="18:19">
      <c r="R22644" s="178"/>
      <c r="S22644" s="178"/>
    </row>
    <row r="22645" spans="18:19">
      <c r="R22645" s="178"/>
      <c r="S22645" s="178"/>
    </row>
    <row r="22646" spans="18:19">
      <c r="R22646" s="178"/>
      <c r="S22646" s="178"/>
    </row>
    <row r="22647" spans="18:19">
      <c r="R22647" s="178"/>
      <c r="S22647" s="178"/>
    </row>
    <row r="22648" spans="18:19">
      <c r="R22648" s="178"/>
      <c r="S22648" s="178"/>
    </row>
    <row r="22649" spans="18:19">
      <c r="R22649" s="178"/>
      <c r="S22649" s="178"/>
    </row>
    <row r="22650" spans="18:19">
      <c r="R22650" s="178"/>
      <c r="S22650" s="178"/>
    </row>
    <row r="22651" spans="18:19">
      <c r="R22651" s="178"/>
      <c r="S22651" s="178"/>
    </row>
    <row r="22652" spans="18:19">
      <c r="R22652" s="178"/>
      <c r="S22652" s="178"/>
    </row>
    <row r="22653" spans="18:19">
      <c r="R22653" s="178"/>
      <c r="S22653" s="178"/>
    </row>
    <row r="22654" spans="18:19">
      <c r="R22654" s="178"/>
      <c r="S22654" s="178"/>
    </row>
    <row r="22655" spans="18:19">
      <c r="R22655" s="178"/>
      <c r="S22655" s="178"/>
    </row>
    <row r="22656" spans="18:19">
      <c r="R22656" s="178"/>
      <c r="S22656" s="178"/>
    </row>
    <row r="22657" spans="18:19">
      <c r="R22657" s="178"/>
      <c r="S22657" s="178"/>
    </row>
    <row r="22658" spans="18:19">
      <c r="R22658" s="178"/>
      <c r="S22658" s="178"/>
    </row>
    <row r="22659" spans="18:19">
      <c r="R22659" s="178"/>
      <c r="S22659" s="178"/>
    </row>
    <row r="22660" spans="18:19">
      <c r="R22660" s="178"/>
      <c r="S22660" s="178"/>
    </row>
    <row r="22661" spans="18:19">
      <c r="R22661" s="178"/>
      <c r="S22661" s="178"/>
    </row>
    <row r="22662" spans="18:19">
      <c r="R22662" s="178"/>
      <c r="S22662" s="178"/>
    </row>
    <row r="22663" spans="18:19">
      <c r="R22663" s="178"/>
      <c r="S22663" s="178"/>
    </row>
    <row r="22664" spans="18:19">
      <c r="R22664" s="178"/>
      <c r="S22664" s="178"/>
    </row>
    <row r="22665" spans="18:19">
      <c r="R22665" s="178"/>
      <c r="S22665" s="178"/>
    </row>
    <row r="22666" spans="18:19">
      <c r="R22666" s="178"/>
      <c r="S22666" s="178"/>
    </row>
    <row r="22667" spans="18:19">
      <c r="R22667" s="178"/>
      <c r="S22667" s="178"/>
    </row>
    <row r="22668" spans="18:19">
      <c r="R22668" s="178"/>
      <c r="S22668" s="178"/>
    </row>
    <row r="22669" spans="18:19">
      <c r="R22669" s="178"/>
      <c r="S22669" s="178"/>
    </row>
    <row r="22670" spans="18:19">
      <c r="R22670" s="178"/>
      <c r="S22670" s="178"/>
    </row>
    <row r="22671" spans="18:19">
      <c r="R22671" s="178"/>
      <c r="S22671" s="178"/>
    </row>
    <row r="22672" spans="18:19">
      <c r="R22672" s="178"/>
      <c r="S22672" s="178"/>
    </row>
    <row r="22673" spans="18:19">
      <c r="R22673" s="178"/>
      <c r="S22673" s="178"/>
    </row>
    <row r="22674" spans="18:19">
      <c r="R22674" s="178"/>
      <c r="S22674" s="178"/>
    </row>
    <row r="22675" spans="18:19">
      <c r="R22675" s="178"/>
      <c r="S22675" s="178"/>
    </row>
    <row r="22676" spans="18:19">
      <c r="R22676" s="178"/>
      <c r="S22676" s="178"/>
    </row>
    <row r="22677" spans="18:19">
      <c r="R22677" s="178"/>
      <c r="S22677" s="178"/>
    </row>
    <row r="22678" spans="18:19">
      <c r="R22678" s="178"/>
      <c r="S22678" s="178"/>
    </row>
    <row r="22679" spans="18:19">
      <c r="R22679" s="178"/>
      <c r="S22679" s="178"/>
    </row>
    <row r="22680" spans="18:19">
      <c r="R22680" s="178"/>
      <c r="S22680" s="178"/>
    </row>
    <row r="22681" spans="18:19">
      <c r="R22681" s="178"/>
      <c r="S22681" s="178"/>
    </row>
    <row r="22682" spans="18:19">
      <c r="R22682" s="178"/>
      <c r="S22682" s="178"/>
    </row>
    <row r="22683" spans="18:19">
      <c r="R22683" s="178"/>
      <c r="S22683" s="178"/>
    </row>
    <row r="22684" spans="18:19">
      <c r="R22684" s="178"/>
      <c r="S22684" s="178"/>
    </row>
    <row r="22685" spans="18:19">
      <c r="R22685" s="178"/>
      <c r="S22685" s="178"/>
    </row>
    <row r="22686" spans="18:19">
      <c r="R22686" s="178"/>
      <c r="S22686" s="178"/>
    </row>
    <row r="22687" spans="18:19">
      <c r="R22687" s="178"/>
      <c r="S22687" s="178"/>
    </row>
    <row r="22688" spans="18:19">
      <c r="R22688" s="178"/>
      <c r="S22688" s="178"/>
    </row>
    <row r="22689" spans="18:19">
      <c r="R22689" s="178"/>
      <c r="S22689" s="178"/>
    </row>
    <row r="22690" spans="18:19">
      <c r="R22690" s="178"/>
      <c r="S22690" s="178"/>
    </row>
    <row r="22691" spans="18:19">
      <c r="R22691" s="178"/>
      <c r="S22691" s="178"/>
    </row>
    <row r="22692" spans="18:19">
      <c r="R22692" s="178"/>
      <c r="S22692" s="178"/>
    </row>
    <row r="22693" spans="18:19">
      <c r="R22693" s="178"/>
      <c r="S22693" s="178"/>
    </row>
    <row r="22694" spans="18:19">
      <c r="R22694" s="178"/>
      <c r="S22694" s="178"/>
    </row>
    <row r="22695" spans="18:19">
      <c r="R22695" s="178"/>
      <c r="S22695" s="178"/>
    </row>
    <row r="22696" spans="18:19">
      <c r="R22696" s="178"/>
      <c r="S22696" s="178"/>
    </row>
    <row r="22697" spans="18:19">
      <c r="R22697" s="178"/>
      <c r="S22697" s="178"/>
    </row>
    <row r="22698" spans="18:19">
      <c r="R22698" s="178"/>
      <c r="S22698" s="178"/>
    </row>
    <row r="22699" spans="18:19">
      <c r="R22699" s="178"/>
      <c r="S22699" s="178"/>
    </row>
    <row r="22700" spans="18:19">
      <c r="R22700" s="178"/>
      <c r="S22700" s="178"/>
    </row>
    <row r="22701" spans="18:19">
      <c r="R22701" s="178"/>
      <c r="S22701" s="178"/>
    </row>
    <row r="22702" spans="18:19">
      <c r="R22702" s="178"/>
      <c r="S22702" s="178"/>
    </row>
    <row r="22703" spans="18:19">
      <c r="R22703" s="178"/>
      <c r="S22703" s="178"/>
    </row>
    <row r="22704" spans="18:19">
      <c r="R22704" s="178"/>
      <c r="S22704" s="178"/>
    </row>
    <row r="22705" spans="18:19">
      <c r="R22705" s="178"/>
      <c r="S22705" s="178"/>
    </row>
    <row r="22706" spans="18:19">
      <c r="R22706" s="178"/>
      <c r="S22706" s="178"/>
    </row>
    <row r="22707" spans="18:19">
      <c r="R22707" s="178"/>
      <c r="S22707" s="178"/>
    </row>
    <row r="22708" spans="18:19">
      <c r="R22708" s="178"/>
      <c r="S22708" s="178"/>
    </row>
    <row r="22709" spans="18:19">
      <c r="R22709" s="178"/>
      <c r="S22709" s="178"/>
    </row>
    <row r="22710" spans="18:19">
      <c r="R22710" s="178"/>
      <c r="S22710" s="178"/>
    </row>
    <row r="22711" spans="18:19">
      <c r="R22711" s="178"/>
      <c r="S22711" s="178"/>
    </row>
    <row r="22712" spans="18:19">
      <c r="R22712" s="178"/>
      <c r="S22712" s="178"/>
    </row>
    <row r="22713" spans="18:19">
      <c r="R22713" s="178"/>
      <c r="S22713" s="178"/>
    </row>
    <row r="22714" spans="18:19">
      <c r="R22714" s="178"/>
      <c r="S22714" s="178"/>
    </row>
    <row r="22715" spans="18:19">
      <c r="R22715" s="178"/>
      <c r="S22715" s="178"/>
    </row>
    <row r="22716" spans="18:19">
      <c r="R22716" s="178"/>
      <c r="S22716" s="178"/>
    </row>
    <row r="22717" spans="18:19">
      <c r="R22717" s="178"/>
      <c r="S22717" s="178"/>
    </row>
    <row r="22718" spans="18:19">
      <c r="R22718" s="178"/>
      <c r="S22718" s="178"/>
    </row>
    <row r="22719" spans="18:19">
      <c r="R22719" s="178"/>
      <c r="S22719" s="178"/>
    </row>
    <row r="22720" spans="18:19">
      <c r="R22720" s="178"/>
      <c r="S22720" s="178"/>
    </row>
    <row r="22721" spans="18:19">
      <c r="R22721" s="178"/>
      <c r="S22721" s="178"/>
    </row>
    <row r="22722" spans="18:19">
      <c r="R22722" s="178"/>
      <c r="S22722" s="178"/>
    </row>
    <row r="22723" spans="18:19">
      <c r="R22723" s="178"/>
      <c r="S22723" s="178"/>
    </row>
    <row r="22724" spans="18:19">
      <c r="R22724" s="178"/>
      <c r="S22724" s="178"/>
    </row>
    <row r="22725" spans="18:19">
      <c r="R22725" s="178"/>
      <c r="S22725" s="178"/>
    </row>
    <row r="22726" spans="18:19">
      <c r="R22726" s="178"/>
      <c r="S22726" s="178"/>
    </row>
    <row r="22727" spans="18:19">
      <c r="R22727" s="178"/>
      <c r="S22727" s="178"/>
    </row>
    <row r="22728" spans="18:19">
      <c r="R22728" s="178"/>
      <c r="S22728" s="178"/>
    </row>
    <row r="22729" spans="18:19">
      <c r="R22729" s="178"/>
      <c r="S22729" s="178"/>
    </row>
    <row r="22730" spans="18:19">
      <c r="R22730" s="178"/>
      <c r="S22730" s="178"/>
    </row>
    <row r="22731" spans="18:19">
      <c r="R22731" s="178"/>
      <c r="S22731" s="178"/>
    </row>
    <row r="22732" spans="18:19">
      <c r="R22732" s="178"/>
      <c r="S22732" s="178"/>
    </row>
    <row r="22733" spans="18:19">
      <c r="R22733" s="178"/>
      <c r="S22733" s="178"/>
    </row>
    <row r="22734" spans="18:19">
      <c r="R22734" s="178"/>
      <c r="S22734" s="178"/>
    </row>
    <row r="22735" spans="18:19">
      <c r="R22735" s="178"/>
      <c r="S22735" s="178"/>
    </row>
    <row r="22736" spans="18:19">
      <c r="R22736" s="178"/>
      <c r="S22736" s="178"/>
    </row>
    <row r="22737" spans="18:19">
      <c r="R22737" s="178"/>
      <c r="S22737" s="178"/>
    </row>
    <row r="22738" spans="18:19">
      <c r="R22738" s="178"/>
      <c r="S22738" s="178"/>
    </row>
    <row r="22739" spans="18:19">
      <c r="R22739" s="178"/>
      <c r="S22739" s="178"/>
    </row>
    <row r="22740" spans="18:19">
      <c r="R22740" s="178"/>
      <c r="S22740" s="178"/>
    </row>
    <row r="22741" spans="18:19">
      <c r="R22741" s="178"/>
      <c r="S22741" s="178"/>
    </row>
    <row r="22742" spans="18:19">
      <c r="R22742" s="178"/>
      <c r="S22742" s="178"/>
    </row>
    <row r="22743" spans="18:19">
      <c r="R22743" s="178"/>
      <c r="S22743" s="178"/>
    </row>
    <row r="22744" spans="18:19">
      <c r="R22744" s="178"/>
      <c r="S22744" s="178"/>
    </row>
    <row r="22745" spans="18:19">
      <c r="R22745" s="178"/>
      <c r="S22745" s="178"/>
    </row>
    <row r="22746" spans="18:19">
      <c r="R22746" s="178"/>
      <c r="S22746" s="178"/>
    </row>
    <row r="22747" spans="18:19">
      <c r="R22747" s="178"/>
      <c r="S22747" s="178"/>
    </row>
    <row r="22748" spans="18:19">
      <c r="R22748" s="178"/>
      <c r="S22748" s="178"/>
    </row>
    <row r="22749" spans="18:19">
      <c r="R22749" s="178"/>
      <c r="S22749" s="178"/>
    </row>
    <row r="22750" spans="18:19">
      <c r="R22750" s="178"/>
      <c r="S22750" s="178"/>
    </row>
    <row r="22751" spans="18:19">
      <c r="R22751" s="178"/>
      <c r="S22751" s="178"/>
    </row>
    <row r="22752" spans="18:19">
      <c r="R22752" s="178"/>
      <c r="S22752" s="178"/>
    </row>
    <row r="22753" spans="18:19">
      <c r="R22753" s="178"/>
      <c r="S22753" s="178"/>
    </row>
    <row r="22754" spans="18:19">
      <c r="R22754" s="178"/>
      <c r="S22754" s="178"/>
    </row>
    <row r="22755" spans="18:19">
      <c r="R22755" s="178"/>
      <c r="S22755" s="178"/>
    </row>
    <row r="22756" spans="18:19">
      <c r="R22756" s="178"/>
      <c r="S22756" s="178"/>
    </row>
    <row r="22757" spans="18:19">
      <c r="R22757" s="178"/>
      <c r="S22757" s="178"/>
    </row>
    <row r="22758" spans="18:19">
      <c r="R22758" s="178"/>
      <c r="S22758" s="178"/>
    </row>
    <row r="22759" spans="18:19">
      <c r="R22759" s="178"/>
      <c r="S22759" s="178"/>
    </row>
    <row r="22760" spans="18:19">
      <c r="R22760" s="178"/>
      <c r="S22760" s="178"/>
    </row>
    <row r="22761" spans="18:19">
      <c r="R22761" s="178"/>
      <c r="S22761" s="178"/>
    </row>
    <row r="22762" spans="18:19">
      <c r="R22762" s="178"/>
      <c r="S22762" s="178"/>
    </row>
    <row r="22763" spans="18:19">
      <c r="R22763" s="178"/>
      <c r="S22763" s="178"/>
    </row>
    <row r="22764" spans="18:19">
      <c r="R22764" s="178"/>
      <c r="S22764" s="178"/>
    </row>
    <row r="22765" spans="18:19">
      <c r="R22765" s="178"/>
      <c r="S22765" s="178"/>
    </row>
    <row r="22766" spans="18:19">
      <c r="R22766" s="178"/>
      <c r="S22766" s="178"/>
    </row>
    <row r="22767" spans="18:19">
      <c r="R22767" s="178"/>
      <c r="S22767" s="178"/>
    </row>
    <row r="22768" spans="18:19">
      <c r="R22768" s="178"/>
      <c r="S22768" s="178"/>
    </row>
    <row r="22769" spans="18:19">
      <c r="R22769" s="178"/>
      <c r="S22769" s="178"/>
    </row>
    <row r="22770" spans="18:19">
      <c r="R22770" s="178"/>
      <c r="S22770" s="178"/>
    </row>
    <row r="22771" spans="18:19">
      <c r="R22771" s="178"/>
      <c r="S22771" s="178"/>
    </row>
    <row r="22772" spans="18:19">
      <c r="R22772" s="178"/>
      <c r="S22772" s="178"/>
    </row>
    <row r="22773" spans="18:19">
      <c r="R22773" s="178"/>
      <c r="S22773" s="178"/>
    </row>
    <row r="22774" spans="18:19">
      <c r="R22774" s="178"/>
      <c r="S22774" s="178"/>
    </row>
    <row r="22775" spans="18:19">
      <c r="R22775" s="178"/>
      <c r="S22775" s="178"/>
    </row>
    <row r="22776" spans="18:19">
      <c r="R22776" s="178"/>
      <c r="S22776" s="178"/>
    </row>
    <row r="22777" spans="18:19">
      <c r="R22777" s="178"/>
      <c r="S22777" s="178"/>
    </row>
    <row r="22778" spans="18:19">
      <c r="R22778" s="178"/>
      <c r="S22778" s="178"/>
    </row>
    <row r="22779" spans="18:19">
      <c r="R22779" s="178"/>
      <c r="S22779" s="178"/>
    </row>
    <row r="22780" spans="18:19">
      <c r="R22780" s="178"/>
      <c r="S22780" s="178"/>
    </row>
    <row r="22781" spans="18:19">
      <c r="R22781" s="178"/>
      <c r="S22781" s="178"/>
    </row>
    <row r="22782" spans="18:19">
      <c r="R22782" s="178"/>
      <c r="S22782" s="178"/>
    </row>
    <row r="22783" spans="18:19">
      <c r="R22783" s="178"/>
      <c r="S22783" s="178"/>
    </row>
    <row r="22784" spans="18:19">
      <c r="R22784" s="178"/>
      <c r="S22784" s="178"/>
    </row>
    <row r="22785" spans="18:19">
      <c r="R22785" s="178"/>
      <c r="S22785" s="178"/>
    </row>
    <row r="22786" spans="18:19">
      <c r="R22786" s="178"/>
      <c r="S22786" s="178"/>
    </row>
    <row r="22787" spans="18:19">
      <c r="R22787" s="178"/>
      <c r="S22787" s="178"/>
    </row>
    <row r="22788" spans="18:19">
      <c r="R22788" s="178"/>
      <c r="S22788" s="178"/>
    </row>
    <row r="22789" spans="18:19">
      <c r="R22789" s="178"/>
      <c r="S22789" s="178"/>
    </row>
    <row r="22790" spans="18:19">
      <c r="R22790" s="178"/>
      <c r="S22790" s="178"/>
    </row>
    <row r="22791" spans="18:19">
      <c r="R22791" s="178"/>
      <c r="S22791" s="178"/>
    </row>
    <row r="22792" spans="18:19">
      <c r="R22792" s="178"/>
      <c r="S22792" s="178"/>
    </row>
    <row r="22793" spans="18:19">
      <c r="R22793" s="178"/>
      <c r="S22793" s="178"/>
    </row>
    <row r="22794" spans="18:19">
      <c r="R22794" s="178"/>
      <c r="S22794" s="178"/>
    </row>
    <row r="22795" spans="18:19">
      <c r="R22795" s="178"/>
      <c r="S22795" s="178"/>
    </row>
    <row r="22796" spans="18:19">
      <c r="R22796" s="178"/>
      <c r="S22796" s="178"/>
    </row>
    <row r="22797" spans="18:19">
      <c r="R22797" s="178"/>
      <c r="S22797" s="178"/>
    </row>
    <row r="22798" spans="18:19">
      <c r="R22798" s="178"/>
      <c r="S22798" s="178"/>
    </row>
    <row r="22799" spans="18:19">
      <c r="R22799" s="178"/>
      <c r="S22799" s="178"/>
    </row>
    <row r="22800" spans="18:19">
      <c r="R22800" s="178"/>
      <c r="S22800" s="178"/>
    </row>
    <row r="22801" spans="18:19">
      <c r="R22801" s="178"/>
      <c r="S22801" s="178"/>
    </row>
    <row r="22802" spans="18:19">
      <c r="R22802" s="178"/>
      <c r="S22802" s="178"/>
    </row>
    <row r="22803" spans="18:19">
      <c r="R22803" s="178"/>
      <c r="S22803" s="178"/>
    </row>
    <row r="22804" spans="18:19">
      <c r="R22804" s="178"/>
      <c r="S22804" s="178"/>
    </row>
    <row r="22805" spans="18:19">
      <c r="R22805" s="178"/>
      <c r="S22805" s="178"/>
    </row>
    <row r="22806" spans="18:19">
      <c r="R22806" s="178"/>
      <c r="S22806" s="178"/>
    </row>
    <row r="22807" spans="18:19">
      <c r="R22807" s="178"/>
      <c r="S22807" s="178"/>
    </row>
    <row r="22808" spans="18:19">
      <c r="R22808" s="178"/>
      <c r="S22808" s="178"/>
    </row>
    <row r="22809" spans="18:19">
      <c r="R22809" s="178"/>
      <c r="S22809" s="178"/>
    </row>
    <row r="22810" spans="18:19">
      <c r="R22810" s="178"/>
      <c r="S22810" s="178"/>
    </row>
    <row r="22811" spans="18:19">
      <c r="R22811" s="178"/>
      <c r="S22811" s="178"/>
    </row>
    <row r="22812" spans="18:19">
      <c r="R22812" s="178"/>
      <c r="S22812" s="178"/>
    </row>
    <row r="22813" spans="18:19">
      <c r="R22813" s="178"/>
      <c r="S22813" s="178"/>
    </row>
    <row r="22814" spans="18:19">
      <c r="R22814" s="178"/>
      <c r="S22814" s="178"/>
    </row>
    <row r="22815" spans="18:19">
      <c r="R22815" s="178"/>
      <c r="S22815" s="178"/>
    </row>
    <row r="22816" spans="18:19">
      <c r="R22816" s="178"/>
      <c r="S22816" s="178"/>
    </row>
    <row r="22817" spans="18:19">
      <c r="R22817" s="178"/>
      <c r="S22817" s="178"/>
    </row>
    <row r="22818" spans="18:19">
      <c r="R22818" s="178"/>
      <c r="S22818" s="178"/>
    </row>
    <row r="22819" spans="18:19">
      <c r="R22819" s="178"/>
      <c r="S22819" s="178"/>
    </row>
    <row r="22820" spans="18:19">
      <c r="R22820" s="178"/>
      <c r="S22820" s="178"/>
    </row>
    <row r="22821" spans="18:19">
      <c r="R22821" s="178"/>
      <c r="S22821" s="178"/>
    </row>
    <row r="22822" spans="18:19">
      <c r="R22822" s="178"/>
      <c r="S22822" s="178"/>
    </row>
    <row r="22823" spans="18:19">
      <c r="R22823" s="178"/>
      <c r="S22823" s="178"/>
    </row>
    <row r="22824" spans="18:19">
      <c r="R22824" s="178"/>
      <c r="S22824" s="178"/>
    </row>
    <row r="22825" spans="18:19">
      <c r="R22825" s="178"/>
      <c r="S22825" s="178"/>
    </row>
    <row r="22826" spans="18:19">
      <c r="R22826" s="178"/>
      <c r="S22826" s="178"/>
    </row>
    <row r="22827" spans="18:19">
      <c r="R22827" s="178"/>
      <c r="S22827" s="178"/>
    </row>
    <row r="22828" spans="18:19">
      <c r="R22828" s="178"/>
      <c r="S22828" s="178"/>
    </row>
    <row r="22829" spans="18:19">
      <c r="R22829" s="178"/>
      <c r="S22829" s="178"/>
    </row>
    <row r="22830" spans="18:19">
      <c r="R22830" s="178"/>
      <c r="S22830" s="178"/>
    </row>
    <row r="22831" spans="18:19">
      <c r="R22831" s="178"/>
      <c r="S22831" s="178"/>
    </row>
    <row r="22832" spans="18:19">
      <c r="R22832" s="178"/>
      <c r="S22832" s="178"/>
    </row>
    <row r="22833" spans="18:19">
      <c r="R22833" s="178"/>
      <c r="S22833" s="178"/>
    </row>
    <row r="22834" spans="18:19">
      <c r="R22834" s="178"/>
      <c r="S22834" s="178"/>
    </row>
    <row r="22835" spans="18:19">
      <c r="R22835" s="178"/>
      <c r="S22835" s="178"/>
    </row>
    <row r="22836" spans="18:19">
      <c r="R22836" s="178"/>
      <c r="S22836" s="178"/>
    </row>
    <row r="22837" spans="18:19">
      <c r="R22837" s="178"/>
      <c r="S22837" s="178"/>
    </row>
    <row r="22838" spans="18:19">
      <c r="R22838" s="178"/>
      <c r="S22838" s="178"/>
    </row>
    <row r="22839" spans="18:19">
      <c r="R22839" s="178"/>
      <c r="S22839" s="178"/>
    </row>
    <row r="22840" spans="18:19">
      <c r="R22840" s="178"/>
      <c r="S22840" s="178"/>
    </row>
    <row r="22841" spans="18:19">
      <c r="R22841" s="178"/>
      <c r="S22841" s="178"/>
    </row>
    <row r="22842" spans="18:19">
      <c r="R22842" s="178"/>
      <c r="S22842" s="178"/>
    </row>
    <row r="22843" spans="18:19">
      <c r="R22843" s="178"/>
      <c r="S22843" s="178"/>
    </row>
    <row r="22844" spans="18:19">
      <c r="R22844" s="178"/>
      <c r="S22844" s="178"/>
    </row>
    <row r="22845" spans="18:19">
      <c r="R22845" s="178"/>
      <c r="S22845" s="178"/>
    </row>
    <row r="22846" spans="18:19">
      <c r="R22846" s="178"/>
      <c r="S22846" s="178"/>
    </row>
    <row r="22847" spans="18:19">
      <c r="R22847" s="178"/>
      <c r="S22847" s="178"/>
    </row>
    <row r="22848" spans="18:19">
      <c r="R22848" s="178"/>
      <c r="S22848" s="178"/>
    </row>
    <row r="22849" spans="18:19">
      <c r="R22849" s="178"/>
      <c r="S22849" s="178"/>
    </row>
    <row r="22850" spans="18:19">
      <c r="R22850" s="178"/>
      <c r="S22850" s="178"/>
    </row>
    <row r="22851" spans="18:19">
      <c r="R22851" s="178"/>
      <c r="S22851" s="178"/>
    </row>
    <row r="22852" spans="18:19">
      <c r="R22852" s="178"/>
      <c r="S22852" s="178"/>
    </row>
    <row r="22853" spans="18:19">
      <c r="R22853" s="178"/>
      <c r="S22853" s="178"/>
    </row>
    <row r="22854" spans="18:19">
      <c r="R22854" s="178"/>
      <c r="S22854" s="178"/>
    </row>
    <row r="22855" spans="18:19">
      <c r="R22855" s="178"/>
      <c r="S22855" s="178"/>
    </row>
    <row r="22856" spans="18:19">
      <c r="R22856" s="178"/>
      <c r="S22856" s="178"/>
    </row>
    <row r="22857" spans="18:19">
      <c r="R22857" s="178"/>
      <c r="S22857" s="178"/>
    </row>
    <row r="22858" spans="18:19">
      <c r="R22858" s="178"/>
      <c r="S22858" s="178"/>
    </row>
    <row r="22859" spans="18:19">
      <c r="R22859" s="178"/>
      <c r="S22859" s="178"/>
    </row>
    <row r="22860" spans="18:19">
      <c r="R22860" s="178"/>
      <c r="S22860" s="178"/>
    </row>
    <row r="22861" spans="18:19">
      <c r="R22861" s="178"/>
      <c r="S22861" s="178"/>
    </row>
    <row r="22862" spans="18:19">
      <c r="R22862" s="178"/>
      <c r="S22862" s="178"/>
    </row>
    <row r="22863" spans="18:19">
      <c r="R22863" s="178"/>
      <c r="S22863" s="178"/>
    </row>
    <row r="22864" spans="18:19">
      <c r="R22864" s="178"/>
      <c r="S22864" s="178"/>
    </row>
    <row r="22865" spans="18:19">
      <c r="R22865" s="178"/>
      <c r="S22865" s="178"/>
    </row>
    <row r="22866" spans="18:19">
      <c r="R22866" s="178"/>
      <c r="S22866" s="178"/>
    </row>
    <row r="22867" spans="18:19">
      <c r="R22867" s="178"/>
      <c r="S22867" s="178"/>
    </row>
    <row r="22868" spans="18:19">
      <c r="R22868" s="178"/>
      <c r="S22868" s="178"/>
    </row>
    <row r="22869" spans="18:19">
      <c r="R22869" s="178"/>
      <c r="S22869" s="178"/>
    </row>
    <row r="22870" spans="18:19">
      <c r="R22870" s="178"/>
      <c r="S22870" s="178"/>
    </row>
    <row r="22871" spans="18:19">
      <c r="R22871" s="178"/>
      <c r="S22871" s="178"/>
    </row>
    <row r="22872" spans="18:19">
      <c r="R22872" s="178"/>
      <c r="S22872" s="178"/>
    </row>
    <row r="22873" spans="18:19">
      <c r="R22873" s="178"/>
      <c r="S22873" s="178"/>
    </row>
    <row r="22874" spans="18:19">
      <c r="R22874" s="178"/>
      <c r="S22874" s="178"/>
    </row>
    <row r="22875" spans="18:19">
      <c r="R22875" s="178"/>
      <c r="S22875" s="178"/>
    </row>
    <row r="22876" spans="18:19">
      <c r="R22876" s="178"/>
      <c r="S22876" s="178"/>
    </row>
    <row r="22877" spans="18:19">
      <c r="R22877" s="178"/>
      <c r="S22877" s="178"/>
    </row>
    <row r="22878" spans="18:19">
      <c r="R22878" s="178"/>
      <c r="S22878" s="178"/>
    </row>
    <row r="22879" spans="18:19">
      <c r="R22879" s="178"/>
      <c r="S22879" s="178"/>
    </row>
    <row r="22880" spans="18:19">
      <c r="R22880" s="178"/>
      <c r="S22880" s="178"/>
    </row>
    <row r="22881" spans="18:19">
      <c r="R22881" s="178"/>
      <c r="S22881" s="178"/>
    </row>
    <row r="22882" spans="18:19">
      <c r="R22882" s="178"/>
      <c r="S22882" s="178"/>
    </row>
    <row r="22883" spans="18:19">
      <c r="R22883" s="178"/>
      <c r="S22883" s="178"/>
    </row>
    <row r="22884" spans="18:19">
      <c r="R22884" s="178"/>
      <c r="S22884" s="178"/>
    </row>
    <row r="22885" spans="18:19">
      <c r="R22885" s="178"/>
      <c r="S22885" s="178"/>
    </row>
    <row r="22886" spans="18:19">
      <c r="R22886" s="178"/>
      <c r="S22886" s="178"/>
    </row>
    <row r="22887" spans="18:19">
      <c r="R22887" s="178"/>
      <c r="S22887" s="178"/>
    </row>
    <row r="22888" spans="18:19">
      <c r="R22888" s="178"/>
      <c r="S22888" s="178"/>
    </row>
    <row r="22889" spans="18:19">
      <c r="R22889" s="178"/>
      <c r="S22889" s="178"/>
    </row>
    <row r="22890" spans="18:19">
      <c r="R22890" s="178"/>
      <c r="S22890" s="178"/>
    </row>
    <row r="22891" spans="18:19">
      <c r="R22891" s="178"/>
      <c r="S22891" s="178"/>
    </row>
    <row r="22892" spans="18:19">
      <c r="R22892" s="178"/>
      <c r="S22892" s="178"/>
    </row>
    <row r="22893" spans="18:19">
      <c r="R22893" s="178"/>
      <c r="S22893" s="178"/>
    </row>
    <row r="22894" spans="18:19">
      <c r="R22894" s="178"/>
      <c r="S22894" s="178"/>
    </row>
    <row r="22895" spans="18:19">
      <c r="R22895" s="178"/>
      <c r="S22895" s="178"/>
    </row>
    <row r="22896" spans="18:19">
      <c r="R22896" s="178"/>
      <c r="S22896" s="178"/>
    </row>
    <row r="22897" spans="18:19">
      <c r="R22897" s="178"/>
      <c r="S22897" s="178"/>
    </row>
    <row r="22898" spans="18:19">
      <c r="R22898" s="178"/>
      <c r="S22898" s="178"/>
    </row>
    <row r="22899" spans="18:19">
      <c r="R22899" s="178"/>
      <c r="S22899" s="178"/>
    </row>
    <row r="22900" spans="18:19">
      <c r="R22900" s="178"/>
      <c r="S22900" s="178"/>
    </row>
    <row r="22901" spans="18:19">
      <c r="R22901" s="178"/>
      <c r="S22901" s="178"/>
    </row>
    <row r="22902" spans="18:19">
      <c r="R22902" s="178"/>
      <c r="S22902" s="178"/>
    </row>
    <row r="22903" spans="18:19">
      <c r="R22903" s="178"/>
      <c r="S22903" s="178"/>
    </row>
    <row r="22904" spans="18:19">
      <c r="R22904" s="178"/>
      <c r="S22904" s="178"/>
    </row>
    <row r="22905" spans="18:19">
      <c r="R22905" s="178"/>
      <c r="S22905" s="178"/>
    </row>
    <row r="22906" spans="18:19">
      <c r="R22906" s="178"/>
      <c r="S22906" s="178"/>
    </row>
    <row r="22907" spans="18:19">
      <c r="R22907" s="178"/>
      <c r="S22907" s="178"/>
    </row>
    <row r="22908" spans="18:19">
      <c r="R22908" s="178"/>
      <c r="S22908" s="178"/>
    </row>
    <row r="22909" spans="18:19">
      <c r="R22909" s="178"/>
      <c r="S22909" s="178"/>
    </row>
    <row r="22910" spans="18:19">
      <c r="R22910" s="178"/>
      <c r="S22910" s="178"/>
    </row>
    <row r="22911" spans="18:19">
      <c r="R22911" s="178"/>
      <c r="S22911" s="178"/>
    </row>
    <row r="22912" spans="18:19">
      <c r="R22912" s="178"/>
      <c r="S22912" s="178"/>
    </row>
    <row r="22913" spans="18:19">
      <c r="R22913" s="178"/>
      <c r="S22913" s="178"/>
    </row>
    <row r="22914" spans="18:19">
      <c r="R22914" s="178"/>
      <c r="S22914" s="178"/>
    </row>
    <row r="22915" spans="18:19">
      <c r="R22915" s="178"/>
      <c r="S22915" s="178"/>
    </row>
    <row r="22916" spans="18:19">
      <c r="R22916" s="178"/>
      <c r="S22916" s="178"/>
    </row>
    <row r="22917" spans="18:19">
      <c r="R22917" s="178"/>
      <c r="S22917" s="178"/>
    </row>
    <row r="22918" spans="18:19">
      <c r="R22918" s="178"/>
      <c r="S22918" s="178"/>
    </row>
    <row r="22919" spans="18:19">
      <c r="R22919" s="178"/>
      <c r="S22919" s="178"/>
    </row>
    <row r="22920" spans="18:19">
      <c r="R22920" s="178"/>
      <c r="S22920" s="178"/>
    </row>
    <row r="22921" spans="18:19">
      <c r="R22921" s="178"/>
      <c r="S22921" s="178"/>
    </row>
    <row r="22922" spans="18:19">
      <c r="R22922" s="178"/>
      <c r="S22922" s="178"/>
    </row>
    <row r="22923" spans="18:19">
      <c r="R22923" s="178"/>
      <c r="S22923" s="178"/>
    </row>
    <row r="22924" spans="18:19">
      <c r="R22924" s="178"/>
      <c r="S22924" s="178"/>
    </row>
    <row r="22925" spans="18:19">
      <c r="R22925" s="178"/>
      <c r="S22925" s="178"/>
    </row>
    <row r="22926" spans="18:19">
      <c r="R22926" s="178"/>
      <c r="S22926" s="178"/>
    </row>
    <row r="22927" spans="18:19">
      <c r="R22927" s="178"/>
      <c r="S22927" s="178"/>
    </row>
    <row r="22928" spans="18:19">
      <c r="R22928" s="178"/>
      <c r="S22928" s="178"/>
    </row>
    <row r="22929" spans="18:19">
      <c r="R22929" s="178"/>
      <c r="S22929" s="178"/>
    </row>
    <row r="22930" spans="18:19">
      <c r="R22930" s="178"/>
      <c r="S22930" s="178"/>
    </row>
    <row r="22931" spans="18:19">
      <c r="R22931" s="178"/>
      <c r="S22931" s="178"/>
    </row>
    <row r="22932" spans="18:19">
      <c r="R22932" s="178"/>
      <c r="S22932" s="178"/>
    </row>
    <row r="22933" spans="18:19">
      <c r="R22933" s="178"/>
      <c r="S22933" s="178"/>
    </row>
    <row r="22934" spans="18:19">
      <c r="R22934" s="178"/>
      <c r="S22934" s="178"/>
    </row>
    <row r="22935" spans="18:19">
      <c r="R22935" s="178"/>
      <c r="S22935" s="178"/>
    </row>
    <row r="22936" spans="18:19">
      <c r="R22936" s="178"/>
      <c r="S22936" s="178"/>
    </row>
    <row r="22937" spans="18:19">
      <c r="R22937" s="178"/>
      <c r="S22937" s="178"/>
    </row>
    <row r="22938" spans="18:19">
      <c r="R22938" s="178"/>
      <c r="S22938" s="178"/>
    </row>
    <row r="22939" spans="18:19">
      <c r="R22939" s="178"/>
      <c r="S22939" s="178"/>
    </row>
    <row r="22940" spans="18:19">
      <c r="R22940" s="178"/>
      <c r="S22940" s="178"/>
    </row>
    <row r="22941" spans="18:19">
      <c r="R22941" s="178"/>
      <c r="S22941" s="178"/>
    </row>
    <row r="22942" spans="18:19">
      <c r="R22942" s="178"/>
      <c r="S22942" s="178"/>
    </row>
    <row r="22943" spans="18:19">
      <c r="R22943" s="178"/>
      <c r="S22943" s="178"/>
    </row>
    <row r="22944" spans="18:19">
      <c r="R22944" s="178"/>
      <c r="S22944" s="178"/>
    </row>
    <row r="22945" spans="18:19">
      <c r="R22945" s="178"/>
      <c r="S22945" s="178"/>
    </row>
    <row r="22946" spans="18:19">
      <c r="R22946" s="178"/>
      <c r="S22946" s="178"/>
    </row>
    <row r="22947" spans="18:19">
      <c r="R22947" s="178"/>
      <c r="S22947" s="178"/>
    </row>
    <row r="22948" spans="18:19">
      <c r="R22948" s="178"/>
      <c r="S22948" s="178"/>
    </row>
    <row r="22949" spans="18:19">
      <c r="R22949" s="178"/>
      <c r="S22949" s="178"/>
    </row>
    <row r="22950" spans="18:19">
      <c r="R22950" s="178"/>
      <c r="S22950" s="178"/>
    </row>
    <row r="22951" spans="18:19">
      <c r="R22951" s="178"/>
      <c r="S22951" s="178"/>
    </row>
    <row r="22952" spans="18:19">
      <c r="R22952" s="178"/>
      <c r="S22952" s="178"/>
    </row>
    <row r="22953" spans="18:19">
      <c r="R22953" s="178"/>
      <c r="S22953" s="178"/>
    </row>
    <row r="22954" spans="18:19">
      <c r="R22954" s="178"/>
      <c r="S22954" s="178"/>
    </row>
    <row r="22955" spans="18:19">
      <c r="R22955" s="178"/>
      <c r="S22955" s="178"/>
    </row>
    <row r="22956" spans="18:19">
      <c r="R22956" s="178"/>
      <c r="S22956" s="178"/>
    </row>
    <row r="22957" spans="18:19">
      <c r="R22957" s="178"/>
      <c r="S22957" s="178"/>
    </row>
    <row r="22958" spans="18:19">
      <c r="R22958" s="178"/>
      <c r="S22958" s="178"/>
    </row>
    <row r="22959" spans="18:19">
      <c r="R22959" s="178"/>
      <c r="S22959" s="178"/>
    </row>
    <row r="22960" spans="18:19">
      <c r="R22960" s="178"/>
      <c r="S22960" s="178"/>
    </row>
    <row r="22961" spans="18:19">
      <c r="R22961" s="178"/>
      <c r="S22961" s="178"/>
    </row>
    <row r="22962" spans="18:19">
      <c r="R22962" s="178"/>
      <c r="S22962" s="178"/>
    </row>
    <row r="22963" spans="18:19">
      <c r="R22963" s="178"/>
      <c r="S22963" s="178"/>
    </row>
    <row r="22964" spans="18:19">
      <c r="R22964" s="178"/>
      <c r="S22964" s="178"/>
    </row>
    <row r="22965" spans="18:19">
      <c r="R22965" s="178"/>
      <c r="S22965" s="178"/>
    </row>
    <row r="22966" spans="18:19">
      <c r="R22966" s="178"/>
      <c r="S22966" s="178"/>
    </row>
    <row r="22967" spans="18:19">
      <c r="R22967" s="178"/>
      <c r="S22967" s="178"/>
    </row>
    <row r="22968" spans="18:19">
      <c r="R22968" s="178"/>
      <c r="S22968" s="178"/>
    </row>
    <row r="22969" spans="18:19">
      <c r="R22969" s="178"/>
      <c r="S22969" s="178"/>
    </row>
    <row r="22970" spans="18:19">
      <c r="R22970" s="178"/>
      <c r="S22970" s="178"/>
    </row>
    <row r="22971" spans="18:19">
      <c r="R22971" s="178"/>
      <c r="S22971" s="178"/>
    </row>
    <row r="22972" spans="18:19">
      <c r="R22972" s="178"/>
      <c r="S22972" s="178"/>
    </row>
    <row r="22973" spans="18:19">
      <c r="R22973" s="178"/>
      <c r="S22973" s="178"/>
    </row>
    <row r="22974" spans="18:19">
      <c r="R22974" s="178"/>
      <c r="S22974" s="178"/>
    </row>
    <row r="22975" spans="18:19">
      <c r="R22975" s="178"/>
      <c r="S22975" s="178"/>
    </row>
    <row r="22976" spans="18:19">
      <c r="R22976" s="178"/>
      <c r="S22976" s="178"/>
    </row>
    <row r="22977" spans="18:19">
      <c r="R22977" s="178"/>
      <c r="S22977" s="178"/>
    </row>
    <row r="22978" spans="18:19">
      <c r="R22978" s="178"/>
      <c r="S22978" s="178"/>
    </row>
    <row r="22979" spans="18:19">
      <c r="R22979" s="178"/>
      <c r="S22979" s="178"/>
    </row>
    <row r="22980" spans="18:19">
      <c r="R22980" s="178"/>
      <c r="S22980" s="178"/>
    </row>
    <row r="22981" spans="18:19">
      <c r="R22981" s="178"/>
      <c r="S22981" s="178"/>
    </row>
    <row r="22982" spans="18:19">
      <c r="R22982" s="178"/>
      <c r="S22982" s="178"/>
    </row>
    <row r="22983" spans="18:19">
      <c r="R22983" s="178"/>
      <c r="S22983" s="178"/>
    </row>
    <row r="22984" spans="18:19">
      <c r="R22984" s="178"/>
      <c r="S22984" s="178"/>
    </row>
    <row r="22985" spans="18:19">
      <c r="R22985" s="178"/>
      <c r="S22985" s="178"/>
    </row>
    <row r="22986" spans="18:19">
      <c r="R22986" s="178"/>
      <c r="S22986" s="178"/>
    </row>
    <row r="22987" spans="18:19">
      <c r="R22987" s="178"/>
      <c r="S22987" s="178"/>
    </row>
    <row r="22988" spans="18:19">
      <c r="R22988" s="178"/>
      <c r="S22988" s="178"/>
    </row>
    <row r="22989" spans="18:19">
      <c r="R22989" s="178"/>
      <c r="S22989" s="178"/>
    </row>
    <row r="22990" spans="18:19">
      <c r="R22990" s="178"/>
      <c r="S22990" s="178"/>
    </row>
    <row r="22991" spans="18:19">
      <c r="R22991" s="178"/>
      <c r="S22991" s="178"/>
    </row>
    <row r="22992" spans="18:19">
      <c r="R22992" s="178"/>
      <c r="S22992" s="178"/>
    </row>
    <row r="22993" spans="18:19">
      <c r="R22993" s="178"/>
      <c r="S22993" s="178"/>
    </row>
    <row r="22994" spans="18:19">
      <c r="R22994" s="178"/>
      <c r="S22994" s="178"/>
    </row>
    <row r="22995" spans="18:19">
      <c r="R22995" s="178"/>
      <c r="S22995" s="178"/>
    </row>
    <row r="22996" spans="18:19">
      <c r="R22996" s="178"/>
      <c r="S22996" s="178"/>
    </row>
    <row r="22997" spans="18:19">
      <c r="R22997" s="178"/>
      <c r="S22997" s="178"/>
    </row>
    <row r="22998" spans="18:19">
      <c r="R22998" s="178"/>
      <c r="S22998" s="178"/>
    </row>
    <row r="22999" spans="18:19">
      <c r="R22999" s="178"/>
      <c r="S22999" s="178"/>
    </row>
    <row r="23000" spans="18:19">
      <c r="R23000" s="178"/>
      <c r="S23000" s="178"/>
    </row>
    <row r="23001" spans="18:19">
      <c r="R23001" s="178"/>
      <c r="S23001" s="178"/>
    </row>
    <row r="23002" spans="18:19">
      <c r="R23002" s="178"/>
      <c r="S23002" s="178"/>
    </row>
    <row r="23003" spans="18:19">
      <c r="R23003" s="178"/>
      <c r="S23003" s="178"/>
    </row>
    <row r="23004" spans="18:19">
      <c r="R23004" s="178"/>
      <c r="S23004" s="178"/>
    </row>
    <row r="23005" spans="18:19">
      <c r="R23005" s="178"/>
      <c r="S23005" s="178"/>
    </row>
    <row r="23006" spans="18:19">
      <c r="R23006" s="178"/>
      <c r="S23006" s="178"/>
    </row>
    <row r="23007" spans="18:19">
      <c r="R23007" s="178"/>
      <c r="S23007" s="178"/>
    </row>
    <row r="23008" spans="18:19">
      <c r="R23008" s="178"/>
      <c r="S23008" s="178"/>
    </row>
    <row r="23009" spans="18:19">
      <c r="R23009" s="178"/>
      <c r="S23009" s="178"/>
    </row>
    <row r="23010" spans="18:19">
      <c r="R23010" s="178"/>
      <c r="S23010" s="178"/>
    </row>
    <row r="23011" spans="18:19">
      <c r="R23011" s="178"/>
      <c r="S23011" s="178"/>
    </row>
    <row r="23012" spans="18:19">
      <c r="R23012" s="178"/>
      <c r="S23012" s="178"/>
    </row>
    <row r="23013" spans="18:19">
      <c r="R23013" s="178"/>
      <c r="S23013" s="178"/>
    </row>
    <row r="23014" spans="18:19">
      <c r="R23014" s="178"/>
      <c r="S23014" s="178"/>
    </row>
    <row r="23015" spans="18:19">
      <c r="R23015" s="178"/>
      <c r="S23015" s="178"/>
    </row>
    <row r="23016" spans="18:19">
      <c r="R23016" s="178"/>
      <c r="S23016" s="178"/>
    </row>
    <row r="23017" spans="18:19">
      <c r="R23017" s="178"/>
      <c r="S23017" s="178"/>
    </row>
    <row r="23018" spans="18:19">
      <c r="R23018" s="178"/>
      <c r="S23018" s="178"/>
    </row>
    <row r="23019" spans="18:19">
      <c r="R23019" s="178"/>
      <c r="S23019" s="178"/>
    </row>
    <row r="23020" spans="18:19">
      <c r="R23020" s="178"/>
      <c r="S23020" s="178"/>
    </row>
    <row r="23021" spans="18:19">
      <c r="R23021" s="178"/>
      <c r="S23021" s="178"/>
    </row>
    <row r="23022" spans="18:19">
      <c r="R23022" s="178"/>
      <c r="S23022" s="178"/>
    </row>
    <row r="23023" spans="18:19">
      <c r="R23023" s="178"/>
      <c r="S23023" s="178"/>
    </row>
    <row r="23024" spans="18:19">
      <c r="R23024" s="178"/>
      <c r="S23024" s="178"/>
    </row>
    <row r="23025" spans="18:19">
      <c r="R23025" s="178"/>
      <c r="S23025" s="178"/>
    </row>
    <row r="23026" spans="18:19">
      <c r="R23026" s="178"/>
      <c r="S23026" s="178"/>
    </row>
    <row r="23027" spans="18:19">
      <c r="R23027" s="178"/>
      <c r="S23027" s="178"/>
    </row>
    <row r="23028" spans="18:19">
      <c r="R23028" s="178"/>
      <c r="S23028" s="178"/>
    </row>
    <row r="23029" spans="18:19">
      <c r="R23029" s="178"/>
      <c r="S23029" s="178"/>
    </row>
    <row r="23030" spans="18:19">
      <c r="R23030" s="178"/>
      <c r="S23030" s="178"/>
    </row>
    <row r="23031" spans="18:19">
      <c r="R23031" s="178"/>
      <c r="S23031" s="178"/>
    </row>
    <row r="23032" spans="18:19">
      <c r="R23032" s="178"/>
      <c r="S23032" s="178"/>
    </row>
    <row r="23033" spans="18:19">
      <c r="R23033" s="178"/>
      <c r="S23033" s="178"/>
    </row>
    <row r="23034" spans="18:19">
      <c r="R23034" s="178"/>
      <c r="S23034" s="178"/>
    </row>
    <row r="23035" spans="18:19">
      <c r="R23035" s="178"/>
      <c r="S23035" s="178"/>
    </row>
    <row r="23036" spans="18:19">
      <c r="R23036" s="178"/>
      <c r="S23036" s="178"/>
    </row>
    <row r="23037" spans="18:19">
      <c r="R23037" s="178"/>
      <c r="S23037" s="178"/>
    </row>
    <row r="23038" spans="18:19">
      <c r="R23038" s="178"/>
      <c r="S23038" s="178"/>
    </row>
    <row r="23039" spans="18:19">
      <c r="R23039" s="178"/>
      <c r="S23039" s="178"/>
    </row>
    <row r="23040" spans="18:19">
      <c r="R23040" s="178"/>
      <c r="S23040" s="178"/>
    </row>
    <row r="23041" spans="18:19">
      <c r="R23041" s="178"/>
      <c r="S23041" s="178"/>
    </row>
    <row r="23042" spans="18:19">
      <c r="R23042" s="178"/>
      <c r="S23042" s="178"/>
    </row>
    <row r="23043" spans="18:19">
      <c r="R23043" s="178"/>
      <c r="S23043" s="178"/>
    </row>
    <row r="23044" spans="18:19">
      <c r="R23044" s="178"/>
      <c r="S23044" s="178"/>
    </row>
    <row r="23045" spans="18:19">
      <c r="R23045" s="178"/>
      <c r="S23045" s="178"/>
    </row>
    <row r="23046" spans="18:19">
      <c r="R23046" s="178"/>
      <c r="S23046" s="178"/>
    </row>
    <row r="23047" spans="18:19">
      <c r="R23047" s="178"/>
      <c r="S23047" s="178"/>
    </row>
    <row r="23048" spans="18:19">
      <c r="R23048" s="178"/>
      <c r="S23048" s="178"/>
    </row>
    <row r="23049" spans="18:19">
      <c r="R23049" s="178"/>
      <c r="S23049" s="178"/>
    </row>
    <row r="23050" spans="18:19">
      <c r="R23050" s="178"/>
      <c r="S23050" s="178"/>
    </row>
    <row r="23051" spans="18:19">
      <c r="R23051" s="178"/>
      <c r="S23051" s="178"/>
    </row>
    <row r="23052" spans="18:19">
      <c r="R23052" s="178"/>
      <c r="S23052" s="178"/>
    </row>
    <row r="23053" spans="18:19">
      <c r="R23053" s="178"/>
      <c r="S23053" s="178"/>
    </row>
    <row r="23054" spans="18:19">
      <c r="R23054" s="178"/>
      <c r="S23054" s="178"/>
    </row>
    <row r="23055" spans="18:19">
      <c r="R23055" s="178"/>
      <c r="S23055" s="178"/>
    </row>
    <row r="23056" spans="18:19">
      <c r="R23056" s="178"/>
      <c r="S23056" s="178"/>
    </row>
    <row r="23057" spans="18:19">
      <c r="R23057" s="178"/>
      <c r="S23057" s="178"/>
    </row>
    <row r="23058" spans="18:19">
      <c r="R23058" s="178"/>
      <c r="S23058" s="178"/>
    </row>
    <row r="23059" spans="18:19">
      <c r="R23059" s="178"/>
      <c r="S23059" s="178"/>
    </row>
    <row r="23060" spans="18:19">
      <c r="R23060" s="178"/>
      <c r="S23060" s="178"/>
    </row>
    <row r="23061" spans="18:19">
      <c r="R23061" s="178"/>
      <c r="S23061" s="178"/>
    </row>
    <row r="23062" spans="18:19">
      <c r="R23062" s="178"/>
      <c r="S23062" s="178"/>
    </row>
    <row r="23063" spans="18:19">
      <c r="R23063" s="178"/>
      <c r="S23063" s="178"/>
    </row>
    <row r="23064" spans="18:19">
      <c r="R23064" s="178"/>
      <c r="S23064" s="178"/>
    </row>
    <row r="23065" spans="18:19">
      <c r="R23065" s="178"/>
      <c r="S23065" s="178"/>
    </row>
    <row r="23066" spans="18:19">
      <c r="R23066" s="178"/>
      <c r="S23066" s="178"/>
    </row>
    <row r="23067" spans="18:19">
      <c r="R23067" s="178"/>
      <c r="S23067" s="178"/>
    </row>
    <row r="23068" spans="18:19">
      <c r="R23068" s="178"/>
      <c r="S23068" s="178"/>
    </row>
    <row r="23069" spans="18:19">
      <c r="R23069" s="178"/>
      <c r="S23069" s="178"/>
    </row>
    <row r="23070" spans="18:19">
      <c r="R23070" s="178"/>
      <c r="S23070" s="178"/>
    </row>
    <row r="23071" spans="18:19">
      <c r="R23071" s="178"/>
      <c r="S23071" s="178"/>
    </row>
    <row r="23072" spans="18:19">
      <c r="R23072" s="178"/>
      <c r="S23072" s="178"/>
    </row>
    <row r="23073" spans="18:19">
      <c r="R23073" s="178"/>
      <c r="S23073" s="178"/>
    </row>
    <row r="23074" spans="18:19">
      <c r="R23074" s="178"/>
      <c r="S23074" s="178"/>
    </row>
    <row r="23075" spans="18:19">
      <c r="R23075" s="178"/>
      <c r="S23075" s="178"/>
    </row>
    <row r="23076" spans="18:19">
      <c r="R23076" s="178"/>
      <c r="S23076" s="178"/>
    </row>
    <row r="23077" spans="18:19">
      <c r="R23077" s="178"/>
      <c r="S23077" s="178"/>
    </row>
    <row r="23078" spans="18:19">
      <c r="R23078" s="178"/>
      <c r="S23078" s="178"/>
    </row>
    <row r="23079" spans="18:19">
      <c r="R23079" s="178"/>
      <c r="S23079" s="178"/>
    </row>
    <row r="23080" spans="18:19">
      <c r="R23080" s="178"/>
      <c r="S23080" s="178"/>
    </row>
    <row r="23081" spans="18:19">
      <c r="R23081" s="178"/>
      <c r="S23081" s="178"/>
    </row>
    <row r="23082" spans="18:19">
      <c r="R23082" s="178"/>
      <c r="S23082" s="178"/>
    </row>
    <row r="23083" spans="18:19">
      <c r="R23083" s="178"/>
      <c r="S23083" s="178"/>
    </row>
    <row r="23084" spans="18:19">
      <c r="R23084" s="178"/>
      <c r="S23084" s="178"/>
    </row>
    <row r="23085" spans="18:19">
      <c r="R23085" s="178"/>
      <c r="S23085" s="178"/>
    </row>
    <row r="23086" spans="18:19">
      <c r="R23086" s="178"/>
      <c r="S23086" s="178"/>
    </row>
    <row r="23087" spans="18:19">
      <c r="R23087" s="178"/>
      <c r="S23087" s="178"/>
    </row>
    <row r="23088" spans="18:19">
      <c r="R23088" s="178"/>
      <c r="S23088" s="178"/>
    </row>
    <row r="23089" spans="18:19">
      <c r="R23089" s="178"/>
      <c r="S23089" s="178"/>
    </row>
    <row r="23090" spans="18:19">
      <c r="R23090" s="178"/>
      <c r="S23090" s="178"/>
    </row>
    <row r="23091" spans="18:19">
      <c r="R23091" s="178"/>
      <c r="S23091" s="178"/>
    </row>
    <row r="23092" spans="18:19">
      <c r="R23092" s="178"/>
      <c r="S23092" s="178"/>
    </row>
    <row r="23093" spans="18:19">
      <c r="R23093" s="178"/>
      <c r="S23093" s="178"/>
    </row>
    <row r="23094" spans="18:19">
      <c r="R23094" s="178"/>
      <c r="S23094" s="178"/>
    </row>
    <row r="23095" spans="18:19">
      <c r="R23095" s="178"/>
      <c r="S23095" s="178"/>
    </row>
    <row r="23096" spans="18:19">
      <c r="R23096" s="178"/>
      <c r="S23096" s="178"/>
    </row>
    <row r="23097" spans="18:19">
      <c r="R23097" s="178"/>
      <c r="S23097" s="178"/>
    </row>
    <row r="23098" spans="18:19">
      <c r="R23098" s="178"/>
      <c r="S23098" s="178"/>
    </row>
    <row r="23099" spans="18:19">
      <c r="R23099" s="178"/>
      <c r="S23099" s="178"/>
    </row>
    <row r="23100" spans="18:19">
      <c r="R23100" s="178"/>
      <c r="S23100" s="178"/>
    </row>
    <row r="23101" spans="18:19">
      <c r="R23101" s="178"/>
      <c r="S23101" s="178"/>
    </row>
    <row r="23102" spans="18:19">
      <c r="R23102" s="178"/>
      <c r="S23102" s="178"/>
    </row>
    <row r="23103" spans="18:19">
      <c r="R23103" s="178"/>
      <c r="S23103" s="178"/>
    </row>
    <row r="23104" spans="18:19">
      <c r="R23104" s="178"/>
      <c r="S23104" s="178"/>
    </row>
    <row r="23105" spans="18:19">
      <c r="R23105" s="178"/>
      <c r="S23105" s="178"/>
    </row>
    <row r="23106" spans="18:19">
      <c r="R23106" s="178"/>
      <c r="S23106" s="178"/>
    </row>
    <row r="23107" spans="18:19">
      <c r="R23107" s="178"/>
      <c r="S23107" s="178"/>
    </row>
    <row r="23108" spans="18:19">
      <c r="R23108" s="178"/>
      <c r="S23108" s="178"/>
    </row>
    <row r="23109" spans="18:19">
      <c r="R23109" s="178"/>
      <c r="S23109" s="178"/>
    </row>
    <row r="23110" spans="18:19">
      <c r="R23110" s="178"/>
      <c r="S23110" s="178"/>
    </row>
    <row r="23111" spans="18:19">
      <c r="R23111" s="178"/>
      <c r="S23111" s="178"/>
    </row>
    <row r="23112" spans="18:19">
      <c r="R23112" s="178"/>
      <c r="S23112" s="178"/>
    </row>
    <row r="23113" spans="18:19">
      <c r="R23113" s="178"/>
      <c r="S23113" s="178"/>
    </row>
    <row r="23114" spans="18:19">
      <c r="R23114" s="178"/>
      <c r="S23114" s="178"/>
    </row>
    <row r="23115" spans="18:19">
      <c r="R23115" s="178"/>
      <c r="S23115" s="178"/>
    </row>
    <row r="23116" spans="18:19">
      <c r="R23116" s="178"/>
      <c r="S23116" s="178"/>
    </row>
    <row r="23117" spans="18:19">
      <c r="R23117" s="178"/>
      <c r="S23117" s="178"/>
    </row>
    <row r="23118" spans="18:19">
      <c r="R23118" s="178"/>
      <c r="S23118" s="178"/>
    </row>
    <row r="23119" spans="18:19">
      <c r="R23119" s="178"/>
      <c r="S23119" s="178"/>
    </row>
    <row r="23120" spans="18:19">
      <c r="R23120" s="178"/>
      <c r="S23120" s="178"/>
    </row>
    <row r="23121" spans="18:19">
      <c r="R23121" s="178"/>
      <c r="S23121" s="178"/>
    </row>
    <row r="23122" spans="18:19">
      <c r="R23122" s="178"/>
      <c r="S23122" s="178"/>
    </row>
    <row r="23123" spans="18:19">
      <c r="R23123" s="178"/>
      <c r="S23123" s="178"/>
    </row>
    <row r="23124" spans="18:19">
      <c r="R23124" s="178"/>
      <c r="S23124" s="178"/>
    </row>
    <row r="23125" spans="18:19">
      <c r="R23125" s="178"/>
      <c r="S23125" s="178"/>
    </row>
    <row r="23126" spans="18:19">
      <c r="R23126" s="178"/>
      <c r="S23126" s="178"/>
    </row>
    <row r="23127" spans="18:19">
      <c r="R23127" s="178"/>
      <c r="S23127" s="178"/>
    </row>
    <row r="23128" spans="18:19">
      <c r="R23128" s="178"/>
      <c r="S23128" s="178"/>
    </row>
    <row r="23129" spans="18:19">
      <c r="R23129" s="178"/>
      <c r="S23129" s="178"/>
    </row>
    <row r="23130" spans="18:19">
      <c r="R23130" s="178"/>
      <c r="S23130" s="178"/>
    </row>
    <row r="23131" spans="18:19">
      <c r="R23131" s="178"/>
      <c r="S23131" s="178"/>
    </row>
    <row r="23132" spans="18:19">
      <c r="R23132" s="178"/>
      <c r="S23132" s="178"/>
    </row>
    <row r="23133" spans="18:19">
      <c r="R23133" s="178"/>
      <c r="S23133" s="178"/>
    </row>
    <row r="23134" spans="18:19">
      <c r="R23134" s="178"/>
      <c r="S23134" s="178"/>
    </row>
    <row r="23135" spans="18:19">
      <c r="R23135" s="178"/>
      <c r="S23135" s="178"/>
    </row>
    <row r="23136" spans="18:19">
      <c r="R23136" s="178"/>
      <c r="S23136" s="178"/>
    </row>
    <row r="23137" spans="18:19">
      <c r="R23137" s="178"/>
      <c r="S23137" s="178"/>
    </row>
    <row r="23138" spans="18:19">
      <c r="R23138" s="178"/>
      <c r="S23138" s="178"/>
    </row>
    <row r="23139" spans="18:19">
      <c r="R23139" s="178"/>
      <c r="S23139" s="178"/>
    </row>
    <row r="23140" spans="18:19">
      <c r="R23140" s="178"/>
      <c r="S23140" s="178"/>
    </row>
    <row r="23141" spans="18:19">
      <c r="R23141" s="178"/>
      <c r="S23141" s="178"/>
    </row>
    <row r="23142" spans="18:19">
      <c r="R23142" s="178"/>
      <c r="S23142" s="178"/>
    </row>
    <row r="23143" spans="18:19">
      <c r="R23143" s="178"/>
      <c r="S23143" s="178"/>
    </row>
    <row r="23144" spans="18:19">
      <c r="R23144" s="178"/>
      <c r="S23144" s="178"/>
    </row>
    <row r="23145" spans="18:19">
      <c r="R23145" s="178"/>
      <c r="S23145" s="178"/>
    </row>
    <row r="23146" spans="18:19">
      <c r="R23146" s="178"/>
      <c r="S23146" s="178"/>
    </row>
    <row r="23147" spans="18:19">
      <c r="R23147" s="178"/>
      <c r="S23147" s="178"/>
    </row>
    <row r="23148" spans="18:19">
      <c r="R23148" s="178"/>
      <c r="S23148" s="178"/>
    </row>
    <row r="23149" spans="18:19">
      <c r="R23149" s="178"/>
      <c r="S23149" s="178"/>
    </row>
    <row r="23150" spans="18:19">
      <c r="R23150" s="178"/>
      <c r="S23150" s="178"/>
    </row>
    <row r="23151" spans="18:19">
      <c r="R23151" s="178"/>
      <c r="S23151" s="178"/>
    </row>
    <row r="23152" spans="18:19">
      <c r="R23152" s="178"/>
      <c r="S23152" s="178"/>
    </row>
    <row r="23153" spans="18:19">
      <c r="R23153" s="178"/>
      <c r="S23153" s="178"/>
    </row>
    <row r="23154" spans="18:19">
      <c r="R23154" s="178"/>
      <c r="S23154" s="178"/>
    </row>
    <row r="23155" spans="18:19">
      <c r="R23155" s="178"/>
      <c r="S23155" s="178"/>
    </row>
    <row r="23156" spans="18:19">
      <c r="R23156" s="178"/>
      <c r="S23156" s="178"/>
    </row>
    <row r="23157" spans="18:19">
      <c r="R23157" s="178"/>
      <c r="S23157" s="178"/>
    </row>
    <row r="23158" spans="18:19">
      <c r="R23158" s="178"/>
      <c r="S23158" s="178"/>
    </row>
    <row r="23159" spans="18:19">
      <c r="R23159" s="178"/>
      <c r="S23159" s="178"/>
    </row>
    <row r="23160" spans="18:19">
      <c r="R23160" s="178"/>
      <c r="S23160" s="178"/>
    </row>
    <row r="23161" spans="18:19">
      <c r="R23161" s="178"/>
      <c r="S23161" s="178"/>
    </row>
    <row r="23162" spans="18:19">
      <c r="R23162" s="178"/>
      <c r="S23162" s="178"/>
    </row>
    <row r="23163" spans="18:19">
      <c r="R23163" s="178"/>
      <c r="S23163" s="178"/>
    </row>
    <row r="23164" spans="18:19">
      <c r="R23164" s="178"/>
      <c r="S23164" s="178"/>
    </row>
    <row r="23165" spans="18:19">
      <c r="R23165" s="178"/>
      <c r="S23165" s="178"/>
    </row>
    <row r="23166" spans="18:19">
      <c r="R23166" s="178"/>
      <c r="S23166" s="178"/>
    </row>
    <row r="23167" spans="18:19">
      <c r="R23167" s="178"/>
      <c r="S23167" s="178"/>
    </row>
    <row r="23168" spans="18:19">
      <c r="R23168" s="178"/>
      <c r="S23168" s="178"/>
    </row>
    <row r="23169" spans="18:19">
      <c r="R23169" s="178"/>
      <c r="S23169" s="178"/>
    </row>
    <row r="23170" spans="18:19">
      <c r="R23170" s="178"/>
      <c r="S23170" s="178"/>
    </row>
    <row r="23171" spans="18:19">
      <c r="R23171" s="178"/>
      <c r="S23171" s="178"/>
    </row>
    <row r="23172" spans="18:19">
      <c r="R23172" s="178"/>
      <c r="S23172" s="178"/>
    </row>
    <row r="23173" spans="18:19">
      <c r="R23173" s="178"/>
      <c r="S23173" s="178"/>
    </row>
    <row r="23174" spans="18:19">
      <c r="R23174" s="178"/>
      <c r="S23174" s="178"/>
    </row>
    <row r="23175" spans="18:19">
      <c r="R23175" s="178"/>
      <c r="S23175" s="178"/>
    </row>
    <row r="23176" spans="18:19">
      <c r="R23176" s="178"/>
      <c r="S23176" s="178"/>
    </row>
    <row r="23177" spans="18:19">
      <c r="R23177" s="178"/>
      <c r="S23177" s="178"/>
    </row>
    <row r="23178" spans="18:19">
      <c r="R23178" s="178"/>
      <c r="S23178" s="178"/>
    </row>
    <row r="23179" spans="18:19">
      <c r="R23179" s="178"/>
      <c r="S23179" s="178"/>
    </row>
    <row r="23180" spans="18:19">
      <c r="R23180" s="178"/>
      <c r="S23180" s="178"/>
    </row>
    <row r="23181" spans="18:19">
      <c r="R23181" s="178"/>
      <c r="S23181" s="178"/>
    </row>
    <row r="23182" spans="18:19">
      <c r="R23182" s="178"/>
      <c r="S23182" s="178"/>
    </row>
    <row r="23183" spans="18:19">
      <c r="R23183" s="178"/>
      <c r="S23183" s="178"/>
    </row>
    <row r="23184" spans="18:19">
      <c r="R23184" s="178"/>
      <c r="S23184" s="178"/>
    </row>
    <row r="23185" spans="18:19">
      <c r="R23185" s="178"/>
      <c r="S23185" s="178"/>
    </row>
    <row r="23186" spans="18:19">
      <c r="R23186" s="178"/>
      <c r="S23186" s="178"/>
    </row>
    <row r="23187" spans="18:19">
      <c r="R23187" s="178"/>
      <c r="S23187" s="178"/>
    </row>
    <row r="23188" spans="18:19">
      <c r="R23188" s="178"/>
      <c r="S23188" s="178"/>
    </row>
    <row r="23189" spans="18:19">
      <c r="R23189" s="178"/>
      <c r="S23189" s="178"/>
    </row>
    <row r="23190" spans="18:19">
      <c r="R23190" s="178"/>
      <c r="S23190" s="178"/>
    </row>
    <row r="23191" spans="18:19">
      <c r="R23191" s="178"/>
      <c r="S23191" s="178"/>
    </row>
    <row r="23192" spans="18:19">
      <c r="R23192" s="178"/>
      <c r="S23192" s="178"/>
    </row>
    <row r="23193" spans="18:19">
      <c r="R23193" s="178"/>
      <c r="S23193" s="178"/>
    </row>
    <row r="23194" spans="18:19">
      <c r="R23194" s="178"/>
      <c r="S23194" s="178"/>
    </row>
    <row r="23195" spans="18:19">
      <c r="R23195" s="178"/>
      <c r="S23195" s="178"/>
    </row>
    <row r="23196" spans="18:19">
      <c r="R23196" s="178"/>
      <c r="S23196" s="178"/>
    </row>
    <row r="23197" spans="18:19">
      <c r="R23197" s="178"/>
      <c r="S23197" s="178"/>
    </row>
    <row r="23198" spans="18:19">
      <c r="R23198" s="178"/>
      <c r="S23198" s="178"/>
    </row>
    <row r="23199" spans="18:19">
      <c r="R23199" s="178"/>
      <c r="S23199" s="178"/>
    </row>
    <row r="23200" spans="18:19">
      <c r="R23200" s="178"/>
      <c r="S23200" s="178"/>
    </row>
    <row r="23201" spans="18:19">
      <c r="R23201" s="178"/>
      <c r="S23201" s="178"/>
    </row>
    <row r="23202" spans="18:19">
      <c r="R23202" s="178"/>
      <c r="S23202" s="178"/>
    </row>
    <row r="23203" spans="18:19">
      <c r="R23203" s="178"/>
      <c r="S23203" s="178"/>
    </row>
    <row r="23204" spans="18:19">
      <c r="R23204" s="178"/>
      <c r="S23204" s="178"/>
    </row>
    <row r="23205" spans="18:19">
      <c r="R23205" s="178"/>
      <c r="S23205" s="178"/>
    </row>
    <row r="23206" spans="18:19">
      <c r="R23206" s="178"/>
      <c r="S23206" s="178"/>
    </row>
    <row r="23207" spans="18:19">
      <c r="R23207" s="178"/>
      <c r="S23207" s="178"/>
    </row>
    <row r="23208" spans="18:19">
      <c r="R23208" s="178"/>
      <c r="S23208" s="178"/>
    </row>
    <row r="23209" spans="18:19">
      <c r="R23209" s="178"/>
      <c r="S23209" s="178"/>
    </row>
    <row r="23210" spans="18:19">
      <c r="R23210" s="178"/>
      <c r="S23210" s="178"/>
    </row>
    <row r="23211" spans="18:19">
      <c r="R23211" s="178"/>
      <c r="S23211" s="178"/>
    </row>
    <row r="23212" spans="18:19">
      <c r="R23212" s="178"/>
      <c r="S23212" s="178"/>
    </row>
    <row r="23213" spans="18:19">
      <c r="R23213" s="178"/>
      <c r="S23213" s="178"/>
    </row>
    <row r="23214" spans="18:19">
      <c r="R23214" s="178"/>
      <c r="S23214" s="178"/>
    </row>
    <row r="23215" spans="18:19">
      <c r="R23215" s="178"/>
      <c r="S23215" s="178"/>
    </row>
    <row r="23216" spans="18:19">
      <c r="R23216" s="178"/>
      <c r="S23216" s="178"/>
    </row>
    <row r="23217" spans="18:19">
      <c r="R23217" s="178"/>
      <c r="S23217" s="178"/>
    </row>
    <row r="23218" spans="18:19">
      <c r="R23218" s="178"/>
      <c r="S23218" s="178"/>
    </row>
    <row r="23219" spans="18:19">
      <c r="R23219" s="178"/>
      <c r="S23219" s="178"/>
    </row>
    <row r="23220" spans="18:19">
      <c r="R23220" s="178"/>
      <c r="S23220" s="178"/>
    </row>
    <row r="23221" spans="18:19">
      <c r="R23221" s="178"/>
      <c r="S23221" s="178"/>
    </row>
    <row r="23222" spans="18:19">
      <c r="R23222" s="178"/>
      <c r="S23222" s="178"/>
    </row>
    <row r="23223" spans="18:19">
      <c r="R23223" s="178"/>
      <c r="S23223" s="178"/>
    </row>
    <row r="23224" spans="18:19">
      <c r="R23224" s="178"/>
      <c r="S23224" s="178"/>
    </row>
    <row r="23225" spans="18:19">
      <c r="R23225" s="178"/>
      <c r="S23225" s="178"/>
    </row>
    <row r="23226" spans="18:19">
      <c r="R23226" s="178"/>
      <c r="S23226" s="178"/>
    </row>
    <row r="23227" spans="18:19">
      <c r="R23227" s="178"/>
      <c r="S23227" s="178"/>
    </row>
    <row r="23228" spans="18:19">
      <c r="R23228" s="178"/>
      <c r="S23228" s="178"/>
    </row>
    <row r="23229" spans="18:19">
      <c r="R23229" s="178"/>
      <c r="S23229" s="178"/>
    </row>
    <row r="23230" spans="18:19">
      <c r="R23230" s="178"/>
      <c r="S23230" s="178"/>
    </row>
    <row r="23231" spans="18:19">
      <c r="R23231" s="178"/>
      <c r="S23231" s="178"/>
    </row>
    <row r="23232" spans="18:19">
      <c r="R23232" s="178"/>
      <c r="S23232" s="178"/>
    </row>
    <row r="23233" spans="18:19">
      <c r="R23233" s="178"/>
      <c r="S23233" s="178"/>
    </row>
    <row r="23234" spans="18:19">
      <c r="R23234" s="178"/>
      <c r="S23234" s="178"/>
    </row>
    <row r="23235" spans="18:19">
      <c r="R23235" s="178"/>
      <c r="S23235" s="178"/>
    </row>
    <row r="23236" spans="18:19">
      <c r="R23236" s="178"/>
      <c r="S23236" s="178"/>
    </row>
    <row r="23237" spans="18:19">
      <c r="R23237" s="178"/>
      <c r="S23237" s="178"/>
    </row>
    <row r="23238" spans="18:19">
      <c r="R23238" s="178"/>
      <c r="S23238" s="178"/>
    </row>
    <row r="23239" spans="18:19">
      <c r="R23239" s="178"/>
      <c r="S23239" s="178"/>
    </row>
    <row r="23240" spans="18:19">
      <c r="R23240" s="178"/>
      <c r="S23240" s="178"/>
    </row>
    <row r="23241" spans="18:19">
      <c r="R23241" s="178"/>
      <c r="S23241" s="178"/>
    </row>
    <row r="23242" spans="18:19">
      <c r="R23242" s="178"/>
      <c r="S23242" s="178"/>
    </row>
    <row r="23243" spans="18:19">
      <c r="R23243" s="178"/>
      <c r="S23243" s="178"/>
    </row>
    <row r="23244" spans="18:19">
      <c r="R23244" s="178"/>
      <c r="S23244" s="178"/>
    </row>
    <row r="23245" spans="18:19">
      <c r="R23245" s="178"/>
      <c r="S23245" s="178"/>
    </row>
    <row r="23246" spans="18:19">
      <c r="R23246" s="178"/>
      <c r="S23246" s="178"/>
    </row>
    <row r="23247" spans="18:19">
      <c r="R23247" s="178"/>
      <c r="S23247" s="178"/>
    </row>
    <row r="23248" spans="18:19">
      <c r="R23248" s="178"/>
      <c r="S23248" s="178"/>
    </row>
    <row r="23249" spans="18:19">
      <c r="R23249" s="178"/>
      <c r="S23249" s="178"/>
    </row>
    <row r="23250" spans="18:19">
      <c r="R23250" s="178"/>
      <c r="S23250" s="178"/>
    </row>
    <row r="23251" spans="18:19">
      <c r="R23251" s="178"/>
      <c r="S23251" s="178"/>
    </row>
    <row r="23252" spans="18:19">
      <c r="R23252" s="178"/>
      <c r="S23252" s="178"/>
    </row>
    <row r="23253" spans="18:19">
      <c r="R23253" s="178"/>
      <c r="S23253" s="178"/>
    </row>
    <row r="23254" spans="18:19">
      <c r="R23254" s="178"/>
      <c r="S23254" s="178"/>
    </row>
    <row r="23255" spans="18:19">
      <c r="R23255" s="178"/>
      <c r="S23255" s="178"/>
    </row>
    <row r="23256" spans="18:19">
      <c r="R23256" s="178"/>
      <c r="S23256" s="178"/>
    </row>
    <row r="23257" spans="18:19">
      <c r="R23257" s="178"/>
      <c r="S23257" s="178"/>
    </row>
    <row r="23258" spans="18:19">
      <c r="R23258" s="178"/>
      <c r="S23258" s="178"/>
    </row>
    <row r="23259" spans="18:19">
      <c r="R23259" s="178"/>
      <c r="S23259" s="178"/>
    </row>
    <row r="23260" spans="18:19">
      <c r="R23260" s="178"/>
      <c r="S23260" s="178"/>
    </row>
    <row r="23261" spans="18:19">
      <c r="R23261" s="178"/>
      <c r="S23261" s="178"/>
    </row>
    <row r="23262" spans="18:19">
      <c r="R23262" s="178"/>
      <c r="S23262" s="178"/>
    </row>
    <row r="23263" spans="18:19">
      <c r="R23263" s="178"/>
      <c r="S23263" s="178"/>
    </row>
    <row r="23264" spans="18:19">
      <c r="R23264" s="178"/>
      <c r="S23264" s="178"/>
    </row>
    <row r="23265" spans="18:19">
      <c r="R23265" s="178"/>
      <c r="S23265" s="178"/>
    </row>
    <row r="23266" spans="18:19">
      <c r="R23266" s="178"/>
      <c r="S23266" s="178"/>
    </row>
    <row r="23267" spans="18:19">
      <c r="R23267" s="178"/>
      <c r="S23267" s="178"/>
    </row>
    <row r="23268" spans="18:19">
      <c r="R23268" s="178"/>
      <c r="S23268" s="178"/>
    </row>
    <row r="23269" spans="18:19">
      <c r="R23269" s="178"/>
      <c r="S23269" s="178"/>
    </row>
    <row r="23270" spans="18:19">
      <c r="R23270" s="178"/>
      <c r="S23270" s="178"/>
    </row>
    <row r="23271" spans="18:19">
      <c r="R23271" s="178"/>
      <c r="S23271" s="178"/>
    </row>
    <row r="23272" spans="18:19">
      <c r="R23272" s="178"/>
      <c r="S23272" s="178"/>
    </row>
    <row r="23273" spans="18:19">
      <c r="R23273" s="178"/>
      <c r="S23273" s="178"/>
    </row>
    <row r="23274" spans="18:19">
      <c r="R23274" s="178"/>
      <c r="S23274" s="178"/>
    </row>
    <row r="23275" spans="18:19">
      <c r="R23275" s="178"/>
      <c r="S23275" s="178"/>
    </row>
    <row r="23276" spans="18:19">
      <c r="R23276" s="178"/>
      <c r="S23276" s="178"/>
    </row>
    <row r="23277" spans="18:19">
      <c r="R23277" s="178"/>
      <c r="S23277" s="178"/>
    </row>
    <row r="23278" spans="18:19">
      <c r="R23278" s="178"/>
      <c r="S23278" s="178"/>
    </row>
    <row r="23279" spans="18:19">
      <c r="R23279" s="178"/>
      <c r="S23279" s="178"/>
    </row>
    <row r="23280" spans="18:19">
      <c r="R23280" s="178"/>
      <c r="S23280" s="178"/>
    </row>
    <row r="23281" spans="18:19">
      <c r="R23281" s="178"/>
      <c r="S23281" s="178"/>
    </row>
    <row r="23282" spans="18:19">
      <c r="R23282" s="178"/>
      <c r="S23282" s="178"/>
    </row>
    <row r="23283" spans="18:19">
      <c r="R23283" s="178"/>
      <c r="S23283" s="178"/>
    </row>
    <row r="23284" spans="18:19">
      <c r="R23284" s="178"/>
      <c r="S23284" s="178"/>
    </row>
    <row r="23285" spans="18:19">
      <c r="R23285" s="178"/>
      <c r="S23285" s="178"/>
    </row>
    <row r="23286" spans="18:19">
      <c r="R23286" s="178"/>
      <c r="S23286" s="178"/>
    </row>
    <row r="23287" spans="18:19">
      <c r="R23287" s="178"/>
      <c r="S23287" s="178"/>
    </row>
    <row r="23288" spans="18:19">
      <c r="R23288" s="178"/>
      <c r="S23288" s="178"/>
    </row>
    <row r="23289" spans="18:19">
      <c r="R23289" s="178"/>
      <c r="S23289" s="178"/>
    </row>
    <row r="23290" spans="18:19">
      <c r="R23290" s="178"/>
      <c r="S23290" s="178"/>
    </row>
    <row r="23291" spans="18:19">
      <c r="R23291" s="178"/>
      <c r="S23291" s="178"/>
    </row>
    <row r="23292" spans="18:19">
      <c r="R23292" s="178"/>
      <c r="S23292" s="178"/>
    </row>
    <row r="23293" spans="18:19">
      <c r="R23293" s="178"/>
      <c r="S23293" s="178"/>
    </row>
    <row r="23294" spans="18:19">
      <c r="R23294" s="178"/>
      <c r="S23294" s="178"/>
    </row>
    <row r="23295" spans="18:19">
      <c r="R23295" s="178"/>
      <c r="S23295" s="178"/>
    </row>
    <row r="23296" spans="18:19">
      <c r="R23296" s="178"/>
      <c r="S23296" s="178"/>
    </row>
    <row r="23297" spans="18:19">
      <c r="R23297" s="178"/>
      <c r="S23297" s="178"/>
    </row>
    <row r="23298" spans="18:19">
      <c r="R23298" s="178"/>
      <c r="S23298" s="178"/>
    </row>
    <row r="23299" spans="18:19">
      <c r="R23299" s="178"/>
      <c r="S23299" s="178"/>
    </row>
    <row r="23300" spans="18:19">
      <c r="R23300" s="178"/>
      <c r="S23300" s="178"/>
    </row>
    <row r="23301" spans="18:19">
      <c r="R23301" s="178"/>
      <c r="S23301" s="178"/>
    </row>
    <row r="23302" spans="18:19">
      <c r="R23302" s="178"/>
      <c r="S23302" s="178"/>
    </row>
    <row r="23303" spans="18:19">
      <c r="R23303" s="178"/>
      <c r="S23303" s="178"/>
    </row>
    <row r="23304" spans="18:19">
      <c r="R23304" s="178"/>
      <c r="S23304" s="178"/>
    </row>
    <row r="23305" spans="18:19">
      <c r="R23305" s="178"/>
      <c r="S23305" s="178"/>
    </row>
    <row r="23306" spans="18:19">
      <c r="R23306" s="178"/>
      <c r="S23306" s="178"/>
    </row>
    <row r="23307" spans="18:19">
      <c r="R23307" s="178"/>
      <c r="S23307" s="178"/>
    </row>
    <row r="23308" spans="18:19">
      <c r="R23308" s="178"/>
      <c r="S23308" s="178"/>
    </row>
    <row r="23309" spans="18:19">
      <c r="R23309" s="178"/>
      <c r="S23309" s="178"/>
    </row>
    <row r="23310" spans="18:19">
      <c r="R23310" s="178"/>
      <c r="S23310" s="178"/>
    </row>
    <row r="23311" spans="18:19">
      <c r="R23311" s="178"/>
      <c r="S23311" s="178"/>
    </row>
    <row r="23312" spans="18:19">
      <c r="R23312" s="178"/>
      <c r="S23312" s="178"/>
    </row>
    <row r="23313" spans="18:19">
      <c r="R23313" s="178"/>
      <c r="S23313" s="178"/>
    </row>
    <row r="23314" spans="18:19">
      <c r="R23314" s="178"/>
      <c r="S23314" s="178"/>
    </row>
    <row r="23315" spans="18:19">
      <c r="R23315" s="178"/>
      <c r="S23315" s="178"/>
    </row>
    <row r="23316" spans="18:19">
      <c r="R23316" s="178"/>
      <c r="S23316" s="178"/>
    </row>
    <row r="23317" spans="18:19">
      <c r="R23317" s="178"/>
      <c r="S23317" s="178"/>
    </row>
    <row r="23318" spans="18:19">
      <c r="R23318" s="178"/>
      <c r="S23318" s="178"/>
    </row>
    <row r="23319" spans="18:19">
      <c r="R23319" s="178"/>
      <c r="S23319" s="178"/>
    </row>
    <row r="23320" spans="18:19">
      <c r="R23320" s="178"/>
      <c r="S23320" s="178"/>
    </row>
    <row r="23321" spans="18:19">
      <c r="R23321" s="178"/>
      <c r="S23321" s="178"/>
    </row>
    <row r="23322" spans="18:19">
      <c r="R23322" s="178"/>
      <c r="S23322" s="178"/>
    </row>
    <row r="23323" spans="18:19">
      <c r="R23323" s="178"/>
      <c r="S23323" s="178"/>
    </row>
    <row r="23324" spans="18:19">
      <c r="R23324" s="178"/>
      <c r="S23324" s="178"/>
    </row>
    <row r="23325" spans="18:19">
      <c r="R23325" s="178"/>
      <c r="S23325" s="178"/>
    </row>
    <row r="23326" spans="18:19">
      <c r="R23326" s="178"/>
      <c r="S23326" s="178"/>
    </row>
    <row r="23327" spans="18:19">
      <c r="R23327" s="178"/>
      <c r="S23327" s="178"/>
    </row>
    <row r="23328" spans="18:19">
      <c r="R23328" s="178"/>
      <c r="S23328" s="178"/>
    </row>
    <row r="23329" spans="18:19">
      <c r="R23329" s="178"/>
      <c r="S23329" s="178"/>
    </row>
    <row r="23330" spans="18:19">
      <c r="R23330" s="178"/>
      <c r="S23330" s="178"/>
    </row>
    <row r="23331" spans="18:19">
      <c r="R23331" s="178"/>
      <c r="S23331" s="178"/>
    </row>
    <row r="23332" spans="18:19">
      <c r="R23332" s="178"/>
      <c r="S23332" s="178"/>
    </row>
    <row r="23333" spans="18:19">
      <c r="R23333" s="178"/>
      <c r="S23333" s="178"/>
    </row>
    <row r="23334" spans="18:19">
      <c r="R23334" s="178"/>
      <c r="S23334" s="178"/>
    </row>
    <row r="23335" spans="18:19">
      <c r="R23335" s="178"/>
      <c r="S23335" s="178"/>
    </row>
    <row r="23336" spans="18:19">
      <c r="R23336" s="178"/>
      <c r="S23336" s="178"/>
    </row>
    <row r="23337" spans="18:19">
      <c r="R23337" s="178"/>
      <c r="S23337" s="178"/>
    </row>
    <row r="23338" spans="18:19">
      <c r="R23338" s="178"/>
      <c r="S23338" s="178"/>
    </row>
    <row r="23339" spans="18:19">
      <c r="R23339" s="178"/>
      <c r="S23339" s="178"/>
    </row>
    <row r="23340" spans="18:19">
      <c r="R23340" s="178"/>
      <c r="S23340" s="178"/>
    </row>
    <row r="23341" spans="18:19">
      <c r="R23341" s="178"/>
      <c r="S23341" s="178"/>
    </row>
    <row r="23342" spans="18:19">
      <c r="R23342" s="178"/>
      <c r="S23342" s="178"/>
    </row>
    <row r="23343" spans="18:19">
      <c r="R23343" s="178"/>
      <c r="S23343" s="178"/>
    </row>
    <row r="23344" spans="18:19">
      <c r="R23344" s="178"/>
      <c r="S23344" s="178"/>
    </row>
    <row r="23345" spans="18:19">
      <c r="R23345" s="178"/>
      <c r="S23345" s="178"/>
    </row>
    <row r="23346" spans="18:19">
      <c r="R23346" s="178"/>
      <c r="S23346" s="178"/>
    </row>
    <row r="23347" spans="18:19">
      <c r="R23347" s="178"/>
      <c r="S23347" s="178"/>
    </row>
    <row r="23348" spans="18:19">
      <c r="R23348" s="178"/>
      <c r="S23348" s="178"/>
    </row>
    <row r="23349" spans="18:19">
      <c r="R23349" s="178"/>
      <c r="S23349" s="178"/>
    </row>
    <row r="23350" spans="18:19">
      <c r="R23350" s="178"/>
      <c r="S23350" s="178"/>
    </row>
    <row r="23351" spans="18:19">
      <c r="R23351" s="178"/>
      <c r="S23351" s="178"/>
    </row>
    <row r="23352" spans="18:19">
      <c r="R23352" s="178"/>
      <c r="S23352" s="178"/>
    </row>
    <row r="23353" spans="18:19">
      <c r="R23353" s="178"/>
      <c r="S23353" s="178"/>
    </row>
    <row r="23354" spans="18:19">
      <c r="R23354" s="178"/>
      <c r="S23354" s="178"/>
    </row>
    <row r="23355" spans="18:19">
      <c r="R23355" s="178"/>
      <c r="S23355" s="178"/>
    </row>
    <row r="23356" spans="18:19">
      <c r="R23356" s="178"/>
      <c r="S23356" s="178"/>
    </row>
    <row r="23357" spans="18:19">
      <c r="R23357" s="178"/>
      <c r="S23357" s="178"/>
    </row>
    <row r="23358" spans="18:19">
      <c r="R23358" s="178"/>
      <c r="S23358" s="178"/>
    </row>
    <row r="23359" spans="18:19">
      <c r="R23359" s="178"/>
      <c r="S23359" s="178"/>
    </row>
    <row r="23360" spans="18:19">
      <c r="R23360" s="178"/>
      <c r="S23360" s="178"/>
    </row>
    <row r="23361" spans="18:19">
      <c r="R23361" s="178"/>
      <c r="S23361" s="178"/>
    </row>
    <row r="23362" spans="18:19">
      <c r="R23362" s="178"/>
      <c r="S23362" s="178"/>
    </row>
    <row r="23363" spans="18:19">
      <c r="R23363" s="178"/>
      <c r="S23363" s="178"/>
    </row>
    <row r="23364" spans="18:19">
      <c r="R23364" s="178"/>
      <c r="S23364" s="178"/>
    </row>
    <row r="23365" spans="18:19">
      <c r="R23365" s="178"/>
      <c r="S23365" s="178"/>
    </row>
    <row r="23366" spans="18:19">
      <c r="R23366" s="178"/>
      <c r="S23366" s="178"/>
    </row>
    <row r="23367" spans="18:19">
      <c r="R23367" s="178"/>
      <c r="S23367" s="178"/>
    </row>
    <row r="23368" spans="18:19">
      <c r="R23368" s="178"/>
      <c r="S23368" s="178"/>
    </row>
    <row r="23369" spans="18:19">
      <c r="R23369" s="178"/>
      <c r="S23369" s="178"/>
    </row>
    <row r="23370" spans="18:19">
      <c r="R23370" s="178"/>
      <c r="S23370" s="178"/>
    </row>
    <row r="23371" spans="18:19">
      <c r="R23371" s="178"/>
      <c r="S23371" s="178"/>
    </row>
    <row r="23372" spans="18:19">
      <c r="R23372" s="178"/>
      <c r="S23372" s="178"/>
    </row>
    <row r="23373" spans="18:19">
      <c r="R23373" s="178"/>
      <c r="S23373" s="178"/>
    </row>
    <row r="23374" spans="18:19">
      <c r="R23374" s="178"/>
      <c r="S23374" s="178"/>
    </row>
    <row r="23375" spans="18:19">
      <c r="R23375" s="178"/>
      <c r="S23375" s="178"/>
    </row>
    <row r="23376" spans="18:19">
      <c r="R23376" s="178"/>
      <c r="S23376" s="178"/>
    </row>
    <row r="23377" spans="18:19">
      <c r="R23377" s="178"/>
      <c r="S23377" s="178"/>
    </row>
    <row r="23378" spans="18:19">
      <c r="R23378" s="178"/>
      <c r="S23378" s="178"/>
    </row>
    <row r="23379" spans="18:19">
      <c r="R23379" s="178"/>
      <c r="S23379" s="178"/>
    </row>
    <row r="23380" spans="18:19">
      <c r="R23380" s="178"/>
      <c r="S23380" s="178"/>
    </row>
    <row r="23381" spans="18:19">
      <c r="R23381" s="178"/>
      <c r="S23381" s="178"/>
    </row>
    <row r="23382" spans="18:19">
      <c r="R23382" s="178"/>
      <c r="S23382" s="178"/>
    </row>
    <row r="23383" spans="18:19">
      <c r="R23383" s="178"/>
      <c r="S23383" s="178"/>
    </row>
    <row r="23384" spans="18:19">
      <c r="R23384" s="178"/>
      <c r="S23384" s="178"/>
    </row>
    <row r="23385" spans="18:19">
      <c r="R23385" s="178"/>
      <c r="S23385" s="178"/>
    </row>
    <row r="23386" spans="18:19">
      <c r="R23386" s="178"/>
      <c r="S23386" s="178"/>
    </row>
    <row r="23387" spans="18:19">
      <c r="R23387" s="178"/>
      <c r="S23387" s="178"/>
    </row>
    <row r="23388" spans="18:19">
      <c r="R23388" s="178"/>
      <c r="S23388" s="178"/>
    </row>
    <row r="23389" spans="18:19">
      <c r="R23389" s="178"/>
      <c r="S23389" s="178"/>
    </row>
    <row r="23390" spans="18:19">
      <c r="R23390" s="178"/>
      <c r="S23390" s="178"/>
    </row>
    <row r="23391" spans="18:19">
      <c r="R23391" s="178"/>
      <c r="S23391" s="178"/>
    </row>
    <row r="23392" spans="18:19">
      <c r="R23392" s="178"/>
      <c r="S23392" s="178"/>
    </row>
    <row r="23393" spans="18:19">
      <c r="R23393" s="178"/>
      <c r="S23393" s="178"/>
    </row>
    <row r="23394" spans="18:19">
      <c r="R23394" s="178"/>
      <c r="S23394" s="178"/>
    </row>
    <row r="23395" spans="18:19">
      <c r="R23395" s="178"/>
      <c r="S23395" s="178"/>
    </row>
    <row r="23396" spans="18:19">
      <c r="R23396" s="178"/>
      <c r="S23396" s="178"/>
    </row>
    <row r="23397" spans="18:19">
      <c r="R23397" s="178"/>
      <c r="S23397" s="178"/>
    </row>
    <row r="23398" spans="18:19">
      <c r="R23398" s="178"/>
      <c r="S23398" s="178"/>
    </row>
    <row r="23399" spans="18:19">
      <c r="R23399" s="178"/>
      <c r="S23399" s="178"/>
    </row>
    <row r="23400" spans="18:19">
      <c r="R23400" s="178"/>
      <c r="S23400" s="178"/>
    </row>
    <row r="23401" spans="18:19">
      <c r="R23401" s="178"/>
      <c r="S23401" s="178"/>
    </row>
    <row r="23402" spans="18:19">
      <c r="R23402" s="178"/>
      <c r="S23402" s="178"/>
    </row>
    <row r="23403" spans="18:19">
      <c r="R23403" s="178"/>
      <c r="S23403" s="178"/>
    </row>
    <row r="23404" spans="18:19">
      <c r="R23404" s="178"/>
      <c r="S23404" s="178"/>
    </row>
    <row r="23405" spans="18:19">
      <c r="R23405" s="178"/>
      <c r="S23405" s="178"/>
    </row>
    <row r="23406" spans="18:19">
      <c r="R23406" s="178"/>
      <c r="S23406" s="178"/>
    </row>
    <row r="23407" spans="18:19">
      <c r="R23407" s="178"/>
      <c r="S23407" s="178"/>
    </row>
    <row r="23408" spans="18:19">
      <c r="R23408" s="178"/>
      <c r="S23408" s="178"/>
    </row>
    <row r="23409" spans="18:19">
      <c r="R23409" s="178"/>
      <c r="S23409" s="178"/>
    </row>
    <row r="23410" spans="18:19">
      <c r="R23410" s="178"/>
      <c r="S23410" s="178"/>
    </row>
    <row r="23411" spans="18:19">
      <c r="R23411" s="178"/>
      <c r="S23411" s="178"/>
    </row>
    <row r="23412" spans="18:19">
      <c r="R23412" s="178"/>
      <c r="S23412" s="178"/>
    </row>
    <row r="23413" spans="18:19">
      <c r="R23413" s="178"/>
      <c r="S23413" s="178"/>
    </row>
    <row r="23414" spans="18:19">
      <c r="R23414" s="178"/>
      <c r="S23414" s="178"/>
    </row>
    <row r="23415" spans="18:19">
      <c r="R23415" s="178"/>
      <c r="S23415" s="178"/>
    </row>
    <row r="23416" spans="18:19">
      <c r="R23416" s="178"/>
      <c r="S23416" s="178"/>
    </row>
    <row r="23417" spans="18:19">
      <c r="R23417" s="178"/>
      <c r="S23417" s="178"/>
    </row>
    <row r="23418" spans="18:19">
      <c r="R23418" s="178"/>
      <c r="S23418" s="178"/>
    </row>
    <row r="23419" spans="18:19">
      <c r="R23419" s="178"/>
      <c r="S23419" s="178"/>
    </row>
    <row r="23420" spans="18:19">
      <c r="R23420" s="178"/>
      <c r="S23420" s="178"/>
    </row>
    <row r="23421" spans="18:19">
      <c r="R23421" s="178"/>
      <c r="S23421" s="178"/>
    </row>
    <row r="23422" spans="18:19">
      <c r="R23422" s="178"/>
      <c r="S23422" s="178"/>
    </row>
    <row r="23423" spans="18:19">
      <c r="R23423" s="178"/>
      <c r="S23423" s="178"/>
    </row>
    <row r="23424" spans="18:19">
      <c r="R23424" s="178"/>
      <c r="S23424" s="178"/>
    </row>
    <row r="23425" spans="18:19">
      <c r="R23425" s="178"/>
      <c r="S23425" s="178"/>
    </row>
    <row r="23426" spans="18:19">
      <c r="R23426" s="178"/>
      <c r="S23426" s="178"/>
    </row>
    <row r="23427" spans="18:19">
      <c r="R23427" s="178"/>
      <c r="S23427" s="178"/>
    </row>
    <row r="23428" spans="18:19">
      <c r="R23428" s="178"/>
      <c r="S23428" s="178"/>
    </row>
    <row r="23429" spans="18:19">
      <c r="R23429" s="178"/>
      <c r="S23429" s="178"/>
    </row>
    <row r="23430" spans="18:19">
      <c r="R23430" s="178"/>
      <c r="S23430" s="178"/>
    </row>
    <row r="23431" spans="18:19">
      <c r="R23431" s="178"/>
      <c r="S23431" s="178"/>
    </row>
    <row r="23432" spans="18:19">
      <c r="R23432" s="178"/>
      <c r="S23432" s="178"/>
    </row>
    <row r="23433" spans="18:19">
      <c r="R23433" s="178"/>
      <c r="S23433" s="178"/>
    </row>
    <row r="23434" spans="18:19">
      <c r="R23434" s="178"/>
      <c r="S23434" s="178"/>
    </row>
    <row r="23435" spans="18:19">
      <c r="R23435" s="178"/>
      <c r="S23435" s="178"/>
    </row>
    <row r="23436" spans="18:19">
      <c r="R23436" s="178"/>
      <c r="S23436" s="178"/>
    </row>
    <row r="23437" spans="18:19">
      <c r="R23437" s="178"/>
      <c r="S23437" s="178"/>
    </row>
    <row r="23438" spans="18:19">
      <c r="R23438" s="178"/>
      <c r="S23438" s="178"/>
    </row>
    <row r="23439" spans="18:19">
      <c r="R23439" s="178"/>
      <c r="S23439" s="178"/>
    </row>
    <row r="23440" spans="18:19">
      <c r="R23440" s="178"/>
      <c r="S23440" s="178"/>
    </row>
    <row r="23441" spans="18:19">
      <c r="R23441" s="178"/>
      <c r="S23441" s="178"/>
    </row>
    <row r="23442" spans="18:19">
      <c r="R23442" s="178"/>
      <c r="S23442" s="178"/>
    </row>
    <row r="23443" spans="18:19">
      <c r="R23443" s="178"/>
      <c r="S23443" s="178"/>
    </row>
    <row r="23444" spans="18:19">
      <c r="R23444" s="178"/>
      <c r="S23444" s="178"/>
    </row>
    <row r="23445" spans="18:19">
      <c r="R23445" s="178"/>
      <c r="S23445" s="178"/>
    </row>
    <row r="23446" spans="18:19">
      <c r="R23446" s="178"/>
      <c r="S23446" s="178"/>
    </row>
    <row r="23447" spans="18:19">
      <c r="R23447" s="178"/>
      <c r="S23447" s="178"/>
    </row>
    <row r="23448" spans="18:19">
      <c r="R23448" s="178"/>
      <c r="S23448" s="178"/>
    </row>
    <row r="23449" spans="18:19">
      <c r="R23449" s="178"/>
      <c r="S23449" s="178"/>
    </row>
    <row r="23450" spans="18:19">
      <c r="R23450" s="178"/>
      <c r="S23450" s="178"/>
    </row>
    <row r="23451" spans="18:19">
      <c r="R23451" s="178"/>
      <c r="S23451" s="178"/>
    </row>
    <row r="23452" spans="18:19">
      <c r="R23452" s="178"/>
      <c r="S23452" s="178"/>
    </row>
    <row r="23453" spans="18:19">
      <c r="R23453" s="178"/>
      <c r="S23453" s="178"/>
    </row>
    <row r="23454" spans="18:19">
      <c r="R23454" s="178"/>
      <c r="S23454" s="178"/>
    </row>
    <row r="23455" spans="18:19">
      <c r="R23455" s="178"/>
      <c r="S23455" s="178"/>
    </row>
    <row r="23456" spans="18:19">
      <c r="R23456" s="178"/>
      <c r="S23456" s="178"/>
    </row>
    <row r="23457" spans="18:19">
      <c r="R23457" s="178"/>
      <c r="S23457" s="178"/>
    </row>
    <row r="23458" spans="18:19">
      <c r="R23458" s="178"/>
      <c r="S23458" s="178"/>
    </row>
    <row r="23459" spans="18:19">
      <c r="R23459" s="178"/>
      <c r="S23459" s="178"/>
    </row>
    <row r="23460" spans="18:19">
      <c r="R23460" s="178"/>
      <c r="S23460" s="178"/>
    </row>
    <row r="23461" spans="18:19">
      <c r="R23461" s="178"/>
      <c r="S23461" s="178"/>
    </row>
    <row r="23462" spans="18:19">
      <c r="R23462" s="178"/>
      <c r="S23462" s="178"/>
    </row>
    <row r="23463" spans="18:19">
      <c r="R23463" s="178"/>
      <c r="S23463" s="178"/>
    </row>
    <row r="23464" spans="18:19">
      <c r="R23464" s="178"/>
      <c r="S23464" s="178"/>
    </row>
    <row r="23465" spans="18:19">
      <c r="R23465" s="178"/>
      <c r="S23465" s="178"/>
    </row>
    <row r="23466" spans="18:19">
      <c r="R23466" s="178"/>
      <c r="S23466" s="178"/>
    </row>
    <row r="23467" spans="18:19">
      <c r="R23467" s="178"/>
      <c r="S23467" s="178"/>
    </row>
    <row r="23468" spans="18:19">
      <c r="R23468" s="178"/>
      <c r="S23468" s="178"/>
    </row>
    <row r="23469" spans="18:19">
      <c r="R23469" s="178"/>
      <c r="S23469" s="178"/>
    </row>
    <row r="23470" spans="18:19">
      <c r="R23470" s="178"/>
      <c r="S23470" s="178"/>
    </row>
    <row r="23471" spans="18:19">
      <c r="R23471" s="178"/>
      <c r="S23471" s="178"/>
    </row>
    <row r="23472" spans="18:19">
      <c r="R23472" s="178"/>
      <c r="S23472" s="178"/>
    </row>
    <row r="23473" spans="18:19">
      <c r="R23473" s="178"/>
      <c r="S23473" s="178"/>
    </row>
    <row r="23474" spans="18:19">
      <c r="R23474" s="178"/>
      <c r="S23474" s="178"/>
    </row>
    <row r="23475" spans="18:19">
      <c r="R23475" s="178"/>
      <c r="S23475" s="178"/>
    </row>
    <row r="23476" spans="18:19">
      <c r="R23476" s="178"/>
      <c r="S23476" s="178"/>
    </row>
    <row r="23477" spans="18:19">
      <c r="R23477" s="178"/>
      <c r="S23477" s="178"/>
    </row>
    <row r="23478" spans="18:19">
      <c r="R23478" s="178"/>
      <c r="S23478" s="178"/>
    </row>
    <row r="23479" spans="18:19">
      <c r="R23479" s="178"/>
      <c r="S23479" s="178"/>
    </row>
    <row r="23480" spans="18:19">
      <c r="R23480" s="178"/>
      <c r="S23480" s="178"/>
    </row>
    <row r="23481" spans="18:19">
      <c r="R23481" s="178"/>
      <c r="S23481" s="178"/>
    </row>
    <row r="23482" spans="18:19">
      <c r="R23482" s="178"/>
      <c r="S23482" s="178"/>
    </row>
    <row r="23483" spans="18:19">
      <c r="R23483" s="178"/>
      <c r="S23483" s="178"/>
    </row>
    <row r="23484" spans="18:19">
      <c r="R23484" s="178"/>
      <c r="S23484" s="178"/>
    </row>
    <row r="23485" spans="18:19">
      <c r="R23485" s="178"/>
      <c r="S23485" s="178"/>
    </row>
    <row r="23486" spans="18:19">
      <c r="R23486" s="178"/>
      <c r="S23486" s="178"/>
    </row>
    <row r="23487" spans="18:19">
      <c r="R23487" s="178"/>
      <c r="S23487" s="178"/>
    </row>
    <row r="23488" spans="18:19">
      <c r="R23488" s="178"/>
      <c r="S23488" s="178"/>
    </row>
    <row r="23489" spans="18:19">
      <c r="R23489" s="178"/>
      <c r="S23489" s="178"/>
    </row>
    <row r="23490" spans="18:19">
      <c r="R23490" s="178"/>
      <c r="S23490" s="178"/>
    </row>
    <row r="23491" spans="18:19">
      <c r="R23491" s="178"/>
      <c r="S23491" s="178"/>
    </row>
    <row r="23492" spans="18:19">
      <c r="R23492" s="178"/>
      <c r="S23492" s="178"/>
    </row>
    <row r="23493" spans="18:19">
      <c r="R23493" s="178"/>
      <c r="S23493" s="178"/>
    </row>
    <row r="23494" spans="18:19">
      <c r="R23494" s="178"/>
      <c r="S23494" s="178"/>
    </row>
    <row r="23495" spans="18:19">
      <c r="R23495" s="178"/>
      <c r="S23495" s="178"/>
    </row>
    <row r="23496" spans="18:19">
      <c r="R23496" s="178"/>
      <c r="S23496" s="178"/>
    </row>
    <row r="23497" spans="18:19">
      <c r="R23497" s="178"/>
      <c r="S23497" s="178"/>
    </row>
    <row r="23498" spans="18:19">
      <c r="R23498" s="178"/>
      <c r="S23498" s="178"/>
    </row>
    <row r="23499" spans="18:19">
      <c r="R23499" s="178"/>
      <c r="S23499" s="178"/>
    </row>
    <row r="23500" spans="18:19">
      <c r="R23500" s="178"/>
      <c r="S23500" s="178"/>
    </row>
    <row r="23501" spans="18:19">
      <c r="R23501" s="178"/>
      <c r="S23501" s="178"/>
    </row>
    <row r="23502" spans="18:19">
      <c r="R23502" s="178"/>
      <c r="S23502" s="178"/>
    </row>
    <row r="23503" spans="18:19">
      <c r="R23503" s="178"/>
      <c r="S23503" s="178"/>
    </row>
    <row r="23504" spans="18:19">
      <c r="R23504" s="178"/>
      <c r="S23504" s="178"/>
    </row>
    <row r="23505" spans="18:19">
      <c r="R23505" s="178"/>
      <c r="S23505" s="178"/>
    </row>
    <row r="23506" spans="18:19">
      <c r="R23506" s="178"/>
      <c r="S23506" s="178"/>
    </row>
    <row r="23507" spans="18:19">
      <c r="R23507" s="178"/>
      <c r="S23507" s="178"/>
    </row>
    <row r="23508" spans="18:19">
      <c r="R23508" s="178"/>
      <c r="S23508" s="178"/>
    </row>
    <row r="23509" spans="18:19">
      <c r="R23509" s="178"/>
      <c r="S23509" s="178"/>
    </row>
    <row r="23510" spans="18:19">
      <c r="R23510" s="178"/>
      <c r="S23510" s="178"/>
    </row>
    <row r="23511" spans="18:19">
      <c r="R23511" s="178"/>
      <c r="S23511" s="178"/>
    </row>
    <row r="23512" spans="18:19">
      <c r="R23512" s="178"/>
      <c r="S23512" s="178"/>
    </row>
    <row r="23513" spans="18:19">
      <c r="R23513" s="178"/>
      <c r="S23513" s="178"/>
    </row>
    <row r="23514" spans="18:19">
      <c r="R23514" s="178"/>
      <c r="S23514" s="178"/>
    </row>
    <row r="23515" spans="18:19">
      <c r="R23515" s="178"/>
      <c r="S23515" s="178"/>
    </row>
    <row r="23516" spans="18:19">
      <c r="R23516" s="178"/>
      <c r="S23516" s="178"/>
    </row>
    <row r="23517" spans="18:19">
      <c r="R23517" s="178"/>
      <c r="S23517" s="178"/>
    </row>
    <row r="23518" spans="18:19">
      <c r="R23518" s="178"/>
      <c r="S23518" s="178"/>
    </row>
    <row r="23519" spans="18:19">
      <c r="R23519" s="178"/>
      <c r="S23519" s="178"/>
    </row>
    <row r="23520" spans="18:19">
      <c r="R23520" s="178"/>
      <c r="S23520" s="178"/>
    </row>
    <row r="23521" spans="18:19">
      <c r="R23521" s="178"/>
      <c r="S23521" s="178"/>
    </row>
    <row r="23522" spans="18:19">
      <c r="R23522" s="178"/>
      <c r="S23522" s="178"/>
    </row>
    <row r="23523" spans="18:19">
      <c r="R23523" s="178"/>
      <c r="S23523" s="178"/>
    </row>
    <row r="23524" spans="18:19">
      <c r="R23524" s="178"/>
      <c r="S23524" s="178"/>
    </row>
    <row r="23525" spans="18:19">
      <c r="R23525" s="178"/>
      <c r="S23525" s="178"/>
    </row>
    <row r="23526" spans="18:19">
      <c r="R23526" s="178"/>
      <c r="S23526" s="178"/>
    </row>
    <row r="23527" spans="18:19">
      <c r="R23527" s="178"/>
      <c r="S23527" s="178"/>
    </row>
    <row r="23528" spans="18:19">
      <c r="R23528" s="178"/>
      <c r="S23528" s="178"/>
    </row>
    <row r="23529" spans="18:19">
      <c r="R23529" s="178"/>
      <c r="S23529" s="178"/>
    </row>
    <row r="23530" spans="18:19">
      <c r="R23530" s="178"/>
      <c r="S23530" s="178"/>
    </row>
    <row r="23531" spans="18:19">
      <c r="R23531" s="178"/>
      <c r="S23531" s="178"/>
    </row>
    <row r="23532" spans="18:19">
      <c r="R23532" s="178"/>
      <c r="S23532" s="178"/>
    </row>
    <row r="23533" spans="18:19">
      <c r="R23533" s="178"/>
      <c r="S23533" s="178"/>
    </row>
    <row r="23534" spans="18:19">
      <c r="R23534" s="178"/>
      <c r="S23534" s="178"/>
    </row>
    <row r="23535" spans="18:19">
      <c r="R23535" s="178"/>
      <c r="S23535" s="178"/>
    </row>
    <row r="23536" spans="18:19">
      <c r="R23536" s="178"/>
      <c r="S23536" s="178"/>
    </row>
    <row r="23537" spans="18:19">
      <c r="R23537" s="178"/>
      <c r="S23537" s="178"/>
    </row>
    <row r="23538" spans="18:19">
      <c r="R23538" s="178"/>
      <c r="S23538" s="178"/>
    </row>
    <row r="23539" spans="18:19">
      <c r="R23539" s="178"/>
      <c r="S23539" s="178"/>
    </row>
    <row r="23540" spans="18:19">
      <c r="R23540" s="178"/>
      <c r="S23540" s="178"/>
    </row>
    <row r="23541" spans="18:19">
      <c r="R23541" s="178"/>
      <c r="S23541" s="178"/>
    </row>
    <row r="23542" spans="18:19">
      <c r="R23542" s="178"/>
      <c r="S23542" s="178"/>
    </row>
    <row r="23543" spans="18:19">
      <c r="R23543" s="178"/>
      <c r="S23543" s="178"/>
    </row>
    <row r="23544" spans="18:19">
      <c r="R23544" s="178"/>
      <c r="S23544" s="178"/>
    </row>
    <row r="23545" spans="18:19">
      <c r="R23545" s="178"/>
      <c r="S23545" s="178"/>
    </row>
    <row r="23546" spans="18:19">
      <c r="R23546" s="178"/>
      <c r="S23546" s="178"/>
    </row>
    <row r="23547" spans="18:19">
      <c r="R23547" s="178"/>
      <c r="S23547" s="178"/>
    </row>
    <row r="23548" spans="18:19">
      <c r="R23548" s="178"/>
      <c r="S23548" s="178"/>
    </row>
    <row r="23549" spans="18:19">
      <c r="R23549" s="178"/>
      <c r="S23549" s="178"/>
    </row>
    <row r="23550" spans="18:19">
      <c r="R23550" s="178"/>
      <c r="S23550" s="178"/>
    </row>
    <row r="23551" spans="18:19">
      <c r="R23551" s="178"/>
      <c r="S23551" s="178"/>
    </row>
    <row r="23552" spans="18:19">
      <c r="R23552" s="178"/>
      <c r="S23552" s="178"/>
    </row>
    <row r="23553" spans="18:19">
      <c r="R23553" s="178"/>
      <c r="S23553" s="178"/>
    </row>
    <row r="23554" spans="18:19">
      <c r="R23554" s="178"/>
      <c r="S23554" s="178"/>
    </row>
    <row r="23555" spans="18:19">
      <c r="R23555" s="178"/>
      <c r="S23555" s="178"/>
    </row>
    <row r="23556" spans="18:19">
      <c r="R23556" s="178"/>
      <c r="S23556" s="178"/>
    </row>
    <row r="23557" spans="18:19">
      <c r="R23557" s="178"/>
      <c r="S23557" s="178"/>
    </row>
    <row r="23558" spans="18:19">
      <c r="R23558" s="178"/>
      <c r="S23558" s="178"/>
    </row>
    <row r="23559" spans="18:19">
      <c r="R23559" s="178"/>
      <c r="S23559" s="178"/>
    </row>
    <row r="23560" spans="18:19">
      <c r="R23560" s="178"/>
      <c r="S23560" s="178"/>
    </row>
    <row r="23561" spans="18:19">
      <c r="R23561" s="178"/>
      <c r="S23561" s="178"/>
    </row>
    <row r="23562" spans="18:19">
      <c r="R23562" s="178"/>
      <c r="S23562" s="178"/>
    </row>
    <row r="23563" spans="18:19">
      <c r="R23563" s="178"/>
      <c r="S23563" s="178"/>
    </row>
    <row r="23564" spans="18:19">
      <c r="R23564" s="178"/>
      <c r="S23564" s="178"/>
    </row>
    <row r="23565" spans="18:19">
      <c r="R23565" s="178"/>
      <c r="S23565" s="178"/>
    </row>
    <row r="23566" spans="18:19">
      <c r="R23566" s="178"/>
      <c r="S23566" s="178"/>
    </row>
    <row r="23567" spans="18:19">
      <c r="R23567" s="178"/>
      <c r="S23567" s="178"/>
    </row>
    <row r="23568" spans="18:19">
      <c r="R23568" s="178"/>
      <c r="S23568" s="178"/>
    </row>
    <row r="23569" spans="18:19">
      <c r="R23569" s="178"/>
      <c r="S23569" s="178"/>
    </row>
    <row r="23570" spans="18:19">
      <c r="R23570" s="178"/>
      <c r="S23570" s="178"/>
    </row>
    <row r="23571" spans="18:19">
      <c r="R23571" s="178"/>
      <c r="S23571" s="178"/>
    </row>
    <row r="23572" spans="18:19">
      <c r="R23572" s="178"/>
      <c r="S23572" s="178"/>
    </row>
    <row r="23573" spans="18:19">
      <c r="R23573" s="178"/>
      <c r="S23573" s="178"/>
    </row>
    <row r="23574" spans="18:19">
      <c r="R23574" s="178"/>
      <c r="S23574" s="178"/>
    </row>
    <row r="23575" spans="18:19">
      <c r="R23575" s="178"/>
      <c r="S23575" s="178"/>
    </row>
    <row r="23576" spans="18:19">
      <c r="R23576" s="178"/>
      <c r="S23576" s="178"/>
    </row>
    <row r="23577" spans="18:19">
      <c r="R23577" s="178"/>
      <c r="S23577" s="178"/>
    </row>
    <row r="23578" spans="18:19">
      <c r="R23578" s="178"/>
      <c r="S23578" s="178"/>
    </row>
    <row r="23579" spans="18:19">
      <c r="R23579" s="178"/>
      <c r="S23579" s="178"/>
    </row>
    <row r="23580" spans="18:19">
      <c r="R23580" s="178"/>
      <c r="S23580" s="178"/>
    </row>
    <row r="23581" spans="18:19">
      <c r="R23581" s="178"/>
      <c r="S23581" s="178"/>
    </row>
    <row r="23582" spans="18:19">
      <c r="R23582" s="178"/>
      <c r="S23582" s="178"/>
    </row>
    <row r="23583" spans="18:19">
      <c r="R23583" s="178"/>
      <c r="S23583" s="178"/>
    </row>
    <row r="23584" spans="18:19">
      <c r="R23584" s="178"/>
      <c r="S23584" s="178"/>
    </row>
    <row r="23585" spans="18:19">
      <c r="R23585" s="178"/>
      <c r="S23585" s="178"/>
    </row>
    <row r="23586" spans="18:19">
      <c r="R23586" s="178"/>
      <c r="S23586" s="178"/>
    </row>
    <row r="23587" spans="18:19">
      <c r="R23587" s="178"/>
      <c r="S23587" s="178"/>
    </row>
    <row r="23588" spans="18:19">
      <c r="R23588" s="178"/>
      <c r="S23588" s="178"/>
    </row>
    <row r="23589" spans="18:19">
      <c r="R23589" s="178"/>
      <c r="S23589" s="178"/>
    </row>
    <row r="23590" spans="18:19">
      <c r="R23590" s="178"/>
      <c r="S23590" s="178"/>
    </row>
    <row r="23591" spans="18:19">
      <c r="R23591" s="178"/>
      <c r="S23591" s="178"/>
    </row>
    <row r="23592" spans="18:19">
      <c r="R23592" s="178"/>
      <c r="S23592" s="178"/>
    </row>
    <row r="23593" spans="18:19">
      <c r="R23593" s="178"/>
      <c r="S23593" s="178"/>
    </row>
    <row r="23594" spans="18:19">
      <c r="R23594" s="178"/>
      <c r="S23594" s="178"/>
    </row>
    <row r="23595" spans="18:19">
      <c r="R23595" s="178"/>
      <c r="S23595" s="178"/>
    </row>
    <row r="23596" spans="18:19">
      <c r="R23596" s="178"/>
      <c r="S23596" s="178"/>
    </row>
    <row r="23597" spans="18:19">
      <c r="R23597" s="178"/>
      <c r="S23597" s="178"/>
    </row>
    <row r="23598" spans="18:19">
      <c r="R23598" s="178"/>
      <c r="S23598" s="178"/>
    </row>
    <row r="23599" spans="18:19">
      <c r="R23599" s="178"/>
      <c r="S23599" s="178"/>
    </row>
    <row r="23600" spans="18:19">
      <c r="R23600" s="178"/>
      <c r="S23600" s="178"/>
    </row>
    <row r="23601" spans="18:19">
      <c r="R23601" s="178"/>
      <c r="S23601" s="178"/>
    </row>
    <row r="23602" spans="18:19">
      <c r="R23602" s="178"/>
      <c r="S23602" s="178"/>
    </row>
    <row r="23603" spans="18:19">
      <c r="R23603" s="178"/>
      <c r="S23603" s="178"/>
    </row>
    <row r="23604" spans="18:19">
      <c r="R23604" s="178"/>
      <c r="S23604" s="178"/>
    </row>
    <row r="23605" spans="18:19">
      <c r="R23605" s="178"/>
      <c r="S23605" s="178"/>
    </row>
    <row r="23606" spans="18:19">
      <c r="R23606" s="178"/>
      <c r="S23606" s="178"/>
    </row>
    <row r="23607" spans="18:19">
      <c r="R23607" s="178"/>
      <c r="S23607" s="178"/>
    </row>
    <row r="23608" spans="18:19">
      <c r="R23608" s="178"/>
      <c r="S23608" s="178"/>
    </row>
    <row r="23609" spans="18:19">
      <c r="R23609" s="178"/>
      <c r="S23609" s="178"/>
    </row>
    <row r="23610" spans="18:19">
      <c r="R23610" s="178"/>
      <c r="S23610" s="178"/>
    </row>
    <row r="23611" spans="18:19">
      <c r="R23611" s="178"/>
      <c r="S23611" s="178"/>
    </row>
    <row r="23612" spans="18:19">
      <c r="R23612" s="178"/>
      <c r="S23612" s="178"/>
    </row>
    <row r="23613" spans="18:19">
      <c r="R23613" s="178"/>
      <c r="S23613" s="178"/>
    </row>
    <row r="23614" spans="18:19">
      <c r="R23614" s="178"/>
      <c r="S23614" s="178"/>
    </row>
    <row r="23615" spans="18:19">
      <c r="R23615" s="178"/>
      <c r="S23615" s="178"/>
    </row>
    <row r="23616" spans="18:19">
      <c r="R23616" s="178"/>
      <c r="S23616" s="178"/>
    </row>
    <row r="23617" spans="18:19">
      <c r="R23617" s="178"/>
      <c r="S23617" s="178"/>
    </row>
    <row r="23618" spans="18:19">
      <c r="R23618" s="178"/>
      <c r="S23618" s="178"/>
    </row>
    <row r="23619" spans="18:19">
      <c r="R23619" s="178"/>
      <c r="S23619" s="178"/>
    </row>
    <row r="23620" spans="18:19">
      <c r="R23620" s="178"/>
      <c r="S23620" s="178"/>
    </row>
    <row r="23621" spans="18:19">
      <c r="R23621" s="178"/>
      <c r="S23621" s="178"/>
    </row>
    <row r="23622" spans="18:19">
      <c r="R23622" s="178"/>
      <c r="S23622" s="178"/>
    </row>
    <row r="23623" spans="18:19">
      <c r="R23623" s="178"/>
      <c r="S23623" s="178"/>
    </row>
    <row r="23624" spans="18:19">
      <c r="R23624" s="178"/>
      <c r="S23624" s="178"/>
    </row>
    <row r="23625" spans="18:19">
      <c r="R23625" s="178"/>
      <c r="S23625" s="178"/>
    </row>
    <row r="23626" spans="18:19">
      <c r="R23626" s="178"/>
      <c r="S23626" s="178"/>
    </row>
    <row r="23627" spans="18:19">
      <c r="R23627" s="178"/>
      <c r="S23627" s="178"/>
    </row>
    <row r="23628" spans="18:19">
      <c r="R23628" s="178"/>
      <c r="S23628" s="178"/>
    </row>
    <row r="23629" spans="18:19">
      <c r="R23629" s="178"/>
      <c r="S23629" s="178"/>
    </row>
    <row r="23630" spans="18:19">
      <c r="R23630" s="178"/>
      <c r="S23630" s="178"/>
    </row>
    <row r="23631" spans="18:19">
      <c r="R23631" s="178"/>
      <c r="S23631" s="178"/>
    </row>
    <row r="23632" spans="18:19">
      <c r="R23632" s="178"/>
      <c r="S23632" s="178"/>
    </row>
    <row r="23633" spans="18:19">
      <c r="R23633" s="178"/>
      <c r="S23633" s="178"/>
    </row>
    <row r="23634" spans="18:19">
      <c r="R23634" s="178"/>
      <c r="S23634" s="178"/>
    </row>
    <row r="23635" spans="18:19">
      <c r="R23635" s="178"/>
      <c r="S23635" s="178"/>
    </row>
    <row r="23636" spans="18:19">
      <c r="R23636" s="178"/>
      <c r="S23636" s="178"/>
    </row>
    <row r="23637" spans="18:19">
      <c r="R23637" s="178"/>
      <c r="S23637" s="178"/>
    </row>
    <row r="23638" spans="18:19">
      <c r="R23638" s="178"/>
      <c r="S23638" s="178"/>
    </row>
    <row r="23639" spans="18:19">
      <c r="R23639" s="178"/>
      <c r="S23639" s="178"/>
    </row>
    <row r="23640" spans="18:19">
      <c r="R23640" s="178"/>
      <c r="S23640" s="178"/>
    </row>
    <row r="23641" spans="18:19">
      <c r="R23641" s="178"/>
      <c r="S23641" s="178"/>
    </row>
    <row r="23642" spans="18:19">
      <c r="R23642" s="178"/>
      <c r="S23642" s="178"/>
    </row>
    <row r="23643" spans="18:19">
      <c r="R23643" s="178"/>
      <c r="S23643" s="178"/>
    </row>
    <row r="23644" spans="18:19">
      <c r="R23644" s="178"/>
      <c r="S23644" s="178"/>
    </row>
    <row r="23645" spans="18:19">
      <c r="R23645" s="178"/>
      <c r="S23645" s="178"/>
    </row>
    <row r="23646" spans="18:19">
      <c r="R23646" s="178"/>
      <c r="S23646" s="178"/>
    </row>
    <row r="23647" spans="18:19">
      <c r="R23647" s="178"/>
      <c r="S23647" s="178"/>
    </row>
    <row r="23648" spans="18:19">
      <c r="R23648" s="178"/>
      <c r="S23648" s="178"/>
    </row>
    <row r="23649" spans="18:19">
      <c r="R23649" s="178"/>
      <c r="S23649" s="178"/>
    </row>
    <row r="23650" spans="18:19">
      <c r="R23650" s="178"/>
      <c r="S23650" s="178"/>
    </row>
    <row r="23651" spans="18:19">
      <c r="R23651" s="178"/>
      <c r="S23651" s="178"/>
    </row>
    <row r="23652" spans="18:19">
      <c r="R23652" s="178"/>
      <c r="S23652" s="178"/>
    </row>
    <row r="23653" spans="18:19">
      <c r="R23653" s="178"/>
      <c r="S23653" s="178"/>
    </row>
    <row r="23654" spans="18:19">
      <c r="R23654" s="178"/>
      <c r="S23654" s="178"/>
    </row>
    <row r="23655" spans="18:19">
      <c r="R23655" s="178"/>
      <c r="S23655" s="178"/>
    </row>
    <row r="23656" spans="18:19">
      <c r="R23656" s="178"/>
      <c r="S23656" s="178"/>
    </row>
    <row r="23657" spans="18:19">
      <c r="R23657" s="178"/>
      <c r="S23657" s="178"/>
    </row>
    <row r="23658" spans="18:19">
      <c r="R23658" s="178"/>
      <c r="S23658" s="178"/>
    </row>
    <row r="23659" spans="18:19">
      <c r="R23659" s="178"/>
      <c r="S23659" s="178"/>
    </row>
    <row r="23660" spans="18:19">
      <c r="R23660" s="178"/>
      <c r="S23660" s="178"/>
    </row>
    <row r="23661" spans="18:19">
      <c r="R23661" s="178"/>
      <c r="S23661" s="178"/>
    </row>
    <row r="23662" spans="18:19">
      <c r="R23662" s="178"/>
      <c r="S23662" s="178"/>
    </row>
    <row r="23663" spans="18:19">
      <c r="R23663" s="178"/>
      <c r="S23663" s="178"/>
    </row>
    <row r="23664" spans="18:19">
      <c r="R23664" s="178"/>
      <c r="S23664" s="178"/>
    </row>
    <row r="23665" spans="18:19">
      <c r="R23665" s="178"/>
      <c r="S23665" s="178"/>
    </row>
    <row r="23666" spans="18:19">
      <c r="R23666" s="178"/>
      <c r="S23666" s="178"/>
    </row>
    <row r="23667" spans="18:19">
      <c r="R23667" s="178"/>
      <c r="S23667" s="178"/>
    </row>
    <row r="23668" spans="18:19">
      <c r="R23668" s="178"/>
      <c r="S23668" s="178"/>
    </row>
    <row r="23669" spans="18:19">
      <c r="R23669" s="178"/>
      <c r="S23669" s="178"/>
    </row>
    <row r="23670" spans="18:19">
      <c r="R23670" s="178"/>
      <c r="S23670" s="178"/>
    </row>
    <row r="23671" spans="18:19">
      <c r="R23671" s="178"/>
      <c r="S23671" s="178"/>
    </row>
    <row r="23672" spans="18:19">
      <c r="R23672" s="178"/>
      <c r="S23672" s="178"/>
    </row>
    <row r="23673" spans="18:19">
      <c r="R23673" s="178"/>
      <c r="S23673" s="178"/>
    </row>
    <row r="23674" spans="18:19">
      <c r="R23674" s="178"/>
      <c r="S23674" s="178"/>
    </row>
    <row r="23675" spans="18:19">
      <c r="R23675" s="178"/>
      <c r="S23675" s="178"/>
    </row>
    <row r="23676" spans="18:19">
      <c r="R23676" s="178"/>
      <c r="S23676" s="178"/>
    </row>
    <row r="23677" spans="18:19">
      <c r="R23677" s="178"/>
      <c r="S23677" s="178"/>
    </row>
    <row r="23678" spans="18:19">
      <c r="R23678" s="178"/>
      <c r="S23678" s="178"/>
    </row>
    <row r="23679" spans="18:19">
      <c r="R23679" s="178"/>
      <c r="S23679" s="178"/>
    </row>
    <row r="23680" spans="18:19">
      <c r="R23680" s="178"/>
      <c r="S23680" s="178"/>
    </row>
    <row r="23681" spans="18:19">
      <c r="R23681" s="178"/>
      <c r="S23681" s="178"/>
    </row>
    <row r="23682" spans="18:19">
      <c r="R23682" s="178"/>
      <c r="S23682" s="178"/>
    </row>
    <row r="23683" spans="18:19">
      <c r="R23683" s="178"/>
      <c r="S23683" s="178"/>
    </row>
    <row r="23684" spans="18:19">
      <c r="R23684" s="178"/>
      <c r="S23684" s="178"/>
    </row>
    <row r="23685" spans="18:19">
      <c r="R23685" s="178"/>
      <c r="S23685" s="178"/>
    </row>
    <row r="23686" spans="18:19">
      <c r="R23686" s="178"/>
      <c r="S23686" s="178"/>
    </row>
    <row r="23687" spans="18:19">
      <c r="R23687" s="178"/>
      <c r="S23687" s="178"/>
    </row>
    <row r="23688" spans="18:19">
      <c r="R23688" s="178"/>
      <c r="S23688" s="178"/>
    </row>
    <row r="23689" spans="18:19">
      <c r="R23689" s="178"/>
      <c r="S23689" s="178"/>
    </row>
    <row r="23690" spans="18:19">
      <c r="R23690" s="178"/>
      <c r="S23690" s="178"/>
    </row>
    <row r="23691" spans="18:19">
      <c r="R23691" s="178"/>
      <c r="S23691" s="178"/>
    </row>
    <row r="23692" spans="18:19">
      <c r="R23692" s="178"/>
      <c r="S23692" s="178"/>
    </row>
    <row r="23693" spans="18:19">
      <c r="R23693" s="178"/>
      <c r="S23693" s="178"/>
    </row>
    <row r="23694" spans="18:19">
      <c r="R23694" s="178"/>
      <c r="S23694" s="178"/>
    </row>
    <row r="23695" spans="18:19">
      <c r="R23695" s="178"/>
      <c r="S23695" s="178"/>
    </row>
    <row r="23696" spans="18:19">
      <c r="R23696" s="178"/>
      <c r="S23696" s="178"/>
    </row>
    <row r="23697" spans="18:19">
      <c r="R23697" s="178"/>
      <c r="S23697" s="178"/>
    </row>
    <row r="23698" spans="18:19">
      <c r="R23698" s="178"/>
      <c r="S23698" s="178"/>
    </row>
    <row r="23699" spans="18:19">
      <c r="R23699" s="178"/>
      <c r="S23699" s="178"/>
    </row>
    <row r="23700" spans="18:19">
      <c r="R23700" s="178"/>
      <c r="S23700" s="178"/>
    </row>
    <row r="23701" spans="18:19">
      <c r="R23701" s="178"/>
      <c r="S23701" s="178"/>
    </row>
    <row r="23702" spans="18:19">
      <c r="R23702" s="178"/>
      <c r="S23702" s="178"/>
    </row>
    <row r="23703" spans="18:19">
      <c r="R23703" s="178"/>
      <c r="S23703" s="178"/>
    </row>
    <row r="23704" spans="18:19">
      <c r="R23704" s="178"/>
      <c r="S23704" s="178"/>
    </row>
    <row r="23705" spans="18:19">
      <c r="R23705" s="178"/>
      <c r="S23705" s="178"/>
    </row>
    <row r="23706" spans="18:19">
      <c r="R23706" s="178"/>
      <c r="S23706" s="178"/>
    </row>
    <row r="23707" spans="18:19">
      <c r="R23707" s="178"/>
      <c r="S23707" s="178"/>
    </row>
    <row r="23708" spans="18:19">
      <c r="R23708" s="178"/>
      <c r="S23708" s="178"/>
    </row>
    <row r="23709" spans="18:19">
      <c r="R23709" s="178"/>
      <c r="S23709" s="178"/>
    </row>
    <row r="23710" spans="18:19">
      <c r="R23710" s="178"/>
      <c r="S23710" s="178"/>
    </row>
    <row r="23711" spans="18:19">
      <c r="R23711" s="178"/>
      <c r="S23711" s="178"/>
    </row>
    <row r="23712" spans="18:19">
      <c r="R23712" s="178"/>
      <c r="S23712" s="178"/>
    </row>
    <row r="23713" spans="18:19">
      <c r="R23713" s="178"/>
      <c r="S23713" s="178"/>
    </row>
    <row r="23714" spans="18:19">
      <c r="R23714" s="178"/>
      <c r="S23714" s="178"/>
    </row>
    <row r="23715" spans="18:19">
      <c r="R23715" s="178"/>
      <c r="S23715" s="178"/>
    </row>
    <row r="23716" spans="18:19">
      <c r="R23716" s="178"/>
      <c r="S23716" s="178"/>
    </row>
    <row r="23717" spans="18:19">
      <c r="R23717" s="178"/>
      <c r="S23717" s="178"/>
    </row>
    <row r="23718" spans="18:19">
      <c r="R23718" s="178"/>
      <c r="S23718" s="178"/>
    </row>
    <row r="23719" spans="18:19">
      <c r="R23719" s="178"/>
      <c r="S23719" s="178"/>
    </row>
    <row r="23720" spans="18:19">
      <c r="R23720" s="178"/>
      <c r="S23720" s="178"/>
    </row>
    <row r="23721" spans="18:19">
      <c r="R23721" s="178"/>
      <c r="S23721" s="178"/>
    </row>
    <row r="23722" spans="18:19">
      <c r="R23722" s="178"/>
      <c r="S23722" s="178"/>
    </row>
    <row r="23723" spans="18:19">
      <c r="R23723" s="178"/>
      <c r="S23723" s="178"/>
    </row>
    <row r="23724" spans="18:19">
      <c r="R23724" s="178"/>
      <c r="S23724" s="178"/>
    </row>
    <row r="23725" spans="18:19">
      <c r="R23725" s="178"/>
      <c r="S23725" s="178"/>
    </row>
    <row r="23726" spans="18:19">
      <c r="R23726" s="178"/>
      <c r="S23726" s="178"/>
    </row>
    <row r="23727" spans="18:19">
      <c r="R23727" s="178"/>
      <c r="S23727" s="178"/>
    </row>
    <row r="23728" spans="18:19">
      <c r="R23728" s="178"/>
      <c r="S23728" s="178"/>
    </row>
    <row r="23729" spans="18:19">
      <c r="R23729" s="178"/>
      <c r="S23729" s="178"/>
    </row>
    <row r="23730" spans="18:19">
      <c r="R23730" s="178"/>
      <c r="S23730" s="178"/>
    </row>
    <row r="23731" spans="18:19">
      <c r="R23731" s="178"/>
      <c r="S23731" s="178"/>
    </row>
    <row r="23732" spans="18:19">
      <c r="R23732" s="178"/>
      <c r="S23732" s="178"/>
    </row>
    <row r="23733" spans="18:19">
      <c r="R23733" s="178"/>
      <c r="S23733" s="178"/>
    </row>
    <row r="23734" spans="18:19">
      <c r="R23734" s="178"/>
      <c r="S23734" s="178"/>
    </row>
    <row r="23735" spans="18:19">
      <c r="R23735" s="178"/>
      <c r="S23735" s="178"/>
    </row>
    <row r="23736" spans="18:19">
      <c r="R23736" s="178"/>
      <c r="S23736" s="178"/>
    </row>
    <row r="23737" spans="18:19">
      <c r="R23737" s="178"/>
      <c r="S23737" s="178"/>
    </row>
    <row r="23738" spans="18:19">
      <c r="R23738" s="178"/>
      <c r="S23738" s="178"/>
    </row>
    <row r="23739" spans="18:19">
      <c r="R23739" s="178"/>
      <c r="S23739" s="178"/>
    </row>
    <row r="23740" spans="18:19">
      <c r="R23740" s="178"/>
      <c r="S23740" s="178"/>
    </row>
    <row r="23741" spans="18:19">
      <c r="R23741" s="178"/>
      <c r="S23741" s="178"/>
    </row>
    <row r="23742" spans="18:19">
      <c r="R23742" s="178"/>
      <c r="S23742" s="178"/>
    </row>
    <row r="23743" spans="18:19">
      <c r="R23743" s="178"/>
      <c r="S23743" s="178"/>
    </row>
    <row r="23744" spans="18:19">
      <c r="R23744" s="178"/>
      <c r="S23744" s="178"/>
    </row>
    <row r="23745" spans="18:19">
      <c r="R23745" s="178"/>
      <c r="S23745" s="178"/>
    </row>
    <row r="23746" spans="18:19">
      <c r="R23746" s="178"/>
      <c r="S23746" s="178"/>
    </row>
    <row r="23747" spans="18:19">
      <c r="R23747" s="178"/>
      <c r="S23747" s="178"/>
    </row>
    <row r="23748" spans="18:19">
      <c r="R23748" s="178"/>
      <c r="S23748" s="178"/>
    </row>
    <row r="23749" spans="18:19">
      <c r="R23749" s="178"/>
      <c r="S23749" s="178"/>
    </row>
    <row r="23750" spans="18:19">
      <c r="R23750" s="178"/>
      <c r="S23750" s="178"/>
    </row>
    <row r="23751" spans="18:19">
      <c r="R23751" s="178"/>
      <c r="S23751" s="178"/>
    </row>
    <row r="23752" spans="18:19">
      <c r="R23752" s="178"/>
      <c r="S23752" s="178"/>
    </row>
    <row r="23753" spans="18:19">
      <c r="R23753" s="178"/>
      <c r="S23753" s="178"/>
    </row>
    <row r="23754" spans="18:19">
      <c r="R23754" s="178"/>
      <c r="S23754" s="178"/>
    </row>
    <row r="23755" spans="18:19">
      <c r="R23755" s="178"/>
      <c r="S23755" s="178"/>
    </row>
    <row r="23756" spans="18:19">
      <c r="R23756" s="178"/>
      <c r="S23756" s="178"/>
    </row>
    <row r="23757" spans="18:19">
      <c r="R23757" s="178"/>
      <c r="S23757" s="178"/>
    </row>
    <row r="23758" spans="18:19">
      <c r="R23758" s="178"/>
      <c r="S23758" s="178"/>
    </row>
    <row r="23759" spans="18:19">
      <c r="R23759" s="178"/>
      <c r="S23759" s="178"/>
    </row>
    <row r="23760" spans="18:19">
      <c r="R23760" s="178"/>
      <c r="S23760" s="178"/>
    </row>
    <row r="23761" spans="18:19">
      <c r="R23761" s="178"/>
      <c r="S23761" s="178"/>
    </row>
    <row r="23762" spans="18:19">
      <c r="R23762" s="178"/>
      <c r="S23762" s="178"/>
    </row>
    <row r="23763" spans="18:19">
      <c r="R23763" s="178"/>
      <c r="S23763" s="178"/>
    </row>
    <row r="23764" spans="18:19">
      <c r="R23764" s="178"/>
      <c r="S23764" s="178"/>
    </row>
    <row r="23765" spans="18:19">
      <c r="R23765" s="178"/>
      <c r="S23765" s="178"/>
    </row>
    <row r="23766" spans="18:19">
      <c r="R23766" s="178"/>
      <c r="S23766" s="178"/>
    </row>
    <row r="23767" spans="18:19">
      <c r="R23767" s="178"/>
      <c r="S23767" s="178"/>
    </row>
    <row r="23768" spans="18:19">
      <c r="R23768" s="178"/>
      <c r="S23768" s="178"/>
    </row>
    <row r="23769" spans="18:19">
      <c r="R23769" s="178"/>
      <c r="S23769" s="178"/>
    </row>
    <row r="23770" spans="18:19">
      <c r="R23770" s="178"/>
      <c r="S23770" s="178"/>
    </row>
    <row r="23771" spans="18:19">
      <c r="R23771" s="178"/>
      <c r="S23771" s="178"/>
    </row>
    <row r="23772" spans="18:19">
      <c r="R23772" s="178"/>
      <c r="S23772" s="178"/>
    </row>
    <row r="23773" spans="18:19">
      <c r="R23773" s="178"/>
      <c r="S23773" s="178"/>
    </row>
    <row r="23774" spans="18:19">
      <c r="R23774" s="178"/>
      <c r="S23774" s="178"/>
    </row>
    <row r="23775" spans="18:19">
      <c r="R23775" s="178"/>
      <c r="S23775" s="178"/>
    </row>
    <row r="23776" spans="18:19">
      <c r="R23776" s="178"/>
      <c r="S23776" s="178"/>
    </row>
    <row r="23777" spans="18:19">
      <c r="R23777" s="178"/>
      <c r="S23777" s="178"/>
    </row>
    <row r="23778" spans="18:19">
      <c r="R23778" s="178"/>
      <c r="S23778" s="178"/>
    </row>
    <row r="23779" spans="18:19">
      <c r="R23779" s="178"/>
      <c r="S23779" s="178"/>
    </row>
    <row r="23780" spans="18:19">
      <c r="R23780" s="178"/>
      <c r="S23780" s="178"/>
    </row>
    <row r="23781" spans="18:19">
      <c r="R23781" s="178"/>
      <c r="S23781" s="178"/>
    </row>
    <row r="23782" spans="18:19">
      <c r="R23782" s="178"/>
      <c r="S23782" s="178"/>
    </row>
    <row r="23783" spans="18:19">
      <c r="R23783" s="178"/>
      <c r="S23783" s="178"/>
    </row>
    <row r="23784" spans="18:19">
      <c r="R23784" s="178"/>
      <c r="S23784" s="178"/>
    </row>
    <row r="23785" spans="18:19">
      <c r="R23785" s="178"/>
      <c r="S23785" s="178"/>
    </row>
    <row r="23786" spans="18:19">
      <c r="R23786" s="178"/>
      <c r="S23786" s="178"/>
    </row>
    <row r="23787" spans="18:19">
      <c r="R23787" s="178"/>
      <c r="S23787" s="178"/>
    </row>
    <row r="23788" spans="18:19">
      <c r="R23788" s="178"/>
      <c r="S23788" s="178"/>
    </row>
    <row r="23789" spans="18:19">
      <c r="R23789" s="178"/>
      <c r="S23789" s="178"/>
    </row>
    <row r="23790" spans="18:19">
      <c r="R23790" s="178"/>
      <c r="S23790" s="178"/>
    </row>
    <row r="23791" spans="18:19">
      <c r="R23791" s="178"/>
      <c r="S23791" s="178"/>
    </row>
    <row r="23792" spans="18:19">
      <c r="R23792" s="178"/>
      <c r="S23792" s="178"/>
    </row>
    <row r="23793" spans="18:19">
      <c r="R23793" s="178"/>
      <c r="S23793" s="178"/>
    </row>
    <row r="23794" spans="18:19">
      <c r="R23794" s="178"/>
      <c r="S23794" s="178"/>
    </row>
    <row r="23795" spans="18:19">
      <c r="R23795" s="178"/>
      <c r="S23795" s="178"/>
    </row>
    <row r="23796" spans="18:19">
      <c r="R23796" s="178"/>
      <c r="S23796" s="178"/>
    </row>
    <row r="23797" spans="18:19">
      <c r="R23797" s="178"/>
      <c r="S23797" s="178"/>
    </row>
    <row r="23798" spans="18:19">
      <c r="R23798" s="178"/>
      <c r="S23798" s="178"/>
    </row>
    <row r="23799" spans="18:19">
      <c r="R23799" s="178"/>
      <c r="S23799" s="178"/>
    </row>
    <row r="23800" spans="18:19">
      <c r="R23800" s="178"/>
      <c r="S23800" s="178"/>
    </row>
    <row r="23801" spans="18:19">
      <c r="R23801" s="178"/>
      <c r="S23801" s="178"/>
    </row>
    <row r="23802" spans="18:19">
      <c r="R23802" s="178"/>
      <c r="S23802" s="178"/>
    </row>
    <row r="23803" spans="18:19">
      <c r="R23803" s="178"/>
      <c r="S23803" s="178"/>
    </row>
    <row r="23804" spans="18:19">
      <c r="R23804" s="178"/>
      <c r="S23804" s="178"/>
    </row>
    <row r="23805" spans="18:19">
      <c r="R23805" s="178"/>
      <c r="S23805" s="178"/>
    </row>
    <row r="23806" spans="18:19">
      <c r="R23806" s="178"/>
      <c r="S23806" s="178"/>
    </row>
    <row r="23807" spans="18:19">
      <c r="R23807" s="178"/>
      <c r="S23807" s="178"/>
    </row>
    <row r="23808" spans="18:19">
      <c r="R23808" s="178"/>
      <c r="S23808" s="178"/>
    </row>
    <row r="23809" spans="18:19">
      <c r="R23809" s="178"/>
      <c r="S23809" s="178"/>
    </row>
    <row r="23810" spans="18:19">
      <c r="R23810" s="178"/>
      <c r="S23810" s="178"/>
    </row>
    <row r="23811" spans="18:19">
      <c r="R23811" s="178"/>
      <c r="S23811" s="178"/>
    </row>
    <row r="23812" spans="18:19">
      <c r="R23812" s="178"/>
      <c r="S23812" s="178"/>
    </row>
    <row r="23813" spans="18:19">
      <c r="R23813" s="178"/>
      <c r="S23813" s="178"/>
    </row>
    <row r="23814" spans="18:19">
      <c r="R23814" s="178"/>
      <c r="S23814" s="178"/>
    </row>
    <row r="23815" spans="18:19">
      <c r="R23815" s="178"/>
      <c r="S23815" s="178"/>
    </row>
    <row r="23816" spans="18:19">
      <c r="R23816" s="178"/>
      <c r="S23816" s="178"/>
    </row>
    <row r="23817" spans="18:19">
      <c r="R23817" s="178"/>
      <c r="S23817" s="178"/>
    </row>
    <row r="23818" spans="18:19">
      <c r="R23818" s="178"/>
      <c r="S23818" s="178"/>
    </row>
    <row r="23819" spans="18:19">
      <c r="R23819" s="178"/>
      <c r="S23819" s="178"/>
    </row>
    <row r="23820" spans="18:19">
      <c r="R23820" s="178"/>
      <c r="S23820" s="178"/>
    </row>
    <row r="23821" spans="18:19">
      <c r="R23821" s="178"/>
      <c r="S23821" s="178"/>
    </row>
    <row r="23822" spans="18:19">
      <c r="R23822" s="178"/>
      <c r="S23822" s="178"/>
    </row>
    <row r="23823" spans="18:19">
      <c r="R23823" s="178"/>
      <c r="S23823" s="178"/>
    </row>
    <row r="23824" spans="18:19">
      <c r="R23824" s="178"/>
      <c r="S23824" s="178"/>
    </row>
    <row r="23825" spans="18:19">
      <c r="R23825" s="178"/>
      <c r="S23825" s="178"/>
    </row>
    <row r="23826" spans="18:19">
      <c r="R23826" s="178"/>
      <c r="S23826" s="178"/>
    </row>
    <row r="23827" spans="18:19">
      <c r="R23827" s="178"/>
      <c r="S23827" s="178"/>
    </row>
    <row r="23828" spans="18:19">
      <c r="R23828" s="178"/>
      <c r="S23828" s="178"/>
    </row>
    <row r="23829" spans="18:19">
      <c r="R23829" s="178"/>
      <c r="S23829" s="178"/>
    </row>
    <row r="23830" spans="18:19">
      <c r="R23830" s="178"/>
      <c r="S23830" s="178"/>
    </row>
    <row r="23831" spans="18:19">
      <c r="R23831" s="178"/>
      <c r="S23831" s="178"/>
    </row>
    <row r="23832" spans="18:19">
      <c r="R23832" s="178"/>
      <c r="S23832" s="178"/>
    </row>
    <row r="23833" spans="18:19">
      <c r="R23833" s="178"/>
      <c r="S23833" s="178"/>
    </row>
    <row r="23834" spans="18:19">
      <c r="R23834" s="178"/>
      <c r="S23834" s="178"/>
    </row>
    <row r="23835" spans="18:19">
      <c r="R23835" s="178"/>
      <c r="S23835" s="178"/>
    </row>
    <row r="23836" spans="18:19">
      <c r="R23836" s="178"/>
      <c r="S23836" s="178"/>
    </row>
    <row r="23837" spans="18:19">
      <c r="R23837" s="178"/>
      <c r="S23837" s="178"/>
    </row>
    <row r="23838" spans="18:19">
      <c r="R23838" s="178"/>
      <c r="S23838" s="178"/>
    </row>
    <row r="23839" spans="18:19">
      <c r="R23839" s="178"/>
      <c r="S23839" s="178"/>
    </row>
    <row r="23840" spans="18:19">
      <c r="R23840" s="178"/>
      <c r="S23840" s="178"/>
    </row>
    <row r="23841" spans="18:19">
      <c r="R23841" s="178"/>
      <c r="S23841" s="178"/>
    </row>
    <row r="23842" spans="18:19">
      <c r="R23842" s="178"/>
      <c r="S23842" s="178"/>
    </row>
    <row r="23843" spans="18:19">
      <c r="R23843" s="178"/>
      <c r="S23843" s="178"/>
    </row>
    <row r="23844" spans="18:19">
      <c r="R23844" s="178"/>
      <c r="S23844" s="178"/>
    </row>
    <row r="23845" spans="18:19">
      <c r="R23845" s="178"/>
      <c r="S23845" s="178"/>
    </row>
    <row r="23846" spans="18:19">
      <c r="R23846" s="178"/>
      <c r="S23846" s="178"/>
    </row>
    <row r="23847" spans="18:19">
      <c r="R23847" s="178"/>
      <c r="S23847" s="178"/>
    </row>
    <row r="23848" spans="18:19">
      <c r="R23848" s="178"/>
      <c r="S23848" s="178"/>
    </row>
    <row r="23849" spans="18:19">
      <c r="R23849" s="178"/>
      <c r="S23849" s="178"/>
    </row>
    <row r="23850" spans="18:19">
      <c r="R23850" s="178"/>
      <c r="S23850" s="178"/>
    </row>
    <row r="23851" spans="18:19">
      <c r="R23851" s="178"/>
      <c r="S23851" s="178"/>
    </row>
    <row r="23852" spans="18:19">
      <c r="R23852" s="178"/>
      <c r="S23852" s="178"/>
    </row>
    <row r="23853" spans="18:19">
      <c r="R23853" s="178"/>
      <c r="S23853" s="178"/>
    </row>
    <row r="23854" spans="18:19">
      <c r="R23854" s="178"/>
      <c r="S23854" s="178"/>
    </row>
    <row r="23855" spans="18:19">
      <c r="R23855" s="178"/>
      <c r="S23855" s="178"/>
    </row>
    <row r="23856" spans="18:19">
      <c r="R23856" s="178"/>
      <c r="S23856" s="178"/>
    </row>
    <row r="23857" spans="18:19">
      <c r="R23857" s="178"/>
      <c r="S23857" s="178"/>
    </row>
    <row r="23858" spans="18:19">
      <c r="R23858" s="178"/>
      <c r="S23858" s="178"/>
    </row>
    <row r="23859" spans="18:19">
      <c r="R23859" s="178"/>
      <c r="S23859" s="178"/>
    </row>
    <row r="23860" spans="18:19">
      <c r="R23860" s="178"/>
      <c r="S23860" s="178"/>
    </row>
    <row r="23861" spans="18:19">
      <c r="R23861" s="178"/>
      <c r="S23861" s="178"/>
    </row>
    <row r="23862" spans="18:19">
      <c r="R23862" s="178"/>
      <c r="S23862" s="178"/>
    </row>
    <row r="23863" spans="18:19">
      <c r="R23863" s="178"/>
      <c r="S23863" s="178"/>
    </row>
    <row r="23864" spans="18:19">
      <c r="R23864" s="178"/>
      <c r="S23864" s="178"/>
    </row>
    <row r="23865" spans="18:19">
      <c r="R23865" s="178"/>
      <c r="S23865" s="178"/>
    </row>
    <row r="23866" spans="18:19">
      <c r="R23866" s="178"/>
      <c r="S23866" s="178"/>
    </row>
    <row r="23867" spans="18:19">
      <c r="R23867" s="178"/>
      <c r="S23867" s="178"/>
    </row>
    <row r="23868" spans="18:19">
      <c r="R23868" s="178"/>
      <c r="S23868" s="178"/>
    </row>
    <row r="23869" spans="18:19">
      <c r="R23869" s="178"/>
      <c r="S23869" s="178"/>
    </row>
    <row r="23870" spans="18:19">
      <c r="R23870" s="178"/>
      <c r="S23870" s="178"/>
    </row>
    <row r="23871" spans="18:19">
      <c r="R23871" s="178"/>
      <c r="S23871" s="178"/>
    </row>
    <row r="23872" spans="18:19">
      <c r="R23872" s="178"/>
      <c r="S23872" s="178"/>
    </row>
    <row r="23873" spans="18:19">
      <c r="R23873" s="178"/>
      <c r="S23873" s="178"/>
    </row>
    <row r="23874" spans="18:19">
      <c r="R23874" s="178"/>
      <c r="S23874" s="178"/>
    </row>
    <row r="23875" spans="18:19">
      <c r="R23875" s="178"/>
      <c r="S23875" s="178"/>
    </row>
    <row r="23876" spans="18:19">
      <c r="R23876" s="178"/>
      <c r="S23876" s="178"/>
    </row>
    <row r="23877" spans="18:19">
      <c r="R23877" s="178"/>
      <c r="S23877" s="178"/>
    </row>
    <row r="23878" spans="18:19">
      <c r="R23878" s="178"/>
      <c r="S23878" s="178"/>
    </row>
    <row r="23879" spans="18:19">
      <c r="R23879" s="178"/>
      <c r="S23879" s="178"/>
    </row>
    <row r="23880" spans="18:19">
      <c r="R23880" s="178"/>
      <c r="S23880" s="178"/>
    </row>
    <row r="23881" spans="18:19">
      <c r="R23881" s="178"/>
      <c r="S23881" s="178"/>
    </row>
    <row r="23882" spans="18:19">
      <c r="R23882" s="178"/>
      <c r="S23882" s="178"/>
    </row>
    <row r="23883" spans="18:19">
      <c r="R23883" s="178"/>
      <c r="S23883" s="178"/>
    </row>
    <row r="23884" spans="18:19">
      <c r="R23884" s="178"/>
      <c r="S23884" s="178"/>
    </row>
    <row r="23885" spans="18:19">
      <c r="R23885" s="178"/>
      <c r="S23885" s="178"/>
    </row>
    <row r="23886" spans="18:19">
      <c r="R23886" s="178"/>
      <c r="S23886" s="178"/>
    </row>
    <row r="23887" spans="18:19">
      <c r="R23887" s="178"/>
      <c r="S23887" s="178"/>
    </row>
    <row r="23888" spans="18:19">
      <c r="R23888" s="178"/>
      <c r="S23888" s="178"/>
    </row>
    <row r="23889" spans="18:19">
      <c r="R23889" s="178"/>
      <c r="S23889" s="178"/>
    </row>
    <row r="23890" spans="18:19">
      <c r="R23890" s="178"/>
      <c r="S23890" s="178"/>
    </row>
    <row r="23891" spans="18:19">
      <c r="R23891" s="178"/>
      <c r="S23891" s="178"/>
    </row>
    <row r="23892" spans="18:19">
      <c r="R23892" s="178"/>
      <c r="S23892" s="178"/>
    </row>
    <row r="23893" spans="18:19">
      <c r="R23893" s="178"/>
      <c r="S23893" s="178"/>
    </row>
    <row r="23894" spans="18:19">
      <c r="R23894" s="178"/>
      <c r="S23894" s="178"/>
    </row>
    <row r="23895" spans="18:19">
      <c r="R23895" s="178"/>
      <c r="S23895" s="178"/>
    </row>
    <row r="23896" spans="18:19">
      <c r="R23896" s="178"/>
      <c r="S23896" s="178"/>
    </row>
    <row r="23897" spans="18:19">
      <c r="R23897" s="178"/>
      <c r="S23897" s="178"/>
    </row>
    <row r="23898" spans="18:19">
      <c r="R23898" s="178"/>
      <c r="S23898" s="178"/>
    </row>
    <row r="23899" spans="18:19">
      <c r="R23899" s="178"/>
      <c r="S23899" s="178"/>
    </row>
    <row r="23900" spans="18:19">
      <c r="R23900" s="178"/>
      <c r="S23900" s="178"/>
    </row>
    <row r="23901" spans="18:19">
      <c r="R23901" s="178"/>
      <c r="S23901" s="178"/>
    </row>
    <row r="23902" spans="18:19">
      <c r="R23902" s="178"/>
      <c r="S23902" s="178"/>
    </row>
    <row r="23903" spans="18:19">
      <c r="R23903" s="178"/>
      <c r="S23903" s="178"/>
    </row>
    <row r="23904" spans="18:19">
      <c r="R23904" s="178"/>
      <c r="S23904" s="178"/>
    </row>
    <row r="23905" spans="18:19">
      <c r="R23905" s="178"/>
      <c r="S23905" s="178"/>
    </row>
    <row r="23906" spans="18:19">
      <c r="R23906" s="178"/>
      <c r="S23906" s="178"/>
    </row>
    <row r="23907" spans="18:19">
      <c r="R23907" s="178"/>
      <c r="S23907" s="178"/>
    </row>
    <row r="23908" spans="18:19">
      <c r="R23908" s="178"/>
      <c r="S23908" s="178"/>
    </row>
    <row r="23909" spans="18:19">
      <c r="R23909" s="178"/>
      <c r="S23909" s="178"/>
    </row>
    <row r="23910" spans="18:19">
      <c r="R23910" s="178"/>
      <c r="S23910" s="178"/>
    </row>
    <row r="23911" spans="18:19">
      <c r="R23911" s="178"/>
      <c r="S23911" s="178"/>
    </row>
    <row r="23912" spans="18:19">
      <c r="R23912" s="178"/>
      <c r="S23912" s="178"/>
    </row>
    <row r="23913" spans="18:19">
      <c r="R23913" s="178"/>
      <c r="S23913" s="178"/>
    </row>
    <row r="23914" spans="18:19">
      <c r="R23914" s="178"/>
      <c r="S23914" s="178"/>
    </row>
    <row r="23915" spans="18:19">
      <c r="R23915" s="178"/>
      <c r="S23915" s="178"/>
    </row>
    <row r="23916" spans="18:19">
      <c r="R23916" s="178"/>
      <c r="S23916" s="178"/>
    </row>
    <row r="23917" spans="18:19">
      <c r="R23917" s="178"/>
      <c r="S23917" s="178"/>
    </row>
    <row r="23918" spans="18:19">
      <c r="R23918" s="178"/>
      <c r="S23918" s="178"/>
    </row>
    <row r="23919" spans="18:19">
      <c r="R23919" s="178"/>
      <c r="S23919" s="178"/>
    </row>
    <row r="23920" spans="18:19">
      <c r="R23920" s="178"/>
      <c r="S23920" s="178"/>
    </row>
    <row r="23921" spans="18:19">
      <c r="R23921" s="178"/>
      <c r="S23921" s="178"/>
    </row>
    <row r="23922" spans="18:19">
      <c r="R23922" s="178"/>
      <c r="S23922" s="178"/>
    </row>
    <row r="23923" spans="18:19">
      <c r="R23923" s="178"/>
      <c r="S23923" s="178"/>
    </row>
    <row r="23924" spans="18:19">
      <c r="R23924" s="178"/>
      <c r="S23924" s="178"/>
    </row>
    <row r="23925" spans="18:19">
      <c r="R23925" s="178"/>
      <c r="S23925" s="178"/>
    </row>
    <row r="23926" spans="18:19">
      <c r="R23926" s="178"/>
      <c r="S23926" s="178"/>
    </row>
    <row r="23927" spans="18:19">
      <c r="R23927" s="178"/>
      <c r="S23927" s="178"/>
    </row>
    <row r="23928" spans="18:19">
      <c r="R23928" s="178"/>
      <c r="S23928" s="178"/>
    </row>
    <row r="23929" spans="18:19">
      <c r="R23929" s="178"/>
      <c r="S23929" s="178"/>
    </row>
    <row r="23930" spans="18:19">
      <c r="R23930" s="178"/>
      <c r="S23930" s="178"/>
    </row>
    <row r="23931" spans="18:19">
      <c r="R23931" s="178"/>
      <c r="S23931" s="178"/>
    </row>
    <row r="23932" spans="18:19">
      <c r="R23932" s="178"/>
      <c r="S23932" s="178"/>
    </row>
    <row r="23933" spans="18:19">
      <c r="R23933" s="178"/>
      <c r="S23933" s="178"/>
    </row>
    <row r="23934" spans="18:19">
      <c r="R23934" s="178"/>
      <c r="S23934" s="178"/>
    </row>
    <row r="23935" spans="18:19">
      <c r="R23935" s="178"/>
      <c r="S23935" s="178"/>
    </row>
    <row r="23936" spans="18:19">
      <c r="R23936" s="178"/>
      <c r="S23936" s="178"/>
    </row>
    <row r="23937" spans="18:19">
      <c r="R23937" s="178"/>
      <c r="S23937" s="178"/>
    </row>
    <row r="23938" spans="18:19">
      <c r="R23938" s="178"/>
      <c r="S23938" s="178"/>
    </row>
    <row r="23939" spans="18:19">
      <c r="R23939" s="178"/>
      <c r="S23939" s="178"/>
    </row>
    <row r="23940" spans="18:19">
      <c r="R23940" s="178"/>
      <c r="S23940" s="178"/>
    </row>
    <row r="23941" spans="18:19">
      <c r="R23941" s="178"/>
      <c r="S23941" s="178"/>
    </row>
    <row r="23942" spans="18:19">
      <c r="R23942" s="178"/>
      <c r="S23942" s="178"/>
    </row>
    <row r="23943" spans="18:19">
      <c r="R23943" s="178"/>
      <c r="S23943" s="178"/>
    </row>
    <row r="23944" spans="18:19">
      <c r="R23944" s="178"/>
      <c r="S23944" s="178"/>
    </row>
    <row r="23945" spans="18:19">
      <c r="R23945" s="178"/>
      <c r="S23945" s="178"/>
    </row>
    <row r="23946" spans="18:19">
      <c r="R23946" s="178"/>
      <c r="S23946" s="178"/>
    </row>
    <row r="23947" spans="18:19">
      <c r="R23947" s="178"/>
      <c r="S23947" s="178"/>
    </row>
    <row r="23948" spans="18:19">
      <c r="R23948" s="178"/>
      <c r="S23948" s="178"/>
    </row>
    <row r="23949" spans="18:19">
      <c r="R23949" s="178"/>
      <c r="S23949" s="178"/>
    </row>
    <row r="23950" spans="18:19">
      <c r="R23950" s="178"/>
      <c r="S23950" s="178"/>
    </row>
    <row r="23951" spans="18:19">
      <c r="R23951" s="178"/>
      <c r="S23951" s="178"/>
    </row>
    <row r="23952" spans="18:19">
      <c r="R23952" s="178"/>
      <c r="S23952" s="178"/>
    </row>
    <row r="23953" spans="18:19">
      <c r="R23953" s="178"/>
      <c r="S23953" s="178"/>
    </row>
    <row r="23954" spans="18:19">
      <c r="R23954" s="178"/>
      <c r="S23954" s="178"/>
    </row>
    <row r="23955" spans="18:19">
      <c r="R23955" s="178"/>
      <c r="S23955" s="178"/>
    </row>
    <row r="23956" spans="18:19">
      <c r="R23956" s="178"/>
      <c r="S23956" s="178"/>
    </row>
    <row r="23957" spans="18:19">
      <c r="R23957" s="178"/>
      <c r="S23957" s="178"/>
    </row>
    <row r="23958" spans="18:19">
      <c r="R23958" s="178"/>
      <c r="S23958" s="178"/>
    </row>
    <row r="23959" spans="18:19">
      <c r="R23959" s="178"/>
      <c r="S23959" s="178"/>
    </row>
    <row r="23960" spans="18:19">
      <c r="R23960" s="178"/>
      <c r="S23960" s="178"/>
    </row>
    <row r="23961" spans="18:19">
      <c r="R23961" s="178"/>
      <c r="S23961" s="178"/>
    </row>
    <row r="23962" spans="18:19">
      <c r="R23962" s="178"/>
      <c r="S23962" s="178"/>
    </row>
    <row r="23963" spans="18:19">
      <c r="R23963" s="178"/>
      <c r="S23963" s="178"/>
    </row>
    <row r="23964" spans="18:19">
      <c r="R23964" s="178"/>
      <c r="S23964" s="178"/>
    </row>
    <row r="23965" spans="18:19">
      <c r="R23965" s="178"/>
      <c r="S23965" s="178"/>
    </row>
    <row r="23966" spans="18:19">
      <c r="R23966" s="178"/>
      <c r="S23966" s="178"/>
    </row>
    <row r="23967" spans="18:19">
      <c r="R23967" s="178"/>
      <c r="S23967" s="178"/>
    </row>
    <row r="23968" spans="18:19">
      <c r="R23968" s="178"/>
      <c r="S23968" s="178"/>
    </row>
    <row r="23969" spans="18:19">
      <c r="R23969" s="178"/>
      <c r="S23969" s="178"/>
    </row>
    <row r="23970" spans="18:19">
      <c r="R23970" s="178"/>
      <c r="S23970" s="178"/>
    </row>
    <row r="23971" spans="18:19">
      <c r="R23971" s="178"/>
      <c r="S23971" s="178"/>
    </row>
    <row r="23972" spans="18:19">
      <c r="R23972" s="178"/>
      <c r="S23972" s="178"/>
    </row>
    <row r="23973" spans="18:19">
      <c r="R23973" s="178"/>
      <c r="S23973" s="178"/>
    </row>
    <row r="23974" spans="18:19">
      <c r="R23974" s="178"/>
      <c r="S23974" s="178"/>
    </row>
    <row r="23975" spans="18:19">
      <c r="R23975" s="178"/>
      <c r="S23975" s="178"/>
    </row>
    <row r="23976" spans="18:19">
      <c r="R23976" s="178"/>
      <c r="S23976" s="178"/>
    </row>
    <row r="23977" spans="18:19">
      <c r="R23977" s="178"/>
      <c r="S23977" s="178"/>
    </row>
    <row r="23978" spans="18:19">
      <c r="R23978" s="178"/>
      <c r="S23978" s="178"/>
    </row>
    <row r="23979" spans="18:19">
      <c r="R23979" s="178"/>
      <c r="S23979" s="178"/>
    </row>
    <row r="23980" spans="18:19">
      <c r="R23980" s="178"/>
      <c r="S23980" s="178"/>
    </row>
    <row r="23981" spans="18:19">
      <c r="R23981" s="178"/>
      <c r="S23981" s="178"/>
    </row>
    <row r="23982" spans="18:19">
      <c r="R23982" s="178"/>
      <c r="S23982" s="178"/>
    </row>
    <row r="23983" spans="18:19">
      <c r="R23983" s="178"/>
      <c r="S23983" s="178"/>
    </row>
    <row r="23984" spans="18:19">
      <c r="R23984" s="178"/>
      <c r="S23984" s="178"/>
    </row>
    <row r="23985" spans="18:19">
      <c r="R23985" s="178"/>
      <c r="S23985" s="178"/>
    </row>
    <row r="23986" spans="18:19">
      <c r="R23986" s="178"/>
      <c r="S23986" s="178"/>
    </row>
    <row r="23987" spans="18:19">
      <c r="R23987" s="178"/>
      <c r="S23987" s="178"/>
    </row>
    <row r="23988" spans="18:19">
      <c r="R23988" s="178"/>
      <c r="S23988" s="178"/>
    </row>
    <row r="23989" spans="18:19">
      <c r="R23989" s="178"/>
      <c r="S23989" s="178"/>
    </row>
    <row r="23990" spans="18:19">
      <c r="R23990" s="178"/>
      <c r="S23990" s="178"/>
    </row>
    <row r="23991" spans="18:19">
      <c r="R23991" s="178"/>
      <c r="S23991" s="178"/>
    </row>
    <row r="23992" spans="18:19">
      <c r="R23992" s="178"/>
      <c r="S23992" s="178"/>
    </row>
    <row r="23993" spans="18:19">
      <c r="R23993" s="178"/>
      <c r="S23993" s="178"/>
    </row>
    <row r="23994" spans="18:19">
      <c r="R23994" s="178"/>
      <c r="S23994" s="178"/>
    </row>
    <row r="23995" spans="18:19">
      <c r="R23995" s="178"/>
      <c r="S23995" s="178"/>
    </row>
    <row r="23996" spans="18:19">
      <c r="R23996" s="178"/>
      <c r="S23996" s="178"/>
    </row>
    <row r="23997" spans="18:19">
      <c r="R23997" s="178"/>
      <c r="S23997" s="178"/>
    </row>
    <row r="23998" spans="18:19">
      <c r="R23998" s="178"/>
      <c r="S23998" s="178"/>
    </row>
    <row r="23999" spans="18:19">
      <c r="R23999" s="178"/>
      <c r="S23999" s="178"/>
    </row>
    <row r="24000" spans="18:19">
      <c r="R24000" s="178"/>
      <c r="S24000" s="178"/>
    </row>
    <row r="24001" spans="18:19">
      <c r="R24001" s="178"/>
      <c r="S24001" s="178"/>
    </row>
    <row r="24002" spans="18:19">
      <c r="R24002" s="178"/>
      <c r="S24002" s="178"/>
    </row>
    <row r="24003" spans="18:19">
      <c r="R24003" s="178"/>
      <c r="S24003" s="178"/>
    </row>
    <row r="24004" spans="18:19">
      <c r="R24004" s="178"/>
      <c r="S24004" s="178"/>
    </row>
    <row r="24005" spans="18:19">
      <c r="R24005" s="178"/>
      <c r="S24005" s="178"/>
    </row>
    <row r="24006" spans="18:19">
      <c r="R24006" s="178"/>
      <c r="S24006" s="178"/>
    </row>
    <row r="24007" spans="18:19">
      <c r="R24007" s="178"/>
      <c r="S24007" s="178"/>
    </row>
    <row r="24008" spans="18:19">
      <c r="R24008" s="178"/>
      <c r="S24008" s="178"/>
    </row>
    <row r="24009" spans="18:19">
      <c r="R24009" s="178"/>
      <c r="S24009" s="178"/>
    </row>
    <row r="24010" spans="18:19">
      <c r="R24010" s="178"/>
      <c r="S24010" s="178"/>
    </row>
    <row r="24011" spans="18:19">
      <c r="R24011" s="178"/>
      <c r="S24011" s="178"/>
    </row>
    <row r="24012" spans="18:19">
      <c r="R24012" s="178"/>
      <c r="S24012" s="178"/>
    </row>
    <row r="24013" spans="18:19">
      <c r="R24013" s="178"/>
      <c r="S24013" s="178"/>
    </row>
    <row r="24014" spans="18:19">
      <c r="R24014" s="178"/>
      <c r="S24014" s="178"/>
    </row>
    <row r="24015" spans="18:19">
      <c r="R24015" s="178"/>
      <c r="S24015" s="178"/>
    </row>
    <row r="24016" spans="18:19">
      <c r="R24016" s="178"/>
      <c r="S24016" s="178"/>
    </row>
    <row r="24017" spans="18:19">
      <c r="R24017" s="178"/>
      <c r="S24017" s="178"/>
    </row>
    <row r="24018" spans="18:19">
      <c r="R24018" s="178"/>
      <c r="S24018" s="178"/>
    </row>
    <row r="24019" spans="18:19">
      <c r="R24019" s="178"/>
      <c r="S24019" s="178"/>
    </row>
    <row r="24020" spans="18:19">
      <c r="R24020" s="178"/>
      <c r="S24020" s="178"/>
    </row>
    <row r="24021" spans="18:19">
      <c r="R24021" s="178"/>
      <c r="S24021" s="178"/>
    </row>
    <row r="24022" spans="18:19">
      <c r="R24022" s="178"/>
      <c r="S24022" s="178"/>
    </row>
    <row r="24023" spans="18:19">
      <c r="R24023" s="178"/>
      <c r="S24023" s="178"/>
    </row>
    <row r="24024" spans="18:19">
      <c r="R24024" s="178"/>
      <c r="S24024" s="178"/>
    </row>
    <row r="24025" spans="18:19">
      <c r="R24025" s="178"/>
      <c r="S24025" s="178"/>
    </row>
    <row r="24026" spans="18:19">
      <c r="R24026" s="178"/>
      <c r="S24026" s="178"/>
    </row>
    <row r="24027" spans="18:19">
      <c r="R24027" s="178"/>
      <c r="S24027" s="178"/>
    </row>
    <row r="24028" spans="18:19">
      <c r="R24028" s="178"/>
      <c r="S24028" s="178"/>
    </row>
    <row r="24029" spans="18:19">
      <c r="R24029" s="178"/>
      <c r="S24029" s="178"/>
    </row>
    <row r="24030" spans="18:19">
      <c r="R24030" s="178"/>
      <c r="S24030" s="178"/>
    </row>
    <row r="24031" spans="18:19">
      <c r="R24031" s="178"/>
      <c r="S24031" s="178"/>
    </row>
    <row r="24032" spans="18:19">
      <c r="R24032" s="178"/>
      <c r="S24032" s="178"/>
    </row>
    <row r="24033" spans="18:19">
      <c r="R24033" s="178"/>
      <c r="S24033" s="178"/>
    </row>
    <row r="24034" spans="18:19">
      <c r="R24034" s="178"/>
      <c r="S24034" s="178"/>
    </row>
    <row r="24035" spans="18:19">
      <c r="R24035" s="178"/>
      <c r="S24035" s="178"/>
    </row>
    <row r="24036" spans="18:19">
      <c r="R24036" s="178"/>
      <c r="S24036" s="178"/>
    </row>
    <row r="24037" spans="18:19">
      <c r="R24037" s="178"/>
      <c r="S24037" s="178"/>
    </row>
    <row r="24038" spans="18:19">
      <c r="R24038" s="178"/>
      <c r="S24038" s="178"/>
    </row>
    <row r="24039" spans="18:19">
      <c r="R24039" s="178"/>
      <c r="S24039" s="178"/>
    </row>
    <row r="24040" spans="18:19">
      <c r="R24040" s="178"/>
      <c r="S24040" s="178"/>
    </row>
    <row r="24041" spans="18:19">
      <c r="R24041" s="178"/>
      <c r="S24041" s="178"/>
    </row>
    <row r="24042" spans="18:19">
      <c r="R24042" s="178"/>
      <c r="S24042" s="178"/>
    </row>
    <row r="24043" spans="18:19">
      <c r="R24043" s="178"/>
      <c r="S24043" s="178"/>
    </row>
    <row r="24044" spans="18:19">
      <c r="R24044" s="178"/>
      <c r="S24044" s="178"/>
    </row>
    <row r="24045" spans="18:19">
      <c r="R24045" s="178"/>
      <c r="S24045" s="178"/>
    </row>
    <row r="24046" spans="18:19">
      <c r="R24046" s="178"/>
      <c r="S24046" s="178"/>
    </row>
    <row r="24047" spans="18:19">
      <c r="R24047" s="178"/>
      <c r="S24047" s="178"/>
    </row>
    <row r="24048" spans="18:19">
      <c r="R24048" s="178"/>
      <c r="S24048" s="178"/>
    </row>
    <row r="24049" spans="18:19">
      <c r="R24049" s="178"/>
      <c r="S24049" s="178"/>
    </row>
    <row r="24050" spans="18:19">
      <c r="R24050" s="178"/>
      <c r="S24050" s="178"/>
    </row>
    <row r="24051" spans="18:19">
      <c r="R24051" s="178"/>
      <c r="S24051" s="178"/>
    </row>
    <row r="24052" spans="18:19">
      <c r="R24052" s="178"/>
      <c r="S24052" s="178"/>
    </row>
    <row r="24053" spans="18:19">
      <c r="R24053" s="178"/>
      <c r="S24053" s="178"/>
    </row>
    <row r="24054" spans="18:19">
      <c r="R24054" s="178"/>
      <c r="S24054" s="178"/>
    </row>
    <row r="24055" spans="18:19">
      <c r="R24055" s="178"/>
      <c r="S24055" s="178"/>
    </row>
    <row r="24056" spans="18:19">
      <c r="R24056" s="178"/>
      <c r="S24056" s="178"/>
    </row>
    <row r="24057" spans="18:19">
      <c r="R24057" s="178"/>
      <c r="S24057" s="178"/>
    </row>
    <row r="24058" spans="18:19">
      <c r="R24058" s="178"/>
      <c r="S24058" s="178"/>
    </row>
    <row r="24059" spans="18:19">
      <c r="R24059" s="178"/>
      <c r="S24059" s="178"/>
    </row>
    <row r="24060" spans="18:19">
      <c r="R24060" s="178"/>
      <c r="S24060" s="178"/>
    </row>
    <row r="24061" spans="18:19">
      <c r="R24061" s="178"/>
      <c r="S24061" s="178"/>
    </row>
    <row r="24062" spans="18:19">
      <c r="R24062" s="178"/>
      <c r="S24062" s="178"/>
    </row>
    <row r="24063" spans="18:19">
      <c r="R24063" s="178"/>
      <c r="S24063" s="178"/>
    </row>
    <row r="24064" spans="18:19">
      <c r="R24064" s="178"/>
      <c r="S24064" s="178"/>
    </row>
    <row r="24065" spans="18:19">
      <c r="R24065" s="178"/>
      <c r="S24065" s="178"/>
    </row>
    <row r="24066" spans="18:19">
      <c r="R24066" s="178"/>
      <c r="S24066" s="178"/>
    </row>
    <row r="24067" spans="18:19">
      <c r="R24067" s="178"/>
      <c r="S24067" s="178"/>
    </row>
    <row r="24068" spans="18:19">
      <c r="R24068" s="178"/>
      <c r="S24068" s="178"/>
    </row>
    <row r="24069" spans="18:19">
      <c r="R24069" s="178"/>
      <c r="S24069" s="178"/>
    </row>
    <row r="24070" spans="18:19">
      <c r="R24070" s="178"/>
      <c r="S24070" s="178"/>
    </row>
    <row r="24071" spans="18:19">
      <c r="R24071" s="178"/>
      <c r="S24071" s="178"/>
    </row>
    <row r="24072" spans="18:19">
      <c r="R24072" s="178"/>
      <c r="S24072" s="178"/>
    </row>
    <row r="24073" spans="18:19">
      <c r="R24073" s="178"/>
      <c r="S24073" s="178"/>
    </row>
    <row r="24074" spans="18:19">
      <c r="R24074" s="178"/>
      <c r="S24074" s="178"/>
    </row>
    <row r="24075" spans="18:19">
      <c r="R24075" s="178"/>
      <c r="S24075" s="178"/>
    </row>
    <row r="24076" spans="18:19">
      <c r="R24076" s="178"/>
      <c r="S24076" s="178"/>
    </row>
    <row r="24077" spans="18:19">
      <c r="R24077" s="178"/>
      <c r="S24077" s="178"/>
    </row>
    <row r="24078" spans="18:19">
      <c r="R24078" s="178"/>
      <c r="S24078" s="178"/>
    </row>
    <row r="24079" spans="18:19">
      <c r="R24079" s="178"/>
      <c r="S24079" s="178"/>
    </row>
    <row r="24080" spans="18:19">
      <c r="R24080" s="178"/>
      <c r="S24080" s="178"/>
    </row>
    <row r="24081" spans="18:19">
      <c r="R24081" s="178"/>
      <c r="S24081" s="178"/>
    </row>
    <row r="24082" spans="18:19">
      <c r="R24082" s="178"/>
      <c r="S24082" s="178"/>
    </row>
    <row r="24083" spans="18:19">
      <c r="R24083" s="178"/>
      <c r="S24083" s="178"/>
    </row>
    <row r="24084" spans="18:19">
      <c r="R24084" s="178"/>
      <c r="S24084" s="178"/>
    </row>
    <row r="24085" spans="18:19">
      <c r="R24085" s="178"/>
      <c r="S24085" s="178"/>
    </row>
    <row r="24086" spans="18:19">
      <c r="R24086" s="178"/>
      <c r="S24086" s="178"/>
    </row>
    <row r="24087" spans="18:19">
      <c r="R24087" s="178"/>
      <c r="S24087" s="178"/>
    </row>
    <row r="24088" spans="18:19">
      <c r="R24088" s="178"/>
      <c r="S24088" s="178"/>
    </row>
    <row r="24089" spans="18:19">
      <c r="R24089" s="178"/>
      <c r="S24089" s="178"/>
    </row>
    <row r="24090" spans="18:19">
      <c r="R24090" s="178"/>
      <c r="S24090" s="178"/>
    </row>
    <row r="24091" spans="18:19">
      <c r="R24091" s="178"/>
      <c r="S24091" s="178"/>
    </row>
    <row r="24092" spans="18:19">
      <c r="R24092" s="178"/>
      <c r="S24092" s="178"/>
    </row>
    <row r="24093" spans="18:19">
      <c r="R24093" s="178"/>
      <c r="S24093" s="178"/>
    </row>
    <row r="24094" spans="18:19">
      <c r="R24094" s="178"/>
      <c r="S24094" s="178"/>
    </row>
    <row r="24095" spans="18:19">
      <c r="R24095" s="178"/>
      <c r="S24095" s="178"/>
    </row>
    <row r="24096" spans="18:19">
      <c r="R24096" s="178"/>
      <c r="S24096" s="178"/>
    </row>
    <row r="24097" spans="18:19">
      <c r="R24097" s="178"/>
      <c r="S24097" s="178"/>
    </row>
    <row r="24098" spans="18:19">
      <c r="R24098" s="178"/>
      <c r="S24098" s="178"/>
    </row>
    <row r="24099" spans="18:19">
      <c r="R24099" s="178"/>
      <c r="S24099" s="178"/>
    </row>
    <row r="24100" spans="18:19">
      <c r="R24100" s="178"/>
      <c r="S24100" s="178"/>
    </row>
    <row r="24101" spans="18:19">
      <c r="R24101" s="178"/>
      <c r="S24101" s="178"/>
    </row>
    <row r="24102" spans="18:19">
      <c r="R24102" s="178"/>
      <c r="S24102" s="178"/>
    </row>
    <row r="24103" spans="18:19">
      <c r="R24103" s="178"/>
      <c r="S24103" s="178"/>
    </row>
    <row r="24104" spans="18:19">
      <c r="R24104" s="178"/>
      <c r="S24104" s="178"/>
    </row>
    <row r="24105" spans="18:19">
      <c r="R24105" s="178"/>
      <c r="S24105" s="178"/>
    </row>
    <row r="24106" spans="18:19">
      <c r="R24106" s="178"/>
      <c r="S24106" s="178"/>
    </row>
    <row r="24107" spans="18:19">
      <c r="R24107" s="178"/>
      <c r="S24107" s="178"/>
    </row>
    <row r="24108" spans="18:19">
      <c r="R24108" s="178"/>
      <c r="S24108" s="178"/>
    </row>
    <row r="24109" spans="18:19">
      <c r="R24109" s="178"/>
      <c r="S24109" s="178"/>
    </row>
    <row r="24110" spans="18:19">
      <c r="R24110" s="178"/>
      <c r="S24110" s="178"/>
    </row>
    <row r="24111" spans="18:19">
      <c r="R24111" s="178"/>
      <c r="S24111" s="178"/>
    </row>
    <row r="24112" spans="18:19">
      <c r="R24112" s="178"/>
      <c r="S24112" s="178"/>
    </row>
    <row r="24113" spans="18:19">
      <c r="R24113" s="178"/>
      <c r="S24113" s="178"/>
    </row>
    <row r="24114" spans="18:19">
      <c r="R24114" s="178"/>
      <c r="S24114" s="178"/>
    </row>
    <row r="24115" spans="18:19">
      <c r="R24115" s="178"/>
      <c r="S24115" s="178"/>
    </row>
    <row r="24116" spans="18:19">
      <c r="R24116" s="178"/>
      <c r="S24116" s="178"/>
    </row>
    <row r="24117" spans="18:19">
      <c r="R24117" s="178"/>
      <c r="S24117" s="178"/>
    </row>
    <row r="24118" spans="18:19">
      <c r="R24118" s="178"/>
      <c r="S24118" s="178"/>
    </row>
    <row r="24119" spans="18:19">
      <c r="R24119" s="178"/>
      <c r="S24119" s="178"/>
    </row>
    <row r="24120" spans="18:19">
      <c r="R24120" s="178"/>
      <c r="S24120" s="178"/>
    </row>
    <row r="24121" spans="18:19">
      <c r="R24121" s="178"/>
      <c r="S24121" s="178"/>
    </row>
    <row r="24122" spans="18:19">
      <c r="R24122" s="178"/>
      <c r="S24122" s="178"/>
    </row>
    <row r="24123" spans="18:19">
      <c r="R24123" s="178"/>
      <c r="S24123" s="178"/>
    </row>
    <row r="24124" spans="18:19">
      <c r="R24124" s="178"/>
      <c r="S24124" s="178"/>
    </row>
    <row r="24125" spans="18:19">
      <c r="R24125" s="178"/>
      <c r="S24125" s="178"/>
    </row>
    <row r="24126" spans="18:19">
      <c r="R24126" s="178"/>
      <c r="S24126" s="178"/>
    </row>
    <row r="24127" spans="18:19">
      <c r="R24127" s="178"/>
      <c r="S24127" s="178"/>
    </row>
    <row r="24128" spans="18:19">
      <c r="R24128" s="178"/>
      <c r="S24128" s="178"/>
    </row>
    <row r="24129" spans="18:19">
      <c r="R24129" s="178"/>
      <c r="S24129" s="178"/>
    </row>
    <row r="24130" spans="18:19">
      <c r="R24130" s="178"/>
      <c r="S24130" s="178"/>
    </row>
    <row r="24131" spans="18:19">
      <c r="R24131" s="178"/>
      <c r="S24131" s="178"/>
    </row>
    <row r="24132" spans="18:19">
      <c r="R24132" s="178"/>
      <c r="S24132" s="178"/>
    </row>
    <row r="24133" spans="18:19">
      <c r="R24133" s="178"/>
      <c r="S24133" s="178"/>
    </row>
    <row r="24134" spans="18:19">
      <c r="R24134" s="178"/>
      <c r="S24134" s="178"/>
    </row>
    <row r="24135" spans="18:19">
      <c r="R24135" s="178"/>
      <c r="S24135" s="178"/>
    </row>
    <row r="24136" spans="18:19">
      <c r="R24136" s="178"/>
      <c r="S24136" s="178"/>
    </row>
    <row r="24137" spans="18:19">
      <c r="R24137" s="178"/>
      <c r="S24137" s="178"/>
    </row>
    <row r="24138" spans="18:19">
      <c r="R24138" s="178"/>
      <c r="S24138" s="178"/>
    </row>
    <row r="24139" spans="18:19">
      <c r="R24139" s="178"/>
      <c r="S24139" s="178"/>
    </row>
    <row r="24140" spans="18:19">
      <c r="R24140" s="178"/>
      <c r="S24140" s="178"/>
    </row>
    <row r="24141" spans="18:19">
      <c r="R24141" s="178"/>
      <c r="S24141" s="178"/>
    </row>
    <row r="24142" spans="18:19">
      <c r="R24142" s="178"/>
      <c r="S24142" s="178"/>
    </row>
    <row r="24143" spans="18:19">
      <c r="R24143" s="178"/>
      <c r="S24143" s="178"/>
    </row>
    <row r="24144" spans="18:19">
      <c r="R24144" s="178"/>
      <c r="S24144" s="178"/>
    </row>
    <row r="24145" spans="18:19">
      <c r="R24145" s="178"/>
      <c r="S24145" s="178"/>
    </row>
    <row r="24146" spans="18:19">
      <c r="R24146" s="178"/>
      <c r="S24146" s="178"/>
    </row>
    <row r="24147" spans="18:19">
      <c r="R24147" s="178"/>
      <c r="S24147" s="178"/>
    </row>
    <row r="24148" spans="18:19">
      <c r="R24148" s="178"/>
      <c r="S24148" s="178"/>
    </row>
    <row r="24149" spans="18:19">
      <c r="R24149" s="178"/>
      <c r="S24149" s="178"/>
    </row>
    <row r="24150" spans="18:19">
      <c r="R24150" s="178"/>
      <c r="S24150" s="178"/>
    </row>
    <row r="24151" spans="18:19">
      <c r="R24151" s="178"/>
      <c r="S24151" s="178"/>
    </row>
    <row r="24152" spans="18:19">
      <c r="R24152" s="178"/>
      <c r="S24152" s="178"/>
    </row>
    <row r="24153" spans="18:19">
      <c r="R24153" s="178"/>
      <c r="S24153" s="178"/>
    </row>
    <row r="24154" spans="18:19">
      <c r="R24154" s="178"/>
      <c r="S24154" s="178"/>
    </row>
    <row r="24155" spans="18:19">
      <c r="R24155" s="178"/>
      <c r="S24155" s="178"/>
    </row>
    <row r="24156" spans="18:19">
      <c r="R24156" s="178"/>
      <c r="S24156" s="178"/>
    </row>
    <row r="24157" spans="18:19">
      <c r="R24157" s="178"/>
      <c r="S24157" s="178"/>
    </row>
    <row r="24158" spans="18:19">
      <c r="R24158" s="178"/>
      <c r="S24158" s="178"/>
    </row>
    <row r="24159" spans="18:19">
      <c r="R24159" s="178"/>
      <c r="S24159" s="178"/>
    </row>
    <row r="24160" spans="18:19">
      <c r="R24160" s="178"/>
      <c r="S24160" s="178"/>
    </row>
    <row r="24161" spans="18:19">
      <c r="R24161" s="178"/>
      <c r="S24161" s="178"/>
    </row>
    <row r="24162" spans="18:19">
      <c r="R24162" s="178"/>
      <c r="S24162" s="178"/>
    </row>
    <row r="24163" spans="18:19">
      <c r="R24163" s="178"/>
      <c r="S24163" s="178"/>
    </row>
    <row r="24164" spans="18:19">
      <c r="R24164" s="178"/>
      <c r="S24164" s="178"/>
    </row>
    <row r="24165" spans="18:19">
      <c r="R24165" s="178"/>
      <c r="S24165" s="178"/>
    </row>
    <row r="24166" spans="18:19">
      <c r="R24166" s="178"/>
      <c r="S24166" s="178"/>
    </row>
    <row r="24167" spans="18:19">
      <c r="R24167" s="178"/>
      <c r="S24167" s="178"/>
    </row>
    <row r="24168" spans="18:19">
      <c r="R24168" s="178"/>
      <c r="S24168" s="178"/>
    </row>
    <row r="24169" spans="18:19">
      <c r="R24169" s="178"/>
      <c r="S24169" s="178"/>
    </row>
    <row r="24170" spans="18:19">
      <c r="R24170" s="178"/>
      <c r="S24170" s="178"/>
    </row>
    <row r="24171" spans="18:19">
      <c r="R24171" s="178"/>
      <c r="S24171" s="178"/>
    </row>
    <row r="24172" spans="18:19">
      <c r="R24172" s="178"/>
      <c r="S24172" s="178"/>
    </row>
    <row r="24173" spans="18:19">
      <c r="R24173" s="178"/>
      <c r="S24173" s="178"/>
    </row>
    <row r="24174" spans="18:19">
      <c r="R24174" s="178"/>
      <c r="S24174" s="178"/>
    </row>
    <row r="24175" spans="18:19">
      <c r="R24175" s="178"/>
      <c r="S24175" s="178"/>
    </row>
    <row r="24176" spans="18:19">
      <c r="R24176" s="178"/>
      <c r="S24176" s="178"/>
    </row>
    <row r="24177" spans="18:19">
      <c r="R24177" s="178"/>
      <c r="S24177" s="178"/>
    </row>
    <row r="24178" spans="18:19">
      <c r="R24178" s="178"/>
      <c r="S24178" s="178"/>
    </row>
    <row r="24179" spans="18:19">
      <c r="R24179" s="178"/>
      <c r="S24179" s="178"/>
    </row>
    <row r="24180" spans="18:19">
      <c r="R24180" s="178"/>
      <c r="S24180" s="178"/>
    </row>
    <row r="24181" spans="18:19">
      <c r="R24181" s="178"/>
      <c r="S24181" s="178"/>
    </row>
    <row r="24182" spans="18:19">
      <c r="R24182" s="178"/>
      <c r="S24182" s="178"/>
    </row>
    <row r="24183" spans="18:19">
      <c r="R24183" s="178"/>
      <c r="S24183" s="178"/>
    </row>
    <row r="24184" spans="18:19">
      <c r="R24184" s="178"/>
      <c r="S24184" s="178"/>
    </row>
    <row r="24185" spans="18:19">
      <c r="R24185" s="178"/>
      <c r="S24185" s="178"/>
    </row>
    <row r="24186" spans="18:19">
      <c r="R24186" s="178"/>
      <c r="S24186" s="178"/>
    </row>
    <row r="24187" spans="18:19">
      <c r="R24187" s="178"/>
      <c r="S24187" s="178"/>
    </row>
    <row r="24188" spans="18:19">
      <c r="R24188" s="178"/>
      <c r="S24188" s="178"/>
    </row>
    <row r="24189" spans="18:19">
      <c r="R24189" s="178"/>
      <c r="S24189" s="178"/>
    </row>
    <row r="24190" spans="18:19">
      <c r="R24190" s="178"/>
      <c r="S24190" s="178"/>
    </row>
    <row r="24191" spans="18:19">
      <c r="R24191" s="178"/>
      <c r="S24191" s="178"/>
    </row>
    <row r="24192" spans="18:19">
      <c r="R24192" s="178"/>
      <c r="S24192" s="178"/>
    </row>
    <row r="24193" spans="18:19">
      <c r="R24193" s="178"/>
      <c r="S24193" s="178"/>
    </row>
    <row r="24194" spans="18:19">
      <c r="R24194" s="178"/>
      <c r="S24194" s="178"/>
    </row>
    <row r="24195" spans="18:19">
      <c r="R24195" s="178"/>
      <c r="S24195" s="178"/>
    </row>
    <row r="24196" spans="18:19">
      <c r="R24196" s="178"/>
      <c r="S24196" s="178"/>
    </row>
    <row r="24197" spans="18:19">
      <c r="R24197" s="178"/>
      <c r="S24197" s="178"/>
    </row>
    <row r="24198" spans="18:19">
      <c r="R24198" s="178"/>
      <c r="S24198" s="178"/>
    </row>
    <row r="24199" spans="18:19">
      <c r="R24199" s="178"/>
      <c r="S24199" s="178"/>
    </row>
    <row r="24200" spans="18:19">
      <c r="R24200" s="178"/>
      <c r="S24200" s="178"/>
    </row>
    <row r="24201" spans="18:19">
      <c r="R24201" s="178"/>
      <c r="S24201" s="178"/>
    </row>
    <row r="24202" spans="18:19">
      <c r="R24202" s="178"/>
      <c r="S24202" s="178"/>
    </row>
    <row r="24203" spans="18:19">
      <c r="R24203" s="178"/>
      <c r="S24203" s="178"/>
    </row>
    <row r="24204" spans="18:19">
      <c r="R24204" s="178"/>
      <c r="S24204" s="178"/>
    </row>
    <row r="24205" spans="18:19">
      <c r="R24205" s="178"/>
      <c r="S24205" s="178"/>
    </row>
    <row r="24206" spans="18:19">
      <c r="R24206" s="178"/>
      <c r="S24206" s="178"/>
    </row>
    <row r="24207" spans="18:19">
      <c r="R24207" s="178"/>
      <c r="S24207" s="178"/>
    </row>
    <row r="24208" spans="18:19">
      <c r="R24208" s="178"/>
      <c r="S24208" s="178"/>
    </row>
    <row r="24209" spans="18:19">
      <c r="R24209" s="178"/>
      <c r="S24209" s="178"/>
    </row>
    <row r="24210" spans="18:19">
      <c r="R24210" s="178"/>
      <c r="S24210" s="178"/>
    </row>
    <row r="24211" spans="18:19">
      <c r="R24211" s="178"/>
      <c r="S24211" s="178"/>
    </row>
    <row r="24212" spans="18:19">
      <c r="R24212" s="178"/>
      <c r="S24212" s="178"/>
    </row>
    <row r="24213" spans="18:19">
      <c r="R24213" s="178"/>
      <c r="S24213" s="178"/>
    </row>
    <row r="24214" spans="18:19">
      <c r="R24214" s="178"/>
      <c r="S24214" s="178"/>
    </row>
    <row r="24215" spans="18:19">
      <c r="R24215" s="178"/>
      <c r="S24215" s="178"/>
    </row>
    <row r="24216" spans="18:19">
      <c r="R24216" s="178"/>
      <c r="S24216" s="178"/>
    </row>
    <row r="24217" spans="18:19">
      <c r="R24217" s="178"/>
      <c r="S24217" s="178"/>
    </row>
    <row r="24218" spans="18:19">
      <c r="R24218" s="178"/>
      <c r="S24218" s="178"/>
    </row>
    <row r="24219" spans="18:19">
      <c r="R24219" s="178"/>
      <c r="S24219" s="178"/>
    </row>
    <row r="24220" spans="18:19">
      <c r="R24220" s="178"/>
      <c r="S24220" s="178"/>
    </row>
    <row r="24221" spans="18:19">
      <c r="R24221" s="178"/>
      <c r="S24221" s="178"/>
    </row>
    <row r="24222" spans="18:19">
      <c r="R24222" s="178"/>
      <c r="S24222" s="178"/>
    </row>
    <row r="24223" spans="18:19">
      <c r="R24223" s="178"/>
      <c r="S24223" s="178"/>
    </row>
    <row r="24224" spans="18:19">
      <c r="R24224" s="178"/>
      <c r="S24224" s="178"/>
    </row>
    <row r="24225" spans="18:19">
      <c r="R24225" s="178"/>
      <c r="S24225" s="178"/>
    </row>
    <row r="24226" spans="18:19">
      <c r="R24226" s="178"/>
      <c r="S24226" s="178"/>
    </row>
    <row r="24227" spans="18:19">
      <c r="R24227" s="178"/>
      <c r="S24227" s="178"/>
    </row>
    <row r="24228" spans="18:19">
      <c r="R24228" s="178"/>
      <c r="S24228" s="178"/>
    </row>
    <row r="24229" spans="18:19">
      <c r="R24229" s="178"/>
      <c r="S24229" s="178"/>
    </row>
    <row r="24230" spans="18:19">
      <c r="R24230" s="178"/>
      <c r="S24230" s="178"/>
    </row>
    <row r="24231" spans="18:19">
      <c r="R24231" s="178"/>
      <c r="S24231" s="178"/>
    </row>
    <row r="24232" spans="18:19">
      <c r="R24232" s="178"/>
      <c r="S24232" s="178"/>
    </row>
    <row r="24233" spans="18:19">
      <c r="R24233" s="178"/>
      <c r="S24233" s="178"/>
    </row>
    <row r="24234" spans="18:19">
      <c r="R24234" s="178"/>
      <c r="S24234" s="178"/>
    </row>
    <row r="24235" spans="18:19">
      <c r="R24235" s="178"/>
      <c r="S24235" s="178"/>
    </row>
    <row r="24236" spans="18:19">
      <c r="R24236" s="178"/>
      <c r="S24236" s="178"/>
    </row>
    <row r="24237" spans="18:19">
      <c r="R24237" s="178"/>
      <c r="S24237" s="178"/>
    </row>
    <row r="24238" spans="18:19">
      <c r="R24238" s="178"/>
      <c r="S24238" s="178"/>
    </row>
    <row r="24239" spans="18:19">
      <c r="R24239" s="178"/>
      <c r="S24239" s="178"/>
    </row>
    <row r="24240" spans="18:19">
      <c r="R24240" s="178"/>
      <c r="S24240" s="178"/>
    </row>
    <row r="24241" spans="18:19">
      <c r="R24241" s="178"/>
      <c r="S24241" s="178"/>
    </row>
    <row r="24242" spans="18:19">
      <c r="R24242" s="178"/>
      <c r="S24242" s="178"/>
    </row>
    <row r="24243" spans="18:19">
      <c r="R24243" s="178"/>
      <c r="S24243" s="178"/>
    </row>
    <row r="24244" spans="18:19">
      <c r="R24244" s="178"/>
      <c r="S24244" s="178"/>
    </row>
    <row r="24245" spans="18:19">
      <c r="R24245" s="178"/>
      <c r="S24245" s="178"/>
    </row>
    <row r="24246" spans="18:19">
      <c r="R24246" s="178"/>
      <c r="S24246" s="178"/>
    </row>
    <row r="24247" spans="18:19">
      <c r="R24247" s="178"/>
      <c r="S24247" s="178"/>
    </row>
    <row r="24248" spans="18:19">
      <c r="R24248" s="178"/>
      <c r="S24248" s="178"/>
    </row>
    <row r="24249" spans="18:19">
      <c r="R24249" s="178"/>
      <c r="S24249" s="178"/>
    </row>
    <row r="24250" spans="18:19">
      <c r="R24250" s="178"/>
      <c r="S24250" s="178"/>
    </row>
    <row r="24251" spans="18:19">
      <c r="R24251" s="178"/>
      <c r="S24251" s="178"/>
    </row>
    <row r="24252" spans="18:19">
      <c r="R24252" s="178"/>
      <c r="S24252" s="178"/>
    </row>
    <row r="24253" spans="18:19">
      <c r="R24253" s="178"/>
      <c r="S24253" s="178"/>
    </row>
    <row r="24254" spans="18:19">
      <c r="R24254" s="178"/>
      <c r="S24254" s="178"/>
    </row>
    <row r="24255" spans="18:19">
      <c r="R24255" s="178"/>
      <c r="S24255" s="178"/>
    </row>
    <row r="24256" spans="18:19">
      <c r="R24256" s="178"/>
      <c r="S24256" s="178"/>
    </row>
    <row r="24257" spans="18:19">
      <c r="R24257" s="178"/>
      <c r="S24257" s="178"/>
    </row>
    <row r="24258" spans="18:19">
      <c r="R24258" s="178"/>
      <c r="S24258" s="178"/>
    </row>
    <row r="24259" spans="18:19">
      <c r="R24259" s="178"/>
      <c r="S24259" s="178"/>
    </row>
    <row r="24260" spans="18:19">
      <c r="R24260" s="178"/>
      <c r="S24260" s="178"/>
    </row>
    <row r="24261" spans="18:19">
      <c r="R24261" s="178"/>
      <c r="S24261" s="178"/>
    </row>
    <row r="24262" spans="18:19">
      <c r="R24262" s="178"/>
      <c r="S24262" s="178"/>
    </row>
    <row r="24263" spans="18:19">
      <c r="R24263" s="178"/>
      <c r="S24263" s="178"/>
    </row>
    <row r="24264" spans="18:19">
      <c r="R24264" s="178"/>
      <c r="S24264" s="178"/>
    </row>
    <row r="24265" spans="18:19">
      <c r="R24265" s="178"/>
      <c r="S24265" s="178"/>
    </row>
    <row r="24266" spans="18:19">
      <c r="R24266" s="178"/>
      <c r="S24266" s="178"/>
    </row>
    <row r="24267" spans="18:19">
      <c r="R24267" s="178"/>
      <c r="S24267" s="178"/>
    </row>
    <row r="24268" spans="18:19">
      <c r="R24268" s="178"/>
      <c r="S24268" s="178"/>
    </row>
    <row r="24269" spans="18:19">
      <c r="R24269" s="178"/>
      <c r="S24269" s="178"/>
    </row>
    <row r="24270" spans="18:19">
      <c r="R24270" s="178"/>
      <c r="S24270" s="178"/>
    </row>
    <row r="24271" spans="18:19">
      <c r="R24271" s="178"/>
      <c r="S24271" s="178"/>
    </row>
    <row r="24272" spans="18:19">
      <c r="R24272" s="178"/>
      <c r="S24272" s="178"/>
    </row>
    <row r="24273" spans="18:19">
      <c r="R24273" s="178"/>
      <c r="S24273" s="178"/>
    </row>
    <row r="24274" spans="18:19">
      <c r="R24274" s="178"/>
      <c r="S24274" s="178"/>
    </row>
    <row r="24275" spans="18:19">
      <c r="R24275" s="178"/>
      <c r="S24275" s="178"/>
    </row>
    <row r="24276" spans="18:19">
      <c r="R24276" s="178"/>
      <c r="S24276" s="178"/>
    </row>
    <row r="24277" spans="18:19">
      <c r="R24277" s="178"/>
      <c r="S24277" s="178"/>
    </row>
    <row r="24278" spans="18:19">
      <c r="R24278" s="178"/>
      <c r="S24278" s="178"/>
    </row>
    <row r="24279" spans="18:19">
      <c r="R24279" s="178"/>
      <c r="S24279" s="178"/>
    </row>
    <row r="24280" spans="18:19">
      <c r="R24280" s="178"/>
      <c r="S24280" s="178"/>
    </row>
    <row r="24281" spans="18:19">
      <c r="R24281" s="178"/>
      <c r="S24281" s="178"/>
    </row>
    <row r="24282" spans="18:19">
      <c r="R24282" s="178"/>
      <c r="S24282" s="178"/>
    </row>
    <row r="24283" spans="18:19">
      <c r="R24283" s="178"/>
      <c r="S24283" s="178"/>
    </row>
    <row r="24284" spans="18:19">
      <c r="R24284" s="178"/>
      <c r="S24284" s="178"/>
    </row>
    <row r="24285" spans="18:19">
      <c r="R24285" s="178"/>
      <c r="S24285" s="178"/>
    </row>
    <row r="24286" spans="18:19">
      <c r="R24286" s="178"/>
      <c r="S24286" s="178"/>
    </row>
    <row r="24287" spans="18:19">
      <c r="R24287" s="178"/>
      <c r="S24287" s="178"/>
    </row>
    <row r="24288" spans="18:19">
      <c r="R24288" s="178"/>
      <c r="S24288" s="178"/>
    </row>
    <row r="24289" spans="18:19">
      <c r="R24289" s="178"/>
      <c r="S24289" s="178"/>
    </row>
    <row r="24290" spans="18:19">
      <c r="R24290" s="178"/>
      <c r="S24290" s="178"/>
    </row>
    <row r="24291" spans="18:19">
      <c r="R24291" s="178"/>
      <c r="S24291" s="178"/>
    </row>
    <row r="24292" spans="18:19">
      <c r="R24292" s="178"/>
      <c r="S24292" s="178"/>
    </row>
    <row r="24293" spans="18:19">
      <c r="R24293" s="178"/>
      <c r="S24293" s="178"/>
    </row>
    <row r="24294" spans="18:19">
      <c r="R24294" s="178"/>
      <c r="S24294" s="178"/>
    </row>
    <row r="24295" spans="18:19">
      <c r="R24295" s="178"/>
      <c r="S24295" s="178"/>
    </row>
    <row r="24296" spans="18:19">
      <c r="R24296" s="178"/>
      <c r="S24296" s="178"/>
    </row>
    <row r="24297" spans="18:19">
      <c r="R24297" s="178"/>
      <c r="S24297" s="178"/>
    </row>
    <row r="24298" spans="18:19">
      <c r="R24298" s="178"/>
      <c r="S24298" s="178"/>
    </row>
    <row r="24299" spans="18:19">
      <c r="R24299" s="178"/>
      <c r="S24299" s="178"/>
    </row>
    <row r="24300" spans="18:19">
      <c r="R24300" s="178"/>
      <c r="S24300" s="178"/>
    </row>
    <row r="24301" spans="18:19">
      <c r="R24301" s="178"/>
      <c r="S24301" s="178"/>
    </row>
    <row r="24302" spans="18:19">
      <c r="R24302" s="178"/>
      <c r="S24302" s="178"/>
    </row>
    <row r="24303" spans="18:19">
      <c r="R24303" s="178"/>
      <c r="S24303" s="178"/>
    </row>
    <row r="24304" spans="18:19">
      <c r="R24304" s="178"/>
      <c r="S24304" s="178"/>
    </row>
    <row r="24305" spans="18:19">
      <c r="R24305" s="178"/>
      <c r="S24305" s="178"/>
    </row>
    <row r="24306" spans="18:19">
      <c r="R24306" s="178"/>
      <c r="S24306" s="178"/>
    </row>
    <row r="24307" spans="18:19">
      <c r="R24307" s="178"/>
      <c r="S24307" s="178"/>
    </row>
    <row r="24308" spans="18:19">
      <c r="R24308" s="178"/>
      <c r="S24308" s="178"/>
    </row>
    <row r="24309" spans="18:19">
      <c r="R24309" s="178"/>
      <c r="S24309" s="178"/>
    </row>
    <row r="24310" spans="18:19">
      <c r="R24310" s="178"/>
      <c r="S24310" s="178"/>
    </row>
    <row r="24311" spans="18:19">
      <c r="R24311" s="178"/>
      <c r="S24311" s="178"/>
    </row>
    <row r="24312" spans="18:19">
      <c r="R24312" s="178"/>
      <c r="S24312" s="178"/>
    </row>
    <row r="24313" spans="18:19">
      <c r="R24313" s="178"/>
      <c r="S24313" s="178"/>
    </row>
    <row r="24314" spans="18:19">
      <c r="R24314" s="178"/>
      <c r="S24314" s="178"/>
    </row>
    <row r="24315" spans="18:19">
      <c r="R24315" s="178"/>
      <c r="S24315" s="178"/>
    </row>
    <row r="24316" spans="18:19">
      <c r="R24316" s="178"/>
      <c r="S24316" s="178"/>
    </row>
    <row r="24317" spans="18:19">
      <c r="R24317" s="178"/>
      <c r="S24317" s="178"/>
    </row>
    <row r="24318" spans="18:19">
      <c r="R24318" s="178"/>
      <c r="S24318" s="178"/>
    </row>
    <row r="24319" spans="18:19">
      <c r="R24319" s="178"/>
      <c r="S24319" s="178"/>
    </row>
    <row r="24320" spans="18:19">
      <c r="R24320" s="178"/>
      <c r="S24320" s="178"/>
    </row>
    <row r="24321" spans="18:19">
      <c r="R24321" s="178"/>
      <c r="S24321" s="178"/>
    </row>
    <row r="24322" spans="18:19">
      <c r="R24322" s="178"/>
      <c r="S24322" s="178"/>
    </row>
    <row r="24323" spans="18:19">
      <c r="R24323" s="178"/>
      <c r="S24323" s="178"/>
    </row>
    <row r="24324" spans="18:19">
      <c r="R24324" s="178"/>
      <c r="S24324" s="178"/>
    </row>
    <row r="24325" spans="18:19">
      <c r="R24325" s="178"/>
      <c r="S24325" s="178"/>
    </row>
    <row r="24326" spans="18:19">
      <c r="R24326" s="178"/>
      <c r="S24326" s="178"/>
    </row>
    <row r="24327" spans="18:19">
      <c r="R24327" s="178"/>
      <c r="S24327" s="178"/>
    </row>
    <row r="24328" spans="18:19">
      <c r="R24328" s="178"/>
      <c r="S24328" s="178"/>
    </row>
    <row r="24329" spans="18:19">
      <c r="R24329" s="178"/>
      <c r="S24329" s="178"/>
    </row>
    <row r="24330" spans="18:19">
      <c r="R24330" s="178"/>
      <c r="S24330" s="178"/>
    </row>
    <row r="24331" spans="18:19">
      <c r="R24331" s="178"/>
      <c r="S24331" s="178"/>
    </row>
    <row r="24332" spans="18:19">
      <c r="R24332" s="178"/>
      <c r="S24332" s="178"/>
    </row>
    <row r="24333" spans="18:19">
      <c r="R24333" s="178"/>
      <c r="S24333" s="178"/>
    </row>
    <row r="24334" spans="18:19">
      <c r="R24334" s="178"/>
      <c r="S24334" s="178"/>
    </row>
    <row r="24335" spans="18:19">
      <c r="R24335" s="178"/>
      <c r="S24335" s="178"/>
    </row>
    <row r="24336" spans="18:19">
      <c r="R24336" s="178"/>
      <c r="S24336" s="178"/>
    </row>
    <row r="24337" spans="18:19">
      <c r="R24337" s="178"/>
      <c r="S24337" s="178"/>
    </row>
    <row r="24338" spans="18:19">
      <c r="R24338" s="178"/>
      <c r="S24338" s="178"/>
    </row>
    <row r="24339" spans="18:19">
      <c r="R24339" s="178"/>
      <c r="S24339" s="178"/>
    </row>
    <row r="24340" spans="18:19">
      <c r="R24340" s="178"/>
      <c r="S24340" s="178"/>
    </row>
    <row r="24341" spans="18:19">
      <c r="R24341" s="178"/>
      <c r="S24341" s="178"/>
    </row>
    <row r="24342" spans="18:19">
      <c r="R24342" s="178"/>
      <c r="S24342" s="178"/>
    </row>
    <row r="24343" spans="18:19">
      <c r="R24343" s="178"/>
      <c r="S24343" s="178"/>
    </row>
    <row r="24344" spans="18:19">
      <c r="R24344" s="178"/>
      <c r="S24344" s="178"/>
    </row>
    <row r="24345" spans="18:19">
      <c r="R24345" s="178"/>
      <c r="S24345" s="178"/>
    </row>
    <row r="24346" spans="18:19">
      <c r="R24346" s="178"/>
      <c r="S24346" s="178"/>
    </row>
    <row r="24347" spans="18:19">
      <c r="R24347" s="178"/>
      <c r="S24347" s="178"/>
    </row>
    <row r="24348" spans="18:19">
      <c r="R24348" s="178"/>
      <c r="S24348" s="178"/>
    </row>
    <row r="24349" spans="18:19">
      <c r="R24349" s="178"/>
      <c r="S24349" s="178"/>
    </row>
    <row r="24350" spans="18:19">
      <c r="R24350" s="178"/>
      <c r="S24350" s="178"/>
    </row>
    <row r="24351" spans="18:19">
      <c r="R24351" s="178"/>
      <c r="S24351" s="178"/>
    </row>
    <row r="24352" spans="18:19">
      <c r="R24352" s="178"/>
      <c r="S24352" s="178"/>
    </row>
    <row r="24353" spans="18:19">
      <c r="R24353" s="178"/>
      <c r="S24353" s="178"/>
    </row>
    <row r="24354" spans="18:19">
      <c r="R24354" s="178"/>
      <c r="S24354" s="178"/>
    </row>
    <row r="24355" spans="18:19">
      <c r="R24355" s="178"/>
      <c r="S24355" s="178"/>
    </row>
    <row r="24356" spans="18:19">
      <c r="R24356" s="178"/>
      <c r="S24356" s="178"/>
    </row>
    <row r="24357" spans="18:19">
      <c r="R24357" s="178"/>
      <c r="S24357" s="178"/>
    </row>
    <row r="24358" spans="18:19">
      <c r="R24358" s="178"/>
      <c r="S24358" s="178"/>
    </row>
    <row r="24359" spans="18:19">
      <c r="R24359" s="178"/>
      <c r="S24359" s="178"/>
    </row>
    <row r="24360" spans="18:19">
      <c r="R24360" s="178"/>
      <c r="S24360" s="178"/>
    </row>
    <row r="24361" spans="18:19">
      <c r="R24361" s="178"/>
      <c r="S24361" s="178"/>
    </row>
    <row r="24362" spans="18:19">
      <c r="R24362" s="178"/>
      <c r="S24362" s="178"/>
    </row>
    <row r="24363" spans="18:19">
      <c r="R24363" s="178"/>
      <c r="S24363" s="178"/>
    </row>
    <row r="24364" spans="18:19">
      <c r="R24364" s="178"/>
      <c r="S24364" s="178"/>
    </row>
    <row r="24365" spans="18:19">
      <c r="R24365" s="178"/>
      <c r="S24365" s="178"/>
    </row>
    <row r="24366" spans="18:19">
      <c r="R24366" s="178"/>
      <c r="S24366" s="178"/>
    </row>
    <row r="24367" spans="18:19">
      <c r="R24367" s="178"/>
      <c r="S24367" s="178"/>
    </row>
    <row r="24368" spans="18:19">
      <c r="R24368" s="178"/>
      <c r="S24368" s="178"/>
    </row>
    <row r="24369" spans="18:19">
      <c r="R24369" s="178"/>
      <c r="S24369" s="178"/>
    </row>
    <row r="24370" spans="18:19">
      <c r="R24370" s="178"/>
      <c r="S24370" s="178"/>
    </row>
    <row r="24371" spans="18:19">
      <c r="R24371" s="178"/>
      <c r="S24371" s="178"/>
    </row>
    <row r="24372" spans="18:19">
      <c r="R24372" s="178"/>
      <c r="S24372" s="178"/>
    </row>
    <row r="24373" spans="18:19">
      <c r="R24373" s="178"/>
      <c r="S24373" s="178"/>
    </row>
    <row r="24374" spans="18:19">
      <c r="R24374" s="178"/>
      <c r="S24374" s="178"/>
    </row>
    <row r="24375" spans="18:19">
      <c r="R24375" s="178"/>
      <c r="S24375" s="178"/>
    </row>
    <row r="24376" spans="18:19">
      <c r="R24376" s="178"/>
      <c r="S24376" s="178"/>
    </row>
    <row r="24377" spans="18:19">
      <c r="R24377" s="178"/>
      <c r="S24377" s="178"/>
    </row>
    <row r="24378" spans="18:19">
      <c r="R24378" s="178"/>
      <c r="S24378" s="178"/>
    </row>
    <row r="24379" spans="18:19">
      <c r="R24379" s="178"/>
      <c r="S24379" s="178"/>
    </row>
    <row r="24380" spans="18:19">
      <c r="R24380" s="178"/>
      <c r="S24380" s="178"/>
    </row>
    <row r="24381" spans="18:19">
      <c r="R24381" s="178"/>
      <c r="S24381" s="178"/>
    </row>
    <row r="24382" spans="18:19">
      <c r="R24382" s="178"/>
      <c r="S24382" s="178"/>
    </row>
    <row r="24383" spans="18:19">
      <c r="R24383" s="178"/>
      <c r="S24383" s="178"/>
    </row>
    <row r="24384" spans="18:19">
      <c r="R24384" s="178"/>
      <c r="S24384" s="178"/>
    </row>
    <row r="24385" spans="18:19">
      <c r="R24385" s="178"/>
      <c r="S24385" s="178"/>
    </row>
    <row r="24386" spans="18:19">
      <c r="R24386" s="178"/>
      <c r="S24386" s="178"/>
    </row>
    <row r="24387" spans="18:19">
      <c r="R24387" s="178"/>
      <c r="S24387" s="178"/>
    </row>
    <row r="24388" spans="18:19">
      <c r="R24388" s="178"/>
      <c r="S24388" s="178"/>
    </row>
    <row r="24389" spans="18:19">
      <c r="R24389" s="178"/>
      <c r="S24389" s="178"/>
    </row>
    <row r="24390" spans="18:19">
      <c r="R24390" s="178"/>
      <c r="S24390" s="178"/>
    </row>
    <row r="24391" spans="18:19">
      <c r="R24391" s="178"/>
      <c r="S24391" s="178"/>
    </row>
    <row r="24392" spans="18:19">
      <c r="R24392" s="178"/>
      <c r="S24392" s="178"/>
    </row>
    <row r="24393" spans="18:19">
      <c r="R24393" s="178"/>
      <c r="S24393" s="178"/>
    </row>
    <row r="24394" spans="18:19">
      <c r="R24394" s="178"/>
      <c r="S24394" s="178"/>
    </row>
    <row r="24395" spans="18:19">
      <c r="R24395" s="178"/>
      <c r="S24395" s="178"/>
    </row>
    <row r="24396" spans="18:19">
      <c r="R24396" s="178"/>
      <c r="S24396" s="178"/>
    </row>
    <row r="24397" spans="18:19">
      <c r="R24397" s="178"/>
      <c r="S24397" s="178"/>
    </row>
    <row r="24398" spans="18:19">
      <c r="R24398" s="178"/>
      <c r="S24398" s="178"/>
    </row>
    <row r="24399" spans="18:19">
      <c r="R24399" s="178"/>
      <c r="S24399" s="178"/>
    </row>
    <row r="24400" spans="18:19">
      <c r="R24400" s="178"/>
      <c r="S24400" s="178"/>
    </row>
    <row r="24401" spans="18:19">
      <c r="R24401" s="178"/>
      <c r="S24401" s="178"/>
    </row>
    <row r="24402" spans="18:19">
      <c r="R24402" s="178"/>
      <c r="S24402" s="178"/>
    </row>
    <row r="24403" spans="18:19">
      <c r="R24403" s="178"/>
      <c r="S24403" s="178"/>
    </row>
    <row r="24404" spans="18:19">
      <c r="R24404" s="178"/>
      <c r="S24404" s="178"/>
    </row>
    <row r="24405" spans="18:19">
      <c r="R24405" s="178"/>
      <c r="S24405" s="178"/>
    </row>
    <row r="24406" spans="18:19">
      <c r="R24406" s="178"/>
      <c r="S24406" s="178"/>
    </row>
    <row r="24407" spans="18:19">
      <c r="R24407" s="178"/>
      <c r="S24407" s="178"/>
    </row>
    <row r="24408" spans="18:19">
      <c r="R24408" s="178"/>
      <c r="S24408" s="178"/>
    </row>
    <row r="24409" spans="18:19">
      <c r="R24409" s="178"/>
      <c r="S24409" s="178"/>
    </row>
    <row r="24410" spans="18:19">
      <c r="R24410" s="178"/>
      <c r="S24410" s="178"/>
    </row>
    <row r="24411" spans="18:19">
      <c r="R24411" s="178"/>
      <c r="S24411" s="178"/>
    </row>
    <row r="24412" spans="18:19">
      <c r="R24412" s="178"/>
      <c r="S24412" s="178"/>
    </row>
    <row r="24413" spans="18:19">
      <c r="R24413" s="178"/>
      <c r="S24413" s="178"/>
    </row>
    <row r="24414" spans="18:19">
      <c r="R24414" s="178"/>
      <c r="S24414" s="178"/>
    </row>
    <row r="24415" spans="18:19">
      <c r="R24415" s="178"/>
      <c r="S24415" s="178"/>
    </row>
    <row r="24416" spans="18:19">
      <c r="R24416" s="178"/>
      <c r="S24416" s="178"/>
    </row>
    <row r="24417" spans="18:19">
      <c r="R24417" s="178"/>
      <c r="S24417" s="178"/>
    </row>
    <row r="24418" spans="18:19">
      <c r="R24418" s="178"/>
      <c r="S24418" s="178"/>
    </row>
    <row r="24419" spans="18:19">
      <c r="R24419" s="178"/>
      <c r="S24419" s="178"/>
    </row>
    <row r="24420" spans="18:19">
      <c r="R24420" s="178"/>
      <c r="S24420" s="178"/>
    </row>
    <row r="24421" spans="18:19">
      <c r="R24421" s="178"/>
      <c r="S24421" s="178"/>
    </row>
    <row r="24422" spans="18:19">
      <c r="R24422" s="178"/>
      <c r="S24422" s="178"/>
    </row>
    <row r="24423" spans="18:19">
      <c r="R24423" s="178"/>
      <c r="S24423" s="178"/>
    </row>
    <row r="24424" spans="18:19">
      <c r="R24424" s="178"/>
      <c r="S24424" s="178"/>
    </row>
    <row r="24425" spans="18:19">
      <c r="R24425" s="178"/>
      <c r="S24425" s="178"/>
    </row>
    <row r="24426" spans="18:19">
      <c r="R24426" s="178"/>
      <c r="S24426" s="178"/>
    </row>
    <row r="24427" spans="18:19">
      <c r="R24427" s="178"/>
      <c r="S24427" s="178"/>
    </row>
    <row r="24428" spans="18:19">
      <c r="R24428" s="178"/>
      <c r="S24428" s="178"/>
    </row>
    <row r="24429" spans="18:19">
      <c r="R24429" s="178"/>
      <c r="S24429" s="178"/>
    </row>
    <row r="24430" spans="18:19">
      <c r="R24430" s="178"/>
      <c r="S24430" s="178"/>
    </row>
    <row r="24431" spans="18:19">
      <c r="R24431" s="178"/>
      <c r="S24431" s="178"/>
    </row>
    <row r="24432" spans="18:19">
      <c r="R24432" s="178"/>
      <c r="S24432" s="178"/>
    </row>
    <row r="24433" spans="18:19">
      <c r="R24433" s="178"/>
      <c r="S24433" s="178"/>
    </row>
    <row r="24434" spans="18:19">
      <c r="R24434" s="178"/>
      <c r="S24434" s="178"/>
    </row>
    <row r="24435" spans="18:19">
      <c r="R24435" s="178"/>
      <c r="S24435" s="178"/>
    </row>
    <row r="24436" spans="18:19">
      <c r="R24436" s="178"/>
      <c r="S24436" s="178"/>
    </row>
    <row r="24437" spans="18:19">
      <c r="R24437" s="178"/>
      <c r="S24437" s="178"/>
    </row>
    <row r="24438" spans="18:19">
      <c r="R24438" s="178"/>
      <c r="S24438" s="178"/>
    </row>
    <row r="24439" spans="18:19">
      <c r="R24439" s="178"/>
      <c r="S24439" s="178"/>
    </row>
    <row r="24440" spans="18:19">
      <c r="R24440" s="178"/>
      <c r="S24440" s="178"/>
    </row>
    <row r="24441" spans="18:19">
      <c r="R24441" s="178"/>
      <c r="S24441" s="178"/>
    </row>
    <row r="24442" spans="18:19">
      <c r="R24442" s="178"/>
      <c r="S24442" s="178"/>
    </row>
    <row r="24443" spans="18:19">
      <c r="R24443" s="178"/>
      <c r="S24443" s="178"/>
    </row>
    <row r="24444" spans="18:19">
      <c r="R24444" s="178"/>
      <c r="S24444" s="178"/>
    </row>
    <row r="24445" spans="18:19">
      <c r="R24445" s="178"/>
      <c r="S24445" s="178"/>
    </row>
    <row r="24446" spans="18:19">
      <c r="R24446" s="178"/>
      <c r="S24446" s="178"/>
    </row>
    <row r="24447" spans="18:19">
      <c r="R24447" s="178"/>
      <c r="S24447" s="178"/>
    </row>
    <row r="24448" spans="18:19">
      <c r="R24448" s="178"/>
      <c r="S24448" s="178"/>
    </row>
    <row r="24449" spans="18:19">
      <c r="R24449" s="178"/>
      <c r="S24449" s="178"/>
    </row>
    <row r="24450" spans="18:19">
      <c r="R24450" s="178"/>
      <c r="S24450" s="178"/>
    </row>
    <row r="24451" spans="18:19">
      <c r="R24451" s="178"/>
      <c r="S24451" s="178"/>
    </row>
    <row r="24452" spans="18:19">
      <c r="R24452" s="178"/>
      <c r="S24452" s="178"/>
    </row>
    <row r="24453" spans="18:19">
      <c r="R24453" s="178"/>
      <c r="S24453" s="178"/>
    </row>
    <row r="24454" spans="18:19">
      <c r="R24454" s="178"/>
      <c r="S24454" s="178"/>
    </row>
    <row r="24455" spans="18:19">
      <c r="R24455" s="178"/>
      <c r="S24455" s="178"/>
    </row>
    <row r="24456" spans="18:19">
      <c r="R24456" s="178"/>
      <c r="S24456" s="178"/>
    </row>
    <row r="24457" spans="18:19">
      <c r="R24457" s="178"/>
      <c r="S24457" s="178"/>
    </row>
    <row r="24458" spans="18:19">
      <c r="R24458" s="178"/>
      <c r="S24458" s="178"/>
    </row>
    <row r="24459" spans="18:19">
      <c r="R24459" s="178"/>
      <c r="S24459" s="178"/>
    </row>
    <row r="24460" spans="18:19">
      <c r="R24460" s="178"/>
      <c r="S24460" s="178"/>
    </row>
    <row r="24461" spans="18:19">
      <c r="R24461" s="178"/>
      <c r="S24461" s="178"/>
    </row>
    <row r="24462" spans="18:19">
      <c r="R24462" s="178"/>
      <c r="S24462" s="178"/>
    </row>
    <row r="24463" spans="18:19">
      <c r="R24463" s="178"/>
      <c r="S24463" s="178"/>
    </row>
    <row r="24464" spans="18:19">
      <c r="R24464" s="178"/>
      <c r="S24464" s="178"/>
    </row>
    <row r="24465" spans="18:19">
      <c r="R24465" s="178"/>
      <c r="S24465" s="178"/>
    </row>
    <row r="24466" spans="18:19">
      <c r="R24466" s="178"/>
      <c r="S24466" s="178"/>
    </row>
    <row r="24467" spans="18:19">
      <c r="R24467" s="178"/>
      <c r="S24467" s="178"/>
    </row>
    <row r="24468" spans="18:19">
      <c r="R24468" s="178"/>
      <c r="S24468" s="178"/>
    </row>
    <row r="24469" spans="18:19">
      <c r="R24469" s="178"/>
      <c r="S24469" s="178"/>
    </row>
    <row r="24470" spans="18:19">
      <c r="R24470" s="178"/>
      <c r="S24470" s="178"/>
    </row>
    <row r="24471" spans="18:19">
      <c r="R24471" s="178"/>
      <c r="S24471" s="178"/>
    </row>
    <row r="24472" spans="18:19">
      <c r="R24472" s="178"/>
      <c r="S24472" s="178"/>
    </row>
    <row r="24473" spans="18:19">
      <c r="R24473" s="178"/>
      <c r="S24473" s="178"/>
    </row>
    <row r="24474" spans="18:19">
      <c r="R24474" s="178"/>
      <c r="S24474" s="178"/>
    </row>
    <row r="24475" spans="18:19">
      <c r="R24475" s="178"/>
      <c r="S24475" s="178"/>
    </row>
    <row r="24476" spans="18:19">
      <c r="R24476" s="178"/>
      <c r="S24476" s="178"/>
    </row>
    <row r="24477" spans="18:19">
      <c r="R24477" s="178"/>
      <c r="S24477" s="178"/>
    </row>
    <row r="24478" spans="18:19">
      <c r="R24478" s="178"/>
      <c r="S24478" s="178"/>
    </row>
    <row r="24479" spans="18:19">
      <c r="R24479" s="178"/>
      <c r="S24479" s="178"/>
    </row>
    <row r="24480" spans="18:19">
      <c r="R24480" s="178"/>
      <c r="S24480" s="178"/>
    </row>
    <row r="24481" spans="18:19">
      <c r="R24481" s="178"/>
      <c r="S24481" s="178"/>
    </row>
    <row r="24482" spans="18:19">
      <c r="R24482" s="178"/>
      <c r="S24482" s="178"/>
    </row>
    <row r="24483" spans="18:19">
      <c r="R24483" s="178"/>
      <c r="S24483" s="178"/>
    </row>
    <row r="24484" spans="18:19">
      <c r="R24484" s="178"/>
      <c r="S24484" s="178"/>
    </row>
    <row r="24485" spans="18:19">
      <c r="R24485" s="178"/>
      <c r="S24485" s="178"/>
    </row>
    <row r="24486" spans="18:19">
      <c r="R24486" s="178"/>
      <c r="S24486" s="178"/>
    </row>
    <row r="24487" spans="18:19">
      <c r="R24487" s="178"/>
      <c r="S24487" s="178"/>
    </row>
    <row r="24488" spans="18:19">
      <c r="R24488" s="178"/>
      <c r="S24488" s="178"/>
    </row>
    <row r="24489" spans="18:19">
      <c r="R24489" s="178"/>
      <c r="S24489" s="178"/>
    </row>
    <row r="24490" spans="18:19">
      <c r="R24490" s="178"/>
      <c r="S24490" s="178"/>
    </row>
    <row r="24491" spans="18:19">
      <c r="R24491" s="178"/>
      <c r="S24491" s="178"/>
    </row>
    <row r="24492" spans="18:19">
      <c r="R24492" s="178"/>
      <c r="S24492" s="178"/>
    </row>
    <row r="24493" spans="18:19">
      <c r="R24493" s="178"/>
      <c r="S24493" s="178"/>
    </row>
    <row r="24494" spans="18:19">
      <c r="R24494" s="178"/>
      <c r="S24494" s="178"/>
    </row>
    <row r="24495" spans="18:19">
      <c r="R24495" s="178"/>
      <c r="S24495" s="178"/>
    </row>
    <row r="24496" spans="18:19">
      <c r="R24496" s="178"/>
      <c r="S24496" s="178"/>
    </row>
    <row r="24497" spans="18:19">
      <c r="R24497" s="178"/>
      <c r="S24497" s="178"/>
    </row>
    <row r="24498" spans="18:19">
      <c r="R24498" s="178"/>
      <c r="S24498" s="178"/>
    </row>
    <row r="24499" spans="18:19">
      <c r="R24499" s="178"/>
      <c r="S24499" s="178"/>
    </row>
    <row r="24500" spans="18:19">
      <c r="R24500" s="178"/>
      <c r="S24500" s="178"/>
    </row>
    <row r="24501" spans="18:19">
      <c r="R24501" s="178"/>
      <c r="S24501" s="178"/>
    </row>
    <row r="24502" spans="18:19">
      <c r="R24502" s="178"/>
      <c r="S24502" s="178"/>
    </row>
    <row r="24503" spans="18:19">
      <c r="R24503" s="178"/>
      <c r="S24503" s="178"/>
    </row>
    <row r="24504" spans="18:19">
      <c r="R24504" s="178"/>
      <c r="S24504" s="178"/>
    </row>
    <row r="24505" spans="18:19">
      <c r="R24505" s="178"/>
      <c r="S24505" s="178"/>
    </row>
    <row r="24506" spans="18:19">
      <c r="R24506" s="178"/>
      <c r="S24506" s="178"/>
    </row>
    <row r="24507" spans="18:19">
      <c r="R24507" s="178"/>
      <c r="S24507" s="178"/>
    </row>
    <row r="24508" spans="18:19">
      <c r="R24508" s="178"/>
      <c r="S24508" s="178"/>
    </row>
    <row r="24509" spans="18:19">
      <c r="R24509" s="178"/>
      <c r="S24509" s="178"/>
    </row>
    <row r="24510" spans="18:19">
      <c r="R24510" s="178"/>
      <c r="S24510" s="178"/>
    </row>
    <row r="24511" spans="18:19">
      <c r="R24511" s="178"/>
      <c r="S24511" s="178"/>
    </row>
    <row r="24512" spans="18:19">
      <c r="R24512" s="178"/>
      <c r="S24512" s="178"/>
    </row>
    <row r="24513" spans="18:19">
      <c r="R24513" s="178"/>
      <c r="S24513" s="178"/>
    </row>
    <row r="24514" spans="18:19">
      <c r="R24514" s="178"/>
      <c r="S24514" s="178"/>
    </row>
    <row r="24515" spans="18:19">
      <c r="R24515" s="178"/>
      <c r="S24515" s="178"/>
    </row>
    <row r="24516" spans="18:19">
      <c r="R24516" s="178"/>
      <c r="S24516" s="178"/>
    </row>
    <row r="24517" spans="18:19">
      <c r="R24517" s="178"/>
      <c r="S24517" s="178"/>
    </row>
    <row r="24518" spans="18:19">
      <c r="R24518" s="178"/>
      <c r="S24518" s="178"/>
    </row>
    <row r="24519" spans="18:19">
      <c r="R24519" s="178"/>
      <c r="S24519" s="178"/>
    </row>
    <row r="24520" spans="18:19">
      <c r="R24520" s="178"/>
      <c r="S24520" s="178"/>
    </row>
    <row r="24521" spans="18:19">
      <c r="R24521" s="178"/>
      <c r="S24521" s="178"/>
    </row>
    <row r="24522" spans="18:19">
      <c r="R24522" s="178"/>
      <c r="S24522" s="178"/>
    </row>
    <row r="24523" spans="18:19">
      <c r="R24523" s="178"/>
      <c r="S24523" s="178"/>
    </row>
    <row r="24524" spans="18:19">
      <c r="R24524" s="178"/>
      <c r="S24524" s="178"/>
    </row>
    <row r="24525" spans="18:19">
      <c r="R24525" s="178"/>
      <c r="S24525" s="178"/>
    </row>
    <row r="24526" spans="18:19">
      <c r="R24526" s="178"/>
      <c r="S24526" s="178"/>
    </row>
    <row r="24527" spans="18:19">
      <c r="R24527" s="178"/>
      <c r="S24527" s="178"/>
    </row>
    <row r="24528" spans="18:19">
      <c r="R24528" s="178"/>
      <c r="S24528" s="178"/>
    </row>
    <row r="24529" spans="18:19">
      <c r="R24529" s="178"/>
      <c r="S24529" s="178"/>
    </row>
    <row r="24530" spans="18:19">
      <c r="R24530" s="178"/>
      <c r="S24530" s="178"/>
    </row>
    <row r="24531" spans="18:19">
      <c r="R24531" s="178"/>
      <c r="S24531" s="178"/>
    </row>
    <row r="24532" spans="18:19">
      <c r="R24532" s="178"/>
      <c r="S24532" s="178"/>
    </row>
    <row r="24533" spans="18:19">
      <c r="R24533" s="178"/>
      <c r="S24533" s="178"/>
    </row>
    <row r="24534" spans="18:19">
      <c r="R24534" s="178"/>
      <c r="S24534" s="178"/>
    </row>
    <row r="24535" spans="18:19">
      <c r="R24535" s="178"/>
      <c r="S24535" s="178"/>
    </row>
    <row r="24536" spans="18:19">
      <c r="R24536" s="178"/>
      <c r="S24536" s="178"/>
    </row>
    <row r="24537" spans="18:19">
      <c r="R24537" s="178"/>
      <c r="S24537" s="178"/>
    </row>
    <row r="24538" spans="18:19">
      <c r="R24538" s="178"/>
      <c r="S24538" s="178"/>
    </row>
    <row r="24539" spans="18:19">
      <c r="R24539" s="178"/>
      <c r="S24539" s="178"/>
    </row>
    <row r="24540" spans="18:19">
      <c r="R24540" s="178"/>
      <c r="S24540" s="178"/>
    </row>
    <row r="24541" spans="18:19">
      <c r="R24541" s="178"/>
      <c r="S24541" s="178"/>
    </row>
    <row r="24542" spans="18:19">
      <c r="R24542" s="178"/>
      <c r="S24542" s="178"/>
    </row>
    <row r="24543" spans="18:19">
      <c r="R24543" s="178"/>
      <c r="S24543" s="178"/>
    </row>
    <row r="24544" spans="18:19">
      <c r="R24544" s="178"/>
      <c r="S24544" s="178"/>
    </row>
    <row r="24545" spans="18:19">
      <c r="R24545" s="178"/>
      <c r="S24545" s="178"/>
    </row>
    <row r="24546" spans="18:19">
      <c r="R24546" s="178"/>
      <c r="S24546" s="178"/>
    </row>
    <row r="24547" spans="18:19">
      <c r="R24547" s="178"/>
      <c r="S24547" s="178"/>
    </row>
    <row r="24548" spans="18:19">
      <c r="R24548" s="178"/>
      <c r="S24548" s="178"/>
    </row>
    <row r="24549" spans="18:19">
      <c r="R24549" s="178"/>
      <c r="S24549" s="178"/>
    </row>
    <row r="24550" spans="18:19">
      <c r="R24550" s="178"/>
      <c r="S24550" s="178"/>
    </row>
    <row r="24551" spans="18:19">
      <c r="R24551" s="178"/>
      <c r="S24551" s="178"/>
    </row>
    <row r="24552" spans="18:19">
      <c r="R24552" s="178"/>
      <c r="S24552" s="178"/>
    </row>
    <row r="24553" spans="18:19">
      <c r="R24553" s="178"/>
      <c r="S24553" s="178"/>
    </row>
    <row r="24554" spans="18:19">
      <c r="R24554" s="178"/>
      <c r="S24554" s="178"/>
    </row>
    <row r="24555" spans="18:19">
      <c r="R24555" s="178"/>
      <c r="S24555" s="178"/>
    </row>
    <row r="24556" spans="18:19">
      <c r="R24556" s="178"/>
      <c r="S24556" s="178"/>
    </row>
    <row r="24557" spans="18:19">
      <c r="R24557" s="178"/>
      <c r="S24557" s="178"/>
    </row>
    <row r="24558" spans="18:19">
      <c r="R24558" s="178"/>
      <c r="S24558" s="178"/>
    </row>
    <row r="24559" spans="18:19">
      <c r="R24559" s="178"/>
      <c r="S24559" s="178"/>
    </row>
    <row r="24560" spans="18:19">
      <c r="R24560" s="178"/>
      <c r="S24560" s="178"/>
    </row>
    <row r="24561" spans="18:19">
      <c r="R24561" s="178"/>
      <c r="S24561" s="178"/>
    </row>
    <row r="24562" spans="18:19">
      <c r="R24562" s="178"/>
      <c r="S24562" s="178"/>
    </row>
    <row r="24563" spans="18:19">
      <c r="R24563" s="178"/>
      <c r="S24563" s="178"/>
    </row>
    <row r="24564" spans="18:19">
      <c r="R24564" s="178"/>
      <c r="S24564" s="178"/>
    </row>
    <row r="24565" spans="18:19">
      <c r="R24565" s="178"/>
      <c r="S24565" s="178"/>
    </row>
    <row r="24566" spans="18:19">
      <c r="R24566" s="178"/>
      <c r="S24566" s="178"/>
    </row>
    <row r="24567" spans="18:19">
      <c r="R24567" s="178"/>
      <c r="S24567" s="178"/>
    </row>
    <row r="24568" spans="18:19">
      <c r="R24568" s="178"/>
      <c r="S24568" s="178"/>
    </row>
    <row r="24569" spans="18:19">
      <c r="R24569" s="178"/>
      <c r="S24569" s="178"/>
    </row>
    <row r="24570" spans="18:19">
      <c r="R24570" s="178"/>
      <c r="S24570" s="178"/>
    </row>
    <row r="24571" spans="18:19">
      <c r="R24571" s="178"/>
      <c r="S24571" s="178"/>
    </row>
    <row r="24572" spans="18:19">
      <c r="R24572" s="178"/>
      <c r="S24572" s="178"/>
    </row>
    <row r="24573" spans="18:19">
      <c r="R24573" s="178"/>
      <c r="S24573" s="178"/>
    </row>
    <row r="24574" spans="18:19">
      <c r="R24574" s="178"/>
      <c r="S24574" s="178"/>
    </row>
    <row r="24575" spans="18:19">
      <c r="R24575" s="178"/>
      <c r="S24575" s="178"/>
    </row>
    <row r="24576" spans="18:19">
      <c r="R24576" s="178"/>
      <c r="S24576" s="178"/>
    </row>
    <row r="24577" spans="18:19">
      <c r="R24577" s="178"/>
      <c r="S24577" s="178"/>
    </row>
    <row r="24578" spans="18:19">
      <c r="R24578" s="178"/>
      <c r="S24578" s="178"/>
    </row>
    <row r="24579" spans="18:19">
      <c r="R24579" s="178"/>
      <c r="S24579" s="178"/>
    </row>
    <row r="24580" spans="18:19">
      <c r="R24580" s="178"/>
      <c r="S24580" s="178"/>
    </row>
    <row r="24581" spans="18:19">
      <c r="R24581" s="178"/>
      <c r="S24581" s="178"/>
    </row>
    <row r="24582" spans="18:19">
      <c r="R24582" s="178"/>
      <c r="S24582" s="178"/>
    </row>
    <row r="24583" spans="18:19">
      <c r="R24583" s="178"/>
      <c r="S24583" s="178"/>
    </row>
    <row r="24584" spans="18:19">
      <c r="R24584" s="178"/>
      <c r="S24584" s="178"/>
    </row>
    <row r="24585" spans="18:19">
      <c r="R24585" s="178"/>
      <c r="S24585" s="178"/>
    </row>
    <row r="24586" spans="18:19">
      <c r="R24586" s="178"/>
      <c r="S24586" s="178"/>
    </row>
    <row r="24587" spans="18:19">
      <c r="R24587" s="178"/>
      <c r="S24587" s="178"/>
    </row>
    <row r="24588" spans="18:19">
      <c r="R24588" s="178"/>
      <c r="S24588" s="178"/>
    </row>
    <row r="24589" spans="18:19">
      <c r="R24589" s="178"/>
      <c r="S24589" s="178"/>
    </row>
    <row r="24590" spans="18:19">
      <c r="R24590" s="178"/>
      <c r="S24590" s="178"/>
    </row>
    <row r="24591" spans="18:19">
      <c r="R24591" s="178"/>
      <c r="S24591" s="178"/>
    </row>
    <row r="24592" spans="18:19">
      <c r="R24592" s="178"/>
      <c r="S24592" s="178"/>
    </row>
    <row r="24593" spans="18:19">
      <c r="R24593" s="178"/>
      <c r="S24593" s="178"/>
    </row>
    <row r="24594" spans="18:19">
      <c r="R24594" s="178"/>
      <c r="S24594" s="178"/>
    </row>
    <row r="24595" spans="18:19">
      <c r="R24595" s="178"/>
      <c r="S24595" s="178"/>
    </row>
    <row r="24596" spans="18:19">
      <c r="R24596" s="178"/>
      <c r="S24596" s="178"/>
    </row>
    <row r="24597" spans="18:19">
      <c r="R24597" s="178"/>
      <c r="S24597" s="178"/>
    </row>
    <row r="24598" spans="18:19">
      <c r="R24598" s="178"/>
      <c r="S24598" s="178"/>
    </row>
    <row r="24599" spans="18:19">
      <c r="R24599" s="178"/>
      <c r="S24599" s="178"/>
    </row>
    <row r="24600" spans="18:19">
      <c r="R24600" s="178"/>
      <c r="S24600" s="178"/>
    </row>
    <row r="24601" spans="18:19">
      <c r="R24601" s="178"/>
      <c r="S24601" s="178"/>
    </row>
    <row r="24602" spans="18:19">
      <c r="R24602" s="178"/>
      <c r="S24602" s="178"/>
    </row>
    <row r="24603" spans="18:19">
      <c r="R24603" s="178"/>
      <c r="S24603" s="178"/>
    </row>
    <row r="24604" spans="18:19">
      <c r="R24604" s="178"/>
      <c r="S24604" s="178"/>
    </row>
    <row r="24605" spans="18:19">
      <c r="R24605" s="178"/>
      <c r="S24605" s="178"/>
    </row>
    <row r="24606" spans="18:19">
      <c r="R24606" s="178"/>
      <c r="S24606" s="178"/>
    </row>
    <row r="24607" spans="18:19">
      <c r="R24607" s="178"/>
      <c r="S24607" s="178"/>
    </row>
    <row r="24608" spans="18:19">
      <c r="R24608" s="178"/>
      <c r="S24608" s="178"/>
    </row>
    <row r="24609" spans="18:19">
      <c r="R24609" s="178"/>
      <c r="S24609" s="178"/>
    </row>
    <row r="24610" spans="18:19">
      <c r="R24610" s="178"/>
      <c r="S24610" s="178"/>
    </row>
    <row r="24611" spans="18:19">
      <c r="R24611" s="178"/>
      <c r="S24611" s="178"/>
    </row>
    <row r="24612" spans="18:19">
      <c r="R24612" s="178"/>
      <c r="S24612" s="178"/>
    </row>
    <row r="24613" spans="18:19">
      <c r="R24613" s="178"/>
      <c r="S24613" s="178"/>
    </row>
    <row r="24614" spans="18:19">
      <c r="R24614" s="178"/>
      <c r="S24614" s="178"/>
    </row>
    <row r="24615" spans="18:19">
      <c r="R24615" s="178"/>
      <c r="S24615" s="178"/>
    </row>
    <row r="24616" spans="18:19">
      <c r="R24616" s="178"/>
      <c r="S24616" s="178"/>
    </row>
    <row r="24617" spans="18:19">
      <c r="R24617" s="178"/>
      <c r="S24617" s="178"/>
    </row>
    <row r="24618" spans="18:19">
      <c r="R24618" s="178"/>
      <c r="S24618" s="178"/>
    </row>
    <row r="24619" spans="18:19">
      <c r="R24619" s="178"/>
      <c r="S24619" s="178"/>
    </row>
    <row r="24620" spans="18:19">
      <c r="R24620" s="178"/>
      <c r="S24620" s="178"/>
    </row>
    <row r="24621" spans="18:19">
      <c r="R24621" s="178"/>
      <c r="S24621" s="178"/>
    </row>
    <row r="24622" spans="18:19">
      <c r="R24622" s="178"/>
      <c r="S24622" s="178"/>
    </row>
    <row r="24623" spans="18:19">
      <c r="R24623" s="178"/>
      <c r="S24623" s="178"/>
    </row>
    <row r="24624" spans="18:19">
      <c r="R24624" s="178"/>
      <c r="S24624" s="178"/>
    </row>
    <row r="24625" spans="18:19">
      <c r="R24625" s="178"/>
      <c r="S24625" s="178"/>
    </row>
    <row r="24626" spans="18:19">
      <c r="R24626" s="178"/>
      <c r="S24626" s="178"/>
    </row>
    <row r="24627" spans="18:19">
      <c r="R24627" s="178"/>
      <c r="S24627" s="178"/>
    </row>
    <row r="24628" spans="18:19">
      <c r="R24628" s="178"/>
      <c r="S24628" s="178"/>
    </row>
    <row r="24629" spans="18:19">
      <c r="R24629" s="178"/>
      <c r="S24629" s="178"/>
    </row>
    <row r="24630" spans="18:19">
      <c r="R24630" s="178"/>
      <c r="S24630" s="178"/>
    </row>
    <row r="24631" spans="18:19">
      <c r="R24631" s="178"/>
      <c r="S24631" s="178"/>
    </row>
    <row r="24632" spans="18:19">
      <c r="R24632" s="178"/>
      <c r="S24632" s="178"/>
    </row>
    <row r="24633" spans="18:19">
      <c r="R24633" s="178"/>
      <c r="S24633" s="178"/>
    </row>
    <row r="24634" spans="18:19">
      <c r="R24634" s="178"/>
      <c r="S24634" s="178"/>
    </row>
    <row r="24635" spans="18:19">
      <c r="R24635" s="178"/>
      <c r="S24635" s="178"/>
    </row>
    <row r="24636" spans="18:19">
      <c r="R24636" s="178"/>
      <c r="S24636" s="178"/>
    </row>
    <row r="24637" spans="18:19">
      <c r="R24637" s="178"/>
      <c r="S24637" s="178"/>
    </row>
    <row r="24638" spans="18:19">
      <c r="R24638" s="178"/>
      <c r="S24638" s="178"/>
    </row>
    <row r="24639" spans="18:19">
      <c r="R24639" s="178"/>
      <c r="S24639" s="178"/>
    </row>
    <row r="24640" spans="18:19">
      <c r="R24640" s="178"/>
      <c r="S24640" s="178"/>
    </row>
    <row r="24641" spans="18:19">
      <c r="R24641" s="178"/>
      <c r="S24641" s="178"/>
    </row>
    <row r="24642" spans="18:19">
      <c r="R24642" s="178"/>
      <c r="S24642" s="178"/>
    </row>
    <row r="24643" spans="18:19">
      <c r="R24643" s="178"/>
      <c r="S24643" s="178"/>
    </row>
    <row r="24644" spans="18:19">
      <c r="R24644" s="178"/>
      <c r="S24644" s="178"/>
    </row>
    <row r="24645" spans="18:19">
      <c r="R24645" s="178"/>
      <c r="S24645" s="178"/>
    </row>
    <row r="24646" spans="18:19">
      <c r="R24646" s="178"/>
      <c r="S24646" s="178"/>
    </row>
    <row r="24647" spans="18:19">
      <c r="R24647" s="178"/>
      <c r="S24647" s="178"/>
    </row>
    <row r="24648" spans="18:19">
      <c r="R24648" s="178"/>
      <c r="S24648" s="178"/>
    </row>
    <row r="24649" spans="18:19">
      <c r="R24649" s="178"/>
      <c r="S24649" s="178"/>
    </row>
    <row r="24650" spans="18:19">
      <c r="R24650" s="178"/>
      <c r="S24650" s="178"/>
    </row>
    <row r="24651" spans="18:19">
      <c r="R24651" s="178"/>
      <c r="S24651" s="178"/>
    </row>
    <row r="24652" spans="18:19">
      <c r="R24652" s="178"/>
      <c r="S24652" s="178"/>
    </row>
    <row r="24653" spans="18:19">
      <c r="R24653" s="178"/>
      <c r="S24653" s="178"/>
    </row>
    <row r="24654" spans="18:19">
      <c r="R24654" s="178"/>
      <c r="S24654" s="178"/>
    </row>
    <row r="24655" spans="18:19">
      <c r="R24655" s="178"/>
      <c r="S24655" s="178"/>
    </row>
    <row r="24656" spans="18:19">
      <c r="R24656" s="178"/>
      <c r="S24656" s="178"/>
    </row>
    <row r="24657" spans="18:19">
      <c r="R24657" s="178"/>
      <c r="S24657" s="178"/>
    </row>
    <row r="24658" spans="18:19">
      <c r="R24658" s="178"/>
      <c r="S24658" s="178"/>
    </row>
    <row r="24659" spans="18:19">
      <c r="R24659" s="178"/>
      <c r="S24659" s="178"/>
    </row>
    <row r="24660" spans="18:19">
      <c r="R24660" s="178"/>
      <c r="S24660" s="178"/>
    </row>
    <row r="24661" spans="18:19">
      <c r="R24661" s="178"/>
      <c r="S24661" s="178"/>
    </row>
    <row r="24662" spans="18:19">
      <c r="R24662" s="178"/>
      <c r="S24662" s="178"/>
    </row>
    <row r="24663" spans="18:19">
      <c r="R24663" s="178"/>
      <c r="S24663" s="178"/>
    </row>
    <row r="24664" spans="18:19">
      <c r="R24664" s="178"/>
      <c r="S24664" s="178"/>
    </row>
    <row r="24665" spans="18:19">
      <c r="R24665" s="178"/>
      <c r="S24665" s="178"/>
    </row>
    <row r="24666" spans="18:19">
      <c r="R24666" s="178"/>
      <c r="S24666" s="178"/>
    </row>
    <row r="24667" spans="18:19">
      <c r="R24667" s="178"/>
      <c r="S24667" s="178"/>
    </row>
    <row r="24668" spans="18:19">
      <c r="R24668" s="178"/>
      <c r="S24668" s="178"/>
    </row>
    <row r="24669" spans="18:19">
      <c r="R24669" s="178"/>
      <c r="S24669" s="178"/>
    </row>
    <row r="24670" spans="18:19">
      <c r="R24670" s="178"/>
      <c r="S24670" s="178"/>
    </row>
    <row r="24671" spans="18:19">
      <c r="R24671" s="178"/>
      <c r="S24671" s="178"/>
    </row>
    <row r="24672" spans="18:19">
      <c r="R24672" s="178"/>
      <c r="S24672" s="178"/>
    </row>
    <row r="24673" spans="18:19">
      <c r="R24673" s="178"/>
      <c r="S24673" s="178"/>
    </row>
    <row r="24674" spans="18:19">
      <c r="R24674" s="178"/>
      <c r="S24674" s="178"/>
    </row>
    <row r="24675" spans="18:19">
      <c r="R24675" s="178"/>
      <c r="S24675" s="178"/>
    </row>
    <row r="24676" spans="18:19">
      <c r="R24676" s="178"/>
      <c r="S24676" s="178"/>
    </row>
    <row r="24677" spans="18:19">
      <c r="R24677" s="178"/>
      <c r="S24677" s="178"/>
    </row>
    <row r="24678" spans="18:19">
      <c r="R24678" s="178"/>
      <c r="S24678" s="178"/>
    </row>
    <row r="24679" spans="18:19">
      <c r="R24679" s="178"/>
      <c r="S24679" s="178"/>
    </row>
    <row r="24680" spans="18:19">
      <c r="R24680" s="178"/>
      <c r="S24680" s="178"/>
    </row>
    <row r="24681" spans="18:19">
      <c r="R24681" s="178"/>
      <c r="S24681" s="178"/>
    </row>
    <row r="24682" spans="18:19">
      <c r="R24682" s="178"/>
      <c r="S24682" s="178"/>
    </row>
    <row r="24683" spans="18:19">
      <c r="R24683" s="178"/>
      <c r="S24683" s="178"/>
    </row>
    <row r="24684" spans="18:19">
      <c r="R24684" s="178"/>
      <c r="S24684" s="178"/>
    </row>
    <row r="24685" spans="18:19">
      <c r="R24685" s="178"/>
      <c r="S24685" s="178"/>
    </row>
    <row r="24686" spans="18:19">
      <c r="R24686" s="178"/>
      <c r="S24686" s="178"/>
    </row>
    <row r="24687" spans="18:19">
      <c r="R24687" s="178"/>
      <c r="S24687" s="178"/>
    </row>
    <row r="24688" spans="18:19">
      <c r="R24688" s="178"/>
      <c r="S24688" s="178"/>
    </row>
    <row r="24689" spans="18:19">
      <c r="R24689" s="178"/>
      <c r="S24689" s="178"/>
    </row>
    <row r="24690" spans="18:19">
      <c r="R24690" s="178"/>
      <c r="S24690" s="178"/>
    </row>
    <row r="24691" spans="18:19">
      <c r="R24691" s="178"/>
      <c r="S24691" s="178"/>
    </row>
    <row r="24692" spans="18:19">
      <c r="R24692" s="178"/>
      <c r="S24692" s="178"/>
    </row>
    <row r="24693" spans="18:19">
      <c r="R24693" s="178"/>
      <c r="S24693" s="178"/>
    </row>
    <row r="24694" spans="18:19">
      <c r="R24694" s="178"/>
      <c r="S24694" s="178"/>
    </row>
    <row r="24695" spans="18:19">
      <c r="R24695" s="178"/>
      <c r="S24695" s="178"/>
    </row>
    <row r="24696" spans="18:19">
      <c r="R24696" s="178"/>
      <c r="S24696" s="178"/>
    </row>
    <row r="24697" spans="18:19">
      <c r="R24697" s="178"/>
      <c r="S24697" s="178"/>
    </row>
    <row r="24698" spans="18:19">
      <c r="R24698" s="178"/>
      <c r="S24698" s="178"/>
    </row>
    <row r="24699" spans="18:19">
      <c r="R24699" s="178"/>
      <c r="S24699" s="178"/>
    </row>
    <row r="24700" spans="18:19">
      <c r="R24700" s="178"/>
      <c r="S24700" s="178"/>
    </row>
    <row r="24701" spans="18:19">
      <c r="R24701" s="178"/>
      <c r="S24701" s="178"/>
    </row>
    <row r="24702" spans="18:19">
      <c r="R24702" s="178"/>
      <c r="S24702" s="178"/>
    </row>
    <row r="24703" spans="18:19">
      <c r="R24703" s="178"/>
      <c r="S24703" s="178"/>
    </row>
    <row r="24704" spans="18:19">
      <c r="R24704" s="178"/>
      <c r="S24704" s="178"/>
    </row>
    <row r="24705" spans="18:19">
      <c r="R24705" s="178"/>
      <c r="S24705" s="178"/>
    </row>
    <row r="24706" spans="18:19">
      <c r="R24706" s="178"/>
      <c r="S24706" s="178"/>
    </row>
    <row r="24707" spans="18:19">
      <c r="R24707" s="178"/>
      <c r="S24707" s="178"/>
    </row>
    <row r="24708" spans="18:19">
      <c r="R24708" s="178"/>
      <c r="S24708" s="178"/>
    </row>
    <row r="24709" spans="18:19">
      <c r="R24709" s="178"/>
      <c r="S24709" s="178"/>
    </row>
    <row r="24710" spans="18:19">
      <c r="R24710" s="178"/>
      <c r="S24710" s="178"/>
    </row>
    <row r="24711" spans="18:19">
      <c r="R24711" s="178"/>
      <c r="S24711" s="178"/>
    </row>
    <row r="24712" spans="18:19">
      <c r="R24712" s="178"/>
      <c r="S24712" s="178"/>
    </row>
    <row r="24713" spans="18:19">
      <c r="R24713" s="178"/>
      <c r="S24713" s="178"/>
    </row>
    <row r="24714" spans="18:19">
      <c r="R24714" s="178"/>
      <c r="S24714" s="178"/>
    </row>
    <row r="24715" spans="18:19">
      <c r="R24715" s="178"/>
      <c r="S24715" s="178"/>
    </row>
    <row r="24716" spans="18:19">
      <c r="R24716" s="178"/>
      <c r="S24716" s="178"/>
    </row>
    <row r="24717" spans="18:19">
      <c r="R24717" s="178"/>
      <c r="S24717" s="178"/>
    </row>
    <row r="24718" spans="18:19">
      <c r="R24718" s="178"/>
      <c r="S24718" s="178"/>
    </row>
    <row r="24719" spans="18:19">
      <c r="R24719" s="178"/>
      <c r="S24719" s="178"/>
    </row>
    <row r="24720" spans="18:19">
      <c r="R24720" s="178"/>
      <c r="S24720" s="178"/>
    </row>
    <row r="24721" spans="18:19">
      <c r="R24721" s="178"/>
      <c r="S24721" s="178"/>
    </row>
    <row r="24722" spans="18:19">
      <c r="R24722" s="178"/>
      <c r="S24722" s="178"/>
    </row>
    <row r="24723" spans="18:19">
      <c r="R24723" s="178"/>
      <c r="S24723" s="178"/>
    </row>
    <row r="24724" spans="18:19">
      <c r="R24724" s="178"/>
      <c r="S24724" s="178"/>
    </row>
    <row r="24725" spans="18:19">
      <c r="R24725" s="178"/>
      <c r="S24725" s="178"/>
    </row>
    <row r="24726" spans="18:19">
      <c r="R24726" s="178"/>
      <c r="S24726" s="178"/>
    </row>
    <row r="24727" spans="18:19">
      <c r="R24727" s="178"/>
      <c r="S24727" s="178"/>
    </row>
    <row r="24728" spans="18:19">
      <c r="R24728" s="178"/>
      <c r="S24728" s="178"/>
    </row>
    <row r="24729" spans="18:19">
      <c r="R24729" s="178"/>
      <c r="S24729" s="178"/>
    </row>
    <row r="24730" spans="18:19">
      <c r="R24730" s="178"/>
      <c r="S24730" s="178"/>
    </row>
    <row r="24731" spans="18:19">
      <c r="R24731" s="178"/>
      <c r="S24731" s="178"/>
    </row>
    <row r="24732" spans="18:19">
      <c r="R24732" s="178"/>
      <c r="S24732" s="178"/>
    </row>
    <row r="24733" spans="18:19">
      <c r="R24733" s="178"/>
      <c r="S24733" s="178"/>
    </row>
    <row r="24734" spans="18:19">
      <c r="R24734" s="178"/>
      <c r="S24734" s="178"/>
    </row>
    <row r="24735" spans="18:19">
      <c r="R24735" s="178"/>
      <c r="S24735" s="178"/>
    </row>
    <row r="24736" spans="18:19">
      <c r="R24736" s="178"/>
      <c r="S24736" s="178"/>
    </row>
    <row r="24737" spans="18:19">
      <c r="R24737" s="178"/>
      <c r="S24737" s="178"/>
    </row>
    <row r="24738" spans="18:19">
      <c r="R24738" s="178"/>
      <c r="S24738" s="178"/>
    </row>
    <row r="24739" spans="18:19">
      <c r="R24739" s="178"/>
      <c r="S24739" s="178"/>
    </row>
    <row r="24740" spans="18:19">
      <c r="R24740" s="178"/>
      <c r="S24740" s="178"/>
    </row>
    <row r="24741" spans="18:19">
      <c r="R24741" s="178"/>
      <c r="S24741" s="178"/>
    </row>
    <row r="24742" spans="18:19">
      <c r="R24742" s="178"/>
      <c r="S24742" s="178"/>
    </row>
    <row r="24743" spans="18:19">
      <c r="R24743" s="178"/>
      <c r="S24743" s="178"/>
    </row>
    <row r="24744" spans="18:19">
      <c r="R24744" s="178"/>
      <c r="S24744" s="178"/>
    </row>
    <row r="24745" spans="18:19">
      <c r="R24745" s="178"/>
      <c r="S24745" s="178"/>
    </row>
    <row r="24746" spans="18:19">
      <c r="R24746" s="178"/>
      <c r="S24746" s="178"/>
    </row>
    <row r="24747" spans="18:19">
      <c r="R24747" s="178"/>
      <c r="S24747" s="178"/>
    </row>
    <row r="24748" spans="18:19">
      <c r="R24748" s="178"/>
      <c r="S24748" s="178"/>
    </row>
    <row r="24749" spans="18:19">
      <c r="R24749" s="178"/>
      <c r="S24749" s="178"/>
    </row>
    <row r="24750" spans="18:19">
      <c r="R24750" s="178"/>
      <c r="S24750" s="178"/>
    </row>
    <row r="24751" spans="18:19">
      <c r="R24751" s="178"/>
      <c r="S24751" s="178"/>
    </row>
    <row r="24752" spans="18:19">
      <c r="R24752" s="178"/>
      <c r="S24752" s="178"/>
    </row>
    <row r="24753" spans="18:19">
      <c r="R24753" s="178"/>
      <c r="S24753" s="178"/>
    </row>
    <row r="24754" spans="18:19">
      <c r="R24754" s="178"/>
      <c r="S24754" s="178"/>
    </row>
    <row r="24755" spans="18:19">
      <c r="R24755" s="178"/>
      <c r="S24755" s="178"/>
    </row>
    <row r="24756" spans="18:19">
      <c r="R24756" s="178"/>
      <c r="S24756" s="178"/>
    </row>
    <row r="24757" spans="18:19">
      <c r="R24757" s="178"/>
      <c r="S24757" s="178"/>
    </row>
    <row r="24758" spans="18:19">
      <c r="R24758" s="178"/>
      <c r="S24758" s="178"/>
    </row>
    <row r="24759" spans="18:19">
      <c r="R24759" s="178"/>
      <c r="S24759" s="178"/>
    </row>
    <row r="24760" spans="18:19">
      <c r="R24760" s="178"/>
      <c r="S24760" s="178"/>
    </row>
    <row r="24761" spans="18:19">
      <c r="R24761" s="178"/>
      <c r="S24761" s="178"/>
    </row>
    <row r="24762" spans="18:19">
      <c r="R24762" s="178"/>
      <c r="S24762" s="178"/>
    </row>
    <row r="24763" spans="18:19">
      <c r="R24763" s="178"/>
      <c r="S24763" s="178"/>
    </row>
    <row r="24764" spans="18:19">
      <c r="R24764" s="178"/>
      <c r="S24764" s="178"/>
    </row>
    <row r="24765" spans="18:19">
      <c r="R24765" s="178"/>
      <c r="S24765" s="178"/>
    </row>
    <row r="24766" spans="18:19">
      <c r="R24766" s="178"/>
      <c r="S24766" s="178"/>
    </row>
    <row r="24767" spans="18:19">
      <c r="R24767" s="178"/>
      <c r="S24767" s="178"/>
    </row>
    <row r="24768" spans="18:19">
      <c r="R24768" s="178"/>
      <c r="S24768" s="178"/>
    </row>
    <row r="24769" spans="18:19">
      <c r="R24769" s="178"/>
      <c r="S24769" s="178"/>
    </row>
    <row r="24770" spans="18:19">
      <c r="R24770" s="178"/>
      <c r="S24770" s="178"/>
    </row>
    <row r="24771" spans="18:19">
      <c r="R24771" s="178"/>
      <c r="S24771" s="178"/>
    </row>
    <row r="24772" spans="18:19">
      <c r="R24772" s="178"/>
      <c r="S24772" s="178"/>
    </row>
    <row r="24773" spans="18:19">
      <c r="R24773" s="178"/>
      <c r="S24773" s="178"/>
    </row>
    <row r="24774" spans="18:19">
      <c r="R24774" s="178"/>
      <c r="S24774" s="178"/>
    </row>
    <row r="24775" spans="18:19">
      <c r="R24775" s="178"/>
      <c r="S24775" s="178"/>
    </row>
    <row r="24776" spans="18:19">
      <c r="R24776" s="178"/>
      <c r="S24776" s="178"/>
    </row>
    <row r="24777" spans="18:19">
      <c r="R24777" s="178"/>
      <c r="S24777" s="178"/>
    </row>
    <row r="24778" spans="18:19">
      <c r="R24778" s="178"/>
      <c r="S24778" s="178"/>
    </row>
    <row r="24779" spans="18:19">
      <c r="R24779" s="178"/>
      <c r="S24779" s="178"/>
    </row>
    <row r="24780" spans="18:19">
      <c r="R24780" s="178"/>
      <c r="S24780" s="178"/>
    </row>
    <row r="24781" spans="18:19">
      <c r="R24781" s="178"/>
      <c r="S24781" s="178"/>
    </row>
    <row r="24782" spans="18:19">
      <c r="R24782" s="178"/>
      <c r="S24782" s="178"/>
    </row>
    <row r="24783" spans="18:19">
      <c r="R24783" s="178"/>
      <c r="S24783" s="178"/>
    </row>
    <row r="24784" spans="18:19">
      <c r="R24784" s="178"/>
      <c r="S24784" s="178"/>
    </row>
    <row r="24785" spans="18:19">
      <c r="R24785" s="178"/>
      <c r="S24785" s="178"/>
    </row>
    <row r="24786" spans="18:19">
      <c r="R24786" s="178"/>
      <c r="S24786" s="178"/>
    </row>
    <row r="24787" spans="18:19">
      <c r="R24787" s="178"/>
      <c r="S24787" s="178"/>
    </row>
    <row r="24788" spans="18:19">
      <c r="R24788" s="178"/>
      <c r="S24788" s="178"/>
    </row>
    <row r="24789" spans="18:19">
      <c r="R24789" s="178"/>
      <c r="S24789" s="178"/>
    </row>
    <row r="24790" spans="18:19">
      <c r="R24790" s="178"/>
      <c r="S24790" s="178"/>
    </row>
    <row r="24791" spans="18:19">
      <c r="R24791" s="178"/>
      <c r="S24791" s="178"/>
    </row>
    <row r="24792" spans="18:19">
      <c r="R24792" s="178"/>
      <c r="S24792" s="178"/>
    </row>
    <row r="24793" spans="18:19">
      <c r="R24793" s="178"/>
      <c r="S24793" s="178"/>
    </row>
    <row r="24794" spans="18:19">
      <c r="R24794" s="178"/>
      <c r="S24794" s="178"/>
    </row>
    <row r="24795" spans="18:19">
      <c r="R24795" s="178"/>
      <c r="S24795" s="178"/>
    </row>
    <row r="24796" spans="18:19">
      <c r="R24796" s="178"/>
      <c r="S24796" s="178"/>
    </row>
    <row r="24797" spans="18:19">
      <c r="R24797" s="178"/>
      <c r="S24797" s="178"/>
    </row>
    <row r="24798" spans="18:19">
      <c r="R24798" s="178"/>
      <c r="S24798" s="178"/>
    </row>
    <row r="24799" spans="18:19">
      <c r="R24799" s="178"/>
      <c r="S24799" s="178"/>
    </row>
    <row r="24800" spans="18:19">
      <c r="R24800" s="178"/>
      <c r="S24800" s="178"/>
    </row>
    <row r="24801" spans="18:19">
      <c r="R24801" s="178"/>
      <c r="S24801" s="178"/>
    </row>
    <row r="24802" spans="18:19">
      <c r="R24802" s="178"/>
      <c r="S24802" s="178"/>
    </row>
    <row r="24803" spans="18:19">
      <c r="R24803" s="178"/>
      <c r="S24803" s="178"/>
    </row>
    <row r="24804" spans="18:19">
      <c r="R24804" s="178"/>
      <c r="S24804" s="178"/>
    </row>
    <row r="24805" spans="18:19">
      <c r="R24805" s="178"/>
      <c r="S24805" s="178"/>
    </row>
    <row r="24806" spans="18:19">
      <c r="R24806" s="178"/>
      <c r="S24806" s="178"/>
    </row>
    <row r="24807" spans="18:19">
      <c r="R24807" s="178"/>
      <c r="S24807" s="178"/>
    </row>
    <row r="24808" spans="18:19">
      <c r="R24808" s="178"/>
      <c r="S24808" s="178"/>
    </row>
    <row r="24809" spans="18:19">
      <c r="R24809" s="178"/>
      <c r="S24809" s="178"/>
    </row>
    <row r="24810" spans="18:19">
      <c r="R24810" s="178"/>
      <c r="S24810" s="178"/>
    </row>
    <row r="24811" spans="18:19">
      <c r="R24811" s="178"/>
      <c r="S24811" s="178"/>
    </row>
    <row r="24812" spans="18:19">
      <c r="R24812" s="178"/>
      <c r="S24812" s="178"/>
    </row>
    <row r="24813" spans="18:19">
      <c r="R24813" s="178"/>
      <c r="S24813" s="178"/>
    </row>
    <row r="24814" spans="18:19">
      <c r="R24814" s="178"/>
      <c r="S24814" s="178"/>
    </row>
    <row r="24815" spans="18:19">
      <c r="R24815" s="178"/>
      <c r="S24815" s="178"/>
    </row>
    <row r="24816" spans="18:19">
      <c r="R24816" s="178"/>
      <c r="S24816" s="178"/>
    </row>
    <row r="24817" spans="18:19">
      <c r="R24817" s="178"/>
      <c r="S24817" s="178"/>
    </row>
    <row r="24818" spans="18:19">
      <c r="R24818" s="178"/>
      <c r="S24818" s="178"/>
    </row>
    <row r="24819" spans="18:19">
      <c r="R24819" s="178"/>
      <c r="S24819" s="178"/>
    </row>
    <row r="24820" spans="18:19">
      <c r="R24820" s="178"/>
      <c r="S24820" s="178"/>
    </row>
    <row r="24821" spans="18:19">
      <c r="R24821" s="178"/>
      <c r="S24821" s="178"/>
    </row>
    <row r="24822" spans="18:19">
      <c r="R24822" s="178"/>
      <c r="S24822" s="178"/>
    </row>
    <row r="24823" spans="18:19">
      <c r="R24823" s="178"/>
      <c r="S24823" s="178"/>
    </row>
    <row r="24824" spans="18:19">
      <c r="R24824" s="178"/>
      <c r="S24824" s="178"/>
    </row>
    <row r="24825" spans="18:19">
      <c r="R24825" s="178"/>
      <c r="S24825" s="178"/>
    </row>
    <row r="24826" spans="18:19">
      <c r="R24826" s="178"/>
      <c r="S24826" s="178"/>
    </row>
    <row r="24827" spans="18:19">
      <c r="R24827" s="178"/>
      <c r="S24827" s="178"/>
    </row>
    <row r="24828" spans="18:19">
      <c r="R24828" s="178"/>
      <c r="S24828" s="178"/>
    </row>
    <row r="24829" spans="18:19">
      <c r="R24829" s="178"/>
      <c r="S24829" s="178"/>
    </row>
    <row r="24830" spans="18:19">
      <c r="R24830" s="178"/>
      <c r="S24830" s="178"/>
    </row>
    <row r="24831" spans="18:19">
      <c r="R24831" s="178"/>
      <c r="S24831" s="178"/>
    </row>
    <row r="24832" spans="18:19">
      <c r="R24832" s="178"/>
      <c r="S24832" s="178"/>
    </row>
    <row r="24833" spans="18:19">
      <c r="R24833" s="178"/>
      <c r="S24833" s="178"/>
    </row>
    <row r="24834" spans="18:19">
      <c r="R24834" s="178"/>
      <c r="S24834" s="178"/>
    </row>
    <row r="24835" spans="18:19">
      <c r="R24835" s="178"/>
      <c r="S24835" s="178"/>
    </row>
    <row r="24836" spans="18:19">
      <c r="R24836" s="178"/>
      <c r="S24836" s="178"/>
    </row>
    <row r="24837" spans="18:19">
      <c r="R24837" s="178"/>
      <c r="S24837" s="178"/>
    </row>
    <row r="24838" spans="18:19">
      <c r="R24838" s="178"/>
      <c r="S24838" s="178"/>
    </row>
    <row r="24839" spans="18:19">
      <c r="R24839" s="178"/>
      <c r="S24839" s="178"/>
    </row>
    <row r="24840" spans="18:19">
      <c r="R24840" s="178"/>
      <c r="S24840" s="178"/>
    </row>
    <row r="24841" spans="18:19">
      <c r="R24841" s="178"/>
      <c r="S24841" s="178"/>
    </row>
    <row r="24842" spans="18:19">
      <c r="R24842" s="178"/>
      <c r="S24842" s="178"/>
    </row>
    <row r="24843" spans="18:19">
      <c r="R24843" s="178"/>
      <c r="S24843" s="178"/>
    </row>
    <row r="24844" spans="18:19">
      <c r="R24844" s="178"/>
      <c r="S24844" s="178"/>
    </row>
    <row r="24845" spans="18:19">
      <c r="R24845" s="178"/>
      <c r="S24845" s="178"/>
    </row>
    <row r="24846" spans="18:19">
      <c r="R24846" s="178"/>
      <c r="S24846" s="178"/>
    </row>
    <row r="24847" spans="18:19">
      <c r="R24847" s="178"/>
      <c r="S24847" s="178"/>
    </row>
    <row r="24848" spans="18:19">
      <c r="R24848" s="178"/>
      <c r="S24848" s="178"/>
    </row>
    <row r="24849" spans="18:19">
      <c r="R24849" s="178"/>
      <c r="S24849" s="178"/>
    </row>
    <row r="24850" spans="18:19">
      <c r="R24850" s="178"/>
      <c r="S24850" s="178"/>
    </row>
    <row r="24851" spans="18:19">
      <c r="R24851" s="178"/>
      <c r="S24851" s="178"/>
    </row>
    <row r="24852" spans="18:19">
      <c r="R24852" s="178"/>
      <c r="S24852" s="178"/>
    </row>
    <row r="24853" spans="18:19">
      <c r="R24853" s="178"/>
      <c r="S24853" s="178"/>
    </row>
    <row r="24854" spans="18:19">
      <c r="R24854" s="178"/>
      <c r="S24854" s="178"/>
    </row>
    <row r="24855" spans="18:19">
      <c r="R24855" s="178"/>
      <c r="S24855" s="178"/>
    </row>
    <row r="24856" spans="18:19">
      <c r="R24856" s="178"/>
      <c r="S24856" s="178"/>
    </row>
    <row r="24857" spans="18:19">
      <c r="R24857" s="178"/>
      <c r="S24857" s="178"/>
    </row>
    <row r="24858" spans="18:19">
      <c r="R24858" s="178"/>
      <c r="S24858" s="178"/>
    </row>
    <row r="24859" spans="18:19">
      <c r="R24859" s="178"/>
      <c r="S24859" s="178"/>
    </row>
    <row r="24860" spans="18:19">
      <c r="R24860" s="178"/>
      <c r="S24860" s="178"/>
    </row>
    <row r="24861" spans="18:19">
      <c r="R24861" s="178"/>
      <c r="S24861" s="178"/>
    </row>
    <row r="24862" spans="18:19">
      <c r="R24862" s="178"/>
      <c r="S24862" s="178"/>
    </row>
    <row r="24863" spans="18:19">
      <c r="R24863" s="178"/>
      <c r="S24863" s="178"/>
    </row>
    <row r="24864" spans="18:19">
      <c r="R24864" s="178"/>
      <c r="S24864" s="178"/>
    </row>
    <row r="24865" spans="18:19">
      <c r="R24865" s="178"/>
      <c r="S24865" s="178"/>
    </row>
    <row r="24866" spans="18:19">
      <c r="R24866" s="178"/>
      <c r="S24866" s="178"/>
    </row>
    <row r="24867" spans="18:19">
      <c r="R24867" s="178"/>
      <c r="S24867" s="178"/>
    </row>
    <row r="24868" spans="18:19">
      <c r="R24868" s="178"/>
      <c r="S24868" s="178"/>
    </row>
    <row r="24869" spans="18:19">
      <c r="R24869" s="178"/>
      <c r="S24869" s="178"/>
    </row>
    <row r="24870" spans="18:19">
      <c r="R24870" s="178"/>
      <c r="S24870" s="178"/>
    </row>
    <row r="24871" spans="18:19">
      <c r="R24871" s="178"/>
      <c r="S24871" s="178"/>
    </row>
    <row r="24872" spans="18:19">
      <c r="R24872" s="178"/>
      <c r="S24872" s="178"/>
    </row>
    <row r="24873" spans="18:19">
      <c r="R24873" s="178"/>
      <c r="S24873" s="178"/>
    </row>
    <row r="24874" spans="18:19">
      <c r="R24874" s="178"/>
      <c r="S24874" s="178"/>
    </row>
    <row r="24875" spans="18:19">
      <c r="R24875" s="178"/>
      <c r="S24875" s="178"/>
    </row>
    <row r="24876" spans="18:19">
      <c r="R24876" s="178"/>
      <c r="S24876" s="178"/>
    </row>
    <row r="24877" spans="18:19">
      <c r="R24877" s="178"/>
      <c r="S24877" s="178"/>
    </row>
    <row r="24878" spans="18:19">
      <c r="R24878" s="178"/>
      <c r="S24878" s="178"/>
    </row>
    <row r="24879" spans="18:19">
      <c r="R24879" s="178"/>
      <c r="S24879" s="178"/>
    </row>
    <row r="24880" spans="18:19">
      <c r="R24880" s="178"/>
      <c r="S24880" s="178"/>
    </row>
    <row r="24881" spans="18:19">
      <c r="R24881" s="178"/>
      <c r="S24881" s="178"/>
    </row>
    <row r="24882" spans="18:19">
      <c r="R24882" s="178"/>
      <c r="S24882" s="178"/>
    </row>
    <row r="24883" spans="18:19">
      <c r="R24883" s="178"/>
      <c r="S24883" s="178"/>
    </row>
    <row r="24884" spans="18:19">
      <c r="R24884" s="178"/>
      <c r="S24884" s="178"/>
    </row>
    <row r="24885" spans="18:19">
      <c r="R24885" s="178"/>
      <c r="S24885" s="178"/>
    </row>
    <row r="24886" spans="18:19">
      <c r="R24886" s="178"/>
      <c r="S24886" s="178"/>
    </row>
    <row r="24887" spans="18:19">
      <c r="R24887" s="178"/>
      <c r="S24887" s="178"/>
    </row>
    <row r="24888" spans="18:19">
      <c r="R24888" s="178"/>
      <c r="S24888" s="178"/>
    </row>
    <row r="24889" spans="18:19">
      <c r="R24889" s="178"/>
      <c r="S24889" s="178"/>
    </row>
    <row r="24890" spans="18:19">
      <c r="R24890" s="178"/>
      <c r="S24890" s="178"/>
    </row>
    <row r="24891" spans="18:19">
      <c r="R24891" s="178"/>
      <c r="S24891" s="178"/>
    </row>
    <row r="24892" spans="18:19">
      <c r="R24892" s="178"/>
      <c r="S24892" s="178"/>
    </row>
    <row r="24893" spans="18:19">
      <c r="R24893" s="178"/>
      <c r="S24893" s="178"/>
    </row>
    <row r="24894" spans="18:19">
      <c r="R24894" s="178"/>
      <c r="S24894" s="178"/>
    </row>
    <row r="24895" spans="18:19">
      <c r="R24895" s="178"/>
      <c r="S24895" s="178"/>
    </row>
    <row r="24896" spans="18:19">
      <c r="R24896" s="178"/>
      <c r="S24896" s="178"/>
    </row>
    <row r="24897" spans="18:19">
      <c r="R24897" s="178"/>
      <c r="S24897" s="178"/>
    </row>
    <row r="24898" spans="18:19">
      <c r="R24898" s="178"/>
      <c r="S24898" s="178"/>
    </row>
    <row r="24899" spans="18:19">
      <c r="R24899" s="178"/>
      <c r="S24899" s="178"/>
    </row>
    <row r="24900" spans="18:19">
      <c r="R24900" s="178"/>
      <c r="S24900" s="178"/>
    </row>
    <row r="24901" spans="18:19">
      <c r="R24901" s="178"/>
      <c r="S24901" s="178"/>
    </row>
    <row r="24902" spans="18:19">
      <c r="R24902" s="178"/>
      <c r="S24902" s="178"/>
    </row>
    <row r="24903" spans="18:19">
      <c r="R24903" s="178"/>
      <c r="S24903" s="178"/>
    </row>
    <row r="24904" spans="18:19">
      <c r="R24904" s="178"/>
      <c r="S24904" s="178"/>
    </row>
    <row r="24905" spans="18:19">
      <c r="R24905" s="178"/>
      <c r="S24905" s="178"/>
    </row>
    <row r="24906" spans="18:19">
      <c r="R24906" s="178"/>
      <c r="S24906" s="178"/>
    </row>
    <row r="24907" spans="18:19">
      <c r="R24907" s="178"/>
      <c r="S24907" s="178"/>
    </row>
    <row r="24908" spans="18:19">
      <c r="R24908" s="178"/>
      <c r="S24908" s="178"/>
    </row>
    <row r="24909" spans="18:19">
      <c r="R24909" s="178"/>
      <c r="S24909" s="178"/>
    </row>
    <row r="24910" spans="18:19">
      <c r="R24910" s="178"/>
      <c r="S24910" s="178"/>
    </row>
    <row r="24911" spans="18:19">
      <c r="R24911" s="178"/>
      <c r="S24911" s="178"/>
    </row>
    <row r="24912" spans="18:19">
      <c r="R24912" s="178"/>
      <c r="S24912" s="178"/>
    </row>
    <row r="24913" spans="18:19">
      <c r="R24913" s="178"/>
      <c r="S24913" s="178"/>
    </row>
    <row r="24914" spans="18:19">
      <c r="R24914" s="178"/>
      <c r="S24914" s="178"/>
    </row>
    <row r="24915" spans="18:19">
      <c r="R24915" s="178"/>
      <c r="S24915" s="178"/>
    </row>
    <row r="24916" spans="18:19">
      <c r="R24916" s="178"/>
      <c r="S24916" s="178"/>
    </row>
    <row r="24917" spans="18:19">
      <c r="R24917" s="178"/>
      <c r="S24917" s="178"/>
    </row>
    <row r="24918" spans="18:19">
      <c r="R24918" s="178"/>
      <c r="S24918" s="178"/>
    </row>
    <row r="24919" spans="18:19">
      <c r="R24919" s="178"/>
      <c r="S24919" s="178"/>
    </row>
    <row r="24920" spans="18:19">
      <c r="R24920" s="178"/>
      <c r="S24920" s="178"/>
    </row>
    <row r="24921" spans="18:19">
      <c r="R24921" s="178"/>
      <c r="S24921" s="178"/>
    </row>
    <row r="24922" spans="18:19">
      <c r="R24922" s="178"/>
      <c r="S24922" s="178"/>
    </row>
    <row r="24923" spans="18:19">
      <c r="R24923" s="178"/>
      <c r="S24923" s="178"/>
    </row>
    <row r="24924" spans="18:19">
      <c r="R24924" s="178"/>
      <c r="S24924" s="178"/>
    </row>
    <row r="24925" spans="18:19">
      <c r="R24925" s="178"/>
      <c r="S24925" s="178"/>
    </row>
    <row r="24926" spans="18:19">
      <c r="R24926" s="178"/>
      <c r="S24926" s="178"/>
    </row>
    <row r="24927" spans="18:19">
      <c r="R24927" s="178"/>
      <c r="S24927" s="178"/>
    </row>
    <row r="24928" spans="18:19">
      <c r="R24928" s="178"/>
      <c r="S24928" s="178"/>
    </row>
    <row r="24929" spans="18:19">
      <c r="R24929" s="178"/>
      <c r="S24929" s="178"/>
    </row>
    <row r="24930" spans="18:19">
      <c r="R24930" s="178"/>
      <c r="S24930" s="178"/>
    </row>
    <row r="24931" spans="18:19">
      <c r="R24931" s="178"/>
      <c r="S24931" s="178"/>
    </row>
    <row r="24932" spans="18:19">
      <c r="R24932" s="178"/>
      <c r="S24932" s="178"/>
    </row>
    <row r="24933" spans="18:19">
      <c r="R24933" s="178"/>
      <c r="S24933" s="178"/>
    </row>
    <row r="24934" spans="18:19">
      <c r="R24934" s="178"/>
      <c r="S24934" s="178"/>
    </row>
    <row r="24935" spans="18:19">
      <c r="R24935" s="178"/>
      <c r="S24935" s="178"/>
    </row>
    <row r="24936" spans="18:19">
      <c r="R24936" s="178"/>
      <c r="S24936" s="178"/>
    </row>
    <row r="24937" spans="18:19">
      <c r="R24937" s="178"/>
      <c r="S24937" s="178"/>
    </row>
    <row r="24938" spans="18:19">
      <c r="R24938" s="178"/>
      <c r="S24938" s="178"/>
    </row>
    <row r="24939" spans="18:19">
      <c r="R24939" s="178"/>
      <c r="S24939" s="178"/>
    </row>
    <row r="24940" spans="18:19">
      <c r="R24940" s="178"/>
      <c r="S24940" s="178"/>
    </row>
    <row r="24941" spans="18:19">
      <c r="R24941" s="178"/>
      <c r="S24941" s="178"/>
    </row>
    <row r="24942" spans="18:19">
      <c r="R24942" s="178"/>
      <c r="S24942" s="178"/>
    </row>
    <row r="24943" spans="18:19">
      <c r="R24943" s="178"/>
      <c r="S24943" s="178"/>
    </row>
    <row r="24944" spans="18:19">
      <c r="R24944" s="178"/>
      <c r="S24944" s="178"/>
    </row>
    <row r="24945" spans="18:19">
      <c r="R24945" s="178"/>
      <c r="S24945" s="178"/>
    </row>
    <row r="24946" spans="18:19">
      <c r="R24946" s="178"/>
      <c r="S24946" s="178"/>
    </row>
    <row r="24947" spans="18:19">
      <c r="R24947" s="178"/>
      <c r="S24947" s="178"/>
    </row>
    <row r="24948" spans="18:19">
      <c r="R24948" s="178"/>
      <c r="S24948" s="178"/>
    </row>
    <row r="24949" spans="18:19">
      <c r="R24949" s="178"/>
      <c r="S24949" s="178"/>
    </row>
    <row r="24950" spans="18:19">
      <c r="R24950" s="178"/>
      <c r="S24950" s="178"/>
    </row>
    <row r="24951" spans="18:19">
      <c r="R24951" s="178"/>
      <c r="S24951" s="178"/>
    </row>
    <row r="24952" spans="18:19">
      <c r="R24952" s="178"/>
      <c r="S24952" s="178"/>
    </row>
    <row r="24953" spans="18:19">
      <c r="R24953" s="178"/>
      <c r="S24953" s="178"/>
    </row>
    <row r="24954" spans="18:19">
      <c r="R24954" s="178"/>
      <c r="S24954" s="178"/>
    </row>
    <row r="24955" spans="18:19">
      <c r="R24955" s="178"/>
      <c r="S24955" s="178"/>
    </row>
    <row r="24956" spans="18:19">
      <c r="R24956" s="178"/>
      <c r="S24956" s="178"/>
    </row>
    <row r="24957" spans="18:19">
      <c r="R24957" s="178"/>
      <c r="S24957" s="178"/>
    </row>
    <row r="24958" spans="18:19">
      <c r="R24958" s="178"/>
      <c r="S24958" s="178"/>
    </row>
    <row r="24959" spans="18:19">
      <c r="R24959" s="178"/>
      <c r="S24959" s="178"/>
    </row>
    <row r="24960" spans="18:19">
      <c r="R24960" s="178"/>
      <c r="S24960" s="178"/>
    </row>
    <row r="24961" spans="18:19">
      <c r="R24961" s="178"/>
      <c r="S24961" s="178"/>
    </row>
    <row r="24962" spans="18:19">
      <c r="R24962" s="178"/>
      <c r="S24962" s="178"/>
    </row>
    <row r="24963" spans="18:19">
      <c r="R24963" s="178"/>
      <c r="S24963" s="178"/>
    </row>
    <row r="24964" spans="18:19">
      <c r="R24964" s="178"/>
      <c r="S24964" s="178"/>
    </row>
    <row r="24965" spans="18:19">
      <c r="R24965" s="178"/>
      <c r="S24965" s="178"/>
    </row>
    <row r="24966" spans="18:19">
      <c r="R24966" s="178"/>
      <c r="S24966" s="178"/>
    </row>
    <row r="24967" spans="18:19">
      <c r="R24967" s="178"/>
      <c r="S24967" s="178"/>
    </row>
    <row r="24968" spans="18:19">
      <c r="R24968" s="178"/>
      <c r="S24968" s="178"/>
    </row>
    <row r="24969" spans="18:19">
      <c r="R24969" s="178"/>
      <c r="S24969" s="178"/>
    </row>
    <row r="24970" spans="18:19">
      <c r="R24970" s="178"/>
      <c r="S24970" s="178"/>
    </row>
    <row r="24971" spans="18:19">
      <c r="R24971" s="178"/>
      <c r="S24971" s="178"/>
    </row>
    <row r="24972" spans="18:19">
      <c r="R24972" s="178"/>
      <c r="S24972" s="178"/>
    </row>
    <row r="24973" spans="18:19">
      <c r="R24973" s="178"/>
      <c r="S24973" s="178"/>
    </row>
    <row r="24974" spans="18:19">
      <c r="R24974" s="178"/>
      <c r="S24974" s="178"/>
    </row>
    <row r="24975" spans="18:19">
      <c r="R24975" s="178"/>
      <c r="S24975" s="178"/>
    </row>
    <row r="24976" spans="18:19">
      <c r="R24976" s="178"/>
      <c r="S24976" s="178"/>
    </row>
    <row r="24977" spans="18:19">
      <c r="R24977" s="178"/>
      <c r="S24977" s="178"/>
    </row>
    <row r="24978" spans="18:19">
      <c r="R24978" s="178"/>
      <c r="S24978" s="178"/>
    </row>
    <row r="24979" spans="18:19">
      <c r="R24979" s="178"/>
      <c r="S24979" s="178"/>
    </row>
    <row r="24980" spans="18:19">
      <c r="R24980" s="178"/>
      <c r="S24980" s="178"/>
    </row>
    <row r="24981" spans="18:19">
      <c r="R24981" s="178"/>
      <c r="S24981" s="178"/>
    </row>
    <row r="24982" spans="18:19">
      <c r="R24982" s="178"/>
      <c r="S24982" s="178"/>
    </row>
    <row r="24983" spans="18:19">
      <c r="R24983" s="178"/>
      <c r="S24983" s="178"/>
    </row>
    <row r="24984" spans="18:19">
      <c r="R24984" s="178"/>
      <c r="S24984" s="178"/>
    </row>
    <row r="24985" spans="18:19">
      <c r="R24985" s="178"/>
      <c r="S24985" s="178"/>
    </row>
    <row r="24986" spans="18:19">
      <c r="R24986" s="178"/>
      <c r="S24986" s="178"/>
    </row>
    <row r="24987" spans="18:19">
      <c r="R24987" s="178"/>
      <c r="S24987" s="178"/>
    </row>
    <row r="24988" spans="18:19">
      <c r="R24988" s="178"/>
      <c r="S24988" s="178"/>
    </row>
    <row r="24989" spans="18:19">
      <c r="R24989" s="178"/>
      <c r="S24989" s="178"/>
    </row>
    <row r="24990" spans="18:19">
      <c r="R24990" s="178"/>
      <c r="S24990" s="178"/>
    </row>
    <row r="24991" spans="18:19">
      <c r="R24991" s="178"/>
      <c r="S24991" s="178"/>
    </row>
    <row r="24992" spans="18:19">
      <c r="R24992" s="178"/>
      <c r="S24992" s="178"/>
    </row>
    <row r="24993" spans="18:19">
      <c r="R24993" s="178"/>
      <c r="S24993" s="178"/>
    </row>
    <row r="24994" spans="18:19">
      <c r="R24994" s="178"/>
      <c r="S24994" s="178"/>
    </row>
    <row r="24995" spans="18:19">
      <c r="R24995" s="178"/>
      <c r="S24995" s="178"/>
    </row>
    <row r="24996" spans="18:19">
      <c r="R24996" s="178"/>
      <c r="S24996" s="178"/>
    </row>
    <row r="24997" spans="18:19">
      <c r="R24997" s="178"/>
      <c r="S24997" s="178"/>
    </row>
    <row r="24998" spans="18:19">
      <c r="R24998" s="178"/>
      <c r="S24998" s="178"/>
    </row>
    <row r="24999" spans="18:19">
      <c r="R24999" s="178"/>
      <c r="S24999" s="178"/>
    </row>
    <row r="25000" spans="18:19">
      <c r="R25000" s="178"/>
      <c r="S25000" s="178"/>
    </row>
    <row r="25001" spans="18:19">
      <c r="R25001" s="178"/>
      <c r="S25001" s="178"/>
    </row>
    <row r="25002" spans="18:19">
      <c r="R25002" s="178"/>
      <c r="S25002" s="178"/>
    </row>
    <row r="25003" spans="18:19">
      <c r="R25003" s="178"/>
      <c r="S25003" s="178"/>
    </row>
    <row r="25004" spans="18:19">
      <c r="R25004" s="178"/>
      <c r="S25004" s="178"/>
    </row>
    <row r="25005" spans="18:19">
      <c r="R25005" s="178"/>
      <c r="S25005" s="178"/>
    </row>
    <row r="25006" spans="18:19">
      <c r="R25006" s="178"/>
      <c r="S25006" s="178"/>
    </row>
    <row r="25007" spans="18:19">
      <c r="R25007" s="178"/>
      <c r="S25007" s="178"/>
    </row>
    <row r="25008" spans="18:19">
      <c r="R25008" s="178"/>
      <c r="S25008" s="178"/>
    </row>
    <row r="25009" spans="18:19">
      <c r="R25009" s="178"/>
      <c r="S25009" s="178"/>
    </row>
    <row r="25010" spans="18:19">
      <c r="R25010" s="178"/>
      <c r="S25010" s="178"/>
    </row>
    <row r="25011" spans="18:19">
      <c r="R25011" s="178"/>
      <c r="S25011" s="178"/>
    </row>
    <row r="25012" spans="18:19">
      <c r="R25012" s="178"/>
      <c r="S25012" s="178"/>
    </row>
    <row r="25013" spans="18:19">
      <c r="R25013" s="178"/>
      <c r="S25013" s="178"/>
    </row>
    <row r="25014" spans="18:19">
      <c r="R25014" s="178"/>
      <c r="S25014" s="178"/>
    </row>
    <row r="25015" spans="18:19">
      <c r="R25015" s="178"/>
      <c r="S25015" s="178"/>
    </row>
    <row r="25016" spans="18:19">
      <c r="R25016" s="178"/>
      <c r="S25016" s="178"/>
    </row>
    <row r="25017" spans="18:19">
      <c r="R25017" s="178"/>
      <c r="S25017" s="178"/>
    </row>
    <row r="25018" spans="18:19">
      <c r="R25018" s="178"/>
      <c r="S25018" s="178"/>
    </row>
    <row r="25019" spans="18:19">
      <c r="R25019" s="178"/>
      <c r="S25019" s="178"/>
    </row>
    <row r="25020" spans="18:19">
      <c r="R25020" s="178"/>
      <c r="S25020" s="178"/>
    </row>
    <row r="25021" spans="18:19">
      <c r="R25021" s="178"/>
      <c r="S25021" s="178"/>
    </row>
    <row r="25022" spans="18:19">
      <c r="R25022" s="178"/>
      <c r="S25022" s="178"/>
    </row>
    <row r="25023" spans="18:19">
      <c r="R25023" s="178"/>
      <c r="S25023" s="178"/>
    </row>
    <row r="25024" spans="18:19">
      <c r="R25024" s="178"/>
      <c r="S25024" s="178"/>
    </row>
    <row r="25025" spans="18:19">
      <c r="R25025" s="178"/>
      <c r="S25025" s="178"/>
    </row>
    <row r="25026" spans="18:19">
      <c r="R25026" s="178"/>
      <c r="S25026" s="178"/>
    </row>
    <row r="25027" spans="18:19">
      <c r="R25027" s="178"/>
      <c r="S25027" s="178"/>
    </row>
    <row r="25028" spans="18:19">
      <c r="R25028" s="178"/>
      <c r="S25028" s="178"/>
    </row>
    <row r="25029" spans="18:19">
      <c r="R25029" s="178"/>
      <c r="S25029" s="178"/>
    </row>
    <row r="25030" spans="18:19">
      <c r="R25030" s="178"/>
      <c r="S25030" s="178"/>
    </row>
    <row r="25031" spans="18:19">
      <c r="R25031" s="178"/>
      <c r="S25031" s="178"/>
    </row>
    <row r="25032" spans="18:19">
      <c r="R25032" s="178"/>
      <c r="S25032" s="178"/>
    </row>
    <row r="25033" spans="18:19">
      <c r="R25033" s="178"/>
      <c r="S25033" s="178"/>
    </row>
    <row r="25034" spans="18:19">
      <c r="R25034" s="178"/>
      <c r="S25034" s="178"/>
    </row>
    <row r="25035" spans="18:19">
      <c r="R25035" s="178"/>
      <c r="S25035" s="178"/>
    </row>
    <row r="25036" spans="18:19">
      <c r="R25036" s="178"/>
      <c r="S25036" s="178"/>
    </row>
    <row r="25037" spans="18:19">
      <c r="R25037" s="178"/>
      <c r="S25037" s="178"/>
    </row>
    <row r="25038" spans="18:19">
      <c r="R25038" s="178"/>
      <c r="S25038" s="178"/>
    </row>
    <row r="25039" spans="18:19">
      <c r="R25039" s="178"/>
      <c r="S25039" s="178"/>
    </row>
    <row r="25040" spans="18:19">
      <c r="R25040" s="178"/>
      <c r="S25040" s="178"/>
    </row>
    <row r="25041" spans="18:19">
      <c r="R25041" s="178"/>
      <c r="S25041" s="178"/>
    </row>
    <row r="25042" spans="18:19">
      <c r="R25042" s="178"/>
      <c r="S25042" s="178"/>
    </row>
    <row r="25043" spans="18:19">
      <c r="R25043" s="178"/>
      <c r="S25043" s="178"/>
    </row>
    <row r="25044" spans="18:19">
      <c r="R25044" s="178"/>
      <c r="S25044" s="178"/>
    </row>
    <row r="25045" spans="18:19">
      <c r="R25045" s="178"/>
      <c r="S25045" s="178"/>
    </row>
    <row r="25046" spans="18:19">
      <c r="R25046" s="178"/>
      <c r="S25046" s="178"/>
    </row>
    <row r="25047" spans="18:19">
      <c r="R25047" s="178"/>
      <c r="S25047" s="178"/>
    </row>
    <row r="25048" spans="18:19">
      <c r="R25048" s="178"/>
      <c r="S25048" s="178"/>
    </row>
    <row r="25049" spans="18:19">
      <c r="R25049" s="178"/>
      <c r="S25049" s="178"/>
    </row>
    <row r="25050" spans="18:19">
      <c r="R25050" s="178"/>
      <c r="S25050" s="178"/>
    </row>
    <row r="25051" spans="18:19">
      <c r="R25051" s="178"/>
      <c r="S25051" s="178"/>
    </row>
    <row r="25052" spans="18:19">
      <c r="R25052" s="178"/>
      <c r="S25052" s="178"/>
    </row>
    <row r="25053" spans="18:19">
      <c r="R25053" s="178"/>
      <c r="S25053" s="178"/>
    </row>
    <row r="25054" spans="18:19">
      <c r="R25054" s="178"/>
      <c r="S25054" s="178"/>
    </row>
    <row r="25055" spans="18:19">
      <c r="R25055" s="178"/>
      <c r="S25055" s="178"/>
    </row>
    <row r="25056" spans="18:19">
      <c r="R25056" s="178"/>
      <c r="S25056" s="178"/>
    </row>
    <row r="25057" spans="18:19">
      <c r="R25057" s="178"/>
      <c r="S25057" s="178"/>
    </row>
    <row r="25058" spans="18:19">
      <c r="R25058" s="178"/>
      <c r="S25058" s="178"/>
    </row>
    <row r="25059" spans="18:19">
      <c r="R25059" s="178"/>
      <c r="S25059" s="178"/>
    </row>
    <row r="25060" spans="18:19">
      <c r="R25060" s="178"/>
      <c r="S25060" s="178"/>
    </row>
    <row r="25061" spans="18:19">
      <c r="R25061" s="178"/>
      <c r="S25061" s="178"/>
    </row>
    <row r="25062" spans="18:19">
      <c r="R25062" s="178"/>
      <c r="S25062" s="178"/>
    </row>
    <row r="25063" spans="18:19">
      <c r="R25063" s="178"/>
      <c r="S25063" s="178"/>
    </row>
    <row r="25064" spans="18:19">
      <c r="R25064" s="178"/>
      <c r="S25064" s="178"/>
    </row>
    <row r="25065" spans="18:19">
      <c r="R25065" s="178"/>
      <c r="S25065" s="178"/>
    </row>
    <row r="25066" spans="18:19">
      <c r="R25066" s="178"/>
      <c r="S25066" s="178"/>
    </row>
    <row r="25067" spans="18:19">
      <c r="R25067" s="178"/>
      <c r="S25067" s="178"/>
    </row>
    <row r="25068" spans="18:19">
      <c r="R25068" s="178"/>
      <c r="S25068" s="178"/>
    </row>
    <row r="25069" spans="18:19">
      <c r="R25069" s="178"/>
      <c r="S25069" s="178"/>
    </row>
    <row r="25070" spans="18:19">
      <c r="R25070" s="178"/>
      <c r="S25070" s="178"/>
    </row>
    <row r="25071" spans="18:19">
      <c r="R25071" s="178"/>
      <c r="S25071" s="178"/>
    </row>
    <row r="25072" spans="18:19">
      <c r="R25072" s="178"/>
      <c r="S25072" s="178"/>
    </row>
    <row r="25073" spans="18:19">
      <c r="R25073" s="178"/>
      <c r="S25073" s="178"/>
    </row>
    <row r="25074" spans="18:19">
      <c r="R25074" s="178"/>
      <c r="S25074" s="178"/>
    </row>
    <row r="25075" spans="18:19">
      <c r="R25075" s="178"/>
      <c r="S25075" s="178"/>
    </row>
    <row r="25076" spans="18:19">
      <c r="R25076" s="178"/>
      <c r="S25076" s="178"/>
    </row>
    <row r="25077" spans="18:19">
      <c r="R25077" s="178"/>
      <c r="S25077" s="178"/>
    </row>
    <row r="25078" spans="18:19">
      <c r="R25078" s="178"/>
      <c r="S25078" s="178"/>
    </row>
    <row r="25079" spans="18:19">
      <c r="R25079" s="178"/>
      <c r="S25079" s="178"/>
    </row>
    <row r="25080" spans="18:19">
      <c r="R25080" s="178"/>
      <c r="S25080" s="178"/>
    </row>
    <row r="25081" spans="18:19">
      <c r="R25081" s="178"/>
      <c r="S25081" s="178"/>
    </row>
    <row r="25082" spans="18:19">
      <c r="R25082" s="178"/>
      <c r="S25082" s="178"/>
    </row>
    <row r="25083" spans="18:19">
      <c r="R25083" s="178"/>
      <c r="S25083" s="178"/>
    </row>
    <row r="25084" spans="18:19">
      <c r="R25084" s="178"/>
      <c r="S25084" s="178"/>
    </row>
    <row r="25085" spans="18:19">
      <c r="R25085" s="178"/>
      <c r="S25085" s="178"/>
    </row>
    <row r="25086" spans="18:19">
      <c r="R25086" s="178"/>
      <c r="S25086" s="178"/>
    </row>
    <row r="25087" spans="18:19">
      <c r="R25087" s="178"/>
      <c r="S25087" s="178"/>
    </row>
    <row r="25088" spans="18:19">
      <c r="R25088" s="178"/>
      <c r="S25088" s="178"/>
    </row>
    <row r="25089" spans="18:19">
      <c r="R25089" s="178"/>
      <c r="S25089" s="178"/>
    </row>
    <row r="25090" spans="18:19">
      <c r="R25090" s="178"/>
      <c r="S25090" s="178"/>
    </row>
    <row r="25091" spans="18:19">
      <c r="R25091" s="178"/>
      <c r="S25091" s="178"/>
    </row>
    <row r="25092" spans="18:19">
      <c r="R25092" s="178"/>
      <c r="S25092" s="178"/>
    </row>
    <row r="25093" spans="18:19">
      <c r="R25093" s="178"/>
      <c r="S25093" s="178"/>
    </row>
    <row r="25094" spans="18:19">
      <c r="R25094" s="178"/>
      <c r="S25094" s="178"/>
    </row>
    <row r="25095" spans="18:19">
      <c r="R25095" s="178"/>
      <c r="S25095" s="178"/>
    </row>
    <row r="25096" spans="18:19">
      <c r="R25096" s="178"/>
      <c r="S25096" s="178"/>
    </row>
    <row r="25097" spans="18:19">
      <c r="R25097" s="178"/>
      <c r="S25097" s="178"/>
    </row>
    <row r="25098" spans="18:19">
      <c r="R25098" s="178"/>
      <c r="S25098" s="178"/>
    </row>
    <row r="25099" spans="18:19">
      <c r="R25099" s="178"/>
      <c r="S25099" s="178"/>
    </row>
    <row r="25100" spans="18:19">
      <c r="R25100" s="178"/>
      <c r="S25100" s="178"/>
    </row>
    <row r="25101" spans="18:19">
      <c r="R25101" s="178"/>
      <c r="S25101" s="178"/>
    </row>
    <row r="25102" spans="18:19">
      <c r="R25102" s="178"/>
      <c r="S25102" s="178"/>
    </row>
    <row r="25103" spans="18:19">
      <c r="R25103" s="178"/>
      <c r="S25103" s="178"/>
    </row>
    <row r="25104" spans="18:19">
      <c r="R25104" s="178"/>
      <c r="S25104" s="178"/>
    </row>
    <row r="25105" spans="18:19">
      <c r="R25105" s="178"/>
      <c r="S25105" s="178"/>
    </row>
    <row r="25106" spans="18:19">
      <c r="R25106" s="178"/>
      <c r="S25106" s="178"/>
    </row>
    <row r="25107" spans="18:19">
      <c r="R25107" s="178"/>
      <c r="S25107" s="178"/>
    </row>
    <row r="25108" spans="18:19">
      <c r="R25108" s="178"/>
      <c r="S25108" s="178"/>
    </row>
    <row r="25109" spans="18:19">
      <c r="R25109" s="178"/>
      <c r="S25109" s="178"/>
    </row>
    <row r="25110" spans="18:19">
      <c r="R25110" s="178"/>
      <c r="S25110" s="178"/>
    </row>
    <row r="25111" spans="18:19">
      <c r="R25111" s="178"/>
      <c r="S25111" s="178"/>
    </row>
    <row r="25112" spans="18:19">
      <c r="R25112" s="178"/>
      <c r="S25112" s="178"/>
    </row>
    <row r="25113" spans="18:19">
      <c r="R25113" s="178"/>
      <c r="S25113" s="178"/>
    </row>
    <row r="25114" spans="18:19">
      <c r="R25114" s="178"/>
      <c r="S25114" s="178"/>
    </row>
    <row r="25115" spans="18:19">
      <c r="R25115" s="178"/>
      <c r="S25115" s="178"/>
    </row>
    <row r="25116" spans="18:19">
      <c r="R25116" s="178"/>
      <c r="S25116" s="178"/>
    </row>
    <row r="25117" spans="18:19">
      <c r="R25117" s="178"/>
      <c r="S25117" s="178"/>
    </row>
    <row r="25118" spans="18:19">
      <c r="R25118" s="178"/>
      <c r="S25118" s="178"/>
    </row>
    <row r="25119" spans="18:19">
      <c r="R25119" s="178"/>
      <c r="S25119" s="178"/>
    </row>
    <row r="25120" spans="18:19">
      <c r="R25120" s="178"/>
      <c r="S25120" s="178"/>
    </row>
    <row r="25121" spans="18:19">
      <c r="R25121" s="178"/>
      <c r="S25121" s="178"/>
    </row>
    <row r="25122" spans="18:19">
      <c r="R25122" s="178"/>
      <c r="S25122" s="178"/>
    </row>
    <row r="25123" spans="18:19">
      <c r="R25123" s="178"/>
      <c r="S25123" s="178"/>
    </row>
    <row r="25124" spans="18:19">
      <c r="R25124" s="178"/>
      <c r="S25124" s="178"/>
    </row>
    <row r="25125" spans="18:19">
      <c r="R25125" s="178"/>
      <c r="S25125" s="178"/>
    </row>
    <row r="25126" spans="18:19">
      <c r="R25126" s="178"/>
      <c r="S25126" s="178"/>
    </row>
    <row r="25127" spans="18:19">
      <c r="R25127" s="178"/>
      <c r="S25127" s="178"/>
    </row>
    <row r="25128" spans="18:19">
      <c r="R25128" s="178"/>
      <c r="S25128" s="178"/>
    </row>
    <row r="25129" spans="18:19">
      <c r="R25129" s="178"/>
      <c r="S25129" s="178"/>
    </row>
    <row r="25130" spans="18:19">
      <c r="R25130" s="178"/>
      <c r="S25130" s="178"/>
    </row>
    <row r="25131" spans="18:19">
      <c r="R25131" s="178"/>
      <c r="S25131" s="178"/>
    </row>
    <row r="25132" spans="18:19">
      <c r="R25132" s="178"/>
      <c r="S25132" s="178"/>
    </row>
    <row r="25133" spans="18:19">
      <c r="R25133" s="178"/>
      <c r="S25133" s="178"/>
    </row>
    <row r="25134" spans="18:19">
      <c r="R25134" s="178"/>
      <c r="S25134" s="178"/>
    </row>
    <row r="25135" spans="18:19">
      <c r="R25135" s="178"/>
      <c r="S25135" s="178"/>
    </row>
    <row r="25136" spans="18:19">
      <c r="R25136" s="178"/>
      <c r="S25136" s="178"/>
    </row>
    <row r="25137" spans="18:19">
      <c r="R25137" s="178"/>
      <c r="S25137" s="178"/>
    </row>
    <row r="25138" spans="18:19">
      <c r="R25138" s="178"/>
      <c r="S25138" s="178"/>
    </row>
    <row r="25139" spans="18:19">
      <c r="R25139" s="178"/>
      <c r="S25139" s="178"/>
    </row>
    <row r="25140" spans="18:19">
      <c r="R25140" s="178"/>
      <c r="S25140" s="178"/>
    </row>
    <row r="25141" spans="18:19">
      <c r="R25141" s="178"/>
      <c r="S25141" s="178"/>
    </row>
    <row r="25142" spans="18:19">
      <c r="R25142" s="178"/>
      <c r="S25142" s="178"/>
    </row>
    <row r="25143" spans="18:19">
      <c r="R25143" s="178"/>
      <c r="S25143" s="178"/>
    </row>
    <row r="25144" spans="18:19">
      <c r="R25144" s="178"/>
      <c r="S25144" s="178"/>
    </row>
    <row r="25145" spans="18:19">
      <c r="R25145" s="178"/>
      <c r="S25145" s="178"/>
    </row>
    <row r="25146" spans="18:19">
      <c r="R25146" s="178"/>
      <c r="S25146" s="178"/>
    </row>
    <row r="25147" spans="18:19">
      <c r="R25147" s="178"/>
      <c r="S25147" s="178"/>
    </row>
    <row r="25148" spans="18:19">
      <c r="R25148" s="178"/>
      <c r="S25148" s="178"/>
    </row>
    <row r="25149" spans="18:19">
      <c r="R25149" s="178"/>
      <c r="S25149" s="178"/>
    </row>
    <row r="25150" spans="18:19">
      <c r="R25150" s="178"/>
      <c r="S25150" s="178"/>
    </row>
    <row r="25151" spans="18:19">
      <c r="R25151" s="178"/>
      <c r="S25151" s="178"/>
    </row>
    <row r="25152" spans="18:19">
      <c r="R25152" s="178"/>
      <c r="S25152" s="178"/>
    </row>
    <row r="25153" spans="18:19">
      <c r="R25153" s="178"/>
      <c r="S25153" s="178"/>
    </row>
    <row r="25154" spans="18:19">
      <c r="R25154" s="178"/>
      <c r="S25154" s="178"/>
    </row>
    <row r="25155" spans="18:19">
      <c r="R25155" s="178"/>
      <c r="S25155" s="178"/>
    </row>
    <row r="25156" spans="18:19">
      <c r="R25156" s="178"/>
      <c r="S25156" s="178"/>
    </row>
    <row r="25157" spans="18:19">
      <c r="R25157" s="178"/>
      <c r="S25157" s="178"/>
    </row>
    <row r="25158" spans="18:19">
      <c r="R25158" s="178"/>
      <c r="S25158" s="178"/>
    </row>
    <row r="25159" spans="18:19">
      <c r="R25159" s="178"/>
      <c r="S25159" s="178"/>
    </row>
    <row r="25160" spans="18:19">
      <c r="R25160" s="178"/>
      <c r="S25160" s="178"/>
    </row>
    <row r="25161" spans="18:19">
      <c r="R25161" s="178"/>
      <c r="S25161" s="178"/>
    </row>
    <row r="25162" spans="18:19">
      <c r="R25162" s="178"/>
      <c r="S25162" s="178"/>
    </row>
    <row r="25163" spans="18:19">
      <c r="R25163" s="178"/>
      <c r="S25163" s="178"/>
    </row>
    <row r="25164" spans="18:19">
      <c r="R25164" s="178"/>
      <c r="S25164" s="178"/>
    </row>
    <row r="25165" spans="18:19">
      <c r="R25165" s="178"/>
      <c r="S25165" s="178"/>
    </row>
    <row r="25166" spans="18:19">
      <c r="R25166" s="178"/>
      <c r="S25166" s="178"/>
    </row>
    <row r="25167" spans="18:19">
      <c r="R25167" s="178"/>
      <c r="S25167" s="178"/>
    </row>
    <row r="25168" spans="18:19">
      <c r="R25168" s="178"/>
      <c r="S25168" s="178"/>
    </row>
    <row r="25169" spans="18:19">
      <c r="R25169" s="178"/>
      <c r="S25169" s="178"/>
    </row>
    <row r="25170" spans="18:19">
      <c r="R25170" s="178"/>
      <c r="S25170" s="178"/>
    </row>
    <row r="25171" spans="18:19">
      <c r="R25171" s="178"/>
      <c r="S25171" s="178"/>
    </row>
    <row r="25172" spans="18:19">
      <c r="R25172" s="178"/>
      <c r="S25172" s="178"/>
    </row>
    <row r="25173" spans="18:19">
      <c r="R25173" s="178"/>
      <c r="S25173" s="178"/>
    </row>
    <row r="25174" spans="18:19">
      <c r="R25174" s="178"/>
      <c r="S25174" s="178"/>
    </row>
    <row r="25175" spans="18:19">
      <c r="R25175" s="178"/>
      <c r="S25175" s="178"/>
    </row>
    <row r="25176" spans="18:19">
      <c r="R25176" s="178"/>
      <c r="S25176" s="178"/>
    </row>
    <row r="25177" spans="18:19">
      <c r="R25177" s="178"/>
      <c r="S25177" s="178"/>
    </row>
    <row r="25178" spans="18:19">
      <c r="R25178" s="178"/>
      <c r="S25178" s="178"/>
    </row>
    <row r="25179" spans="18:19">
      <c r="R25179" s="178"/>
      <c r="S25179" s="178"/>
    </row>
    <row r="25180" spans="18:19">
      <c r="R25180" s="178"/>
      <c r="S25180" s="178"/>
    </row>
    <row r="25181" spans="18:19">
      <c r="R25181" s="178"/>
      <c r="S25181" s="178"/>
    </row>
    <row r="25182" spans="18:19">
      <c r="R25182" s="178"/>
      <c r="S25182" s="178"/>
    </row>
    <row r="25183" spans="18:19">
      <c r="R25183" s="178"/>
      <c r="S25183" s="178"/>
    </row>
    <row r="25184" spans="18:19">
      <c r="R25184" s="178"/>
      <c r="S25184" s="178"/>
    </row>
    <row r="25185" spans="18:19">
      <c r="R25185" s="178"/>
      <c r="S25185" s="178"/>
    </row>
    <row r="25186" spans="18:19">
      <c r="R25186" s="178"/>
      <c r="S25186" s="178"/>
    </row>
    <row r="25187" spans="18:19">
      <c r="R25187" s="178"/>
      <c r="S25187" s="178"/>
    </row>
    <row r="25188" spans="18:19">
      <c r="R25188" s="178"/>
      <c r="S25188" s="178"/>
    </row>
    <row r="25189" spans="18:19">
      <c r="R25189" s="178"/>
      <c r="S25189" s="178"/>
    </row>
    <row r="25190" spans="18:19">
      <c r="R25190" s="178"/>
      <c r="S25190" s="178"/>
    </row>
    <row r="25191" spans="18:19">
      <c r="R25191" s="178"/>
      <c r="S25191" s="178"/>
    </row>
    <row r="25192" spans="18:19">
      <c r="R25192" s="178"/>
      <c r="S25192" s="178"/>
    </row>
    <row r="25193" spans="18:19">
      <c r="R25193" s="178"/>
      <c r="S25193" s="178"/>
    </row>
    <row r="25194" spans="18:19">
      <c r="R25194" s="178"/>
      <c r="S25194" s="178"/>
    </row>
    <row r="25195" spans="18:19">
      <c r="R25195" s="178"/>
      <c r="S25195" s="178"/>
    </row>
    <row r="25196" spans="18:19">
      <c r="R25196" s="178"/>
      <c r="S25196" s="178"/>
    </row>
    <row r="25197" spans="18:19">
      <c r="R25197" s="178"/>
      <c r="S25197" s="178"/>
    </row>
    <row r="25198" spans="18:19">
      <c r="R25198" s="178"/>
      <c r="S25198" s="178"/>
    </row>
    <row r="25199" spans="18:19">
      <c r="R25199" s="178"/>
      <c r="S25199" s="178"/>
    </row>
    <row r="25200" spans="18:19">
      <c r="R25200" s="178"/>
      <c r="S25200" s="178"/>
    </row>
    <row r="25201" spans="18:19">
      <c r="R25201" s="178"/>
      <c r="S25201" s="178"/>
    </row>
    <row r="25202" spans="18:19">
      <c r="R25202" s="178"/>
      <c r="S25202" s="178"/>
    </row>
    <row r="25203" spans="18:19">
      <c r="R25203" s="178"/>
      <c r="S25203" s="178"/>
    </row>
    <row r="25204" spans="18:19">
      <c r="R25204" s="178"/>
      <c r="S25204" s="178"/>
    </row>
    <row r="25205" spans="18:19">
      <c r="R25205" s="178"/>
      <c r="S25205" s="178"/>
    </row>
    <row r="25206" spans="18:19">
      <c r="R25206" s="178"/>
      <c r="S25206" s="178"/>
    </row>
    <row r="25207" spans="18:19">
      <c r="R25207" s="178"/>
      <c r="S25207" s="178"/>
    </row>
    <row r="25208" spans="18:19">
      <c r="R25208" s="178"/>
      <c r="S25208" s="178"/>
    </row>
    <row r="25209" spans="18:19">
      <c r="R25209" s="178"/>
      <c r="S25209" s="178"/>
    </row>
    <row r="25210" spans="18:19">
      <c r="R25210" s="178"/>
      <c r="S25210" s="178"/>
    </row>
    <row r="25211" spans="18:19">
      <c r="R25211" s="178"/>
      <c r="S25211" s="178"/>
    </row>
    <row r="25212" spans="18:19">
      <c r="R25212" s="178"/>
      <c r="S25212" s="178"/>
    </row>
    <row r="25213" spans="18:19">
      <c r="R25213" s="178"/>
      <c r="S25213" s="178"/>
    </row>
    <row r="25214" spans="18:19">
      <c r="R25214" s="178"/>
      <c r="S25214" s="178"/>
    </row>
    <row r="25215" spans="18:19">
      <c r="R25215" s="178"/>
      <c r="S25215" s="178"/>
    </row>
    <row r="25216" spans="18:19">
      <c r="R25216" s="178"/>
      <c r="S25216" s="178"/>
    </row>
    <row r="25217" spans="18:19">
      <c r="R25217" s="178"/>
      <c r="S25217" s="178"/>
    </row>
    <row r="25218" spans="18:19">
      <c r="R25218" s="178"/>
      <c r="S25218" s="178"/>
    </row>
    <row r="25219" spans="18:19">
      <c r="R25219" s="178"/>
      <c r="S25219" s="178"/>
    </row>
    <row r="25220" spans="18:19">
      <c r="R25220" s="178"/>
      <c r="S25220" s="178"/>
    </row>
    <row r="25221" spans="18:19">
      <c r="R25221" s="178"/>
      <c r="S25221" s="178"/>
    </row>
    <row r="25222" spans="18:19">
      <c r="R25222" s="178"/>
      <c r="S25222" s="178"/>
    </row>
    <row r="25223" spans="18:19">
      <c r="R25223" s="178"/>
      <c r="S25223" s="178"/>
    </row>
    <row r="25224" spans="18:19">
      <c r="R25224" s="178"/>
      <c r="S25224" s="178"/>
    </row>
    <row r="25225" spans="18:19">
      <c r="R25225" s="178"/>
      <c r="S25225" s="178"/>
    </row>
    <row r="25226" spans="18:19">
      <c r="R25226" s="178"/>
      <c r="S25226" s="178"/>
    </row>
    <row r="25227" spans="18:19">
      <c r="R25227" s="178"/>
      <c r="S25227" s="178"/>
    </row>
    <row r="25228" spans="18:19">
      <c r="R25228" s="178"/>
      <c r="S25228" s="178"/>
    </row>
    <row r="25229" spans="18:19">
      <c r="R25229" s="178"/>
      <c r="S25229" s="178"/>
    </row>
    <row r="25230" spans="18:19">
      <c r="R25230" s="178"/>
      <c r="S25230" s="178"/>
    </row>
    <row r="25231" spans="18:19">
      <c r="R25231" s="178"/>
      <c r="S25231" s="178"/>
    </row>
    <row r="25232" spans="18:19">
      <c r="R25232" s="178"/>
      <c r="S25232" s="178"/>
    </row>
    <row r="25233" spans="18:19">
      <c r="R25233" s="178"/>
      <c r="S25233" s="178"/>
    </row>
    <row r="25234" spans="18:19">
      <c r="R25234" s="178"/>
      <c r="S25234" s="178"/>
    </row>
    <row r="25235" spans="18:19">
      <c r="R25235" s="178"/>
      <c r="S25235" s="178"/>
    </row>
    <row r="25236" spans="18:19">
      <c r="R25236" s="178"/>
      <c r="S25236" s="178"/>
    </row>
    <row r="25237" spans="18:19">
      <c r="R25237" s="178"/>
      <c r="S25237" s="178"/>
    </row>
    <row r="25238" spans="18:19">
      <c r="R25238" s="178"/>
      <c r="S25238" s="178"/>
    </row>
    <row r="25239" spans="18:19">
      <c r="R25239" s="178"/>
      <c r="S25239" s="178"/>
    </row>
    <row r="25240" spans="18:19">
      <c r="R25240" s="178"/>
      <c r="S25240" s="178"/>
    </row>
    <row r="25241" spans="18:19">
      <c r="R25241" s="178"/>
      <c r="S25241" s="178"/>
    </row>
    <row r="25242" spans="18:19">
      <c r="R25242" s="178"/>
      <c r="S25242" s="178"/>
    </row>
    <row r="25243" spans="18:19">
      <c r="R25243" s="178"/>
      <c r="S25243" s="178"/>
    </row>
    <row r="25244" spans="18:19">
      <c r="R25244" s="178"/>
      <c r="S25244" s="178"/>
    </row>
    <row r="25245" spans="18:19">
      <c r="R25245" s="178"/>
      <c r="S25245" s="178"/>
    </row>
    <row r="25246" spans="18:19">
      <c r="R25246" s="178"/>
      <c r="S25246" s="178"/>
    </row>
    <row r="25247" spans="18:19">
      <c r="R25247" s="178"/>
      <c r="S25247" s="178"/>
    </row>
    <row r="25248" spans="18:19">
      <c r="R25248" s="178"/>
      <c r="S25248" s="178"/>
    </row>
    <row r="25249" spans="18:19">
      <c r="R25249" s="178"/>
      <c r="S25249" s="178"/>
    </row>
    <row r="25250" spans="18:19">
      <c r="R25250" s="178"/>
      <c r="S25250" s="178"/>
    </row>
    <row r="25251" spans="18:19">
      <c r="R25251" s="178"/>
      <c r="S25251" s="178"/>
    </row>
    <row r="25252" spans="18:19">
      <c r="R25252" s="178"/>
      <c r="S25252" s="178"/>
    </row>
    <row r="25253" spans="18:19">
      <c r="R25253" s="178"/>
      <c r="S25253" s="178"/>
    </row>
    <row r="25254" spans="18:19">
      <c r="R25254" s="178"/>
      <c r="S25254" s="178"/>
    </row>
    <row r="25255" spans="18:19">
      <c r="R25255" s="178"/>
      <c r="S25255" s="178"/>
    </row>
    <row r="25256" spans="18:19">
      <c r="R25256" s="178"/>
      <c r="S25256" s="178"/>
    </row>
    <row r="25257" spans="18:19">
      <c r="R25257" s="178"/>
      <c r="S25257" s="178"/>
    </row>
    <row r="25258" spans="18:19">
      <c r="R25258" s="178"/>
      <c r="S25258" s="178"/>
    </row>
    <row r="25259" spans="18:19">
      <c r="R25259" s="178"/>
      <c r="S25259" s="178"/>
    </row>
    <row r="25260" spans="18:19">
      <c r="R25260" s="178"/>
      <c r="S25260" s="178"/>
    </row>
    <row r="25261" spans="18:19">
      <c r="R25261" s="178"/>
      <c r="S25261" s="178"/>
    </row>
    <row r="25262" spans="18:19">
      <c r="R25262" s="178"/>
      <c r="S25262" s="178"/>
    </row>
    <row r="25263" spans="18:19">
      <c r="R25263" s="178"/>
      <c r="S25263" s="178"/>
    </row>
    <row r="25264" spans="18:19">
      <c r="R25264" s="178"/>
      <c r="S25264" s="178"/>
    </row>
    <row r="25265" spans="18:19">
      <c r="R25265" s="178"/>
      <c r="S25265" s="178"/>
    </row>
    <row r="25266" spans="18:19">
      <c r="R25266" s="178"/>
      <c r="S25266" s="178"/>
    </row>
    <row r="25267" spans="18:19">
      <c r="R25267" s="178"/>
      <c r="S25267" s="178"/>
    </row>
    <row r="25268" spans="18:19">
      <c r="R25268" s="178"/>
      <c r="S25268" s="178"/>
    </row>
    <row r="25269" spans="18:19">
      <c r="R25269" s="178"/>
      <c r="S25269" s="178"/>
    </row>
    <row r="25270" spans="18:19">
      <c r="R25270" s="178"/>
      <c r="S25270" s="178"/>
    </row>
    <row r="25271" spans="18:19">
      <c r="R25271" s="178"/>
      <c r="S25271" s="178"/>
    </row>
    <row r="25272" spans="18:19">
      <c r="R25272" s="178"/>
      <c r="S25272" s="178"/>
    </row>
    <row r="25273" spans="18:19">
      <c r="R25273" s="178"/>
      <c r="S25273" s="178"/>
    </row>
    <row r="25274" spans="18:19">
      <c r="R25274" s="178"/>
      <c r="S25274" s="178"/>
    </row>
    <row r="25275" spans="18:19">
      <c r="R25275" s="178"/>
      <c r="S25275" s="178"/>
    </row>
    <row r="25276" spans="18:19">
      <c r="R25276" s="178"/>
      <c r="S25276" s="178"/>
    </row>
    <row r="25277" spans="18:19">
      <c r="R25277" s="178"/>
      <c r="S25277" s="178"/>
    </row>
    <row r="25278" spans="18:19">
      <c r="R25278" s="178"/>
      <c r="S25278" s="178"/>
    </row>
    <row r="25279" spans="18:19">
      <c r="R25279" s="178"/>
      <c r="S25279" s="178"/>
    </row>
    <row r="25280" spans="18:19">
      <c r="R25280" s="178"/>
      <c r="S25280" s="178"/>
    </row>
    <row r="25281" spans="18:19">
      <c r="R25281" s="178"/>
      <c r="S25281" s="178"/>
    </row>
    <row r="25282" spans="18:19">
      <c r="R25282" s="178"/>
      <c r="S25282" s="178"/>
    </row>
    <row r="25283" spans="18:19">
      <c r="R25283" s="178"/>
      <c r="S25283" s="178"/>
    </row>
    <row r="25284" spans="18:19">
      <c r="R25284" s="178"/>
      <c r="S25284" s="178"/>
    </row>
    <row r="25285" spans="18:19">
      <c r="R25285" s="178"/>
      <c r="S25285" s="178"/>
    </row>
    <row r="25286" spans="18:19">
      <c r="R25286" s="178"/>
      <c r="S25286" s="178"/>
    </row>
    <row r="25287" spans="18:19">
      <c r="R25287" s="178"/>
      <c r="S25287" s="178"/>
    </row>
    <row r="25288" spans="18:19">
      <c r="R25288" s="178"/>
      <c r="S25288" s="178"/>
    </row>
    <row r="25289" spans="18:19">
      <c r="R25289" s="178"/>
      <c r="S25289" s="178"/>
    </row>
    <row r="25290" spans="18:19">
      <c r="R25290" s="178"/>
      <c r="S25290" s="178"/>
    </row>
    <row r="25291" spans="18:19">
      <c r="R25291" s="178"/>
      <c r="S25291" s="178"/>
    </row>
    <row r="25292" spans="18:19">
      <c r="R25292" s="178"/>
      <c r="S25292" s="178"/>
    </row>
    <row r="25293" spans="18:19">
      <c r="R25293" s="178"/>
      <c r="S25293" s="178"/>
    </row>
    <row r="25294" spans="18:19">
      <c r="R25294" s="178"/>
      <c r="S25294" s="178"/>
    </row>
    <row r="25295" spans="18:19">
      <c r="R25295" s="178"/>
      <c r="S25295" s="178"/>
    </row>
    <row r="25296" spans="18:19">
      <c r="R25296" s="178"/>
      <c r="S25296" s="178"/>
    </row>
    <row r="25297" spans="18:19">
      <c r="R25297" s="178"/>
      <c r="S25297" s="178"/>
    </row>
    <row r="25298" spans="18:19">
      <c r="R25298" s="178"/>
      <c r="S25298" s="178"/>
    </row>
    <row r="25299" spans="18:19">
      <c r="R25299" s="178"/>
      <c r="S25299" s="178"/>
    </row>
    <row r="25300" spans="18:19">
      <c r="R25300" s="178"/>
      <c r="S25300" s="178"/>
    </row>
    <row r="25301" spans="18:19">
      <c r="R25301" s="178"/>
      <c r="S25301" s="178"/>
    </row>
    <row r="25302" spans="18:19">
      <c r="R25302" s="178"/>
      <c r="S25302" s="178"/>
    </row>
    <row r="25303" spans="18:19">
      <c r="R25303" s="178"/>
      <c r="S25303" s="178"/>
    </row>
    <row r="25304" spans="18:19">
      <c r="R25304" s="178"/>
      <c r="S25304" s="178"/>
    </row>
    <row r="25305" spans="18:19">
      <c r="R25305" s="178"/>
      <c r="S25305" s="178"/>
    </row>
    <row r="25306" spans="18:19">
      <c r="R25306" s="178"/>
      <c r="S25306" s="178"/>
    </row>
    <row r="25307" spans="18:19">
      <c r="R25307" s="178"/>
      <c r="S25307" s="178"/>
    </row>
    <row r="25308" spans="18:19">
      <c r="R25308" s="178"/>
      <c r="S25308" s="178"/>
    </row>
    <row r="25309" spans="18:19">
      <c r="R25309" s="178"/>
      <c r="S25309" s="178"/>
    </row>
    <row r="25310" spans="18:19">
      <c r="R25310" s="178"/>
      <c r="S25310" s="178"/>
    </row>
    <row r="25311" spans="18:19">
      <c r="R25311" s="178"/>
      <c r="S25311" s="178"/>
    </row>
    <row r="25312" spans="18:19">
      <c r="R25312" s="178"/>
      <c r="S25312" s="178"/>
    </row>
    <row r="25313" spans="18:19">
      <c r="R25313" s="178"/>
      <c r="S25313" s="178"/>
    </row>
    <row r="25314" spans="18:19">
      <c r="R25314" s="178"/>
      <c r="S25314" s="178"/>
    </row>
    <row r="25315" spans="18:19">
      <c r="R25315" s="178"/>
      <c r="S25315" s="178"/>
    </row>
    <row r="25316" spans="18:19">
      <c r="R25316" s="178"/>
      <c r="S25316" s="178"/>
    </row>
    <row r="25317" spans="18:19">
      <c r="R25317" s="178"/>
      <c r="S25317" s="178"/>
    </row>
    <row r="25318" spans="18:19">
      <c r="R25318" s="178"/>
      <c r="S25318" s="178"/>
    </row>
    <row r="25319" spans="18:19">
      <c r="R25319" s="178"/>
      <c r="S25319" s="178"/>
    </row>
    <row r="25320" spans="18:19">
      <c r="R25320" s="178"/>
      <c r="S25320" s="178"/>
    </row>
    <row r="25321" spans="18:19">
      <c r="R25321" s="178"/>
      <c r="S25321" s="178"/>
    </row>
    <row r="25322" spans="18:19">
      <c r="R25322" s="178"/>
      <c r="S25322" s="178"/>
    </row>
    <row r="25323" spans="18:19">
      <c r="R25323" s="178"/>
      <c r="S25323" s="178"/>
    </row>
    <row r="25324" spans="18:19">
      <c r="R25324" s="178"/>
      <c r="S25324" s="178"/>
    </row>
    <row r="25325" spans="18:19">
      <c r="R25325" s="178"/>
      <c r="S25325" s="178"/>
    </row>
    <row r="25326" spans="18:19">
      <c r="R25326" s="178"/>
      <c r="S25326" s="178"/>
    </row>
    <row r="25327" spans="18:19">
      <c r="R25327" s="178"/>
      <c r="S25327" s="178"/>
    </row>
    <row r="25328" spans="18:19">
      <c r="R25328" s="178"/>
      <c r="S25328" s="178"/>
    </row>
    <row r="25329" spans="18:19">
      <c r="R25329" s="178"/>
      <c r="S25329" s="178"/>
    </row>
    <row r="25330" spans="18:19">
      <c r="R25330" s="178"/>
      <c r="S25330" s="178"/>
    </row>
    <row r="25331" spans="18:19">
      <c r="R25331" s="178"/>
      <c r="S25331" s="178"/>
    </row>
    <row r="25332" spans="18:19">
      <c r="R25332" s="178"/>
      <c r="S25332" s="178"/>
    </row>
    <row r="25333" spans="18:19">
      <c r="R25333" s="178"/>
      <c r="S25333" s="178"/>
    </row>
    <row r="25334" spans="18:19">
      <c r="R25334" s="178"/>
      <c r="S25334" s="178"/>
    </row>
    <row r="25335" spans="18:19">
      <c r="R25335" s="178"/>
      <c r="S25335" s="178"/>
    </row>
    <row r="25336" spans="18:19">
      <c r="R25336" s="178"/>
      <c r="S25336" s="178"/>
    </row>
    <row r="25337" spans="18:19">
      <c r="R25337" s="178"/>
      <c r="S25337" s="178"/>
    </row>
    <row r="25338" spans="18:19">
      <c r="R25338" s="178"/>
      <c r="S25338" s="178"/>
    </row>
    <row r="25339" spans="18:19">
      <c r="R25339" s="178"/>
      <c r="S25339" s="178"/>
    </row>
    <row r="25340" spans="18:19">
      <c r="R25340" s="178"/>
      <c r="S25340" s="178"/>
    </row>
    <row r="25341" spans="18:19">
      <c r="R25341" s="178"/>
      <c r="S25341" s="178"/>
    </row>
    <row r="25342" spans="18:19">
      <c r="R25342" s="178"/>
      <c r="S25342" s="178"/>
    </row>
    <row r="25343" spans="18:19">
      <c r="R25343" s="178"/>
      <c r="S25343" s="178"/>
    </row>
    <row r="25344" spans="18:19">
      <c r="R25344" s="178"/>
      <c r="S25344" s="178"/>
    </row>
    <row r="25345" spans="18:19">
      <c r="R25345" s="178"/>
      <c r="S25345" s="178"/>
    </row>
    <row r="25346" spans="18:19">
      <c r="R25346" s="178"/>
      <c r="S25346" s="178"/>
    </row>
    <row r="25347" spans="18:19">
      <c r="R25347" s="178"/>
      <c r="S25347" s="178"/>
    </row>
    <row r="25348" spans="18:19">
      <c r="R25348" s="178"/>
      <c r="S25348" s="178"/>
    </row>
    <row r="25349" spans="18:19">
      <c r="R25349" s="178"/>
      <c r="S25349" s="178"/>
    </row>
    <row r="25350" spans="18:19">
      <c r="R25350" s="178"/>
      <c r="S25350" s="178"/>
    </row>
    <row r="25351" spans="18:19">
      <c r="R25351" s="178"/>
      <c r="S25351" s="178"/>
    </row>
    <row r="25352" spans="18:19">
      <c r="R25352" s="178"/>
      <c r="S25352" s="178"/>
    </row>
    <row r="25353" spans="18:19">
      <c r="R25353" s="178"/>
      <c r="S25353" s="178"/>
    </row>
    <row r="25354" spans="18:19">
      <c r="R25354" s="178"/>
      <c r="S25354" s="178"/>
    </row>
    <row r="25355" spans="18:19">
      <c r="R25355" s="178"/>
      <c r="S25355" s="178"/>
    </row>
    <row r="25356" spans="18:19">
      <c r="R25356" s="178"/>
      <c r="S25356" s="178"/>
    </row>
    <row r="25357" spans="18:19">
      <c r="R25357" s="178"/>
      <c r="S25357" s="178"/>
    </row>
    <row r="25358" spans="18:19">
      <c r="R25358" s="178"/>
      <c r="S25358" s="178"/>
    </row>
    <row r="25359" spans="18:19">
      <c r="R25359" s="178"/>
      <c r="S25359" s="178"/>
    </row>
    <row r="25360" spans="18:19">
      <c r="R25360" s="178"/>
      <c r="S25360" s="178"/>
    </row>
    <row r="25361" spans="18:19">
      <c r="R25361" s="178"/>
      <c r="S25361" s="178"/>
    </row>
    <row r="25362" spans="18:19">
      <c r="R25362" s="178"/>
      <c r="S25362" s="178"/>
    </row>
    <row r="25363" spans="18:19">
      <c r="R25363" s="178"/>
      <c r="S25363" s="178"/>
    </row>
    <row r="25364" spans="18:19">
      <c r="R25364" s="178"/>
      <c r="S25364" s="178"/>
    </row>
    <row r="25365" spans="18:19">
      <c r="R25365" s="178"/>
      <c r="S25365" s="178"/>
    </row>
    <row r="25366" spans="18:19">
      <c r="R25366" s="178"/>
      <c r="S25366" s="178"/>
    </row>
    <row r="25367" spans="18:19">
      <c r="R25367" s="178"/>
      <c r="S25367" s="178"/>
    </row>
    <row r="25368" spans="18:19">
      <c r="R25368" s="178"/>
      <c r="S25368" s="178"/>
    </row>
    <row r="25369" spans="18:19">
      <c r="R25369" s="178"/>
      <c r="S25369" s="178"/>
    </row>
    <row r="25370" spans="18:19">
      <c r="R25370" s="178"/>
      <c r="S25370" s="178"/>
    </row>
    <row r="25371" spans="18:19">
      <c r="R25371" s="178"/>
      <c r="S25371" s="178"/>
    </row>
    <row r="25372" spans="18:19">
      <c r="R25372" s="178"/>
      <c r="S25372" s="178"/>
    </row>
    <row r="25373" spans="18:19">
      <c r="R25373" s="178"/>
      <c r="S25373" s="178"/>
    </row>
    <row r="25374" spans="18:19">
      <c r="R25374" s="178"/>
      <c r="S25374" s="178"/>
    </row>
    <row r="25375" spans="18:19">
      <c r="R25375" s="178"/>
      <c r="S25375" s="178"/>
    </row>
    <row r="25376" spans="18:19">
      <c r="R25376" s="178"/>
      <c r="S25376" s="178"/>
    </row>
    <row r="25377" spans="18:19">
      <c r="R25377" s="178"/>
      <c r="S25377" s="178"/>
    </row>
    <row r="25378" spans="18:19">
      <c r="R25378" s="178"/>
      <c r="S25378" s="178"/>
    </row>
    <row r="25379" spans="18:19">
      <c r="R25379" s="178"/>
      <c r="S25379" s="178"/>
    </row>
    <row r="25380" spans="18:19">
      <c r="R25380" s="178"/>
      <c r="S25380" s="178"/>
    </row>
    <row r="25381" spans="18:19">
      <c r="R25381" s="178"/>
      <c r="S25381" s="178"/>
    </row>
    <row r="25382" spans="18:19">
      <c r="R25382" s="178"/>
      <c r="S25382" s="178"/>
    </row>
    <row r="25383" spans="18:19">
      <c r="R25383" s="178"/>
      <c r="S25383" s="178"/>
    </row>
    <row r="25384" spans="18:19">
      <c r="R25384" s="178"/>
      <c r="S25384" s="178"/>
    </row>
    <row r="25385" spans="18:19">
      <c r="R25385" s="178"/>
      <c r="S25385" s="178"/>
    </row>
    <row r="25386" spans="18:19">
      <c r="R25386" s="178"/>
      <c r="S25386" s="178"/>
    </row>
    <row r="25387" spans="18:19">
      <c r="R25387" s="178"/>
      <c r="S25387" s="178"/>
    </row>
    <row r="25388" spans="18:19">
      <c r="R25388" s="178"/>
      <c r="S25388" s="178"/>
    </row>
    <row r="25389" spans="18:19">
      <c r="R25389" s="178"/>
      <c r="S25389" s="178"/>
    </row>
    <row r="25390" spans="18:19">
      <c r="R25390" s="178"/>
      <c r="S25390" s="178"/>
    </row>
    <row r="25391" spans="18:19">
      <c r="R25391" s="178"/>
      <c r="S25391" s="178"/>
    </row>
    <row r="25392" spans="18:19">
      <c r="R25392" s="178"/>
      <c r="S25392" s="178"/>
    </row>
    <row r="25393" spans="18:19">
      <c r="R25393" s="178"/>
      <c r="S25393" s="178"/>
    </row>
    <row r="25394" spans="18:19">
      <c r="R25394" s="178"/>
      <c r="S25394" s="178"/>
    </row>
    <row r="25395" spans="18:19">
      <c r="R25395" s="178"/>
      <c r="S25395" s="178"/>
    </row>
    <row r="25396" spans="18:19">
      <c r="R25396" s="178"/>
      <c r="S25396" s="178"/>
    </row>
    <row r="25397" spans="18:19">
      <c r="R25397" s="178"/>
      <c r="S25397" s="178"/>
    </row>
    <row r="25398" spans="18:19">
      <c r="R25398" s="178"/>
      <c r="S25398" s="178"/>
    </row>
    <row r="25399" spans="18:19">
      <c r="R25399" s="178"/>
      <c r="S25399" s="178"/>
    </row>
    <row r="25400" spans="18:19">
      <c r="R25400" s="178"/>
      <c r="S25400" s="178"/>
    </row>
    <row r="25401" spans="18:19">
      <c r="R25401" s="178"/>
      <c r="S25401" s="178"/>
    </row>
    <row r="25402" spans="18:19">
      <c r="R25402" s="178"/>
      <c r="S25402" s="178"/>
    </row>
    <row r="25403" spans="18:19">
      <c r="R25403" s="178"/>
      <c r="S25403" s="178"/>
    </row>
    <row r="25404" spans="18:19">
      <c r="R25404" s="178"/>
      <c r="S25404" s="178"/>
    </row>
    <row r="25405" spans="18:19">
      <c r="R25405" s="178"/>
      <c r="S25405" s="178"/>
    </row>
    <row r="25406" spans="18:19">
      <c r="R25406" s="178"/>
      <c r="S25406" s="178"/>
    </row>
    <row r="25407" spans="18:19">
      <c r="R25407" s="178"/>
      <c r="S25407" s="178"/>
    </row>
    <row r="25408" spans="18:19">
      <c r="R25408" s="178"/>
      <c r="S25408" s="178"/>
    </row>
    <row r="25409" spans="18:19">
      <c r="R25409" s="178"/>
      <c r="S25409" s="178"/>
    </row>
    <row r="25410" spans="18:19">
      <c r="R25410" s="178"/>
      <c r="S25410" s="178"/>
    </row>
    <row r="25411" spans="18:19">
      <c r="R25411" s="178"/>
      <c r="S25411" s="178"/>
    </row>
    <row r="25412" spans="18:19">
      <c r="R25412" s="178"/>
      <c r="S25412" s="178"/>
    </row>
    <row r="25413" spans="18:19">
      <c r="R25413" s="178"/>
      <c r="S25413" s="178"/>
    </row>
    <row r="25414" spans="18:19">
      <c r="R25414" s="178"/>
      <c r="S25414" s="178"/>
    </row>
    <row r="25415" spans="18:19">
      <c r="R25415" s="178"/>
      <c r="S25415" s="178"/>
    </row>
    <row r="25416" spans="18:19">
      <c r="R25416" s="178"/>
      <c r="S25416" s="178"/>
    </row>
    <row r="25417" spans="18:19">
      <c r="R25417" s="178"/>
      <c r="S25417" s="178"/>
    </row>
    <row r="25418" spans="18:19">
      <c r="R25418" s="178"/>
      <c r="S25418" s="178"/>
    </row>
    <row r="25419" spans="18:19">
      <c r="R25419" s="178"/>
      <c r="S25419" s="178"/>
    </row>
    <row r="25420" spans="18:19">
      <c r="R25420" s="178"/>
      <c r="S25420" s="178"/>
    </row>
    <row r="25421" spans="18:19">
      <c r="R25421" s="178"/>
      <c r="S25421" s="178"/>
    </row>
    <row r="25422" spans="18:19">
      <c r="R25422" s="178"/>
      <c r="S25422" s="178"/>
    </row>
    <row r="25423" spans="18:19">
      <c r="R25423" s="178"/>
      <c r="S25423" s="178"/>
    </row>
    <row r="25424" spans="18:19">
      <c r="R25424" s="178"/>
      <c r="S25424" s="178"/>
    </row>
    <row r="25425" spans="18:19">
      <c r="R25425" s="178"/>
      <c r="S25425" s="178"/>
    </row>
    <row r="25426" spans="18:19">
      <c r="R25426" s="178"/>
      <c r="S25426" s="178"/>
    </row>
    <row r="25427" spans="18:19">
      <c r="R25427" s="178"/>
      <c r="S25427" s="178"/>
    </row>
    <row r="25428" spans="18:19">
      <c r="R25428" s="178"/>
      <c r="S25428" s="178"/>
    </row>
    <row r="25429" spans="18:19">
      <c r="R25429" s="178"/>
      <c r="S25429" s="178"/>
    </row>
    <row r="25430" spans="18:19">
      <c r="R25430" s="178"/>
      <c r="S25430" s="178"/>
    </row>
    <row r="25431" spans="18:19">
      <c r="R25431" s="178"/>
      <c r="S25431" s="178"/>
    </row>
    <row r="25432" spans="18:19">
      <c r="R25432" s="178"/>
      <c r="S25432" s="178"/>
    </row>
    <row r="25433" spans="18:19">
      <c r="R25433" s="178"/>
      <c r="S25433" s="178"/>
    </row>
    <row r="25434" spans="18:19">
      <c r="R25434" s="178"/>
      <c r="S25434" s="178"/>
    </row>
    <row r="25435" spans="18:19">
      <c r="R25435" s="178"/>
      <c r="S25435" s="178"/>
    </row>
    <row r="25436" spans="18:19">
      <c r="R25436" s="178"/>
      <c r="S25436" s="178"/>
    </row>
    <row r="25437" spans="18:19">
      <c r="R25437" s="178"/>
      <c r="S25437" s="178"/>
    </row>
    <row r="25438" spans="18:19">
      <c r="R25438" s="178"/>
      <c r="S25438" s="178"/>
    </row>
    <row r="25439" spans="18:19">
      <c r="R25439" s="178"/>
      <c r="S25439" s="178"/>
    </row>
    <row r="25440" spans="18:19">
      <c r="R25440" s="178"/>
      <c r="S25440" s="178"/>
    </row>
    <row r="25441" spans="18:19">
      <c r="R25441" s="178"/>
      <c r="S25441" s="178"/>
    </row>
    <row r="25442" spans="18:19">
      <c r="R25442" s="178"/>
      <c r="S25442" s="178"/>
    </row>
    <row r="25443" spans="18:19">
      <c r="R25443" s="178"/>
      <c r="S25443" s="178"/>
    </row>
    <row r="25444" spans="18:19">
      <c r="R25444" s="178"/>
      <c r="S25444" s="178"/>
    </row>
    <row r="25445" spans="18:19">
      <c r="R25445" s="178"/>
      <c r="S25445" s="178"/>
    </row>
    <row r="25446" spans="18:19">
      <c r="R25446" s="178"/>
      <c r="S25446" s="178"/>
    </row>
    <row r="25447" spans="18:19">
      <c r="R25447" s="178"/>
      <c r="S25447" s="178"/>
    </row>
    <row r="25448" spans="18:19">
      <c r="R25448" s="178"/>
      <c r="S25448" s="178"/>
    </row>
    <row r="25449" spans="18:19">
      <c r="R25449" s="178"/>
      <c r="S25449" s="178"/>
    </row>
    <row r="25450" spans="18:19">
      <c r="R25450" s="178"/>
      <c r="S25450" s="178"/>
    </row>
    <row r="25451" spans="18:19">
      <c r="R25451" s="178"/>
      <c r="S25451" s="178"/>
    </row>
    <row r="25452" spans="18:19">
      <c r="R25452" s="178"/>
      <c r="S25452" s="178"/>
    </row>
    <row r="25453" spans="18:19">
      <c r="R25453" s="178"/>
      <c r="S25453" s="178"/>
    </row>
    <row r="25454" spans="18:19">
      <c r="R25454" s="178"/>
      <c r="S25454" s="178"/>
    </row>
    <row r="25455" spans="18:19">
      <c r="R25455" s="178"/>
      <c r="S25455" s="178"/>
    </row>
    <row r="25456" spans="18:19">
      <c r="R25456" s="178"/>
      <c r="S25456" s="178"/>
    </row>
    <row r="25457" spans="18:19">
      <c r="R25457" s="178"/>
      <c r="S25457" s="178"/>
    </row>
    <row r="25458" spans="18:19">
      <c r="R25458" s="178"/>
      <c r="S25458" s="178"/>
    </row>
    <row r="25459" spans="18:19">
      <c r="R25459" s="178"/>
      <c r="S25459" s="178"/>
    </row>
    <row r="25460" spans="18:19">
      <c r="R25460" s="178"/>
      <c r="S25460" s="178"/>
    </row>
    <row r="25461" spans="18:19">
      <c r="R25461" s="178"/>
      <c r="S25461" s="178"/>
    </row>
    <row r="25462" spans="18:19">
      <c r="R25462" s="178"/>
      <c r="S25462" s="178"/>
    </row>
    <row r="25463" spans="18:19">
      <c r="R25463" s="178"/>
      <c r="S25463" s="178"/>
    </row>
    <row r="25464" spans="18:19">
      <c r="R25464" s="178"/>
      <c r="S25464" s="178"/>
    </row>
    <row r="25465" spans="18:19">
      <c r="R25465" s="178"/>
      <c r="S25465" s="178"/>
    </row>
    <row r="25466" spans="18:19">
      <c r="R25466" s="178"/>
      <c r="S25466" s="178"/>
    </row>
    <row r="25467" spans="18:19">
      <c r="R25467" s="178"/>
      <c r="S25467" s="178"/>
    </row>
    <row r="25468" spans="18:19">
      <c r="R25468" s="178"/>
      <c r="S25468" s="178"/>
    </row>
    <row r="25469" spans="18:19">
      <c r="R25469" s="178"/>
      <c r="S25469" s="178"/>
    </row>
    <row r="25470" spans="18:19">
      <c r="R25470" s="178"/>
      <c r="S25470" s="178"/>
    </row>
    <row r="25471" spans="18:19">
      <c r="R25471" s="178"/>
      <c r="S25471" s="178"/>
    </row>
    <row r="25472" spans="18:19">
      <c r="R25472" s="178"/>
      <c r="S25472" s="178"/>
    </row>
    <row r="25473" spans="18:19">
      <c r="R25473" s="178"/>
      <c r="S25473" s="178"/>
    </row>
    <row r="25474" spans="18:19">
      <c r="R25474" s="178"/>
      <c r="S25474" s="178"/>
    </row>
    <row r="25475" spans="18:19">
      <c r="R25475" s="178"/>
      <c r="S25475" s="178"/>
    </row>
    <row r="25476" spans="18:19">
      <c r="R25476" s="178"/>
      <c r="S25476" s="178"/>
    </row>
    <row r="25477" spans="18:19">
      <c r="R25477" s="178"/>
      <c r="S25477" s="178"/>
    </row>
    <row r="25478" spans="18:19">
      <c r="R25478" s="178"/>
      <c r="S25478" s="178"/>
    </row>
    <row r="25479" spans="18:19">
      <c r="R25479" s="178"/>
      <c r="S25479" s="178"/>
    </row>
    <row r="25480" spans="18:19">
      <c r="R25480" s="178"/>
      <c r="S25480" s="178"/>
    </row>
    <row r="25481" spans="18:19">
      <c r="R25481" s="178"/>
      <c r="S25481" s="178"/>
    </row>
    <row r="25482" spans="18:19">
      <c r="R25482" s="178"/>
      <c r="S25482" s="178"/>
    </row>
    <row r="25483" spans="18:19">
      <c r="R25483" s="178"/>
      <c r="S25483" s="178"/>
    </row>
    <row r="25484" spans="18:19">
      <c r="R25484" s="178"/>
      <c r="S25484" s="178"/>
    </row>
    <row r="25485" spans="18:19">
      <c r="R25485" s="178"/>
      <c r="S25485" s="178"/>
    </row>
    <row r="25486" spans="18:19">
      <c r="R25486" s="178"/>
      <c r="S25486" s="178"/>
    </row>
    <row r="25487" spans="18:19">
      <c r="R25487" s="178"/>
      <c r="S25487" s="178"/>
    </row>
    <row r="25488" spans="18:19">
      <c r="R25488" s="178"/>
      <c r="S25488" s="178"/>
    </row>
    <row r="25489" spans="18:19">
      <c r="R25489" s="178"/>
      <c r="S25489" s="178"/>
    </row>
    <row r="25490" spans="18:19">
      <c r="R25490" s="178"/>
      <c r="S25490" s="178"/>
    </row>
    <row r="25491" spans="18:19">
      <c r="R25491" s="178"/>
      <c r="S25491" s="178"/>
    </row>
    <row r="25492" spans="18:19">
      <c r="R25492" s="178"/>
      <c r="S25492" s="178"/>
    </row>
    <row r="25493" spans="18:19">
      <c r="R25493" s="178"/>
      <c r="S25493" s="178"/>
    </row>
    <row r="25494" spans="18:19">
      <c r="R25494" s="178"/>
      <c r="S25494" s="178"/>
    </row>
    <row r="25495" spans="18:19">
      <c r="R25495" s="178"/>
      <c r="S25495" s="178"/>
    </row>
    <row r="25496" spans="18:19">
      <c r="R25496" s="178"/>
      <c r="S25496" s="178"/>
    </row>
    <row r="25497" spans="18:19">
      <c r="R25497" s="178"/>
      <c r="S25497" s="178"/>
    </row>
    <row r="25498" spans="18:19">
      <c r="R25498" s="178"/>
      <c r="S25498" s="178"/>
    </row>
    <row r="25499" spans="18:19">
      <c r="R25499" s="178"/>
      <c r="S25499" s="178"/>
    </row>
    <row r="25500" spans="18:19">
      <c r="R25500" s="178"/>
      <c r="S25500" s="178"/>
    </row>
    <row r="25501" spans="18:19">
      <c r="R25501" s="178"/>
      <c r="S25501" s="178"/>
    </row>
    <row r="25502" spans="18:19">
      <c r="R25502" s="178"/>
      <c r="S25502" s="178"/>
    </row>
    <row r="25503" spans="18:19">
      <c r="R25503" s="178"/>
      <c r="S25503" s="178"/>
    </row>
    <row r="25504" spans="18:19">
      <c r="R25504" s="178"/>
      <c r="S25504" s="178"/>
    </row>
    <row r="25505" spans="18:19">
      <c r="R25505" s="178"/>
      <c r="S25505" s="178"/>
    </row>
    <row r="25506" spans="18:19">
      <c r="R25506" s="178"/>
      <c r="S25506" s="178"/>
    </row>
    <row r="25507" spans="18:19">
      <c r="R25507" s="178"/>
      <c r="S25507" s="178"/>
    </row>
    <row r="25508" spans="18:19">
      <c r="R25508" s="178"/>
      <c r="S25508" s="178"/>
    </row>
    <row r="25509" spans="18:19">
      <c r="R25509" s="178"/>
      <c r="S25509" s="178"/>
    </row>
    <row r="25510" spans="18:19">
      <c r="R25510" s="178"/>
      <c r="S25510" s="178"/>
    </row>
    <row r="25511" spans="18:19">
      <c r="R25511" s="178"/>
      <c r="S25511" s="178"/>
    </row>
    <row r="25512" spans="18:19">
      <c r="R25512" s="178"/>
      <c r="S25512" s="178"/>
    </row>
    <row r="25513" spans="18:19">
      <c r="R25513" s="178"/>
      <c r="S25513" s="178"/>
    </row>
    <row r="25514" spans="18:19">
      <c r="R25514" s="178"/>
      <c r="S25514" s="178"/>
    </row>
    <row r="25515" spans="18:19">
      <c r="R25515" s="178"/>
      <c r="S25515" s="178"/>
    </row>
    <row r="25516" spans="18:19">
      <c r="R25516" s="178"/>
      <c r="S25516" s="178"/>
    </row>
    <row r="25517" spans="18:19">
      <c r="R25517" s="178"/>
      <c r="S25517" s="178"/>
    </row>
    <row r="25518" spans="18:19">
      <c r="R25518" s="178"/>
      <c r="S25518" s="178"/>
    </row>
    <row r="25519" spans="18:19">
      <c r="R25519" s="178"/>
      <c r="S25519" s="178"/>
    </row>
    <row r="25520" spans="18:19">
      <c r="R25520" s="178"/>
      <c r="S25520" s="178"/>
    </row>
    <row r="25521" spans="18:19">
      <c r="R25521" s="178"/>
      <c r="S25521" s="178"/>
    </row>
    <row r="25522" spans="18:19">
      <c r="R25522" s="178"/>
      <c r="S25522" s="178"/>
    </row>
    <row r="25523" spans="18:19">
      <c r="R25523" s="178"/>
      <c r="S25523" s="178"/>
    </row>
    <row r="25524" spans="18:19">
      <c r="R25524" s="178"/>
      <c r="S25524" s="178"/>
    </row>
    <row r="25525" spans="18:19">
      <c r="R25525" s="178"/>
      <c r="S25525" s="178"/>
    </row>
    <row r="25526" spans="18:19">
      <c r="R25526" s="178"/>
      <c r="S25526" s="178"/>
    </row>
    <row r="25527" spans="18:19">
      <c r="R25527" s="178"/>
      <c r="S25527" s="178"/>
    </row>
    <row r="25528" spans="18:19">
      <c r="R25528" s="178"/>
      <c r="S25528" s="178"/>
    </row>
    <row r="25529" spans="18:19">
      <c r="R25529" s="178"/>
      <c r="S25529" s="178"/>
    </row>
    <row r="25530" spans="18:19">
      <c r="R25530" s="178"/>
      <c r="S25530" s="178"/>
    </row>
    <row r="25531" spans="18:19">
      <c r="R25531" s="178"/>
      <c r="S25531" s="178"/>
    </row>
    <row r="25532" spans="18:19">
      <c r="R25532" s="178"/>
      <c r="S25532" s="178"/>
    </row>
    <row r="25533" spans="18:19">
      <c r="R25533" s="178"/>
      <c r="S25533" s="178"/>
    </row>
    <row r="25534" spans="18:19">
      <c r="R25534" s="178"/>
      <c r="S25534" s="178"/>
    </row>
    <row r="25535" spans="18:19">
      <c r="R25535" s="178"/>
      <c r="S25535" s="178"/>
    </row>
    <row r="25536" spans="18:19">
      <c r="R25536" s="178"/>
      <c r="S25536" s="178"/>
    </row>
    <row r="25537" spans="18:19">
      <c r="R25537" s="178"/>
      <c r="S25537" s="178"/>
    </row>
    <row r="25538" spans="18:19">
      <c r="R25538" s="178"/>
      <c r="S25538" s="178"/>
    </row>
    <row r="25539" spans="18:19">
      <c r="R25539" s="178"/>
      <c r="S25539" s="178"/>
    </row>
    <row r="25540" spans="18:19">
      <c r="R25540" s="178"/>
      <c r="S25540" s="178"/>
    </row>
    <row r="25541" spans="18:19">
      <c r="R25541" s="178"/>
      <c r="S25541" s="178"/>
    </row>
    <row r="25542" spans="18:19">
      <c r="R25542" s="178"/>
      <c r="S25542" s="178"/>
    </row>
    <row r="25543" spans="18:19">
      <c r="R25543" s="178"/>
      <c r="S25543" s="178"/>
    </row>
    <row r="25544" spans="18:19">
      <c r="R25544" s="178"/>
      <c r="S25544" s="178"/>
    </row>
    <row r="25545" spans="18:19">
      <c r="R25545" s="178"/>
      <c r="S25545" s="178"/>
    </row>
    <row r="25546" spans="18:19">
      <c r="R25546" s="178"/>
      <c r="S25546" s="178"/>
    </row>
    <row r="25547" spans="18:19">
      <c r="R25547" s="178"/>
      <c r="S25547" s="178"/>
    </row>
    <row r="25548" spans="18:19">
      <c r="R25548" s="178"/>
      <c r="S25548" s="178"/>
    </row>
    <row r="25549" spans="18:19">
      <c r="R25549" s="178"/>
      <c r="S25549" s="178"/>
    </row>
    <row r="25550" spans="18:19">
      <c r="R25550" s="178"/>
      <c r="S25550" s="178"/>
    </row>
    <row r="25551" spans="18:19">
      <c r="R25551" s="178"/>
      <c r="S25551" s="178"/>
    </row>
    <row r="25552" spans="18:19">
      <c r="R25552" s="178"/>
      <c r="S25552" s="178"/>
    </row>
    <row r="25553" spans="18:19">
      <c r="R25553" s="178"/>
      <c r="S25553" s="178"/>
    </row>
    <row r="25554" spans="18:19">
      <c r="R25554" s="178"/>
      <c r="S25554" s="178"/>
    </row>
    <row r="25555" spans="18:19">
      <c r="R25555" s="178"/>
      <c r="S25555" s="178"/>
    </row>
    <row r="25556" spans="18:19">
      <c r="R25556" s="178"/>
      <c r="S25556" s="178"/>
    </row>
    <row r="25557" spans="18:19">
      <c r="R25557" s="178"/>
      <c r="S25557" s="178"/>
    </row>
    <row r="25558" spans="18:19">
      <c r="R25558" s="178"/>
      <c r="S25558" s="178"/>
    </row>
    <row r="25559" spans="18:19">
      <c r="R25559" s="178"/>
      <c r="S25559" s="178"/>
    </row>
    <row r="25560" spans="18:19">
      <c r="R25560" s="178"/>
      <c r="S25560" s="178"/>
    </row>
    <row r="25561" spans="18:19">
      <c r="R25561" s="178"/>
      <c r="S25561" s="178"/>
    </row>
    <row r="25562" spans="18:19">
      <c r="R25562" s="178"/>
      <c r="S25562" s="178"/>
    </row>
    <row r="25563" spans="18:19">
      <c r="R25563" s="178"/>
      <c r="S25563" s="178"/>
    </row>
    <row r="25564" spans="18:19">
      <c r="R25564" s="178"/>
      <c r="S25564" s="178"/>
    </row>
    <row r="25565" spans="18:19">
      <c r="R25565" s="178"/>
      <c r="S25565" s="178"/>
    </row>
    <row r="25566" spans="18:19">
      <c r="R25566" s="178"/>
      <c r="S25566" s="178"/>
    </row>
    <row r="25567" spans="18:19">
      <c r="R25567" s="178"/>
      <c r="S25567" s="178"/>
    </row>
    <row r="25568" spans="18:19">
      <c r="R25568" s="178"/>
      <c r="S25568" s="178"/>
    </row>
    <row r="25569" spans="18:19">
      <c r="R25569" s="178"/>
      <c r="S25569" s="178"/>
    </row>
    <row r="25570" spans="18:19">
      <c r="R25570" s="178"/>
      <c r="S25570" s="178"/>
    </row>
    <row r="25571" spans="18:19">
      <c r="R25571" s="178"/>
      <c r="S25571" s="178"/>
    </row>
    <row r="25572" spans="18:19">
      <c r="R25572" s="178"/>
      <c r="S25572" s="178"/>
    </row>
    <row r="25573" spans="18:19">
      <c r="R25573" s="178"/>
      <c r="S25573" s="178"/>
    </row>
    <row r="25574" spans="18:19">
      <c r="R25574" s="178"/>
      <c r="S25574" s="178"/>
    </row>
    <row r="25575" spans="18:19">
      <c r="R25575" s="178"/>
      <c r="S25575" s="178"/>
    </row>
    <row r="25576" spans="18:19">
      <c r="R25576" s="178"/>
      <c r="S25576" s="178"/>
    </row>
    <row r="25577" spans="18:19">
      <c r="R25577" s="178"/>
      <c r="S25577" s="178"/>
    </row>
    <row r="25578" spans="18:19">
      <c r="R25578" s="178"/>
      <c r="S25578" s="178"/>
    </row>
    <row r="25579" spans="18:19">
      <c r="R25579" s="178"/>
      <c r="S25579" s="178"/>
    </row>
    <row r="25580" spans="18:19">
      <c r="R25580" s="178"/>
      <c r="S25580" s="178"/>
    </row>
    <row r="25581" spans="18:19">
      <c r="R25581" s="178"/>
      <c r="S25581" s="178"/>
    </row>
    <row r="25582" spans="18:19">
      <c r="R25582" s="178"/>
      <c r="S25582" s="178"/>
    </row>
    <row r="25583" spans="18:19">
      <c r="R25583" s="178"/>
      <c r="S25583" s="178"/>
    </row>
    <row r="25584" spans="18:19">
      <c r="R25584" s="178"/>
      <c r="S25584" s="178"/>
    </row>
    <row r="25585" spans="18:19">
      <c r="R25585" s="178"/>
      <c r="S25585" s="178"/>
    </row>
    <row r="25586" spans="18:19">
      <c r="R25586" s="178"/>
      <c r="S25586" s="178"/>
    </row>
    <row r="25587" spans="18:19">
      <c r="R25587" s="178"/>
      <c r="S25587" s="178"/>
    </row>
    <row r="25588" spans="18:19">
      <c r="R25588" s="178"/>
      <c r="S25588" s="178"/>
    </row>
    <row r="25589" spans="18:19">
      <c r="R25589" s="178"/>
      <c r="S25589" s="178"/>
    </row>
    <row r="25590" spans="18:19">
      <c r="R25590" s="178"/>
      <c r="S25590" s="178"/>
    </row>
    <row r="25591" spans="18:19">
      <c r="R25591" s="178"/>
      <c r="S25591" s="178"/>
    </row>
    <row r="25592" spans="18:19">
      <c r="R25592" s="178"/>
      <c r="S25592" s="178"/>
    </row>
    <row r="25593" spans="18:19">
      <c r="R25593" s="178"/>
      <c r="S25593" s="178"/>
    </row>
    <row r="25594" spans="18:19">
      <c r="R25594" s="178"/>
      <c r="S25594" s="178"/>
    </row>
    <row r="25595" spans="18:19">
      <c r="R25595" s="178"/>
      <c r="S25595" s="178"/>
    </row>
    <row r="25596" spans="18:19">
      <c r="R25596" s="178"/>
      <c r="S25596" s="178"/>
    </row>
    <row r="25597" spans="18:19">
      <c r="R25597" s="178"/>
      <c r="S25597" s="178"/>
    </row>
    <row r="25598" spans="18:19">
      <c r="R25598" s="178"/>
      <c r="S25598" s="178"/>
    </row>
    <row r="25599" spans="18:19">
      <c r="R25599" s="178"/>
      <c r="S25599" s="178"/>
    </row>
    <row r="25600" spans="18:19">
      <c r="R25600" s="178"/>
      <c r="S25600" s="178"/>
    </row>
    <row r="25601" spans="18:19">
      <c r="R25601" s="178"/>
      <c r="S25601" s="178"/>
    </row>
    <row r="25602" spans="18:19">
      <c r="R25602" s="178"/>
      <c r="S25602" s="178"/>
    </row>
    <row r="25603" spans="18:19">
      <c r="R25603" s="178"/>
      <c r="S25603" s="178"/>
    </row>
    <row r="25604" spans="18:19">
      <c r="R25604" s="178"/>
      <c r="S25604" s="178"/>
    </row>
    <row r="25605" spans="18:19">
      <c r="R25605" s="178"/>
      <c r="S25605" s="178"/>
    </row>
    <row r="25606" spans="18:19">
      <c r="R25606" s="178"/>
      <c r="S25606" s="178"/>
    </row>
    <row r="25607" spans="18:19">
      <c r="R25607" s="178"/>
      <c r="S25607" s="178"/>
    </row>
    <row r="25608" spans="18:19">
      <c r="R25608" s="178"/>
      <c r="S25608" s="178"/>
    </row>
    <row r="25609" spans="18:19">
      <c r="R25609" s="178"/>
      <c r="S25609" s="178"/>
    </row>
    <row r="25610" spans="18:19">
      <c r="R25610" s="178"/>
      <c r="S25610" s="178"/>
    </row>
    <row r="25611" spans="18:19">
      <c r="R25611" s="178"/>
      <c r="S25611" s="178"/>
    </row>
    <row r="25612" spans="18:19">
      <c r="R25612" s="178"/>
      <c r="S25612" s="178"/>
    </row>
    <row r="25613" spans="18:19">
      <c r="R25613" s="178"/>
      <c r="S25613" s="178"/>
    </row>
    <row r="25614" spans="18:19">
      <c r="R25614" s="178"/>
      <c r="S25614" s="178"/>
    </row>
    <row r="25615" spans="18:19">
      <c r="R25615" s="178"/>
      <c r="S25615" s="178"/>
    </row>
    <row r="25616" spans="18:19">
      <c r="R25616" s="178"/>
      <c r="S25616" s="178"/>
    </row>
    <row r="25617" spans="18:19">
      <c r="R25617" s="178"/>
      <c r="S25617" s="178"/>
    </row>
    <row r="25618" spans="18:19">
      <c r="R25618" s="178"/>
      <c r="S25618" s="178"/>
    </row>
    <row r="25619" spans="18:19">
      <c r="R25619" s="178"/>
      <c r="S25619" s="178"/>
    </row>
    <row r="25620" spans="18:19">
      <c r="R25620" s="178"/>
      <c r="S25620" s="178"/>
    </row>
    <row r="25621" spans="18:19">
      <c r="R25621" s="178"/>
      <c r="S25621" s="178"/>
    </row>
    <row r="25622" spans="18:19">
      <c r="R25622" s="178"/>
      <c r="S25622" s="178"/>
    </row>
    <row r="25623" spans="18:19">
      <c r="R25623" s="178"/>
      <c r="S25623" s="178"/>
    </row>
    <row r="25624" spans="18:19">
      <c r="R25624" s="178"/>
      <c r="S25624" s="178"/>
    </row>
    <row r="25625" spans="18:19">
      <c r="R25625" s="178"/>
      <c r="S25625" s="178"/>
    </row>
    <row r="25626" spans="18:19">
      <c r="R25626" s="178"/>
      <c r="S25626" s="178"/>
    </row>
    <row r="25627" spans="18:19">
      <c r="R25627" s="178"/>
      <c r="S25627" s="178"/>
    </row>
    <row r="25628" spans="18:19">
      <c r="R25628" s="178"/>
      <c r="S25628" s="178"/>
    </row>
    <row r="25629" spans="18:19">
      <c r="R25629" s="178"/>
      <c r="S25629" s="178"/>
    </row>
    <row r="25630" spans="18:19">
      <c r="R25630" s="178"/>
      <c r="S25630" s="178"/>
    </row>
    <row r="25631" spans="18:19">
      <c r="R25631" s="178"/>
      <c r="S25631" s="178"/>
    </row>
    <row r="25632" spans="18:19">
      <c r="R25632" s="178"/>
      <c r="S25632" s="178"/>
    </row>
    <row r="25633" spans="18:19">
      <c r="R25633" s="178"/>
      <c r="S25633" s="178"/>
    </row>
    <row r="25634" spans="18:19">
      <c r="R25634" s="178"/>
      <c r="S25634" s="178"/>
    </row>
    <row r="25635" spans="18:19">
      <c r="R25635" s="178"/>
      <c r="S25635" s="178"/>
    </row>
    <row r="25636" spans="18:19">
      <c r="R25636" s="178"/>
      <c r="S25636" s="178"/>
    </row>
    <row r="25637" spans="18:19">
      <c r="R25637" s="178"/>
      <c r="S25637" s="178"/>
    </row>
    <row r="25638" spans="18:19">
      <c r="R25638" s="178"/>
      <c r="S25638" s="178"/>
    </row>
    <row r="25639" spans="18:19">
      <c r="R25639" s="178"/>
      <c r="S25639" s="178"/>
    </row>
    <row r="25640" spans="18:19">
      <c r="R25640" s="178"/>
      <c r="S25640" s="178"/>
    </row>
    <row r="25641" spans="18:19">
      <c r="R25641" s="178"/>
      <c r="S25641" s="178"/>
    </row>
    <row r="25642" spans="18:19">
      <c r="R25642" s="178"/>
      <c r="S25642" s="178"/>
    </row>
    <row r="25643" spans="18:19">
      <c r="R25643" s="178"/>
      <c r="S25643" s="178"/>
    </row>
    <row r="25644" spans="18:19">
      <c r="R25644" s="178"/>
      <c r="S25644" s="178"/>
    </row>
    <row r="25645" spans="18:19">
      <c r="R25645" s="178"/>
      <c r="S25645" s="178"/>
    </row>
    <row r="25646" spans="18:19">
      <c r="R25646" s="178"/>
      <c r="S25646" s="178"/>
    </row>
    <row r="25647" spans="18:19">
      <c r="R25647" s="178"/>
      <c r="S25647" s="178"/>
    </row>
    <row r="25648" spans="18:19">
      <c r="R25648" s="178"/>
      <c r="S25648" s="178"/>
    </row>
    <row r="25649" spans="18:19">
      <c r="R25649" s="178"/>
      <c r="S25649" s="178"/>
    </row>
    <row r="25650" spans="18:19">
      <c r="R25650" s="178"/>
      <c r="S25650" s="178"/>
    </row>
    <row r="25651" spans="18:19">
      <c r="R25651" s="178"/>
      <c r="S25651" s="178"/>
    </row>
    <row r="25652" spans="18:19">
      <c r="R25652" s="178"/>
      <c r="S25652" s="178"/>
    </row>
    <row r="25653" spans="18:19">
      <c r="R25653" s="178"/>
      <c r="S25653" s="178"/>
    </row>
    <row r="25654" spans="18:19">
      <c r="R25654" s="178"/>
      <c r="S25654" s="178"/>
    </row>
    <row r="25655" spans="18:19">
      <c r="R25655" s="178"/>
      <c r="S25655" s="178"/>
    </row>
    <row r="25656" spans="18:19">
      <c r="R25656" s="178"/>
      <c r="S25656" s="178"/>
    </row>
    <row r="25657" spans="18:19">
      <c r="R25657" s="178"/>
      <c r="S25657" s="178"/>
    </row>
    <row r="25658" spans="18:19">
      <c r="R25658" s="178"/>
      <c r="S25658" s="178"/>
    </row>
    <row r="25659" spans="18:19">
      <c r="R25659" s="178"/>
      <c r="S25659" s="178"/>
    </row>
    <row r="25660" spans="18:19">
      <c r="R25660" s="178"/>
      <c r="S25660" s="178"/>
    </row>
    <row r="25661" spans="18:19">
      <c r="R25661" s="178"/>
      <c r="S25661" s="178"/>
    </row>
    <row r="25662" spans="18:19">
      <c r="R25662" s="178"/>
      <c r="S25662" s="178"/>
    </row>
    <row r="25663" spans="18:19">
      <c r="R25663" s="178"/>
      <c r="S25663" s="178"/>
    </row>
    <row r="25664" spans="18:19">
      <c r="R25664" s="178"/>
      <c r="S25664" s="178"/>
    </row>
    <row r="25665" spans="18:19">
      <c r="R25665" s="178"/>
      <c r="S25665" s="178"/>
    </row>
    <row r="25666" spans="18:19">
      <c r="R25666" s="178"/>
      <c r="S25666" s="178"/>
    </row>
    <row r="25667" spans="18:19">
      <c r="R25667" s="178"/>
      <c r="S25667" s="178"/>
    </row>
    <row r="25668" spans="18:19">
      <c r="R25668" s="178"/>
      <c r="S25668" s="178"/>
    </row>
    <row r="25669" spans="18:19">
      <c r="R25669" s="178"/>
      <c r="S25669" s="178"/>
    </row>
    <row r="25670" spans="18:19">
      <c r="R25670" s="178"/>
      <c r="S25670" s="178"/>
    </row>
    <row r="25671" spans="18:19">
      <c r="R25671" s="178"/>
      <c r="S25671" s="178"/>
    </row>
    <row r="25672" spans="18:19">
      <c r="R25672" s="178"/>
      <c r="S25672" s="178"/>
    </row>
    <row r="25673" spans="18:19">
      <c r="R25673" s="178"/>
      <c r="S25673" s="178"/>
    </row>
    <row r="25674" spans="18:19">
      <c r="R25674" s="178"/>
      <c r="S25674" s="178"/>
    </row>
    <row r="25675" spans="18:19">
      <c r="R25675" s="178"/>
      <c r="S25675" s="178"/>
    </row>
    <row r="25676" spans="18:19">
      <c r="R25676" s="178"/>
      <c r="S25676" s="178"/>
    </row>
    <row r="25677" spans="18:19">
      <c r="R25677" s="178"/>
      <c r="S25677" s="178"/>
    </row>
    <row r="25678" spans="18:19">
      <c r="R25678" s="178"/>
      <c r="S25678" s="178"/>
    </row>
    <row r="25679" spans="18:19">
      <c r="R25679" s="178"/>
      <c r="S25679" s="178"/>
    </row>
    <row r="25680" spans="18:19">
      <c r="R25680" s="178"/>
      <c r="S25680" s="178"/>
    </row>
    <row r="25681" spans="18:19">
      <c r="R25681" s="178"/>
      <c r="S25681" s="178"/>
    </row>
    <row r="25682" spans="18:19">
      <c r="R25682" s="178"/>
      <c r="S25682" s="178"/>
    </row>
    <row r="25683" spans="18:19">
      <c r="R25683" s="178"/>
      <c r="S25683" s="178"/>
    </row>
    <row r="25684" spans="18:19">
      <c r="R25684" s="178"/>
      <c r="S25684" s="178"/>
    </row>
    <row r="25685" spans="18:19">
      <c r="R25685" s="178"/>
      <c r="S25685" s="178"/>
    </row>
    <row r="25686" spans="18:19">
      <c r="R25686" s="178"/>
      <c r="S25686" s="178"/>
    </row>
    <row r="25687" spans="18:19">
      <c r="R25687" s="178"/>
      <c r="S25687" s="178"/>
    </row>
    <row r="25688" spans="18:19">
      <c r="R25688" s="178"/>
      <c r="S25688" s="178"/>
    </row>
    <row r="25689" spans="18:19">
      <c r="R25689" s="178"/>
      <c r="S25689" s="178"/>
    </row>
    <row r="25690" spans="18:19">
      <c r="R25690" s="178"/>
      <c r="S25690" s="178"/>
    </row>
    <row r="25691" spans="18:19">
      <c r="R25691" s="178"/>
      <c r="S25691" s="178"/>
    </row>
    <row r="25692" spans="18:19">
      <c r="R25692" s="178"/>
      <c r="S25692" s="178"/>
    </row>
    <row r="25693" spans="18:19">
      <c r="R25693" s="178"/>
      <c r="S25693" s="178"/>
    </row>
    <row r="25694" spans="18:19">
      <c r="R25694" s="178"/>
      <c r="S25694" s="178"/>
    </row>
    <row r="25695" spans="18:19">
      <c r="R25695" s="178"/>
      <c r="S25695" s="178"/>
    </row>
    <row r="25696" spans="18:19">
      <c r="R25696" s="178"/>
      <c r="S25696" s="178"/>
    </row>
    <row r="25697" spans="18:19">
      <c r="R25697" s="178"/>
      <c r="S25697" s="178"/>
    </row>
    <row r="25698" spans="18:19">
      <c r="R25698" s="178"/>
      <c r="S25698" s="178"/>
    </row>
    <row r="25699" spans="18:19">
      <c r="R25699" s="178"/>
      <c r="S25699" s="178"/>
    </row>
    <row r="25700" spans="18:19">
      <c r="R25700" s="178"/>
      <c r="S25700" s="178"/>
    </row>
    <row r="25701" spans="18:19">
      <c r="R25701" s="178"/>
      <c r="S25701" s="178"/>
    </row>
    <row r="25702" spans="18:19">
      <c r="R25702" s="178"/>
      <c r="S25702" s="178"/>
    </row>
    <row r="25703" spans="18:19">
      <c r="R25703" s="178"/>
      <c r="S25703" s="178"/>
    </row>
    <row r="25704" spans="18:19">
      <c r="R25704" s="178"/>
      <c r="S25704" s="178"/>
    </row>
    <row r="25705" spans="18:19">
      <c r="R25705" s="178"/>
      <c r="S25705" s="178"/>
    </row>
    <row r="25706" spans="18:19">
      <c r="R25706" s="178"/>
      <c r="S25706" s="178"/>
    </row>
    <row r="25707" spans="18:19">
      <c r="R25707" s="178"/>
      <c r="S25707" s="178"/>
    </row>
    <row r="25708" spans="18:19">
      <c r="R25708" s="178"/>
      <c r="S25708" s="178"/>
    </row>
    <row r="25709" spans="18:19">
      <c r="R25709" s="178"/>
      <c r="S25709" s="178"/>
    </row>
    <row r="25710" spans="18:19">
      <c r="R25710" s="178"/>
      <c r="S25710" s="178"/>
    </row>
    <row r="25711" spans="18:19">
      <c r="R25711" s="178"/>
      <c r="S25711" s="178"/>
    </row>
    <row r="25712" spans="18:19">
      <c r="R25712" s="178"/>
      <c r="S25712" s="178"/>
    </row>
    <row r="25713" spans="18:19">
      <c r="R25713" s="178"/>
      <c r="S25713" s="178"/>
    </row>
    <row r="25714" spans="18:19">
      <c r="R25714" s="178"/>
      <c r="S25714" s="178"/>
    </row>
    <row r="25715" spans="18:19">
      <c r="R25715" s="178"/>
      <c r="S25715" s="178"/>
    </row>
    <row r="25716" spans="18:19">
      <c r="R25716" s="178"/>
      <c r="S25716" s="178"/>
    </row>
    <row r="25717" spans="18:19">
      <c r="R25717" s="178"/>
      <c r="S25717" s="178"/>
    </row>
    <row r="25718" spans="18:19">
      <c r="R25718" s="178"/>
      <c r="S25718" s="178"/>
    </row>
    <row r="25719" spans="18:19">
      <c r="R25719" s="178"/>
      <c r="S25719" s="178"/>
    </row>
    <row r="25720" spans="18:19">
      <c r="R25720" s="178"/>
      <c r="S25720" s="178"/>
    </row>
    <row r="25721" spans="18:19">
      <c r="R25721" s="178"/>
      <c r="S25721" s="178"/>
    </row>
    <row r="25722" spans="18:19">
      <c r="R25722" s="178"/>
      <c r="S25722" s="178"/>
    </row>
    <row r="25723" spans="18:19">
      <c r="R25723" s="178"/>
      <c r="S25723" s="178"/>
    </row>
    <row r="25724" spans="18:19">
      <c r="R25724" s="178"/>
      <c r="S25724" s="178"/>
    </row>
    <row r="25725" spans="18:19">
      <c r="R25725" s="178"/>
      <c r="S25725" s="178"/>
    </row>
    <row r="25726" spans="18:19">
      <c r="R25726" s="178"/>
      <c r="S25726" s="178"/>
    </row>
    <row r="25727" spans="18:19">
      <c r="R25727" s="178"/>
      <c r="S25727" s="178"/>
    </row>
    <row r="25728" spans="18:19">
      <c r="R25728" s="178"/>
      <c r="S25728" s="178"/>
    </row>
    <row r="25729" spans="18:19">
      <c r="R25729" s="178"/>
      <c r="S25729" s="178"/>
    </row>
    <row r="25730" spans="18:19">
      <c r="R25730" s="178"/>
      <c r="S25730" s="178"/>
    </row>
    <row r="25731" spans="18:19">
      <c r="R25731" s="178"/>
      <c r="S25731" s="178"/>
    </row>
    <row r="25732" spans="18:19">
      <c r="R25732" s="178"/>
      <c r="S25732" s="178"/>
    </row>
    <row r="25733" spans="18:19">
      <c r="R25733" s="178"/>
      <c r="S25733" s="178"/>
    </row>
    <row r="25734" spans="18:19">
      <c r="R25734" s="178"/>
      <c r="S25734" s="178"/>
    </row>
    <row r="25735" spans="18:19">
      <c r="R25735" s="178"/>
      <c r="S25735" s="178"/>
    </row>
    <row r="25736" spans="18:19">
      <c r="R25736" s="178"/>
      <c r="S25736" s="178"/>
    </row>
    <row r="25737" spans="18:19">
      <c r="R25737" s="178"/>
      <c r="S25737" s="178"/>
    </row>
    <row r="25738" spans="18:19">
      <c r="R25738" s="178"/>
      <c r="S25738" s="178"/>
    </row>
    <row r="25739" spans="18:19">
      <c r="R25739" s="178"/>
      <c r="S25739" s="178"/>
    </row>
    <row r="25740" spans="18:19">
      <c r="R25740" s="178"/>
      <c r="S25740" s="178"/>
    </row>
    <row r="25741" spans="18:19">
      <c r="R25741" s="178"/>
      <c r="S25741" s="178"/>
    </row>
    <row r="25742" spans="18:19">
      <c r="R25742" s="178"/>
      <c r="S25742" s="178"/>
    </row>
    <row r="25743" spans="18:19">
      <c r="R25743" s="178"/>
      <c r="S25743" s="178"/>
    </row>
    <row r="25744" spans="18:19">
      <c r="R25744" s="178"/>
      <c r="S25744" s="178"/>
    </row>
    <row r="25745" spans="18:19">
      <c r="R25745" s="178"/>
      <c r="S25745" s="178"/>
    </row>
    <row r="25746" spans="18:19">
      <c r="R25746" s="178"/>
      <c r="S25746" s="178"/>
    </row>
    <row r="25747" spans="18:19">
      <c r="R25747" s="178"/>
      <c r="S25747" s="178"/>
    </row>
    <row r="25748" spans="18:19">
      <c r="R25748" s="178"/>
      <c r="S25748" s="178"/>
    </row>
    <row r="25749" spans="18:19">
      <c r="R25749" s="178"/>
      <c r="S25749" s="178"/>
    </row>
    <row r="25750" spans="18:19">
      <c r="R25750" s="178"/>
      <c r="S25750" s="178"/>
    </row>
    <row r="25751" spans="18:19">
      <c r="R25751" s="178"/>
      <c r="S25751" s="178"/>
    </row>
    <row r="25752" spans="18:19">
      <c r="R25752" s="178"/>
      <c r="S25752" s="178"/>
    </row>
    <row r="25753" spans="18:19">
      <c r="R25753" s="178"/>
      <c r="S25753" s="178"/>
    </row>
    <row r="25754" spans="18:19">
      <c r="R25754" s="178"/>
      <c r="S25754" s="178"/>
    </row>
    <row r="25755" spans="18:19">
      <c r="R25755" s="178"/>
      <c r="S25755" s="178"/>
    </row>
    <row r="25756" spans="18:19">
      <c r="R25756" s="178"/>
      <c r="S25756" s="178"/>
    </row>
    <row r="25757" spans="18:19">
      <c r="R25757" s="178"/>
      <c r="S25757" s="178"/>
    </row>
    <row r="25758" spans="18:19">
      <c r="R25758" s="178"/>
      <c r="S25758" s="178"/>
    </row>
    <row r="25759" spans="18:19">
      <c r="R25759" s="178"/>
      <c r="S25759" s="178"/>
    </row>
    <row r="25760" spans="18:19">
      <c r="R25760" s="178"/>
      <c r="S25760" s="178"/>
    </row>
    <row r="25761" spans="18:19">
      <c r="R25761" s="178"/>
      <c r="S25761" s="178"/>
    </row>
    <row r="25762" spans="18:19">
      <c r="R25762" s="178"/>
      <c r="S25762" s="178"/>
    </row>
    <row r="25763" spans="18:19">
      <c r="R25763" s="178"/>
      <c r="S25763" s="178"/>
    </row>
    <row r="25764" spans="18:19">
      <c r="R25764" s="178"/>
      <c r="S25764" s="178"/>
    </row>
    <row r="25765" spans="18:19">
      <c r="R25765" s="178"/>
      <c r="S25765" s="178"/>
    </row>
    <row r="25766" spans="18:19">
      <c r="R25766" s="178"/>
      <c r="S25766" s="178"/>
    </row>
    <row r="25767" spans="18:19">
      <c r="R25767" s="178"/>
      <c r="S25767" s="178"/>
    </row>
    <row r="25768" spans="18:19">
      <c r="R25768" s="178"/>
      <c r="S25768" s="178"/>
    </row>
    <row r="25769" spans="18:19">
      <c r="R25769" s="178"/>
      <c r="S25769" s="178"/>
    </row>
    <row r="25770" spans="18:19">
      <c r="R25770" s="178"/>
      <c r="S25770" s="178"/>
    </row>
    <row r="25771" spans="18:19">
      <c r="R25771" s="178"/>
      <c r="S25771" s="178"/>
    </row>
    <row r="25772" spans="18:19">
      <c r="R25772" s="178"/>
      <c r="S25772" s="178"/>
    </row>
    <row r="25773" spans="18:19">
      <c r="R25773" s="178"/>
      <c r="S25773" s="178"/>
    </row>
    <row r="25774" spans="18:19">
      <c r="R25774" s="178"/>
      <c r="S25774" s="178"/>
    </row>
    <row r="25775" spans="18:19">
      <c r="R25775" s="178"/>
      <c r="S25775" s="178"/>
    </row>
    <row r="25776" spans="18:19">
      <c r="R25776" s="178"/>
      <c r="S25776" s="178"/>
    </row>
    <row r="25777" spans="18:19">
      <c r="R25777" s="178"/>
      <c r="S25777" s="178"/>
    </row>
    <row r="25778" spans="18:19">
      <c r="R25778" s="178"/>
      <c r="S25778" s="178"/>
    </row>
    <row r="25779" spans="18:19">
      <c r="R25779" s="178"/>
      <c r="S25779" s="178"/>
    </row>
    <row r="25780" spans="18:19">
      <c r="R25780" s="178"/>
      <c r="S25780" s="178"/>
    </row>
    <row r="25781" spans="18:19">
      <c r="R25781" s="178"/>
      <c r="S25781" s="178"/>
    </row>
    <row r="25782" spans="18:19">
      <c r="R25782" s="178"/>
      <c r="S25782" s="178"/>
    </row>
    <row r="25783" spans="18:19">
      <c r="R25783" s="178"/>
      <c r="S25783" s="178"/>
    </row>
    <row r="25784" spans="18:19">
      <c r="R25784" s="178"/>
      <c r="S25784" s="178"/>
    </row>
    <row r="25785" spans="18:19">
      <c r="R25785" s="178"/>
      <c r="S25785" s="178"/>
    </row>
    <row r="25786" spans="18:19">
      <c r="R25786" s="178"/>
      <c r="S25786" s="178"/>
    </row>
    <row r="25787" spans="18:19">
      <c r="R25787" s="178"/>
      <c r="S25787" s="178"/>
    </row>
    <row r="25788" spans="18:19">
      <c r="R25788" s="178"/>
      <c r="S25788" s="178"/>
    </row>
    <row r="25789" spans="18:19">
      <c r="R25789" s="178"/>
      <c r="S25789" s="178"/>
    </row>
    <row r="25790" spans="18:19">
      <c r="R25790" s="178"/>
      <c r="S25790" s="178"/>
    </row>
    <row r="25791" spans="18:19">
      <c r="R25791" s="178"/>
      <c r="S25791" s="178"/>
    </row>
    <row r="25792" spans="18:19">
      <c r="R25792" s="178"/>
      <c r="S25792" s="178"/>
    </row>
    <row r="25793" spans="18:19">
      <c r="R25793" s="178"/>
      <c r="S25793" s="178"/>
    </row>
    <row r="25794" spans="18:19">
      <c r="R25794" s="178"/>
      <c r="S25794" s="178"/>
    </row>
    <row r="25795" spans="18:19">
      <c r="R25795" s="178"/>
      <c r="S25795" s="178"/>
    </row>
    <row r="25796" spans="18:19">
      <c r="R25796" s="178"/>
      <c r="S25796" s="178"/>
    </row>
    <row r="25797" spans="18:19">
      <c r="R25797" s="178"/>
      <c r="S25797" s="178"/>
    </row>
    <row r="25798" spans="18:19">
      <c r="R25798" s="178"/>
      <c r="S25798" s="178"/>
    </row>
    <row r="25799" spans="18:19">
      <c r="R25799" s="178"/>
      <c r="S25799" s="178"/>
    </row>
    <row r="25800" spans="18:19">
      <c r="R25800" s="178"/>
      <c r="S25800" s="178"/>
    </row>
    <row r="25801" spans="18:19">
      <c r="R25801" s="178"/>
      <c r="S25801" s="178"/>
    </row>
    <row r="25802" spans="18:19">
      <c r="R25802" s="178"/>
      <c r="S25802" s="178"/>
    </row>
    <row r="25803" spans="18:19">
      <c r="R25803" s="178"/>
      <c r="S25803" s="178"/>
    </row>
    <row r="25804" spans="18:19">
      <c r="R25804" s="178"/>
      <c r="S25804" s="178"/>
    </row>
    <row r="25805" spans="18:19">
      <c r="R25805" s="178"/>
      <c r="S25805" s="178"/>
    </row>
    <row r="25806" spans="18:19">
      <c r="R25806" s="178"/>
      <c r="S25806" s="178"/>
    </row>
    <row r="25807" spans="18:19">
      <c r="R25807" s="178"/>
      <c r="S25807" s="178"/>
    </row>
    <row r="25808" spans="18:19">
      <c r="R25808" s="178"/>
      <c r="S25808" s="178"/>
    </row>
    <row r="25809" spans="18:19">
      <c r="R25809" s="178"/>
      <c r="S25809" s="178"/>
    </row>
    <row r="25810" spans="18:19">
      <c r="R25810" s="178"/>
      <c r="S25810" s="178"/>
    </row>
    <row r="25811" spans="18:19">
      <c r="R25811" s="178"/>
      <c r="S25811" s="178"/>
    </row>
    <row r="25812" spans="18:19">
      <c r="R25812" s="178"/>
      <c r="S25812" s="178"/>
    </row>
    <row r="25813" spans="18:19">
      <c r="R25813" s="178"/>
      <c r="S25813" s="178"/>
    </row>
    <row r="25814" spans="18:19">
      <c r="R25814" s="178"/>
      <c r="S25814" s="178"/>
    </row>
    <row r="25815" spans="18:19">
      <c r="R25815" s="178"/>
      <c r="S25815" s="178"/>
    </row>
    <row r="25816" spans="18:19">
      <c r="R25816" s="178"/>
      <c r="S25816" s="178"/>
    </row>
    <row r="25817" spans="18:19">
      <c r="R25817" s="178"/>
      <c r="S25817" s="178"/>
    </row>
    <row r="25818" spans="18:19">
      <c r="R25818" s="178"/>
      <c r="S25818" s="178"/>
    </row>
    <row r="25819" spans="18:19">
      <c r="R25819" s="178"/>
      <c r="S25819" s="178"/>
    </row>
    <row r="25820" spans="18:19">
      <c r="R25820" s="178"/>
      <c r="S25820" s="178"/>
    </row>
    <row r="25821" spans="18:19">
      <c r="R25821" s="178"/>
      <c r="S25821" s="178"/>
    </row>
    <row r="25822" spans="18:19">
      <c r="R25822" s="178"/>
      <c r="S25822" s="178"/>
    </row>
    <row r="25823" spans="18:19">
      <c r="R25823" s="178"/>
      <c r="S25823" s="178"/>
    </row>
    <row r="25824" spans="18:19">
      <c r="R25824" s="178"/>
      <c r="S25824" s="178"/>
    </row>
    <row r="25825" spans="18:19">
      <c r="R25825" s="178"/>
      <c r="S25825" s="178"/>
    </row>
    <row r="25826" spans="18:19">
      <c r="R25826" s="178"/>
      <c r="S25826" s="178"/>
    </row>
    <row r="25827" spans="18:19">
      <c r="R25827" s="178"/>
      <c r="S25827" s="178"/>
    </row>
    <row r="25828" spans="18:19">
      <c r="R25828" s="178"/>
      <c r="S25828" s="178"/>
    </row>
    <row r="25829" spans="18:19">
      <c r="R25829" s="178"/>
      <c r="S25829" s="178"/>
    </row>
    <row r="25830" spans="18:19">
      <c r="R25830" s="178"/>
      <c r="S25830" s="178"/>
    </row>
    <row r="25831" spans="18:19">
      <c r="R25831" s="178"/>
      <c r="S25831" s="178"/>
    </row>
    <row r="25832" spans="18:19">
      <c r="R25832" s="178"/>
      <c r="S25832" s="178"/>
    </row>
    <row r="25833" spans="18:19">
      <c r="R25833" s="178"/>
      <c r="S25833" s="178"/>
    </row>
    <row r="25834" spans="18:19">
      <c r="R25834" s="178"/>
      <c r="S25834" s="178"/>
    </row>
    <row r="25835" spans="18:19">
      <c r="R25835" s="178"/>
      <c r="S25835" s="178"/>
    </row>
    <row r="25836" spans="18:19">
      <c r="R25836" s="178"/>
      <c r="S25836" s="178"/>
    </row>
    <row r="25837" spans="18:19">
      <c r="R25837" s="178"/>
      <c r="S25837" s="178"/>
    </row>
    <row r="25838" spans="18:19">
      <c r="R25838" s="178"/>
      <c r="S25838" s="178"/>
    </row>
    <row r="25839" spans="18:19">
      <c r="R25839" s="178"/>
      <c r="S25839" s="178"/>
    </row>
    <row r="25840" spans="18:19">
      <c r="R25840" s="178"/>
      <c r="S25840" s="178"/>
    </row>
    <row r="25841" spans="18:19">
      <c r="R25841" s="178"/>
      <c r="S25841" s="178"/>
    </row>
    <row r="25842" spans="18:19">
      <c r="R25842" s="178"/>
      <c r="S25842" s="178"/>
    </row>
    <row r="25843" spans="18:19">
      <c r="R25843" s="178"/>
      <c r="S25843" s="178"/>
    </row>
    <row r="25844" spans="18:19">
      <c r="R25844" s="178"/>
      <c r="S25844" s="178"/>
    </row>
    <row r="25845" spans="18:19">
      <c r="R25845" s="178"/>
      <c r="S25845" s="178"/>
    </row>
    <row r="25846" spans="18:19">
      <c r="R25846" s="178"/>
      <c r="S25846" s="178"/>
    </row>
    <row r="25847" spans="18:19">
      <c r="R25847" s="178"/>
      <c r="S25847" s="178"/>
    </row>
    <row r="25848" spans="18:19">
      <c r="R25848" s="178"/>
      <c r="S25848" s="178"/>
    </row>
    <row r="25849" spans="18:19">
      <c r="R25849" s="178"/>
      <c r="S25849" s="178"/>
    </row>
    <row r="25850" spans="18:19">
      <c r="R25850" s="178"/>
      <c r="S25850" s="178"/>
    </row>
    <row r="25851" spans="18:19">
      <c r="R25851" s="178"/>
      <c r="S25851" s="178"/>
    </row>
    <row r="25852" spans="18:19">
      <c r="R25852" s="178"/>
      <c r="S25852" s="178"/>
    </row>
    <row r="25853" spans="18:19">
      <c r="R25853" s="178"/>
      <c r="S25853" s="178"/>
    </row>
    <row r="25854" spans="18:19">
      <c r="R25854" s="178"/>
      <c r="S25854" s="178"/>
    </row>
    <row r="25855" spans="18:19">
      <c r="R25855" s="178"/>
      <c r="S25855" s="178"/>
    </row>
    <row r="25856" spans="18:19">
      <c r="R25856" s="178"/>
      <c r="S25856" s="178"/>
    </row>
    <row r="25857" spans="18:19">
      <c r="R25857" s="178"/>
      <c r="S25857" s="178"/>
    </row>
    <row r="25858" spans="18:19">
      <c r="R25858" s="178"/>
      <c r="S25858" s="178"/>
    </row>
    <row r="25859" spans="18:19">
      <c r="R25859" s="178"/>
      <c r="S25859" s="178"/>
    </row>
    <row r="25860" spans="18:19">
      <c r="R25860" s="178"/>
      <c r="S25860" s="178"/>
    </row>
    <row r="25861" spans="18:19">
      <c r="R25861" s="178"/>
      <c r="S25861" s="178"/>
    </row>
    <row r="25862" spans="18:19">
      <c r="R25862" s="178"/>
      <c r="S25862" s="178"/>
    </row>
    <row r="25863" spans="18:19">
      <c r="R25863" s="178"/>
      <c r="S25863" s="178"/>
    </row>
    <row r="25864" spans="18:19">
      <c r="R25864" s="178"/>
      <c r="S25864" s="178"/>
    </row>
    <row r="25865" spans="18:19">
      <c r="R25865" s="178"/>
      <c r="S25865" s="178"/>
    </row>
    <row r="25866" spans="18:19">
      <c r="R25866" s="178"/>
      <c r="S25866" s="178"/>
    </row>
    <row r="25867" spans="18:19">
      <c r="R25867" s="178"/>
      <c r="S25867" s="178"/>
    </row>
    <row r="25868" spans="18:19">
      <c r="R25868" s="178"/>
      <c r="S25868" s="178"/>
    </row>
    <row r="25869" spans="18:19">
      <c r="R25869" s="178"/>
      <c r="S25869" s="178"/>
    </row>
    <row r="25870" spans="18:19">
      <c r="R25870" s="178"/>
      <c r="S25870" s="178"/>
    </row>
    <row r="25871" spans="18:19">
      <c r="R25871" s="178"/>
      <c r="S25871" s="178"/>
    </row>
    <row r="25872" spans="18:19">
      <c r="R25872" s="178"/>
      <c r="S25872" s="178"/>
    </row>
    <row r="25873" spans="18:19">
      <c r="R25873" s="178"/>
      <c r="S25873" s="178"/>
    </row>
    <row r="25874" spans="18:19">
      <c r="R25874" s="178"/>
      <c r="S25874" s="178"/>
    </row>
    <row r="25875" spans="18:19">
      <c r="R25875" s="178"/>
      <c r="S25875" s="178"/>
    </row>
    <row r="25876" spans="18:19">
      <c r="R25876" s="178"/>
      <c r="S25876" s="178"/>
    </row>
    <row r="25877" spans="18:19">
      <c r="R25877" s="178"/>
      <c r="S25877" s="178"/>
    </row>
    <row r="25878" spans="18:19">
      <c r="R25878" s="178"/>
      <c r="S25878" s="178"/>
    </row>
    <row r="25879" spans="18:19">
      <c r="R25879" s="178"/>
      <c r="S25879" s="178"/>
    </row>
    <row r="25880" spans="18:19">
      <c r="R25880" s="178"/>
      <c r="S25880" s="178"/>
    </row>
    <row r="25881" spans="18:19">
      <c r="R25881" s="178"/>
      <c r="S25881" s="178"/>
    </row>
    <row r="25882" spans="18:19">
      <c r="R25882" s="178"/>
      <c r="S25882" s="178"/>
    </row>
    <row r="25883" spans="18:19">
      <c r="R25883" s="178"/>
      <c r="S25883" s="178"/>
    </row>
    <row r="25884" spans="18:19">
      <c r="R25884" s="178"/>
      <c r="S25884" s="178"/>
    </row>
    <row r="25885" spans="18:19">
      <c r="R25885" s="178"/>
      <c r="S25885" s="178"/>
    </row>
    <row r="25886" spans="18:19">
      <c r="R25886" s="178"/>
      <c r="S25886" s="178"/>
    </row>
    <row r="25887" spans="18:19">
      <c r="R25887" s="178"/>
      <c r="S25887" s="178"/>
    </row>
    <row r="25888" spans="18:19">
      <c r="R25888" s="178"/>
      <c r="S25888" s="178"/>
    </row>
    <row r="25889" spans="18:19">
      <c r="R25889" s="178"/>
      <c r="S25889" s="178"/>
    </row>
    <row r="25890" spans="18:19">
      <c r="R25890" s="178"/>
      <c r="S25890" s="178"/>
    </row>
    <row r="25891" spans="18:19">
      <c r="R25891" s="178"/>
      <c r="S25891" s="178"/>
    </row>
    <row r="25892" spans="18:19">
      <c r="R25892" s="178"/>
      <c r="S25892" s="178"/>
    </row>
    <row r="25893" spans="18:19">
      <c r="R25893" s="178"/>
      <c r="S25893" s="178"/>
    </row>
    <row r="25894" spans="18:19">
      <c r="R25894" s="178"/>
      <c r="S25894" s="178"/>
    </row>
    <row r="25895" spans="18:19">
      <c r="R25895" s="178"/>
      <c r="S25895" s="178"/>
    </row>
    <row r="25896" spans="18:19">
      <c r="R25896" s="178"/>
      <c r="S25896" s="178"/>
    </row>
    <row r="25897" spans="18:19">
      <c r="R25897" s="178"/>
      <c r="S25897" s="178"/>
    </row>
    <row r="25898" spans="18:19">
      <c r="R25898" s="178"/>
      <c r="S25898" s="178"/>
    </row>
    <row r="25899" spans="18:19">
      <c r="R25899" s="178"/>
      <c r="S25899" s="178"/>
    </row>
    <row r="25900" spans="18:19">
      <c r="R25900" s="178"/>
      <c r="S25900" s="178"/>
    </row>
    <row r="25901" spans="18:19">
      <c r="R25901" s="178"/>
      <c r="S25901" s="178"/>
    </row>
    <row r="25902" spans="18:19">
      <c r="R25902" s="178"/>
      <c r="S25902" s="178"/>
    </row>
    <row r="25903" spans="18:19">
      <c r="R25903" s="178"/>
      <c r="S25903" s="178"/>
    </row>
    <row r="25904" spans="18:19">
      <c r="R25904" s="178"/>
      <c r="S25904" s="178"/>
    </row>
    <row r="25905" spans="18:19">
      <c r="R25905" s="178"/>
      <c r="S25905" s="178"/>
    </row>
    <row r="25906" spans="18:19">
      <c r="R25906" s="178"/>
      <c r="S25906" s="178"/>
    </row>
    <row r="25907" spans="18:19">
      <c r="R25907" s="178"/>
      <c r="S25907" s="178"/>
    </row>
    <row r="25908" spans="18:19">
      <c r="R25908" s="178"/>
      <c r="S25908" s="178"/>
    </row>
    <row r="25909" spans="18:19">
      <c r="R25909" s="178"/>
      <c r="S25909" s="178"/>
    </row>
    <row r="25910" spans="18:19">
      <c r="R25910" s="178"/>
      <c r="S25910" s="178"/>
    </row>
    <row r="25911" spans="18:19">
      <c r="R25911" s="178"/>
      <c r="S25911" s="178"/>
    </row>
    <row r="25912" spans="18:19">
      <c r="R25912" s="178"/>
      <c r="S25912" s="178"/>
    </row>
    <row r="25913" spans="18:19">
      <c r="R25913" s="178"/>
      <c r="S25913" s="178"/>
    </row>
    <row r="25914" spans="18:19">
      <c r="R25914" s="178"/>
      <c r="S25914" s="178"/>
    </row>
    <row r="25915" spans="18:19">
      <c r="R25915" s="178"/>
      <c r="S25915" s="178"/>
    </row>
    <row r="25916" spans="18:19">
      <c r="R25916" s="178"/>
      <c r="S25916" s="178"/>
    </row>
    <row r="25917" spans="18:19">
      <c r="R25917" s="178"/>
      <c r="S25917" s="178"/>
    </row>
    <row r="25918" spans="18:19">
      <c r="R25918" s="178"/>
      <c r="S25918" s="178"/>
    </row>
    <row r="25919" spans="18:19">
      <c r="R25919" s="178"/>
      <c r="S25919" s="178"/>
    </row>
    <row r="25920" spans="18:19">
      <c r="R25920" s="178"/>
      <c r="S25920" s="178"/>
    </row>
    <row r="25921" spans="18:19">
      <c r="R25921" s="178"/>
      <c r="S25921" s="178"/>
    </row>
    <row r="25922" spans="18:19">
      <c r="R25922" s="178"/>
      <c r="S25922" s="178"/>
    </row>
    <row r="25923" spans="18:19">
      <c r="R25923" s="178"/>
      <c r="S25923" s="178"/>
    </row>
    <row r="25924" spans="18:19">
      <c r="R25924" s="178"/>
      <c r="S25924" s="178"/>
    </row>
    <row r="25925" spans="18:19">
      <c r="R25925" s="178"/>
      <c r="S25925" s="178"/>
    </row>
    <row r="25926" spans="18:19">
      <c r="R25926" s="178"/>
      <c r="S25926" s="178"/>
    </row>
    <row r="25927" spans="18:19">
      <c r="R25927" s="178"/>
      <c r="S25927" s="178"/>
    </row>
    <row r="25928" spans="18:19">
      <c r="R25928" s="178"/>
      <c r="S25928" s="178"/>
    </row>
    <row r="25929" spans="18:19">
      <c r="R25929" s="178"/>
      <c r="S25929" s="178"/>
    </row>
    <row r="25930" spans="18:19">
      <c r="R25930" s="178"/>
      <c r="S25930" s="178"/>
    </row>
    <row r="25931" spans="18:19">
      <c r="R25931" s="178"/>
      <c r="S25931" s="178"/>
    </row>
    <row r="25932" spans="18:19">
      <c r="R25932" s="178"/>
      <c r="S25932" s="178"/>
    </row>
    <row r="25933" spans="18:19">
      <c r="R25933" s="178"/>
      <c r="S25933" s="178"/>
    </row>
    <row r="25934" spans="18:19">
      <c r="R25934" s="178"/>
      <c r="S25934" s="178"/>
    </row>
    <row r="25935" spans="18:19">
      <c r="R25935" s="178"/>
      <c r="S25935" s="178"/>
    </row>
    <row r="25936" spans="18:19">
      <c r="R25936" s="178"/>
      <c r="S25936" s="178"/>
    </row>
    <row r="25937" spans="18:19">
      <c r="R25937" s="178"/>
      <c r="S25937" s="178"/>
    </row>
    <row r="25938" spans="18:19">
      <c r="R25938" s="178"/>
      <c r="S25938" s="178"/>
    </row>
    <row r="25939" spans="18:19">
      <c r="R25939" s="178"/>
      <c r="S25939" s="178"/>
    </row>
    <row r="25940" spans="18:19">
      <c r="R25940" s="178"/>
      <c r="S25940" s="178"/>
    </row>
    <row r="25941" spans="18:19">
      <c r="R25941" s="178"/>
      <c r="S25941" s="178"/>
    </row>
    <row r="25942" spans="18:19">
      <c r="R25942" s="178"/>
      <c r="S25942" s="178"/>
    </row>
    <row r="25943" spans="18:19">
      <c r="R25943" s="178"/>
      <c r="S25943" s="178"/>
    </row>
    <row r="25944" spans="18:19">
      <c r="R25944" s="178"/>
      <c r="S25944" s="178"/>
    </row>
    <row r="25945" spans="18:19">
      <c r="R25945" s="178"/>
      <c r="S25945" s="178"/>
    </row>
    <row r="25946" spans="18:19">
      <c r="R25946" s="178"/>
      <c r="S25946" s="178"/>
    </row>
    <row r="25947" spans="18:19">
      <c r="R25947" s="178"/>
      <c r="S25947" s="178"/>
    </row>
    <row r="25948" spans="18:19">
      <c r="R25948" s="178"/>
      <c r="S25948" s="178"/>
    </row>
    <row r="25949" spans="18:19">
      <c r="R25949" s="178"/>
      <c r="S25949" s="178"/>
    </row>
    <row r="25950" spans="18:19">
      <c r="R25950" s="178"/>
      <c r="S25950" s="178"/>
    </row>
    <row r="25951" spans="18:19">
      <c r="R25951" s="178"/>
      <c r="S25951" s="178"/>
    </row>
    <row r="25952" spans="18:19">
      <c r="R25952" s="178"/>
      <c r="S25952" s="178"/>
    </row>
    <row r="25953" spans="18:19">
      <c r="R25953" s="178"/>
      <c r="S25953" s="178"/>
    </row>
    <row r="25954" spans="18:19">
      <c r="R25954" s="178"/>
      <c r="S25954" s="178"/>
    </row>
    <row r="25955" spans="18:19">
      <c r="R25955" s="178"/>
      <c r="S25955" s="178"/>
    </row>
    <row r="25956" spans="18:19">
      <c r="R25956" s="178"/>
      <c r="S25956" s="178"/>
    </row>
    <row r="25957" spans="18:19">
      <c r="R25957" s="178"/>
      <c r="S25957" s="178"/>
    </row>
    <row r="25958" spans="18:19">
      <c r="R25958" s="178"/>
      <c r="S25958" s="178"/>
    </row>
    <row r="25959" spans="18:19">
      <c r="R25959" s="178"/>
      <c r="S25959" s="178"/>
    </row>
    <row r="25960" spans="18:19">
      <c r="R25960" s="178"/>
      <c r="S25960" s="178"/>
    </row>
    <row r="25961" spans="18:19">
      <c r="R25961" s="178"/>
      <c r="S25961" s="178"/>
    </row>
    <row r="25962" spans="18:19">
      <c r="R25962" s="178"/>
      <c r="S25962" s="178"/>
    </row>
    <row r="25963" spans="18:19">
      <c r="R25963" s="178"/>
      <c r="S25963" s="178"/>
    </row>
    <row r="25964" spans="18:19">
      <c r="R25964" s="178"/>
      <c r="S25964" s="178"/>
    </row>
    <row r="25965" spans="18:19">
      <c r="R25965" s="178"/>
      <c r="S25965" s="178"/>
    </row>
    <row r="25966" spans="18:19">
      <c r="R25966" s="178"/>
      <c r="S25966" s="178"/>
    </row>
    <row r="25967" spans="18:19">
      <c r="R25967" s="178"/>
      <c r="S25967" s="178"/>
    </row>
    <row r="25968" spans="18:19">
      <c r="R25968" s="178"/>
      <c r="S25968" s="178"/>
    </row>
    <row r="25969" spans="18:19">
      <c r="R25969" s="178"/>
      <c r="S25969" s="178"/>
    </row>
    <row r="25970" spans="18:19">
      <c r="R25970" s="178"/>
      <c r="S25970" s="178"/>
    </row>
    <row r="25971" spans="18:19">
      <c r="R25971" s="178"/>
      <c r="S25971" s="178"/>
    </row>
    <row r="25972" spans="18:19">
      <c r="R25972" s="178"/>
      <c r="S25972" s="178"/>
    </row>
    <row r="25973" spans="18:19">
      <c r="R25973" s="178"/>
      <c r="S25973" s="178"/>
    </row>
    <row r="25974" spans="18:19">
      <c r="R25974" s="178"/>
      <c r="S25974" s="178"/>
    </row>
    <row r="25975" spans="18:19">
      <c r="R25975" s="178"/>
      <c r="S25975" s="178"/>
    </row>
    <row r="25976" spans="18:19">
      <c r="R25976" s="178"/>
      <c r="S25976" s="178"/>
    </row>
    <row r="25977" spans="18:19">
      <c r="R25977" s="178"/>
      <c r="S25977" s="178"/>
    </row>
    <row r="25978" spans="18:19">
      <c r="R25978" s="178"/>
      <c r="S25978" s="178"/>
    </row>
    <row r="25979" spans="18:19">
      <c r="R25979" s="178"/>
      <c r="S25979" s="178"/>
    </row>
    <row r="25980" spans="18:19">
      <c r="R25980" s="178"/>
      <c r="S25980" s="178"/>
    </row>
    <row r="25981" spans="18:19">
      <c r="R25981" s="178"/>
      <c r="S25981" s="178"/>
    </row>
    <row r="25982" spans="18:19">
      <c r="R25982" s="178"/>
      <c r="S25982" s="178"/>
    </row>
    <row r="25983" spans="18:19">
      <c r="R25983" s="178"/>
      <c r="S25983" s="178"/>
    </row>
    <row r="25984" spans="18:19">
      <c r="R25984" s="178"/>
      <c r="S25984" s="178"/>
    </row>
    <row r="25985" spans="18:19">
      <c r="R25985" s="178"/>
      <c r="S25985" s="178"/>
    </row>
    <row r="25986" spans="18:19">
      <c r="R25986" s="178"/>
      <c r="S25986" s="178"/>
    </row>
    <row r="25987" spans="18:19">
      <c r="R25987" s="178"/>
      <c r="S25987" s="178"/>
    </row>
    <row r="25988" spans="18:19">
      <c r="R25988" s="178"/>
      <c r="S25988" s="178"/>
    </row>
    <row r="25989" spans="18:19">
      <c r="R25989" s="178"/>
      <c r="S25989" s="178"/>
    </row>
    <row r="25990" spans="18:19">
      <c r="R25990" s="178"/>
      <c r="S25990" s="178"/>
    </row>
    <row r="25991" spans="18:19">
      <c r="R25991" s="178"/>
      <c r="S25991" s="178"/>
    </row>
    <row r="25992" spans="18:19">
      <c r="R25992" s="178"/>
      <c r="S25992" s="178"/>
    </row>
    <row r="25993" spans="18:19">
      <c r="R25993" s="178"/>
      <c r="S25993" s="178"/>
    </row>
    <row r="25994" spans="18:19">
      <c r="R25994" s="178"/>
      <c r="S25994" s="178"/>
    </row>
    <row r="25995" spans="18:19">
      <c r="R25995" s="178"/>
      <c r="S25995" s="178"/>
    </row>
    <row r="25996" spans="18:19">
      <c r="R25996" s="178"/>
      <c r="S25996" s="178"/>
    </row>
    <row r="25997" spans="18:19">
      <c r="R25997" s="178"/>
      <c r="S25997" s="178"/>
    </row>
    <row r="25998" spans="18:19">
      <c r="R25998" s="178"/>
      <c r="S25998" s="178"/>
    </row>
    <row r="25999" spans="18:19">
      <c r="R25999" s="178"/>
      <c r="S25999" s="178"/>
    </row>
    <row r="26000" spans="18:19">
      <c r="R26000" s="178"/>
      <c r="S26000" s="178"/>
    </row>
    <row r="26001" spans="18:19">
      <c r="R26001" s="178"/>
      <c r="S26001" s="178"/>
    </row>
    <row r="26002" spans="18:19">
      <c r="R26002" s="178"/>
      <c r="S26002" s="178"/>
    </row>
    <row r="26003" spans="18:19">
      <c r="R26003" s="178"/>
      <c r="S26003" s="178"/>
    </row>
    <row r="26004" spans="18:19">
      <c r="R26004" s="178"/>
      <c r="S26004" s="178"/>
    </row>
    <row r="26005" spans="18:19">
      <c r="R26005" s="178"/>
      <c r="S26005" s="178"/>
    </row>
    <row r="26006" spans="18:19">
      <c r="R26006" s="178"/>
      <c r="S26006" s="178"/>
    </row>
    <row r="26007" spans="18:19">
      <c r="R26007" s="178"/>
      <c r="S26007" s="178"/>
    </row>
    <row r="26008" spans="18:19">
      <c r="R26008" s="178"/>
      <c r="S26008" s="178"/>
    </row>
    <row r="26009" spans="18:19">
      <c r="R26009" s="178"/>
      <c r="S26009" s="178"/>
    </row>
    <row r="26010" spans="18:19">
      <c r="R26010" s="178"/>
      <c r="S26010" s="178"/>
    </row>
    <row r="26011" spans="18:19">
      <c r="R26011" s="178"/>
      <c r="S26011" s="178"/>
    </row>
    <row r="26012" spans="18:19">
      <c r="R26012" s="178"/>
      <c r="S26012" s="178"/>
    </row>
    <row r="26013" spans="18:19">
      <c r="R26013" s="178"/>
      <c r="S26013" s="178"/>
    </row>
    <row r="26014" spans="18:19">
      <c r="R26014" s="178"/>
      <c r="S26014" s="178"/>
    </row>
    <row r="26015" spans="18:19">
      <c r="R26015" s="178"/>
      <c r="S26015" s="178"/>
    </row>
    <row r="26016" spans="18:19">
      <c r="R26016" s="178"/>
      <c r="S26016" s="178"/>
    </row>
    <row r="26017" spans="18:19">
      <c r="R26017" s="178"/>
      <c r="S26017" s="178"/>
    </row>
    <row r="26018" spans="18:19">
      <c r="R26018" s="178"/>
      <c r="S26018" s="178"/>
    </row>
    <row r="26019" spans="18:19">
      <c r="R26019" s="178"/>
      <c r="S26019" s="178"/>
    </row>
    <row r="26020" spans="18:19">
      <c r="R26020" s="178"/>
      <c r="S26020" s="178"/>
    </row>
    <row r="26021" spans="18:19">
      <c r="R26021" s="178"/>
      <c r="S26021" s="178"/>
    </row>
    <row r="26022" spans="18:19">
      <c r="R26022" s="178"/>
      <c r="S26022" s="178"/>
    </row>
    <row r="26023" spans="18:19">
      <c r="R26023" s="178"/>
      <c r="S26023" s="178"/>
    </row>
    <row r="26024" spans="18:19">
      <c r="R26024" s="178"/>
      <c r="S26024" s="178"/>
    </row>
    <row r="26025" spans="18:19">
      <c r="R26025" s="178"/>
      <c r="S26025" s="178"/>
    </row>
    <row r="26026" spans="18:19">
      <c r="R26026" s="178"/>
      <c r="S26026" s="178"/>
    </row>
    <row r="26027" spans="18:19">
      <c r="R26027" s="178"/>
      <c r="S26027" s="178"/>
    </row>
    <row r="26028" spans="18:19">
      <c r="R26028" s="178"/>
      <c r="S26028" s="178"/>
    </row>
    <row r="26029" spans="18:19">
      <c r="R26029" s="178"/>
      <c r="S26029" s="178"/>
    </row>
    <row r="26030" spans="18:19">
      <c r="R26030" s="178"/>
      <c r="S26030" s="178"/>
    </row>
    <row r="26031" spans="18:19">
      <c r="R26031" s="178"/>
      <c r="S26031" s="178"/>
    </row>
    <row r="26032" spans="18:19">
      <c r="R26032" s="178"/>
      <c r="S26032" s="178"/>
    </row>
    <row r="26033" spans="18:19">
      <c r="R26033" s="178"/>
      <c r="S26033" s="178"/>
    </row>
    <row r="26034" spans="18:19">
      <c r="R26034" s="178"/>
      <c r="S26034" s="178"/>
    </row>
    <row r="26035" spans="18:19">
      <c r="R26035" s="178"/>
      <c r="S26035" s="178"/>
    </row>
    <row r="26036" spans="18:19">
      <c r="R26036" s="178"/>
      <c r="S26036" s="178"/>
    </row>
    <row r="26037" spans="18:19">
      <c r="R26037" s="178"/>
      <c r="S26037" s="178"/>
    </row>
    <row r="26038" spans="18:19">
      <c r="R26038" s="178"/>
      <c r="S26038" s="178"/>
    </row>
    <row r="26039" spans="18:19">
      <c r="R26039" s="178"/>
      <c r="S26039" s="178"/>
    </row>
    <row r="26040" spans="18:19">
      <c r="R26040" s="178"/>
      <c r="S26040" s="178"/>
    </row>
    <row r="26041" spans="18:19">
      <c r="R26041" s="178"/>
      <c r="S26041" s="178"/>
    </row>
    <row r="26042" spans="18:19">
      <c r="R26042" s="178"/>
      <c r="S26042" s="178"/>
    </row>
    <row r="26043" spans="18:19">
      <c r="R26043" s="178"/>
      <c r="S26043" s="178"/>
    </row>
    <row r="26044" spans="18:19">
      <c r="R26044" s="178"/>
      <c r="S26044" s="178"/>
    </row>
    <row r="26045" spans="18:19">
      <c r="R26045" s="178"/>
      <c r="S26045" s="178"/>
    </row>
    <row r="26046" spans="18:19">
      <c r="R26046" s="178"/>
      <c r="S26046" s="178"/>
    </row>
    <row r="26047" spans="18:19">
      <c r="R26047" s="178"/>
      <c r="S26047" s="178"/>
    </row>
    <row r="26048" spans="18:19">
      <c r="R26048" s="178"/>
      <c r="S26048" s="178"/>
    </row>
    <row r="26049" spans="18:19">
      <c r="R26049" s="178"/>
      <c r="S26049" s="178"/>
    </row>
    <row r="26050" spans="18:19">
      <c r="R26050" s="178"/>
      <c r="S26050" s="178"/>
    </row>
    <row r="26051" spans="18:19">
      <c r="R26051" s="178"/>
      <c r="S26051" s="178"/>
    </row>
    <row r="26052" spans="18:19">
      <c r="R26052" s="178"/>
      <c r="S26052" s="178"/>
    </row>
    <row r="26053" spans="18:19">
      <c r="R26053" s="178"/>
      <c r="S26053" s="178"/>
    </row>
    <row r="26054" spans="18:19">
      <c r="R26054" s="178"/>
      <c r="S26054" s="178"/>
    </row>
    <row r="26055" spans="18:19">
      <c r="R26055" s="178"/>
      <c r="S26055" s="178"/>
    </row>
    <row r="26056" spans="18:19">
      <c r="R26056" s="178"/>
      <c r="S26056" s="178"/>
    </row>
    <row r="26057" spans="18:19">
      <c r="R26057" s="178"/>
      <c r="S26057" s="178"/>
    </row>
    <row r="26058" spans="18:19">
      <c r="R26058" s="178"/>
      <c r="S26058" s="178"/>
    </row>
    <row r="26059" spans="18:19">
      <c r="R26059" s="178"/>
      <c r="S26059" s="178"/>
    </row>
    <row r="26060" spans="18:19">
      <c r="R26060" s="178"/>
      <c r="S26060" s="178"/>
    </row>
    <row r="26061" spans="18:19">
      <c r="R26061" s="178"/>
      <c r="S26061" s="178"/>
    </row>
    <row r="26062" spans="18:19">
      <c r="R26062" s="178"/>
      <c r="S26062" s="178"/>
    </row>
    <row r="26063" spans="18:19">
      <c r="R26063" s="178"/>
      <c r="S26063" s="178"/>
    </row>
    <row r="26064" spans="18:19">
      <c r="R26064" s="178"/>
      <c r="S26064" s="178"/>
    </row>
    <row r="26065" spans="18:19">
      <c r="R26065" s="178"/>
      <c r="S26065" s="178"/>
    </row>
    <row r="26066" spans="18:19">
      <c r="R26066" s="178"/>
      <c r="S26066" s="178"/>
    </row>
    <row r="26067" spans="18:19">
      <c r="R26067" s="178"/>
      <c r="S26067" s="178"/>
    </row>
    <row r="26068" spans="18:19">
      <c r="R26068" s="178"/>
      <c r="S26068" s="178"/>
    </row>
    <row r="26069" spans="18:19">
      <c r="R26069" s="178"/>
      <c r="S26069" s="178"/>
    </row>
    <row r="26070" spans="18:19">
      <c r="R26070" s="178"/>
      <c r="S26070" s="178"/>
    </row>
    <row r="26071" spans="18:19">
      <c r="R26071" s="178"/>
      <c r="S26071" s="178"/>
    </row>
    <row r="26072" spans="18:19">
      <c r="R26072" s="178"/>
      <c r="S26072" s="178"/>
    </row>
    <row r="26073" spans="18:19">
      <c r="R26073" s="178"/>
      <c r="S26073" s="178"/>
    </row>
    <row r="26074" spans="18:19">
      <c r="R26074" s="178"/>
      <c r="S26074" s="178"/>
    </row>
    <row r="26075" spans="18:19">
      <c r="R26075" s="178"/>
      <c r="S26075" s="178"/>
    </row>
    <row r="26076" spans="18:19">
      <c r="R26076" s="178"/>
      <c r="S26076" s="178"/>
    </row>
    <row r="26077" spans="18:19">
      <c r="R26077" s="178"/>
      <c r="S26077" s="178"/>
    </row>
    <row r="26078" spans="18:19">
      <c r="R26078" s="178"/>
      <c r="S26078" s="178"/>
    </row>
    <row r="26079" spans="18:19">
      <c r="R26079" s="178"/>
      <c r="S26079" s="178"/>
    </row>
    <row r="26080" spans="18:19">
      <c r="R26080" s="178"/>
      <c r="S26080" s="178"/>
    </row>
    <row r="26081" spans="18:19">
      <c r="R26081" s="178"/>
      <c r="S26081" s="178"/>
    </row>
    <row r="26082" spans="18:19">
      <c r="R26082" s="178"/>
      <c r="S26082" s="178"/>
    </row>
    <row r="26083" spans="18:19">
      <c r="R26083" s="178"/>
      <c r="S26083" s="178"/>
    </row>
    <row r="26084" spans="18:19">
      <c r="R26084" s="178"/>
      <c r="S26084" s="178"/>
    </row>
    <row r="26085" spans="18:19">
      <c r="R26085" s="178"/>
      <c r="S26085" s="178"/>
    </row>
    <row r="26086" spans="18:19">
      <c r="R26086" s="178"/>
      <c r="S26086" s="178"/>
    </row>
    <row r="26087" spans="18:19">
      <c r="R26087" s="178"/>
      <c r="S26087" s="178"/>
    </row>
    <row r="26088" spans="18:19">
      <c r="R26088" s="178"/>
      <c r="S26088" s="178"/>
    </row>
    <row r="26089" spans="18:19">
      <c r="R26089" s="178"/>
      <c r="S26089" s="178"/>
    </row>
    <row r="26090" spans="18:19">
      <c r="R26090" s="178"/>
      <c r="S26090" s="178"/>
    </row>
    <row r="26091" spans="18:19">
      <c r="R26091" s="178"/>
      <c r="S26091" s="178"/>
    </row>
    <row r="26092" spans="18:19">
      <c r="R26092" s="178"/>
      <c r="S26092" s="178"/>
    </row>
    <row r="26093" spans="18:19">
      <c r="R26093" s="178"/>
      <c r="S26093" s="178"/>
    </row>
    <row r="26094" spans="18:19">
      <c r="R26094" s="178"/>
      <c r="S26094" s="178"/>
    </row>
    <row r="26095" spans="18:19">
      <c r="R26095" s="178"/>
      <c r="S26095" s="178"/>
    </row>
    <row r="26096" spans="18:19">
      <c r="R26096" s="178"/>
      <c r="S26096" s="178"/>
    </row>
    <row r="26097" spans="18:19">
      <c r="R26097" s="178"/>
      <c r="S26097" s="178"/>
    </row>
    <row r="26098" spans="18:19">
      <c r="R26098" s="178"/>
      <c r="S26098" s="178"/>
    </row>
    <row r="26099" spans="18:19">
      <c r="R26099" s="178"/>
      <c r="S26099" s="178"/>
    </row>
    <row r="26100" spans="18:19">
      <c r="R26100" s="178"/>
      <c r="S26100" s="178"/>
    </row>
    <row r="26101" spans="18:19">
      <c r="R26101" s="178"/>
      <c r="S26101" s="178"/>
    </row>
    <row r="26102" spans="18:19">
      <c r="R26102" s="178"/>
      <c r="S26102" s="178"/>
    </row>
    <row r="26103" spans="18:19">
      <c r="R26103" s="178"/>
      <c r="S26103" s="178"/>
    </row>
    <row r="26104" spans="18:19">
      <c r="R26104" s="178"/>
      <c r="S26104" s="178"/>
    </row>
    <row r="26105" spans="18:19">
      <c r="R26105" s="178"/>
      <c r="S26105" s="178"/>
    </row>
    <row r="26106" spans="18:19">
      <c r="R26106" s="178"/>
      <c r="S26106" s="178"/>
    </row>
    <row r="26107" spans="18:19">
      <c r="R26107" s="178"/>
      <c r="S26107" s="178"/>
    </row>
    <row r="26108" spans="18:19">
      <c r="R26108" s="178"/>
      <c r="S26108" s="178"/>
    </row>
    <row r="26109" spans="18:19">
      <c r="R26109" s="178"/>
      <c r="S26109" s="178"/>
    </row>
    <row r="26110" spans="18:19">
      <c r="R26110" s="178"/>
      <c r="S26110" s="178"/>
    </row>
    <row r="26111" spans="18:19">
      <c r="R26111" s="178"/>
      <c r="S26111" s="178"/>
    </row>
    <row r="26112" spans="18:19">
      <c r="R26112" s="178"/>
      <c r="S26112" s="178"/>
    </row>
    <row r="26113" spans="18:19">
      <c r="R26113" s="178"/>
      <c r="S26113" s="178"/>
    </row>
    <row r="26114" spans="18:19">
      <c r="R26114" s="178"/>
      <c r="S26114" s="178"/>
    </row>
    <row r="26115" spans="18:19">
      <c r="R26115" s="178"/>
      <c r="S26115" s="178"/>
    </row>
    <row r="26116" spans="18:19">
      <c r="R26116" s="178"/>
      <c r="S26116" s="178"/>
    </row>
    <row r="26117" spans="18:19">
      <c r="R26117" s="178"/>
      <c r="S26117" s="178"/>
    </row>
    <row r="26118" spans="18:19">
      <c r="R26118" s="178"/>
      <c r="S26118" s="178"/>
    </row>
    <row r="26119" spans="18:19">
      <c r="R26119" s="178"/>
      <c r="S26119" s="178"/>
    </row>
    <row r="26120" spans="18:19">
      <c r="R26120" s="178"/>
      <c r="S26120" s="178"/>
    </row>
    <row r="26121" spans="18:19">
      <c r="R26121" s="178"/>
      <c r="S26121" s="178"/>
    </row>
    <row r="26122" spans="18:19">
      <c r="R26122" s="178"/>
      <c r="S26122" s="178"/>
    </row>
    <row r="26123" spans="18:19">
      <c r="R26123" s="178"/>
      <c r="S26123" s="178"/>
    </row>
    <row r="26124" spans="18:19">
      <c r="R26124" s="178"/>
      <c r="S26124" s="178"/>
    </row>
    <row r="26125" spans="18:19">
      <c r="R26125" s="178"/>
      <c r="S26125" s="178"/>
    </row>
    <row r="26126" spans="18:19">
      <c r="R26126" s="178"/>
      <c r="S26126" s="178"/>
    </row>
    <row r="26127" spans="18:19">
      <c r="R26127" s="178"/>
      <c r="S26127" s="178"/>
    </row>
    <row r="26128" spans="18:19">
      <c r="R26128" s="178"/>
      <c r="S26128" s="178"/>
    </row>
    <row r="26129" spans="18:19">
      <c r="R26129" s="178"/>
      <c r="S26129" s="178"/>
    </row>
    <row r="26130" spans="18:19">
      <c r="R26130" s="178"/>
      <c r="S26130" s="178"/>
    </row>
    <row r="26131" spans="18:19">
      <c r="R26131" s="178"/>
      <c r="S26131" s="178"/>
    </row>
    <row r="26132" spans="18:19">
      <c r="R26132" s="178"/>
      <c r="S26132" s="178"/>
    </row>
    <row r="26133" spans="18:19">
      <c r="R26133" s="178"/>
      <c r="S26133" s="178"/>
    </row>
    <row r="26134" spans="18:19">
      <c r="R26134" s="178"/>
      <c r="S26134" s="178"/>
    </row>
    <row r="26135" spans="18:19">
      <c r="R26135" s="178"/>
      <c r="S26135" s="178"/>
    </row>
    <row r="26136" spans="18:19">
      <c r="R26136" s="178"/>
      <c r="S26136" s="178"/>
    </row>
    <row r="26137" spans="18:19">
      <c r="R26137" s="178"/>
      <c r="S26137" s="178"/>
    </row>
    <row r="26138" spans="18:19">
      <c r="R26138" s="178"/>
      <c r="S26138" s="178"/>
    </row>
    <row r="26139" spans="18:19">
      <c r="R26139" s="178"/>
      <c r="S26139" s="178"/>
    </row>
    <row r="26140" spans="18:19">
      <c r="R26140" s="178"/>
      <c r="S26140" s="178"/>
    </row>
    <row r="26141" spans="18:19">
      <c r="R26141" s="178"/>
      <c r="S26141" s="178"/>
    </row>
    <row r="26142" spans="18:19">
      <c r="R26142" s="178"/>
      <c r="S26142" s="178"/>
    </row>
    <row r="26143" spans="18:19">
      <c r="R26143" s="178"/>
      <c r="S26143" s="178"/>
    </row>
    <row r="26144" spans="18:19">
      <c r="R26144" s="178"/>
      <c r="S26144" s="178"/>
    </row>
    <row r="26145" spans="18:19">
      <c r="R26145" s="178"/>
      <c r="S26145" s="178"/>
    </row>
    <row r="26146" spans="18:19">
      <c r="R26146" s="178"/>
      <c r="S26146" s="178"/>
    </row>
    <row r="26147" spans="18:19">
      <c r="R26147" s="178"/>
      <c r="S26147" s="178"/>
    </row>
    <row r="26148" spans="18:19">
      <c r="R26148" s="178"/>
      <c r="S26148" s="178"/>
    </row>
    <row r="26149" spans="18:19">
      <c r="R26149" s="178"/>
      <c r="S26149" s="178"/>
    </row>
    <row r="26150" spans="18:19">
      <c r="R26150" s="178"/>
      <c r="S26150" s="178"/>
    </row>
    <row r="26151" spans="18:19">
      <c r="R26151" s="178"/>
      <c r="S26151" s="178"/>
    </row>
    <row r="26152" spans="18:19">
      <c r="R26152" s="178"/>
      <c r="S26152" s="178"/>
    </row>
    <row r="26153" spans="18:19">
      <c r="R26153" s="178"/>
      <c r="S26153" s="178"/>
    </row>
    <row r="26154" spans="18:19">
      <c r="R26154" s="178"/>
      <c r="S26154" s="178"/>
    </row>
    <row r="26155" spans="18:19">
      <c r="R26155" s="178"/>
      <c r="S26155" s="178"/>
    </row>
    <row r="26156" spans="18:19">
      <c r="R26156" s="178"/>
      <c r="S26156" s="178"/>
    </row>
    <row r="26157" spans="18:19">
      <c r="R26157" s="178"/>
      <c r="S26157" s="178"/>
    </row>
    <row r="26158" spans="18:19">
      <c r="R26158" s="178"/>
      <c r="S26158" s="178"/>
    </row>
    <row r="26159" spans="18:19">
      <c r="R26159" s="178"/>
      <c r="S26159" s="178"/>
    </row>
    <row r="26160" spans="18:19">
      <c r="R26160" s="178"/>
      <c r="S26160" s="178"/>
    </row>
    <row r="26161" spans="18:19">
      <c r="R26161" s="178"/>
      <c r="S26161" s="178"/>
    </row>
    <row r="26162" spans="18:19">
      <c r="R26162" s="178"/>
      <c r="S26162" s="178"/>
    </row>
    <row r="26163" spans="18:19">
      <c r="R26163" s="178"/>
      <c r="S26163" s="178"/>
    </row>
    <row r="26164" spans="18:19">
      <c r="R26164" s="178"/>
      <c r="S26164" s="178"/>
    </row>
    <row r="26165" spans="18:19">
      <c r="R26165" s="178"/>
      <c r="S26165" s="178"/>
    </row>
    <row r="26166" spans="18:19">
      <c r="R26166" s="178"/>
      <c r="S26166" s="178"/>
    </row>
    <row r="26167" spans="18:19">
      <c r="R26167" s="178"/>
      <c r="S26167" s="178"/>
    </row>
    <row r="26168" spans="18:19">
      <c r="R26168" s="178"/>
      <c r="S26168" s="178"/>
    </row>
    <row r="26169" spans="18:19">
      <c r="R26169" s="178"/>
      <c r="S26169" s="178"/>
    </row>
    <row r="26170" spans="18:19">
      <c r="R26170" s="178"/>
      <c r="S26170" s="178"/>
    </row>
    <row r="26171" spans="18:19">
      <c r="R26171" s="178"/>
      <c r="S26171" s="178"/>
    </row>
    <row r="26172" spans="18:19">
      <c r="R26172" s="178"/>
      <c r="S26172" s="178"/>
    </row>
    <row r="26173" spans="18:19">
      <c r="R26173" s="178"/>
      <c r="S26173" s="178"/>
    </row>
    <row r="26174" spans="18:19">
      <c r="R26174" s="178"/>
      <c r="S26174" s="178"/>
    </row>
    <row r="26175" spans="18:19">
      <c r="R26175" s="178"/>
      <c r="S26175" s="178"/>
    </row>
    <row r="26176" spans="18:19">
      <c r="R26176" s="178"/>
      <c r="S26176" s="178"/>
    </row>
    <row r="26177" spans="18:19">
      <c r="R26177" s="178"/>
      <c r="S26177" s="178"/>
    </row>
    <row r="26178" spans="18:19">
      <c r="R26178" s="178"/>
      <c r="S26178" s="178"/>
    </row>
    <row r="26179" spans="18:19">
      <c r="R26179" s="178"/>
      <c r="S26179" s="178"/>
    </row>
    <row r="26180" spans="18:19">
      <c r="R26180" s="178"/>
      <c r="S26180" s="178"/>
    </row>
    <row r="26181" spans="18:19">
      <c r="R26181" s="178"/>
      <c r="S26181" s="178"/>
    </row>
    <row r="26182" spans="18:19">
      <c r="R26182" s="178"/>
      <c r="S26182" s="178"/>
    </row>
    <row r="26183" spans="18:19">
      <c r="R26183" s="178"/>
      <c r="S26183" s="178"/>
    </row>
    <row r="26184" spans="18:19">
      <c r="R26184" s="178"/>
      <c r="S26184" s="178"/>
    </row>
    <row r="26185" spans="18:19">
      <c r="R26185" s="178"/>
      <c r="S26185" s="178"/>
    </row>
    <row r="26186" spans="18:19">
      <c r="R26186" s="178"/>
      <c r="S26186" s="178"/>
    </row>
    <row r="26187" spans="18:19">
      <c r="R26187" s="178"/>
      <c r="S26187" s="178"/>
    </row>
    <row r="26188" spans="18:19">
      <c r="R26188" s="178"/>
      <c r="S26188" s="178"/>
    </row>
    <row r="26189" spans="18:19">
      <c r="R26189" s="178"/>
      <c r="S26189" s="178"/>
    </row>
    <row r="26190" spans="18:19">
      <c r="R26190" s="178"/>
      <c r="S26190" s="178"/>
    </row>
    <row r="26191" spans="18:19">
      <c r="R26191" s="178"/>
      <c r="S26191" s="178"/>
    </row>
    <row r="26192" spans="18:19">
      <c r="R26192" s="178"/>
      <c r="S26192" s="178"/>
    </row>
    <row r="26193" spans="18:19">
      <c r="R26193" s="178"/>
      <c r="S26193" s="178"/>
    </row>
    <row r="26194" spans="18:19">
      <c r="R26194" s="178"/>
      <c r="S26194" s="178"/>
    </row>
    <row r="26195" spans="18:19">
      <c r="R26195" s="178"/>
      <c r="S26195" s="178"/>
    </row>
    <row r="26196" spans="18:19">
      <c r="R26196" s="178"/>
      <c r="S26196" s="178"/>
    </row>
    <row r="26197" spans="18:19">
      <c r="R26197" s="178"/>
      <c r="S26197" s="178"/>
    </row>
    <row r="26198" spans="18:19">
      <c r="R26198" s="178"/>
      <c r="S26198" s="178"/>
    </row>
    <row r="26199" spans="18:19">
      <c r="R26199" s="178"/>
      <c r="S26199" s="178"/>
    </row>
    <row r="26200" spans="18:19">
      <c r="R26200" s="178"/>
      <c r="S26200" s="178"/>
    </row>
    <row r="26201" spans="18:19">
      <c r="R26201" s="178"/>
      <c r="S26201" s="178"/>
    </row>
    <row r="26202" spans="18:19">
      <c r="R26202" s="178"/>
      <c r="S26202" s="178"/>
    </row>
    <row r="26203" spans="18:19">
      <c r="R26203" s="178"/>
      <c r="S26203" s="178"/>
    </row>
    <row r="26204" spans="18:19">
      <c r="R26204" s="178"/>
      <c r="S26204" s="178"/>
    </row>
    <row r="26205" spans="18:19">
      <c r="R26205" s="178"/>
      <c r="S26205" s="178"/>
    </row>
    <row r="26206" spans="18:19">
      <c r="R26206" s="178"/>
      <c r="S26206" s="178"/>
    </row>
    <row r="26207" spans="18:19">
      <c r="R26207" s="178"/>
      <c r="S26207" s="178"/>
    </row>
    <row r="26208" spans="18:19">
      <c r="R26208" s="178"/>
      <c r="S26208" s="178"/>
    </row>
    <row r="26209" spans="18:19">
      <c r="R26209" s="178"/>
      <c r="S26209" s="178"/>
    </row>
    <row r="26210" spans="18:19">
      <c r="R26210" s="178"/>
      <c r="S26210" s="178"/>
    </row>
    <row r="26211" spans="18:19">
      <c r="R26211" s="178"/>
      <c r="S26211" s="178"/>
    </row>
    <row r="26212" spans="18:19">
      <c r="R26212" s="178"/>
      <c r="S26212" s="178"/>
    </row>
    <row r="26213" spans="18:19">
      <c r="R26213" s="178"/>
      <c r="S26213" s="178"/>
    </row>
    <row r="26214" spans="18:19">
      <c r="R26214" s="178"/>
      <c r="S26214" s="178"/>
    </row>
    <row r="26215" spans="18:19">
      <c r="R26215" s="178"/>
      <c r="S26215" s="178"/>
    </row>
    <row r="26216" spans="18:19">
      <c r="R26216" s="178"/>
      <c r="S26216" s="178"/>
    </row>
    <row r="26217" spans="18:19">
      <c r="R26217" s="178"/>
      <c r="S26217" s="178"/>
    </row>
    <row r="26218" spans="18:19">
      <c r="R26218" s="178"/>
      <c r="S26218" s="178"/>
    </row>
    <row r="26219" spans="18:19">
      <c r="R26219" s="178"/>
      <c r="S26219" s="178"/>
    </row>
    <row r="26220" spans="18:19">
      <c r="R26220" s="178"/>
      <c r="S26220" s="178"/>
    </row>
    <row r="26221" spans="18:19">
      <c r="R26221" s="178"/>
      <c r="S26221" s="178"/>
    </row>
    <row r="26222" spans="18:19">
      <c r="R26222" s="178"/>
      <c r="S26222" s="178"/>
    </row>
    <row r="26223" spans="18:19">
      <c r="R26223" s="178"/>
      <c r="S26223" s="178"/>
    </row>
    <row r="26224" spans="18:19">
      <c r="R26224" s="178"/>
      <c r="S26224" s="178"/>
    </row>
    <row r="26225" spans="18:19">
      <c r="R26225" s="178"/>
      <c r="S26225" s="178"/>
    </row>
    <row r="26226" spans="18:19">
      <c r="R26226" s="178"/>
      <c r="S26226" s="178"/>
    </row>
    <row r="26227" spans="18:19">
      <c r="R26227" s="178"/>
      <c r="S26227" s="178"/>
    </row>
    <row r="26228" spans="18:19">
      <c r="R26228" s="178"/>
      <c r="S26228" s="178"/>
    </row>
    <row r="26229" spans="18:19">
      <c r="R26229" s="178"/>
      <c r="S26229" s="178"/>
    </row>
    <row r="26230" spans="18:19">
      <c r="R26230" s="178"/>
      <c r="S26230" s="178"/>
    </row>
    <row r="26231" spans="18:19">
      <c r="R26231" s="178"/>
      <c r="S26231" s="178"/>
    </row>
    <row r="26232" spans="18:19">
      <c r="R26232" s="178"/>
      <c r="S26232" s="178"/>
    </row>
    <row r="26233" spans="18:19">
      <c r="R26233" s="178"/>
      <c r="S26233" s="178"/>
    </row>
    <row r="26234" spans="18:19">
      <c r="R26234" s="178"/>
      <c r="S26234" s="178"/>
    </row>
    <row r="26235" spans="18:19">
      <c r="R26235" s="178"/>
      <c r="S26235" s="178"/>
    </row>
    <row r="26236" spans="18:19">
      <c r="R26236" s="178"/>
      <c r="S26236" s="178"/>
    </row>
    <row r="26237" spans="18:19">
      <c r="R26237" s="178"/>
      <c r="S26237" s="178"/>
    </row>
    <row r="26238" spans="18:19">
      <c r="R26238" s="178"/>
      <c r="S26238" s="178"/>
    </row>
    <row r="26239" spans="18:19">
      <c r="R26239" s="178"/>
      <c r="S26239" s="178"/>
    </row>
    <row r="26240" spans="18:19">
      <c r="R26240" s="178"/>
      <c r="S26240" s="178"/>
    </row>
    <row r="26241" spans="18:19">
      <c r="R26241" s="178"/>
      <c r="S26241" s="178"/>
    </row>
    <row r="26242" spans="18:19">
      <c r="R26242" s="178"/>
      <c r="S26242" s="178"/>
    </row>
    <row r="26243" spans="18:19">
      <c r="R26243" s="178"/>
      <c r="S26243" s="178"/>
    </row>
    <row r="26244" spans="18:19">
      <c r="R26244" s="178"/>
      <c r="S26244" s="178"/>
    </row>
    <row r="26245" spans="18:19">
      <c r="R26245" s="178"/>
      <c r="S26245" s="178"/>
    </row>
    <row r="26246" spans="18:19">
      <c r="R26246" s="178"/>
      <c r="S26246" s="178"/>
    </row>
    <row r="26247" spans="18:19">
      <c r="R26247" s="178"/>
      <c r="S26247" s="178"/>
    </row>
    <row r="26248" spans="18:19">
      <c r="R26248" s="178"/>
      <c r="S26248" s="178"/>
    </row>
    <row r="26249" spans="18:19">
      <c r="R26249" s="178"/>
      <c r="S26249" s="178"/>
    </row>
    <row r="26250" spans="18:19">
      <c r="R26250" s="178"/>
      <c r="S26250" s="178"/>
    </row>
    <row r="26251" spans="18:19">
      <c r="R26251" s="178"/>
      <c r="S26251" s="178"/>
    </row>
    <row r="26252" spans="18:19">
      <c r="R26252" s="178"/>
      <c r="S26252" s="178"/>
    </row>
    <row r="26253" spans="18:19">
      <c r="R26253" s="178"/>
      <c r="S26253" s="178"/>
    </row>
    <row r="26254" spans="18:19">
      <c r="R26254" s="178"/>
      <c r="S26254" s="178"/>
    </row>
    <row r="26255" spans="18:19">
      <c r="R26255" s="178"/>
      <c r="S26255" s="178"/>
    </row>
    <row r="26256" spans="18:19">
      <c r="R26256" s="178"/>
      <c r="S26256" s="178"/>
    </row>
    <row r="26257" spans="18:19">
      <c r="R26257" s="178"/>
      <c r="S26257" s="178"/>
    </row>
    <row r="26258" spans="18:19">
      <c r="R26258" s="178"/>
      <c r="S26258" s="178"/>
    </row>
    <row r="26259" spans="18:19">
      <c r="R26259" s="178"/>
      <c r="S26259" s="178"/>
    </row>
    <row r="26260" spans="18:19">
      <c r="R26260" s="178"/>
      <c r="S26260" s="178"/>
    </row>
    <row r="26261" spans="18:19">
      <c r="R26261" s="178"/>
      <c r="S26261" s="178"/>
    </row>
    <row r="26262" spans="18:19">
      <c r="R26262" s="178"/>
      <c r="S26262" s="178"/>
    </row>
    <row r="26263" spans="18:19">
      <c r="R26263" s="178"/>
      <c r="S26263" s="178"/>
    </row>
    <row r="26264" spans="18:19">
      <c r="R26264" s="178"/>
      <c r="S26264" s="178"/>
    </row>
    <row r="26265" spans="18:19">
      <c r="R26265" s="178"/>
      <c r="S26265" s="178"/>
    </row>
    <row r="26266" spans="18:19">
      <c r="R26266" s="178"/>
      <c r="S26266" s="178"/>
    </row>
    <row r="26267" spans="18:19">
      <c r="R26267" s="178"/>
      <c r="S26267" s="178"/>
    </row>
    <row r="26268" spans="18:19">
      <c r="R26268" s="178"/>
      <c r="S26268" s="178"/>
    </row>
    <row r="26269" spans="18:19">
      <c r="R26269" s="178"/>
      <c r="S26269" s="178"/>
    </row>
    <row r="26270" spans="18:19">
      <c r="R26270" s="178"/>
      <c r="S26270" s="178"/>
    </row>
    <row r="26271" spans="18:19">
      <c r="R26271" s="178"/>
      <c r="S26271" s="178"/>
    </row>
    <row r="26272" spans="18:19">
      <c r="R26272" s="178"/>
      <c r="S26272" s="178"/>
    </row>
    <row r="26273" spans="18:19">
      <c r="R26273" s="178"/>
      <c r="S26273" s="178"/>
    </row>
    <row r="26274" spans="18:19">
      <c r="R26274" s="178"/>
      <c r="S26274" s="178"/>
    </row>
    <row r="26275" spans="18:19">
      <c r="R26275" s="178"/>
      <c r="S26275" s="178"/>
    </row>
    <row r="26276" spans="18:19">
      <c r="R26276" s="178"/>
      <c r="S26276" s="178"/>
    </row>
    <row r="26277" spans="18:19">
      <c r="R26277" s="178"/>
      <c r="S26277" s="178"/>
    </row>
    <row r="26278" spans="18:19">
      <c r="R26278" s="178"/>
      <c r="S26278" s="178"/>
    </row>
    <row r="26279" spans="18:19">
      <c r="R26279" s="178"/>
      <c r="S26279" s="178"/>
    </row>
    <row r="26280" spans="18:19">
      <c r="R26280" s="178"/>
      <c r="S26280" s="178"/>
    </row>
    <row r="26281" spans="18:19">
      <c r="R26281" s="178"/>
      <c r="S26281" s="178"/>
    </row>
    <row r="26282" spans="18:19">
      <c r="R26282" s="178"/>
      <c r="S26282" s="178"/>
    </row>
    <row r="26283" spans="18:19">
      <c r="R26283" s="178"/>
      <c r="S26283" s="178"/>
    </row>
    <row r="26284" spans="18:19">
      <c r="R26284" s="178"/>
      <c r="S26284" s="178"/>
    </row>
    <row r="26285" spans="18:19">
      <c r="R26285" s="178"/>
      <c r="S26285" s="178"/>
    </row>
    <row r="26286" spans="18:19">
      <c r="R26286" s="178"/>
      <c r="S26286" s="178"/>
    </row>
    <row r="26287" spans="18:19">
      <c r="R26287" s="178"/>
      <c r="S26287" s="178"/>
    </row>
    <row r="26288" spans="18:19">
      <c r="R26288" s="178"/>
      <c r="S26288" s="178"/>
    </row>
    <row r="26289" spans="18:19">
      <c r="R26289" s="178"/>
      <c r="S26289" s="178"/>
    </row>
    <row r="26290" spans="18:19">
      <c r="R26290" s="178"/>
      <c r="S26290" s="178"/>
    </row>
    <row r="26291" spans="18:19">
      <c r="R26291" s="178"/>
      <c r="S26291" s="178"/>
    </row>
    <row r="26292" spans="18:19">
      <c r="R26292" s="178"/>
      <c r="S26292" s="178"/>
    </row>
    <row r="26293" spans="18:19">
      <c r="R26293" s="178"/>
      <c r="S26293" s="178"/>
    </row>
    <row r="26294" spans="18:19">
      <c r="R26294" s="178"/>
      <c r="S26294" s="178"/>
    </row>
    <row r="26295" spans="18:19">
      <c r="R26295" s="178"/>
      <c r="S26295" s="178"/>
    </row>
    <row r="26296" spans="18:19">
      <c r="R26296" s="178"/>
      <c r="S26296" s="178"/>
    </row>
    <row r="26297" spans="18:19">
      <c r="R26297" s="178"/>
      <c r="S26297" s="178"/>
    </row>
    <row r="26298" spans="18:19">
      <c r="R26298" s="178"/>
      <c r="S26298" s="178"/>
    </row>
    <row r="26299" spans="18:19">
      <c r="R26299" s="178"/>
      <c r="S26299" s="178"/>
    </row>
    <row r="26300" spans="18:19">
      <c r="R26300" s="178"/>
      <c r="S26300" s="178"/>
    </row>
    <row r="26301" spans="18:19">
      <c r="R26301" s="178"/>
      <c r="S26301" s="178"/>
    </row>
    <row r="26302" spans="18:19">
      <c r="R26302" s="178"/>
      <c r="S26302" s="178"/>
    </row>
    <row r="26303" spans="18:19">
      <c r="R26303" s="178"/>
      <c r="S26303" s="178"/>
    </row>
    <row r="26304" spans="18:19">
      <c r="R26304" s="178"/>
      <c r="S26304" s="178"/>
    </row>
    <row r="26305" spans="18:19">
      <c r="R26305" s="178"/>
      <c r="S26305" s="178"/>
    </row>
    <row r="26306" spans="18:19">
      <c r="R26306" s="178"/>
      <c r="S26306" s="178"/>
    </row>
    <row r="26307" spans="18:19">
      <c r="R26307" s="178"/>
      <c r="S26307" s="178"/>
    </row>
    <row r="26308" spans="18:19">
      <c r="R26308" s="178"/>
      <c r="S26308" s="178"/>
    </row>
    <row r="26309" spans="18:19">
      <c r="R26309" s="178"/>
      <c r="S26309" s="178"/>
    </row>
    <row r="26310" spans="18:19">
      <c r="R26310" s="178"/>
      <c r="S26310" s="178"/>
    </row>
    <row r="26311" spans="18:19">
      <c r="R26311" s="178"/>
      <c r="S26311" s="178"/>
    </row>
    <row r="26312" spans="18:19">
      <c r="R26312" s="178"/>
      <c r="S26312" s="178"/>
    </row>
    <row r="26313" spans="18:19">
      <c r="R26313" s="178"/>
      <c r="S26313" s="178"/>
    </row>
    <row r="26314" spans="18:19">
      <c r="R26314" s="178"/>
      <c r="S26314" s="178"/>
    </row>
    <row r="26315" spans="18:19">
      <c r="R26315" s="178"/>
      <c r="S26315" s="178"/>
    </row>
    <row r="26316" spans="18:19">
      <c r="R26316" s="178"/>
      <c r="S26316" s="178"/>
    </row>
    <row r="26317" spans="18:19">
      <c r="R26317" s="178"/>
      <c r="S26317" s="178"/>
    </row>
    <row r="26318" spans="18:19">
      <c r="R26318" s="178"/>
      <c r="S26318" s="178"/>
    </row>
    <row r="26319" spans="18:19">
      <c r="R26319" s="178"/>
      <c r="S26319" s="178"/>
    </row>
    <row r="26320" spans="18:19">
      <c r="R26320" s="178"/>
      <c r="S26320" s="178"/>
    </row>
    <row r="26321" spans="18:19">
      <c r="R26321" s="178"/>
      <c r="S26321" s="178"/>
    </row>
    <row r="26322" spans="18:19">
      <c r="R26322" s="178"/>
      <c r="S26322" s="178"/>
    </row>
    <row r="26323" spans="18:19">
      <c r="R26323" s="178"/>
      <c r="S26323" s="178"/>
    </row>
    <row r="26324" spans="18:19">
      <c r="R26324" s="178"/>
      <c r="S26324" s="178"/>
    </row>
    <row r="26325" spans="18:19">
      <c r="R26325" s="178"/>
      <c r="S26325" s="178"/>
    </row>
    <row r="26326" spans="18:19">
      <c r="R26326" s="178"/>
      <c r="S26326" s="178"/>
    </row>
    <row r="26327" spans="18:19">
      <c r="R26327" s="178"/>
      <c r="S26327" s="178"/>
    </row>
    <row r="26328" spans="18:19">
      <c r="R26328" s="178"/>
      <c r="S26328" s="178"/>
    </row>
    <row r="26329" spans="18:19">
      <c r="R26329" s="178"/>
      <c r="S26329" s="178"/>
    </row>
    <row r="26330" spans="18:19">
      <c r="R26330" s="178"/>
      <c r="S26330" s="178"/>
    </row>
    <row r="26331" spans="18:19">
      <c r="R26331" s="178"/>
      <c r="S26331" s="178"/>
    </row>
    <row r="26332" spans="18:19">
      <c r="R26332" s="178"/>
      <c r="S26332" s="178"/>
    </row>
    <row r="26333" spans="18:19">
      <c r="R26333" s="178"/>
      <c r="S26333" s="178"/>
    </row>
    <row r="26334" spans="18:19">
      <c r="R26334" s="178"/>
      <c r="S26334" s="178"/>
    </row>
    <row r="26335" spans="18:19">
      <c r="R26335" s="178"/>
      <c r="S26335" s="178"/>
    </row>
    <row r="26336" spans="18:19">
      <c r="R26336" s="178"/>
      <c r="S26336" s="178"/>
    </row>
    <row r="26337" spans="18:19">
      <c r="R26337" s="178"/>
      <c r="S26337" s="178"/>
    </row>
    <row r="26338" spans="18:19">
      <c r="R26338" s="178"/>
      <c r="S26338" s="178"/>
    </row>
    <row r="26339" spans="18:19">
      <c r="R26339" s="178"/>
      <c r="S26339" s="178"/>
    </row>
    <row r="26340" spans="18:19">
      <c r="R26340" s="178"/>
      <c r="S26340" s="178"/>
    </row>
    <row r="26341" spans="18:19">
      <c r="R26341" s="178"/>
      <c r="S26341" s="178"/>
    </row>
    <row r="26342" spans="18:19">
      <c r="R26342" s="178"/>
      <c r="S26342" s="178"/>
    </row>
    <row r="26343" spans="18:19">
      <c r="R26343" s="178"/>
      <c r="S26343" s="178"/>
    </row>
    <row r="26344" spans="18:19">
      <c r="R26344" s="178"/>
      <c r="S26344" s="178"/>
    </row>
    <row r="26345" spans="18:19">
      <c r="R26345" s="178"/>
      <c r="S26345" s="178"/>
    </row>
    <row r="26346" spans="18:19">
      <c r="R26346" s="178"/>
      <c r="S26346" s="178"/>
    </row>
    <row r="26347" spans="18:19">
      <c r="R26347" s="178"/>
      <c r="S26347" s="178"/>
    </row>
    <row r="26348" spans="18:19">
      <c r="R26348" s="178"/>
      <c r="S26348" s="178"/>
    </row>
    <row r="26349" spans="18:19">
      <c r="R26349" s="178"/>
      <c r="S26349" s="178"/>
    </row>
    <row r="26350" spans="18:19">
      <c r="R26350" s="178"/>
      <c r="S26350" s="178"/>
    </row>
    <row r="26351" spans="18:19">
      <c r="R26351" s="178"/>
      <c r="S26351" s="178"/>
    </row>
    <row r="26352" spans="18:19">
      <c r="R26352" s="178"/>
      <c r="S26352" s="178"/>
    </row>
    <row r="26353" spans="18:19">
      <c r="R26353" s="178"/>
      <c r="S26353" s="178"/>
    </row>
    <row r="26354" spans="18:19">
      <c r="R26354" s="178"/>
      <c r="S26354" s="178"/>
    </row>
    <row r="26355" spans="18:19">
      <c r="R26355" s="178"/>
      <c r="S26355" s="178"/>
    </row>
    <row r="26356" spans="18:19">
      <c r="R26356" s="178"/>
      <c r="S26356" s="178"/>
    </row>
    <row r="26357" spans="18:19">
      <c r="R26357" s="178"/>
      <c r="S26357" s="178"/>
    </row>
    <row r="26358" spans="18:19">
      <c r="R26358" s="178"/>
      <c r="S26358" s="178"/>
    </row>
    <row r="26359" spans="18:19">
      <c r="R26359" s="178"/>
      <c r="S26359" s="178"/>
    </row>
    <row r="26360" spans="18:19">
      <c r="R26360" s="178"/>
      <c r="S26360" s="178"/>
    </row>
    <row r="26361" spans="18:19">
      <c r="R26361" s="178"/>
      <c r="S26361" s="178"/>
    </row>
    <row r="26362" spans="18:19">
      <c r="R26362" s="178"/>
      <c r="S26362" s="178"/>
    </row>
    <row r="26363" spans="18:19">
      <c r="R26363" s="178"/>
      <c r="S26363" s="178"/>
    </row>
    <row r="26364" spans="18:19">
      <c r="R26364" s="178"/>
      <c r="S26364" s="178"/>
    </row>
    <row r="26365" spans="18:19">
      <c r="R26365" s="178"/>
      <c r="S26365" s="178"/>
    </row>
    <row r="26366" spans="18:19">
      <c r="R26366" s="178"/>
      <c r="S26366" s="178"/>
    </row>
    <row r="26367" spans="18:19">
      <c r="R26367" s="178"/>
      <c r="S26367" s="178"/>
    </row>
    <row r="26368" spans="18:19">
      <c r="R26368" s="178"/>
      <c r="S26368" s="178"/>
    </row>
    <row r="26369" spans="18:19">
      <c r="R26369" s="178"/>
      <c r="S26369" s="178"/>
    </row>
    <row r="26370" spans="18:19">
      <c r="R26370" s="178"/>
      <c r="S26370" s="178"/>
    </row>
    <row r="26371" spans="18:19">
      <c r="R26371" s="178"/>
      <c r="S26371" s="178"/>
    </row>
    <row r="26372" spans="18:19">
      <c r="R26372" s="178"/>
      <c r="S26372" s="178"/>
    </row>
    <row r="26373" spans="18:19">
      <c r="R26373" s="178"/>
      <c r="S26373" s="178"/>
    </row>
    <row r="26374" spans="18:19">
      <c r="R26374" s="178"/>
      <c r="S26374" s="178"/>
    </row>
    <row r="26375" spans="18:19">
      <c r="R26375" s="178"/>
      <c r="S26375" s="178"/>
    </row>
    <row r="26376" spans="18:19">
      <c r="R26376" s="178"/>
      <c r="S26376" s="178"/>
    </row>
    <row r="26377" spans="18:19">
      <c r="R26377" s="178"/>
      <c r="S26377" s="178"/>
    </row>
    <row r="26378" spans="18:19">
      <c r="R26378" s="178"/>
      <c r="S26378" s="178"/>
    </row>
    <row r="26379" spans="18:19">
      <c r="R26379" s="178"/>
      <c r="S26379" s="178"/>
    </row>
    <row r="26380" spans="18:19">
      <c r="R26380" s="178"/>
      <c r="S26380" s="178"/>
    </row>
    <row r="26381" spans="18:19">
      <c r="R26381" s="178"/>
      <c r="S26381" s="178"/>
    </row>
    <row r="26382" spans="18:19">
      <c r="R26382" s="178"/>
      <c r="S26382" s="178"/>
    </row>
    <row r="26383" spans="18:19">
      <c r="R26383" s="178"/>
      <c r="S26383" s="178"/>
    </row>
    <row r="26384" spans="18:19">
      <c r="R26384" s="178"/>
      <c r="S26384" s="178"/>
    </row>
    <row r="26385" spans="18:19">
      <c r="R26385" s="178"/>
      <c r="S26385" s="178"/>
    </row>
    <row r="26386" spans="18:19">
      <c r="R26386" s="178"/>
      <c r="S26386" s="178"/>
    </row>
    <row r="26387" spans="18:19">
      <c r="R26387" s="178"/>
      <c r="S26387" s="178"/>
    </row>
    <row r="26388" spans="18:19">
      <c r="R26388" s="178"/>
      <c r="S26388" s="178"/>
    </row>
    <row r="26389" spans="18:19">
      <c r="R26389" s="178"/>
      <c r="S26389" s="178"/>
    </row>
    <row r="26390" spans="18:19">
      <c r="R26390" s="178"/>
      <c r="S26390" s="178"/>
    </row>
    <row r="26391" spans="18:19">
      <c r="R26391" s="178"/>
      <c r="S26391" s="178"/>
    </row>
    <row r="26392" spans="18:19">
      <c r="R26392" s="178"/>
      <c r="S26392" s="178"/>
    </row>
    <row r="26393" spans="18:19">
      <c r="R26393" s="178"/>
      <c r="S26393" s="178"/>
    </row>
    <row r="26394" spans="18:19">
      <c r="R26394" s="178"/>
      <c r="S26394" s="178"/>
    </row>
    <row r="26395" spans="18:19">
      <c r="R26395" s="178"/>
      <c r="S26395" s="178"/>
    </row>
    <row r="26396" spans="18:19">
      <c r="R26396" s="178"/>
      <c r="S26396" s="178"/>
    </row>
    <row r="26397" spans="18:19">
      <c r="R26397" s="178"/>
      <c r="S26397" s="178"/>
    </row>
    <row r="26398" spans="18:19">
      <c r="R26398" s="178"/>
      <c r="S26398" s="178"/>
    </row>
    <row r="26399" spans="18:19">
      <c r="R26399" s="178"/>
      <c r="S26399" s="178"/>
    </row>
    <row r="26400" spans="18:19">
      <c r="R26400" s="178"/>
      <c r="S26400" s="178"/>
    </row>
    <row r="26401" spans="18:19">
      <c r="R26401" s="178"/>
      <c r="S26401" s="178"/>
    </row>
    <row r="26402" spans="18:19">
      <c r="R26402" s="178"/>
      <c r="S26402" s="178"/>
    </row>
    <row r="26403" spans="18:19">
      <c r="R26403" s="178"/>
      <c r="S26403" s="178"/>
    </row>
    <row r="26404" spans="18:19">
      <c r="R26404" s="178"/>
      <c r="S26404" s="178"/>
    </row>
    <row r="26405" spans="18:19">
      <c r="R26405" s="178"/>
      <c r="S26405" s="178"/>
    </row>
    <row r="26406" spans="18:19">
      <c r="R26406" s="178"/>
      <c r="S26406" s="178"/>
    </row>
    <row r="26407" spans="18:19">
      <c r="R26407" s="178"/>
      <c r="S26407" s="178"/>
    </row>
    <row r="26408" spans="18:19">
      <c r="R26408" s="178"/>
      <c r="S26408" s="178"/>
    </row>
    <row r="26409" spans="18:19">
      <c r="R26409" s="178"/>
      <c r="S26409" s="178"/>
    </row>
    <row r="26410" spans="18:19">
      <c r="R26410" s="178"/>
      <c r="S26410" s="178"/>
    </row>
    <row r="26411" spans="18:19">
      <c r="R26411" s="178"/>
      <c r="S26411" s="178"/>
    </row>
    <row r="26412" spans="18:19">
      <c r="R26412" s="178"/>
      <c r="S26412" s="178"/>
    </row>
    <row r="26413" spans="18:19">
      <c r="R26413" s="178"/>
      <c r="S26413" s="178"/>
    </row>
    <row r="26414" spans="18:19">
      <c r="R26414" s="178"/>
      <c r="S26414" s="178"/>
    </row>
    <row r="26415" spans="18:19">
      <c r="R26415" s="178"/>
      <c r="S26415" s="178"/>
    </row>
    <row r="26416" spans="18:19">
      <c r="R26416" s="178"/>
      <c r="S26416" s="178"/>
    </row>
    <row r="26417" spans="18:19">
      <c r="R26417" s="178"/>
      <c r="S26417" s="178"/>
    </row>
    <row r="26418" spans="18:19">
      <c r="R26418" s="178"/>
      <c r="S26418" s="178"/>
    </row>
    <row r="26419" spans="18:19">
      <c r="R26419" s="178"/>
      <c r="S26419" s="178"/>
    </row>
    <row r="26420" spans="18:19">
      <c r="R26420" s="178"/>
      <c r="S26420" s="178"/>
    </row>
    <row r="26421" spans="18:19">
      <c r="R26421" s="178"/>
      <c r="S26421" s="178"/>
    </row>
    <row r="26422" spans="18:19">
      <c r="R26422" s="178"/>
      <c r="S26422" s="178"/>
    </row>
    <row r="26423" spans="18:19">
      <c r="R26423" s="178"/>
      <c r="S26423" s="178"/>
    </row>
    <row r="26424" spans="18:19">
      <c r="R26424" s="178"/>
      <c r="S26424" s="178"/>
    </row>
    <row r="26425" spans="18:19">
      <c r="R26425" s="178"/>
      <c r="S26425" s="178"/>
    </row>
    <row r="26426" spans="18:19">
      <c r="R26426" s="178"/>
      <c r="S26426" s="178"/>
    </row>
    <row r="26427" spans="18:19">
      <c r="R26427" s="178"/>
      <c r="S26427" s="178"/>
    </row>
    <row r="26428" spans="18:19">
      <c r="R26428" s="178"/>
      <c r="S26428" s="178"/>
    </row>
    <row r="26429" spans="18:19">
      <c r="R26429" s="178"/>
      <c r="S26429" s="178"/>
    </row>
    <row r="26430" spans="18:19">
      <c r="R26430" s="178"/>
      <c r="S26430" s="178"/>
    </row>
    <row r="26431" spans="18:19">
      <c r="R26431" s="178"/>
      <c r="S26431" s="178"/>
    </row>
    <row r="26432" spans="18:19">
      <c r="R26432" s="178"/>
      <c r="S26432" s="178"/>
    </row>
    <row r="26433" spans="18:19">
      <c r="R26433" s="178"/>
      <c r="S26433" s="178"/>
    </row>
    <row r="26434" spans="18:19">
      <c r="R26434" s="178"/>
      <c r="S26434" s="178"/>
    </row>
    <row r="26435" spans="18:19">
      <c r="R26435" s="178"/>
      <c r="S26435" s="178"/>
    </row>
    <row r="26436" spans="18:19">
      <c r="R26436" s="178"/>
      <c r="S26436" s="178"/>
    </row>
    <row r="26437" spans="18:19">
      <c r="R26437" s="178"/>
      <c r="S26437" s="178"/>
    </row>
    <row r="26438" spans="18:19">
      <c r="R26438" s="178"/>
      <c r="S26438" s="178"/>
    </row>
    <row r="26439" spans="18:19">
      <c r="R26439" s="178"/>
      <c r="S26439" s="178"/>
    </row>
    <row r="26440" spans="18:19">
      <c r="R26440" s="178"/>
      <c r="S26440" s="178"/>
    </row>
    <row r="26441" spans="18:19">
      <c r="R26441" s="178"/>
      <c r="S26441" s="178"/>
    </row>
    <row r="26442" spans="18:19">
      <c r="R26442" s="178"/>
      <c r="S26442" s="178"/>
    </row>
    <row r="26443" spans="18:19">
      <c r="R26443" s="178"/>
      <c r="S26443" s="178"/>
    </row>
    <row r="26444" spans="18:19">
      <c r="R26444" s="178"/>
      <c r="S26444" s="178"/>
    </row>
    <row r="26445" spans="18:19">
      <c r="R26445" s="178"/>
      <c r="S26445" s="178"/>
    </row>
    <row r="26446" spans="18:19">
      <c r="R26446" s="178"/>
      <c r="S26446" s="178"/>
    </row>
    <row r="26447" spans="18:19">
      <c r="R26447" s="178"/>
      <c r="S26447" s="178"/>
    </row>
    <row r="26448" spans="18:19">
      <c r="R26448" s="178"/>
      <c r="S26448" s="178"/>
    </row>
    <row r="26449" spans="18:19">
      <c r="R26449" s="178"/>
      <c r="S26449" s="178"/>
    </row>
    <row r="26450" spans="18:19">
      <c r="R26450" s="178"/>
      <c r="S26450" s="178"/>
    </row>
    <row r="26451" spans="18:19">
      <c r="R26451" s="178"/>
      <c r="S26451" s="178"/>
    </row>
    <row r="26452" spans="18:19">
      <c r="R26452" s="178"/>
      <c r="S26452" s="178"/>
    </row>
    <row r="26453" spans="18:19">
      <c r="R26453" s="178"/>
      <c r="S26453" s="178"/>
    </row>
    <row r="26454" spans="18:19">
      <c r="R26454" s="178"/>
      <c r="S26454" s="178"/>
    </row>
    <row r="26455" spans="18:19">
      <c r="R26455" s="178"/>
      <c r="S26455" s="178"/>
    </row>
    <row r="26456" spans="18:19">
      <c r="R26456" s="178"/>
      <c r="S26456" s="178"/>
    </row>
    <row r="26457" spans="18:19">
      <c r="R26457" s="178"/>
      <c r="S26457" s="178"/>
    </row>
    <row r="26458" spans="18:19">
      <c r="R26458" s="178"/>
      <c r="S26458" s="178"/>
    </row>
    <row r="26459" spans="18:19">
      <c r="R26459" s="178"/>
      <c r="S26459" s="178"/>
    </row>
    <row r="26460" spans="18:19">
      <c r="R26460" s="178"/>
      <c r="S26460" s="178"/>
    </row>
    <row r="26461" spans="18:19">
      <c r="R26461" s="178"/>
      <c r="S26461" s="178"/>
    </row>
    <row r="26462" spans="18:19">
      <c r="R26462" s="178"/>
      <c r="S26462" s="178"/>
    </row>
    <row r="26463" spans="18:19">
      <c r="R26463" s="178"/>
      <c r="S26463" s="178"/>
    </row>
    <row r="26464" spans="18:19">
      <c r="R26464" s="178"/>
      <c r="S26464" s="178"/>
    </row>
    <row r="26465" spans="18:19">
      <c r="R26465" s="178"/>
      <c r="S26465" s="178"/>
    </row>
    <row r="26466" spans="18:19">
      <c r="R26466" s="178"/>
      <c r="S26466" s="178"/>
    </row>
    <row r="26467" spans="18:19">
      <c r="R26467" s="178"/>
      <c r="S26467" s="178"/>
    </row>
    <row r="26468" spans="18:19">
      <c r="R26468" s="178"/>
      <c r="S26468" s="178"/>
    </row>
    <row r="26469" spans="18:19">
      <c r="R26469" s="178"/>
      <c r="S26469" s="178"/>
    </row>
    <row r="26470" spans="18:19">
      <c r="R26470" s="178"/>
      <c r="S26470" s="178"/>
    </row>
    <row r="26471" spans="18:19">
      <c r="R26471" s="178"/>
      <c r="S26471" s="178"/>
    </row>
    <row r="26472" spans="18:19">
      <c r="R26472" s="178"/>
      <c r="S26472" s="178"/>
    </row>
    <row r="26473" spans="18:19">
      <c r="R26473" s="178"/>
      <c r="S26473" s="178"/>
    </row>
    <row r="26474" spans="18:19">
      <c r="R26474" s="178"/>
      <c r="S26474" s="178"/>
    </row>
    <row r="26475" spans="18:19">
      <c r="R26475" s="178"/>
      <c r="S26475" s="178"/>
    </row>
    <row r="26476" spans="18:19">
      <c r="R26476" s="178"/>
      <c r="S26476" s="178"/>
    </row>
    <row r="26477" spans="18:19">
      <c r="R26477" s="178"/>
      <c r="S26477" s="178"/>
    </row>
    <row r="26478" spans="18:19">
      <c r="R26478" s="178"/>
      <c r="S26478" s="178"/>
    </row>
    <row r="26479" spans="18:19">
      <c r="R26479" s="178"/>
      <c r="S26479" s="178"/>
    </row>
    <row r="26480" spans="18:19">
      <c r="R26480" s="178"/>
      <c r="S26480" s="178"/>
    </row>
    <row r="26481" spans="18:19">
      <c r="R26481" s="178"/>
      <c r="S26481" s="178"/>
    </row>
    <row r="26482" spans="18:19">
      <c r="R26482" s="178"/>
      <c r="S26482" s="178"/>
    </row>
    <row r="26483" spans="18:19">
      <c r="R26483" s="178"/>
      <c r="S26483" s="178"/>
    </row>
    <row r="26484" spans="18:19">
      <c r="R26484" s="178"/>
      <c r="S26484" s="178"/>
    </row>
    <row r="26485" spans="18:19">
      <c r="R26485" s="178"/>
      <c r="S26485" s="178"/>
    </row>
    <row r="26486" spans="18:19">
      <c r="R26486" s="178"/>
      <c r="S26486" s="178"/>
    </row>
    <row r="26487" spans="18:19">
      <c r="R26487" s="178"/>
      <c r="S26487" s="178"/>
    </row>
    <row r="26488" spans="18:19">
      <c r="R26488" s="178"/>
      <c r="S26488" s="178"/>
    </row>
    <row r="26489" spans="18:19">
      <c r="R26489" s="178"/>
      <c r="S26489" s="178"/>
    </row>
    <row r="26490" spans="18:19">
      <c r="R26490" s="178"/>
      <c r="S26490" s="178"/>
    </row>
    <row r="26491" spans="18:19">
      <c r="R26491" s="178"/>
      <c r="S26491" s="178"/>
    </row>
    <row r="26492" spans="18:19">
      <c r="R26492" s="178"/>
      <c r="S26492" s="178"/>
    </row>
    <row r="26493" spans="18:19">
      <c r="R26493" s="178"/>
      <c r="S26493" s="178"/>
    </row>
    <row r="26494" spans="18:19">
      <c r="R26494" s="178"/>
      <c r="S26494" s="178"/>
    </row>
    <row r="26495" spans="18:19">
      <c r="R26495" s="178"/>
      <c r="S26495" s="178"/>
    </row>
    <row r="26496" spans="18:19">
      <c r="R26496" s="178"/>
      <c r="S26496" s="178"/>
    </row>
    <row r="26497" spans="18:19">
      <c r="R26497" s="178"/>
      <c r="S26497" s="178"/>
    </row>
    <row r="26498" spans="18:19">
      <c r="R26498" s="178"/>
      <c r="S26498" s="178"/>
    </row>
    <row r="26499" spans="18:19">
      <c r="R26499" s="178"/>
      <c r="S26499" s="178"/>
    </row>
    <row r="26500" spans="18:19">
      <c r="R26500" s="178"/>
      <c r="S26500" s="178"/>
    </row>
    <row r="26501" spans="18:19">
      <c r="R26501" s="178"/>
      <c r="S26501" s="178"/>
    </row>
    <row r="26502" spans="18:19">
      <c r="R26502" s="178"/>
      <c r="S26502" s="178"/>
    </row>
    <row r="26503" spans="18:19">
      <c r="R26503" s="178"/>
      <c r="S26503" s="178"/>
    </row>
    <row r="26504" spans="18:19">
      <c r="R26504" s="178"/>
      <c r="S26504" s="178"/>
    </row>
    <row r="26505" spans="18:19">
      <c r="R26505" s="178"/>
      <c r="S26505" s="178"/>
    </row>
    <row r="26506" spans="18:19">
      <c r="R26506" s="178"/>
      <c r="S26506" s="178"/>
    </row>
    <row r="26507" spans="18:19">
      <c r="R26507" s="178"/>
      <c r="S26507" s="178"/>
    </row>
    <row r="26508" spans="18:19">
      <c r="R26508" s="178"/>
      <c r="S26508" s="178"/>
    </row>
    <row r="26509" spans="18:19">
      <c r="R26509" s="178"/>
      <c r="S26509" s="178"/>
    </row>
    <row r="26510" spans="18:19">
      <c r="R26510" s="178"/>
      <c r="S26510" s="178"/>
    </row>
    <row r="26511" spans="18:19">
      <c r="R26511" s="178"/>
      <c r="S26511" s="178"/>
    </row>
    <row r="26512" spans="18:19">
      <c r="R26512" s="178"/>
      <c r="S26512" s="178"/>
    </row>
    <row r="26513" spans="18:19">
      <c r="R26513" s="178"/>
      <c r="S26513" s="178"/>
    </row>
    <row r="26514" spans="18:19">
      <c r="R26514" s="178"/>
      <c r="S26514" s="178"/>
    </row>
    <row r="26515" spans="18:19">
      <c r="R26515" s="178"/>
      <c r="S26515" s="178"/>
    </row>
    <row r="26516" spans="18:19">
      <c r="R26516" s="178"/>
      <c r="S26516" s="178"/>
    </row>
    <row r="26517" spans="18:19">
      <c r="R26517" s="178"/>
      <c r="S26517" s="178"/>
    </row>
    <row r="26518" spans="18:19">
      <c r="R26518" s="178"/>
      <c r="S26518" s="178"/>
    </row>
    <row r="26519" spans="18:19">
      <c r="R26519" s="178"/>
      <c r="S26519" s="178"/>
    </row>
    <row r="26520" spans="18:19">
      <c r="R26520" s="178"/>
      <c r="S26520" s="178"/>
    </row>
    <row r="26521" spans="18:19">
      <c r="R26521" s="178"/>
      <c r="S26521" s="178"/>
    </row>
    <row r="26522" spans="18:19">
      <c r="R26522" s="178"/>
      <c r="S26522" s="178"/>
    </row>
    <row r="26523" spans="18:19">
      <c r="R26523" s="178"/>
      <c r="S26523" s="178"/>
    </row>
    <row r="26524" spans="18:19">
      <c r="R26524" s="178"/>
      <c r="S26524" s="178"/>
    </row>
    <row r="26525" spans="18:19">
      <c r="R26525" s="178"/>
      <c r="S26525" s="178"/>
    </row>
    <row r="26526" spans="18:19">
      <c r="R26526" s="178"/>
      <c r="S26526" s="178"/>
    </row>
    <row r="26527" spans="18:19">
      <c r="R26527" s="178"/>
      <c r="S26527" s="178"/>
    </row>
    <row r="26528" spans="18:19">
      <c r="R26528" s="178"/>
      <c r="S26528" s="178"/>
    </row>
    <row r="26529" spans="18:19">
      <c r="R26529" s="178"/>
      <c r="S26529" s="178"/>
    </row>
    <row r="26530" spans="18:19">
      <c r="R26530" s="178"/>
      <c r="S26530" s="178"/>
    </row>
    <row r="26531" spans="18:19">
      <c r="R26531" s="178"/>
      <c r="S26531" s="178"/>
    </row>
    <row r="26532" spans="18:19">
      <c r="R26532" s="178"/>
      <c r="S26532" s="178"/>
    </row>
    <row r="26533" spans="18:19">
      <c r="R26533" s="178"/>
      <c r="S26533" s="178"/>
    </row>
    <row r="26534" spans="18:19">
      <c r="R26534" s="178"/>
      <c r="S26534" s="178"/>
    </row>
    <row r="26535" spans="18:19">
      <c r="R26535" s="178"/>
      <c r="S26535" s="178"/>
    </row>
    <row r="26536" spans="18:19">
      <c r="R26536" s="178"/>
      <c r="S26536" s="178"/>
    </row>
    <row r="26537" spans="18:19">
      <c r="R26537" s="178"/>
      <c r="S26537" s="178"/>
    </row>
    <row r="26538" spans="18:19">
      <c r="R26538" s="178"/>
      <c r="S26538" s="178"/>
    </row>
    <row r="26539" spans="18:19">
      <c r="R26539" s="178"/>
      <c r="S26539" s="178"/>
    </row>
    <row r="26540" spans="18:19">
      <c r="R26540" s="178"/>
      <c r="S26540" s="178"/>
    </row>
    <row r="26541" spans="18:19">
      <c r="R26541" s="178"/>
      <c r="S26541" s="178"/>
    </row>
    <row r="26542" spans="18:19">
      <c r="R26542" s="178"/>
      <c r="S26542" s="178"/>
    </row>
    <row r="26543" spans="18:19">
      <c r="R26543" s="178"/>
      <c r="S26543" s="178"/>
    </row>
    <row r="26544" spans="18:19">
      <c r="R26544" s="178"/>
      <c r="S26544" s="178"/>
    </row>
    <row r="26545" spans="18:19">
      <c r="R26545" s="178"/>
      <c r="S26545" s="178"/>
    </row>
    <row r="26546" spans="18:19">
      <c r="R26546" s="178"/>
      <c r="S26546" s="178"/>
    </row>
    <row r="26547" spans="18:19">
      <c r="R26547" s="178"/>
      <c r="S26547" s="178"/>
    </row>
    <row r="26548" spans="18:19">
      <c r="R26548" s="178"/>
      <c r="S26548" s="178"/>
    </row>
    <row r="26549" spans="18:19">
      <c r="R26549" s="178"/>
      <c r="S26549" s="178"/>
    </row>
    <row r="26550" spans="18:19">
      <c r="R26550" s="178"/>
      <c r="S26550" s="178"/>
    </row>
    <row r="26551" spans="18:19">
      <c r="R26551" s="178"/>
      <c r="S26551" s="178"/>
    </row>
    <row r="26552" spans="18:19">
      <c r="R26552" s="178"/>
      <c r="S26552" s="178"/>
    </row>
    <row r="26553" spans="18:19">
      <c r="R26553" s="178"/>
      <c r="S26553" s="178"/>
    </row>
    <row r="26554" spans="18:19">
      <c r="R26554" s="178"/>
      <c r="S26554" s="178"/>
    </row>
    <row r="26555" spans="18:19">
      <c r="R26555" s="178"/>
      <c r="S26555" s="178"/>
    </row>
    <row r="26556" spans="18:19">
      <c r="R26556" s="178"/>
      <c r="S26556" s="178"/>
    </row>
    <row r="26557" spans="18:19">
      <c r="R26557" s="178"/>
      <c r="S26557" s="178"/>
    </row>
    <row r="26558" spans="18:19">
      <c r="R26558" s="178"/>
      <c r="S26558" s="178"/>
    </row>
    <row r="26559" spans="18:19">
      <c r="R26559" s="178"/>
      <c r="S26559" s="178"/>
    </row>
    <row r="26560" spans="18:19">
      <c r="R26560" s="178"/>
      <c r="S26560" s="178"/>
    </row>
    <row r="26561" spans="18:19">
      <c r="R26561" s="178"/>
      <c r="S26561" s="178"/>
    </row>
    <row r="26562" spans="18:19">
      <c r="R26562" s="178"/>
      <c r="S26562" s="178"/>
    </row>
    <row r="26563" spans="18:19">
      <c r="R26563" s="178"/>
      <c r="S26563" s="178"/>
    </row>
    <row r="26564" spans="18:19">
      <c r="R26564" s="178"/>
      <c r="S26564" s="178"/>
    </row>
    <row r="26565" spans="18:19">
      <c r="R26565" s="178"/>
      <c r="S26565" s="178"/>
    </row>
    <row r="26566" spans="18:19">
      <c r="R26566" s="178"/>
      <c r="S26566" s="178"/>
    </row>
    <row r="26567" spans="18:19">
      <c r="R26567" s="178"/>
      <c r="S26567" s="178"/>
    </row>
    <row r="26568" spans="18:19">
      <c r="R26568" s="178"/>
      <c r="S26568" s="178"/>
    </row>
    <row r="26569" spans="18:19">
      <c r="R26569" s="178"/>
      <c r="S26569" s="178"/>
    </row>
    <row r="26570" spans="18:19">
      <c r="R26570" s="178"/>
      <c r="S26570" s="178"/>
    </row>
    <row r="26571" spans="18:19">
      <c r="R26571" s="178"/>
      <c r="S26571" s="178"/>
    </row>
    <row r="26572" spans="18:19">
      <c r="R26572" s="178"/>
      <c r="S26572" s="178"/>
    </row>
    <row r="26573" spans="18:19">
      <c r="R26573" s="178"/>
      <c r="S26573" s="178"/>
    </row>
    <row r="26574" spans="18:19">
      <c r="R26574" s="178"/>
      <c r="S26574" s="178"/>
    </row>
    <row r="26575" spans="18:19">
      <c r="R26575" s="178"/>
      <c r="S26575" s="178"/>
    </row>
    <row r="26576" spans="18:19">
      <c r="R26576" s="178"/>
      <c r="S26576" s="178"/>
    </row>
    <row r="26577" spans="18:19">
      <c r="R26577" s="178"/>
      <c r="S26577" s="178"/>
    </row>
    <row r="26578" spans="18:19">
      <c r="R26578" s="178"/>
      <c r="S26578" s="178"/>
    </row>
    <row r="26579" spans="18:19">
      <c r="R26579" s="178"/>
      <c r="S26579" s="178"/>
    </row>
    <row r="26580" spans="18:19">
      <c r="R26580" s="178"/>
      <c r="S26580" s="178"/>
    </row>
    <row r="26581" spans="18:19">
      <c r="R26581" s="178"/>
      <c r="S26581" s="178"/>
    </row>
    <row r="26582" spans="18:19">
      <c r="R26582" s="178"/>
      <c r="S26582" s="178"/>
    </row>
    <row r="26583" spans="18:19">
      <c r="R26583" s="178"/>
      <c r="S26583" s="178"/>
    </row>
    <row r="26584" spans="18:19">
      <c r="R26584" s="178"/>
      <c r="S26584" s="178"/>
    </row>
    <row r="26585" spans="18:19">
      <c r="R26585" s="178"/>
      <c r="S26585" s="178"/>
    </row>
    <row r="26586" spans="18:19">
      <c r="R26586" s="178"/>
      <c r="S26586" s="178"/>
    </row>
    <row r="26587" spans="18:19">
      <c r="R26587" s="178"/>
      <c r="S26587" s="178"/>
    </row>
    <row r="26588" spans="18:19">
      <c r="R26588" s="178"/>
      <c r="S26588" s="178"/>
    </row>
    <row r="26589" spans="18:19">
      <c r="R26589" s="178"/>
      <c r="S26589" s="178"/>
    </row>
    <row r="26590" spans="18:19">
      <c r="R26590" s="178"/>
      <c r="S26590" s="178"/>
    </row>
    <row r="26591" spans="18:19">
      <c r="R26591" s="178"/>
      <c r="S26591" s="178"/>
    </row>
    <row r="26592" spans="18:19">
      <c r="R26592" s="178"/>
      <c r="S26592" s="178"/>
    </row>
    <row r="26593" spans="18:19">
      <c r="R26593" s="178"/>
      <c r="S26593" s="178"/>
    </row>
    <row r="26594" spans="18:19">
      <c r="R26594" s="178"/>
      <c r="S26594" s="178"/>
    </row>
    <row r="26595" spans="18:19">
      <c r="R26595" s="178"/>
      <c r="S26595" s="178"/>
    </row>
    <row r="26596" spans="18:19">
      <c r="R26596" s="178"/>
      <c r="S26596" s="178"/>
    </row>
    <row r="26597" spans="18:19">
      <c r="R26597" s="178"/>
      <c r="S26597" s="178"/>
    </row>
    <row r="26598" spans="18:19">
      <c r="R26598" s="178"/>
      <c r="S26598" s="178"/>
    </row>
    <row r="26599" spans="18:19">
      <c r="R26599" s="178"/>
      <c r="S26599" s="178"/>
    </row>
    <row r="26600" spans="18:19">
      <c r="R26600" s="178"/>
      <c r="S26600" s="178"/>
    </row>
    <row r="26601" spans="18:19">
      <c r="R26601" s="178"/>
      <c r="S26601" s="178"/>
    </row>
    <row r="26602" spans="18:19">
      <c r="R26602" s="178"/>
      <c r="S26602" s="178"/>
    </row>
    <row r="26603" spans="18:19">
      <c r="R26603" s="178"/>
      <c r="S26603" s="178"/>
    </row>
    <row r="26604" spans="18:19">
      <c r="R26604" s="178"/>
      <c r="S26604" s="178"/>
    </row>
    <row r="26605" spans="18:19">
      <c r="R26605" s="178"/>
      <c r="S26605" s="178"/>
    </row>
    <row r="26606" spans="18:19">
      <c r="R26606" s="178"/>
      <c r="S26606" s="178"/>
    </row>
    <row r="26607" spans="18:19">
      <c r="R26607" s="178"/>
      <c r="S26607" s="178"/>
    </row>
    <row r="26608" spans="18:19">
      <c r="R26608" s="178"/>
      <c r="S26608" s="178"/>
    </row>
    <row r="26609" spans="18:19">
      <c r="R26609" s="178"/>
      <c r="S26609" s="178"/>
    </row>
    <row r="26610" spans="18:19">
      <c r="R26610" s="178"/>
      <c r="S26610" s="178"/>
    </row>
    <row r="26611" spans="18:19">
      <c r="R26611" s="178"/>
      <c r="S26611" s="178"/>
    </row>
    <row r="26612" spans="18:19">
      <c r="R26612" s="178"/>
      <c r="S26612" s="178"/>
    </row>
    <row r="26613" spans="18:19">
      <c r="R26613" s="178"/>
      <c r="S26613" s="178"/>
    </row>
    <row r="26614" spans="18:19">
      <c r="R26614" s="178"/>
      <c r="S26614" s="178"/>
    </row>
    <row r="26615" spans="18:19">
      <c r="R26615" s="178"/>
      <c r="S26615" s="178"/>
    </row>
    <row r="26616" spans="18:19">
      <c r="R26616" s="178"/>
      <c r="S26616" s="178"/>
    </row>
    <row r="26617" spans="18:19">
      <c r="R26617" s="178"/>
      <c r="S26617" s="178"/>
    </row>
    <row r="26618" spans="18:19">
      <c r="R26618" s="178"/>
      <c r="S26618" s="178"/>
    </row>
    <row r="26619" spans="18:19">
      <c r="R26619" s="178"/>
      <c r="S26619" s="178"/>
    </row>
    <row r="26620" spans="18:19">
      <c r="R26620" s="178"/>
      <c r="S26620" s="178"/>
    </row>
    <row r="26621" spans="18:19">
      <c r="R26621" s="178"/>
      <c r="S26621" s="178"/>
    </row>
    <row r="26622" spans="18:19">
      <c r="R26622" s="178"/>
      <c r="S26622" s="178"/>
    </row>
    <row r="26623" spans="18:19">
      <c r="R26623" s="178"/>
      <c r="S26623" s="178"/>
    </row>
    <row r="26624" spans="18:19">
      <c r="R26624" s="178"/>
      <c r="S26624" s="178"/>
    </row>
    <row r="26625" spans="18:19">
      <c r="R26625" s="178"/>
      <c r="S26625" s="178"/>
    </row>
    <row r="26626" spans="18:19">
      <c r="R26626" s="178"/>
      <c r="S26626" s="178"/>
    </row>
    <row r="26627" spans="18:19">
      <c r="R26627" s="178"/>
      <c r="S26627" s="178"/>
    </row>
    <row r="26628" spans="18:19">
      <c r="R26628" s="178"/>
      <c r="S26628" s="178"/>
    </row>
    <row r="26629" spans="18:19">
      <c r="R26629" s="178"/>
      <c r="S26629" s="178"/>
    </row>
    <row r="26630" spans="18:19">
      <c r="R26630" s="178"/>
      <c r="S26630" s="178"/>
    </row>
    <row r="26631" spans="18:19">
      <c r="R26631" s="178"/>
      <c r="S26631" s="178"/>
    </row>
    <row r="26632" spans="18:19">
      <c r="R26632" s="178"/>
      <c r="S26632" s="178"/>
    </row>
    <row r="26633" spans="18:19">
      <c r="R26633" s="178"/>
      <c r="S26633" s="178"/>
    </row>
    <row r="26634" spans="18:19">
      <c r="R26634" s="178"/>
      <c r="S26634" s="178"/>
    </row>
    <row r="26635" spans="18:19">
      <c r="R26635" s="178"/>
      <c r="S26635" s="178"/>
    </row>
    <row r="26636" spans="18:19">
      <c r="R26636" s="178"/>
      <c r="S26636" s="178"/>
    </row>
    <row r="26637" spans="18:19">
      <c r="R26637" s="178"/>
      <c r="S26637" s="178"/>
    </row>
    <row r="26638" spans="18:19">
      <c r="R26638" s="178"/>
      <c r="S26638" s="178"/>
    </row>
    <row r="26639" spans="18:19">
      <c r="R26639" s="178"/>
      <c r="S26639" s="178"/>
    </row>
    <row r="26640" spans="18:19">
      <c r="R26640" s="178"/>
      <c r="S26640" s="178"/>
    </row>
    <row r="26641" spans="18:19">
      <c r="R26641" s="178"/>
      <c r="S26641" s="178"/>
    </row>
    <row r="26642" spans="18:19">
      <c r="R26642" s="178"/>
      <c r="S26642" s="178"/>
    </row>
    <row r="26643" spans="18:19">
      <c r="R26643" s="178"/>
      <c r="S26643" s="178"/>
    </row>
    <row r="26644" spans="18:19">
      <c r="R26644" s="178"/>
      <c r="S26644" s="178"/>
    </row>
    <row r="26645" spans="18:19">
      <c r="R26645" s="178"/>
      <c r="S26645" s="178"/>
    </row>
    <row r="26646" spans="18:19">
      <c r="R26646" s="178"/>
      <c r="S26646" s="178"/>
    </row>
    <row r="26647" spans="18:19">
      <c r="R26647" s="178"/>
      <c r="S26647" s="178"/>
    </row>
    <row r="26648" spans="18:19">
      <c r="R26648" s="178"/>
      <c r="S26648" s="178"/>
    </row>
    <row r="26649" spans="18:19">
      <c r="R26649" s="178"/>
      <c r="S26649" s="178"/>
    </row>
    <row r="26650" spans="18:19">
      <c r="R26650" s="178"/>
      <c r="S26650" s="178"/>
    </row>
    <row r="26651" spans="18:19">
      <c r="R26651" s="178"/>
      <c r="S26651" s="178"/>
    </row>
    <row r="26652" spans="18:19">
      <c r="R26652" s="178"/>
      <c r="S26652" s="178"/>
    </row>
    <row r="26653" spans="18:19">
      <c r="R26653" s="178"/>
      <c r="S26653" s="178"/>
    </row>
    <row r="26654" spans="18:19">
      <c r="R26654" s="178"/>
      <c r="S26654" s="178"/>
    </row>
    <row r="26655" spans="18:19">
      <c r="R26655" s="178"/>
      <c r="S26655" s="178"/>
    </row>
    <row r="26656" spans="18:19">
      <c r="R26656" s="178"/>
      <c r="S26656" s="178"/>
    </row>
    <row r="26657" spans="18:19">
      <c r="R26657" s="178"/>
      <c r="S26657" s="178"/>
    </row>
    <row r="26658" spans="18:19">
      <c r="R26658" s="178"/>
      <c r="S26658" s="178"/>
    </row>
    <row r="26659" spans="18:19">
      <c r="R26659" s="178"/>
      <c r="S26659" s="178"/>
    </row>
    <row r="26660" spans="18:19">
      <c r="R26660" s="178"/>
      <c r="S26660" s="178"/>
    </row>
    <row r="26661" spans="18:19">
      <c r="R26661" s="178"/>
      <c r="S26661" s="178"/>
    </row>
    <row r="26662" spans="18:19">
      <c r="R26662" s="178"/>
      <c r="S26662" s="178"/>
    </row>
    <row r="26663" spans="18:19">
      <c r="R26663" s="178"/>
      <c r="S26663" s="178"/>
    </row>
    <row r="26664" spans="18:19">
      <c r="R26664" s="178"/>
      <c r="S26664" s="178"/>
    </row>
    <row r="26665" spans="18:19">
      <c r="R26665" s="178"/>
      <c r="S26665" s="178"/>
    </row>
    <row r="26666" spans="18:19">
      <c r="R26666" s="178"/>
      <c r="S26666" s="178"/>
    </row>
    <row r="26667" spans="18:19">
      <c r="R26667" s="178"/>
      <c r="S26667" s="178"/>
    </row>
    <row r="26668" spans="18:19">
      <c r="R26668" s="178"/>
      <c r="S26668" s="178"/>
    </row>
    <row r="26669" spans="18:19">
      <c r="R26669" s="178"/>
      <c r="S26669" s="178"/>
    </row>
    <row r="26670" spans="18:19">
      <c r="R26670" s="178"/>
      <c r="S26670" s="178"/>
    </row>
    <row r="26671" spans="18:19">
      <c r="R26671" s="178"/>
      <c r="S26671" s="178"/>
    </row>
    <row r="26672" spans="18:19">
      <c r="R26672" s="178"/>
      <c r="S26672" s="178"/>
    </row>
    <row r="26673" spans="18:19">
      <c r="R26673" s="178"/>
      <c r="S26673" s="178"/>
    </row>
    <row r="26674" spans="18:19">
      <c r="R26674" s="178"/>
      <c r="S26674" s="178"/>
    </row>
    <row r="26675" spans="18:19">
      <c r="R26675" s="178"/>
      <c r="S26675" s="178"/>
    </row>
    <row r="26676" spans="18:19">
      <c r="R26676" s="178"/>
      <c r="S26676" s="178"/>
    </row>
    <row r="26677" spans="18:19">
      <c r="R26677" s="178"/>
      <c r="S26677" s="178"/>
    </row>
    <row r="26678" spans="18:19">
      <c r="R26678" s="178"/>
      <c r="S26678" s="178"/>
    </row>
    <row r="26679" spans="18:19">
      <c r="R26679" s="178"/>
      <c r="S26679" s="178"/>
    </row>
    <row r="26680" spans="18:19">
      <c r="R26680" s="178"/>
      <c r="S26680" s="178"/>
    </row>
    <row r="26681" spans="18:19">
      <c r="R26681" s="178"/>
      <c r="S26681" s="178"/>
    </row>
    <row r="26682" spans="18:19">
      <c r="R26682" s="178"/>
      <c r="S26682" s="178"/>
    </row>
    <row r="26683" spans="18:19">
      <c r="R26683" s="178"/>
      <c r="S26683" s="178"/>
    </row>
    <row r="26684" spans="18:19">
      <c r="R26684" s="178"/>
      <c r="S26684" s="178"/>
    </row>
    <row r="26685" spans="18:19">
      <c r="R26685" s="178"/>
      <c r="S26685" s="178"/>
    </row>
    <row r="26686" spans="18:19">
      <c r="R26686" s="178"/>
      <c r="S26686" s="178"/>
    </row>
    <row r="26687" spans="18:19">
      <c r="R26687" s="178"/>
      <c r="S26687" s="178"/>
    </row>
    <row r="26688" spans="18:19">
      <c r="R26688" s="178"/>
      <c r="S26688" s="178"/>
    </row>
    <row r="26689" spans="18:19">
      <c r="R26689" s="178"/>
      <c r="S26689" s="178"/>
    </row>
    <row r="26690" spans="18:19">
      <c r="R26690" s="178"/>
      <c r="S26690" s="178"/>
    </row>
    <row r="26691" spans="18:19">
      <c r="R26691" s="178"/>
      <c r="S26691" s="178"/>
    </row>
    <row r="26692" spans="18:19">
      <c r="R26692" s="178"/>
      <c r="S26692" s="178"/>
    </row>
    <row r="26693" spans="18:19">
      <c r="R26693" s="178"/>
      <c r="S26693" s="178"/>
    </row>
    <row r="26694" spans="18:19">
      <c r="R26694" s="178"/>
      <c r="S26694" s="178"/>
    </row>
    <row r="26695" spans="18:19">
      <c r="R26695" s="178"/>
      <c r="S26695" s="178"/>
    </row>
    <row r="26696" spans="18:19">
      <c r="R26696" s="178"/>
      <c r="S26696" s="178"/>
    </row>
    <row r="26697" spans="18:19">
      <c r="R26697" s="178"/>
      <c r="S26697" s="178"/>
    </row>
    <row r="26698" spans="18:19">
      <c r="R26698" s="178"/>
      <c r="S26698" s="178"/>
    </row>
    <row r="26699" spans="18:19">
      <c r="R26699" s="178"/>
      <c r="S26699" s="178"/>
    </row>
    <row r="26700" spans="18:19">
      <c r="R26700" s="178"/>
      <c r="S26700" s="178"/>
    </row>
    <row r="26701" spans="18:19">
      <c r="R26701" s="178"/>
      <c r="S26701" s="178"/>
    </row>
    <row r="26702" spans="18:19">
      <c r="R26702" s="178"/>
      <c r="S26702" s="178"/>
    </row>
    <row r="26703" spans="18:19">
      <c r="R26703" s="178"/>
      <c r="S26703" s="178"/>
    </row>
    <row r="26704" spans="18:19">
      <c r="R26704" s="178"/>
      <c r="S26704" s="178"/>
    </row>
    <row r="26705" spans="18:19">
      <c r="R26705" s="178"/>
      <c r="S26705" s="178"/>
    </row>
    <row r="26706" spans="18:19">
      <c r="R26706" s="178"/>
      <c r="S26706" s="178"/>
    </row>
    <row r="26707" spans="18:19">
      <c r="R26707" s="178"/>
      <c r="S26707" s="178"/>
    </row>
    <row r="26708" spans="18:19">
      <c r="R26708" s="178"/>
      <c r="S26708" s="178"/>
    </row>
    <row r="26709" spans="18:19">
      <c r="R26709" s="178"/>
      <c r="S26709" s="178"/>
    </row>
    <row r="26710" spans="18:19">
      <c r="R26710" s="178"/>
      <c r="S26710" s="178"/>
    </row>
    <row r="26711" spans="18:19">
      <c r="R26711" s="178"/>
      <c r="S26711" s="178"/>
    </row>
    <row r="26712" spans="18:19">
      <c r="R26712" s="178"/>
      <c r="S26712" s="178"/>
    </row>
    <row r="26713" spans="18:19">
      <c r="R26713" s="178"/>
      <c r="S26713" s="178"/>
    </row>
    <row r="26714" spans="18:19">
      <c r="R26714" s="178"/>
      <c r="S26714" s="178"/>
    </row>
    <row r="26715" spans="18:19">
      <c r="R26715" s="178"/>
      <c r="S26715" s="178"/>
    </row>
    <row r="26716" spans="18:19">
      <c r="R26716" s="178"/>
      <c r="S26716" s="178"/>
    </row>
    <row r="26717" spans="18:19">
      <c r="R26717" s="178"/>
      <c r="S26717" s="178"/>
    </row>
    <row r="26718" spans="18:19">
      <c r="R26718" s="178"/>
      <c r="S26718" s="178"/>
    </row>
    <row r="26719" spans="18:19">
      <c r="R26719" s="178"/>
      <c r="S26719" s="178"/>
    </row>
    <row r="26720" spans="18:19">
      <c r="R26720" s="178"/>
      <c r="S26720" s="178"/>
    </row>
    <row r="26721" spans="18:19">
      <c r="R26721" s="178"/>
      <c r="S26721" s="178"/>
    </row>
    <row r="26722" spans="18:19">
      <c r="R26722" s="178"/>
      <c r="S26722" s="178"/>
    </row>
    <row r="26723" spans="18:19">
      <c r="R26723" s="178"/>
      <c r="S26723" s="178"/>
    </row>
    <row r="26724" spans="18:19">
      <c r="R26724" s="178"/>
      <c r="S26724" s="178"/>
    </row>
    <row r="26725" spans="18:19">
      <c r="R26725" s="178"/>
      <c r="S26725" s="178"/>
    </row>
    <row r="26726" spans="18:19">
      <c r="R26726" s="178"/>
      <c r="S26726" s="178"/>
    </row>
    <row r="26727" spans="18:19">
      <c r="R26727" s="178"/>
      <c r="S26727" s="178"/>
    </row>
    <row r="26728" spans="18:19">
      <c r="R26728" s="178"/>
      <c r="S26728" s="178"/>
    </row>
    <row r="26729" spans="18:19">
      <c r="R26729" s="178"/>
      <c r="S26729" s="178"/>
    </row>
    <row r="26730" spans="18:19">
      <c r="R26730" s="178"/>
      <c r="S26730" s="178"/>
    </row>
    <row r="26731" spans="18:19">
      <c r="R26731" s="178"/>
      <c r="S26731" s="178"/>
    </row>
    <row r="26732" spans="18:19">
      <c r="R26732" s="178"/>
      <c r="S26732" s="178"/>
    </row>
    <row r="26733" spans="18:19">
      <c r="R26733" s="178"/>
      <c r="S26733" s="178"/>
    </row>
    <row r="26734" spans="18:19">
      <c r="R26734" s="178"/>
      <c r="S26734" s="178"/>
    </row>
    <row r="26735" spans="18:19">
      <c r="R26735" s="178"/>
      <c r="S26735" s="178"/>
    </row>
    <row r="26736" spans="18:19">
      <c r="R26736" s="178"/>
      <c r="S26736" s="178"/>
    </row>
    <row r="26737" spans="18:19">
      <c r="R26737" s="178"/>
      <c r="S26737" s="178"/>
    </row>
    <row r="26738" spans="18:19">
      <c r="R26738" s="178"/>
      <c r="S26738" s="178"/>
    </row>
    <row r="26739" spans="18:19">
      <c r="R26739" s="178"/>
      <c r="S26739" s="178"/>
    </row>
    <row r="26740" spans="18:19">
      <c r="R26740" s="178"/>
      <c r="S26740" s="178"/>
    </row>
    <row r="26741" spans="18:19">
      <c r="R26741" s="178"/>
      <c r="S26741" s="178"/>
    </row>
    <row r="26742" spans="18:19">
      <c r="R26742" s="178"/>
      <c r="S26742" s="178"/>
    </row>
    <row r="26743" spans="18:19">
      <c r="R26743" s="178"/>
      <c r="S26743" s="178"/>
    </row>
    <row r="26744" spans="18:19">
      <c r="R26744" s="178"/>
      <c r="S26744" s="178"/>
    </row>
    <row r="26745" spans="18:19">
      <c r="R26745" s="178"/>
      <c r="S26745" s="178"/>
    </row>
    <row r="26746" spans="18:19">
      <c r="R26746" s="178"/>
      <c r="S26746" s="178"/>
    </row>
    <row r="26747" spans="18:19">
      <c r="R26747" s="178"/>
      <c r="S26747" s="178"/>
    </row>
    <row r="26748" spans="18:19">
      <c r="R26748" s="178"/>
      <c r="S26748" s="178"/>
    </row>
    <row r="26749" spans="18:19">
      <c r="R26749" s="178"/>
      <c r="S26749" s="178"/>
    </row>
    <row r="26750" spans="18:19">
      <c r="R26750" s="178"/>
      <c r="S26750" s="178"/>
    </row>
    <row r="26751" spans="18:19">
      <c r="R26751" s="178"/>
      <c r="S26751" s="178"/>
    </row>
    <row r="26752" spans="18:19">
      <c r="R26752" s="178"/>
      <c r="S26752" s="178"/>
    </row>
    <row r="26753" spans="18:19">
      <c r="R26753" s="178"/>
      <c r="S26753" s="178"/>
    </row>
    <row r="26754" spans="18:19">
      <c r="R26754" s="178"/>
      <c r="S26754" s="178"/>
    </row>
    <row r="26755" spans="18:19">
      <c r="R26755" s="178"/>
      <c r="S26755" s="178"/>
    </row>
    <row r="26756" spans="18:19">
      <c r="R26756" s="178"/>
      <c r="S26756" s="178"/>
    </row>
    <row r="26757" spans="18:19">
      <c r="R26757" s="178"/>
      <c r="S26757" s="178"/>
    </row>
    <row r="26758" spans="18:19">
      <c r="R26758" s="178"/>
      <c r="S26758" s="178"/>
    </row>
    <row r="26759" spans="18:19">
      <c r="R26759" s="178"/>
      <c r="S26759" s="178"/>
    </row>
    <row r="26760" spans="18:19">
      <c r="R26760" s="178"/>
      <c r="S26760" s="178"/>
    </row>
    <row r="26761" spans="18:19">
      <c r="R26761" s="178"/>
      <c r="S26761" s="178"/>
    </row>
    <row r="26762" spans="18:19">
      <c r="R26762" s="178"/>
      <c r="S26762" s="178"/>
    </row>
    <row r="26763" spans="18:19">
      <c r="R26763" s="178"/>
      <c r="S26763" s="178"/>
    </row>
    <row r="26764" spans="18:19">
      <c r="R26764" s="178"/>
      <c r="S26764" s="178"/>
    </row>
    <row r="26765" spans="18:19">
      <c r="R26765" s="178"/>
      <c r="S26765" s="178"/>
    </row>
    <row r="26766" spans="18:19">
      <c r="R26766" s="178"/>
      <c r="S26766" s="178"/>
    </row>
    <row r="26767" spans="18:19">
      <c r="R26767" s="178"/>
      <c r="S26767" s="178"/>
    </row>
    <row r="26768" spans="18:19">
      <c r="R26768" s="178"/>
      <c r="S26768" s="178"/>
    </row>
    <row r="26769" spans="18:19">
      <c r="R26769" s="178"/>
      <c r="S26769" s="178"/>
    </row>
    <row r="26770" spans="18:19">
      <c r="R26770" s="178"/>
      <c r="S26770" s="178"/>
    </row>
    <row r="26771" spans="18:19">
      <c r="R26771" s="178"/>
      <c r="S26771" s="178"/>
    </row>
    <row r="26772" spans="18:19">
      <c r="R26772" s="178"/>
      <c r="S26772" s="178"/>
    </row>
    <row r="26773" spans="18:19">
      <c r="R26773" s="178"/>
      <c r="S26773" s="178"/>
    </row>
    <row r="26774" spans="18:19">
      <c r="R26774" s="178"/>
      <c r="S26774" s="178"/>
    </row>
    <row r="26775" spans="18:19">
      <c r="R26775" s="178"/>
      <c r="S26775" s="178"/>
    </row>
    <row r="26776" spans="18:19">
      <c r="R26776" s="178"/>
      <c r="S26776" s="178"/>
    </row>
    <row r="26777" spans="18:19">
      <c r="R26777" s="178"/>
      <c r="S26777" s="178"/>
    </row>
    <row r="26778" spans="18:19">
      <c r="R26778" s="178"/>
      <c r="S26778" s="178"/>
    </row>
    <row r="26779" spans="18:19">
      <c r="R26779" s="178"/>
      <c r="S26779" s="178"/>
    </row>
    <row r="26780" spans="18:19">
      <c r="R26780" s="178"/>
      <c r="S26780" s="178"/>
    </row>
    <row r="26781" spans="18:19">
      <c r="R26781" s="178"/>
      <c r="S26781" s="178"/>
    </row>
    <row r="26782" spans="18:19">
      <c r="R26782" s="178"/>
      <c r="S26782" s="178"/>
    </row>
    <row r="26783" spans="18:19">
      <c r="R26783" s="178"/>
      <c r="S26783" s="178"/>
    </row>
    <row r="26784" spans="18:19">
      <c r="R26784" s="178"/>
      <c r="S26784" s="178"/>
    </row>
    <row r="26785" spans="18:19">
      <c r="R26785" s="178"/>
      <c r="S26785" s="178"/>
    </row>
    <row r="26786" spans="18:19">
      <c r="R26786" s="178"/>
      <c r="S26786" s="178"/>
    </row>
    <row r="26787" spans="18:19">
      <c r="R26787" s="178"/>
      <c r="S26787" s="178"/>
    </row>
    <row r="26788" spans="18:19">
      <c r="R26788" s="178"/>
      <c r="S26788" s="178"/>
    </row>
    <row r="26789" spans="18:19">
      <c r="R26789" s="178"/>
      <c r="S26789" s="178"/>
    </row>
    <row r="26790" spans="18:19">
      <c r="R26790" s="178"/>
      <c r="S26790" s="178"/>
    </row>
    <row r="26791" spans="18:19">
      <c r="R26791" s="178"/>
      <c r="S26791" s="178"/>
    </row>
    <row r="26792" spans="18:19">
      <c r="R26792" s="178"/>
      <c r="S26792" s="178"/>
    </row>
    <row r="26793" spans="18:19">
      <c r="R26793" s="178"/>
      <c r="S26793" s="178"/>
    </row>
    <row r="26794" spans="18:19">
      <c r="R26794" s="178"/>
      <c r="S26794" s="178"/>
    </row>
    <row r="26795" spans="18:19">
      <c r="R26795" s="178"/>
      <c r="S26795" s="178"/>
    </row>
    <row r="26796" spans="18:19">
      <c r="R26796" s="178"/>
      <c r="S26796" s="178"/>
    </row>
    <row r="26797" spans="18:19">
      <c r="R26797" s="178"/>
      <c r="S26797" s="178"/>
    </row>
    <row r="26798" spans="18:19">
      <c r="R26798" s="178"/>
      <c r="S26798" s="178"/>
    </row>
    <row r="26799" spans="18:19">
      <c r="R26799" s="178"/>
      <c r="S26799" s="178"/>
    </row>
    <row r="26800" spans="18:19">
      <c r="R26800" s="178"/>
      <c r="S26800" s="178"/>
    </row>
    <row r="26801" spans="18:19">
      <c r="R26801" s="178"/>
      <c r="S26801" s="178"/>
    </row>
    <row r="26802" spans="18:19">
      <c r="R26802" s="178"/>
      <c r="S26802" s="178"/>
    </row>
    <row r="26803" spans="18:19">
      <c r="R26803" s="178"/>
      <c r="S26803" s="178"/>
    </row>
    <row r="26804" spans="18:19">
      <c r="R26804" s="178"/>
      <c r="S26804" s="178"/>
    </row>
    <row r="26805" spans="18:19">
      <c r="R26805" s="178"/>
      <c r="S26805" s="178"/>
    </row>
    <row r="26806" spans="18:19">
      <c r="R26806" s="178"/>
      <c r="S26806" s="178"/>
    </row>
    <row r="26807" spans="18:19">
      <c r="R26807" s="178"/>
      <c r="S26807" s="178"/>
    </row>
    <row r="26808" spans="18:19">
      <c r="R26808" s="178"/>
      <c r="S26808" s="178"/>
    </row>
    <row r="26809" spans="18:19">
      <c r="R26809" s="178"/>
      <c r="S26809" s="178"/>
    </row>
    <row r="26810" spans="18:19">
      <c r="R26810" s="178"/>
      <c r="S26810" s="178"/>
    </row>
    <row r="26811" spans="18:19">
      <c r="R26811" s="178"/>
      <c r="S26811" s="178"/>
    </row>
    <row r="26812" spans="18:19">
      <c r="R26812" s="178"/>
      <c r="S26812" s="178"/>
    </row>
    <row r="26813" spans="18:19">
      <c r="R26813" s="178"/>
      <c r="S26813" s="178"/>
    </row>
    <row r="26814" spans="18:19">
      <c r="R26814" s="178"/>
      <c r="S26814" s="178"/>
    </row>
    <row r="26815" spans="18:19">
      <c r="R26815" s="178"/>
      <c r="S26815" s="178"/>
    </row>
    <row r="26816" spans="18:19">
      <c r="R26816" s="178"/>
      <c r="S26816" s="178"/>
    </row>
    <row r="26817" spans="18:19">
      <c r="R26817" s="178"/>
      <c r="S26817" s="178"/>
    </row>
    <row r="26818" spans="18:19">
      <c r="R26818" s="178"/>
      <c r="S26818" s="178"/>
    </row>
    <row r="26819" spans="18:19">
      <c r="R26819" s="178"/>
      <c r="S26819" s="178"/>
    </row>
    <row r="26820" spans="18:19">
      <c r="R26820" s="178"/>
      <c r="S26820" s="178"/>
    </row>
    <row r="26821" spans="18:19">
      <c r="R26821" s="178"/>
      <c r="S26821" s="178"/>
    </row>
    <row r="26822" spans="18:19">
      <c r="R26822" s="178"/>
      <c r="S26822" s="178"/>
    </row>
    <row r="26823" spans="18:19">
      <c r="R26823" s="178"/>
      <c r="S26823" s="178"/>
    </row>
    <row r="26824" spans="18:19">
      <c r="R26824" s="178"/>
      <c r="S26824" s="178"/>
    </row>
    <row r="26825" spans="18:19">
      <c r="R26825" s="178"/>
      <c r="S26825" s="178"/>
    </row>
    <row r="26826" spans="18:19">
      <c r="R26826" s="178"/>
      <c r="S26826" s="178"/>
    </row>
    <row r="26827" spans="18:19">
      <c r="R26827" s="178"/>
      <c r="S26827" s="178"/>
    </row>
    <row r="26828" spans="18:19">
      <c r="R26828" s="178"/>
      <c r="S26828" s="178"/>
    </row>
    <row r="26829" spans="18:19">
      <c r="R26829" s="178"/>
      <c r="S26829" s="178"/>
    </row>
    <row r="26830" spans="18:19">
      <c r="R26830" s="178"/>
      <c r="S26830" s="178"/>
    </row>
    <row r="26831" spans="18:19">
      <c r="R26831" s="178"/>
      <c r="S26831" s="178"/>
    </row>
    <row r="26832" spans="18:19">
      <c r="R26832" s="178"/>
      <c r="S26832" s="178"/>
    </row>
    <row r="26833" spans="18:19">
      <c r="R26833" s="178"/>
      <c r="S26833" s="178"/>
    </row>
    <row r="26834" spans="18:19">
      <c r="R26834" s="178"/>
      <c r="S26834" s="178"/>
    </row>
    <row r="26835" spans="18:19">
      <c r="R26835" s="178"/>
      <c r="S26835" s="178"/>
    </row>
    <row r="26836" spans="18:19">
      <c r="R26836" s="178"/>
      <c r="S26836" s="178"/>
    </row>
    <row r="26837" spans="18:19">
      <c r="R26837" s="178"/>
      <c r="S26837" s="178"/>
    </row>
    <row r="26838" spans="18:19">
      <c r="R26838" s="178"/>
      <c r="S26838" s="178"/>
    </row>
    <row r="26839" spans="18:19">
      <c r="R26839" s="178"/>
      <c r="S26839" s="178"/>
    </row>
    <row r="26840" spans="18:19">
      <c r="R26840" s="178"/>
      <c r="S26840" s="178"/>
    </row>
    <row r="26841" spans="18:19">
      <c r="R26841" s="178"/>
      <c r="S26841" s="178"/>
    </row>
    <row r="26842" spans="18:19">
      <c r="R26842" s="178"/>
      <c r="S26842" s="178"/>
    </row>
    <row r="26843" spans="18:19">
      <c r="R26843" s="178"/>
      <c r="S26843" s="178"/>
    </row>
    <row r="26844" spans="18:19">
      <c r="R26844" s="178"/>
      <c r="S26844" s="178"/>
    </row>
    <row r="26845" spans="18:19">
      <c r="R26845" s="178"/>
      <c r="S26845" s="178"/>
    </row>
    <row r="26846" spans="18:19">
      <c r="R26846" s="178"/>
      <c r="S26846" s="178"/>
    </row>
    <row r="26847" spans="18:19">
      <c r="R26847" s="178"/>
      <c r="S26847" s="178"/>
    </row>
    <row r="26848" spans="18:19">
      <c r="R26848" s="178"/>
      <c r="S26848" s="178"/>
    </row>
    <row r="26849" spans="18:19">
      <c r="R26849" s="178"/>
      <c r="S26849" s="178"/>
    </row>
    <row r="26850" spans="18:19">
      <c r="R26850" s="178"/>
      <c r="S26850" s="178"/>
    </row>
    <row r="26851" spans="18:19">
      <c r="R26851" s="178"/>
      <c r="S26851" s="178"/>
    </row>
    <row r="26852" spans="18:19">
      <c r="R26852" s="178"/>
      <c r="S26852" s="178"/>
    </row>
    <row r="26853" spans="18:19">
      <c r="R26853" s="178"/>
      <c r="S26853" s="178"/>
    </row>
    <row r="26854" spans="18:19">
      <c r="R26854" s="178"/>
      <c r="S26854" s="178"/>
    </row>
    <row r="26855" spans="18:19">
      <c r="R26855" s="178"/>
      <c r="S26855" s="178"/>
    </row>
    <row r="26856" spans="18:19">
      <c r="R26856" s="178"/>
      <c r="S26856" s="178"/>
    </row>
    <row r="26857" spans="18:19">
      <c r="R26857" s="178"/>
      <c r="S26857" s="178"/>
    </row>
    <row r="26858" spans="18:19">
      <c r="R26858" s="178"/>
      <c r="S26858" s="178"/>
    </row>
    <row r="26859" spans="18:19">
      <c r="R26859" s="178"/>
      <c r="S26859" s="178"/>
    </row>
    <row r="26860" spans="18:19">
      <c r="R26860" s="178"/>
      <c r="S26860" s="178"/>
    </row>
    <row r="26861" spans="18:19">
      <c r="R26861" s="178"/>
      <c r="S26861" s="178"/>
    </row>
    <row r="26862" spans="18:19">
      <c r="R26862" s="178"/>
      <c r="S26862" s="178"/>
    </row>
    <row r="26863" spans="18:19">
      <c r="R26863" s="178"/>
      <c r="S26863" s="178"/>
    </row>
    <row r="26864" spans="18:19">
      <c r="R26864" s="178"/>
      <c r="S26864" s="178"/>
    </row>
    <row r="26865" spans="18:19">
      <c r="R26865" s="178"/>
      <c r="S26865" s="178"/>
    </row>
    <row r="26866" spans="18:19">
      <c r="R26866" s="178"/>
      <c r="S26866" s="178"/>
    </row>
    <row r="26867" spans="18:19">
      <c r="R26867" s="178"/>
      <c r="S26867" s="178"/>
    </row>
    <row r="26868" spans="18:19">
      <c r="R26868" s="178"/>
      <c r="S26868" s="178"/>
    </row>
    <row r="26869" spans="18:19">
      <c r="R26869" s="178"/>
      <c r="S26869" s="178"/>
    </row>
    <row r="26870" spans="18:19">
      <c r="R26870" s="178"/>
      <c r="S26870" s="178"/>
    </row>
    <row r="26871" spans="18:19">
      <c r="R26871" s="178"/>
      <c r="S26871" s="178"/>
    </row>
    <row r="26872" spans="18:19">
      <c r="R26872" s="178"/>
      <c r="S26872" s="178"/>
    </row>
    <row r="26873" spans="18:19">
      <c r="R26873" s="178"/>
      <c r="S26873" s="178"/>
    </row>
    <row r="26874" spans="18:19">
      <c r="R26874" s="178"/>
      <c r="S26874" s="178"/>
    </row>
    <row r="26875" spans="18:19">
      <c r="R26875" s="178"/>
      <c r="S26875" s="178"/>
    </row>
    <row r="26876" spans="18:19">
      <c r="R26876" s="178"/>
      <c r="S26876" s="178"/>
    </row>
    <row r="26877" spans="18:19">
      <c r="R26877" s="178"/>
      <c r="S26877" s="178"/>
    </row>
    <row r="26878" spans="18:19">
      <c r="R26878" s="178"/>
      <c r="S26878" s="178"/>
    </row>
    <row r="26879" spans="18:19">
      <c r="R26879" s="178"/>
      <c r="S26879" s="178"/>
    </row>
    <row r="26880" spans="18:19">
      <c r="R26880" s="178"/>
      <c r="S26880" s="178"/>
    </row>
    <row r="26881" spans="18:19">
      <c r="R26881" s="178"/>
      <c r="S26881" s="178"/>
    </row>
    <row r="26882" spans="18:19">
      <c r="R26882" s="178"/>
      <c r="S26882" s="178"/>
    </row>
    <row r="26883" spans="18:19">
      <c r="R26883" s="178"/>
      <c r="S26883" s="178"/>
    </row>
    <row r="26884" spans="18:19">
      <c r="R26884" s="178"/>
      <c r="S26884" s="178"/>
    </row>
    <row r="26885" spans="18:19">
      <c r="R26885" s="178"/>
      <c r="S26885" s="178"/>
    </row>
    <row r="26886" spans="18:19">
      <c r="R26886" s="178"/>
      <c r="S26886" s="178"/>
    </row>
    <row r="26887" spans="18:19">
      <c r="R26887" s="178"/>
      <c r="S26887" s="178"/>
    </row>
    <row r="26888" spans="18:19">
      <c r="R26888" s="178"/>
      <c r="S26888" s="178"/>
    </row>
    <row r="26889" spans="18:19">
      <c r="R26889" s="178"/>
      <c r="S26889" s="178"/>
    </row>
    <row r="26890" spans="18:19">
      <c r="R26890" s="178"/>
      <c r="S26890" s="178"/>
    </row>
    <row r="26891" spans="18:19">
      <c r="R26891" s="178"/>
      <c r="S26891" s="178"/>
    </row>
    <row r="26892" spans="18:19">
      <c r="R26892" s="178"/>
      <c r="S26892" s="178"/>
    </row>
    <row r="26893" spans="18:19">
      <c r="R26893" s="178"/>
      <c r="S26893" s="178"/>
    </row>
    <row r="26894" spans="18:19">
      <c r="R26894" s="178"/>
      <c r="S26894" s="178"/>
    </row>
    <row r="26895" spans="18:19">
      <c r="R26895" s="178"/>
      <c r="S26895" s="178"/>
    </row>
    <row r="26896" spans="18:19">
      <c r="R26896" s="178"/>
      <c r="S26896" s="178"/>
    </row>
    <row r="26897" spans="18:19">
      <c r="R26897" s="178"/>
      <c r="S26897" s="178"/>
    </row>
    <row r="26898" spans="18:19">
      <c r="R26898" s="178"/>
      <c r="S26898" s="178"/>
    </row>
    <row r="26899" spans="18:19">
      <c r="R26899" s="178"/>
      <c r="S26899" s="178"/>
    </row>
    <row r="26900" spans="18:19">
      <c r="R26900" s="178"/>
      <c r="S26900" s="178"/>
    </row>
    <row r="26901" spans="18:19">
      <c r="R26901" s="178"/>
      <c r="S26901" s="178"/>
    </row>
    <row r="26902" spans="18:19">
      <c r="R26902" s="178"/>
      <c r="S26902" s="178"/>
    </row>
    <row r="26903" spans="18:19">
      <c r="R26903" s="178"/>
      <c r="S26903" s="178"/>
    </row>
    <row r="26904" spans="18:19">
      <c r="R26904" s="178"/>
      <c r="S26904" s="178"/>
    </row>
    <row r="26905" spans="18:19">
      <c r="R26905" s="178"/>
      <c r="S26905" s="178"/>
    </row>
    <row r="26906" spans="18:19">
      <c r="R26906" s="178"/>
      <c r="S26906" s="178"/>
    </row>
    <row r="26907" spans="18:19">
      <c r="R26907" s="178"/>
      <c r="S26907" s="178"/>
    </row>
    <row r="26908" spans="18:19">
      <c r="R26908" s="178"/>
      <c r="S26908" s="178"/>
    </row>
    <row r="26909" spans="18:19">
      <c r="R26909" s="178"/>
      <c r="S26909" s="178"/>
    </row>
    <row r="26910" spans="18:19">
      <c r="R26910" s="178"/>
      <c r="S26910" s="178"/>
    </row>
    <row r="26911" spans="18:19">
      <c r="R26911" s="178"/>
      <c r="S26911" s="178"/>
    </row>
    <row r="26912" spans="18:19">
      <c r="R26912" s="178"/>
      <c r="S26912" s="178"/>
    </row>
    <row r="26913" spans="18:19">
      <c r="R26913" s="178"/>
      <c r="S26913" s="178"/>
    </row>
    <row r="26914" spans="18:19">
      <c r="R26914" s="178"/>
      <c r="S26914" s="178"/>
    </row>
    <row r="26915" spans="18:19">
      <c r="R26915" s="178"/>
      <c r="S26915" s="178"/>
    </row>
    <row r="26916" spans="18:19">
      <c r="R26916" s="178"/>
      <c r="S26916" s="178"/>
    </row>
    <row r="26917" spans="18:19">
      <c r="R26917" s="178"/>
      <c r="S26917" s="178"/>
    </row>
    <row r="26918" spans="18:19">
      <c r="R26918" s="178"/>
      <c r="S26918" s="178"/>
    </row>
    <row r="26919" spans="18:19">
      <c r="R26919" s="178"/>
      <c r="S26919" s="178"/>
    </row>
    <row r="26920" spans="18:19">
      <c r="R26920" s="178"/>
      <c r="S26920" s="178"/>
    </row>
    <row r="26921" spans="18:19">
      <c r="R26921" s="178"/>
      <c r="S26921" s="178"/>
    </row>
    <row r="26922" spans="18:19">
      <c r="R26922" s="178"/>
      <c r="S26922" s="178"/>
    </row>
    <row r="26923" spans="18:19">
      <c r="R26923" s="178"/>
      <c r="S26923" s="178"/>
    </row>
    <row r="26924" spans="18:19">
      <c r="R26924" s="178"/>
      <c r="S26924" s="178"/>
    </row>
    <row r="26925" spans="18:19">
      <c r="R26925" s="178"/>
      <c r="S26925" s="178"/>
    </row>
    <row r="26926" spans="18:19">
      <c r="R26926" s="178"/>
      <c r="S26926" s="178"/>
    </row>
    <row r="26927" spans="18:19">
      <c r="R26927" s="178"/>
      <c r="S26927" s="178"/>
    </row>
    <row r="26928" spans="18:19">
      <c r="R26928" s="178"/>
      <c r="S26928" s="178"/>
    </row>
    <row r="26929" spans="18:19">
      <c r="R26929" s="178"/>
      <c r="S26929" s="178"/>
    </row>
    <row r="26930" spans="18:19">
      <c r="R26930" s="178"/>
      <c r="S26930" s="178"/>
    </row>
    <row r="26931" spans="18:19">
      <c r="R26931" s="178"/>
      <c r="S26931" s="178"/>
    </row>
    <row r="26932" spans="18:19">
      <c r="R26932" s="178"/>
      <c r="S26932" s="178"/>
    </row>
    <row r="26933" spans="18:19">
      <c r="R26933" s="178"/>
      <c r="S26933" s="178"/>
    </row>
    <row r="26934" spans="18:19">
      <c r="R26934" s="178"/>
      <c r="S26934" s="178"/>
    </row>
    <row r="26935" spans="18:19">
      <c r="R26935" s="178"/>
      <c r="S26935" s="178"/>
    </row>
    <row r="26936" spans="18:19">
      <c r="R26936" s="178"/>
      <c r="S26936" s="178"/>
    </row>
    <row r="26937" spans="18:19">
      <c r="R26937" s="178"/>
      <c r="S26937" s="178"/>
    </row>
    <row r="26938" spans="18:19">
      <c r="R26938" s="178"/>
      <c r="S26938" s="178"/>
    </row>
    <row r="26939" spans="18:19">
      <c r="R26939" s="178"/>
      <c r="S26939" s="178"/>
    </row>
    <row r="26940" spans="18:19">
      <c r="R26940" s="178"/>
      <c r="S26940" s="178"/>
    </row>
    <row r="26941" spans="18:19">
      <c r="R26941" s="178"/>
      <c r="S26941" s="178"/>
    </row>
    <row r="26942" spans="18:19">
      <c r="R26942" s="178"/>
      <c r="S26942" s="178"/>
    </row>
    <row r="26943" spans="18:19">
      <c r="R26943" s="178"/>
      <c r="S26943" s="178"/>
    </row>
    <row r="26944" spans="18:19">
      <c r="R26944" s="178"/>
      <c r="S26944" s="178"/>
    </row>
    <row r="26945" spans="18:19">
      <c r="R26945" s="178"/>
      <c r="S26945" s="178"/>
    </row>
    <row r="26946" spans="18:19">
      <c r="R26946" s="178"/>
      <c r="S26946" s="178"/>
    </row>
    <row r="26947" spans="18:19">
      <c r="R26947" s="178"/>
      <c r="S26947" s="178"/>
    </row>
    <row r="26948" spans="18:19">
      <c r="R26948" s="178"/>
      <c r="S26948" s="178"/>
    </row>
    <row r="26949" spans="18:19">
      <c r="R26949" s="178"/>
      <c r="S26949" s="178"/>
    </row>
    <row r="26950" spans="18:19">
      <c r="R26950" s="178"/>
      <c r="S26950" s="178"/>
    </row>
    <row r="26951" spans="18:19">
      <c r="R26951" s="178"/>
      <c r="S26951" s="178"/>
    </row>
    <row r="26952" spans="18:19">
      <c r="R26952" s="178"/>
      <c r="S26952" s="178"/>
    </row>
    <row r="26953" spans="18:19">
      <c r="R26953" s="178"/>
      <c r="S26953" s="178"/>
    </row>
    <row r="26954" spans="18:19">
      <c r="R26954" s="178"/>
      <c r="S26954" s="178"/>
    </row>
    <row r="26955" spans="18:19">
      <c r="R26955" s="178"/>
      <c r="S26955" s="178"/>
    </row>
    <row r="26956" spans="18:19">
      <c r="R26956" s="178"/>
      <c r="S26956" s="178"/>
    </row>
    <row r="26957" spans="18:19">
      <c r="R26957" s="178"/>
      <c r="S26957" s="178"/>
    </row>
    <row r="26958" spans="18:19">
      <c r="R26958" s="178"/>
      <c r="S26958" s="178"/>
    </row>
    <row r="26959" spans="18:19">
      <c r="R26959" s="178"/>
      <c r="S26959" s="178"/>
    </row>
    <row r="26960" spans="18:19">
      <c r="R26960" s="178"/>
      <c r="S26960" s="178"/>
    </row>
    <row r="26961" spans="18:19">
      <c r="R26961" s="178"/>
      <c r="S26961" s="178"/>
    </row>
    <row r="26962" spans="18:19">
      <c r="R26962" s="178"/>
      <c r="S26962" s="178"/>
    </row>
    <row r="26963" spans="18:19">
      <c r="R26963" s="178"/>
      <c r="S26963" s="178"/>
    </row>
    <row r="26964" spans="18:19">
      <c r="R26964" s="178"/>
      <c r="S26964" s="178"/>
    </row>
    <row r="26965" spans="18:19">
      <c r="R26965" s="178"/>
      <c r="S26965" s="178"/>
    </row>
    <row r="26966" spans="18:19">
      <c r="R26966" s="178"/>
      <c r="S26966" s="178"/>
    </row>
    <row r="26967" spans="18:19">
      <c r="R26967" s="178"/>
      <c r="S26967" s="178"/>
    </row>
    <row r="26968" spans="18:19">
      <c r="R26968" s="178"/>
      <c r="S26968" s="178"/>
    </row>
    <row r="26969" spans="18:19">
      <c r="R26969" s="178"/>
      <c r="S26969" s="178"/>
    </row>
    <row r="26970" spans="18:19">
      <c r="R26970" s="178"/>
      <c r="S26970" s="178"/>
    </row>
    <row r="26971" spans="18:19">
      <c r="R26971" s="178"/>
      <c r="S26971" s="178"/>
    </row>
    <row r="26972" spans="18:19">
      <c r="R26972" s="178"/>
      <c r="S26972" s="178"/>
    </row>
    <row r="26973" spans="18:19">
      <c r="R26973" s="178"/>
      <c r="S26973" s="178"/>
    </row>
    <row r="26974" spans="18:19">
      <c r="R26974" s="178"/>
      <c r="S26974" s="178"/>
    </row>
    <row r="26975" spans="18:19">
      <c r="R26975" s="178"/>
      <c r="S26975" s="178"/>
    </row>
    <row r="26976" spans="18:19">
      <c r="R26976" s="178"/>
      <c r="S26976" s="178"/>
    </row>
    <row r="26977" spans="18:19">
      <c r="R26977" s="178"/>
      <c r="S26977" s="178"/>
    </row>
    <row r="26978" spans="18:19">
      <c r="R26978" s="178"/>
      <c r="S26978" s="178"/>
    </row>
    <row r="26979" spans="18:19">
      <c r="R26979" s="178"/>
      <c r="S26979" s="178"/>
    </row>
    <row r="26980" spans="18:19">
      <c r="R26980" s="178"/>
      <c r="S26980" s="178"/>
    </row>
    <row r="26981" spans="18:19">
      <c r="R26981" s="178"/>
      <c r="S26981" s="178"/>
    </row>
    <row r="26982" spans="18:19">
      <c r="R26982" s="178"/>
      <c r="S26982" s="178"/>
    </row>
    <row r="26983" spans="18:19">
      <c r="R26983" s="178"/>
      <c r="S26983" s="178"/>
    </row>
    <row r="26984" spans="18:19">
      <c r="R26984" s="178"/>
      <c r="S26984" s="178"/>
    </row>
    <row r="26985" spans="18:19">
      <c r="R26985" s="178"/>
      <c r="S26985" s="178"/>
    </row>
    <row r="26986" spans="18:19">
      <c r="R26986" s="178"/>
      <c r="S26986" s="178"/>
    </row>
    <row r="26987" spans="18:19">
      <c r="R26987" s="178"/>
      <c r="S26987" s="178"/>
    </row>
    <row r="26988" spans="18:19">
      <c r="R26988" s="178"/>
      <c r="S26988" s="178"/>
    </row>
    <row r="26989" spans="18:19">
      <c r="R26989" s="178"/>
      <c r="S26989" s="178"/>
    </row>
    <row r="26990" spans="18:19">
      <c r="R26990" s="178"/>
      <c r="S26990" s="178"/>
    </row>
    <row r="26991" spans="18:19">
      <c r="R26991" s="178"/>
      <c r="S26991" s="178"/>
    </row>
    <row r="26992" spans="18:19">
      <c r="R26992" s="178"/>
      <c r="S26992" s="178"/>
    </row>
    <row r="26993" spans="18:19">
      <c r="R26993" s="178"/>
      <c r="S26993" s="178"/>
    </row>
    <row r="26994" spans="18:19">
      <c r="R26994" s="178"/>
      <c r="S26994" s="178"/>
    </row>
    <row r="26995" spans="18:19">
      <c r="R26995" s="178"/>
      <c r="S26995" s="178"/>
    </row>
    <row r="26996" spans="18:19">
      <c r="R26996" s="178"/>
      <c r="S26996" s="178"/>
    </row>
    <row r="26997" spans="18:19">
      <c r="R26997" s="178"/>
      <c r="S26997" s="178"/>
    </row>
    <row r="26998" spans="18:19">
      <c r="R26998" s="178"/>
      <c r="S26998" s="178"/>
    </row>
    <row r="26999" spans="18:19">
      <c r="R26999" s="178"/>
      <c r="S26999" s="178"/>
    </row>
    <row r="27000" spans="18:19">
      <c r="R27000" s="178"/>
      <c r="S27000" s="178"/>
    </row>
    <row r="27001" spans="18:19">
      <c r="R27001" s="178"/>
      <c r="S27001" s="178"/>
    </row>
    <row r="27002" spans="18:19">
      <c r="R27002" s="178"/>
      <c r="S27002" s="178"/>
    </row>
    <row r="27003" spans="18:19">
      <c r="R27003" s="178"/>
      <c r="S27003" s="178"/>
    </row>
    <row r="27004" spans="18:19">
      <c r="R27004" s="178"/>
      <c r="S27004" s="178"/>
    </row>
    <row r="27005" spans="18:19">
      <c r="R27005" s="178"/>
      <c r="S27005" s="178"/>
    </row>
    <row r="27006" spans="18:19">
      <c r="R27006" s="178"/>
      <c r="S27006" s="178"/>
    </row>
    <row r="27007" spans="18:19">
      <c r="R27007" s="178"/>
      <c r="S27007" s="178"/>
    </row>
    <row r="27008" spans="18:19">
      <c r="R27008" s="178"/>
      <c r="S27008" s="178"/>
    </row>
    <row r="27009" spans="18:19">
      <c r="R27009" s="178"/>
      <c r="S27009" s="178"/>
    </row>
    <row r="27010" spans="18:19">
      <c r="R27010" s="178"/>
      <c r="S27010" s="178"/>
    </row>
    <row r="27011" spans="18:19">
      <c r="R27011" s="178"/>
      <c r="S27011" s="178"/>
    </row>
    <row r="27012" spans="18:19">
      <c r="R27012" s="178"/>
      <c r="S27012" s="178"/>
    </row>
    <row r="27013" spans="18:19">
      <c r="R27013" s="178"/>
      <c r="S27013" s="178"/>
    </row>
    <row r="27014" spans="18:19">
      <c r="R27014" s="178"/>
      <c r="S27014" s="178"/>
    </row>
    <row r="27015" spans="18:19">
      <c r="R27015" s="178"/>
      <c r="S27015" s="178"/>
    </row>
    <row r="27016" spans="18:19">
      <c r="R27016" s="178"/>
      <c r="S27016" s="178"/>
    </row>
    <row r="27017" spans="18:19">
      <c r="R27017" s="178"/>
      <c r="S27017" s="178"/>
    </row>
    <row r="27018" spans="18:19">
      <c r="R27018" s="178"/>
      <c r="S27018" s="178"/>
    </row>
    <row r="27019" spans="18:19">
      <c r="R27019" s="178"/>
      <c r="S27019" s="178"/>
    </row>
    <row r="27020" spans="18:19">
      <c r="R27020" s="178"/>
      <c r="S27020" s="178"/>
    </row>
    <row r="27021" spans="18:19">
      <c r="R27021" s="178"/>
      <c r="S27021" s="178"/>
    </row>
    <row r="27022" spans="18:19">
      <c r="R27022" s="178"/>
      <c r="S27022" s="178"/>
    </row>
    <row r="27023" spans="18:19">
      <c r="R27023" s="178"/>
      <c r="S27023" s="178"/>
    </row>
    <row r="27024" spans="18:19">
      <c r="R27024" s="178"/>
      <c r="S27024" s="178"/>
    </row>
    <row r="27025" spans="18:19">
      <c r="R27025" s="178"/>
      <c r="S27025" s="178"/>
    </row>
    <row r="27026" spans="18:19">
      <c r="R27026" s="178"/>
      <c r="S27026" s="178"/>
    </row>
    <row r="27027" spans="18:19">
      <c r="R27027" s="178"/>
      <c r="S27027" s="178"/>
    </row>
    <row r="27028" spans="18:19">
      <c r="R27028" s="178"/>
      <c r="S27028" s="178"/>
    </row>
    <row r="27029" spans="18:19">
      <c r="R27029" s="178"/>
      <c r="S27029" s="178"/>
    </row>
    <row r="27030" spans="18:19">
      <c r="R27030" s="178"/>
      <c r="S27030" s="178"/>
    </row>
    <row r="27031" spans="18:19">
      <c r="R27031" s="178"/>
      <c r="S27031" s="178"/>
    </row>
    <row r="27032" spans="18:19">
      <c r="R27032" s="178"/>
      <c r="S27032" s="178"/>
    </row>
    <row r="27033" spans="18:19">
      <c r="R27033" s="178"/>
      <c r="S27033" s="178"/>
    </row>
    <row r="27034" spans="18:19">
      <c r="R27034" s="178"/>
      <c r="S27034" s="178"/>
    </row>
    <row r="27035" spans="18:19">
      <c r="R27035" s="178"/>
      <c r="S27035" s="178"/>
    </row>
    <row r="27036" spans="18:19">
      <c r="R27036" s="178"/>
      <c r="S27036" s="178"/>
    </row>
    <row r="27037" spans="18:19">
      <c r="R27037" s="178"/>
      <c r="S27037" s="178"/>
    </row>
    <row r="27038" spans="18:19">
      <c r="R27038" s="178"/>
      <c r="S27038" s="178"/>
    </row>
    <row r="27039" spans="18:19">
      <c r="R27039" s="178"/>
      <c r="S27039" s="178"/>
    </row>
    <row r="27040" spans="18:19">
      <c r="R27040" s="178"/>
      <c r="S27040" s="178"/>
    </row>
    <row r="27041" spans="18:19">
      <c r="R27041" s="178"/>
      <c r="S27041" s="178"/>
    </row>
    <row r="27042" spans="18:19">
      <c r="R27042" s="178"/>
      <c r="S27042" s="178"/>
    </row>
    <row r="27043" spans="18:19">
      <c r="R27043" s="178"/>
      <c r="S27043" s="178"/>
    </row>
    <row r="27044" spans="18:19">
      <c r="R27044" s="178"/>
      <c r="S27044" s="178"/>
    </row>
    <row r="27045" spans="18:19">
      <c r="R27045" s="178"/>
      <c r="S27045" s="178"/>
    </row>
    <row r="27046" spans="18:19">
      <c r="R27046" s="178"/>
      <c r="S27046" s="178"/>
    </row>
    <row r="27047" spans="18:19">
      <c r="R27047" s="178"/>
      <c r="S27047" s="178"/>
    </row>
    <row r="27048" spans="18:19">
      <c r="R27048" s="178"/>
      <c r="S27048" s="178"/>
    </row>
    <row r="27049" spans="18:19">
      <c r="R27049" s="178"/>
      <c r="S27049" s="178"/>
    </row>
    <row r="27050" spans="18:19">
      <c r="R27050" s="178"/>
      <c r="S27050" s="178"/>
    </row>
    <row r="27051" spans="18:19">
      <c r="R27051" s="178"/>
      <c r="S27051" s="178"/>
    </row>
    <row r="27052" spans="18:19">
      <c r="R27052" s="178"/>
      <c r="S27052" s="178"/>
    </row>
    <row r="27053" spans="18:19">
      <c r="R27053" s="178"/>
      <c r="S27053" s="178"/>
    </row>
    <row r="27054" spans="18:19">
      <c r="R27054" s="178"/>
      <c r="S27054" s="178"/>
    </row>
    <row r="27055" spans="18:19">
      <c r="R27055" s="178"/>
      <c r="S27055" s="178"/>
    </row>
    <row r="27056" spans="18:19">
      <c r="R27056" s="178"/>
      <c r="S27056" s="178"/>
    </row>
    <row r="27057" spans="18:19">
      <c r="R27057" s="178"/>
      <c r="S27057" s="178"/>
    </row>
    <row r="27058" spans="18:19">
      <c r="R27058" s="178"/>
      <c r="S27058" s="178"/>
    </row>
    <row r="27059" spans="18:19">
      <c r="R27059" s="178"/>
      <c r="S27059" s="178"/>
    </row>
    <row r="27060" spans="18:19">
      <c r="R27060" s="178"/>
      <c r="S27060" s="178"/>
    </row>
    <row r="27061" spans="18:19">
      <c r="R27061" s="178"/>
      <c r="S27061" s="178"/>
    </row>
    <row r="27062" spans="18:19">
      <c r="R27062" s="178"/>
      <c r="S27062" s="178"/>
    </row>
    <row r="27063" spans="18:19">
      <c r="R27063" s="178"/>
      <c r="S27063" s="178"/>
    </row>
    <row r="27064" spans="18:19">
      <c r="R27064" s="178"/>
      <c r="S27064" s="178"/>
    </row>
    <row r="27065" spans="18:19">
      <c r="R27065" s="178"/>
      <c r="S27065" s="178"/>
    </row>
    <row r="27066" spans="18:19">
      <c r="R27066" s="178"/>
      <c r="S27066" s="178"/>
    </row>
    <row r="27067" spans="18:19">
      <c r="R27067" s="178"/>
      <c r="S27067" s="178"/>
    </row>
    <row r="27068" spans="18:19">
      <c r="R27068" s="178"/>
      <c r="S27068" s="178"/>
    </row>
    <row r="27069" spans="18:19">
      <c r="R27069" s="178"/>
      <c r="S27069" s="178"/>
    </row>
    <row r="27070" spans="18:19">
      <c r="R27070" s="178"/>
      <c r="S27070" s="178"/>
    </row>
    <row r="27071" spans="18:19">
      <c r="R27071" s="178"/>
      <c r="S27071" s="178"/>
    </row>
    <row r="27072" spans="18:19">
      <c r="R27072" s="178"/>
      <c r="S27072" s="178"/>
    </row>
    <row r="27073" spans="18:19">
      <c r="R27073" s="178"/>
      <c r="S27073" s="178"/>
    </row>
    <row r="27074" spans="18:19">
      <c r="R27074" s="178"/>
      <c r="S27074" s="178"/>
    </row>
    <row r="27075" spans="18:19">
      <c r="R27075" s="178"/>
      <c r="S27075" s="178"/>
    </row>
    <row r="27076" spans="18:19">
      <c r="R27076" s="178"/>
      <c r="S27076" s="178"/>
    </row>
    <row r="27077" spans="18:19">
      <c r="R27077" s="178"/>
      <c r="S27077" s="178"/>
    </row>
    <row r="27078" spans="18:19">
      <c r="R27078" s="178"/>
      <c r="S27078" s="178"/>
    </row>
    <row r="27079" spans="18:19">
      <c r="R27079" s="178"/>
      <c r="S27079" s="178"/>
    </row>
    <row r="27080" spans="18:19">
      <c r="R27080" s="178"/>
      <c r="S27080" s="178"/>
    </row>
    <row r="27081" spans="18:19">
      <c r="R27081" s="178"/>
      <c r="S27081" s="178"/>
    </row>
    <row r="27082" spans="18:19">
      <c r="R27082" s="178"/>
      <c r="S27082" s="178"/>
    </row>
    <row r="27083" spans="18:19">
      <c r="R27083" s="178"/>
      <c r="S27083" s="178"/>
    </row>
    <row r="27084" spans="18:19">
      <c r="R27084" s="178"/>
      <c r="S27084" s="178"/>
    </row>
    <row r="27085" spans="18:19">
      <c r="R27085" s="178"/>
      <c r="S27085" s="178"/>
    </row>
    <row r="27086" spans="18:19">
      <c r="R27086" s="178"/>
      <c r="S27086" s="178"/>
    </row>
    <row r="27087" spans="18:19">
      <c r="R27087" s="178"/>
      <c r="S27087" s="178"/>
    </row>
    <row r="27088" spans="18:19">
      <c r="R27088" s="178"/>
      <c r="S27088" s="178"/>
    </row>
    <row r="27089" spans="18:19">
      <c r="R27089" s="178"/>
      <c r="S27089" s="178"/>
    </row>
    <row r="27090" spans="18:19">
      <c r="R27090" s="178"/>
      <c r="S27090" s="178"/>
    </row>
    <row r="27091" spans="18:19">
      <c r="R27091" s="178"/>
      <c r="S27091" s="178"/>
    </row>
    <row r="27092" spans="18:19">
      <c r="R27092" s="178"/>
      <c r="S27092" s="178"/>
    </row>
    <row r="27093" spans="18:19">
      <c r="R27093" s="178"/>
      <c r="S27093" s="178"/>
    </row>
    <row r="27094" spans="18:19">
      <c r="R27094" s="178"/>
      <c r="S27094" s="178"/>
    </row>
    <row r="27095" spans="18:19">
      <c r="R27095" s="178"/>
      <c r="S27095" s="178"/>
    </row>
    <row r="27096" spans="18:19">
      <c r="R27096" s="178"/>
      <c r="S27096" s="178"/>
    </row>
    <row r="27097" spans="18:19">
      <c r="R27097" s="178"/>
      <c r="S27097" s="178"/>
    </row>
    <row r="27098" spans="18:19">
      <c r="R27098" s="178"/>
      <c r="S27098" s="178"/>
    </row>
    <row r="27099" spans="18:19">
      <c r="R27099" s="178"/>
      <c r="S27099" s="178"/>
    </row>
    <row r="27100" spans="18:19">
      <c r="R27100" s="178"/>
      <c r="S27100" s="178"/>
    </row>
    <row r="27101" spans="18:19">
      <c r="R27101" s="178"/>
      <c r="S27101" s="178"/>
    </row>
    <row r="27102" spans="18:19">
      <c r="R27102" s="178"/>
      <c r="S27102" s="178"/>
    </row>
    <row r="27103" spans="18:19">
      <c r="R27103" s="178"/>
      <c r="S27103" s="178"/>
    </row>
    <row r="27104" spans="18:19">
      <c r="R27104" s="178"/>
      <c r="S27104" s="178"/>
    </row>
    <row r="27105" spans="18:19">
      <c r="R27105" s="178"/>
      <c r="S27105" s="178"/>
    </row>
    <row r="27106" spans="18:19">
      <c r="R27106" s="178"/>
      <c r="S27106" s="178"/>
    </row>
    <row r="27107" spans="18:19">
      <c r="R27107" s="178"/>
      <c r="S27107" s="178"/>
    </row>
    <row r="27108" spans="18:19">
      <c r="R27108" s="178"/>
      <c r="S27108" s="178"/>
    </row>
    <row r="27109" spans="18:19">
      <c r="R27109" s="178"/>
      <c r="S27109" s="178"/>
    </row>
    <row r="27110" spans="18:19">
      <c r="R27110" s="178"/>
      <c r="S27110" s="178"/>
    </row>
    <row r="27111" spans="18:19">
      <c r="R27111" s="178"/>
      <c r="S27111" s="178"/>
    </row>
    <row r="27112" spans="18:19">
      <c r="R27112" s="178"/>
      <c r="S27112" s="178"/>
    </row>
    <row r="27113" spans="18:19">
      <c r="R27113" s="178"/>
      <c r="S27113" s="178"/>
    </row>
    <row r="27114" spans="18:19">
      <c r="R27114" s="178"/>
      <c r="S27114" s="178"/>
    </row>
    <row r="27115" spans="18:19">
      <c r="R27115" s="178"/>
      <c r="S27115" s="178"/>
    </row>
    <row r="27116" spans="18:19">
      <c r="R27116" s="178"/>
      <c r="S27116" s="178"/>
    </row>
    <row r="27117" spans="18:19">
      <c r="R27117" s="178"/>
      <c r="S27117" s="178"/>
    </row>
    <row r="27118" spans="18:19">
      <c r="R27118" s="178"/>
      <c r="S27118" s="178"/>
    </row>
    <row r="27119" spans="18:19">
      <c r="R27119" s="178"/>
      <c r="S27119" s="178"/>
    </row>
    <row r="27120" spans="18:19">
      <c r="R27120" s="178"/>
      <c r="S27120" s="178"/>
    </row>
    <row r="27121" spans="18:19">
      <c r="R27121" s="178"/>
      <c r="S27121" s="178"/>
    </row>
    <row r="27122" spans="18:19">
      <c r="R27122" s="178"/>
      <c r="S27122" s="178"/>
    </row>
    <row r="27123" spans="18:19">
      <c r="R27123" s="178"/>
      <c r="S27123" s="178"/>
    </row>
    <row r="27124" spans="18:19">
      <c r="R27124" s="178"/>
      <c r="S27124" s="178"/>
    </row>
    <row r="27125" spans="18:19">
      <c r="R27125" s="178"/>
      <c r="S27125" s="178"/>
    </row>
    <row r="27126" spans="18:19">
      <c r="R27126" s="178"/>
      <c r="S27126" s="178"/>
    </row>
    <row r="27127" spans="18:19">
      <c r="R27127" s="178"/>
      <c r="S27127" s="178"/>
    </row>
    <row r="27128" spans="18:19">
      <c r="R27128" s="178"/>
      <c r="S27128" s="178"/>
    </row>
    <row r="27129" spans="18:19">
      <c r="R27129" s="178"/>
      <c r="S27129" s="178"/>
    </row>
    <row r="27130" spans="18:19">
      <c r="R27130" s="178"/>
      <c r="S27130" s="178"/>
    </row>
    <row r="27131" spans="18:19">
      <c r="R27131" s="178"/>
      <c r="S27131" s="178"/>
    </row>
    <row r="27132" spans="18:19">
      <c r="R27132" s="178"/>
      <c r="S27132" s="178"/>
    </row>
    <row r="27133" spans="18:19">
      <c r="R27133" s="178"/>
      <c r="S27133" s="178"/>
    </row>
    <row r="27134" spans="18:19">
      <c r="R27134" s="178"/>
      <c r="S27134" s="178"/>
    </row>
    <row r="27135" spans="18:19">
      <c r="R27135" s="178"/>
      <c r="S27135" s="178"/>
    </row>
    <row r="27136" spans="18:19">
      <c r="R27136" s="178"/>
      <c r="S27136" s="178"/>
    </row>
    <row r="27137" spans="18:19">
      <c r="R27137" s="178"/>
      <c r="S27137" s="178"/>
    </row>
    <row r="27138" spans="18:19">
      <c r="R27138" s="178"/>
      <c r="S27138" s="178"/>
    </row>
    <row r="27139" spans="18:19">
      <c r="R27139" s="178"/>
      <c r="S27139" s="178"/>
    </row>
    <row r="27140" spans="18:19">
      <c r="R27140" s="178"/>
      <c r="S27140" s="178"/>
    </row>
    <row r="27141" spans="18:19">
      <c r="R27141" s="178"/>
      <c r="S27141" s="178"/>
    </row>
    <row r="27142" spans="18:19">
      <c r="R27142" s="178"/>
      <c r="S27142" s="178"/>
    </row>
    <row r="27143" spans="18:19">
      <c r="R27143" s="178"/>
      <c r="S27143" s="178"/>
    </row>
    <row r="27144" spans="18:19">
      <c r="R27144" s="178"/>
      <c r="S27144" s="178"/>
    </row>
    <row r="27145" spans="18:19">
      <c r="R27145" s="178"/>
      <c r="S27145" s="178"/>
    </row>
    <row r="27146" spans="18:19">
      <c r="R27146" s="178"/>
      <c r="S27146" s="178"/>
    </row>
    <row r="27147" spans="18:19">
      <c r="R27147" s="178"/>
      <c r="S27147" s="178"/>
    </row>
    <row r="27148" spans="18:19">
      <c r="R27148" s="178"/>
      <c r="S27148" s="178"/>
    </row>
    <row r="27149" spans="18:19">
      <c r="R27149" s="178"/>
      <c r="S27149" s="178"/>
    </row>
    <row r="27150" spans="18:19">
      <c r="R27150" s="178"/>
      <c r="S27150" s="178"/>
    </row>
    <row r="27151" spans="18:19">
      <c r="R27151" s="178"/>
      <c r="S27151" s="178"/>
    </row>
    <row r="27152" spans="18:19">
      <c r="R27152" s="178"/>
      <c r="S27152" s="178"/>
    </row>
    <row r="27153" spans="18:19">
      <c r="R27153" s="178"/>
      <c r="S27153" s="178"/>
    </row>
    <row r="27154" spans="18:19">
      <c r="R27154" s="178"/>
      <c r="S27154" s="178"/>
    </row>
    <row r="27155" spans="18:19">
      <c r="R27155" s="178"/>
      <c r="S27155" s="178"/>
    </row>
    <row r="27156" spans="18:19">
      <c r="R27156" s="178"/>
      <c r="S27156" s="178"/>
    </row>
    <row r="27157" spans="18:19">
      <c r="R27157" s="178"/>
      <c r="S27157" s="178"/>
    </row>
    <row r="27158" spans="18:19">
      <c r="R27158" s="178"/>
      <c r="S27158" s="178"/>
    </row>
    <row r="27159" spans="18:19">
      <c r="R27159" s="178"/>
      <c r="S27159" s="178"/>
    </row>
    <row r="27160" spans="18:19">
      <c r="R27160" s="178"/>
      <c r="S27160" s="178"/>
    </row>
    <row r="27161" spans="18:19">
      <c r="R27161" s="178"/>
      <c r="S27161" s="178"/>
    </row>
    <row r="27162" spans="18:19">
      <c r="R27162" s="178"/>
      <c r="S27162" s="178"/>
    </row>
    <row r="27163" spans="18:19">
      <c r="R27163" s="178"/>
      <c r="S27163" s="178"/>
    </row>
    <row r="27164" spans="18:19">
      <c r="R27164" s="178"/>
      <c r="S27164" s="178"/>
    </row>
    <row r="27165" spans="18:19">
      <c r="R27165" s="178"/>
      <c r="S27165" s="178"/>
    </row>
    <row r="27166" spans="18:19">
      <c r="R27166" s="178"/>
      <c r="S27166" s="178"/>
    </row>
    <row r="27167" spans="18:19">
      <c r="R27167" s="178"/>
      <c r="S27167" s="178"/>
    </row>
    <row r="27168" spans="18:19">
      <c r="R27168" s="178"/>
      <c r="S27168" s="178"/>
    </row>
    <row r="27169" spans="18:19">
      <c r="R27169" s="178"/>
      <c r="S27169" s="178"/>
    </row>
    <row r="27170" spans="18:19">
      <c r="R27170" s="178"/>
      <c r="S27170" s="178"/>
    </row>
    <row r="27171" spans="18:19">
      <c r="R27171" s="178"/>
      <c r="S27171" s="178"/>
    </row>
    <row r="27172" spans="18:19">
      <c r="R27172" s="178"/>
      <c r="S27172" s="178"/>
    </row>
    <row r="27173" spans="18:19">
      <c r="R27173" s="178"/>
      <c r="S27173" s="178"/>
    </row>
    <row r="27174" spans="18:19">
      <c r="R27174" s="178"/>
      <c r="S27174" s="178"/>
    </row>
    <row r="27175" spans="18:19">
      <c r="R27175" s="178"/>
      <c r="S27175" s="178"/>
    </row>
    <row r="27176" spans="18:19">
      <c r="R27176" s="178"/>
      <c r="S27176" s="178"/>
    </row>
    <row r="27177" spans="18:19">
      <c r="R27177" s="178"/>
      <c r="S27177" s="178"/>
    </row>
    <row r="27178" spans="18:19">
      <c r="R27178" s="178"/>
      <c r="S27178" s="178"/>
    </row>
    <row r="27179" spans="18:19">
      <c r="R27179" s="178"/>
      <c r="S27179" s="178"/>
    </row>
    <row r="27180" spans="18:19">
      <c r="R27180" s="178"/>
      <c r="S27180" s="178"/>
    </row>
    <row r="27181" spans="18:19">
      <c r="R27181" s="178"/>
      <c r="S27181" s="178"/>
    </row>
    <row r="27182" spans="18:19">
      <c r="R27182" s="178"/>
      <c r="S27182" s="178"/>
    </row>
    <row r="27183" spans="18:19">
      <c r="R27183" s="178"/>
      <c r="S27183" s="178"/>
    </row>
    <row r="27184" spans="18:19">
      <c r="R27184" s="178"/>
      <c r="S27184" s="178"/>
    </row>
    <row r="27185" spans="18:19">
      <c r="R27185" s="178"/>
      <c r="S27185" s="178"/>
    </row>
    <row r="27186" spans="18:19">
      <c r="R27186" s="178"/>
      <c r="S27186" s="178"/>
    </row>
    <row r="27187" spans="18:19">
      <c r="R27187" s="178"/>
      <c r="S27187" s="178"/>
    </row>
    <row r="27188" spans="18:19">
      <c r="R27188" s="178"/>
      <c r="S27188" s="178"/>
    </row>
    <row r="27189" spans="18:19">
      <c r="R27189" s="178"/>
      <c r="S27189" s="178"/>
    </row>
    <row r="27190" spans="18:19">
      <c r="R27190" s="178"/>
      <c r="S27190" s="178"/>
    </row>
    <row r="27191" spans="18:19">
      <c r="R27191" s="178"/>
      <c r="S27191" s="178"/>
    </row>
    <row r="27192" spans="18:19">
      <c r="R27192" s="178"/>
      <c r="S27192" s="178"/>
    </row>
    <row r="27193" spans="18:19">
      <c r="R27193" s="178"/>
      <c r="S27193" s="178"/>
    </row>
    <row r="27194" spans="18:19">
      <c r="R27194" s="178"/>
      <c r="S27194" s="178"/>
    </row>
    <row r="27195" spans="18:19">
      <c r="R27195" s="178"/>
      <c r="S27195" s="178"/>
    </row>
    <row r="27196" spans="18:19">
      <c r="R27196" s="178"/>
      <c r="S27196" s="178"/>
    </row>
    <row r="27197" spans="18:19">
      <c r="R27197" s="178"/>
      <c r="S27197" s="178"/>
    </row>
    <row r="27198" spans="18:19">
      <c r="R27198" s="178"/>
      <c r="S27198" s="178"/>
    </row>
    <row r="27199" spans="18:19">
      <c r="R27199" s="178"/>
      <c r="S27199" s="178"/>
    </row>
    <row r="27200" spans="18:19">
      <c r="R27200" s="178"/>
      <c r="S27200" s="178"/>
    </row>
    <row r="27201" spans="18:19">
      <c r="R27201" s="178"/>
      <c r="S27201" s="178"/>
    </row>
    <row r="27202" spans="18:19">
      <c r="R27202" s="178"/>
      <c r="S27202" s="178"/>
    </row>
    <row r="27203" spans="18:19">
      <c r="R27203" s="178"/>
      <c r="S27203" s="178"/>
    </row>
    <row r="27204" spans="18:19">
      <c r="R27204" s="178"/>
      <c r="S27204" s="178"/>
    </row>
    <row r="27205" spans="18:19">
      <c r="R27205" s="178"/>
      <c r="S27205" s="178"/>
    </row>
    <row r="27206" spans="18:19">
      <c r="R27206" s="178"/>
      <c r="S27206" s="178"/>
    </row>
    <row r="27207" spans="18:19">
      <c r="R27207" s="178"/>
      <c r="S27207" s="178"/>
    </row>
    <row r="27208" spans="18:19">
      <c r="R27208" s="178"/>
      <c r="S27208" s="178"/>
    </row>
    <row r="27209" spans="18:19">
      <c r="R27209" s="178"/>
      <c r="S27209" s="178"/>
    </row>
    <row r="27210" spans="18:19">
      <c r="R27210" s="178"/>
      <c r="S27210" s="178"/>
    </row>
    <row r="27211" spans="18:19">
      <c r="R27211" s="178"/>
      <c r="S27211" s="178"/>
    </row>
    <row r="27212" spans="18:19">
      <c r="R27212" s="178"/>
      <c r="S27212" s="178"/>
    </row>
    <row r="27213" spans="18:19">
      <c r="R27213" s="178"/>
      <c r="S27213" s="178"/>
    </row>
    <row r="27214" spans="18:19">
      <c r="R27214" s="178"/>
      <c r="S27214" s="178"/>
    </row>
    <row r="27215" spans="18:19">
      <c r="R27215" s="178"/>
      <c r="S27215" s="178"/>
    </row>
    <row r="27216" spans="18:19">
      <c r="R27216" s="178"/>
      <c r="S27216" s="178"/>
    </row>
    <row r="27217" spans="18:19">
      <c r="R27217" s="178"/>
      <c r="S27217" s="178"/>
    </row>
    <row r="27218" spans="18:19">
      <c r="R27218" s="178"/>
      <c r="S27218" s="178"/>
    </row>
    <row r="27219" spans="18:19">
      <c r="R27219" s="178"/>
      <c r="S27219" s="178"/>
    </row>
    <row r="27220" spans="18:19">
      <c r="R27220" s="178"/>
      <c r="S27220" s="178"/>
    </row>
    <row r="27221" spans="18:19">
      <c r="R27221" s="178"/>
      <c r="S27221" s="178"/>
    </row>
    <row r="27222" spans="18:19">
      <c r="R27222" s="178"/>
      <c r="S27222" s="178"/>
    </row>
    <row r="27223" spans="18:19">
      <c r="R27223" s="178"/>
      <c r="S27223" s="178"/>
    </row>
    <row r="27224" spans="18:19">
      <c r="R27224" s="178"/>
      <c r="S27224" s="178"/>
    </row>
    <row r="27225" spans="18:19">
      <c r="R27225" s="178"/>
      <c r="S27225" s="178"/>
    </row>
    <row r="27226" spans="18:19">
      <c r="R27226" s="178"/>
      <c r="S27226" s="178"/>
    </row>
    <row r="27227" spans="18:19">
      <c r="R27227" s="178"/>
      <c r="S27227" s="178"/>
    </row>
    <row r="27228" spans="18:19">
      <c r="R27228" s="178"/>
      <c r="S27228" s="178"/>
    </row>
    <row r="27229" spans="18:19">
      <c r="R27229" s="178"/>
      <c r="S27229" s="178"/>
    </row>
    <row r="27230" spans="18:19">
      <c r="R27230" s="178"/>
      <c r="S27230" s="178"/>
    </row>
    <row r="27231" spans="18:19">
      <c r="R27231" s="178"/>
      <c r="S27231" s="178"/>
    </row>
    <row r="27232" spans="18:19">
      <c r="R27232" s="178"/>
      <c r="S27232" s="178"/>
    </row>
    <row r="27233" spans="18:19">
      <c r="R27233" s="178"/>
      <c r="S27233" s="178"/>
    </row>
    <row r="27234" spans="18:19">
      <c r="R27234" s="178"/>
      <c r="S27234" s="178"/>
    </row>
    <row r="27235" spans="18:19">
      <c r="R27235" s="178"/>
      <c r="S27235" s="178"/>
    </row>
    <row r="27236" spans="18:19">
      <c r="R27236" s="178"/>
      <c r="S27236" s="178"/>
    </row>
    <row r="27237" spans="18:19">
      <c r="R27237" s="178"/>
      <c r="S27237" s="178"/>
    </row>
    <row r="27238" spans="18:19">
      <c r="R27238" s="178"/>
      <c r="S27238" s="178"/>
    </row>
    <row r="27239" spans="18:19">
      <c r="R27239" s="178"/>
      <c r="S27239" s="178"/>
    </row>
    <row r="27240" spans="18:19">
      <c r="R27240" s="178"/>
      <c r="S27240" s="178"/>
    </row>
    <row r="27241" spans="18:19">
      <c r="R27241" s="178"/>
      <c r="S27241" s="178"/>
    </row>
    <row r="27242" spans="18:19">
      <c r="R27242" s="178"/>
      <c r="S27242" s="178"/>
    </row>
    <row r="27243" spans="18:19">
      <c r="R27243" s="178"/>
      <c r="S27243" s="178"/>
    </row>
    <row r="27244" spans="18:19">
      <c r="R27244" s="178"/>
      <c r="S27244" s="178"/>
    </row>
    <row r="27245" spans="18:19">
      <c r="R27245" s="178"/>
      <c r="S27245" s="178"/>
    </row>
    <row r="27246" spans="18:19">
      <c r="R27246" s="178"/>
      <c r="S27246" s="178"/>
    </row>
    <row r="27247" spans="18:19">
      <c r="R27247" s="178"/>
      <c r="S27247" s="178"/>
    </row>
    <row r="27248" spans="18:19">
      <c r="R27248" s="178"/>
      <c r="S27248" s="178"/>
    </row>
    <row r="27249" spans="18:19">
      <c r="R27249" s="178"/>
      <c r="S27249" s="178"/>
    </row>
    <row r="27250" spans="18:19">
      <c r="R27250" s="178"/>
      <c r="S27250" s="178"/>
    </row>
    <row r="27251" spans="18:19">
      <c r="R27251" s="178"/>
      <c r="S27251" s="178"/>
    </row>
    <row r="27252" spans="18:19">
      <c r="R27252" s="178"/>
      <c r="S27252" s="178"/>
    </row>
    <row r="27253" spans="18:19">
      <c r="R27253" s="178"/>
      <c r="S27253" s="178"/>
    </row>
    <row r="27254" spans="18:19">
      <c r="R27254" s="178"/>
      <c r="S27254" s="178"/>
    </row>
    <row r="27255" spans="18:19">
      <c r="R27255" s="178"/>
      <c r="S27255" s="178"/>
    </row>
    <row r="27256" spans="18:19">
      <c r="R27256" s="178"/>
      <c r="S27256" s="178"/>
    </row>
    <row r="27257" spans="18:19">
      <c r="R27257" s="178"/>
      <c r="S27257" s="178"/>
    </row>
    <row r="27258" spans="18:19">
      <c r="R27258" s="178"/>
      <c r="S27258" s="178"/>
    </row>
    <row r="27259" spans="18:19">
      <c r="R27259" s="178"/>
      <c r="S27259" s="178"/>
    </row>
    <row r="27260" spans="18:19">
      <c r="R27260" s="178"/>
      <c r="S27260" s="178"/>
    </row>
    <row r="27261" spans="18:19">
      <c r="R27261" s="178"/>
      <c r="S27261" s="178"/>
    </row>
    <row r="27262" spans="18:19">
      <c r="R27262" s="178"/>
      <c r="S27262" s="178"/>
    </row>
    <row r="27263" spans="18:19">
      <c r="R27263" s="178"/>
      <c r="S27263" s="178"/>
    </row>
    <row r="27264" spans="18:19">
      <c r="R27264" s="178"/>
      <c r="S27264" s="178"/>
    </row>
    <row r="27265" spans="18:19">
      <c r="R27265" s="178"/>
      <c r="S27265" s="178"/>
    </row>
    <row r="27266" spans="18:19">
      <c r="R27266" s="178"/>
      <c r="S27266" s="178"/>
    </row>
    <row r="27267" spans="18:19">
      <c r="R27267" s="178"/>
      <c r="S27267" s="178"/>
    </row>
    <row r="27268" spans="18:19">
      <c r="R27268" s="178"/>
      <c r="S27268" s="178"/>
    </row>
    <row r="27269" spans="18:19">
      <c r="R27269" s="178"/>
      <c r="S27269" s="178"/>
    </row>
    <row r="27270" spans="18:19">
      <c r="R27270" s="178"/>
      <c r="S27270" s="178"/>
    </row>
    <row r="27271" spans="18:19">
      <c r="R27271" s="178"/>
      <c r="S27271" s="178"/>
    </row>
    <row r="27272" spans="18:19">
      <c r="R27272" s="178"/>
      <c r="S27272" s="178"/>
    </row>
    <row r="27273" spans="18:19">
      <c r="R27273" s="178"/>
      <c r="S27273" s="178"/>
    </row>
    <row r="27274" spans="18:19">
      <c r="R27274" s="178"/>
      <c r="S27274" s="178"/>
    </row>
    <row r="27275" spans="18:19">
      <c r="R27275" s="178"/>
      <c r="S27275" s="178"/>
    </row>
    <row r="27276" spans="18:19">
      <c r="R27276" s="178"/>
      <c r="S27276" s="178"/>
    </row>
    <row r="27277" spans="18:19">
      <c r="R27277" s="178"/>
      <c r="S27277" s="178"/>
    </row>
    <row r="27278" spans="18:19">
      <c r="R27278" s="178"/>
      <c r="S27278" s="178"/>
    </row>
    <row r="27279" spans="18:19">
      <c r="R27279" s="178"/>
      <c r="S27279" s="178"/>
    </row>
    <row r="27280" spans="18:19">
      <c r="R27280" s="178"/>
      <c r="S27280" s="178"/>
    </row>
    <row r="27281" spans="18:19">
      <c r="R27281" s="178"/>
      <c r="S27281" s="178"/>
    </row>
    <row r="27282" spans="18:19">
      <c r="R27282" s="178"/>
      <c r="S27282" s="178"/>
    </row>
    <row r="27283" spans="18:19">
      <c r="R27283" s="178"/>
      <c r="S27283" s="178"/>
    </row>
    <row r="27284" spans="18:19">
      <c r="R27284" s="178"/>
      <c r="S27284" s="178"/>
    </row>
    <row r="27285" spans="18:19">
      <c r="R27285" s="178"/>
      <c r="S27285" s="178"/>
    </row>
    <row r="27286" spans="18:19">
      <c r="R27286" s="178"/>
      <c r="S27286" s="178"/>
    </row>
    <row r="27287" spans="18:19">
      <c r="R27287" s="178"/>
      <c r="S27287" s="178"/>
    </row>
    <row r="27288" spans="18:19">
      <c r="R27288" s="178"/>
      <c r="S27288" s="178"/>
    </row>
    <row r="27289" spans="18:19">
      <c r="R27289" s="178"/>
      <c r="S27289" s="178"/>
    </row>
    <row r="27290" spans="18:19">
      <c r="R27290" s="178"/>
      <c r="S27290" s="178"/>
    </row>
    <row r="27291" spans="18:19">
      <c r="R27291" s="178"/>
      <c r="S27291" s="178"/>
    </row>
    <row r="27292" spans="18:19">
      <c r="R27292" s="178"/>
      <c r="S27292" s="178"/>
    </row>
    <row r="27293" spans="18:19">
      <c r="R27293" s="178"/>
      <c r="S27293" s="178"/>
    </row>
    <row r="27294" spans="18:19">
      <c r="R27294" s="178"/>
      <c r="S27294" s="178"/>
    </row>
    <row r="27295" spans="18:19">
      <c r="R27295" s="178"/>
      <c r="S27295" s="178"/>
    </row>
    <row r="27296" spans="18:19">
      <c r="R27296" s="178"/>
      <c r="S27296" s="178"/>
    </row>
    <row r="27297" spans="18:19">
      <c r="R27297" s="178"/>
      <c r="S27297" s="178"/>
    </row>
    <row r="27298" spans="18:19">
      <c r="R27298" s="178"/>
      <c r="S27298" s="178"/>
    </row>
    <row r="27299" spans="18:19">
      <c r="R27299" s="178"/>
      <c r="S27299" s="178"/>
    </row>
    <row r="27300" spans="18:19">
      <c r="R27300" s="178"/>
      <c r="S27300" s="178"/>
    </row>
    <row r="27301" spans="18:19">
      <c r="R27301" s="178"/>
      <c r="S27301" s="178"/>
    </row>
    <row r="27302" spans="18:19">
      <c r="R27302" s="178"/>
      <c r="S27302" s="178"/>
    </row>
    <row r="27303" spans="18:19">
      <c r="R27303" s="178"/>
      <c r="S27303" s="178"/>
    </row>
    <row r="27304" spans="18:19">
      <c r="R27304" s="178"/>
      <c r="S27304" s="178"/>
    </row>
    <row r="27305" spans="18:19">
      <c r="R27305" s="178"/>
      <c r="S27305" s="178"/>
    </row>
    <row r="27306" spans="18:19">
      <c r="R27306" s="178"/>
      <c r="S27306" s="178"/>
    </row>
    <row r="27307" spans="18:19">
      <c r="R27307" s="178"/>
      <c r="S27307" s="178"/>
    </row>
    <row r="27308" spans="18:19">
      <c r="R27308" s="178"/>
      <c r="S27308" s="178"/>
    </row>
    <row r="27309" spans="18:19">
      <c r="R27309" s="178"/>
      <c r="S27309" s="178"/>
    </row>
    <row r="27310" spans="18:19">
      <c r="R27310" s="178"/>
      <c r="S27310" s="178"/>
    </row>
    <row r="27311" spans="18:19">
      <c r="R27311" s="178"/>
      <c r="S27311" s="178"/>
    </row>
    <row r="27312" spans="18:19">
      <c r="R27312" s="178"/>
      <c r="S27312" s="178"/>
    </row>
    <row r="27313" spans="18:19">
      <c r="R27313" s="178"/>
      <c r="S27313" s="178"/>
    </row>
    <row r="27314" spans="18:19">
      <c r="R27314" s="178"/>
      <c r="S27314" s="178"/>
    </row>
    <row r="27315" spans="18:19">
      <c r="R27315" s="178"/>
      <c r="S27315" s="178"/>
    </row>
    <row r="27316" spans="18:19">
      <c r="R27316" s="178"/>
      <c r="S27316" s="178"/>
    </row>
    <row r="27317" spans="18:19">
      <c r="R27317" s="178"/>
      <c r="S27317" s="178"/>
    </row>
    <row r="27318" spans="18:19">
      <c r="R27318" s="178"/>
      <c r="S27318" s="178"/>
    </row>
    <row r="27319" spans="18:19">
      <c r="R27319" s="178"/>
      <c r="S27319" s="178"/>
    </row>
    <row r="27320" spans="18:19">
      <c r="R27320" s="178"/>
      <c r="S27320" s="178"/>
    </row>
    <row r="27321" spans="18:19">
      <c r="R27321" s="178"/>
      <c r="S27321" s="178"/>
    </row>
    <row r="27322" spans="18:19">
      <c r="R27322" s="178"/>
      <c r="S27322" s="178"/>
    </row>
    <row r="27323" spans="18:19">
      <c r="R27323" s="178"/>
      <c r="S27323" s="178"/>
    </row>
    <row r="27324" spans="18:19">
      <c r="R27324" s="178"/>
      <c r="S27324" s="178"/>
    </row>
    <row r="27325" spans="18:19">
      <c r="R27325" s="178"/>
      <c r="S27325" s="178"/>
    </row>
    <row r="27326" spans="18:19">
      <c r="R27326" s="178"/>
      <c r="S27326" s="178"/>
    </row>
    <row r="27327" spans="18:19">
      <c r="R27327" s="178"/>
      <c r="S27327" s="178"/>
    </row>
    <row r="27328" spans="18:19">
      <c r="R27328" s="178"/>
      <c r="S27328" s="178"/>
    </row>
    <row r="27329" spans="18:19">
      <c r="R27329" s="178"/>
      <c r="S27329" s="178"/>
    </row>
    <row r="27330" spans="18:19">
      <c r="R27330" s="178"/>
      <c r="S27330" s="178"/>
    </row>
    <row r="27331" spans="18:19">
      <c r="R27331" s="178"/>
      <c r="S27331" s="178"/>
    </row>
    <row r="27332" spans="18:19">
      <c r="R27332" s="178"/>
      <c r="S27332" s="178"/>
    </row>
    <row r="27333" spans="18:19">
      <c r="R27333" s="178"/>
      <c r="S27333" s="178"/>
    </row>
    <row r="27334" spans="18:19">
      <c r="R27334" s="178"/>
      <c r="S27334" s="178"/>
    </row>
    <row r="27335" spans="18:19">
      <c r="R27335" s="178"/>
      <c r="S27335" s="178"/>
    </row>
    <row r="27336" spans="18:19">
      <c r="R27336" s="178"/>
      <c r="S27336" s="178"/>
    </row>
    <row r="27337" spans="18:19">
      <c r="R27337" s="178"/>
      <c r="S27337" s="178"/>
    </row>
    <row r="27338" spans="18:19">
      <c r="R27338" s="178"/>
      <c r="S27338" s="178"/>
    </row>
    <row r="27339" spans="18:19">
      <c r="R27339" s="178"/>
      <c r="S27339" s="178"/>
    </row>
    <row r="27340" spans="18:19">
      <c r="R27340" s="178"/>
      <c r="S27340" s="178"/>
    </row>
    <row r="27341" spans="18:19">
      <c r="R27341" s="178"/>
      <c r="S27341" s="178"/>
    </row>
    <row r="27342" spans="18:19">
      <c r="R27342" s="178"/>
      <c r="S27342" s="178"/>
    </row>
    <row r="27343" spans="18:19">
      <c r="R27343" s="178"/>
      <c r="S27343" s="178"/>
    </row>
    <row r="27344" spans="18:19">
      <c r="R27344" s="178"/>
      <c r="S27344" s="178"/>
    </row>
    <row r="27345" spans="18:19">
      <c r="R27345" s="178"/>
      <c r="S27345" s="178"/>
    </row>
    <row r="27346" spans="18:19">
      <c r="R27346" s="178"/>
      <c r="S27346" s="178"/>
    </row>
    <row r="27347" spans="18:19">
      <c r="R27347" s="178"/>
      <c r="S27347" s="178"/>
    </row>
    <row r="27348" spans="18:19">
      <c r="R27348" s="178"/>
      <c r="S27348" s="178"/>
    </row>
    <row r="27349" spans="18:19">
      <c r="R27349" s="178"/>
      <c r="S27349" s="178"/>
    </row>
    <row r="27350" spans="18:19">
      <c r="R27350" s="178"/>
      <c r="S27350" s="178"/>
    </row>
    <row r="27351" spans="18:19">
      <c r="R27351" s="178"/>
      <c r="S27351" s="178"/>
    </row>
    <row r="27352" spans="18:19">
      <c r="R27352" s="178"/>
      <c r="S27352" s="178"/>
    </row>
    <row r="27353" spans="18:19">
      <c r="R27353" s="178"/>
      <c r="S27353" s="178"/>
    </row>
    <row r="27354" spans="18:19">
      <c r="R27354" s="178"/>
      <c r="S27354" s="178"/>
    </row>
    <row r="27355" spans="18:19">
      <c r="R27355" s="178"/>
      <c r="S27355" s="178"/>
    </row>
    <row r="27356" spans="18:19">
      <c r="R27356" s="178"/>
      <c r="S27356" s="178"/>
    </row>
    <row r="27357" spans="18:19">
      <c r="R27357" s="178"/>
      <c r="S27357" s="178"/>
    </row>
    <row r="27358" spans="18:19">
      <c r="R27358" s="178"/>
      <c r="S27358" s="178"/>
    </row>
    <row r="27359" spans="18:19">
      <c r="R27359" s="178"/>
      <c r="S27359" s="178"/>
    </row>
    <row r="27360" spans="18:19">
      <c r="R27360" s="178"/>
      <c r="S27360" s="178"/>
    </row>
    <row r="27361" spans="18:19">
      <c r="R27361" s="178"/>
      <c r="S27361" s="178"/>
    </row>
    <row r="27362" spans="18:19">
      <c r="R27362" s="178"/>
      <c r="S27362" s="178"/>
    </row>
    <row r="27363" spans="18:19">
      <c r="R27363" s="178"/>
      <c r="S27363" s="178"/>
    </row>
    <row r="27364" spans="18:19">
      <c r="R27364" s="178"/>
      <c r="S27364" s="178"/>
    </row>
    <row r="27365" spans="18:19">
      <c r="R27365" s="178"/>
      <c r="S27365" s="178"/>
    </row>
    <row r="27366" spans="18:19">
      <c r="R27366" s="178"/>
      <c r="S27366" s="178"/>
    </row>
    <row r="27367" spans="18:19">
      <c r="R27367" s="178"/>
      <c r="S27367" s="178"/>
    </row>
    <row r="27368" spans="18:19">
      <c r="R27368" s="178"/>
      <c r="S27368" s="178"/>
    </row>
    <row r="27369" spans="18:19">
      <c r="R27369" s="178"/>
      <c r="S27369" s="178"/>
    </row>
    <row r="27370" spans="18:19">
      <c r="R27370" s="178"/>
      <c r="S27370" s="178"/>
    </row>
    <row r="27371" spans="18:19">
      <c r="R27371" s="178"/>
      <c r="S27371" s="178"/>
    </row>
    <row r="27372" spans="18:19">
      <c r="R27372" s="178"/>
      <c r="S27372" s="178"/>
    </row>
    <row r="27373" spans="18:19">
      <c r="R27373" s="178"/>
      <c r="S27373" s="178"/>
    </row>
    <row r="27374" spans="18:19">
      <c r="R27374" s="178"/>
      <c r="S27374" s="178"/>
    </row>
    <row r="27375" spans="18:19">
      <c r="R27375" s="178"/>
      <c r="S27375" s="178"/>
    </row>
    <row r="27376" spans="18:19">
      <c r="R27376" s="178"/>
      <c r="S27376" s="178"/>
    </row>
    <row r="27377" spans="18:19">
      <c r="R27377" s="178"/>
      <c r="S27377" s="178"/>
    </row>
    <row r="27378" spans="18:19">
      <c r="R27378" s="178"/>
      <c r="S27378" s="178"/>
    </row>
    <row r="27379" spans="18:19">
      <c r="R27379" s="178"/>
      <c r="S27379" s="178"/>
    </row>
    <row r="27380" spans="18:19">
      <c r="R27380" s="178"/>
      <c r="S27380" s="178"/>
    </row>
    <row r="27381" spans="18:19">
      <c r="R27381" s="178"/>
      <c r="S27381" s="178"/>
    </row>
    <row r="27382" spans="18:19">
      <c r="R27382" s="178"/>
      <c r="S27382" s="178"/>
    </row>
    <row r="27383" spans="18:19">
      <c r="R27383" s="178"/>
      <c r="S27383" s="178"/>
    </row>
    <row r="27384" spans="18:19">
      <c r="R27384" s="178"/>
      <c r="S27384" s="178"/>
    </row>
    <row r="27385" spans="18:19">
      <c r="R27385" s="178"/>
      <c r="S27385" s="178"/>
    </row>
    <row r="27386" spans="18:19">
      <c r="R27386" s="178"/>
      <c r="S27386" s="178"/>
    </row>
    <row r="27387" spans="18:19">
      <c r="R27387" s="178"/>
      <c r="S27387" s="178"/>
    </row>
    <row r="27388" spans="18:19">
      <c r="R27388" s="178"/>
      <c r="S27388" s="178"/>
    </row>
    <row r="27389" spans="18:19">
      <c r="R27389" s="178"/>
      <c r="S27389" s="178"/>
    </row>
    <row r="27390" spans="18:19">
      <c r="R27390" s="178"/>
      <c r="S27390" s="178"/>
    </row>
    <row r="27391" spans="18:19">
      <c r="R27391" s="178"/>
      <c r="S27391" s="178"/>
    </row>
    <row r="27392" spans="18:19">
      <c r="R27392" s="178"/>
      <c r="S27392" s="178"/>
    </row>
    <row r="27393" spans="18:19">
      <c r="R27393" s="178"/>
      <c r="S27393" s="178"/>
    </row>
    <row r="27394" spans="18:19">
      <c r="R27394" s="178"/>
      <c r="S27394" s="178"/>
    </row>
    <row r="27395" spans="18:19">
      <c r="R27395" s="178"/>
      <c r="S27395" s="178"/>
    </row>
    <row r="27396" spans="18:19">
      <c r="R27396" s="178"/>
      <c r="S27396" s="178"/>
    </row>
    <row r="27397" spans="18:19">
      <c r="R27397" s="178"/>
      <c r="S27397" s="178"/>
    </row>
    <row r="27398" spans="18:19">
      <c r="R27398" s="178"/>
      <c r="S27398" s="178"/>
    </row>
    <row r="27399" spans="18:19">
      <c r="R27399" s="178"/>
      <c r="S27399" s="178"/>
    </row>
    <row r="27400" spans="18:19">
      <c r="R27400" s="178"/>
      <c r="S27400" s="178"/>
    </row>
    <row r="27401" spans="18:19">
      <c r="R27401" s="178"/>
      <c r="S27401" s="178"/>
    </row>
    <row r="27402" spans="18:19">
      <c r="R27402" s="178"/>
      <c r="S27402" s="178"/>
    </row>
    <row r="27403" spans="18:19">
      <c r="R27403" s="178"/>
      <c r="S27403" s="178"/>
    </row>
    <row r="27404" spans="18:19">
      <c r="R27404" s="178"/>
      <c r="S27404" s="178"/>
    </row>
    <row r="27405" spans="18:19">
      <c r="R27405" s="178"/>
      <c r="S27405" s="178"/>
    </row>
    <row r="27406" spans="18:19">
      <c r="R27406" s="178"/>
      <c r="S27406" s="178"/>
    </row>
    <row r="27407" spans="18:19">
      <c r="R27407" s="178"/>
      <c r="S27407" s="178"/>
    </row>
    <row r="27408" spans="18:19">
      <c r="R27408" s="178"/>
      <c r="S27408" s="178"/>
    </row>
    <row r="27409" spans="18:19">
      <c r="R27409" s="178"/>
      <c r="S27409" s="178"/>
    </row>
    <row r="27410" spans="18:19">
      <c r="R27410" s="178"/>
      <c r="S27410" s="178"/>
    </row>
    <row r="27411" spans="18:19">
      <c r="R27411" s="178"/>
      <c r="S27411" s="178"/>
    </row>
    <row r="27412" spans="18:19">
      <c r="R27412" s="178"/>
      <c r="S27412" s="178"/>
    </row>
    <row r="27413" spans="18:19">
      <c r="R27413" s="178"/>
      <c r="S27413" s="178"/>
    </row>
    <row r="27414" spans="18:19">
      <c r="R27414" s="178"/>
      <c r="S27414" s="178"/>
    </row>
    <row r="27415" spans="18:19">
      <c r="R27415" s="178"/>
      <c r="S27415" s="178"/>
    </row>
    <row r="27416" spans="18:19">
      <c r="R27416" s="178"/>
      <c r="S27416" s="178"/>
    </row>
    <row r="27417" spans="18:19">
      <c r="R27417" s="178"/>
      <c r="S27417" s="178"/>
    </row>
    <row r="27418" spans="18:19">
      <c r="R27418" s="178"/>
      <c r="S27418" s="178"/>
    </row>
    <row r="27419" spans="18:19">
      <c r="R27419" s="178"/>
      <c r="S27419" s="178"/>
    </row>
    <row r="27420" spans="18:19">
      <c r="R27420" s="178"/>
      <c r="S27420" s="178"/>
    </row>
    <row r="27421" spans="18:19">
      <c r="R27421" s="178"/>
      <c r="S27421" s="178"/>
    </row>
    <row r="27422" spans="18:19">
      <c r="R27422" s="178"/>
      <c r="S27422" s="178"/>
    </row>
    <row r="27423" spans="18:19">
      <c r="R27423" s="178"/>
      <c r="S27423" s="178"/>
    </row>
    <row r="27424" spans="18:19">
      <c r="R27424" s="178"/>
      <c r="S27424" s="178"/>
    </row>
    <row r="27425" spans="18:19">
      <c r="R27425" s="178"/>
      <c r="S27425" s="178"/>
    </row>
    <row r="27426" spans="18:19">
      <c r="R27426" s="178"/>
      <c r="S27426" s="178"/>
    </row>
    <row r="27427" spans="18:19">
      <c r="R27427" s="178"/>
      <c r="S27427" s="178"/>
    </row>
    <row r="27428" spans="18:19">
      <c r="R27428" s="178"/>
      <c r="S27428" s="178"/>
    </row>
    <row r="27429" spans="18:19">
      <c r="R27429" s="178"/>
      <c r="S27429" s="178"/>
    </row>
    <row r="27430" spans="18:19">
      <c r="R27430" s="178"/>
      <c r="S27430" s="178"/>
    </row>
    <row r="27431" spans="18:19">
      <c r="R27431" s="178"/>
      <c r="S27431" s="178"/>
    </row>
    <row r="27432" spans="18:19">
      <c r="R27432" s="178"/>
      <c r="S27432" s="178"/>
    </row>
    <row r="27433" spans="18:19">
      <c r="R27433" s="178"/>
      <c r="S27433" s="178"/>
    </row>
    <row r="27434" spans="18:19">
      <c r="R27434" s="178"/>
      <c r="S27434" s="178"/>
    </row>
    <row r="27435" spans="18:19">
      <c r="R27435" s="178"/>
      <c r="S27435" s="178"/>
    </row>
    <row r="27436" spans="18:19">
      <c r="R27436" s="178"/>
      <c r="S27436" s="178"/>
    </row>
    <row r="27437" spans="18:19">
      <c r="R27437" s="178"/>
      <c r="S27437" s="178"/>
    </row>
    <row r="27438" spans="18:19">
      <c r="R27438" s="178"/>
      <c r="S27438" s="178"/>
    </row>
    <row r="27439" spans="18:19">
      <c r="R27439" s="178"/>
      <c r="S27439" s="178"/>
    </row>
    <row r="27440" spans="18:19">
      <c r="R27440" s="178"/>
      <c r="S27440" s="178"/>
    </row>
    <row r="27441" spans="18:19">
      <c r="R27441" s="178"/>
      <c r="S27441" s="178"/>
    </row>
    <row r="27442" spans="18:19">
      <c r="R27442" s="178"/>
      <c r="S27442" s="178"/>
    </row>
    <row r="27443" spans="18:19">
      <c r="R27443" s="178"/>
      <c r="S27443" s="178"/>
    </row>
    <row r="27444" spans="18:19">
      <c r="R27444" s="178"/>
      <c r="S27444" s="178"/>
    </row>
    <row r="27445" spans="18:19">
      <c r="R27445" s="178"/>
      <c r="S27445" s="178"/>
    </row>
    <row r="27446" spans="18:19">
      <c r="R27446" s="178"/>
      <c r="S27446" s="178"/>
    </row>
    <row r="27447" spans="18:19">
      <c r="R27447" s="178"/>
      <c r="S27447" s="178"/>
    </row>
    <row r="27448" spans="18:19">
      <c r="R27448" s="178"/>
      <c r="S27448" s="178"/>
    </row>
    <row r="27449" spans="18:19">
      <c r="R27449" s="178"/>
      <c r="S27449" s="178"/>
    </row>
    <row r="27450" spans="18:19">
      <c r="R27450" s="178"/>
      <c r="S27450" s="178"/>
    </row>
    <row r="27451" spans="18:19">
      <c r="R27451" s="178"/>
      <c r="S27451" s="178"/>
    </row>
    <row r="27452" spans="18:19">
      <c r="R27452" s="178"/>
      <c r="S27452" s="178"/>
    </row>
    <row r="27453" spans="18:19">
      <c r="R27453" s="178"/>
      <c r="S27453" s="178"/>
    </row>
    <row r="27454" spans="18:19">
      <c r="R27454" s="178"/>
      <c r="S27454" s="178"/>
    </row>
    <row r="27455" spans="18:19">
      <c r="R27455" s="178"/>
      <c r="S27455" s="178"/>
    </row>
    <row r="27456" spans="18:19">
      <c r="R27456" s="178"/>
      <c r="S27456" s="178"/>
    </row>
    <row r="27457" spans="18:19">
      <c r="R27457" s="178"/>
      <c r="S27457" s="178"/>
    </row>
    <row r="27458" spans="18:19">
      <c r="R27458" s="178"/>
      <c r="S27458" s="178"/>
    </row>
    <row r="27459" spans="18:19">
      <c r="R27459" s="178"/>
      <c r="S27459" s="178"/>
    </row>
    <row r="27460" spans="18:19">
      <c r="R27460" s="178"/>
      <c r="S27460" s="178"/>
    </row>
    <row r="27461" spans="18:19">
      <c r="R27461" s="178"/>
      <c r="S27461" s="178"/>
    </row>
    <row r="27462" spans="18:19">
      <c r="R27462" s="178"/>
      <c r="S27462" s="178"/>
    </row>
    <row r="27463" spans="18:19">
      <c r="R27463" s="178"/>
      <c r="S27463" s="178"/>
    </row>
    <row r="27464" spans="18:19">
      <c r="R27464" s="178"/>
      <c r="S27464" s="178"/>
    </row>
    <row r="27465" spans="18:19">
      <c r="R27465" s="178"/>
      <c r="S27465" s="178"/>
    </row>
    <row r="27466" spans="18:19">
      <c r="R27466" s="178"/>
      <c r="S27466" s="178"/>
    </row>
    <row r="27467" spans="18:19">
      <c r="R27467" s="178"/>
      <c r="S27467" s="178"/>
    </row>
    <row r="27468" spans="18:19">
      <c r="R27468" s="178"/>
      <c r="S27468" s="178"/>
    </row>
    <row r="27469" spans="18:19">
      <c r="R27469" s="178"/>
      <c r="S27469" s="178"/>
    </row>
    <row r="27470" spans="18:19">
      <c r="R27470" s="178"/>
      <c r="S27470" s="178"/>
    </row>
    <row r="27471" spans="18:19">
      <c r="R27471" s="178"/>
      <c r="S27471" s="178"/>
    </row>
    <row r="27472" spans="18:19">
      <c r="R27472" s="178"/>
      <c r="S27472" s="178"/>
    </row>
    <row r="27473" spans="18:19">
      <c r="R27473" s="178"/>
      <c r="S27473" s="178"/>
    </row>
    <row r="27474" spans="18:19">
      <c r="R27474" s="178"/>
      <c r="S27474" s="178"/>
    </row>
    <row r="27475" spans="18:19">
      <c r="R27475" s="178"/>
      <c r="S27475" s="178"/>
    </row>
    <row r="27476" spans="18:19">
      <c r="R27476" s="178"/>
      <c r="S27476" s="178"/>
    </row>
    <row r="27477" spans="18:19">
      <c r="R27477" s="178"/>
      <c r="S27477" s="178"/>
    </row>
    <row r="27478" spans="18:19">
      <c r="R27478" s="178"/>
      <c r="S27478" s="178"/>
    </row>
    <row r="27479" spans="18:19">
      <c r="R27479" s="178"/>
      <c r="S27479" s="178"/>
    </row>
    <row r="27480" spans="18:19">
      <c r="R27480" s="178"/>
      <c r="S27480" s="178"/>
    </row>
    <row r="27481" spans="18:19">
      <c r="R27481" s="178"/>
      <c r="S27481" s="178"/>
    </row>
    <row r="27482" spans="18:19">
      <c r="R27482" s="178"/>
      <c r="S27482" s="178"/>
    </row>
    <row r="27483" spans="18:19">
      <c r="R27483" s="178"/>
      <c r="S27483" s="178"/>
    </row>
    <row r="27484" spans="18:19">
      <c r="R27484" s="178"/>
      <c r="S27484" s="178"/>
    </row>
    <row r="27485" spans="18:19">
      <c r="R27485" s="178"/>
      <c r="S27485" s="178"/>
    </row>
    <row r="27486" spans="18:19">
      <c r="R27486" s="178"/>
      <c r="S27486" s="178"/>
    </row>
    <row r="27487" spans="18:19">
      <c r="R27487" s="178"/>
      <c r="S27487" s="178"/>
    </row>
    <row r="27488" spans="18:19">
      <c r="R27488" s="178"/>
      <c r="S27488" s="178"/>
    </row>
    <row r="27489" spans="18:19">
      <c r="R27489" s="178"/>
      <c r="S27489" s="178"/>
    </row>
    <row r="27490" spans="18:19">
      <c r="R27490" s="178"/>
      <c r="S27490" s="178"/>
    </row>
    <row r="27491" spans="18:19">
      <c r="R27491" s="178"/>
      <c r="S27491" s="178"/>
    </row>
    <row r="27492" spans="18:19">
      <c r="R27492" s="178"/>
      <c r="S27492" s="178"/>
    </row>
    <row r="27493" spans="18:19">
      <c r="R27493" s="178"/>
      <c r="S27493" s="178"/>
    </row>
    <row r="27494" spans="18:19">
      <c r="R27494" s="178"/>
      <c r="S27494" s="178"/>
    </row>
    <row r="27495" spans="18:19">
      <c r="R27495" s="178"/>
      <c r="S27495" s="178"/>
    </row>
    <row r="27496" spans="18:19">
      <c r="R27496" s="178"/>
      <c r="S27496" s="178"/>
    </row>
    <row r="27497" spans="18:19">
      <c r="R27497" s="178"/>
      <c r="S27497" s="178"/>
    </row>
    <row r="27498" spans="18:19">
      <c r="R27498" s="178"/>
      <c r="S27498" s="178"/>
    </row>
    <row r="27499" spans="18:19">
      <c r="R27499" s="178"/>
      <c r="S27499" s="178"/>
    </row>
    <row r="27500" spans="18:19">
      <c r="R27500" s="178"/>
      <c r="S27500" s="178"/>
    </row>
    <row r="27501" spans="18:19">
      <c r="R27501" s="178"/>
      <c r="S27501" s="178"/>
    </row>
    <row r="27502" spans="18:19">
      <c r="R27502" s="178"/>
      <c r="S27502" s="178"/>
    </row>
    <row r="27503" spans="18:19">
      <c r="R27503" s="178"/>
      <c r="S27503" s="178"/>
    </row>
    <row r="27504" spans="18:19">
      <c r="R27504" s="178"/>
      <c r="S27504" s="178"/>
    </row>
    <row r="27505" spans="18:19">
      <c r="R27505" s="178"/>
      <c r="S27505" s="178"/>
    </row>
    <row r="27506" spans="18:19">
      <c r="R27506" s="178"/>
      <c r="S27506" s="178"/>
    </row>
    <row r="27507" spans="18:19">
      <c r="R27507" s="178"/>
      <c r="S27507" s="178"/>
    </row>
    <row r="27508" spans="18:19">
      <c r="R27508" s="178"/>
      <c r="S27508" s="178"/>
    </row>
    <row r="27509" spans="18:19">
      <c r="R27509" s="178"/>
      <c r="S27509" s="178"/>
    </row>
    <row r="27510" spans="18:19">
      <c r="R27510" s="178"/>
      <c r="S27510" s="178"/>
    </row>
    <row r="27511" spans="18:19">
      <c r="R27511" s="178"/>
      <c r="S27511" s="178"/>
    </row>
    <row r="27512" spans="18:19">
      <c r="R27512" s="178"/>
      <c r="S27512" s="178"/>
    </row>
    <row r="27513" spans="18:19">
      <c r="R27513" s="178"/>
      <c r="S27513" s="178"/>
    </row>
    <row r="27514" spans="18:19">
      <c r="R27514" s="178"/>
      <c r="S27514" s="178"/>
    </row>
    <row r="27515" spans="18:19">
      <c r="R27515" s="178"/>
      <c r="S27515" s="178"/>
    </row>
    <row r="27516" spans="18:19">
      <c r="R27516" s="178"/>
      <c r="S27516" s="178"/>
    </row>
    <row r="27517" spans="18:19">
      <c r="R27517" s="178"/>
      <c r="S27517" s="178"/>
    </row>
    <row r="27518" spans="18:19">
      <c r="R27518" s="178"/>
      <c r="S27518" s="178"/>
    </row>
    <row r="27519" spans="18:19">
      <c r="R27519" s="178"/>
      <c r="S27519" s="178"/>
    </row>
    <row r="27520" spans="18:19">
      <c r="R27520" s="178"/>
      <c r="S27520" s="178"/>
    </row>
    <row r="27521" spans="18:19">
      <c r="R27521" s="178"/>
      <c r="S27521" s="178"/>
    </row>
    <row r="27522" spans="18:19">
      <c r="R27522" s="178"/>
      <c r="S27522" s="178"/>
    </row>
    <row r="27523" spans="18:19">
      <c r="R27523" s="178"/>
      <c r="S27523" s="178"/>
    </row>
    <row r="27524" spans="18:19">
      <c r="R27524" s="178"/>
      <c r="S27524" s="178"/>
    </row>
    <row r="27525" spans="18:19">
      <c r="R27525" s="178"/>
      <c r="S27525" s="178"/>
    </row>
    <row r="27526" spans="18:19">
      <c r="R27526" s="178"/>
      <c r="S27526" s="178"/>
    </row>
    <row r="27527" spans="18:19">
      <c r="R27527" s="178"/>
      <c r="S27527" s="178"/>
    </row>
    <row r="27528" spans="18:19">
      <c r="R27528" s="178"/>
      <c r="S27528" s="178"/>
    </row>
    <row r="27529" spans="18:19">
      <c r="R27529" s="178"/>
      <c r="S27529" s="178"/>
    </row>
    <row r="27530" spans="18:19">
      <c r="R27530" s="178"/>
      <c r="S27530" s="178"/>
    </row>
    <row r="27531" spans="18:19">
      <c r="R27531" s="178"/>
      <c r="S27531" s="178"/>
    </row>
    <row r="27532" spans="18:19">
      <c r="R27532" s="178"/>
      <c r="S27532" s="178"/>
    </row>
    <row r="27533" spans="18:19">
      <c r="R27533" s="178"/>
      <c r="S27533" s="178"/>
    </row>
    <row r="27534" spans="18:19">
      <c r="R27534" s="178"/>
      <c r="S27534" s="178"/>
    </row>
    <row r="27535" spans="18:19">
      <c r="R27535" s="178"/>
      <c r="S27535" s="178"/>
    </row>
    <row r="27536" spans="18:19">
      <c r="R27536" s="178"/>
      <c r="S27536" s="178"/>
    </row>
    <row r="27537" spans="18:19">
      <c r="R27537" s="178"/>
      <c r="S27537" s="178"/>
    </row>
    <row r="27538" spans="18:19">
      <c r="R27538" s="178"/>
      <c r="S27538" s="178"/>
    </row>
    <row r="27539" spans="18:19">
      <c r="R27539" s="178"/>
      <c r="S27539" s="178"/>
    </row>
    <row r="27540" spans="18:19">
      <c r="R27540" s="178"/>
      <c r="S27540" s="178"/>
    </row>
    <row r="27541" spans="18:19">
      <c r="R27541" s="178"/>
      <c r="S27541" s="178"/>
    </row>
    <row r="27542" spans="18:19">
      <c r="R27542" s="178"/>
      <c r="S27542" s="178"/>
    </row>
    <row r="27543" spans="18:19">
      <c r="R27543" s="178"/>
      <c r="S27543" s="178"/>
    </row>
    <row r="27544" spans="18:19">
      <c r="R27544" s="178"/>
      <c r="S27544" s="178"/>
    </row>
    <row r="27545" spans="18:19">
      <c r="R27545" s="178"/>
      <c r="S27545" s="178"/>
    </row>
    <row r="27546" spans="18:19">
      <c r="R27546" s="178"/>
      <c r="S27546" s="178"/>
    </row>
    <row r="27547" spans="18:19">
      <c r="R27547" s="178"/>
      <c r="S27547" s="178"/>
    </row>
    <row r="27548" spans="18:19">
      <c r="R27548" s="178"/>
      <c r="S27548" s="178"/>
    </row>
    <row r="27549" spans="18:19">
      <c r="R27549" s="178"/>
      <c r="S27549" s="178"/>
    </row>
    <row r="27550" spans="18:19">
      <c r="R27550" s="178"/>
      <c r="S27550" s="178"/>
    </row>
    <row r="27551" spans="18:19">
      <c r="R27551" s="178"/>
      <c r="S27551" s="178"/>
    </row>
    <row r="27552" spans="18:19">
      <c r="R27552" s="178"/>
      <c r="S27552" s="178"/>
    </row>
    <row r="27553" spans="18:19">
      <c r="R27553" s="178"/>
      <c r="S27553" s="178"/>
    </row>
    <row r="27554" spans="18:19">
      <c r="R27554" s="178"/>
      <c r="S27554" s="178"/>
    </row>
    <row r="27555" spans="18:19">
      <c r="R27555" s="178"/>
      <c r="S27555" s="178"/>
    </row>
    <row r="27556" spans="18:19">
      <c r="R27556" s="178"/>
      <c r="S27556" s="178"/>
    </row>
    <row r="27557" spans="18:19">
      <c r="R27557" s="178"/>
      <c r="S27557" s="178"/>
    </row>
    <row r="27558" spans="18:19">
      <c r="R27558" s="178"/>
      <c r="S27558" s="178"/>
    </row>
    <row r="27559" spans="18:19">
      <c r="R27559" s="178"/>
      <c r="S27559" s="178"/>
    </row>
    <row r="27560" spans="18:19">
      <c r="R27560" s="178"/>
      <c r="S27560" s="178"/>
    </row>
    <row r="27561" spans="18:19">
      <c r="R27561" s="178"/>
      <c r="S27561" s="178"/>
    </row>
    <row r="27562" spans="18:19">
      <c r="R27562" s="178"/>
      <c r="S27562" s="178"/>
    </row>
    <row r="27563" spans="18:19">
      <c r="R27563" s="178"/>
      <c r="S27563" s="178"/>
    </row>
    <row r="27564" spans="18:19">
      <c r="R27564" s="178"/>
      <c r="S27564" s="178"/>
    </row>
    <row r="27565" spans="18:19">
      <c r="R27565" s="178"/>
      <c r="S27565" s="178"/>
    </row>
    <row r="27566" spans="18:19">
      <c r="R27566" s="178"/>
      <c r="S27566" s="178"/>
    </row>
    <row r="27567" spans="18:19">
      <c r="R27567" s="178"/>
      <c r="S27567" s="178"/>
    </row>
    <row r="27568" spans="18:19">
      <c r="R27568" s="178"/>
      <c r="S27568" s="178"/>
    </row>
    <row r="27569" spans="18:19">
      <c r="R27569" s="178"/>
      <c r="S27569" s="178"/>
    </row>
    <row r="27570" spans="18:19">
      <c r="R27570" s="178"/>
      <c r="S27570" s="178"/>
    </row>
    <row r="27571" spans="18:19">
      <c r="R27571" s="178"/>
      <c r="S27571" s="178"/>
    </row>
    <row r="27572" spans="18:19">
      <c r="R27572" s="178"/>
      <c r="S27572" s="178"/>
    </row>
    <row r="27573" spans="18:19">
      <c r="R27573" s="178"/>
      <c r="S27573" s="178"/>
    </row>
    <row r="27574" spans="18:19">
      <c r="R27574" s="178"/>
      <c r="S27574" s="178"/>
    </row>
    <row r="27575" spans="18:19">
      <c r="R27575" s="178"/>
      <c r="S27575" s="178"/>
    </row>
    <row r="27576" spans="18:19">
      <c r="R27576" s="178"/>
      <c r="S27576" s="178"/>
    </row>
    <row r="27577" spans="18:19">
      <c r="R27577" s="178"/>
      <c r="S27577" s="178"/>
    </row>
    <row r="27578" spans="18:19">
      <c r="R27578" s="178"/>
      <c r="S27578" s="178"/>
    </row>
    <row r="27579" spans="18:19">
      <c r="R27579" s="178"/>
      <c r="S27579" s="178"/>
    </row>
    <row r="27580" spans="18:19">
      <c r="R27580" s="178"/>
      <c r="S27580" s="178"/>
    </row>
    <row r="27581" spans="18:19">
      <c r="R27581" s="178"/>
      <c r="S27581" s="178"/>
    </row>
    <row r="27582" spans="18:19">
      <c r="R27582" s="178"/>
      <c r="S27582" s="178"/>
    </row>
    <row r="27583" spans="18:19">
      <c r="R27583" s="178"/>
      <c r="S27583" s="178"/>
    </row>
    <row r="27584" spans="18:19">
      <c r="R27584" s="178"/>
      <c r="S27584" s="178"/>
    </row>
    <row r="27585" spans="18:19">
      <c r="R27585" s="178"/>
      <c r="S27585" s="178"/>
    </row>
    <row r="27586" spans="18:19">
      <c r="R27586" s="178"/>
      <c r="S27586" s="178"/>
    </row>
    <row r="27587" spans="18:19">
      <c r="R27587" s="178"/>
      <c r="S27587" s="178"/>
    </row>
    <row r="27588" spans="18:19">
      <c r="R27588" s="178"/>
      <c r="S27588" s="178"/>
    </row>
    <row r="27589" spans="18:19">
      <c r="R27589" s="178"/>
      <c r="S27589" s="178"/>
    </row>
    <row r="27590" spans="18:19">
      <c r="R27590" s="178"/>
      <c r="S27590" s="178"/>
    </row>
    <row r="27591" spans="18:19">
      <c r="R27591" s="178"/>
      <c r="S27591" s="178"/>
    </row>
    <row r="27592" spans="18:19">
      <c r="R27592" s="178"/>
      <c r="S27592" s="178"/>
    </row>
    <row r="27593" spans="18:19">
      <c r="R27593" s="178"/>
      <c r="S27593" s="178"/>
    </row>
    <row r="27594" spans="18:19">
      <c r="R27594" s="178"/>
      <c r="S27594" s="178"/>
    </row>
    <row r="27595" spans="18:19">
      <c r="R27595" s="178"/>
      <c r="S27595" s="178"/>
    </row>
    <row r="27596" spans="18:19">
      <c r="R27596" s="178"/>
      <c r="S27596" s="178"/>
    </row>
    <row r="27597" spans="18:19">
      <c r="R27597" s="178"/>
      <c r="S27597" s="178"/>
    </row>
    <row r="27598" spans="18:19">
      <c r="R27598" s="178"/>
      <c r="S27598" s="178"/>
    </row>
    <row r="27599" spans="18:19">
      <c r="R27599" s="178"/>
      <c r="S27599" s="178"/>
    </row>
    <row r="27600" spans="18:19">
      <c r="R27600" s="178"/>
      <c r="S27600" s="178"/>
    </row>
    <row r="27601" spans="18:19">
      <c r="R27601" s="178"/>
      <c r="S27601" s="178"/>
    </row>
    <row r="27602" spans="18:19">
      <c r="R27602" s="178"/>
      <c r="S27602" s="178"/>
    </row>
    <row r="27603" spans="18:19">
      <c r="R27603" s="178"/>
      <c r="S27603" s="178"/>
    </row>
    <row r="27604" spans="18:19">
      <c r="R27604" s="178"/>
      <c r="S27604" s="178"/>
    </row>
    <row r="27605" spans="18:19">
      <c r="R27605" s="178"/>
      <c r="S27605" s="178"/>
    </row>
    <row r="27606" spans="18:19">
      <c r="R27606" s="178"/>
      <c r="S27606" s="178"/>
    </row>
    <row r="27607" spans="18:19">
      <c r="R27607" s="178"/>
      <c r="S27607" s="178"/>
    </row>
    <row r="27608" spans="18:19">
      <c r="R27608" s="178"/>
      <c r="S27608" s="178"/>
    </row>
    <row r="27609" spans="18:19">
      <c r="R27609" s="178"/>
      <c r="S27609" s="178"/>
    </row>
    <row r="27610" spans="18:19">
      <c r="R27610" s="178"/>
      <c r="S27610" s="178"/>
    </row>
    <row r="27611" spans="18:19">
      <c r="R27611" s="178"/>
      <c r="S27611" s="178"/>
    </row>
    <row r="27612" spans="18:19">
      <c r="R27612" s="178"/>
      <c r="S27612" s="178"/>
    </row>
    <row r="27613" spans="18:19">
      <c r="R27613" s="178"/>
      <c r="S27613" s="178"/>
    </row>
    <row r="27614" spans="18:19">
      <c r="R27614" s="178"/>
      <c r="S27614" s="178"/>
    </row>
    <row r="27615" spans="18:19">
      <c r="R27615" s="178"/>
      <c r="S27615" s="178"/>
    </row>
    <row r="27616" spans="18:19">
      <c r="R27616" s="178"/>
      <c r="S27616" s="178"/>
    </row>
    <row r="27617" spans="18:19">
      <c r="R27617" s="178"/>
      <c r="S27617" s="178"/>
    </row>
    <row r="27618" spans="18:19">
      <c r="R27618" s="178"/>
      <c r="S27618" s="178"/>
    </row>
    <row r="27619" spans="18:19">
      <c r="R27619" s="178"/>
      <c r="S27619" s="178"/>
    </row>
    <row r="27620" spans="18:19">
      <c r="R27620" s="178"/>
      <c r="S27620" s="178"/>
    </row>
    <row r="27621" spans="18:19">
      <c r="R27621" s="178"/>
      <c r="S27621" s="178"/>
    </row>
    <row r="27622" spans="18:19">
      <c r="R27622" s="178"/>
      <c r="S27622" s="178"/>
    </row>
    <row r="27623" spans="18:19">
      <c r="R27623" s="178"/>
      <c r="S27623" s="178"/>
    </row>
    <row r="27624" spans="18:19">
      <c r="R27624" s="178"/>
      <c r="S27624" s="178"/>
    </row>
    <row r="27625" spans="18:19">
      <c r="R27625" s="178"/>
      <c r="S27625" s="178"/>
    </row>
    <row r="27626" spans="18:19">
      <c r="R27626" s="178"/>
      <c r="S27626" s="178"/>
    </row>
    <row r="27627" spans="18:19">
      <c r="R27627" s="178"/>
      <c r="S27627" s="178"/>
    </row>
    <row r="27628" spans="18:19">
      <c r="R27628" s="178"/>
      <c r="S27628" s="178"/>
    </row>
    <row r="27629" spans="18:19">
      <c r="R27629" s="178"/>
      <c r="S27629" s="178"/>
    </row>
    <row r="27630" spans="18:19">
      <c r="R27630" s="178"/>
      <c r="S27630" s="178"/>
    </row>
    <row r="27631" spans="18:19">
      <c r="R27631" s="178"/>
      <c r="S27631" s="178"/>
    </row>
    <row r="27632" spans="18:19">
      <c r="R27632" s="178"/>
      <c r="S27632" s="178"/>
    </row>
    <row r="27633" spans="18:19">
      <c r="R27633" s="178"/>
      <c r="S27633" s="178"/>
    </row>
    <row r="27634" spans="18:19">
      <c r="R27634" s="178"/>
      <c r="S27634" s="178"/>
    </row>
    <row r="27635" spans="18:19">
      <c r="R27635" s="178"/>
      <c r="S27635" s="178"/>
    </row>
    <row r="27636" spans="18:19">
      <c r="R27636" s="178"/>
      <c r="S27636" s="178"/>
    </row>
    <row r="27637" spans="18:19">
      <c r="R27637" s="178"/>
      <c r="S27637" s="178"/>
    </row>
    <row r="27638" spans="18:19">
      <c r="R27638" s="178"/>
      <c r="S27638" s="178"/>
    </row>
    <row r="27639" spans="18:19">
      <c r="R27639" s="178"/>
      <c r="S27639" s="178"/>
    </row>
    <row r="27640" spans="18:19">
      <c r="R27640" s="178"/>
      <c r="S27640" s="178"/>
    </row>
    <row r="27641" spans="18:19">
      <c r="R27641" s="178"/>
      <c r="S27641" s="178"/>
    </row>
    <row r="27642" spans="18:19">
      <c r="R27642" s="178"/>
      <c r="S27642" s="178"/>
    </row>
    <row r="27643" spans="18:19">
      <c r="R27643" s="178"/>
      <c r="S27643" s="178"/>
    </row>
    <row r="27644" spans="18:19">
      <c r="R27644" s="178"/>
      <c r="S27644" s="178"/>
    </row>
    <row r="27645" spans="18:19">
      <c r="R27645" s="178"/>
      <c r="S27645" s="178"/>
    </row>
    <row r="27646" spans="18:19">
      <c r="R27646" s="178"/>
      <c r="S27646" s="178"/>
    </row>
    <row r="27647" spans="18:19">
      <c r="R27647" s="178"/>
      <c r="S27647" s="178"/>
    </row>
    <row r="27648" spans="18:19">
      <c r="R27648" s="178"/>
      <c r="S27648" s="178"/>
    </row>
    <row r="27649" spans="18:19">
      <c r="R27649" s="178"/>
      <c r="S27649" s="178"/>
    </row>
    <row r="27650" spans="18:19">
      <c r="R27650" s="178"/>
      <c r="S27650" s="178"/>
    </row>
    <row r="27651" spans="18:19">
      <c r="R27651" s="178"/>
      <c r="S27651" s="178"/>
    </row>
    <row r="27652" spans="18:19">
      <c r="R27652" s="178"/>
      <c r="S27652" s="178"/>
    </row>
    <row r="27653" spans="18:19">
      <c r="R27653" s="178"/>
      <c r="S27653" s="178"/>
    </row>
    <row r="27654" spans="18:19">
      <c r="R27654" s="178"/>
      <c r="S27654" s="178"/>
    </row>
    <row r="27655" spans="18:19">
      <c r="R27655" s="178"/>
      <c r="S27655" s="178"/>
    </row>
    <row r="27656" spans="18:19">
      <c r="R27656" s="178"/>
      <c r="S27656" s="178"/>
    </row>
    <row r="27657" spans="18:19">
      <c r="R27657" s="178"/>
      <c r="S27657" s="178"/>
    </row>
    <row r="27658" spans="18:19">
      <c r="R27658" s="178"/>
      <c r="S27658" s="178"/>
    </row>
    <row r="27659" spans="18:19">
      <c r="R27659" s="178"/>
      <c r="S27659" s="178"/>
    </row>
    <row r="27660" spans="18:19">
      <c r="R27660" s="178"/>
      <c r="S27660" s="178"/>
    </row>
    <row r="27661" spans="18:19">
      <c r="R27661" s="178"/>
      <c r="S27661" s="178"/>
    </row>
    <row r="27662" spans="18:19">
      <c r="R27662" s="178"/>
      <c r="S27662" s="178"/>
    </row>
    <row r="27663" spans="18:19">
      <c r="R27663" s="178"/>
      <c r="S27663" s="178"/>
    </row>
    <row r="27664" spans="18:19">
      <c r="R27664" s="178"/>
      <c r="S27664" s="178"/>
    </row>
    <row r="27665" spans="18:19">
      <c r="R27665" s="178"/>
      <c r="S27665" s="178"/>
    </row>
    <row r="27666" spans="18:19">
      <c r="R27666" s="178"/>
      <c r="S27666" s="178"/>
    </row>
    <row r="27667" spans="18:19">
      <c r="R27667" s="178"/>
      <c r="S27667" s="178"/>
    </row>
    <row r="27668" spans="18:19">
      <c r="R27668" s="178"/>
      <c r="S27668" s="178"/>
    </row>
    <row r="27669" spans="18:19">
      <c r="R27669" s="178"/>
      <c r="S27669" s="178"/>
    </row>
    <row r="27670" spans="18:19">
      <c r="R27670" s="178"/>
      <c r="S27670" s="178"/>
    </row>
    <row r="27671" spans="18:19">
      <c r="R27671" s="178"/>
      <c r="S27671" s="178"/>
    </row>
    <row r="27672" spans="18:19">
      <c r="R27672" s="178"/>
      <c r="S27672" s="178"/>
    </row>
    <row r="27673" spans="18:19">
      <c r="R27673" s="178"/>
      <c r="S27673" s="178"/>
    </row>
    <row r="27674" spans="18:19">
      <c r="R27674" s="178"/>
      <c r="S27674" s="178"/>
    </row>
    <row r="27675" spans="18:19">
      <c r="R27675" s="178"/>
      <c r="S27675" s="178"/>
    </row>
    <row r="27676" spans="18:19">
      <c r="R27676" s="178"/>
      <c r="S27676" s="178"/>
    </row>
    <row r="27677" spans="18:19">
      <c r="R27677" s="178"/>
      <c r="S27677" s="178"/>
    </row>
    <row r="27678" spans="18:19">
      <c r="R27678" s="178"/>
      <c r="S27678" s="178"/>
    </row>
    <row r="27679" spans="18:19">
      <c r="R27679" s="178"/>
      <c r="S27679" s="178"/>
    </row>
    <row r="27680" spans="18:19">
      <c r="R27680" s="178"/>
      <c r="S27680" s="178"/>
    </row>
    <row r="27681" spans="18:19">
      <c r="R27681" s="178"/>
      <c r="S27681" s="178"/>
    </row>
    <row r="27682" spans="18:19">
      <c r="R27682" s="178"/>
      <c r="S27682" s="178"/>
    </row>
    <row r="27683" spans="18:19">
      <c r="R27683" s="178"/>
      <c r="S27683" s="178"/>
    </row>
    <row r="27684" spans="18:19">
      <c r="R27684" s="178"/>
      <c r="S27684" s="178"/>
    </row>
    <row r="27685" spans="18:19">
      <c r="R27685" s="178"/>
      <c r="S27685" s="178"/>
    </row>
    <row r="27686" spans="18:19">
      <c r="R27686" s="178"/>
      <c r="S27686" s="178"/>
    </row>
    <row r="27687" spans="18:19">
      <c r="R27687" s="178"/>
      <c r="S27687" s="178"/>
    </row>
    <row r="27688" spans="18:19">
      <c r="R27688" s="178"/>
      <c r="S27688" s="178"/>
    </row>
    <row r="27689" spans="18:19">
      <c r="R27689" s="178"/>
      <c r="S27689" s="178"/>
    </row>
    <row r="27690" spans="18:19">
      <c r="R27690" s="178"/>
      <c r="S27690" s="178"/>
    </row>
    <row r="27691" spans="18:19">
      <c r="R27691" s="178"/>
      <c r="S27691" s="178"/>
    </row>
    <row r="27692" spans="18:19">
      <c r="R27692" s="178"/>
      <c r="S27692" s="178"/>
    </row>
    <row r="27693" spans="18:19">
      <c r="R27693" s="178"/>
      <c r="S27693" s="178"/>
    </row>
    <row r="27694" spans="18:19">
      <c r="R27694" s="178"/>
      <c r="S27694" s="178"/>
    </row>
    <row r="27695" spans="18:19">
      <c r="R27695" s="178"/>
      <c r="S27695" s="178"/>
    </row>
    <row r="27696" spans="18:19">
      <c r="R27696" s="178"/>
      <c r="S27696" s="178"/>
    </row>
    <row r="27697" spans="18:19">
      <c r="R27697" s="178"/>
      <c r="S27697" s="178"/>
    </row>
    <row r="27698" spans="18:19">
      <c r="R27698" s="178"/>
      <c r="S27698" s="178"/>
    </row>
    <row r="27699" spans="18:19">
      <c r="R27699" s="178"/>
      <c r="S27699" s="178"/>
    </row>
    <row r="27700" spans="18:19">
      <c r="R27700" s="178"/>
      <c r="S27700" s="178"/>
    </row>
    <row r="27701" spans="18:19">
      <c r="R27701" s="178"/>
      <c r="S27701" s="178"/>
    </row>
    <row r="27702" spans="18:19">
      <c r="R27702" s="178"/>
      <c r="S27702" s="178"/>
    </row>
    <row r="27703" spans="18:19">
      <c r="R27703" s="178"/>
      <c r="S27703" s="178"/>
    </row>
    <row r="27704" spans="18:19">
      <c r="R27704" s="178"/>
      <c r="S27704" s="178"/>
    </row>
    <row r="27705" spans="18:19">
      <c r="R27705" s="178"/>
      <c r="S27705" s="178"/>
    </row>
    <row r="27706" spans="18:19">
      <c r="R27706" s="178"/>
      <c r="S27706" s="178"/>
    </row>
    <row r="27707" spans="18:19">
      <c r="R27707" s="178"/>
      <c r="S27707" s="178"/>
    </row>
    <row r="27708" spans="18:19">
      <c r="R27708" s="178"/>
      <c r="S27708" s="178"/>
    </row>
    <row r="27709" spans="18:19">
      <c r="R27709" s="178"/>
      <c r="S27709" s="178"/>
    </row>
    <row r="27710" spans="18:19">
      <c r="R27710" s="178"/>
      <c r="S27710" s="178"/>
    </row>
    <row r="27711" spans="18:19">
      <c r="R27711" s="178"/>
      <c r="S27711" s="178"/>
    </row>
    <row r="27712" spans="18:19">
      <c r="R27712" s="178"/>
      <c r="S27712" s="178"/>
    </row>
    <row r="27713" spans="18:19">
      <c r="R27713" s="178"/>
      <c r="S27713" s="178"/>
    </row>
    <row r="27714" spans="18:19">
      <c r="R27714" s="178"/>
      <c r="S27714" s="178"/>
    </row>
    <row r="27715" spans="18:19">
      <c r="R27715" s="178"/>
      <c r="S27715" s="178"/>
    </row>
    <row r="27716" spans="18:19">
      <c r="R27716" s="178"/>
      <c r="S27716" s="178"/>
    </row>
    <row r="27717" spans="18:19">
      <c r="R27717" s="178"/>
      <c r="S27717" s="178"/>
    </row>
    <row r="27718" spans="18:19">
      <c r="R27718" s="178"/>
      <c r="S27718" s="178"/>
    </row>
    <row r="27719" spans="18:19">
      <c r="R27719" s="178"/>
      <c r="S27719" s="178"/>
    </row>
    <row r="27720" spans="18:19">
      <c r="R27720" s="178"/>
      <c r="S27720" s="178"/>
    </row>
    <row r="27721" spans="18:19">
      <c r="R27721" s="178"/>
      <c r="S27721" s="178"/>
    </row>
    <row r="27722" spans="18:19">
      <c r="R27722" s="178"/>
      <c r="S27722" s="178"/>
    </row>
    <row r="27723" spans="18:19">
      <c r="R27723" s="178"/>
      <c r="S27723" s="178"/>
    </row>
    <row r="27724" spans="18:19">
      <c r="R27724" s="178"/>
      <c r="S27724" s="178"/>
    </row>
    <row r="27725" spans="18:19">
      <c r="R27725" s="178"/>
      <c r="S27725" s="178"/>
    </row>
    <row r="27726" spans="18:19">
      <c r="R27726" s="178"/>
      <c r="S27726" s="178"/>
    </row>
    <row r="27727" spans="18:19">
      <c r="R27727" s="178"/>
      <c r="S27727" s="178"/>
    </row>
    <row r="27728" spans="18:19">
      <c r="R27728" s="178"/>
      <c r="S27728" s="178"/>
    </row>
    <row r="27729" spans="18:19">
      <c r="R27729" s="178"/>
      <c r="S27729" s="178"/>
    </row>
    <row r="27730" spans="18:19">
      <c r="R27730" s="178"/>
      <c r="S27730" s="178"/>
    </row>
    <row r="27731" spans="18:19">
      <c r="R27731" s="178"/>
      <c r="S27731" s="178"/>
    </row>
    <row r="27732" spans="18:19">
      <c r="R27732" s="178"/>
      <c r="S27732" s="178"/>
    </row>
    <row r="27733" spans="18:19">
      <c r="R27733" s="178"/>
      <c r="S27733" s="178"/>
    </row>
    <row r="27734" spans="18:19">
      <c r="R27734" s="178"/>
      <c r="S27734" s="178"/>
    </row>
    <row r="27735" spans="18:19">
      <c r="R27735" s="178"/>
      <c r="S27735" s="178"/>
    </row>
    <row r="27736" spans="18:19">
      <c r="R27736" s="178"/>
      <c r="S27736" s="178"/>
    </row>
    <row r="27737" spans="18:19">
      <c r="R27737" s="178"/>
      <c r="S27737" s="178"/>
    </row>
    <row r="27738" spans="18:19">
      <c r="R27738" s="178"/>
      <c r="S27738" s="178"/>
    </row>
    <row r="27739" spans="18:19">
      <c r="R27739" s="178"/>
      <c r="S27739" s="178"/>
    </row>
    <row r="27740" spans="18:19">
      <c r="R27740" s="178"/>
      <c r="S27740" s="178"/>
    </row>
    <row r="27741" spans="18:19">
      <c r="R27741" s="178"/>
      <c r="S27741" s="178"/>
    </row>
    <row r="27742" spans="18:19">
      <c r="R27742" s="178"/>
      <c r="S27742" s="178"/>
    </row>
    <row r="27743" spans="18:19">
      <c r="R27743" s="178"/>
      <c r="S27743" s="178"/>
    </row>
    <row r="27744" spans="18:19">
      <c r="R27744" s="178"/>
      <c r="S27744" s="178"/>
    </row>
    <row r="27745" spans="18:19">
      <c r="R27745" s="178"/>
      <c r="S27745" s="178"/>
    </row>
    <row r="27746" spans="18:19">
      <c r="R27746" s="178"/>
      <c r="S27746" s="178"/>
    </row>
    <row r="27747" spans="18:19">
      <c r="R27747" s="178"/>
      <c r="S27747" s="178"/>
    </row>
    <row r="27748" spans="18:19">
      <c r="R27748" s="178"/>
      <c r="S27748" s="178"/>
    </row>
    <row r="27749" spans="18:19">
      <c r="R27749" s="178"/>
      <c r="S27749" s="178"/>
    </row>
    <row r="27750" spans="18:19">
      <c r="R27750" s="178"/>
      <c r="S27750" s="178"/>
    </row>
    <row r="27751" spans="18:19">
      <c r="R27751" s="178"/>
      <c r="S27751" s="178"/>
    </row>
    <row r="27752" spans="18:19">
      <c r="R27752" s="178"/>
      <c r="S27752" s="178"/>
    </row>
    <row r="27753" spans="18:19">
      <c r="R27753" s="178"/>
      <c r="S27753" s="178"/>
    </row>
    <row r="27754" spans="18:19">
      <c r="R27754" s="178"/>
      <c r="S27754" s="178"/>
    </row>
    <row r="27755" spans="18:19">
      <c r="R27755" s="178"/>
      <c r="S27755" s="178"/>
    </row>
    <row r="27756" spans="18:19">
      <c r="R27756" s="178"/>
      <c r="S27756" s="178"/>
    </row>
    <row r="27757" spans="18:19">
      <c r="R27757" s="178"/>
      <c r="S27757" s="178"/>
    </row>
    <row r="27758" spans="18:19">
      <c r="R27758" s="178"/>
      <c r="S27758" s="178"/>
    </row>
    <row r="27759" spans="18:19">
      <c r="R27759" s="178"/>
      <c r="S27759" s="178"/>
    </row>
    <row r="27760" spans="18:19">
      <c r="R27760" s="178"/>
      <c r="S27760" s="178"/>
    </row>
    <row r="27761" spans="18:19">
      <c r="R27761" s="178"/>
      <c r="S27761" s="178"/>
    </row>
    <row r="27762" spans="18:19">
      <c r="R27762" s="178"/>
      <c r="S27762" s="178"/>
    </row>
    <row r="27763" spans="18:19">
      <c r="R27763" s="178"/>
      <c r="S27763" s="178"/>
    </row>
    <row r="27764" spans="18:19">
      <c r="R27764" s="178"/>
      <c r="S27764" s="178"/>
    </row>
    <row r="27765" spans="18:19">
      <c r="R27765" s="178"/>
      <c r="S27765" s="178"/>
    </row>
    <row r="27766" spans="18:19">
      <c r="R27766" s="178"/>
      <c r="S27766" s="178"/>
    </row>
    <row r="27767" spans="18:19">
      <c r="R27767" s="178"/>
      <c r="S27767" s="178"/>
    </row>
    <row r="27768" spans="18:19">
      <c r="R27768" s="178"/>
      <c r="S27768" s="178"/>
    </row>
    <row r="27769" spans="18:19">
      <c r="R27769" s="178"/>
      <c r="S27769" s="178"/>
    </row>
    <row r="27770" spans="18:19">
      <c r="R27770" s="178"/>
      <c r="S27770" s="178"/>
    </row>
    <row r="27771" spans="18:19">
      <c r="R27771" s="178"/>
      <c r="S27771" s="178"/>
    </row>
    <row r="27772" spans="18:19">
      <c r="R27772" s="178"/>
      <c r="S27772" s="178"/>
    </row>
    <row r="27773" spans="18:19">
      <c r="R27773" s="178"/>
      <c r="S27773" s="178"/>
    </row>
    <row r="27774" spans="18:19">
      <c r="R27774" s="178"/>
      <c r="S27774" s="178"/>
    </row>
    <row r="27775" spans="18:19">
      <c r="R27775" s="178"/>
      <c r="S27775" s="178"/>
    </row>
    <row r="27776" spans="18:19">
      <c r="R27776" s="178"/>
      <c r="S27776" s="178"/>
    </row>
    <row r="27777" spans="18:19">
      <c r="R27777" s="178"/>
      <c r="S27777" s="178"/>
    </row>
    <row r="27778" spans="18:19">
      <c r="R27778" s="178"/>
      <c r="S27778" s="178"/>
    </row>
    <row r="27779" spans="18:19">
      <c r="R27779" s="178"/>
      <c r="S27779" s="178"/>
    </row>
    <row r="27780" spans="18:19">
      <c r="R27780" s="178"/>
      <c r="S27780" s="178"/>
    </row>
    <row r="27781" spans="18:19">
      <c r="R27781" s="178"/>
      <c r="S27781" s="178"/>
    </row>
    <row r="27782" spans="18:19">
      <c r="R27782" s="178"/>
      <c r="S27782" s="178"/>
    </row>
    <row r="27783" spans="18:19">
      <c r="R27783" s="178"/>
      <c r="S27783" s="178"/>
    </row>
    <row r="27784" spans="18:19">
      <c r="R27784" s="178"/>
      <c r="S27784" s="178"/>
    </row>
    <row r="27785" spans="18:19">
      <c r="R27785" s="178"/>
      <c r="S27785" s="178"/>
    </row>
    <row r="27786" spans="18:19">
      <c r="R27786" s="178"/>
      <c r="S27786" s="178"/>
    </row>
    <row r="27787" spans="18:19">
      <c r="R27787" s="178"/>
      <c r="S27787" s="178"/>
    </row>
    <row r="27788" spans="18:19">
      <c r="R27788" s="178"/>
      <c r="S27788" s="178"/>
    </row>
    <row r="27789" spans="18:19">
      <c r="R27789" s="178"/>
      <c r="S27789" s="178"/>
    </row>
    <row r="27790" spans="18:19">
      <c r="R27790" s="178"/>
      <c r="S27790" s="178"/>
    </row>
    <row r="27791" spans="18:19">
      <c r="R27791" s="178"/>
      <c r="S27791" s="178"/>
    </row>
    <row r="27792" spans="18:19">
      <c r="R27792" s="178"/>
      <c r="S27792" s="178"/>
    </row>
    <row r="27793" spans="18:19">
      <c r="R27793" s="178"/>
      <c r="S27793" s="178"/>
    </row>
    <row r="27794" spans="18:19">
      <c r="R27794" s="178"/>
      <c r="S27794" s="178"/>
    </row>
    <row r="27795" spans="18:19">
      <c r="R27795" s="178"/>
      <c r="S27795" s="178"/>
    </row>
    <row r="27796" spans="18:19">
      <c r="R27796" s="178"/>
      <c r="S27796" s="178"/>
    </row>
    <row r="27797" spans="18:19">
      <c r="R27797" s="178"/>
      <c r="S27797" s="178"/>
    </row>
    <row r="27798" spans="18:19">
      <c r="R27798" s="178"/>
      <c r="S27798" s="178"/>
    </row>
    <row r="27799" spans="18:19">
      <c r="R27799" s="178"/>
      <c r="S27799" s="178"/>
    </row>
    <row r="27800" spans="18:19">
      <c r="R27800" s="178"/>
      <c r="S27800" s="178"/>
    </row>
    <row r="27801" spans="18:19">
      <c r="R27801" s="178"/>
      <c r="S27801" s="178"/>
    </row>
    <row r="27802" spans="18:19">
      <c r="R27802" s="178"/>
      <c r="S27802" s="178"/>
    </row>
    <row r="27803" spans="18:19">
      <c r="R27803" s="178"/>
      <c r="S27803" s="178"/>
    </row>
    <row r="27804" spans="18:19">
      <c r="R27804" s="178"/>
      <c r="S27804" s="178"/>
    </row>
    <row r="27805" spans="18:19">
      <c r="R27805" s="178"/>
      <c r="S27805" s="178"/>
    </row>
    <row r="27806" spans="18:19">
      <c r="R27806" s="178"/>
      <c r="S27806" s="178"/>
    </row>
    <row r="27807" spans="18:19">
      <c r="R27807" s="178"/>
      <c r="S27807" s="178"/>
    </row>
    <row r="27808" spans="18:19">
      <c r="R27808" s="178"/>
      <c r="S27808" s="178"/>
    </row>
    <row r="27809" spans="18:19">
      <c r="R27809" s="178"/>
      <c r="S27809" s="178"/>
    </row>
    <row r="27810" spans="18:19">
      <c r="R27810" s="178"/>
      <c r="S27810" s="178"/>
    </row>
    <row r="27811" spans="18:19">
      <c r="R27811" s="178"/>
      <c r="S27811" s="178"/>
    </row>
    <row r="27812" spans="18:19">
      <c r="R27812" s="178"/>
      <c r="S27812" s="178"/>
    </row>
    <row r="27813" spans="18:19">
      <c r="R27813" s="178"/>
      <c r="S27813" s="178"/>
    </row>
    <row r="27814" spans="18:19">
      <c r="R27814" s="178"/>
      <c r="S27814" s="178"/>
    </row>
    <row r="27815" spans="18:19">
      <c r="R27815" s="178"/>
      <c r="S27815" s="178"/>
    </row>
    <row r="27816" spans="18:19">
      <c r="R27816" s="178"/>
      <c r="S27816" s="178"/>
    </row>
    <row r="27817" spans="18:19">
      <c r="R27817" s="178"/>
      <c r="S27817" s="178"/>
    </row>
    <row r="27818" spans="18:19">
      <c r="R27818" s="178"/>
      <c r="S27818" s="178"/>
    </row>
    <row r="27819" spans="18:19">
      <c r="R27819" s="178"/>
      <c r="S27819" s="178"/>
    </row>
    <row r="27820" spans="18:19">
      <c r="R27820" s="178"/>
      <c r="S27820" s="178"/>
    </row>
    <row r="27821" spans="18:19">
      <c r="R27821" s="178"/>
      <c r="S27821" s="178"/>
    </row>
    <row r="27822" spans="18:19">
      <c r="R27822" s="178"/>
      <c r="S27822" s="178"/>
    </row>
    <row r="27823" spans="18:19">
      <c r="R27823" s="178"/>
      <c r="S27823" s="178"/>
    </row>
    <row r="27824" spans="18:19">
      <c r="R27824" s="178"/>
      <c r="S27824" s="178"/>
    </row>
    <row r="27825" spans="18:19">
      <c r="R27825" s="178"/>
      <c r="S27825" s="178"/>
    </row>
    <row r="27826" spans="18:19">
      <c r="R27826" s="178"/>
      <c r="S27826" s="178"/>
    </row>
    <row r="27827" spans="18:19">
      <c r="R27827" s="178"/>
      <c r="S27827" s="178"/>
    </row>
    <row r="27828" spans="18:19">
      <c r="R27828" s="178"/>
      <c r="S27828" s="178"/>
    </row>
    <row r="27829" spans="18:19">
      <c r="R27829" s="178"/>
      <c r="S27829" s="178"/>
    </row>
    <row r="27830" spans="18:19">
      <c r="R27830" s="178"/>
      <c r="S27830" s="178"/>
    </row>
    <row r="27831" spans="18:19">
      <c r="R27831" s="178"/>
      <c r="S27831" s="178"/>
    </row>
    <row r="27832" spans="18:19">
      <c r="R27832" s="178"/>
      <c r="S27832" s="178"/>
    </row>
    <row r="27833" spans="18:19">
      <c r="R27833" s="178"/>
      <c r="S27833" s="178"/>
    </row>
    <row r="27834" spans="18:19">
      <c r="R27834" s="178"/>
      <c r="S27834" s="178"/>
    </row>
    <row r="27835" spans="18:19">
      <c r="R27835" s="178"/>
      <c r="S27835" s="178"/>
    </row>
    <row r="27836" spans="18:19">
      <c r="R27836" s="178"/>
      <c r="S27836" s="178"/>
    </row>
    <row r="27837" spans="18:19">
      <c r="R27837" s="178"/>
      <c r="S27837" s="178"/>
    </row>
    <row r="27838" spans="18:19">
      <c r="R27838" s="178"/>
      <c r="S27838" s="178"/>
    </row>
    <row r="27839" spans="18:19">
      <c r="R27839" s="178"/>
      <c r="S27839" s="178"/>
    </row>
    <row r="27840" spans="18:19">
      <c r="R27840" s="178"/>
      <c r="S27840" s="178"/>
    </row>
    <row r="27841" spans="18:19">
      <c r="R27841" s="178"/>
      <c r="S27841" s="178"/>
    </row>
    <row r="27842" spans="18:19">
      <c r="R27842" s="178"/>
      <c r="S27842" s="178"/>
    </row>
    <row r="27843" spans="18:19">
      <c r="R27843" s="178"/>
      <c r="S27843" s="178"/>
    </row>
    <row r="27844" spans="18:19">
      <c r="R27844" s="178"/>
      <c r="S27844" s="178"/>
    </row>
    <row r="27845" spans="18:19">
      <c r="R27845" s="178"/>
      <c r="S27845" s="178"/>
    </row>
    <row r="27846" spans="18:19">
      <c r="R27846" s="178"/>
      <c r="S27846" s="178"/>
    </row>
    <row r="27847" spans="18:19">
      <c r="R27847" s="178"/>
      <c r="S27847" s="178"/>
    </row>
    <row r="27848" spans="18:19">
      <c r="R27848" s="178"/>
      <c r="S27848" s="178"/>
    </row>
    <row r="27849" spans="18:19">
      <c r="R27849" s="178"/>
      <c r="S27849" s="178"/>
    </row>
    <row r="27850" spans="18:19">
      <c r="R27850" s="178"/>
      <c r="S27850" s="178"/>
    </row>
    <row r="27851" spans="18:19">
      <c r="R27851" s="178"/>
      <c r="S27851" s="178"/>
    </row>
    <row r="27852" spans="18:19">
      <c r="R27852" s="178"/>
      <c r="S27852" s="178"/>
    </row>
    <row r="27853" spans="18:19">
      <c r="R27853" s="178"/>
      <c r="S27853" s="178"/>
    </row>
    <row r="27854" spans="18:19">
      <c r="R27854" s="178"/>
      <c r="S27854" s="178"/>
    </row>
    <row r="27855" spans="18:19">
      <c r="R27855" s="178"/>
      <c r="S27855" s="178"/>
    </row>
    <row r="27856" spans="18:19">
      <c r="R27856" s="178"/>
      <c r="S27856" s="178"/>
    </row>
    <row r="27857" spans="18:19">
      <c r="R27857" s="178"/>
      <c r="S27857" s="178"/>
    </row>
    <row r="27858" spans="18:19">
      <c r="R27858" s="178"/>
      <c r="S27858" s="178"/>
    </row>
    <row r="27859" spans="18:19">
      <c r="R27859" s="178"/>
      <c r="S27859" s="178"/>
    </row>
    <row r="27860" spans="18:19">
      <c r="R27860" s="178"/>
      <c r="S27860" s="178"/>
    </row>
    <row r="27861" spans="18:19">
      <c r="R27861" s="178"/>
      <c r="S27861" s="178"/>
    </row>
    <row r="27862" spans="18:19">
      <c r="R27862" s="178"/>
      <c r="S27862" s="178"/>
    </row>
    <row r="27863" spans="18:19">
      <c r="R27863" s="178"/>
      <c r="S27863" s="178"/>
    </row>
    <row r="27864" spans="18:19">
      <c r="R27864" s="178"/>
      <c r="S27864" s="178"/>
    </row>
    <row r="27865" spans="18:19">
      <c r="R27865" s="178"/>
      <c r="S27865" s="178"/>
    </row>
    <row r="27866" spans="18:19">
      <c r="R27866" s="178"/>
      <c r="S27866" s="178"/>
    </row>
    <row r="27867" spans="18:19">
      <c r="R27867" s="178"/>
      <c r="S27867" s="178"/>
    </row>
    <row r="27868" spans="18:19">
      <c r="R27868" s="178"/>
      <c r="S27868" s="178"/>
    </row>
    <row r="27869" spans="18:19">
      <c r="R27869" s="178"/>
      <c r="S27869" s="178"/>
    </row>
    <row r="27870" spans="18:19">
      <c r="R27870" s="178"/>
      <c r="S27870" s="178"/>
    </row>
    <row r="27871" spans="18:19">
      <c r="R27871" s="178"/>
      <c r="S27871" s="178"/>
    </row>
    <row r="27872" spans="18:19">
      <c r="R27872" s="178"/>
      <c r="S27872" s="178"/>
    </row>
    <row r="27873" spans="18:19">
      <c r="R27873" s="178"/>
      <c r="S27873" s="178"/>
    </row>
    <row r="27874" spans="18:19">
      <c r="R27874" s="178"/>
      <c r="S27874" s="178"/>
    </row>
    <row r="27875" spans="18:19">
      <c r="R27875" s="178"/>
      <c r="S27875" s="178"/>
    </row>
    <row r="27876" spans="18:19">
      <c r="R27876" s="178"/>
      <c r="S27876" s="178"/>
    </row>
    <row r="27877" spans="18:19">
      <c r="R27877" s="178"/>
      <c r="S27877" s="178"/>
    </row>
    <row r="27878" spans="18:19">
      <c r="R27878" s="178"/>
      <c r="S27878" s="178"/>
    </row>
    <row r="27879" spans="18:19">
      <c r="R27879" s="178"/>
      <c r="S27879" s="178"/>
    </row>
    <row r="27880" spans="18:19">
      <c r="R27880" s="178"/>
      <c r="S27880" s="178"/>
    </row>
    <row r="27881" spans="18:19">
      <c r="R27881" s="178"/>
      <c r="S27881" s="178"/>
    </row>
    <row r="27882" spans="18:19">
      <c r="R27882" s="178"/>
      <c r="S27882" s="178"/>
    </row>
    <row r="27883" spans="18:19">
      <c r="R27883" s="178"/>
      <c r="S27883" s="178"/>
    </row>
    <row r="27884" spans="18:19">
      <c r="R27884" s="178"/>
      <c r="S27884" s="178"/>
    </row>
    <row r="27885" spans="18:19">
      <c r="R27885" s="178"/>
      <c r="S27885" s="178"/>
    </row>
    <row r="27886" spans="18:19">
      <c r="R27886" s="178"/>
      <c r="S27886" s="178"/>
    </row>
    <row r="27887" spans="18:19">
      <c r="R27887" s="178"/>
      <c r="S27887" s="178"/>
    </row>
    <row r="27888" spans="18:19">
      <c r="R27888" s="178"/>
      <c r="S27888" s="178"/>
    </row>
    <row r="27889" spans="18:19">
      <c r="R27889" s="178"/>
      <c r="S27889" s="178"/>
    </row>
    <row r="27890" spans="18:19">
      <c r="R27890" s="178"/>
      <c r="S27890" s="178"/>
    </row>
    <row r="27891" spans="18:19">
      <c r="R27891" s="178"/>
      <c r="S27891" s="178"/>
    </row>
    <row r="27892" spans="18:19">
      <c r="R27892" s="178"/>
      <c r="S27892" s="178"/>
    </row>
    <row r="27893" spans="18:19">
      <c r="R27893" s="178"/>
      <c r="S27893" s="178"/>
    </row>
    <row r="27894" spans="18:19">
      <c r="R27894" s="178"/>
      <c r="S27894" s="178"/>
    </row>
    <row r="27895" spans="18:19">
      <c r="R27895" s="178"/>
      <c r="S27895" s="178"/>
    </row>
    <row r="27896" spans="18:19">
      <c r="R27896" s="178"/>
      <c r="S27896" s="178"/>
    </row>
    <row r="27897" spans="18:19">
      <c r="R27897" s="178"/>
      <c r="S27897" s="178"/>
    </row>
    <row r="27898" spans="18:19">
      <c r="R27898" s="178"/>
      <c r="S27898" s="178"/>
    </row>
    <row r="27899" spans="18:19">
      <c r="R27899" s="178"/>
      <c r="S27899" s="178"/>
    </row>
    <row r="27900" spans="18:19">
      <c r="R27900" s="178"/>
      <c r="S27900" s="178"/>
    </row>
    <row r="27901" spans="18:19">
      <c r="R27901" s="178"/>
      <c r="S27901" s="178"/>
    </row>
    <row r="27902" spans="18:19">
      <c r="R27902" s="178"/>
      <c r="S27902" s="178"/>
    </row>
    <row r="27903" spans="18:19">
      <c r="R27903" s="178"/>
      <c r="S27903" s="178"/>
    </row>
    <row r="27904" spans="18:19">
      <c r="R27904" s="178"/>
      <c r="S27904" s="178"/>
    </row>
    <row r="27905" spans="18:19">
      <c r="R27905" s="178"/>
      <c r="S27905" s="178"/>
    </row>
    <row r="27906" spans="18:19">
      <c r="R27906" s="178"/>
      <c r="S27906" s="178"/>
    </row>
    <row r="27907" spans="18:19">
      <c r="R27907" s="178"/>
      <c r="S27907" s="178"/>
    </row>
    <row r="27908" spans="18:19">
      <c r="R27908" s="178"/>
      <c r="S27908" s="178"/>
    </row>
    <row r="27909" spans="18:19">
      <c r="R27909" s="178"/>
      <c r="S27909" s="178"/>
    </row>
    <row r="27910" spans="18:19">
      <c r="R27910" s="178"/>
      <c r="S27910" s="178"/>
    </row>
    <row r="27911" spans="18:19">
      <c r="R27911" s="178"/>
      <c r="S27911" s="178"/>
    </row>
    <row r="27912" spans="18:19">
      <c r="R27912" s="178"/>
      <c r="S27912" s="178"/>
    </row>
    <row r="27913" spans="18:19">
      <c r="R27913" s="178"/>
      <c r="S27913" s="178"/>
    </row>
    <row r="27914" spans="18:19">
      <c r="R27914" s="178"/>
      <c r="S27914" s="178"/>
    </row>
    <row r="27915" spans="18:19">
      <c r="R27915" s="178"/>
      <c r="S27915" s="178"/>
    </row>
    <row r="27916" spans="18:19">
      <c r="R27916" s="178"/>
      <c r="S27916" s="178"/>
    </row>
    <row r="27917" spans="18:19">
      <c r="R27917" s="178"/>
      <c r="S27917" s="178"/>
    </row>
    <row r="27918" spans="18:19">
      <c r="R27918" s="178"/>
      <c r="S27918" s="178"/>
    </row>
    <row r="27919" spans="18:19">
      <c r="R27919" s="178"/>
      <c r="S27919" s="178"/>
    </row>
    <row r="27920" spans="18:19">
      <c r="R27920" s="178"/>
      <c r="S27920" s="178"/>
    </row>
    <row r="27921" spans="18:19">
      <c r="R27921" s="178"/>
      <c r="S27921" s="178"/>
    </row>
    <row r="27922" spans="18:19">
      <c r="R27922" s="178"/>
      <c r="S27922" s="178"/>
    </row>
    <row r="27923" spans="18:19">
      <c r="R27923" s="178"/>
      <c r="S27923" s="178"/>
    </row>
    <row r="27924" spans="18:19">
      <c r="R27924" s="178"/>
      <c r="S27924" s="178"/>
    </row>
    <row r="27925" spans="18:19">
      <c r="R27925" s="178"/>
      <c r="S27925" s="178"/>
    </row>
    <row r="27926" spans="18:19">
      <c r="R27926" s="178"/>
      <c r="S27926" s="178"/>
    </row>
    <row r="27927" spans="18:19">
      <c r="R27927" s="178"/>
      <c r="S27927" s="178"/>
    </row>
    <row r="27928" spans="18:19">
      <c r="R27928" s="178"/>
      <c r="S27928" s="178"/>
    </row>
    <row r="27929" spans="18:19">
      <c r="R27929" s="178"/>
      <c r="S27929" s="178"/>
    </row>
    <row r="27930" spans="18:19">
      <c r="R27930" s="178"/>
      <c r="S27930" s="178"/>
    </row>
    <row r="27931" spans="18:19">
      <c r="R27931" s="178"/>
      <c r="S27931" s="178"/>
    </row>
    <row r="27932" spans="18:19">
      <c r="R27932" s="178"/>
      <c r="S27932" s="178"/>
    </row>
    <row r="27933" spans="18:19">
      <c r="R27933" s="178"/>
      <c r="S27933" s="178"/>
    </row>
    <row r="27934" spans="18:19">
      <c r="R27934" s="178"/>
      <c r="S27934" s="178"/>
    </row>
    <row r="27935" spans="18:19">
      <c r="R27935" s="178"/>
      <c r="S27935" s="178"/>
    </row>
    <row r="27936" spans="18:19">
      <c r="R27936" s="178"/>
      <c r="S27936" s="178"/>
    </row>
    <row r="27937" spans="18:19">
      <c r="R27937" s="178"/>
      <c r="S27937" s="178"/>
    </row>
    <row r="27938" spans="18:19">
      <c r="R27938" s="178"/>
      <c r="S27938" s="178"/>
    </row>
    <row r="27939" spans="18:19">
      <c r="R27939" s="178"/>
      <c r="S27939" s="178"/>
    </row>
    <row r="27940" spans="18:19">
      <c r="R27940" s="178"/>
      <c r="S27940" s="178"/>
    </row>
    <row r="27941" spans="18:19">
      <c r="R27941" s="178"/>
      <c r="S27941" s="178"/>
    </row>
    <row r="27942" spans="18:19">
      <c r="R27942" s="178"/>
      <c r="S27942" s="178"/>
    </row>
    <row r="27943" spans="18:19">
      <c r="R27943" s="178"/>
      <c r="S27943" s="178"/>
    </row>
    <row r="27944" spans="18:19">
      <c r="R27944" s="178"/>
      <c r="S27944" s="178"/>
    </row>
    <row r="27945" spans="18:19">
      <c r="R27945" s="178"/>
      <c r="S27945" s="178"/>
    </row>
    <row r="27946" spans="18:19">
      <c r="R27946" s="178"/>
      <c r="S27946" s="178"/>
    </row>
    <row r="27947" spans="18:19">
      <c r="R27947" s="178"/>
      <c r="S27947" s="178"/>
    </row>
    <row r="27948" spans="18:19">
      <c r="R27948" s="178"/>
      <c r="S27948" s="178"/>
    </row>
    <row r="27949" spans="18:19">
      <c r="R27949" s="178"/>
      <c r="S27949" s="178"/>
    </row>
    <row r="27950" spans="18:19">
      <c r="R27950" s="178"/>
      <c r="S27950" s="178"/>
    </row>
    <row r="27951" spans="18:19">
      <c r="R27951" s="178"/>
      <c r="S27951" s="178"/>
    </row>
    <row r="27952" spans="18:19">
      <c r="R27952" s="178"/>
      <c r="S27952" s="178"/>
    </row>
    <row r="27953" spans="18:19">
      <c r="R27953" s="178"/>
      <c r="S27953" s="178"/>
    </row>
    <row r="27954" spans="18:19">
      <c r="R27954" s="178"/>
      <c r="S27954" s="178"/>
    </row>
    <row r="27955" spans="18:19">
      <c r="R27955" s="178"/>
      <c r="S27955" s="178"/>
    </row>
    <row r="27956" spans="18:19">
      <c r="R27956" s="178"/>
      <c r="S27956" s="178"/>
    </row>
    <row r="27957" spans="18:19">
      <c r="R27957" s="178"/>
      <c r="S27957" s="178"/>
    </row>
    <row r="27958" spans="18:19">
      <c r="R27958" s="178"/>
      <c r="S27958" s="178"/>
    </row>
    <row r="27959" spans="18:19">
      <c r="R27959" s="178"/>
      <c r="S27959" s="178"/>
    </row>
    <row r="27960" spans="18:19">
      <c r="R27960" s="178"/>
      <c r="S27960" s="178"/>
    </row>
    <row r="27961" spans="18:19">
      <c r="R27961" s="178"/>
      <c r="S27961" s="178"/>
    </row>
    <row r="27962" spans="18:19">
      <c r="R27962" s="178"/>
      <c r="S27962" s="178"/>
    </row>
    <row r="27963" spans="18:19">
      <c r="R27963" s="178"/>
      <c r="S27963" s="178"/>
    </row>
    <row r="27964" spans="18:19">
      <c r="R27964" s="178"/>
      <c r="S27964" s="178"/>
    </row>
    <row r="27965" spans="18:19">
      <c r="R27965" s="178"/>
      <c r="S27965" s="178"/>
    </row>
    <row r="27966" spans="18:19">
      <c r="R27966" s="178"/>
      <c r="S27966" s="178"/>
    </row>
    <row r="27967" spans="18:19">
      <c r="R27967" s="178"/>
      <c r="S27967" s="178"/>
    </row>
    <row r="27968" spans="18:19">
      <c r="R27968" s="178"/>
      <c r="S27968" s="178"/>
    </row>
    <row r="27969" spans="18:19">
      <c r="R27969" s="178"/>
      <c r="S27969" s="178"/>
    </row>
    <row r="27970" spans="18:19">
      <c r="R27970" s="178"/>
      <c r="S27970" s="178"/>
    </row>
    <row r="27971" spans="18:19">
      <c r="R27971" s="178"/>
      <c r="S27971" s="178"/>
    </row>
    <row r="27972" spans="18:19">
      <c r="R27972" s="178"/>
      <c r="S27972" s="178"/>
    </row>
    <row r="27973" spans="18:19">
      <c r="R27973" s="178"/>
      <c r="S27973" s="178"/>
    </row>
    <row r="27974" spans="18:19">
      <c r="R27974" s="178"/>
      <c r="S27974" s="178"/>
    </row>
    <row r="27975" spans="18:19">
      <c r="R27975" s="178"/>
      <c r="S27975" s="178"/>
    </row>
    <row r="27976" spans="18:19">
      <c r="R27976" s="178"/>
      <c r="S27976" s="178"/>
    </row>
    <row r="27977" spans="18:19">
      <c r="R27977" s="178"/>
      <c r="S27977" s="178"/>
    </row>
    <row r="27978" spans="18:19">
      <c r="R27978" s="178"/>
      <c r="S27978" s="178"/>
    </row>
    <row r="27979" spans="18:19">
      <c r="R27979" s="178"/>
      <c r="S27979" s="178"/>
    </row>
    <row r="27980" spans="18:19">
      <c r="R27980" s="178"/>
      <c r="S27980" s="178"/>
    </row>
    <row r="27981" spans="18:19">
      <c r="R27981" s="178"/>
      <c r="S27981" s="178"/>
    </row>
    <row r="27982" spans="18:19">
      <c r="R27982" s="178"/>
      <c r="S27982" s="178"/>
    </row>
    <row r="27983" spans="18:19">
      <c r="R27983" s="178"/>
      <c r="S27983" s="178"/>
    </row>
    <row r="27984" spans="18:19">
      <c r="R27984" s="178"/>
      <c r="S27984" s="178"/>
    </row>
    <row r="27985" spans="18:19">
      <c r="R27985" s="178"/>
      <c r="S27985" s="178"/>
    </row>
    <row r="27986" spans="18:19">
      <c r="R27986" s="178"/>
      <c r="S27986" s="178"/>
    </row>
    <row r="27987" spans="18:19">
      <c r="R27987" s="178"/>
      <c r="S27987" s="178"/>
    </row>
    <row r="27988" spans="18:19">
      <c r="R27988" s="178"/>
      <c r="S27988" s="178"/>
    </row>
    <row r="27989" spans="18:19">
      <c r="R27989" s="178"/>
      <c r="S27989" s="178"/>
    </row>
    <row r="27990" spans="18:19">
      <c r="R27990" s="178"/>
      <c r="S27990" s="178"/>
    </row>
    <row r="27991" spans="18:19">
      <c r="R27991" s="178"/>
      <c r="S27991" s="178"/>
    </row>
    <row r="27992" spans="18:19">
      <c r="R27992" s="178"/>
      <c r="S27992" s="178"/>
    </row>
    <row r="27993" spans="18:19">
      <c r="R27993" s="178"/>
      <c r="S27993" s="178"/>
    </row>
    <row r="27994" spans="18:19">
      <c r="R27994" s="178"/>
      <c r="S27994" s="178"/>
    </row>
    <row r="27995" spans="18:19">
      <c r="R27995" s="178"/>
      <c r="S27995" s="178"/>
    </row>
    <row r="27996" spans="18:19">
      <c r="R27996" s="178"/>
      <c r="S27996" s="178"/>
    </row>
    <row r="27997" spans="18:19">
      <c r="R27997" s="178"/>
      <c r="S27997" s="178"/>
    </row>
    <row r="27998" spans="18:19">
      <c r="R27998" s="178"/>
      <c r="S27998" s="178"/>
    </row>
    <row r="27999" spans="18:19">
      <c r="R27999" s="178"/>
      <c r="S27999" s="178"/>
    </row>
    <row r="28000" spans="18:19">
      <c r="R28000" s="178"/>
      <c r="S28000" s="178"/>
    </row>
    <row r="28001" spans="18:19">
      <c r="R28001" s="178"/>
      <c r="S28001" s="178"/>
    </row>
    <row r="28002" spans="18:19">
      <c r="R28002" s="178"/>
      <c r="S28002" s="178"/>
    </row>
    <row r="28003" spans="18:19">
      <c r="R28003" s="178"/>
      <c r="S28003" s="178"/>
    </row>
    <row r="28004" spans="18:19">
      <c r="R28004" s="178"/>
      <c r="S28004" s="178"/>
    </row>
    <row r="28005" spans="18:19">
      <c r="R28005" s="178"/>
      <c r="S28005" s="178"/>
    </row>
    <row r="28006" spans="18:19">
      <c r="R28006" s="178"/>
      <c r="S28006" s="178"/>
    </row>
    <row r="28007" spans="18:19">
      <c r="R28007" s="178"/>
      <c r="S28007" s="178"/>
    </row>
    <row r="28008" spans="18:19">
      <c r="R28008" s="178"/>
      <c r="S28008" s="178"/>
    </row>
    <row r="28009" spans="18:19">
      <c r="R28009" s="178"/>
      <c r="S28009" s="178"/>
    </row>
    <row r="28010" spans="18:19">
      <c r="R28010" s="178"/>
      <c r="S28010" s="178"/>
    </row>
    <row r="28011" spans="18:19">
      <c r="R28011" s="178"/>
      <c r="S28011" s="178"/>
    </row>
    <row r="28012" spans="18:19">
      <c r="R28012" s="178"/>
      <c r="S28012" s="178"/>
    </row>
    <row r="28013" spans="18:19">
      <c r="R28013" s="178"/>
      <c r="S28013" s="178"/>
    </row>
    <row r="28014" spans="18:19">
      <c r="R28014" s="178"/>
      <c r="S28014" s="178"/>
    </row>
    <row r="28015" spans="18:19">
      <c r="R28015" s="178"/>
      <c r="S28015" s="178"/>
    </row>
    <row r="28016" spans="18:19">
      <c r="R28016" s="178"/>
      <c r="S28016" s="178"/>
    </row>
    <row r="28017" spans="18:19">
      <c r="R28017" s="178"/>
      <c r="S28017" s="178"/>
    </row>
    <row r="28018" spans="18:19">
      <c r="R28018" s="178"/>
      <c r="S28018" s="178"/>
    </row>
    <row r="28019" spans="18:19">
      <c r="R28019" s="178"/>
      <c r="S28019" s="178"/>
    </row>
    <row r="28020" spans="18:19">
      <c r="R28020" s="178"/>
      <c r="S28020" s="178"/>
    </row>
    <row r="28021" spans="18:19">
      <c r="R28021" s="178"/>
      <c r="S28021" s="178"/>
    </row>
    <row r="28022" spans="18:19">
      <c r="R28022" s="178"/>
      <c r="S28022" s="178"/>
    </row>
    <row r="28023" spans="18:19">
      <c r="R28023" s="178"/>
      <c r="S28023" s="178"/>
    </row>
    <row r="28024" spans="18:19">
      <c r="R28024" s="178"/>
      <c r="S28024" s="178"/>
    </row>
    <row r="28025" spans="18:19">
      <c r="R28025" s="178"/>
      <c r="S28025" s="178"/>
    </row>
    <row r="28026" spans="18:19">
      <c r="R28026" s="178"/>
      <c r="S28026" s="178"/>
    </row>
    <row r="28027" spans="18:19">
      <c r="R28027" s="178"/>
      <c r="S28027" s="178"/>
    </row>
    <row r="28028" spans="18:19">
      <c r="R28028" s="178"/>
      <c r="S28028" s="178"/>
    </row>
    <row r="28029" spans="18:19">
      <c r="R28029" s="178"/>
      <c r="S28029" s="178"/>
    </row>
    <row r="28030" spans="18:19">
      <c r="R28030" s="178"/>
      <c r="S28030" s="178"/>
    </row>
    <row r="28031" spans="18:19">
      <c r="R28031" s="178"/>
      <c r="S28031" s="178"/>
    </row>
    <row r="28032" spans="18:19">
      <c r="R28032" s="178"/>
      <c r="S28032" s="178"/>
    </row>
    <row r="28033" spans="18:19">
      <c r="R28033" s="178"/>
      <c r="S28033" s="178"/>
    </row>
    <row r="28034" spans="18:19">
      <c r="R28034" s="178"/>
      <c r="S28034" s="178"/>
    </row>
    <row r="28035" spans="18:19">
      <c r="R28035" s="178"/>
      <c r="S28035" s="178"/>
    </row>
    <row r="28036" spans="18:19">
      <c r="R28036" s="178"/>
      <c r="S28036" s="178"/>
    </row>
    <row r="28037" spans="18:19">
      <c r="R28037" s="178"/>
      <c r="S28037" s="178"/>
    </row>
    <row r="28038" spans="18:19">
      <c r="R28038" s="178"/>
      <c r="S28038" s="178"/>
    </row>
    <row r="28039" spans="18:19">
      <c r="R28039" s="178"/>
      <c r="S28039" s="178"/>
    </row>
    <row r="28040" spans="18:19">
      <c r="R28040" s="178"/>
      <c r="S28040" s="178"/>
    </row>
    <row r="28041" spans="18:19">
      <c r="R28041" s="178"/>
      <c r="S28041" s="178"/>
    </row>
    <row r="28042" spans="18:19">
      <c r="R28042" s="178"/>
      <c r="S28042" s="178"/>
    </row>
    <row r="28043" spans="18:19">
      <c r="R28043" s="178"/>
      <c r="S28043" s="178"/>
    </row>
    <row r="28044" spans="18:19">
      <c r="R28044" s="178"/>
      <c r="S28044" s="178"/>
    </row>
    <row r="28045" spans="18:19">
      <c r="R28045" s="178"/>
      <c r="S28045" s="178"/>
    </row>
    <row r="28046" spans="18:19">
      <c r="R28046" s="178"/>
      <c r="S28046" s="178"/>
    </row>
    <row r="28047" spans="18:19">
      <c r="R28047" s="178"/>
      <c r="S28047" s="178"/>
    </row>
    <row r="28048" spans="18:19">
      <c r="R28048" s="178"/>
      <c r="S28048" s="178"/>
    </row>
    <row r="28049" spans="18:19">
      <c r="R28049" s="178"/>
      <c r="S28049" s="178"/>
    </row>
    <row r="28050" spans="18:19">
      <c r="R28050" s="178"/>
      <c r="S28050" s="178"/>
    </row>
    <row r="28051" spans="18:19">
      <c r="R28051" s="178"/>
      <c r="S28051" s="178"/>
    </row>
    <row r="28052" spans="18:19">
      <c r="R28052" s="178"/>
      <c r="S28052" s="178"/>
    </row>
    <row r="28053" spans="18:19">
      <c r="R28053" s="178"/>
      <c r="S28053" s="178"/>
    </row>
    <row r="28054" spans="18:19">
      <c r="R28054" s="178"/>
      <c r="S28054" s="178"/>
    </row>
    <row r="28055" spans="18:19">
      <c r="R28055" s="178"/>
      <c r="S28055" s="178"/>
    </row>
    <row r="28056" spans="18:19">
      <c r="R28056" s="178"/>
      <c r="S28056" s="178"/>
    </row>
    <row r="28057" spans="18:19">
      <c r="R28057" s="178"/>
      <c r="S28057" s="178"/>
    </row>
    <row r="28058" spans="18:19">
      <c r="R28058" s="178"/>
      <c r="S28058" s="178"/>
    </row>
    <row r="28059" spans="18:19">
      <c r="R28059" s="178"/>
      <c r="S28059" s="178"/>
    </row>
    <row r="28060" spans="18:19">
      <c r="R28060" s="178"/>
      <c r="S28060" s="178"/>
    </row>
    <row r="28061" spans="18:19">
      <c r="R28061" s="178"/>
      <c r="S28061" s="178"/>
    </row>
    <row r="28062" spans="18:19">
      <c r="R28062" s="178"/>
      <c r="S28062" s="178"/>
    </row>
    <row r="28063" spans="18:19">
      <c r="R28063" s="178"/>
      <c r="S28063" s="178"/>
    </row>
    <row r="28064" spans="18:19">
      <c r="R28064" s="178"/>
      <c r="S28064" s="178"/>
    </row>
    <row r="28065" spans="18:19">
      <c r="R28065" s="178"/>
      <c r="S28065" s="178"/>
    </row>
    <row r="28066" spans="18:19">
      <c r="R28066" s="178"/>
      <c r="S28066" s="178"/>
    </row>
    <row r="28067" spans="18:19">
      <c r="R28067" s="178"/>
      <c r="S28067" s="178"/>
    </row>
    <row r="28068" spans="18:19">
      <c r="R28068" s="178"/>
      <c r="S28068" s="178"/>
    </row>
    <row r="28069" spans="18:19">
      <c r="R28069" s="178"/>
      <c r="S28069" s="178"/>
    </row>
    <row r="28070" spans="18:19">
      <c r="R28070" s="178"/>
      <c r="S28070" s="178"/>
    </row>
    <row r="28071" spans="18:19">
      <c r="R28071" s="178"/>
      <c r="S28071" s="178"/>
    </row>
    <row r="28072" spans="18:19">
      <c r="R28072" s="178"/>
      <c r="S28072" s="178"/>
    </row>
    <row r="28073" spans="18:19">
      <c r="R28073" s="178"/>
      <c r="S28073" s="178"/>
    </row>
    <row r="28074" spans="18:19">
      <c r="R28074" s="178"/>
      <c r="S28074" s="178"/>
    </row>
    <row r="28075" spans="18:19">
      <c r="R28075" s="178"/>
      <c r="S28075" s="178"/>
    </row>
    <row r="28076" spans="18:19">
      <c r="R28076" s="178"/>
      <c r="S28076" s="178"/>
    </row>
    <row r="28077" spans="18:19">
      <c r="R28077" s="178"/>
      <c r="S28077" s="178"/>
    </row>
    <row r="28078" spans="18:19">
      <c r="R28078" s="178"/>
      <c r="S28078" s="178"/>
    </row>
    <row r="28079" spans="18:19">
      <c r="R28079" s="178"/>
      <c r="S28079" s="178"/>
    </row>
    <row r="28080" spans="18:19">
      <c r="R28080" s="178"/>
      <c r="S28080" s="178"/>
    </row>
    <row r="28081" spans="18:19">
      <c r="R28081" s="178"/>
      <c r="S28081" s="178"/>
    </row>
    <row r="28082" spans="18:19">
      <c r="R28082" s="178"/>
      <c r="S28082" s="178"/>
    </row>
    <row r="28083" spans="18:19">
      <c r="R28083" s="178"/>
      <c r="S28083" s="178"/>
    </row>
    <row r="28084" spans="18:19">
      <c r="R28084" s="178"/>
      <c r="S28084" s="178"/>
    </row>
    <row r="28085" spans="18:19">
      <c r="R28085" s="178"/>
      <c r="S28085" s="178"/>
    </row>
    <row r="28086" spans="18:19">
      <c r="R28086" s="178"/>
      <c r="S28086" s="178"/>
    </row>
    <row r="28087" spans="18:19">
      <c r="R28087" s="178"/>
      <c r="S28087" s="178"/>
    </row>
    <row r="28088" spans="18:19">
      <c r="R28088" s="178"/>
      <c r="S28088" s="178"/>
    </row>
    <row r="28089" spans="18:19">
      <c r="R28089" s="178"/>
      <c r="S28089" s="178"/>
    </row>
    <row r="28090" spans="18:19">
      <c r="R28090" s="178"/>
      <c r="S28090" s="178"/>
    </row>
    <row r="28091" spans="18:19">
      <c r="R28091" s="178"/>
      <c r="S28091" s="178"/>
    </row>
    <row r="28092" spans="18:19">
      <c r="R28092" s="178"/>
      <c r="S28092" s="178"/>
    </row>
    <row r="28093" spans="18:19">
      <c r="R28093" s="178"/>
      <c r="S28093" s="178"/>
    </row>
    <row r="28094" spans="18:19">
      <c r="R28094" s="178"/>
      <c r="S28094" s="178"/>
    </row>
    <row r="28095" spans="18:19">
      <c r="R28095" s="178"/>
      <c r="S28095" s="178"/>
    </row>
    <row r="28096" spans="18:19">
      <c r="R28096" s="178"/>
      <c r="S28096" s="178"/>
    </row>
    <row r="28097" spans="18:19">
      <c r="R28097" s="178"/>
      <c r="S28097" s="178"/>
    </row>
    <row r="28098" spans="18:19">
      <c r="R28098" s="178"/>
      <c r="S28098" s="178"/>
    </row>
    <row r="28099" spans="18:19">
      <c r="R28099" s="178"/>
      <c r="S28099" s="178"/>
    </row>
    <row r="28100" spans="18:19">
      <c r="R28100" s="178"/>
      <c r="S28100" s="178"/>
    </row>
    <row r="28101" spans="18:19">
      <c r="R28101" s="178"/>
      <c r="S28101" s="178"/>
    </row>
    <row r="28102" spans="18:19">
      <c r="R28102" s="178"/>
      <c r="S28102" s="178"/>
    </row>
    <row r="28103" spans="18:19">
      <c r="R28103" s="178"/>
      <c r="S28103" s="178"/>
    </row>
    <row r="28104" spans="18:19">
      <c r="R28104" s="178"/>
      <c r="S28104" s="178"/>
    </row>
    <row r="28105" spans="18:19">
      <c r="R28105" s="178"/>
      <c r="S28105" s="178"/>
    </row>
    <row r="28106" spans="18:19">
      <c r="R28106" s="178"/>
      <c r="S28106" s="178"/>
    </row>
    <row r="28107" spans="18:19">
      <c r="R28107" s="178"/>
      <c r="S28107" s="178"/>
    </row>
    <row r="28108" spans="18:19">
      <c r="R28108" s="178"/>
      <c r="S28108" s="178"/>
    </row>
    <row r="28109" spans="18:19">
      <c r="R28109" s="178"/>
      <c r="S28109" s="178"/>
    </row>
    <row r="28110" spans="18:19">
      <c r="R28110" s="178"/>
      <c r="S28110" s="178"/>
    </row>
    <row r="28111" spans="18:19">
      <c r="R28111" s="178"/>
      <c r="S28111" s="178"/>
    </row>
    <row r="28112" spans="18:19">
      <c r="R28112" s="178"/>
      <c r="S28112" s="178"/>
    </row>
    <row r="28113" spans="18:19">
      <c r="R28113" s="178"/>
      <c r="S28113" s="178"/>
    </row>
    <row r="28114" spans="18:19">
      <c r="R28114" s="178"/>
      <c r="S28114" s="178"/>
    </row>
    <row r="28115" spans="18:19">
      <c r="R28115" s="178"/>
      <c r="S28115" s="178"/>
    </row>
    <row r="28116" spans="18:19">
      <c r="R28116" s="178"/>
      <c r="S28116" s="178"/>
    </row>
    <row r="28117" spans="18:19">
      <c r="R28117" s="178"/>
      <c r="S28117" s="178"/>
    </row>
    <row r="28118" spans="18:19">
      <c r="R28118" s="178"/>
      <c r="S28118" s="178"/>
    </row>
    <row r="28119" spans="18:19">
      <c r="R28119" s="178"/>
      <c r="S28119" s="178"/>
    </row>
    <row r="28120" spans="18:19">
      <c r="R28120" s="178"/>
      <c r="S28120" s="178"/>
    </row>
    <row r="28121" spans="18:19">
      <c r="R28121" s="178"/>
      <c r="S28121" s="178"/>
    </row>
    <row r="28122" spans="18:19">
      <c r="R28122" s="178"/>
      <c r="S28122" s="178"/>
    </row>
    <row r="28123" spans="18:19">
      <c r="R28123" s="178"/>
      <c r="S28123" s="178"/>
    </row>
    <row r="28124" spans="18:19">
      <c r="R28124" s="178"/>
      <c r="S28124" s="178"/>
    </row>
    <row r="28125" spans="18:19">
      <c r="R28125" s="178"/>
      <c r="S28125" s="178"/>
    </row>
    <row r="28126" spans="18:19">
      <c r="R28126" s="178"/>
      <c r="S28126" s="178"/>
    </row>
    <row r="28127" spans="18:19">
      <c r="R28127" s="178"/>
      <c r="S28127" s="178"/>
    </row>
    <row r="28128" spans="18:19">
      <c r="R28128" s="178"/>
      <c r="S28128" s="178"/>
    </row>
    <row r="28129" spans="18:19">
      <c r="R28129" s="178"/>
      <c r="S28129" s="178"/>
    </row>
    <row r="28130" spans="18:19">
      <c r="R28130" s="178"/>
      <c r="S28130" s="178"/>
    </row>
    <row r="28131" spans="18:19">
      <c r="R28131" s="178"/>
      <c r="S28131" s="178"/>
    </row>
    <row r="28132" spans="18:19">
      <c r="R28132" s="178"/>
      <c r="S28132" s="178"/>
    </row>
    <row r="28133" spans="18:19">
      <c r="R28133" s="178"/>
      <c r="S28133" s="178"/>
    </row>
    <row r="28134" spans="18:19">
      <c r="R28134" s="178"/>
      <c r="S28134" s="178"/>
    </row>
    <row r="28135" spans="18:19">
      <c r="R28135" s="178"/>
      <c r="S28135" s="178"/>
    </row>
    <row r="28136" spans="18:19">
      <c r="R28136" s="178"/>
      <c r="S28136" s="178"/>
    </row>
    <row r="28137" spans="18:19">
      <c r="R28137" s="178"/>
      <c r="S28137" s="178"/>
    </row>
    <row r="28138" spans="18:19">
      <c r="R28138" s="178"/>
      <c r="S28138" s="178"/>
    </row>
    <row r="28139" spans="18:19">
      <c r="R28139" s="178"/>
      <c r="S28139" s="178"/>
    </row>
    <row r="28140" spans="18:19">
      <c r="R28140" s="178"/>
      <c r="S28140" s="178"/>
    </row>
    <row r="28141" spans="18:19">
      <c r="R28141" s="178"/>
      <c r="S28141" s="178"/>
    </row>
    <row r="28142" spans="18:19">
      <c r="R28142" s="178"/>
      <c r="S28142" s="178"/>
    </row>
    <row r="28143" spans="18:19">
      <c r="R28143" s="178"/>
      <c r="S28143" s="178"/>
    </row>
    <row r="28144" spans="18:19">
      <c r="R28144" s="178"/>
      <c r="S28144" s="178"/>
    </row>
    <row r="28145" spans="18:19">
      <c r="R28145" s="178"/>
      <c r="S28145" s="178"/>
    </row>
    <row r="28146" spans="18:19">
      <c r="R28146" s="178"/>
      <c r="S28146" s="178"/>
    </row>
    <row r="28147" spans="18:19">
      <c r="R28147" s="178"/>
      <c r="S28147" s="178"/>
    </row>
    <row r="28148" spans="18:19">
      <c r="R28148" s="178"/>
      <c r="S28148" s="178"/>
    </row>
    <row r="28149" spans="18:19">
      <c r="R28149" s="178"/>
      <c r="S28149" s="178"/>
    </row>
    <row r="28150" spans="18:19">
      <c r="R28150" s="178"/>
      <c r="S28150" s="178"/>
    </row>
    <row r="28151" spans="18:19">
      <c r="R28151" s="178"/>
      <c r="S28151" s="178"/>
    </row>
    <row r="28152" spans="18:19">
      <c r="R28152" s="178"/>
      <c r="S28152" s="178"/>
    </row>
    <row r="28153" spans="18:19">
      <c r="R28153" s="178"/>
      <c r="S28153" s="178"/>
    </row>
    <row r="28154" spans="18:19">
      <c r="R28154" s="178"/>
      <c r="S28154" s="178"/>
    </row>
    <row r="28155" spans="18:19">
      <c r="R28155" s="178"/>
      <c r="S28155" s="178"/>
    </row>
    <row r="28156" spans="18:19">
      <c r="R28156" s="178"/>
      <c r="S28156" s="178"/>
    </row>
    <row r="28157" spans="18:19">
      <c r="R28157" s="178"/>
      <c r="S28157" s="178"/>
    </row>
    <row r="28158" spans="18:19">
      <c r="R28158" s="178"/>
      <c r="S28158" s="178"/>
    </row>
    <row r="28159" spans="18:19">
      <c r="R28159" s="178"/>
      <c r="S28159" s="178"/>
    </row>
    <row r="28160" spans="18:19">
      <c r="R28160" s="178"/>
      <c r="S28160" s="178"/>
    </row>
    <row r="28161" spans="18:19">
      <c r="R28161" s="178"/>
      <c r="S28161" s="178"/>
    </row>
    <row r="28162" spans="18:19">
      <c r="R28162" s="178"/>
      <c r="S28162" s="178"/>
    </row>
    <row r="28163" spans="18:19">
      <c r="R28163" s="178"/>
      <c r="S28163" s="178"/>
    </row>
    <row r="28164" spans="18:19">
      <c r="R28164" s="178"/>
      <c r="S28164" s="178"/>
    </row>
    <row r="28165" spans="18:19">
      <c r="R28165" s="178"/>
      <c r="S28165" s="178"/>
    </row>
    <row r="28166" spans="18:19">
      <c r="R28166" s="178"/>
      <c r="S28166" s="178"/>
    </row>
    <row r="28167" spans="18:19">
      <c r="R28167" s="178"/>
      <c r="S28167" s="178"/>
    </row>
    <row r="28168" spans="18:19">
      <c r="R28168" s="178"/>
      <c r="S28168" s="178"/>
    </row>
    <row r="28169" spans="18:19">
      <c r="R28169" s="178"/>
      <c r="S28169" s="178"/>
    </row>
    <row r="28170" spans="18:19">
      <c r="R28170" s="178"/>
      <c r="S28170" s="178"/>
    </row>
    <row r="28171" spans="18:19">
      <c r="R28171" s="178"/>
      <c r="S28171" s="178"/>
    </row>
    <row r="28172" spans="18:19">
      <c r="R28172" s="178"/>
      <c r="S28172" s="178"/>
    </row>
    <row r="28173" spans="18:19">
      <c r="R28173" s="178"/>
      <c r="S28173" s="178"/>
    </row>
    <row r="28174" spans="18:19">
      <c r="R28174" s="178"/>
      <c r="S28174" s="178"/>
    </row>
    <row r="28175" spans="18:19">
      <c r="R28175" s="178"/>
      <c r="S28175" s="178"/>
    </row>
    <row r="28176" spans="18:19">
      <c r="R28176" s="178"/>
      <c r="S28176" s="178"/>
    </row>
    <row r="28177" spans="18:19">
      <c r="R28177" s="178"/>
      <c r="S28177" s="178"/>
    </row>
    <row r="28178" spans="18:19">
      <c r="R28178" s="178"/>
      <c r="S28178" s="178"/>
    </row>
    <row r="28179" spans="18:19">
      <c r="R28179" s="178"/>
      <c r="S28179" s="178"/>
    </row>
    <row r="28180" spans="18:19">
      <c r="R28180" s="178"/>
      <c r="S28180" s="178"/>
    </row>
    <row r="28181" spans="18:19">
      <c r="R28181" s="178"/>
      <c r="S28181" s="178"/>
    </row>
    <row r="28182" spans="18:19">
      <c r="R28182" s="178"/>
      <c r="S28182" s="178"/>
    </row>
    <row r="28183" spans="18:19">
      <c r="R28183" s="178"/>
      <c r="S28183" s="178"/>
    </row>
    <row r="28184" spans="18:19">
      <c r="R28184" s="178"/>
      <c r="S28184" s="178"/>
    </row>
    <row r="28185" spans="18:19">
      <c r="R28185" s="178"/>
      <c r="S28185" s="178"/>
    </row>
    <row r="28186" spans="18:19">
      <c r="R28186" s="178"/>
      <c r="S28186" s="178"/>
    </row>
    <row r="28187" spans="18:19">
      <c r="R28187" s="178"/>
      <c r="S28187" s="178"/>
    </row>
    <row r="28188" spans="18:19">
      <c r="R28188" s="178"/>
      <c r="S28188" s="178"/>
    </row>
    <row r="28189" spans="18:19">
      <c r="R28189" s="178"/>
      <c r="S28189" s="178"/>
    </row>
    <row r="28190" spans="18:19">
      <c r="R28190" s="178"/>
      <c r="S28190" s="178"/>
    </row>
    <row r="28191" spans="18:19">
      <c r="R28191" s="178"/>
      <c r="S28191" s="178"/>
    </row>
    <row r="28192" spans="18:19">
      <c r="R28192" s="178"/>
      <c r="S28192" s="178"/>
    </row>
    <row r="28193" spans="18:19">
      <c r="R28193" s="178"/>
      <c r="S28193" s="178"/>
    </row>
    <row r="28194" spans="18:19">
      <c r="R28194" s="178"/>
      <c r="S28194" s="178"/>
    </row>
    <row r="28195" spans="18:19">
      <c r="R28195" s="178"/>
      <c r="S28195" s="178"/>
    </row>
    <row r="28196" spans="18:19">
      <c r="R28196" s="178"/>
      <c r="S28196" s="178"/>
    </row>
    <row r="28197" spans="18:19">
      <c r="R28197" s="178"/>
      <c r="S28197" s="178"/>
    </row>
    <row r="28198" spans="18:19">
      <c r="R28198" s="178"/>
      <c r="S28198" s="178"/>
    </row>
    <row r="28199" spans="18:19">
      <c r="R28199" s="178"/>
      <c r="S28199" s="178"/>
    </row>
    <row r="28200" spans="18:19">
      <c r="R28200" s="178"/>
      <c r="S28200" s="178"/>
    </row>
    <row r="28201" spans="18:19">
      <c r="R28201" s="178"/>
      <c r="S28201" s="178"/>
    </row>
    <row r="28202" spans="18:19">
      <c r="R28202" s="178"/>
      <c r="S28202" s="178"/>
    </row>
    <row r="28203" spans="18:19">
      <c r="R28203" s="178"/>
      <c r="S28203" s="178"/>
    </row>
    <row r="28204" spans="18:19">
      <c r="R28204" s="178"/>
      <c r="S28204" s="178"/>
    </row>
    <row r="28205" spans="18:19">
      <c r="R28205" s="178"/>
      <c r="S28205" s="178"/>
    </row>
    <row r="28206" spans="18:19">
      <c r="R28206" s="178"/>
      <c r="S28206" s="178"/>
    </row>
    <row r="28207" spans="18:19">
      <c r="R28207" s="178"/>
      <c r="S28207" s="178"/>
    </row>
    <row r="28208" spans="18:19">
      <c r="R28208" s="178"/>
      <c r="S28208" s="178"/>
    </row>
    <row r="28209" spans="18:19">
      <c r="R28209" s="178"/>
      <c r="S28209" s="178"/>
    </row>
    <row r="28210" spans="18:19">
      <c r="R28210" s="178"/>
      <c r="S28210" s="178"/>
    </row>
    <row r="28211" spans="18:19">
      <c r="R28211" s="178"/>
      <c r="S28211" s="178"/>
    </row>
    <row r="28212" spans="18:19">
      <c r="R28212" s="178"/>
      <c r="S28212" s="178"/>
    </row>
    <row r="28213" spans="18:19">
      <c r="R28213" s="178"/>
      <c r="S28213" s="178"/>
    </row>
    <row r="28214" spans="18:19">
      <c r="R28214" s="178"/>
      <c r="S28214" s="178"/>
    </row>
    <row r="28215" spans="18:19">
      <c r="R28215" s="178"/>
      <c r="S28215" s="178"/>
    </row>
    <row r="28216" spans="18:19">
      <c r="R28216" s="178"/>
      <c r="S28216" s="178"/>
    </row>
    <row r="28217" spans="18:19">
      <c r="R28217" s="178"/>
      <c r="S28217" s="178"/>
    </row>
    <row r="28218" spans="18:19">
      <c r="R28218" s="178"/>
      <c r="S28218" s="178"/>
    </row>
    <row r="28219" spans="18:19">
      <c r="R28219" s="178"/>
      <c r="S28219" s="178"/>
    </row>
    <row r="28220" spans="18:19">
      <c r="R28220" s="178"/>
      <c r="S28220" s="178"/>
    </row>
    <row r="28221" spans="18:19">
      <c r="R28221" s="178"/>
      <c r="S28221" s="178"/>
    </row>
    <row r="28222" spans="18:19">
      <c r="R28222" s="178"/>
      <c r="S28222" s="178"/>
    </row>
    <row r="28223" spans="18:19">
      <c r="R28223" s="178"/>
      <c r="S28223" s="178"/>
    </row>
    <row r="28224" spans="18:19">
      <c r="R28224" s="178"/>
      <c r="S28224" s="178"/>
    </row>
    <row r="28225" spans="18:19">
      <c r="R28225" s="178"/>
      <c r="S28225" s="178"/>
    </row>
    <row r="28226" spans="18:19">
      <c r="R28226" s="178"/>
      <c r="S28226" s="178"/>
    </row>
    <row r="28227" spans="18:19">
      <c r="R28227" s="178"/>
      <c r="S28227" s="178"/>
    </row>
    <row r="28228" spans="18:19">
      <c r="R28228" s="178"/>
      <c r="S28228" s="178"/>
    </row>
    <row r="28229" spans="18:19">
      <c r="R28229" s="178"/>
      <c r="S28229" s="178"/>
    </row>
    <row r="28230" spans="18:19">
      <c r="R28230" s="178"/>
      <c r="S28230" s="178"/>
    </row>
    <row r="28231" spans="18:19">
      <c r="R28231" s="178"/>
      <c r="S28231" s="178"/>
    </row>
    <row r="28232" spans="18:19">
      <c r="R28232" s="178"/>
      <c r="S28232" s="178"/>
    </row>
    <row r="28233" spans="18:19">
      <c r="R28233" s="178"/>
      <c r="S28233" s="178"/>
    </row>
    <row r="28234" spans="18:19">
      <c r="R28234" s="178"/>
      <c r="S28234" s="178"/>
    </row>
    <row r="28235" spans="18:19">
      <c r="R28235" s="178"/>
      <c r="S28235" s="178"/>
    </row>
    <row r="28236" spans="18:19">
      <c r="R28236" s="178"/>
      <c r="S28236" s="178"/>
    </row>
    <row r="28237" spans="18:19">
      <c r="R28237" s="178"/>
      <c r="S28237" s="178"/>
    </row>
    <row r="28238" spans="18:19">
      <c r="R28238" s="178"/>
      <c r="S28238" s="178"/>
    </row>
    <row r="28239" spans="18:19">
      <c r="R28239" s="178"/>
      <c r="S28239" s="178"/>
    </row>
    <row r="28240" spans="18:19">
      <c r="R28240" s="178"/>
      <c r="S28240" s="178"/>
    </row>
    <row r="28241" spans="18:19">
      <c r="R28241" s="178"/>
      <c r="S28241" s="178"/>
    </row>
    <row r="28242" spans="18:19">
      <c r="R28242" s="178"/>
      <c r="S28242" s="178"/>
    </row>
    <row r="28243" spans="18:19">
      <c r="R28243" s="178"/>
      <c r="S28243" s="178"/>
    </row>
    <row r="28244" spans="18:19">
      <c r="R28244" s="178"/>
      <c r="S28244" s="178"/>
    </row>
    <row r="28245" spans="18:19">
      <c r="R28245" s="178"/>
      <c r="S28245" s="178"/>
    </row>
    <row r="28246" spans="18:19">
      <c r="R28246" s="178"/>
      <c r="S28246" s="178"/>
    </row>
    <row r="28247" spans="18:19">
      <c r="R28247" s="178"/>
      <c r="S28247" s="178"/>
    </row>
    <row r="28248" spans="18:19">
      <c r="R28248" s="178"/>
      <c r="S28248" s="178"/>
    </row>
    <row r="28249" spans="18:19">
      <c r="R28249" s="178"/>
      <c r="S28249" s="178"/>
    </row>
    <row r="28250" spans="18:19">
      <c r="R28250" s="178"/>
      <c r="S28250" s="178"/>
    </row>
    <row r="28251" spans="18:19">
      <c r="R28251" s="178"/>
      <c r="S28251" s="178"/>
    </row>
    <row r="28252" spans="18:19">
      <c r="R28252" s="178"/>
      <c r="S28252" s="178"/>
    </row>
    <row r="28253" spans="18:19">
      <c r="R28253" s="178"/>
      <c r="S28253" s="178"/>
    </row>
    <row r="28254" spans="18:19">
      <c r="R28254" s="178"/>
      <c r="S28254" s="178"/>
    </row>
    <row r="28255" spans="18:19">
      <c r="R28255" s="178"/>
      <c r="S28255" s="178"/>
    </row>
    <row r="28256" spans="18:19">
      <c r="R28256" s="178"/>
      <c r="S28256" s="178"/>
    </row>
    <row r="28257" spans="18:19">
      <c r="R28257" s="178"/>
      <c r="S28257" s="178"/>
    </row>
    <row r="28258" spans="18:19">
      <c r="R28258" s="178"/>
      <c r="S28258" s="178"/>
    </row>
    <row r="28259" spans="18:19">
      <c r="R28259" s="178"/>
      <c r="S28259" s="178"/>
    </row>
    <row r="28260" spans="18:19">
      <c r="R28260" s="178"/>
      <c r="S28260" s="178"/>
    </row>
    <row r="28261" spans="18:19">
      <c r="R28261" s="178"/>
      <c r="S28261" s="178"/>
    </row>
    <row r="28262" spans="18:19">
      <c r="R28262" s="178"/>
      <c r="S28262" s="178"/>
    </row>
    <row r="28263" spans="18:19">
      <c r="R28263" s="178"/>
      <c r="S28263" s="178"/>
    </row>
    <row r="28264" spans="18:19">
      <c r="R28264" s="178"/>
      <c r="S28264" s="178"/>
    </row>
    <row r="28265" spans="18:19">
      <c r="R28265" s="178"/>
      <c r="S28265" s="178"/>
    </row>
    <row r="28266" spans="18:19">
      <c r="R28266" s="178"/>
      <c r="S28266" s="178"/>
    </row>
    <row r="28267" spans="18:19">
      <c r="R28267" s="178"/>
      <c r="S28267" s="178"/>
    </row>
    <row r="28268" spans="18:19">
      <c r="R28268" s="178"/>
      <c r="S28268" s="178"/>
    </row>
    <row r="28269" spans="18:19">
      <c r="R28269" s="178"/>
      <c r="S28269" s="178"/>
    </row>
    <row r="28270" spans="18:19">
      <c r="R28270" s="178"/>
      <c r="S28270" s="178"/>
    </row>
    <row r="28271" spans="18:19">
      <c r="R28271" s="178"/>
      <c r="S28271" s="178"/>
    </row>
    <row r="28272" spans="18:19">
      <c r="R28272" s="178"/>
      <c r="S28272" s="178"/>
    </row>
    <row r="28273" spans="18:19">
      <c r="R28273" s="178"/>
      <c r="S28273" s="178"/>
    </row>
    <row r="28274" spans="18:19">
      <c r="R28274" s="178"/>
      <c r="S28274" s="178"/>
    </row>
    <row r="28275" spans="18:19">
      <c r="R28275" s="178"/>
      <c r="S28275" s="178"/>
    </row>
    <row r="28276" spans="18:19">
      <c r="R28276" s="178"/>
      <c r="S28276" s="178"/>
    </row>
    <row r="28277" spans="18:19">
      <c r="R28277" s="178"/>
      <c r="S28277" s="178"/>
    </row>
    <row r="28278" spans="18:19">
      <c r="R28278" s="178"/>
      <c r="S28278" s="178"/>
    </row>
    <row r="28279" spans="18:19">
      <c r="R28279" s="178"/>
      <c r="S28279" s="178"/>
    </row>
    <row r="28280" spans="18:19">
      <c r="R28280" s="178"/>
      <c r="S28280" s="178"/>
    </row>
    <row r="28281" spans="18:19">
      <c r="R28281" s="178"/>
      <c r="S28281" s="178"/>
    </row>
    <row r="28282" spans="18:19">
      <c r="R28282" s="178"/>
      <c r="S28282" s="178"/>
    </row>
    <row r="28283" spans="18:19">
      <c r="R28283" s="178"/>
      <c r="S28283" s="178"/>
    </row>
    <row r="28284" spans="18:19">
      <c r="R28284" s="178"/>
      <c r="S28284" s="178"/>
    </row>
    <row r="28285" spans="18:19">
      <c r="R28285" s="178"/>
      <c r="S28285" s="178"/>
    </row>
    <row r="28286" spans="18:19">
      <c r="R28286" s="178"/>
      <c r="S28286" s="178"/>
    </row>
    <row r="28287" spans="18:19">
      <c r="R28287" s="178"/>
      <c r="S28287" s="178"/>
    </row>
    <row r="28288" spans="18:19">
      <c r="R28288" s="178"/>
      <c r="S28288" s="178"/>
    </row>
    <row r="28289" spans="18:19">
      <c r="R28289" s="178"/>
      <c r="S28289" s="178"/>
    </row>
    <row r="28290" spans="18:19">
      <c r="R28290" s="178"/>
      <c r="S28290" s="178"/>
    </row>
    <row r="28291" spans="18:19">
      <c r="R28291" s="178"/>
      <c r="S28291" s="178"/>
    </row>
    <row r="28292" spans="18:19">
      <c r="R28292" s="178"/>
      <c r="S28292" s="178"/>
    </row>
    <row r="28293" spans="18:19">
      <c r="R28293" s="178"/>
      <c r="S28293" s="178"/>
    </row>
    <row r="28294" spans="18:19">
      <c r="R28294" s="178"/>
      <c r="S28294" s="178"/>
    </row>
    <row r="28295" spans="18:19">
      <c r="R28295" s="178"/>
      <c r="S28295" s="178"/>
    </row>
    <row r="28296" spans="18:19">
      <c r="R28296" s="178"/>
      <c r="S28296" s="178"/>
    </row>
    <row r="28297" spans="18:19">
      <c r="R28297" s="178"/>
      <c r="S28297" s="178"/>
    </row>
    <row r="28298" spans="18:19">
      <c r="R28298" s="178"/>
      <c r="S28298" s="178"/>
    </row>
    <row r="28299" spans="18:19">
      <c r="R28299" s="178"/>
      <c r="S28299" s="178"/>
    </row>
    <row r="28300" spans="18:19">
      <c r="R28300" s="178"/>
      <c r="S28300" s="178"/>
    </row>
    <row r="28301" spans="18:19">
      <c r="R28301" s="178"/>
      <c r="S28301" s="178"/>
    </row>
    <row r="28302" spans="18:19">
      <c r="R28302" s="178"/>
      <c r="S28302" s="178"/>
    </row>
    <row r="28303" spans="18:19">
      <c r="R28303" s="178"/>
      <c r="S28303" s="178"/>
    </row>
    <row r="28304" spans="18:19">
      <c r="R28304" s="178"/>
      <c r="S28304" s="178"/>
    </row>
    <row r="28305" spans="18:19">
      <c r="R28305" s="178"/>
      <c r="S28305" s="178"/>
    </row>
    <row r="28306" spans="18:19">
      <c r="R28306" s="178"/>
      <c r="S28306" s="178"/>
    </row>
    <row r="28307" spans="18:19">
      <c r="R28307" s="178"/>
      <c r="S28307" s="178"/>
    </row>
    <row r="28308" spans="18:19">
      <c r="R28308" s="178"/>
      <c r="S28308" s="178"/>
    </row>
    <row r="28309" spans="18:19">
      <c r="R28309" s="178"/>
      <c r="S28309" s="178"/>
    </row>
    <row r="28310" spans="18:19">
      <c r="R28310" s="178"/>
      <c r="S28310" s="178"/>
    </row>
    <row r="28311" spans="18:19">
      <c r="R28311" s="178"/>
      <c r="S28311" s="178"/>
    </row>
    <row r="28312" spans="18:19">
      <c r="R28312" s="178"/>
      <c r="S28312" s="178"/>
    </row>
    <row r="28313" spans="18:19">
      <c r="R28313" s="178"/>
      <c r="S28313" s="178"/>
    </row>
    <row r="28314" spans="18:19">
      <c r="R28314" s="178"/>
      <c r="S28314" s="178"/>
    </row>
    <row r="28315" spans="18:19">
      <c r="R28315" s="178"/>
      <c r="S28315" s="178"/>
    </row>
    <row r="28316" spans="18:19">
      <c r="R28316" s="178"/>
      <c r="S28316" s="178"/>
    </row>
    <row r="28317" spans="18:19">
      <c r="R28317" s="178"/>
      <c r="S28317" s="178"/>
    </row>
    <row r="28318" spans="18:19">
      <c r="R28318" s="178"/>
      <c r="S28318" s="178"/>
    </row>
    <row r="28319" spans="18:19">
      <c r="R28319" s="178"/>
      <c r="S28319" s="178"/>
    </row>
    <row r="28320" spans="18:19">
      <c r="R28320" s="178"/>
      <c r="S28320" s="178"/>
    </row>
    <row r="28321" spans="18:19">
      <c r="R28321" s="178"/>
      <c r="S28321" s="178"/>
    </row>
    <row r="28322" spans="18:19">
      <c r="R28322" s="178"/>
      <c r="S28322" s="178"/>
    </row>
    <row r="28323" spans="18:19">
      <c r="R28323" s="178"/>
      <c r="S28323" s="178"/>
    </row>
    <row r="28324" spans="18:19">
      <c r="R28324" s="178"/>
      <c r="S28324" s="178"/>
    </row>
    <row r="28325" spans="18:19">
      <c r="R28325" s="178"/>
      <c r="S28325" s="178"/>
    </row>
    <row r="28326" spans="18:19">
      <c r="R28326" s="178"/>
      <c r="S28326" s="178"/>
    </row>
    <row r="28327" spans="18:19">
      <c r="R28327" s="178"/>
      <c r="S28327" s="178"/>
    </row>
    <row r="28328" spans="18:19">
      <c r="R28328" s="178"/>
      <c r="S28328" s="178"/>
    </row>
    <row r="28329" spans="18:19">
      <c r="R28329" s="178"/>
      <c r="S28329" s="178"/>
    </row>
    <row r="28330" spans="18:19">
      <c r="R28330" s="178"/>
      <c r="S28330" s="178"/>
    </row>
    <row r="28331" spans="18:19">
      <c r="R28331" s="178"/>
      <c r="S28331" s="178"/>
    </row>
    <row r="28332" spans="18:19">
      <c r="R28332" s="178"/>
      <c r="S28332" s="178"/>
    </row>
    <row r="28333" spans="18:19">
      <c r="R28333" s="178"/>
      <c r="S28333" s="178"/>
    </row>
    <row r="28334" spans="18:19">
      <c r="R28334" s="178"/>
      <c r="S28334" s="178"/>
    </row>
    <row r="28335" spans="18:19">
      <c r="R28335" s="178"/>
      <c r="S28335" s="178"/>
    </row>
    <row r="28336" spans="18:19">
      <c r="R28336" s="178"/>
      <c r="S28336" s="178"/>
    </row>
    <row r="28337" spans="18:19">
      <c r="R28337" s="178"/>
      <c r="S28337" s="178"/>
    </row>
    <row r="28338" spans="18:19">
      <c r="R28338" s="178"/>
      <c r="S28338" s="178"/>
    </row>
    <row r="28339" spans="18:19">
      <c r="R28339" s="178"/>
      <c r="S28339" s="178"/>
    </row>
    <row r="28340" spans="18:19">
      <c r="R28340" s="178"/>
      <c r="S28340" s="178"/>
    </row>
    <row r="28341" spans="18:19">
      <c r="R28341" s="178"/>
      <c r="S28341" s="178"/>
    </row>
    <row r="28342" spans="18:19">
      <c r="R28342" s="178"/>
      <c r="S28342" s="178"/>
    </row>
    <row r="28343" spans="18:19">
      <c r="R28343" s="178"/>
      <c r="S28343" s="178"/>
    </row>
    <row r="28344" spans="18:19">
      <c r="R28344" s="178"/>
      <c r="S28344" s="178"/>
    </row>
    <row r="28345" spans="18:19">
      <c r="R28345" s="178"/>
      <c r="S28345" s="178"/>
    </row>
    <row r="28346" spans="18:19">
      <c r="R28346" s="178"/>
      <c r="S28346" s="178"/>
    </row>
    <row r="28347" spans="18:19">
      <c r="R28347" s="178"/>
      <c r="S28347" s="178"/>
    </row>
    <row r="28348" spans="18:19">
      <c r="R28348" s="178"/>
      <c r="S28348" s="178"/>
    </row>
    <row r="28349" spans="18:19">
      <c r="R28349" s="178"/>
      <c r="S28349" s="178"/>
    </row>
    <row r="28350" spans="18:19">
      <c r="R28350" s="178"/>
      <c r="S28350" s="178"/>
    </row>
    <row r="28351" spans="18:19">
      <c r="R28351" s="178"/>
      <c r="S28351" s="178"/>
    </row>
    <row r="28352" spans="18:19">
      <c r="R28352" s="178"/>
      <c r="S28352" s="178"/>
    </row>
    <row r="28353" spans="18:19">
      <c r="R28353" s="178"/>
      <c r="S28353" s="178"/>
    </row>
    <row r="28354" spans="18:19">
      <c r="R28354" s="178"/>
      <c r="S28354" s="178"/>
    </row>
    <row r="28355" spans="18:19">
      <c r="R28355" s="178"/>
      <c r="S28355" s="178"/>
    </row>
    <row r="28356" spans="18:19">
      <c r="R28356" s="178"/>
      <c r="S28356" s="178"/>
    </row>
    <row r="28357" spans="18:19">
      <c r="R28357" s="178"/>
      <c r="S28357" s="178"/>
    </row>
    <row r="28358" spans="18:19">
      <c r="R28358" s="178"/>
      <c r="S28358" s="178"/>
    </row>
    <row r="28359" spans="18:19">
      <c r="R28359" s="178"/>
      <c r="S28359" s="178"/>
    </row>
    <row r="28360" spans="18:19">
      <c r="R28360" s="178"/>
      <c r="S28360" s="178"/>
    </row>
    <row r="28361" spans="18:19">
      <c r="R28361" s="178"/>
      <c r="S28361" s="178"/>
    </row>
    <row r="28362" spans="18:19">
      <c r="R28362" s="178"/>
      <c r="S28362" s="178"/>
    </row>
    <row r="28363" spans="18:19">
      <c r="R28363" s="178"/>
      <c r="S28363" s="178"/>
    </row>
    <row r="28364" spans="18:19">
      <c r="R28364" s="178"/>
      <c r="S28364" s="178"/>
    </row>
    <row r="28365" spans="18:19">
      <c r="R28365" s="178"/>
      <c r="S28365" s="178"/>
    </row>
    <row r="28366" spans="18:19">
      <c r="R28366" s="178"/>
      <c r="S28366" s="178"/>
    </row>
    <row r="28367" spans="18:19">
      <c r="R28367" s="178"/>
      <c r="S28367" s="178"/>
    </row>
    <row r="28368" spans="18:19">
      <c r="R28368" s="178"/>
      <c r="S28368" s="178"/>
    </row>
    <row r="28369" spans="18:19">
      <c r="R28369" s="178"/>
      <c r="S28369" s="178"/>
    </row>
    <row r="28370" spans="18:19">
      <c r="R28370" s="178"/>
      <c r="S28370" s="178"/>
    </row>
    <row r="28371" spans="18:19">
      <c r="R28371" s="178"/>
      <c r="S28371" s="178"/>
    </row>
    <row r="28372" spans="18:19">
      <c r="R28372" s="178"/>
      <c r="S28372" s="178"/>
    </row>
    <row r="28373" spans="18:19">
      <c r="R28373" s="178"/>
      <c r="S28373" s="178"/>
    </row>
    <row r="28374" spans="18:19">
      <c r="R28374" s="178"/>
      <c r="S28374" s="178"/>
    </row>
    <row r="28375" spans="18:19">
      <c r="R28375" s="178"/>
      <c r="S28375" s="178"/>
    </row>
    <row r="28376" spans="18:19">
      <c r="R28376" s="178"/>
      <c r="S28376" s="178"/>
    </row>
    <row r="28377" spans="18:19">
      <c r="R28377" s="178"/>
      <c r="S28377" s="178"/>
    </row>
    <row r="28378" spans="18:19">
      <c r="R28378" s="178"/>
      <c r="S28378" s="178"/>
    </row>
    <row r="28379" spans="18:19">
      <c r="R28379" s="178"/>
      <c r="S28379" s="178"/>
    </row>
    <row r="28380" spans="18:19">
      <c r="R28380" s="178"/>
      <c r="S28380" s="178"/>
    </row>
    <row r="28381" spans="18:19">
      <c r="R28381" s="178"/>
      <c r="S28381" s="178"/>
    </row>
    <row r="28382" spans="18:19">
      <c r="R28382" s="178"/>
      <c r="S28382" s="178"/>
    </row>
    <row r="28383" spans="18:19">
      <c r="R28383" s="178"/>
      <c r="S28383" s="178"/>
    </row>
    <row r="28384" spans="18:19">
      <c r="R28384" s="178"/>
      <c r="S28384" s="178"/>
    </row>
    <row r="28385" spans="18:19">
      <c r="R28385" s="178"/>
      <c r="S28385" s="178"/>
    </row>
    <row r="28386" spans="18:19">
      <c r="R28386" s="178"/>
      <c r="S28386" s="178"/>
    </row>
    <row r="28387" spans="18:19">
      <c r="R28387" s="178"/>
      <c r="S28387" s="178"/>
    </row>
    <row r="28388" spans="18:19">
      <c r="R28388" s="178"/>
      <c r="S28388" s="178"/>
    </row>
    <row r="28389" spans="18:19">
      <c r="R28389" s="178"/>
      <c r="S28389" s="178"/>
    </row>
    <row r="28390" spans="18:19">
      <c r="R28390" s="178"/>
      <c r="S28390" s="178"/>
    </row>
    <row r="28391" spans="18:19">
      <c r="R28391" s="178"/>
      <c r="S28391" s="178"/>
    </row>
    <row r="28392" spans="18:19">
      <c r="R28392" s="178"/>
      <c r="S28392" s="178"/>
    </row>
    <row r="28393" spans="18:19">
      <c r="R28393" s="178"/>
      <c r="S28393" s="178"/>
    </row>
    <row r="28394" spans="18:19">
      <c r="R28394" s="178"/>
      <c r="S28394" s="178"/>
    </row>
    <row r="28395" spans="18:19">
      <c r="R28395" s="178"/>
      <c r="S28395" s="178"/>
    </row>
    <row r="28396" spans="18:19">
      <c r="R28396" s="178"/>
      <c r="S28396" s="178"/>
    </row>
    <row r="28397" spans="18:19">
      <c r="R28397" s="178"/>
      <c r="S28397" s="178"/>
    </row>
    <row r="28398" spans="18:19">
      <c r="R28398" s="178"/>
      <c r="S28398" s="178"/>
    </row>
    <row r="28399" spans="18:19">
      <c r="R28399" s="178"/>
      <c r="S28399" s="178"/>
    </row>
    <row r="28400" spans="18:19">
      <c r="R28400" s="178"/>
      <c r="S28400" s="178"/>
    </row>
    <row r="28401" spans="18:19">
      <c r="R28401" s="178"/>
      <c r="S28401" s="178"/>
    </row>
    <row r="28402" spans="18:19">
      <c r="R28402" s="178"/>
      <c r="S28402" s="178"/>
    </row>
    <row r="28403" spans="18:19">
      <c r="R28403" s="178"/>
      <c r="S28403" s="178"/>
    </row>
    <row r="28404" spans="18:19">
      <c r="R28404" s="178"/>
      <c r="S28404" s="178"/>
    </row>
    <row r="28405" spans="18:19">
      <c r="R28405" s="178"/>
      <c r="S28405" s="178"/>
    </row>
    <row r="28406" spans="18:19">
      <c r="R28406" s="178"/>
      <c r="S28406" s="178"/>
    </row>
    <row r="28407" spans="18:19">
      <c r="R28407" s="178"/>
      <c r="S28407" s="178"/>
    </row>
    <row r="28408" spans="18:19">
      <c r="R28408" s="178"/>
      <c r="S28408" s="178"/>
    </row>
    <row r="28409" spans="18:19">
      <c r="R28409" s="178"/>
      <c r="S28409" s="178"/>
    </row>
    <row r="28410" spans="18:19">
      <c r="R28410" s="178"/>
      <c r="S28410" s="178"/>
    </row>
    <row r="28411" spans="18:19">
      <c r="R28411" s="178"/>
      <c r="S28411" s="178"/>
    </row>
    <row r="28412" spans="18:19">
      <c r="R28412" s="178"/>
      <c r="S28412" s="178"/>
    </row>
    <row r="28413" spans="18:19">
      <c r="R28413" s="178"/>
      <c r="S28413" s="178"/>
    </row>
    <row r="28414" spans="18:19">
      <c r="R28414" s="178"/>
      <c r="S28414" s="178"/>
    </row>
    <row r="28415" spans="18:19">
      <c r="R28415" s="178"/>
      <c r="S28415" s="178"/>
    </row>
    <row r="28416" spans="18:19">
      <c r="R28416" s="178"/>
      <c r="S28416" s="178"/>
    </row>
    <row r="28417" spans="18:19">
      <c r="R28417" s="178"/>
      <c r="S28417" s="178"/>
    </row>
    <row r="28418" spans="18:19">
      <c r="R28418" s="178"/>
      <c r="S28418" s="178"/>
    </row>
    <row r="28419" spans="18:19">
      <c r="R28419" s="178"/>
      <c r="S28419" s="178"/>
    </row>
    <row r="28420" spans="18:19">
      <c r="R28420" s="178"/>
      <c r="S28420" s="178"/>
    </row>
    <row r="28421" spans="18:19">
      <c r="R28421" s="178"/>
      <c r="S28421" s="178"/>
    </row>
    <row r="28422" spans="18:19">
      <c r="R28422" s="178"/>
      <c r="S28422" s="178"/>
    </row>
    <row r="28423" spans="18:19">
      <c r="R28423" s="178"/>
      <c r="S28423" s="178"/>
    </row>
    <row r="28424" spans="18:19">
      <c r="R28424" s="178"/>
      <c r="S28424" s="178"/>
    </row>
    <row r="28425" spans="18:19">
      <c r="R28425" s="178"/>
      <c r="S28425" s="178"/>
    </row>
    <row r="28426" spans="18:19">
      <c r="R28426" s="178"/>
      <c r="S28426" s="178"/>
    </row>
    <row r="28427" spans="18:19">
      <c r="R28427" s="178"/>
      <c r="S28427" s="178"/>
    </row>
    <row r="28428" spans="18:19">
      <c r="R28428" s="178"/>
      <c r="S28428" s="178"/>
    </row>
    <row r="28429" spans="18:19">
      <c r="R28429" s="178"/>
      <c r="S28429" s="178"/>
    </row>
    <row r="28430" spans="18:19">
      <c r="R28430" s="178"/>
      <c r="S28430" s="178"/>
    </row>
    <row r="28431" spans="18:19">
      <c r="R28431" s="178"/>
      <c r="S28431" s="178"/>
    </row>
    <row r="28432" spans="18:19">
      <c r="R28432" s="178"/>
      <c r="S28432" s="178"/>
    </row>
    <row r="28433" spans="18:19">
      <c r="R28433" s="178"/>
      <c r="S28433" s="178"/>
    </row>
    <row r="28434" spans="18:19">
      <c r="R28434" s="178"/>
      <c r="S28434" s="178"/>
    </row>
    <row r="28435" spans="18:19">
      <c r="R28435" s="178"/>
      <c r="S28435" s="178"/>
    </row>
    <row r="28436" spans="18:19">
      <c r="R28436" s="178"/>
      <c r="S28436" s="178"/>
    </row>
    <row r="28437" spans="18:19">
      <c r="R28437" s="178"/>
      <c r="S28437" s="178"/>
    </row>
    <row r="28438" spans="18:19">
      <c r="R28438" s="178"/>
      <c r="S28438" s="178"/>
    </row>
    <row r="28439" spans="18:19">
      <c r="R28439" s="178"/>
      <c r="S28439" s="178"/>
    </row>
    <row r="28440" spans="18:19">
      <c r="R28440" s="178"/>
      <c r="S28440" s="178"/>
    </row>
    <row r="28441" spans="18:19">
      <c r="R28441" s="178"/>
      <c r="S28441" s="178"/>
    </row>
    <row r="28442" spans="18:19">
      <c r="R28442" s="178"/>
      <c r="S28442" s="178"/>
    </row>
    <row r="28443" spans="18:19">
      <c r="R28443" s="178"/>
      <c r="S28443" s="178"/>
    </row>
    <row r="28444" spans="18:19">
      <c r="R28444" s="178"/>
      <c r="S28444" s="178"/>
    </row>
    <row r="28445" spans="18:19">
      <c r="R28445" s="178"/>
      <c r="S28445" s="178"/>
    </row>
    <row r="28446" spans="18:19">
      <c r="R28446" s="178"/>
      <c r="S28446" s="178"/>
    </row>
    <row r="28447" spans="18:19">
      <c r="R28447" s="178"/>
      <c r="S28447" s="178"/>
    </row>
    <row r="28448" spans="18:19">
      <c r="R28448" s="178"/>
      <c r="S28448" s="178"/>
    </row>
    <row r="28449" spans="18:19">
      <c r="R28449" s="178"/>
      <c r="S28449" s="178"/>
    </row>
    <row r="28450" spans="18:19">
      <c r="R28450" s="178"/>
      <c r="S28450" s="178"/>
    </row>
    <row r="28451" spans="18:19">
      <c r="R28451" s="178"/>
      <c r="S28451" s="178"/>
    </row>
    <row r="28452" spans="18:19">
      <c r="R28452" s="178"/>
      <c r="S28452" s="178"/>
    </row>
    <row r="28453" spans="18:19">
      <c r="R28453" s="178"/>
      <c r="S28453" s="178"/>
    </row>
    <row r="28454" spans="18:19">
      <c r="R28454" s="178"/>
      <c r="S28454" s="178"/>
    </row>
    <row r="28455" spans="18:19">
      <c r="R28455" s="178"/>
      <c r="S28455" s="178"/>
    </row>
    <row r="28456" spans="18:19">
      <c r="R28456" s="178"/>
      <c r="S28456" s="178"/>
    </row>
    <row r="28457" spans="18:19">
      <c r="R28457" s="178"/>
      <c r="S28457" s="178"/>
    </row>
    <row r="28458" spans="18:19">
      <c r="R28458" s="178"/>
      <c r="S28458" s="178"/>
    </row>
    <row r="28459" spans="18:19">
      <c r="R28459" s="178"/>
      <c r="S28459" s="178"/>
    </row>
    <row r="28460" spans="18:19">
      <c r="R28460" s="178"/>
      <c r="S28460" s="178"/>
    </row>
    <row r="28461" spans="18:19">
      <c r="R28461" s="178"/>
      <c r="S28461" s="178"/>
    </row>
    <row r="28462" spans="18:19">
      <c r="R28462" s="178"/>
      <c r="S28462" s="178"/>
    </row>
    <row r="28463" spans="18:19">
      <c r="R28463" s="178"/>
      <c r="S28463" s="178"/>
    </row>
    <row r="28464" spans="18:19">
      <c r="R28464" s="178"/>
      <c r="S28464" s="178"/>
    </row>
    <row r="28465" spans="18:19">
      <c r="R28465" s="178"/>
      <c r="S28465" s="178"/>
    </row>
    <row r="28466" spans="18:19">
      <c r="R28466" s="178"/>
      <c r="S28466" s="178"/>
    </row>
    <row r="28467" spans="18:19">
      <c r="R28467" s="178"/>
      <c r="S28467" s="178"/>
    </row>
    <row r="28468" spans="18:19">
      <c r="R28468" s="178"/>
      <c r="S28468" s="178"/>
    </row>
    <row r="28469" spans="18:19">
      <c r="R28469" s="178"/>
      <c r="S28469" s="178"/>
    </row>
    <row r="28470" spans="18:19">
      <c r="R28470" s="178"/>
      <c r="S28470" s="178"/>
    </row>
    <row r="28471" spans="18:19">
      <c r="R28471" s="178"/>
      <c r="S28471" s="178"/>
    </row>
    <row r="28472" spans="18:19">
      <c r="R28472" s="178"/>
      <c r="S28472" s="178"/>
    </row>
    <row r="28473" spans="18:19">
      <c r="R28473" s="178"/>
      <c r="S28473" s="178"/>
    </row>
    <row r="28474" spans="18:19">
      <c r="R28474" s="178"/>
      <c r="S28474" s="178"/>
    </row>
    <row r="28475" spans="18:19">
      <c r="R28475" s="178"/>
      <c r="S28475" s="178"/>
    </row>
    <row r="28476" spans="18:19">
      <c r="R28476" s="178"/>
      <c r="S28476" s="178"/>
    </row>
    <row r="28477" spans="18:19">
      <c r="R28477" s="178"/>
      <c r="S28477" s="178"/>
    </row>
    <row r="28478" spans="18:19">
      <c r="R28478" s="178"/>
      <c r="S28478" s="178"/>
    </row>
    <row r="28479" spans="18:19">
      <c r="R28479" s="178"/>
      <c r="S28479" s="178"/>
    </row>
    <row r="28480" spans="18:19">
      <c r="R28480" s="178"/>
      <c r="S28480" s="178"/>
    </row>
    <row r="28481" spans="18:19">
      <c r="R28481" s="178"/>
      <c r="S28481" s="178"/>
    </row>
    <row r="28482" spans="18:19">
      <c r="R28482" s="178"/>
      <c r="S28482" s="178"/>
    </row>
    <row r="28483" spans="18:19">
      <c r="R28483" s="178"/>
      <c r="S28483" s="178"/>
    </row>
    <row r="28484" spans="18:19">
      <c r="R28484" s="178"/>
      <c r="S28484" s="178"/>
    </row>
    <row r="28485" spans="18:19">
      <c r="R28485" s="178"/>
      <c r="S28485" s="178"/>
    </row>
    <row r="28486" spans="18:19">
      <c r="R28486" s="178"/>
      <c r="S28486" s="178"/>
    </row>
    <row r="28487" spans="18:19">
      <c r="R28487" s="178"/>
      <c r="S28487" s="178"/>
    </row>
    <row r="28488" spans="18:19">
      <c r="R28488" s="178"/>
      <c r="S28488" s="178"/>
    </row>
    <row r="28489" spans="18:19">
      <c r="R28489" s="178"/>
      <c r="S28489" s="178"/>
    </row>
    <row r="28490" spans="18:19">
      <c r="R28490" s="178"/>
      <c r="S28490" s="178"/>
    </row>
    <row r="28491" spans="18:19">
      <c r="R28491" s="178"/>
      <c r="S28491" s="178"/>
    </row>
    <row r="28492" spans="18:19">
      <c r="R28492" s="178"/>
      <c r="S28492" s="178"/>
    </row>
    <row r="28493" spans="18:19">
      <c r="R28493" s="178"/>
      <c r="S28493" s="178"/>
    </row>
    <row r="28494" spans="18:19">
      <c r="R28494" s="178"/>
      <c r="S28494" s="178"/>
    </row>
    <row r="28495" spans="18:19">
      <c r="R28495" s="178"/>
      <c r="S28495" s="178"/>
    </row>
    <row r="28496" spans="18:19">
      <c r="R28496" s="178"/>
      <c r="S28496" s="178"/>
    </row>
    <row r="28497" spans="18:19">
      <c r="R28497" s="178"/>
      <c r="S28497" s="178"/>
    </row>
    <row r="28498" spans="18:19">
      <c r="R28498" s="178"/>
      <c r="S28498" s="178"/>
    </row>
    <row r="28499" spans="18:19">
      <c r="R28499" s="178"/>
      <c r="S28499" s="178"/>
    </row>
    <row r="28500" spans="18:19">
      <c r="R28500" s="178"/>
      <c r="S28500" s="178"/>
    </row>
    <row r="28501" spans="18:19">
      <c r="R28501" s="178"/>
      <c r="S28501" s="178"/>
    </row>
    <row r="28502" spans="18:19">
      <c r="R28502" s="178"/>
      <c r="S28502" s="178"/>
    </row>
    <row r="28503" spans="18:19">
      <c r="R28503" s="178"/>
      <c r="S28503" s="178"/>
    </row>
    <row r="28504" spans="18:19">
      <c r="R28504" s="178"/>
      <c r="S28504" s="178"/>
    </row>
    <row r="28505" spans="18:19">
      <c r="R28505" s="178"/>
      <c r="S28505" s="178"/>
    </row>
    <row r="28506" spans="18:19">
      <c r="R28506" s="178"/>
      <c r="S28506" s="178"/>
    </row>
    <row r="28507" spans="18:19">
      <c r="R28507" s="178"/>
      <c r="S28507" s="178"/>
    </row>
    <row r="28508" spans="18:19">
      <c r="R28508" s="178"/>
      <c r="S28508" s="178"/>
    </row>
    <row r="28509" spans="18:19">
      <c r="R28509" s="178"/>
      <c r="S28509" s="178"/>
    </row>
    <row r="28510" spans="18:19">
      <c r="R28510" s="178"/>
      <c r="S28510" s="178"/>
    </row>
    <row r="28511" spans="18:19">
      <c r="R28511" s="178"/>
      <c r="S28511" s="178"/>
    </row>
    <row r="28512" spans="18:19">
      <c r="R28512" s="178"/>
      <c r="S28512" s="178"/>
    </row>
    <row r="28513" spans="18:19">
      <c r="R28513" s="178"/>
      <c r="S28513" s="178"/>
    </row>
    <row r="28514" spans="18:19">
      <c r="R28514" s="178"/>
      <c r="S28514" s="178"/>
    </row>
    <row r="28515" spans="18:19">
      <c r="R28515" s="178"/>
      <c r="S28515" s="178"/>
    </row>
    <row r="28516" spans="18:19">
      <c r="R28516" s="178"/>
      <c r="S28516" s="178"/>
    </row>
    <row r="28517" spans="18:19">
      <c r="R28517" s="178"/>
      <c r="S28517" s="178"/>
    </row>
    <row r="28518" spans="18:19">
      <c r="R28518" s="178"/>
      <c r="S28518" s="178"/>
    </row>
    <row r="28519" spans="18:19">
      <c r="R28519" s="178"/>
      <c r="S28519" s="178"/>
    </row>
    <row r="28520" spans="18:19">
      <c r="R28520" s="178"/>
      <c r="S28520" s="178"/>
    </row>
    <row r="28521" spans="18:19">
      <c r="R28521" s="178"/>
      <c r="S28521" s="178"/>
    </row>
    <row r="28522" spans="18:19">
      <c r="R28522" s="178"/>
      <c r="S28522" s="178"/>
    </row>
    <row r="28523" spans="18:19">
      <c r="R28523" s="178"/>
      <c r="S28523" s="178"/>
    </row>
    <row r="28524" spans="18:19">
      <c r="R28524" s="178"/>
      <c r="S28524" s="178"/>
    </row>
    <row r="28525" spans="18:19">
      <c r="R28525" s="178"/>
      <c r="S28525" s="178"/>
    </row>
    <row r="28526" spans="18:19">
      <c r="R28526" s="178"/>
      <c r="S28526" s="178"/>
    </row>
    <row r="28527" spans="18:19">
      <c r="R28527" s="178"/>
      <c r="S28527" s="178"/>
    </row>
    <row r="28528" spans="18:19">
      <c r="R28528" s="178"/>
      <c r="S28528" s="178"/>
    </row>
    <row r="28529" spans="18:19">
      <c r="R28529" s="178"/>
      <c r="S28529" s="178"/>
    </row>
    <row r="28530" spans="18:19">
      <c r="R28530" s="178"/>
      <c r="S28530" s="178"/>
    </row>
    <row r="28531" spans="18:19">
      <c r="R28531" s="178"/>
      <c r="S28531" s="178"/>
    </row>
    <row r="28532" spans="18:19">
      <c r="R28532" s="178"/>
      <c r="S28532" s="178"/>
    </row>
    <row r="28533" spans="18:19">
      <c r="R28533" s="178"/>
      <c r="S28533" s="178"/>
    </row>
    <row r="28534" spans="18:19">
      <c r="R28534" s="178"/>
      <c r="S28534" s="178"/>
    </row>
    <row r="28535" spans="18:19">
      <c r="R28535" s="178"/>
      <c r="S28535" s="178"/>
    </row>
    <row r="28536" spans="18:19">
      <c r="R28536" s="178"/>
      <c r="S28536" s="178"/>
    </row>
    <row r="28537" spans="18:19">
      <c r="R28537" s="178"/>
      <c r="S28537" s="178"/>
    </row>
    <row r="28538" spans="18:19">
      <c r="R28538" s="178"/>
      <c r="S28538" s="178"/>
    </row>
    <row r="28539" spans="18:19">
      <c r="R28539" s="178"/>
      <c r="S28539" s="178"/>
    </row>
    <row r="28540" spans="18:19">
      <c r="R28540" s="178"/>
      <c r="S28540" s="178"/>
    </row>
    <row r="28541" spans="18:19">
      <c r="R28541" s="178"/>
      <c r="S28541" s="178"/>
    </row>
    <row r="28542" spans="18:19">
      <c r="R28542" s="178"/>
      <c r="S28542" s="178"/>
    </row>
    <row r="28543" spans="18:19">
      <c r="R28543" s="178"/>
      <c r="S28543" s="178"/>
    </row>
    <row r="28544" spans="18:19">
      <c r="R28544" s="178"/>
      <c r="S28544" s="178"/>
    </row>
    <row r="28545" spans="18:19">
      <c r="R28545" s="178"/>
      <c r="S28545" s="178"/>
    </row>
    <row r="28546" spans="18:19">
      <c r="R28546" s="178"/>
      <c r="S28546" s="178"/>
    </row>
    <row r="28547" spans="18:19">
      <c r="R28547" s="178"/>
      <c r="S28547" s="178"/>
    </row>
    <row r="28548" spans="18:19">
      <c r="R28548" s="178"/>
      <c r="S28548" s="178"/>
    </row>
    <row r="28549" spans="18:19">
      <c r="R28549" s="178"/>
      <c r="S28549" s="178"/>
    </row>
    <row r="28550" spans="18:19">
      <c r="R28550" s="178"/>
      <c r="S28550" s="178"/>
    </row>
    <row r="28551" spans="18:19">
      <c r="R28551" s="178"/>
      <c r="S28551" s="178"/>
    </row>
    <row r="28552" spans="18:19">
      <c r="R28552" s="178"/>
      <c r="S28552" s="178"/>
    </row>
    <row r="28553" spans="18:19">
      <c r="R28553" s="178"/>
      <c r="S28553" s="178"/>
    </row>
    <row r="28554" spans="18:19">
      <c r="R28554" s="178"/>
      <c r="S28554" s="178"/>
    </row>
    <row r="28555" spans="18:19">
      <c r="R28555" s="178"/>
      <c r="S28555" s="178"/>
    </row>
    <row r="28556" spans="18:19">
      <c r="R28556" s="178"/>
      <c r="S28556" s="178"/>
    </row>
    <row r="28557" spans="18:19">
      <c r="R28557" s="178"/>
      <c r="S28557" s="178"/>
    </row>
    <row r="28558" spans="18:19">
      <c r="R28558" s="178"/>
      <c r="S28558" s="178"/>
    </row>
    <row r="28559" spans="18:19">
      <c r="R28559" s="178"/>
      <c r="S28559" s="178"/>
    </row>
    <row r="28560" spans="18:19">
      <c r="R28560" s="178"/>
      <c r="S28560" s="178"/>
    </row>
    <row r="28561" spans="18:19">
      <c r="R28561" s="178"/>
      <c r="S28561" s="178"/>
    </row>
    <row r="28562" spans="18:19">
      <c r="R28562" s="178"/>
      <c r="S28562" s="178"/>
    </row>
    <row r="28563" spans="18:19">
      <c r="R28563" s="178"/>
      <c r="S28563" s="178"/>
    </row>
    <row r="28564" spans="18:19">
      <c r="R28564" s="178"/>
      <c r="S28564" s="178"/>
    </row>
    <row r="28565" spans="18:19">
      <c r="R28565" s="178"/>
      <c r="S28565" s="178"/>
    </row>
    <row r="28566" spans="18:19">
      <c r="R28566" s="178"/>
      <c r="S28566" s="178"/>
    </row>
    <row r="28567" spans="18:19">
      <c r="R28567" s="178"/>
      <c r="S28567" s="178"/>
    </row>
    <row r="28568" spans="18:19">
      <c r="R28568" s="178"/>
      <c r="S28568" s="178"/>
    </row>
    <row r="28569" spans="18:19">
      <c r="R28569" s="178"/>
      <c r="S28569" s="178"/>
    </row>
    <row r="28570" spans="18:19">
      <c r="R28570" s="178"/>
      <c r="S28570" s="178"/>
    </row>
    <row r="28571" spans="18:19">
      <c r="R28571" s="178"/>
      <c r="S28571" s="178"/>
    </row>
    <row r="28572" spans="18:19">
      <c r="R28572" s="178"/>
      <c r="S28572" s="178"/>
    </row>
    <row r="28573" spans="18:19">
      <c r="R28573" s="178"/>
      <c r="S28573" s="178"/>
    </row>
    <row r="28574" spans="18:19">
      <c r="R28574" s="178"/>
      <c r="S28574" s="178"/>
    </row>
    <row r="28575" spans="18:19">
      <c r="R28575" s="178"/>
      <c r="S28575" s="178"/>
    </row>
    <row r="28576" spans="18:19">
      <c r="R28576" s="178"/>
      <c r="S28576" s="178"/>
    </row>
    <row r="28577" spans="18:19">
      <c r="R28577" s="178"/>
      <c r="S28577" s="178"/>
    </row>
    <row r="28578" spans="18:19">
      <c r="R28578" s="178"/>
      <c r="S28578" s="178"/>
    </row>
    <row r="28579" spans="18:19">
      <c r="R28579" s="178"/>
      <c r="S28579" s="178"/>
    </row>
    <row r="28580" spans="18:19">
      <c r="R28580" s="178"/>
      <c r="S28580" s="178"/>
    </row>
    <row r="28581" spans="18:19">
      <c r="R28581" s="178"/>
      <c r="S28581" s="178"/>
    </row>
    <row r="28582" spans="18:19">
      <c r="R28582" s="178"/>
      <c r="S28582" s="178"/>
    </row>
    <row r="28583" spans="18:19">
      <c r="R28583" s="178"/>
      <c r="S28583" s="178"/>
    </row>
    <row r="28584" spans="18:19">
      <c r="R28584" s="178"/>
      <c r="S28584" s="178"/>
    </row>
    <row r="28585" spans="18:19">
      <c r="R28585" s="178"/>
      <c r="S28585" s="178"/>
    </row>
    <row r="28586" spans="18:19">
      <c r="R28586" s="178"/>
      <c r="S28586" s="178"/>
    </row>
    <row r="28587" spans="18:19">
      <c r="R28587" s="178"/>
      <c r="S28587" s="178"/>
    </row>
    <row r="28588" spans="18:19">
      <c r="R28588" s="178"/>
      <c r="S28588" s="178"/>
    </row>
    <row r="28589" spans="18:19">
      <c r="R28589" s="178"/>
      <c r="S28589" s="178"/>
    </row>
    <row r="28590" spans="18:19">
      <c r="R28590" s="178"/>
      <c r="S28590" s="178"/>
    </row>
    <row r="28591" spans="18:19">
      <c r="R28591" s="178"/>
      <c r="S28591" s="178"/>
    </row>
    <row r="28592" spans="18:19">
      <c r="R28592" s="178"/>
      <c r="S28592" s="178"/>
    </row>
    <row r="28593" spans="18:19">
      <c r="R28593" s="178"/>
      <c r="S28593" s="178"/>
    </row>
    <row r="28594" spans="18:19">
      <c r="R28594" s="178"/>
      <c r="S28594" s="178"/>
    </row>
    <row r="28595" spans="18:19">
      <c r="R28595" s="178"/>
      <c r="S28595" s="178"/>
    </row>
    <row r="28596" spans="18:19">
      <c r="R28596" s="178"/>
      <c r="S28596" s="178"/>
    </row>
    <row r="28597" spans="18:19">
      <c r="R28597" s="178"/>
      <c r="S28597" s="178"/>
    </row>
    <row r="28598" spans="18:19">
      <c r="R28598" s="178"/>
      <c r="S28598" s="178"/>
    </row>
    <row r="28599" spans="18:19">
      <c r="R28599" s="178"/>
      <c r="S28599" s="178"/>
    </row>
    <row r="28600" spans="18:19">
      <c r="R28600" s="178"/>
      <c r="S28600" s="178"/>
    </row>
    <row r="28601" spans="18:19">
      <c r="R28601" s="178"/>
      <c r="S28601" s="178"/>
    </row>
    <row r="28602" spans="18:19">
      <c r="R28602" s="178"/>
      <c r="S28602" s="178"/>
    </row>
    <row r="28603" spans="18:19">
      <c r="R28603" s="178"/>
      <c r="S28603" s="178"/>
    </row>
    <row r="28604" spans="18:19">
      <c r="R28604" s="178"/>
      <c r="S28604" s="178"/>
    </row>
    <row r="28605" spans="18:19">
      <c r="R28605" s="178"/>
      <c r="S28605" s="178"/>
    </row>
    <row r="28606" spans="18:19">
      <c r="R28606" s="178"/>
      <c r="S28606" s="178"/>
    </row>
    <row r="28607" spans="18:19">
      <c r="R28607" s="178"/>
      <c r="S28607" s="178"/>
    </row>
    <row r="28608" spans="18:19">
      <c r="R28608" s="178"/>
      <c r="S28608" s="178"/>
    </row>
    <row r="28609" spans="18:19">
      <c r="R28609" s="178"/>
      <c r="S28609" s="178"/>
    </row>
    <row r="28610" spans="18:19">
      <c r="R28610" s="178"/>
      <c r="S28610" s="178"/>
    </row>
    <row r="28611" spans="18:19">
      <c r="R28611" s="178"/>
      <c r="S28611" s="178"/>
    </row>
    <row r="28612" spans="18:19">
      <c r="R28612" s="178"/>
      <c r="S28612" s="178"/>
    </row>
    <row r="28613" spans="18:19">
      <c r="R28613" s="178"/>
      <c r="S28613" s="178"/>
    </row>
    <row r="28614" spans="18:19">
      <c r="R28614" s="178"/>
      <c r="S28614" s="178"/>
    </row>
    <row r="28615" spans="18:19">
      <c r="R28615" s="178"/>
      <c r="S28615" s="178"/>
    </row>
    <row r="28616" spans="18:19">
      <c r="R28616" s="178"/>
      <c r="S28616" s="178"/>
    </row>
    <row r="28617" spans="18:19">
      <c r="R28617" s="178"/>
      <c r="S28617" s="178"/>
    </row>
    <row r="28618" spans="18:19">
      <c r="R28618" s="178"/>
      <c r="S28618" s="178"/>
    </row>
    <row r="28619" spans="18:19">
      <c r="R28619" s="178"/>
      <c r="S28619" s="178"/>
    </row>
    <row r="28620" spans="18:19">
      <c r="R28620" s="178"/>
      <c r="S28620" s="178"/>
    </row>
    <row r="28621" spans="18:19">
      <c r="R28621" s="178"/>
      <c r="S28621" s="178"/>
    </row>
    <row r="28622" spans="18:19">
      <c r="R28622" s="178"/>
      <c r="S28622" s="178"/>
    </row>
    <row r="28623" spans="18:19">
      <c r="R28623" s="178"/>
      <c r="S28623" s="178"/>
    </row>
    <row r="28624" spans="18:19">
      <c r="R28624" s="178"/>
      <c r="S28624" s="178"/>
    </row>
    <row r="28625" spans="18:19">
      <c r="R28625" s="178"/>
      <c r="S28625" s="178"/>
    </row>
    <row r="28626" spans="18:19">
      <c r="R28626" s="178"/>
      <c r="S28626" s="178"/>
    </row>
    <row r="28627" spans="18:19">
      <c r="R28627" s="178"/>
      <c r="S28627" s="178"/>
    </row>
    <row r="28628" spans="18:19">
      <c r="R28628" s="178"/>
      <c r="S28628" s="178"/>
    </row>
    <row r="28629" spans="18:19">
      <c r="R28629" s="178"/>
      <c r="S28629" s="178"/>
    </row>
    <row r="28630" spans="18:19">
      <c r="R28630" s="178"/>
      <c r="S28630" s="178"/>
    </row>
    <row r="28631" spans="18:19">
      <c r="R28631" s="178"/>
      <c r="S28631" s="178"/>
    </row>
    <row r="28632" spans="18:19">
      <c r="R28632" s="178"/>
      <c r="S28632" s="178"/>
    </row>
    <row r="28633" spans="18:19">
      <c r="R28633" s="178"/>
      <c r="S28633" s="178"/>
    </row>
    <row r="28634" spans="18:19">
      <c r="R28634" s="178"/>
      <c r="S28634" s="178"/>
    </row>
    <row r="28635" spans="18:19">
      <c r="R28635" s="178"/>
      <c r="S28635" s="178"/>
    </row>
    <row r="28636" spans="18:19">
      <c r="R28636" s="178"/>
      <c r="S28636" s="178"/>
    </row>
    <row r="28637" spans="18:19">
      <c r="R28637" s="178"/>
      <c r="S28637" s="178"/>
    </row>
    <row r="28638" spans="18:19">
      <c r="R28638" s="178"/>
      <c r="S28638" s="178"/>
    </row>
    <row r="28639" spans="18:19">
      <c r="R28639" s="178"/>
      <c r="S28639" s="178"/>
    </row>
    <row r="28640" spans="18:19">
      <c r="R28640" s="178"/>
      <c r="S28640" s="178"/>
    </row>
    <row r="28641" spans="18:19">
      <c r="R28641" s="178"/>
      <c r="S28641" s="178"/>
    </row>
    <row r="28642" spans="18:19">
      <c r="R28642" s="178"/>
      <c r="S28642" s="178"/>
    </row>
    <row r="28643" spans="18:19">
      <c r="R28643" s="178"/>
      <c r="S28643" s="178"/>
    </row>
    <row r="28644" spans="18:19">
      <c r="R28644" s="178"/>
      <c r="S28644" s="178"/>
    </row>
    <row r="28645" spans="18:19">
      <c r="R28645" s="178"/>
      <c r="S28645" s="178"/>
    </row>
    <row r="28646" spans="18:19">
      <c r="R28646" s="178"/>
      <c r="S28646" s="178"/>
    </row>
    <row r="28647" spans="18:19">
      <c r="R28647" s="178"/>
      <c r="S28647" s="178"/>
    </row>
    <row r="28648" spans="18:19">
      <c r="R28648" s="178"/>
      <c r="S28648" s="178"/>
    </row>
    <row r="28649" spans="18:19">
      <c r="R28649" s="178"/>
      <c r="S28649" s="178"/>
    </row>
    <row r="28650" spans="18:19">
      <c r="R28650" s="178"/>
      <c r="S28650" s="178"/>
    </row>
    <row r="28651" spans="18:19">
      <c r="R28651" s="178"/>
      <c r="S28651" s="178"/>
    </row>
    <row r="28652" spans="18:19">
      <c r="R28652" s="178"/>
      <c r="S28652" s="178"/>
    </row>
    <row r="28653" spans="18:19">
      <c r="R28653" s="178"/>
      <c r="S28653" s="178"/>
    </row>
    <row r="28654" spans="18:19">
      <c r="R28654" s="178"/>
      <c r="S28654" s="178"/>
    </row>
    <row r="28655" spans="18:19">
      <c r="R28655" s="178"/>
      <c r="S28655" s="178"/>
    </row>
    <row r="28656" spans="18:19">
      <c r="R28656" s="178"/>
      <c r="S28656" s="178"/>
    </row>
    <row r="28657" spans="18:19">
      <c r="R28657" s="178"/>
      <c r="S28657" s="178"/>
    </row>
    <row r="28658" spans="18:19">
      <c r="R28658" s="178"/>
      <c r="S28658" s="178"/>
    </row>
    <row r="28659" spans="18:19">
      <c r="R28659" s="178"/>
      <c r="S28659" s="178"/>
    </row>
    <row r="28660" spans="18:19">
      <c r="R28660" s="178"/>
      <c r="S28660" s="178"/>
    </row>
    <row r="28661" spans="18:19">
      <c r="R28661" s="178"/>
      <c r="S28661" s="178"/>
    </row>
    <row r="28662" spans="18:19">
      <c r="R28662" s="178"/>
      <c r="S28662" s="178"/>
    </row>
    <row r="28663" spans="18:19">
      <c r="R28663" s="178"/>
      <c r="S28663" s="178"/>
    </row>
    <row r="28664" spans="18:19">
      <c r="R28664" s="178"/>
      <c r="S28664" s="178"/>
    </row>
    <row r="28665" spans="18:19">
      <c r="R28665" s="178"/>
      <c r="S28665" s="178"/>
    </row>
    <row r="28666" spans="18:19">
      <c r="R28666" s="178"/>
      <c r="S28666" s="178"/>
    </row>
    <row r="28667" spans="18:19">
      <c r="R28667" s="178"/>
      <c r="S28667" s="178"/>
    </row>
    <row r="28668" spans="18:19">
      <c r="R28668" s="178"/>
      <c r="S28668" s="178"/>
    </row>
    <row r="28669" spans="18:19">
      <c r="R28669" s="178"/>
      <c r="S28669" s="178"/>
    </row>
    <row r="28670" spans="18:19">
      <c r="R28670" s="178"/>
      <c r="S28670" s="178"/>
    </row>
    <row r="28671" spans="18:19">
      <c r="R28671" s="178"/>
      <c r="S28671" s="178"/>
    </row>
    <row r="28672" spans="18:19">
      <c r="R28672" s="178"/>
      <c r="S28672" s="178"/>
    </row>
    <row r="28673" spans="18:19">
      <c r="R28673" s="178"/>
      <c r="S28673" s="178"/>
    </row>
    <row r="28674" spans="18:19">
      <c r="R28674" s="178"/>
      <c r="S28674" s="178"/>
    </row>
    <row r="28675" spans="18:19">
      <c r="R28675" s="178"/>
      <c r="S28675" s="178"/>
    </row>
    <row r="28676" spans="18:19">
      <c r="R28676" s="178"/>
      <c r="S28676" s="178"/>
    </row>
    <row r="28677" spans="18:19">
      <c r="R28677" s="178"/>
      <c r="S28677" s="178"/>
    </row>
    <row r="28678" spans="18:19">
      <c r="R28678" s="178"/>
      <c r="S28678" s="178"/>
    </row>
    <row r="28679" spans="18:19">
      <c r="R28679" s="178"/>
      <c r="S28679" s="178"/>
    </row>
    <row r="28680" spans="18:19">
      <c r="R28680" s="178"/>
      <c r="S28680" s="178"/>
    </row>
    <row r="28681" spans="18:19">
      <c r="R28681" s="178"/>
      <c r="S28681" s="178"/>
    </row>
    <row r="28682" spans="18:19">
      <c r="R28682" s="178"/>
      <c r="S28682" s="178"/>
    </row>
    <row r="28683" spans="18:19">
      <c r="R28683" s="178"/>
      <c r="S28683" s="178"/>
    </row>
    <row r="28684" spans="18:19">
      <c r="R28684" s="178"/>
      <c r="S28684" s="178"/>
    </row>
    <row r="28685" spans="18:19">
      <c r="R28685" s="178"/>
      <c r="S28685" s="178"/>
    </row>
    <row r="28686" spans="18:19">
      <c r="R28686" s="178"/>
      <c r="S28686" s="178"/>
    </row>
    <row r="28687" spans="18:19">
      <c r="R28687" s="178"/>
      <c r="S28687" s="178"/>
    </row>
    <row r="28688" spans="18:19">
      <c r="R28688" s="178"/>
      <c r="S28688" s="178"/>
    </row>
    <row r="28689" spans="18:19">
      <c r="R28689" s="178"/>
      <c r="S28689" s="178"/>
    </row>
    <row r="28690" spans="18:19">
      <c r="R28690" s="178"/>
      <c r="S28690" s="178"/>
    </row>
    <row r="28691" spans="18:19">
      <c r="R28691" s="178"/>
      <c r="S28691" s="178"/>
    </row>
    <row r="28692" spans="18:19">
      <c r="R28692" s="178"/>
      <c r="S28692" s="178"/>
    </row>
    <row r="28693" spans="18:19">
      <c r="R28693" s="178"/>
      <c r="S28693" s="178"/>
    </row>
    <row r="28694" spans="18:19">
      <c r="R28694" s="178"/>
      <c r="S28694" s="178"/>
    </row>
    <row r="28695" spans="18:19">
      <c r="R28695" s="178"/>
      <c r="S28695" s="178"/>
    </row>
    <row r="28696" spans="18:19">
      <c r="R28696" s="178"/>
      <c r="S28696" s="178"/>
    </row>
    <row r="28697" spans="18:19">
      <c r="R28697" s="178"/>
      <c r="S28697" s="178"/>
    </row>
    <row r="28698" spans="18:19">
      <c r="R28698" s="178"/>
      <c r="S28698" s="178"/>
    </row>
    <row r="28699" spans="18:19">
      <c r="R28699" s="178"/>
      <c r="S28699" s="178"/>
    </row>
    <row r="28700" spans="18:19">
      <c r="R28700" s="178"/>
      <c r="S28700" s="178"/>
    </row>
    <row r="28701" spans="18:19">
      <c r="R28701" s="178"/>
      <c r="S28701" s="178"/>
    </row>
    <row r="28702" spans="18:19">
      <c r="R28702" s="178"/>
      <c r="S28702" s="178"/>
    </row>
    <row r="28703" spans="18:19">
      <c r="R28703" s="178"/>
      <c r="S28703" s="178"/>
    </row>
    <row r="28704" spans="18:19">
      <c r="R28704" s="178"/>
      <c r="S28704" s="178"/>
    </row>
    <row r="28705" spans="18:19">
      <c r="R28705" s="178"/>
      <c r="S28705" s="178"/>
    </row>
    <row r="28706" spans="18:19">
      <c r="R28706" s="178"/>
      <c r="S28706" s="178"/>
    </row>
    <row r="28707" spans="18:19">
      <c r="R28707" s="178"/>
      <c r="S28707" s="178"/>
    </row>
    <row r="28708" spans="18:19">
      <c r="R28708" s="178"/>
      <c r="S28708" s="178"/>
    </row>
    <row r="28709" spans="18:19">
      <c r="R28709" s="178"/>
      <c r="S28709" s="178"/>
    </row>
    <row r="28710" spans="18:19">
      <c r="R28710" s="178"/>
      <c r="S28710" s="178"/>
    </row>
    <row r="28711" spans="18:19">
      <c r="R28711" s="178"/>
      <c r="S28711" s="178"/>
    </row>
    <row r="28712" spans="18:19">
      <c r="R28712" s="178"/>
      <c r="S28712" s="178"/>
    </row>
    <row r="28713" spans="18:19">
      <c r="R28713" s="178"/>
      <c r="S28713" s="178"/>
    </row>
    <row r="28714" spans="18:19">
      <c r="R28714" s="178"/>
      <c r="S28714" s="178"/>
    </row>
    <row r="28715" spans="18:19">
      <c r="R28715" s="178"/>
      <c r="S28715" s="178"/>
    </row>
    <row r="28716" spans="18:19">
      <c r="R28716" s="178"/>
      <c r="S28716" s="178"/>
    </row>
    <row r="28717" spans="18:19">
      <c r="R28717" s="178"/>
      <c r="S28717" s="178"/>
    </row>
    <row r="28718" spans="18:19">
      <c r="R28718" s="178"/>
      <c r="S28718" s="178"/>
    </row>
    <row r="28719" spans="18:19">
      <c r="R28719" s="178"/>
      <c r="S28719" s="178"/>
    </row>
    <row r="28720" spans="18:19">
      <c r="R28720" s="178"/>
      <c r="S28720" s="178"/>
    </row>
    <row r="28721" spans="18:19">
      <c r="R28721" s="178"/>
      <c r="S28721" s="178"/>
    </row>
    <row r="28722" spans="18:19">
      <c r="R28722" s="178"/>
      <c r="S28722" s="178"/>
    </row>
    <row r="28723" spans="18:19">
      <c r="R28723" s="178"/>
      <c r="S28723" s="178"/>
    </row>
    <row r="28724" spans="18:19">
      <c r="R28724" s="178"/>
      <c r="S28724" s="178"/>
    </row>
    <row r="28725" spans="18:19">
      <c r="R28725" s="178"/>
      <c r="S28725" s="178"/>
    </row>
    <row r="28726" spans="18:19">
      <c r="R28726" s="178"/>
      <c r="S28726" s="178"/>
    </row>
    <row r="28727" spans="18:19">
      <c r="R28727" s="178"/>
      <c r="S28727" s="178"/>
    </row>
    <row r="28728" spans="18:19">
      <c r="R28728" s="178"/>
      <c r="S28728" s="178"/>
    </row>
    <row r="28729" spans="18:19">
      <c r="R28729" s="178"/>
      <c r="S28729" s="178"/>
    </row>
    <row r="28730" spans="18:19">
      <c r="R28730" s="178"/>
      <c r="S28730" s="178"/>
    </row>
    <row r="28731" spans="18:19">
      <c r="R28731" s="178"/>
      <c r="S28731" s="178"/>
    </row>
    <row r="28732" spans="18:19">
      <c r="R28732" s="178"/>
      <c r="S28732" s="178"/>
    </row>
    <row r="28733" spans="18:19">
      <c r="R28733" s="178"/>
      <c r="S28733" s="178"/>
    </row>
    <row r="28734" spans="18:19">
      <c r="R28734" s="178"/>
      <c r="S28734" s="178"/>
    </row>
    <row r="28735" spans="18:19">
      <c r="R28735" s="178"/>
      <c r="S28735" s="178"/>
    </row>
    <row r="28736" spans="18:19">
      <c r="R28736" s="178"/>
      <c r="S28736" s="178"/>
    </row>
    <row r="28737" spans="18:19">
      <c r="R28737" s="178"/>
      <c r="S28737" s="178"/>
    </row>
    <row r="28738" spans="18:19">
      <c r="R28738" s="178"/>
      <c r="S28738" s="178"/>
    </row>
    <row r="28739" spans="18:19">
      <c r="R28739" s="178"/>
      <c r="S28739" s="178"/>
    </row>
    <row r="28740" spans="18:19">
      <c r="R28740" s="178"/>
      <c r="S28740" s="178"/>
    </row>
    <row r="28741" spans="18:19">
      <c r="R28741" s="178"/>
      <c r="S28741" s="178"/>
    </row>
    <row r="28742" spans="18:19">
      <c r="R28742" s="178"/>
      <c r="S28742" s="178"/>
    </row>
    <row r="28743" spans="18:19">
      <c r="R28743" s="178"/>
      <c r="S28743" s="178"/>
    </row>
    <row r="28744" spans="18:19">
      <c r="R28744" s="178"/>
      <c r="S28744" s="178"/>
    </row>
    <row r="28745" spans="18:19">
      <c r="R28745" s="178"/>
      <c r="S28745" s="178"/>
    </row>
    <row r="28746" spans="18:19">
      <c r="R28746" s="178"/>
      <c r="S28746" s="178"/>
    </row>
    <row r="28747" spans="18:19">
      <c r="R28747" s="178"/>
      <c r="S28747" s="178"/>
    </row>
    <row r="28748" spans="18:19">
      <c r="R28748" s="178"/>
      <c r="S28748" s="178"/>
    </row>
    <row r="28749" spans="18:19">
      <c r="R28749" s="178"/>
      <c r="S28749" s="178"/>
    </row>
    <row r="28750" spans="18:19">
      <c r="R28750" s="178"/>
      <c r="S28750" s="178"/>
    </row>
    <row r="28751" spans="18:19">
      <c r="R28751" s="178"/>
      <c r="S28751" s="178"/>
    </row>
    <row r="28752" spans="18:19">
      <c r="R28752" s="178"/>
      <c r="S28752" s="178"/>
    </row>
    <row r="28753" spans="18:19">
      <c r="R28753" s="178"/>
      <c r="S28753" s="178"/>
    </row>
    <row r="28754" spans="18:19">
      <c r="R28754" s="178"/>
      <c r="S28754" s="178"/>
    </row>
    <row r="28755" spans="18:19">
      <c r="R28755" s="178"/>
      <c r="S28755" s="178"/>
    </row>
    <row r="28756" spans="18:19">
      <c r="R28756" s="178"/>
      <c r="S28756" s="178"/>
    </row>
    <row r="28757" spans="18:19">
      <c r="R28757" s="178"/>
      <c r="S28757" s="178"/>
    </row>
    <row r="28758" spans="18:19">
      <c r="R28758" s="178"/>
      <c r="S28758" s="178"/>
    </row>
    <row r="28759" spans="18:19">
      <c r="R28759" s="178"/>
      <c r="S28759" s="178"/>
    </row>
    <row r="28760" spans="18:19">
      <c r="R28760" s="178"/>
      <c r="S28760" s="178"/>
    </row>
    <row r="28761" spans="18:19">
      <c r="R28761" s="178"/>
      <c r="S28761" s="178"/>
    </row>
    <row r="28762" spans="18:19">
      <c r="R28762" s="178"/>
      <c r="S28762" s="178"/>
    </row>
    <row r="28763" spans="18:19">
      <c r="R28763" s="178"/>
      <c r="S28763" s="178"/>
    </row>
    <row r="28764" spans="18:19">
      <c r="R28764" s="178"/>
      <c r="S28764" s="178"/>
    </row>
    <row r="28765" spans="18:19">
      <c r="R28765" s="178"/>
      <c r="S28765" s="178"/>
    </row>
    <row r="28766" spans="18:19">
      <c r="R28766" s="178"/>
      <c r="S28766" s="178"/>
    </row>
    <row r="28767" spans="18:19">
      <c r="R28767" s="178"/>
      <c r="S28767" s="178"/>
    </row>
    <row r="28768" spans="18:19">
      <c r="R28768" s="178"/>
      <c r="S28768" s="178"/>
    </row>
    <row r="28769" spans="18:19">
      <c r="R28769" s="178"/>
      <c r="S28769" s="178"/>
    </row>
    <row r="28770" spans="18:19">
      <c r="R28770" s="178"/>
      <c r="S28770" s="178"/>
    </row>
    <row r="28771" spans="18:19">
      <c r="R28771" s="178"/>
      <c r="S28771" s="178"/>
    </row>
    <row r="28772" spans="18:19">
      <c r="R28772" s="178"/>
      <c r="S28772" s="178"/>
    </row>
    <row r="28773" spans="18:19">
      <c r="R28773" s="178"/>
      <c r="S28773" s="178"/>
    </row>
    <row r="28774" spans="18:19">
      <c r="R28774" s="178"/>
      <c r="S28774" s="178"/>
    </row>
    <row r="28775" spans="18:19">
      <c r="R28775" s="178"/>
      <c r="S28775" s="178"/>
    </row>
    <row r="28776" spans="18:19">
      <c r="R28776" s="178"/>
      <c r="S28776" s="178"/>
    </row>
    <row r="28777" spans="18:19">
      <c r="R28777" s="178"/>
      <c r="S28777" s="178"/>
    </row>
    <row r="28778" spans="18:19">
      <c r="R28778" s="178"/>
      <c r="S28778" s="178"/>
    </row>
    <row r="28779" spans="18:19">
      <c r="R28779" s="178"/>
      <c r="S28779" s="178"/>
    </row>
    <row r="28780" spans="18:19">
      <c r="R28780" s="178"/>
      <c r="S28780" s="178"/>
    </row>
    <row r="28781" spans="18:19">
      <c r="R28781" s="178"/>
      <c r="S28781" s="178"/>
    </row>
    <row r="28782" spans="18:19">
      <c r="R28782" s="178"/>
      <c r="S28782" s="178"/>
    </row>
    <row r="28783" spans="18:19">
      <c r="R28783" s="178"/>
      <c r="S28783" s="178"/>
    </row>
    <row r="28784" spans="18:19">
      <c r="R28784" s="178"/>
      <c r="S28784" s="178"/>
    </row>
    <row r="28785" spans="18:19">
      <c r="R28785" s="178"/>
      <c r="S28785" s="178"/>
    </row>
    <row r="28786" spans="18:19">
      <c r="R28786" s="178"/>
      <c r="S28786" s="178"/>
    </row>
    <row r="28787" spans="18:19">
      <c r="R28787" s="178"/>
      <c r="S28787" s="178"/>
    </row>
    <row r="28788" spans="18:19">
      <c r="R28788" s="178"/>
      <c r="S28788" s="178"/>
    </row>
    <row r="28789" spans="18:19">
      <c r="R28789" s="178"/>
      <c r="S28789" s="178"/>
    </row>
    <row r="28790" spans="18:19">
      <c r="R28790" s="178"/>
      <c r="S28790" s="178"/>
    </row>
    <row r="28791" spans="18:19">
      <c r="R28791" s="178"/>
      <c r="S28791" s="178"/>
    </row>
    <row r="28792" spans="18:19">
      <c r="R28792" s="178"/>
      <c r="S28792" s="178"/>
    </row>
    <row r="28793" spans="18:19">
      <c r="R28793" s="178"/>
      <c r="S28793" s="178"/>
    </row>
    <row r="28794" spans="18:19">
      <c r="R28794" s="178"/>
      <c r="S28794" s="178"/>
    </row>
    <row r="28795" spans="18:19">
      <c r="R28795" s="178"/>
      <c r="S28795" s="178"/>
    </row>
    <row r="28796" spans="18:19">
      <c r="R28796" s="178"/>
      <c r="S28796" s="178"/>
    </row>
    <row r="28797" spans="18:19">
      <c r="R28797" s="178"/>
      <c r="S28797" s="178"/>
    </row>
    <row r="28798" spans="18:19">
      <c r="R28798" s="178"/>
      <c r="S28798" s="178"/>
    </row>
    <row r="28799" spans="18:19">
      <c r="R28799" s="178"/>
      <c r="S28799" s="178"/>
    </row>
    <row r="28800" spans="18:19">
      <c r="R28800" s="178"/>
      <c r="S28800" s="178"/>
    </row>
    <row r="28801" spans="18:19">
      <c r="R28801" s="178"/>
      <c r="S28801" s="178"/>
    </row>
    <row r="28802" spans="18:19">
      <c r="R28802" s="178"/>
      <c r="S28802" s="178"/>
    </row>
    <row r="28803" spans="18:19">
      <c r="R28803" s="178"/>
      <c r="S28803" s="178"/>
    </row>
    <row r="28804" spans="18:19">
      <c r="R28804" s="178"/>
      <c r="S28804" s="178"/>
    </row>
    <row r="28805" spans="18:19">
      <c r="R28805" s="178"/>
      <c r="S28805" s="178"/>
    </row>
    <row r="28806" spans="18:19">
      <c r="R28806" s="178"/>
      <c r="S28806" s="178"/>
    </row>
    <row r="28807" spans="18:19">
      <c r="R28807" s="178"/>
      <c r="S28807" s="178"/>
    </row>
    <row r="28808" spans="18:19">
      <c r="R28808" s="178"/>
      <c r="S28808" s="178"/>
    </row>
    <row r="28809" spans="18:19">
      <c r="R28809" s="178"/>
      <c r="S28809" s="178"/>
    </row>
    <row r="28810" spans="18:19">
      <c r="R28810" s="178"/>
      <c r="S28810" s="178"/>
    </row>
    <row r="28811" spans="18:19">
      <c r="R28811" s="178"/>
      <c r="S28811" s="178"/>
    </row>
    <row r="28812" spans="18:19">
      <c r="R28812" s="178"/>
      <c r="S28812" s="178"/>
    </row>
    <row r="28813" spans="18:19">
      <c r="R28813" s="178"/>
      <c r="S28813" s="178"/>
    </row>
    <row r="28814" spans="18:19">
      <c r="R28814" s="178"/>
      <c r="S28814" s="178"/>
    </row>
    <row r="28815" spans="18:19">
      <c r="R28815" s="178"/>
      <c r="S28815" s="178"/>
    </row>
    <row r="28816" spans="18:19">
      <c r="R28816" s="178"/>
      <c r="S28816" s="178"/>
    </row>
    <row r="28817" spans="18:19">
      <c r="R28817" s="178"/>
      <c r="S28817" s="178"/>
    </row>
    <row r="28818" spans="18:19">
      <c r="R28818" s="178"/>
      <c r="S28818" s="178"/>
    </row>
    <row r="28819" spans="18:19">
      <c r="R28819" s="178"/>
      <c r="S28819" s="178"/>
    </row>
    <row r="28820" spans="18:19">
      <c r="R28820" s="178"/>
      <c r="S28820" s="178"/>
    </row>
    <row r="28821" spans="18:19">
      <c r="R28821" s="178"/>
      <c r="S28821" s="178"/>
    </row>
    <row r="28822" spans="18:19">
      <c r="R28822" s="178"/>
      <c r="S28822" s="178"/>
    </row>
    <row r="28823" spans="18:19">
      <c r="R28823" s="178"/>
      <c r="S28823" s="178"/>
    </row>
    <row r="28824" spans="18:19">
      <c r="R28824" s="178"/>
      <c r="S28824" s="178"/>
    </row>
    <row r="28825" spans="18:19">
      <c r="R28825" s="178"/>
      <c r="S28825" s="178"/>
    </row>
    <row r="28826" spans="18:19">
      <c r="R28826" s="178"/>
      <c r="S28826" s="178"/>
    </row>
    <row r="28827" spans="18:19">
      <c r="R28827" s="178"/>
      <c r="S28827" s="178"/>
    </row>
    <row r="28828" spans="18:19">
      <c r="R28828" s="178"/>
      <c r="S28828" s="178"/>
    </row>
    <row r="28829" spans="18:19">
      <c r="R28829" s="178"/>
      <c r="S28829" s="178"/>
    </row>
    <row r="28830" spans="18:19">
      <c r="R28830" s="178"/>
      <c r="S28830" s="178"/>
    </row>
    <row r="28831" spans="18:19">
      <c r="R28831" s="178"/>
      <c r="S28831" s="178"/>
    </row>
    <row r="28832" spans="18:19">
      <c r="R28832" s="178"/>
      <c r="S28832" s="178"/>
    </row>
    <row r="28833" spans="18:19">
      <c r="R28833" s="178"/>
      <c r="S28833" s="178"/>
    </row>
    <row r="28834" spans="18:19">
      <c r="R28834" s="178"/>
      <c r="S28834" s="178"/>
    </row>
    <row r="28835" spans="18:19">
      <c r="R28835" s="178"/>
      <c r="S28835" s="178"/>
    </row>
    <row r="28836" spans="18:19">
      <c r="R28836" s="178"/>
      <c r="S28836" s="178"/>
    </row>
    <row r="28837" spans="18:19">
      <c r="R28837" s="178"/>
      <c r="S28837" s="178"/>
    </row>
    <row r="28838" spans="18:19">
      <c r="R28838" s="178"/>
      <c r="S28838" s="178"/>
    </row>
    <row r="28839" spans="18:19">
      <c r="R28839" s="178"/>
      <c r="S28839" s="178"/>
    </row>
    <row r="28840" spans="18:19">
      <c r="R28840" s="178"/>
      <c r="S28840" s="178"/>
    </row>
    <row r="28841" spans="18:19">
      <c r="R28841" s="178"/>
      <c r="S28841" s="178"/>
    </row>
    <row r="28842" spans="18:19">
      <c r="R28842" s="178"/>
      <c r="S28842" s="178"/>
    </row>
    <row r="28843" spans="18:19">
      <c r="R28843" s="178"/>
      <c r="S28843" s="178"/>
    </row>
    <row r="28844" spans="18:19">
      <c r="R28844" s="178"/>
      <c r="S28844" s="178"/>
    </row>
    <row r="28845" spans="18:19">
      <c r="R28845" s="178"/>
      <c r="S28845" s="178"/>
    </row>
    <row r="28846" spans="18:19">
      <c r="R28846" s="178"/>
      <c r="S28846" s="178"/>
    </row>
    <row r="28847" spans="18:19">
      <c r="R28847" s="178"/>
      <c r="S28847" s="178"/>
    </row>
    <row r="28848" spans="18:19">
      <c r="R28848" s="178"/>
      <c r="S28848" s="178"/>
    </row>
    <row r="28849" spans="18:19">
      <c r="R28849" s="178"/>
      <c r="S28849" s="178"/>
    </row>
    <row r="28850" spans="18:19">
      <c r="R28850" s="178"/>
      <c r="S28850" s="178"/>
    </row>
    <row r="28851" spans="18:19">
      <c r="R28851" s="178"/>
      <c r="S28851" s="178"/>
    </row>
    <row r="28852" spans="18:19">
      <c r="R28852" s="178"/>
      <c r="S28852" s="178"/>
    </row>
    <row r="28853" spans="18:19">
      <c r="R28853" s="178"/>
      <c r="S28853" s="178"/>
    </row>
    <row r="28854" spans="18:19">
      <c r="R28854" s="178"/>
      <c r="S28854" s="178"/>
    </row>
    <row r="28855" spans="18:19">
      <c r="R28855" s="178"/>
      <c r="S28855" s="178"/>
    </row>
    <row r="28856" spans="18:19">
      <c r="R28856" s="178"/>
      <c r="S28856" s="178"/>
    </row>
    <row r="28857" spans="18:19">
      <c r="R28857" s="178"/>
      <c r="S28857" s="178"/>
    </row>
    <row r="28858" spans="18:19">
      <c r="R28858" s="178"/>
      <c r="S28858" s="178"/>
    </row>
    <row r="28859" spans="18:19">
      <c r="R28859" s="178"/>
      <c r="S28859" s="178"/>
    </row>
    <row r="28860" spans="18:19">
      <c r="R28860" s="178"/>
      <c r="S28860" s="178"/>
    </row>
    <row r="28861" spans="18:19">
      <c r="R28861" s="178"/>
      <c r="S28861" s="178"/>
    </row>
    <row r="28862" spans="18:19">
      <c r="R28862" s="178"/>
      <c r="S28862" s="178"/>
    </row>
    <row r="28863" spans="18:19">
      <c r="R28863" s="178"/>
      <c r="S28863" s="178"/>
    </row>
    <row r="28864" spans="18:19">
      <c r="R28864" s="178"/>
      <c r="S28864" s="178"/>
    </row>
    <row r="28865" spans="18:19">
      <c r="R28865" s="178"/>
      <c r="S28865" s="178"/>
    </row>
    <row r="28866" spans="18:19">
      <c r="R28866" s="178"/>
      <c r="S28866" s="178"/>
    </row>
    <row r="28867" spans="18:19">
      <c r="R28867" s="178"/>
      <c r="S28867" s="178"/>
    </row>
    <row r="28868" spans="18:19">
      <c r="R28868" s="178"/>
      <c r="S28868" s="178"/>
    </row>
    <row r="28869" spans="18:19">
      <c r="R28869" s="178"/>
      <c r="S28869" s="178"/>
    </row>
    <row r="28870" spans="18:19">
      <c r="R28870" s="178"/>
      <c r="S28870" s="178"/>
    </row>
    <row r="28871" spans="18:19">
      <c r="R28871" s="178"/>
      <c r="S28871" s="178"/>
    </row>
    <row r="28872" spans="18:19">
      <c r="R28872" s="178"/>
      <c r="S28872" s="178"/>
    </row>
    <row r="28873" spans="18:19">
      <c r="R28873" s="178"/>
      <c r="S28873" s="178"/>
    </row>
    <row r="28874" spans="18:19">
      <c r="R28874" s="178"/>
      <c r="S28874" s="178"/>
    </row>
    <row r="28875" spans="18:19">
      <c r="R28875" s="178"/>
      <c r="S28875" s="178"/>
    </row>
    <row r="28876" spans="18:19">
      <c r="R28876" s="178"/>
      <c r="S28876" s="178"/>
    </row>
    <row r="28877" spans="18:19">
      <c r="R28877" s="178"/>
      <c r="S28877" s="178"/>
    </row>
    <row r="28878" spans="18:19">
      <c r="R28878" s="178"/>
      <c r="S28878" s="178"/>
    </row>
    <row r="28879" spans="18:19">
      <c r="R28879" s="178"/>
      <c r="S28879" s="178"/>
    </row>
    <row r="28880" spans="18:19">
      <c r="R28880" s="178"/>
      <c r="S28880" s="178"/>
    </row>
    <row r="28881" spans="18:19">
      <c r="R28881" s="178"/>
      <c r="S28881" s="178"/>
    </row>
    <row r="28882" spans="18:19">
      <c r="R28882" s="178"/>
      <c r="S28882" s="178"/>
    </row>
    <row r="28883" spans="18:19">
      <c r="R28883" s="178"/>
      <c r="S28883" s="178"/>
    </row>
    <row r="28884" spans="18:19">
      <c r="R28884" s="178"/>
      <c r="S28884" s="178"/>
    </row>
    <row r="28885" spans="18:19">
      <c r="R28885" s="178"/>
      <c r="S28885" s="178"/>
    </row>
    <row r="28886" spans="18:19">
      <c r="R28886" s="178"/>
      <c r="S28886" s="178"/>
    </row>
    <row r="28887" spans="18:19">
      <c r="R28887" s="178"/>
      <c r="S28887" s="178"/>
    </row>
    <row r="28888" spans="18:19">
      <c r="R28888" s="178"/>
      <c r="S28888" s="178"/>
    </row>
    <row r="28889" spans="18:19">
      <c r="R28889" s="178"/>
      <c r="S28889" s="178"/>
    </row>
    <row r="28890" spans="18:19">
      <c r="R28890" s="178"/>
      <c r="S28890" s="178"/>
    </row>
    <row r="28891" spans="18:19">
      <c r="R28891" s="178"/>
      <c r="S28891" s="178"/>
    </row>
    <row r="28892" spans="18:19">
      <c r="R28892" s="178"/>
      <c r="S28892" s="178"/>
    </row>
    <row r="28893" spans="18:19">
      <c r="R28893" s="178"/>
      <c r="S28893" s="178"/>
    </row>
    <row r="28894" spans="18:19">
      <c r="R28894" s="178"/>
      <c r="S28894" s="178"/>
    </row>
    <row r="28895" spans="18:19">
      <c r="R28895" s="178"/>
      <c r="S28895" s="178"/>
    </row>
    <row r="28896" spans="18:19">
      <c r="R28896" s="178"/>
      <c r="S28896" s="178"/>
    </row>
    <row r="28897" spans="18:19">
      <c r="R28897" s="178"/>
      <c r="S28897" s="178"/>
    </row>
    <row r="28898" spans="18:19">
      <c r="R28898" s="178"/>
      <c r="S28898" s="178"/>
    </row>
    <row r="28899" spans="18:19">
      <c r="R28899" s="178"/>
      <c r="S28899" s="178"/>
    </row>
    <row r="28900" spans="18:19">
      <c r="R28900" s="178"/>
      <c r="S28900" s="178"/>
    </row>
    <row r="28901" spans="18:19">
      <c r="R28901" s="178"/>
      <c r="S28901" s="178"/>
    </row>
    <row r="28902" spans="18:19">
      <c r="R28902" s="178"/>
      <c r="S28902" s="178"/>
    </row>
    <row r="28903" spans="18:19">
      <c r="R28903" s="178"/>
      <c r="S28903" s="178"/>
    </row>
    <row r="28904" spans="18:19">
      <c r="R28904" s="178"/>
      <c r="S28904" s="178"/>
    </row>
    <row r="28905" spans="18:19">
      <c r="R28905" s="178"/>
      <c r="S28905" s="178"/>
    </row>
    <row r="28906" spans="18:19">
      <c r="R28906" s="178"/>
      <c r="S28906" s="178"/>
    </row>
    <row r="28907" spans="18:19">
      <c r="R28907" s="178"/>
      <c r="S28907" s="178"/>
    </row>
    <row r="28908" spans="18:19">
      <c r="R28908" s="178"/>
      <c r="S28908" s="178"/>
    </row>
    <row r="28909" spans="18:19">
      <c r="R28909" s="178"/>
      <c r="S28909" s="178"/>
    </row>
    <row r="28910" spans="18:19">
      <c r="R28910" s="178"/>
      <c r="S28910" s="178"/>
    </row>
    <row r="28911" spans="18:19">
      <c r="R28911" s="178"/>
      <c r="S28911" s="178"/>
    </row>
    <row r="28912" spans="18:19">
      <c r="R28912" s="178"/>
      <c r="S28912" s="178"/>
    </row>
    <row r="28913" spans="18:19">
      <c r="R28913" s="178"/>
      <c r="S28913" s="178"/>
    </row>
    <row r="28914" spans="18:19">
      <c r="R28914" s="178"/>
      <c r="S28914" s="178"/>
    </row>
    <row r="28915" spans="18:19">
      <c r="R28915" s="178"/>
      <c r="S28915" s="178"/>
    </row>
    <row r="28916" spans="18:19">
      <c r="R28916" s="178"/>
      <c r="S28916" s="178"/>
    </row>
    <row r="28917" spans="18:19">
      <c r="R28917" s="178"/>
      <c r="S28917" s="178"/>
    </row>
    <row r="28918" spans="18:19">
      <c r="R28918" s="178"/>
      <c r="S28918" s="178"/>
    </row>
    <row r="28919" spans="18:19">
      <c r="R28919" s="178"/>
      <c r="S28919" s="178"/>
    </row>
    <row r="28920" spans="18:19">
      <c r="R28920" s="178"/>
      <c r="S28920" s="178"/>
    </row>
    <row r="28921" spans="18:19">
      <c r="R28921" s="178"/>
      <c r="S28921" s="178"/>
    </row>
    <row r="28922" spans="18:19">
      <c r="R28922" s="178"/>
      <c r="S28922" s="178"/>
    </row>
    <row r="28923" spans="18:19">
      <c r="R28923" s="178"/>
      <c r="S28923" s="178"/>
    </row>
    <row r="28924" spans="18:19">
      <c r="R28924" s="178"/>
      <c r="S28924" s="178"/>
    </row>
    <row r="28925" spans="18:19">
      <c r="R28925" s="178"/>
      <c r="S28925" s="178"/>
    </row>
    <row r="28926" spans="18:19">
      <c r="R28926" s="178"/>
      <c r="S28926" s="178"/>
    </row>
    <row r="28927" spans="18:19">
      <c r="R28927" s="178"/>
      <c r="S28927" s="178"/>
    </row>
    <row r="28928" spans="18:19">
      <c r="R28928" s="178"/>
      <c r="S28928" s="178"/>
    </row>
    <row r="28929" spans="18:19">
      <c r="R28929" s="178"/>
      <c r="S28929" s="178"/>
    </row>
    <row r="28930" spans="18:19">
      <c r="R28930" s="178"/>
      <c r="S28930" s="178"/>
    </row>
    <row r="28931" spans="18:19">
      <c r="R28931" s="178"/>
      <c r="S28931" s="178"/>
    </row>
    <row r="28932" spans="18:19">
      <c r="R28932" s="178"/>
      <c r="S28932" s="178"/>
    </row>
    <row r="28933" spans="18:19">
      <c r="R28933" s="178"/>
      <c r="S28933" s="178"/>
    </row>
    <row r="28934" spans="18:19">
      <c r="R28934" s="178"/>
      <c r="S28934" s="178"/>
    </row>
    <row r="28935" spans="18:19">
      <c r="R28935" s="178"/>
      <c r="S28935" s="178"/>
    </row>
    <row r="28936" spans="18:19">
      <c r="R28936" s="178"/>
      <c r="S28936" s="178"/>
    </row>
    <row r="28937" spans="18:19">
      <c r="R28937" s="178"/>
      <c r="S28937" s="178"/>
    </row>
    <row r="28938" spans="18:19">
      <c r="R28938" s="178"/>
      <c r="S28938" s="178"/>
    </row>
    <row r="28939" spans="18:19">
      <c r="R28939" s="178"/>
      <c r="S28939" s="178"/>
    </row>
    <row r="28940" spans="18:19">
      <c r="R28940" s="178"/>
      <c r="S28940" s="178"/>
    </row>
    <row r="28941" spans="18:19">
      <c r="R28941" s="178"/>
      <c r="S28941" s="178"/>
    </row>
    <row r="28942" spans="18:19">
      <c r="R28942" s="178"/>
      <c r="S28942" s="178"/>
    </row>
    <row r="28943" spans="18:19">
      <c r="R28943" s="178"/>
      <c r="S28943" s="178"/>
    </row>
    <row r="28944" spans="18:19">
      <c r="R28944" s="178"/>
      <c r="S28944" s="178"/>
    </row>
    <row r="28945" spans="18:19">
      <c r="R28945" s="178"/>
      <c r="S28945" s="178"/>
    </row>
    <row r="28946" spans="18:19">
      <c r="R28946" s="178"/>
      <c r="S28946" s="178"/>
    </row>
    <row r="28947" spans="18:19">
      <c r="R28947" s="178"/>
      <c r="S28947" s="178"/>
    </row>
    <row r="28948" spans="18:19">
      <c r="R28948" s="178"/>
      <c r="S28948" s="178"/>
    </row>
    <row r="28949" spans="18:19">
      <c r="R28949" s="178"/>
      <c r="S28949" s="178"/>
    </row>
    <row r="28950" spans="18:19">
      <c r="R28950" s="178"/>
      <c r="S28950" s="178"/>
    </row>
    <row r="28951" spans="18:19">
      <c r="R28951" s="178"/>
      <c r="S28951" s="178"/>
    </row>
    <row r="28952" spans="18:19">
      <c r="R28952" s="178"/>
      <c r="S28952" s="178"/>
    </row>
    <row r="28953" spans="18:19">
      <c r="R28953" s="178"/>
      <c r="S28953" s="178"/>
    </row>
    <row r="28954" spans="18:19">
      <c r="R28954" s="178"/>
      <c r="S28954" s="178"/>
    </row>
    <row r="28955" spans="18:19">
      <c r="R28955" s="178"/>
      <c r="S28955" s="178"/>
    </row>
    <row r="28956" spans="18:19">
      <c r="R28956" s="178"/>
      <c r="S28956" s="178"/>
    </row>
    <row r="28957" spans="18:19">
      <c r="R28957" s="178"/>
      <c r="S28957" s="178"/>
    </row>
    <row r="28958" spans="18:19">
      <c r="R28958" s="178"/>
      <c r="S28958" s="178"/>
    </row>
    <row r="28959" spans="18:19">
      <c r="R28959" s="178"/>
      <c r="S28959" s="178"/>
    </row>
    <row r="28960" spans="18:19">
      <c r="R28960" s="178"/>
      <c r="S28960" s="178"/>
    </row>
    <row r="28961" spans="18:19">
      <c r="R28961" s="178"/>
      <c r="S28961" s="178"/>
    </row>
    <row r="28962" spans="18:19">
      <c r="R28962" s="178"/>
      <c r="S28962" s="178"/>
    </row>
    <row r="28963" spans="18:19">
      <c r="R28963" s="178"/>
      <c r="S28963" s="178"/>
    </row>
    <row r="28964" spans="18:19">
      <c r="R28964" s="178"/>
      <c r="S28964" s="178"/>
    </row>
    <row r="28965" spans="18:19">
      <c r="R28965" s="178"/>
      <c r="S28965" s="178"/>
    </row>
    <row r="28966" spans="18:19">
      <c r="R28966" s="178"/>
      <c r="S28966" s="178"/>
    </row>
    <row r="28967" spans="18:19">
      <c r="R28967" s="178"/>
      <c r="S28967" s="178"/>
    </row>
    <row r="28968" spans="18:19">
      <c r="R28968" s="178"/>
      <c r="S28968" s="178"/>
    </row>
    <row r="28969" spans="18:19">
      <c r="R28969" s="178"/>
      <c r="S28969" s="178"/>
    </row>
    <row r="28970" spans="18:19">
      <c r="R28970" s="178"/>
      <c r="S28970" s="178"/>
    </row>
    <row r="28971" spans="18:19">
      <c r="R28971" s="178"/>
      <c r="S28971" s="178"/>
    </row>
    <row r="28972" spans="18:19">
      <c r="R28972" s="178"/>
      <c r="S28972" s="178"/>
    </row>
    <row r="28973" spans="18:19">
      <c r="R28973" s="178"/>
      <c r="S28973" s="178"/>
    </row>
    <row r="28974" spans="18:19">
      <c r="R28974" s="178"/>
      <c r="S28974" s="178"/>
    </row>
    <row r="28975" spans="18:19">
      <c r="R28975" s="178"/>
      <c r="S28975" s="178"/>
    </row>
    <row r="28976" spans="18:19">
      <c r="R28976" s="178"/>
      <c r="S28976" s="178"/>
    </row>
    <row r="28977" spans="18:19">
      <c r="R28977" s="178"/>
      <c r="S28977" s="178"/>
    </row>
    <row r="28978" spans="18:19">
      <c r="R28978" s="178"/>
      <c r="S28978" s="178"/>
    </row>
    <row r="28979" spans="18:19">
      <c r="R28979" s="178"/>
      <c r="S28979" s="178"/>
    </row>
    <row r="28980" spans="18:19">
      <c r="R28980" s="178"/>
      <c r="S28980" s="178"/>
    </row>
    <row r="28981" spans="18:19">
      <c r="R28981" s="178"/>
      <c r="S28981" s="178"/>
    </row>
    <row r="28982" spans="18:19">
      <c r="R28982" s="178"/>
      <c r="S28982" s="178"/>
    </row>
    <row r="28983" spans="18:19">
      <c r="R28983" s="178"/>
      <c r="S28983" s="178"/>
    </row>
    <row r="28984" spans="18:19">
      <c r="R28984" s="178"/>
      <c r="S28984" s="178"/>
    </row>
    <row r="28985" spans="18:19">
      <c r="R28985" s="178"/>
      <c r="S28985" s="178"/>
    </row>
    <row r="28986" spans="18:19">
      <c r="R28986" s="178"/>
      <c r="S28986" s="178"/>
    </row>
    <row r="28987" spans="18:19">
      <c r="R28987" s="178"/>
      <c r="S28987" s="178"/>
    </row>
    <row r="28988" spans="18:19">
      <c r="R28988" s="178"/>
      <c r="S28988" s="178"/>
    </row>
    <row r="28989" spans="18:19">
      <c r="R28989" s="178"/>
      <c r="S28989" s="178"/>
    </row>
    <row r="28990" spans="18:19">
      <c r="R28990" s="178"/>
      <c r="S28990" s="178"/>
    </row>
    <row r="28991" spans="18:19">
      <c r="R28991" s="178"/>
      <c r="S28991" s="178"/>
    </row>
    <row r="28992" spans="18:19">
      <c r="R28992" s="178"/>
      <c r="S28992" s="178"/>
    </row>
    <row r="28993" spans="18:19">
      <c r="R28993" s="178"/>
      <c r="S28993" s="178"/>
    </row>
    <row r="28994" spans="18:19">
      <c r="R28994" s="178"/>
      <c r="S28994" s="178"/>
    </row>
    <row r="28995" spans="18:19">
      <c r="R28995" s="178"/>
      <c r="S28995" s="178"/>
    </row>
    <row r="28996" spans="18:19">
      <c r="R28996" s="178"/>
      <c r="S28996" s="178"/>
    </row>
    <row r="28997" spans="18:19">
      <c r="R28997" s="178"/>
      <c r="S28997" s="178"/>
    </row>
    <row r="28998" spans="18:19">
      <c r="R28998" s="178"/>
      <c r="S28998" s="178"/>
    </row>
    <row r="28999" spans="18:19">
      <c r="R28999" s="178"/>
      <c r="S28999" s="178"/>
    </row>
    <row r="29000" spans="18:19">
      <c r="R29000" s="178"/>
      <c r="S29000" s="178"/>
    </row>
    <row r="29001" spans="18:19">
      <c r="R29001" s="178"/>
      <c r="S29001" s="178"/>
    </row>
    <row r="29002" spans="18:19">
      <c r="R29002" s="178"/>
      <c r="S29002" s="178"/>
    </row>
    <row r="29003" spans="18:19">
      <c r="R29003" s="178"/>
      <c r="S29003" s="178"/>
    </row>
    <row r="29004" spans="18:19">
      <c r="R29004" s="178"/>
      <c r="S29004" s="178"/>
    </row>
    <row r="29005" spans="18:19">
      <c r="R29005" s="178"/>
      <c r="S29005" s="178"/>
    </row>
    <row r="29006" spans="18:19">
      <c r="R29006" s="178"/>
      <c r="S29006" s="178"/>
    </row>
    <row r="29007" spans="18:19">
      <c r="R29007" s="178"/>
      <c r="S29007" s="178"/>
    </row>
    <row r="29008" spans="18:19">
      <c r="R29008" s="178"/>
      <c r="S29008" s="178"/>
    </row>
    <row r="29009" spans="18:19">
      <c r="R29009" s="178"/>
      <c r="S29009" s="178"/>
    </row>
    <row r="29010" spans="18:19">
      <c r="R29010" s="178"/>
      <c r="S29010" s="178"/>
    </row>
    <row r="29011" spans="18:19">
      <c r="R29011" s="178"/>
      <c r="S29011" s="178"/>
    </row>
    <row r="29012" spans="18:19">
      <c r="R29012" s="178"/>
      <c r="S29012" s="178"/>
    </row>
    <row r="29013" spans="18:19">
      <c r="R29013" s="178"/>
      <c r="S29013" s="178"/>
    </row>
    <row r="29014" spans="18:19">
      <c r="R29014" s="178"/>
      <c r="S29014" s="178"/>
    </row>
    <row r="29015" spans="18:19">
      <c r="R29015" s="178"/>
      <c r="S29015" s="178"/>
    </row>
    <row r="29016" spans="18:19">
      <c r="R29016" s="178"/>
      <c r="S29016" s="178"/>
    </row>
    <row r="29017" spans="18:19">
      <c r="R29017" s="178"/>
      <c r="S29017" s="178"/>
    </row>
    <row r="29018" spans="18:19">
      <c r="R29018" s="178"/>
      <c r="S29018" s="178"/>
    </row>
    <row r="29019" spans="18:19">
      <c r="R29019" s="178"/>
      <c r="S29019" s="178"/>
    </row>
    <row r="29020" spans="18:19">
      <c r="R29020" s="178"/>
      <c r="S29020" s="178"/>
    </row>
    <row r="29021" spans="18:19">
      <c r="R29021" s="178"/>
      <c r="S29021" s="178"/>
    </row>
    <row r="29022" spans="18:19">
      <c r="R29022" s="178"/>
      <c r="S29022" s="178"/>
    </row>
    <row r="29023" spans="18:19">
      <c r="R29023" s="178"/>
      <c r="S29023" s="178"/>
    </row>
    <row r="29024" spans="18:19">
      <c r="R29024" s="178"/>
      <c r="S29024" s="178"/>
    </row>
    <row r="29025" spans="18:19">
      <c r="R29025" s="178"/>
      <c r="S29025" s="178"/>
    </row>
    <row r="29026" spans="18:19">
      <c r="R29026" s="178"/>
      <c r="S29026" s="178"/>
    </row>
    <row r="29027" spans="18:19">
      <c r="R29027" s="178"/>
      <c r="S29027" s="178"/>
    </row>
    <row r="29028" spans="18:19">
      <c r="R29028" s="178"/>
      <c r="S29028" s="178"/>
    </row>
    <row r="29029" spans="18:19">
      <c r="R29029" s="178"/>
      <c r="S29029" s="178"/>
    </row>
    <row r="29030" spans="18:19">
      <c r="R29030" s="178"/>
      <c r="S29030" s="178"/>
    </row>
    <row r="29031" spans="18:19">
      <c r="R29031" s="178"/>
      <c r="S29031" s="178"/>
    </row>
    <row r="29032" spans="18:19">
      <c r="R29032" s="178"/>
      <c r="S29032" s="178"/>
    </row>
    <row r="29033" spans="18:19">
      <c r="R29033" s="178"/>
      <c r="S29033" s="178"/>
    </row>
    <row r="29034" spans="18:19">
      <c r="R29034" s="178"/>
      <c r="S29034" s="178"/>
    </row>
    <row r="29035" spans="18:19">
      <c r="R29035" s="178"/>
      <c r="S29035" s="178"/>
    </row>
    <row r="29036" spans="18:19">
      <c r="R29036" s="178"/>
      <c r="S29036" s="178"/>
    </row>
    <row r="29037" spans="18:19">
      <c r="R29037" s="178"/>
      <c r="S29037" s="178"/>
    </row>
    <row r="29038" spans="18:19">
      <c r="R29038" s="178"/>
      <c r="S29038" s="178"/>
    </row>
    <row r="29039" spans="18:19">
      <c r="R29039" s="178"/>
      <c r="S29039" s="178"/>
    </row>
    <row r="29040" spans="18:19">
      <c r="R29040" s="178"/>
      <c r="S29040" s="178"/>
    </row>
    <row r="29041" spans="18:19">
      <c r="R29041" s="178"/>
      <c r="S29041" s="178"/>
    </row>
    <row r="29042" spans="18:19">
      <c r="R29042" s="178"/>
      <c r="S29042" s="178"/>
    </row>
    <row r="29043" spans="18:19">
      <c r="R29043" s="178"/>
      <c r="S29043" s="178"/>
    </row>
    <row r="29044" spans="18:19">
      <c r="R29044" s="178"/>
      <c r="S29044" s="178"/>
    </row>
    <row r="29045" spans="18:19">
      <c r="R29045" s="178"/>
      <c r="S29045" s="178"/>
    </row>
    <row r="29046" spans="18:19">
      <c r="R29046" s="178"/>
      <c r="S29046" s="178"/>
    </row>
    <row r="29047" spans="18:19">
      <c r="R29047" s="178"/>
      <c r="S29047" s="178"/>
    </row>
    <row r="29048" spans="18:19">
      <c r="R29048" s="178"/>
      <c r="S29048" s="178"/>
    </row>
    <row r="29049" spans="18:19">
      <c r="R29049" s="178"/>
      <c r="S29049" s="178"/>
    </row>
    <row r="29050" spans="18:19">
      <c r="R29050" s="178"/>
      <c r="S29050" s="178"/>
    </row>
    <row r="29051" spans="18:19">
      <c r="R29051" s="178"/>
      <c r="S29051" s="178"/>
    </row>
    <row r="29052" spans="18:19">
      <c r="R29052" s="178"/>
      <c r="S29052" s="178"/>
    </row>
    <row r="29053" spans="18:19">
      <c r="R29053" s="178"/>
      <c r="S29053" s="178"/>
    </row>
    <row r="29054" spans="18:19">
      <c r="R29054" s="178"/>
      <c r="S29054" s="178"/>
    </row>
    <row r="29055" spans="18:19">
      <c r="R29055" s="178"/>
      <c r="S29055" s="178"/>
    </row>
    <row r="29056" spans="18:19">
      <c r="R29056" s="178"/>
      <c r="S29056" s="178"/>
    </row>
    <row r="29057" spans="18:19">
      <c r="R29057" s="178"/>
      <c r="S29057" s="178"/>
    </row>
    <row r="29058" spans="18:19">
      <c r="R29058" s="178"/>
      <c r="S29058" s="178"/>
    </row>
    <row r="29059" spans="18:19">
      <c r="R29059" s="178"/>
      <c r="S29059" s="178"/>
    </row>
    <row r="29060" spans="18:19">
      <c r="R29060" s="178"/>
      <c r="S29060" s="178"/>
    </row>
    <row r="29061" spans="18:19">
      <c r="R29061" s="178"/>
      <c r="S29061" s="178"/>
    </row>
    <row r="29062" spans="18:19">
      <c r="R29062" s="178"/>
      <c r="S29062" s="178"/>
    </row>
    <row r="29063" spans="18:19">
      <c r="R29063" s="178"/>
      <c r="S29063" s="178"/>
    </row>
    <row r="29064" spans="18:19">
      <c r="R29064" s="178"/>
      <c r="S29064" s="178"/>
    </row>
    <row r="29065" spans="18:19">
      <c r="R29065" s="178"/>
      <c r="S29065" s="178"/>
    </row>
    <row r="29066" spans="18:19">
      <c r="R29066" s="178"/>
      <c r="S29066" s="178"/>
    </row>
    <row r="29067" spans="18:19">
      <c r="R29067" s="178"/>
      <c r="S29067" s="178"/>
    </row>
    <row r="29068" spans="18:19">
      <c r="R29068" s="178"/>
      <c r="S29068" s="178"/>
    </row>
    <row r="29069" spans="18:19">
      <c r="R29069" s="178"/>
      <c r="S29069" s="178"/>
    </row>
    <row r="29070" spans="18:19">
      <c r="R29070" s="178"/>
      <c r="S29070" s="178"/>
    </row>
    <row r="29071" spans="18:19">
      <c r="R29071" s="178"/>
      <c r="S29071" s="178"/>
    </row>
    <row r="29072" spans="18:19">
      <c r="R29072" s="178"/>
      <c r="S29072" s="178"/>
    </row>
    <row r="29073" spans="18:19">
      <c r="R29073" s="178"/>
      <c r="S29073" s="178"/>
    </row>
    <row r="29074" spans="18:19">
      <c r="R29074" s="178"/>
      <c r="S29074" s="178"/>
    </row>
    <row r="29075" spans="18:19">
      <c r="R29075" s="178"/>
      <c r="S29075" s="178"/>
    </row>
    <row r="29076" spans="18:19">
      <c r="R29076" s="178"/>
      <c r="S29076" s="178"/>
    </row>
    <row r="29077" spans="18:19">
      <c r="R29077" s="178"/>
      <c r="S29077" s="178"/>
    </row>
    <row r="29078" spans="18:19">
      <c r="R29078" s="178"/>
      <c r="S29078" s="178"/>
    </row>
    <row r="29079" spans="18:19">
      <c r="R29079" s="178"/>
      <c r="S29079" s="178"/>
    </row>
    <row r="29080" spans="18:19">
      <c r="R29080" s="178"/>
      <c r="S29080" s="178"/>
    </row>
    <row r="29081" spans="18:19">
      <c r="R29081" s="178"/>
      <c r="S29081" s="178"/>
    </row>
    <row r="29082" spans="18:19">
      <c r="R29082" s="178"/>
      <c r="S29082" s="178"/>
    </row>
    <row r="29083" spans="18:19">
      <c r="R29083" s="178"/>
      <c r="S29083" s="178"/>
    </row>
    <row r="29084" spans="18:19">
      <c r="R29084" s="178"/>
      <c r="S29084" s="178"/>
    </row>
    <row r="29085" spans="18:19">
      <c r="R29085" s="178"/>
      <c r="S29085" s="178"/>
    </row>
    <row r="29086" spans="18:19">
      <c r="R29086" s="178"/>
      <c r="S29086" s="178"/>
    </row>
    <row r="29087" spans="18:19">
      <c r="R29087" s="178"/>
      <c r="S29087" s="178"/>
    </row>
    <row r="29088" spans="18:19">
      <c r="R29088" s="178"/>
      <c r="S29088" s="178"/>
    </row>
    <row r="29089" spans="18:19">
      <c r="R29089" s="178"/>
      <c r="S29089" s="178"/>
    </row>
    <row r="29090" spans="18:19">
      <c r="R29090" s="178"/>
      <c r="S29090" s="178"/>
    </row>
    <row r="29091" spans="18:19">
      <c r="R29091" s="178"/>
      <c r="S29091" s="178"/>
    </row>
    <row r="29092" spans="18:19">
      <c r="R29092" s="178"/>
      <c r="S29092" s="178"/>
    </row>
    <row r="29093" spans="18:19">
      <c r="R29093" s="178"/>
      <c r="S29093" s="178"/>
    </row>
    <row r="29094" spans="18:19">
      <c r="R29094" s="178"/>
      <c r="S29094" s="178"/>
    </row>
    <row r="29095" spans="18:19">
      <c r="R29095" s="178"/>
      <c r="S29095" s="178"/>
    </row>
    <row r="29096" spans="18:19">
      <c r="R29096" s="178"/>
      <c r="S29096" s="178"/>
    </row>
    <row r="29097" spans="18:19">
      <c r="R29097" s="178"/>
      <c r="S29097" s="178"/>
    </row>
    <row r="29098" spans="18:19">
      <c r="R29098" s="178"/>
      <c r="S29098" s="178"/>
    </row>
    <row r="29099" spans="18:19">
      <c r="R29099" s="178"/>
      <c r="S29099" s="178"/>
    </row>
    <row r="29100" spans="18:19">
      <c r="R29100" s="178"/>
      <c r="S29100" s="178"/>
    </row>
    <row r="29101" spans="18:19">
      <c r="R29101" s="178"/>
      <c r="S29101" s="178"/>
    </row>
    <row r="29102" spans="18:19">
      <c r="R29102" s="178"/>
      <c r="S29102" s="178"/>
    </row>
    <row r="29103" spans="18:19">
      <c r="R29103" s="178"/>
      <c r="S29103" s="178"/>
    </row>
    <row r="29104" spans="18:19">
      <c r="R29104" s="178"/>
      <c r="S29104" s="178"/>
    </row>
    <row r="29105" spans="18:19">
      <c r="R29105" s="178"/>
      <c r="S29105" s="178"/>
    </row>
    <row r="29106" spans="18:19">
      <c r="R29106" s="178"/>
      <c r="S29106" s="178"/>
    </row>
    <row r="29107" spans="18:19">
      <c r="R29107" s="178"/>
      <c r="S29107" s="178"/>
    </row>
    <row r="29108" spans="18:19">
      <c r="R29108" s="178"/>
      <c r="S29108" s="178"/>
    </row>
    <row r="29109" spans="18:19">
      <c r="R29109" s="178"/>
      <c r="S29109" s="178"/>
    </row>
    <row r="29110" spans="18:19">
      <c r="R29110" s="178"/>
      <c r="S29110" s="178"/>
    </row>
    <row r="29111" spans="18:19">
      <c r="R29111" s="178"/>
      <c r="S29111" s="178"/>
    </row>
    <row r="29112" spans="18:19">
      <c r="R29112" s="178"/>
      <c r="S29112" s="178"/>
    </row>
    <row r="29113" spans="18:19">
      <c r="R29113" s="178"/>
      <c r="S29113" s="178"/>
    </row>
    <row r="29114" spans="18:19">
      <c r="R29114" s="178"/>
      <c r="S29114" s="178"/>
    </row>
    <row r="29115" spans="18:19">
      <c r="R29115" s="178"/>
      <c r="S29115" s="178"/>
    </row>
    <row r="29116" spans="18:19">
      <c r="R29116" s="178"/>
      <c r="S29116" s="178"/>
    </row>
    <row r="29117" spans="18:19">
      <c r="R29117" s="178"/>
      <c r="S29117" s="178"/>
    </row>
    <row r="29118" spans="18:19">
      <c r="R29118" s="178"/>
      <c r="S29118" s="178"/>
    </row>
    <row r="29119" spans="18:19">
      <c r="R29119" s="178"/>
      <c r="S29119" s="178"/>
    </row>
    <row r="29120" spans="18:19">
      <c r="R29120" s="178"/>
      <c r="S29120" s="178"/>
    </row>
    <row r="29121" spans="18:19">
      <c r="R29121" s="178"/>
      <c r="S29121" s="178"/>
    </row>
    <row r="29122" spans="18:19">
      <c r="R29122" s="178"/>
      <c r="S29122" s="178"/>
    </row>
    <row r="29123" spans="18:19">
      <c r="R29123" s="178"/>
      <c r="S29123" s="178"/>
    </row>
    <row r="29124" spans="18:19">
      <c r="R29124" s="178"/>
      <c r="S29124" s="178"/>
    </row>
    <row r="29125" spans="18:19">
      <c r="R29125" s="178"/>
      <c r="S29125" s="178"/>
    </row>
    <row r="29126" spans="18:19">
      <c r="R29126" s="178"/>
      <c r="S29126" s="178"/>
    </row>
    <row r="29127" spans="18:19">
      <c r="R29127" s="178"/>
      <c r="S29127" s="178"/>
    </row>
    <row r="29128" spans="18:19">
      <c r="R29128" s="178"/>
      <c r="S29128" s="178"/>
    </row>
    <row r="29129" spans="18:19">
      <c r="R29129" s="178"/>
      <c r="S29129" s="178"/>
    </row>
    <row r="29130" spans="18:19">
      <c r="R29130" s="178"/>
      <c r="S29130" s="178"/>
    </row>
    <row r="29131" spans="18:19">
      <c r="R29131" s="178"/>
      <c r="S29131" s="178"/>
    </row>
    <row r="29132" spans="18:19">
      <c r="R29132" s="178"/>
      <c r="S29132" s="178"/>
    </row>
    <row r="29133" spans="18:19">
      <c r="R29133" s="178"/>
      <c r="S29133" s="178"/>
    </row>
    <row r="29134" spans="18:19">
      <c r="R29134" s="178"/>
      <c r="S29134" s="178"/>
    </row>
    <row r="29135" spans="18:19">
      <c r="R29135" s="178"/>
      <c r="S29135" s="178"/>
    </row>
    <row r="29136" spans="18:19">
      <c r="R29136" s="178"/>
      <c r="S29136" s="178"/>
    </row>
    <row r="29137" spans="18:19">
      <c r="R29137" s="178"/>
      <c r="S29137" s="178"/>
    </row>
    <row r="29138" spans="18:19">
      <c r="R29138" s="178"/>
      <c r="S29138" s="178"/>
    </row>
    <row r="29139" spans="18:19">
      <c r="R29139" s="178"/>
      <c r="S29139" s="178"/>
    </row>
    <row r="29140" spans="18:19">
      <c r="R29140" s="178"/>
      <c r="S29140" s="178"/>
    </row>
    <row r="29141" spans="18:19">
      <c r="R29141" s="178"/>
      <c r="S29141" s="178"/>
    </row>
    <row r="29142" spans="18:19">
      <c r="R29142" s="178"/>
      <c r="S29142" s="178"/>
    </row>
    <row r="29143" spans="18:19">
      <c r="R29143" s="178"/>
      <c r="S29143" s="178"/>
    </row>
    <row r="29144" spans="18:19">
      <c r="R29144" s="178"/>
      <c r="S29144" s="178"/>
    </row>
    <row r="29145" spans="18:19">
      <c r="R29145" s="178"/>
      <c r="S29145" s="178"/>
    </row>
    <row r="29146" spans="18:19">
      <c r="R29146" s="178"/>
      <c r="S29146" s="178"/>
    </row>
    <row r="29147" spans="18:19">
      <c r="R29147" s="178"/>
      <c r="S29147" s="178"/>
    </row>
    <row r="29148" spans="18:19">
      <c r="R29148" s="178"/>
      <c r="S29148" s="178"/>
    </row>
    <row r="29149" spans="18:19">
      <c r="R29149" s="178"/>
      <c r="S29149" s="178"/>
    </row>
    <row r="29150" spans="18:19">
      <c r="R29150" s="178"/>
      <c r="S29150" s="178"/>
    </row>
    <row r="29151" spans="18:19">
      <c r="R29151" s="178"/>
      <c r="S29151" s="178"/>
    </row>
    <row r="29152" spans="18:19">
      <c r="R29152" s="178"/>
      <c r="S29152" s="178"/>
    </row>
    <row r="29153" spans="18:19">
      <c r="R29153" s="178"/>
      <c r="S29153" s="178"/>
    </row>
    <row r="29154" spans="18:19">
      <c r="R29154" s="178"/>
      <c r="S29154" s="178"/>
    </row>
    <row r="29155" spans="18:19">
      <c r="R29155" s="178"/>
      <c r="S29155" s="178"/>
    </row>
    <row r="29156" spans="18:19">
      <c r="R29156" s="178"/>
      <c r="S29156" s="178"/>
    </row>
    <row r="29157" spans="18:19">
      <c r="R29157" s="178"/>
      <c r="S29157" s="178"/>
    </row>
    <row r="29158" spans="18:19">
      <c r="R29158" s="178"/>
      <c r="S29158" s="178"/>
    </row>
    <row r="29159" spans="18:19">
      <c r="R29159" s="178"/>
      <c r="S29159" s="178"/>
    </row>
    <row r="29160" spans="18:19">
      <c r="R29160" s="178"/>
      <c r="S29160" s="178"/>
    </row>
    <row r="29161" spans="18:19">
      <c r="R29161" s="178"/>
      <c r="S29161" s="178"/>
    </row>
    <row r="29162" spans="18:19">
      <c r="R29162" s="178"/>
      <c r="S29162" s="178"/>
    </row>
    <row r="29163" spans="18:19">
      <c r="R29163" s="178"/>
      <c r="S29163" s="178"/>
    </row>
    <row r="29164" spans="18:19">
      <c r="R29164" s="178"/>
      <c r="S29164" s="178"/>
    </row>
    <row r="29165" spans="18:19">
      <c r="R29165" s="178"/>
      <c r="S29165" s="178"/>
    </row>
    <row r="29166" spans="18:19">
      <c r="R29166" s="178"/>
      <c r="S29166" s="178"/>
    </row>
    <row r="29167" spans="18:19">
      <c r="R29167" s="178"/>
      <c r="S29167" s="178"/>
    </row>
    <row r="29168" spans="18:19">
      <c r="R29168" s="178"/>
      <c r="S29168" s="178"/>
    </row>
    <row r="29169" spans="18:19">
      <c r="R29169" s="178"/>
      <c r="S29169" s="178"/>
    </row>
    <row r="29170" spans="18:19">
      <c r="R29170" s="178"/>
      <c r="S29170" s="178"/>
    </row>
    <row r="29171" spans="18:19">
      <c r="R29171" s="178"/>
      <c r="S29171" s="178"/>
    </row>
    <row r="29172" spans="18:19">
      <c r="R29172" s="178"/>
      <c r="S29172" s="178"/>
    </row>
    <row r="29173" spans="18:19">
      <c r="R29173" s="178"/>
      <c r="S29173" s="178"/>
    </row>
    <row r="29174" spans="18:19">
      <c r="R29174" s="178"/>
      <c r="S29174" s="178"/>
    </row>
    <row r="29175" spans="18:19">
      <c r="R29175" s="178"/>
      <c r="S29175" s="178"/>
    </row>
    <row r="29176" spans="18:19">
      <c r="R29176" s="178"/>
      <c r="S29176" s="178"/>
    </row>
    <row r="29177" spans="18:19">
      <c r="R29177" s="178"/>
      <c r="S29177" s="178"/>
    </row>
    <row r="29178" spans="18:19">
      <c r="R29178" s="178"/>
      <c r="S29178" s="178"/>
    </row>
    <row r="29179" spans="18:19">
      <c r="R29179" s="178"/>
      <c r="S29179" s="178"/>
    </row>
    <row r="29180" spans="18:19">
      <c r="R29180" s="178"/>
      <c r="S29180" s="178"/>
    </row>
    <row r="29181" spans="18:19">
      <c r="R29181" s="178"/>
      <c r="S29181" s="178"/>
    </row>
    <row r="29182" spans="18:19">
      <c r="R29182" s="178"/>
      <c r="S29182" s="178"/>
    </row>
    <row r="29183" spans="18:19">
      <c r="R29183" s="178"/>
      <c r="S29183" s="178"/>
    </row>
    <row r="29184" spans="18:19">
      <c r="R29184" s="178"/>
      <c r="S29184" s="178"/>
    </row>
    <row r="29185" spans="18:19">
      <c r="R29185" s="178"/>
      <c r="S29185" s="178"/>
    </row>
    <row r="29186" spans="18:19">
      <c r="R29186" s="178"/>
      <c r="S29186" s="178"/>
    </row>
    <row r="29187" spans="18:19">
      <c r="R29187" s="178"/>
      <c r="S29187" s="178"/>
    </row>
    <row r="29188" spans="18:19">
      <c r="R29188" s="178"/>
      <c r="S29188" s="178"/>
    </row>
    <row r="29189" spans="18:19">
      <c r="R29189" s="178"/>
      <c r="S29189" s="178"/>
    </row>
    <row r="29190" spans="18:19">
      <c r="R29190" s="178"/>
      <c r="S29190" s="178"/>
    </row>
    <row r="29191" spans="18:19">
      <c r="R29191" s="178"/>
      <c r="S29191" s="178"/>
    </row>
    <row r="29192" spans="18:19">
      <c r="R29192" s="178"/>
      <c r="S29192" s="178"/>
    </row>
    <row r="29193" spans="18:19">
      <c r="R29193" s="178"/>
      <c r="S29193" s="178"/>
    </row>
    <row r="29194" spans="18:19">
      <c r="R29194" s="178"/>
      <c r="S29194" s="178"/>
    </row>
    <row r="29195" spans="18:19">
      <c r="R29195" s="178"/>
      <c r="S29195" s="178"/>
    </row>
    <row r="29196" spans="18:19">
      <c r="R29196" s="178"/>
      <c r="S29196" s="178"/>
    </row>
    <row r="29197" spans="18:19">
      <c r="R29197" s="178"/>
      <c r="S29197" s="178"/>
    </row>
    <row r="29198" spans="18:19">
      <c r="R29198" s="178"/>
      <c r="S29198" s="178"/>
    </row>
    <row r="29199" spans="18:19">
      <c r="R29199" s="178"/>
      <c r="S29199" s="178"/>
    </row>
    <row r="29200" spans="18:19">
      <c r="R29200" s="178"/>
      <c r="S29200" s="178"/>
    </row>
    <row r="29201" spans="18:19">
      <c r="R29201" s="178"/>
      <c r="S29201" s="178"/>
    </row>
    <row r="29202" spans="18:19">
      <c r="R29202" s="178"/>
      <c r="S29202" s="178"/>
    </row>
    <row r="29203" spans="18:19">
      <c r="R29203" s="178"/>
      <c r="S29203" s="178"/>
    </row>
    <row r="29204" spans="18:19">
      <c r="R29204" s="178"/>
      <c r="S29204" s="178"/>
    </row>
    <row r="29205" spans="18:19">
      <c r="R29205" s="178"/>
      <c r="S29205" s="178"/>
    </row>
    <row r="29206" spans="18:19">
      <c r="R29206" s="178"/>
      <c r="S29206" s="178"/>
    </row>
    <row r="29207" spans="18:19">
      <c r="R29207" s="178"/>
      <c r="S29207" s="178"/>
    </row>
    <row r="29208" spans="18:19">
      <c r="R29208" s="178"/>
      <c r="S29208" s="178"/>
    </row>
    <row r="29209" spans="18:19">
      <c r="R29209" s="178"/>
      <c r="S29209" s="178"/>
    </row>
    <row r="29210" spans="18:19">
      <c r="R29210" s="178"/>
      <c r="S29210" s="178"/>
    </row>
    <row r="29211" spans="18:19">
      <c r="R29211" s="178"/>
      <c r="S29211" s="178"/>
    </row>
    <row r="29212" spans="18:19">
      <c r="R29212" s="178"/>
      <c r="S29212" s="178"/>
    </row>
    <row r="29213" spans="18:19">
      <c r="R29213" s="178"/>
      <c r="S29213" s="178"/>
    </row>
    <row r="29214" spans="18:19">
      <c r="R29214" s="178"/>
      <c r="S29214" s="178"/>
    </row>
    <row r="29215" spans="18:19">
      <c r="R29215" s="178"/>
      <c r="S29215" s="178"/>
    </row>
    <row r="29216" spans="18:19">
      <c r="R29216" s="178"/>
      <c r="S29216" s="178"/>
    </row>
    <row r="29217" spans="18:19">
      <c r="R29217" s="178"/>
      <c r="S29217" s="178"/>
    </row>
    <row r="29218" spans="18:19">
      <c r="R29218" s="178"/>
      <c r="S29218" s="178"/>
    </row>
    <row r="29219" spans="18:19">
      <c r="R29219" s="178"/>
      <c r="S29219" s="178"/>
    </row>
    <row r="29220" spans="18:19">
      <c r="R29220" s="178"/>
      <c r="S29220" s="178"/>
    </row>
    <row r="29221" spans="18:19">
      <c r="R29221" s="178"/>
      <c r="S29221" s="178"/>
    </row>
    <row r="29222" spans="18:19">
      <c r="R29222" s="178"/>
      <c r="S29222" s="178"/>
    </row>
    <row r="29223" spans="18:19">
      <c r="R29223" s="178"/>
      <c r="S29223" s="178"/>
    </row>
    <row r="29224" spans="18:19">
      <c r="R29224" s="178"/>
      <c r="S29224" s="178"/>
    </row>
    <row r="29225" spans="18:19">
      <c r="R29225" s="178"/>
      <c r="S29225" s="178"/>
    </row>
    <row r="29226" spans="18:19">
      <c r="R29226" s="178"/>
      <c r="S29226" s="178"/>
    </row>
    <row r="29227" spans="18:19">
      <c r="R29227" s="178"/>
      <c r="S29227" s="178"/>
    </row>
    <row r="29228" spans="18:19">
      <c r="R29228" s="178"/>
      <c r="S29228" s="178"/>
    </row>
    <row r="29229" spans="18:19">
      <c r="R29229" s="178"/>
      <c r="S29229" s="178"/>
    </row>
    <row r="29230" spans="18:19">
      <c r="R29230" s="178"/>
      <c r="S29230" s="178"/>
    </row>
    <row r="29231" spans="18:19">
      <c r="R29231" s="178"/>
      <c r="S29231" s="178"/>
    </row>
    <row r="29232" spans="18:19">
      <c r="R29232" s="178"/>
      <c r="S29232" s="178"/>
    </row>
    <row r="29233" spans="18:19">
      <c r="R29233" s="178"/>
      <c r="S29233" s="178"/>
    </row>
    <row r="29234" spans="18:19">
      <c r="R29234" s="178"/>
      <c r="S29234" s="178"/>
    </row>
    <row r="29235" spans="18:19">
      <c r="R29235" s="178"/>
      <c r="S29235" s="178"/>
    </row>
    <row r="29236" spans="18:19">
      <c r="R29236" s="178"/>
      <c r="S29236" s="178"/>
    </row>
    <row r="29237" spans="18:19">
      <c r="R29237" s="178"/>
      <c r="S29237" s="178"/>
    </row>
    <row r="29238" spans="18:19">
      <c r="R29238" s="178"/>
      <c r="S29238" s="178"/>
    </row>
    <row r="29239" spans="18:19">
      <c r="R29239" s="178"/>
      <c r="S29239" s="178"/>
    </row>
    <row r="29240" spans="18:19">
      <c r="R29240" s="178"/>
      <c r="S29240" s="178"/>
    </row>
    <row r="29241" spans="18:19">
      <c r="R29241" s="178"/>
      <c r="S29241" s="178"/>
    </row>
    <row r="29242" spans="18:19">
      <c r="R29242" s="178"/>
      <c r="S29242" s="178"/>
    </row>
    <row r="29243" spans="18:19">
      <c r="R29243" s="178"/>
      <c r="S29243" s="178"/>
    </row>
    <row r="29244" spans="18:19">
      <c r="R29244" s="178"/>
      <c r="S29244" s="178"/>
    </row>
    <row r="29245" spans="18:19">
      <c r="R29245" s="178"/>
      <c r="S29245" s="178"/>
    </row>
    <row r="29246" spans="18:19">
      <c r="R29246" s="178"/>
      <c r="S29246" s="178"/>
    </row>
    <row r="29247" spans="18:19">
      <c r="R29247" s="178"/>
      <c r="S29247" s="178"/>
    </row>
    <row r="29248" spans="18:19">
      <c r="R29248" s="178"/>
      <c r="S29248" s="178"/>
    </row>
    <row r="29249" spans="18:19">
      <c r="R29249" s="178"/>
      <c r="S29249" s="178"/>
    </row>
    <row r="29250" spans="18:19">
      <c r="R29250" s="178"/>
      <c r="S29250" s="178"/>
    </row>
    <row r="29251" spans="18:19">
      <c r="R29251" s="178"/>
      <c r="S29251" s="178"/>
    </row>
    <row r="29252" spans="18:19">
      <c r="R29252" s="178"/>
      <c r="S29252" s="178"/>
    </row>
    <row r="29253" spans="18:19">
      <c r="R29253" s="178"/>
      <c r="S29253" s="178"/>
    </row>
    <row r="29254" spans="18:19">
      <c r="R29254" s="178"/>
      <c r="S29254" s="178"/>
    </row>
    <row r="29255" spans="18:19">
      <c r="R29255" s="178"/>
      <c r="S29255" s="178"/>
    </row>
    <row r="29256" spans="18:19">
      <c r="R29256" s="178"/>
      <c r="S29256" s="178"/>
    </row>
    <row r="29257" spans="18:19">
      <c r="R29257" s="178"/>
      <c r="S29257" s="178"/>
    </row>
    <row r="29258" spans="18:19">
      <c r="R29258" s="178"/>
      <c r="S29258" s="178"/>
    </row>
    <row r="29259" spans="18:19">
      <c r="R29259" s="178"/>
      <c r="S29259" s="178"/>
    </row>
    <row r="29260" spans="18:19">
      <c r="R29260" s="178"/>
      <c r="S29260" s="178"/>
    </row>
    <row r="29261" spans="18:19">
      <c r="R29261" s="178"/>
      <c r="S29261" s="178"/>
    </row>
    <row r="29262" spans="18:19">
      <c r="R29262" s="178"/>
      <c r="S29262" s="178"/>
    </row>
    <row r="29263" spans="18:19">
      <c r="R29263" s="178"/>
      <c r="S29263" s="178"/>
    </row>
    <row r="29264" spans="18:19">
      <c r="R29264" s="178"/>
      <c r="S29264" s="178"/>
    </row>
    <row r="29265" spans="18:19">
      <c r="R29265" s="178"/>
      <c r="S29265" s="178"/>
    </row>
    <row r="29266" spans="18:19">
      <c r="R29266" s="178"/>
      <c r="S29266" s="178"/>
    </row>
    <row r="29267" spans="18:19">
      <c r="R29267" s="178"/>
      <c r="S29267" s="178"/>
    </row>
    <row r="29268" spans="18:19">
      <c r="R29268" s="178"/>
      <c r="S29268" s="178"/>
    </row>
    <row r="29269" spans="18:19">
      <c r="R29269" s="178"/>
      <c r="S29269" s="178"/>
    </row>
    <row r="29270" spans="18:19">
      <c r="R29270" s="178"/>
      <c r="S29270" s="178"/>
    </row>
    <row r="29271" spans="18:19">
      <c r="R29271" s="178"/>
      <c r="S29271" s="178"/>
    </row>
    <row r="29272" spans="18:19">
      <c r="R29272" s="178"/>
      <c r="S29272" s="178"/>
    </row>
    <row r="29273" spans="18:19">
      <c r="R29273" s="178"/>
      <c r="S29273" s="178"/>
    </row>
    <row r="29274" spans="18:19">
      <c r="R29274" s="178"/>
      <c r="S29274" s="178"/>
    </row>
    <row r="29275" spans="18:19">
      <c r="R29275" s="178"/>
      <c r="S29275" s="178"/>
    </row>
    <row r="29276" spans="18:19">
      <c r="R29276" s="178"/>
      <c r="S29276" s="178"/>
    </row>
    <row r="29277" spans="18:19">
      <c r="R29277" s="178"/>
      <c r="S29277" s="178"/>
    </row>
    <row r="29278" spans="18:19">
      <c r="R29278" s="178"/>
      <c r="S29278" s="178"/>
    </row>
    <row r="29279" spans="18:19">
      <c r="R29279" s="178"/>
      <c r="S29279" s="178"/>
    </row>
    <row r="29280" spans="18:19">
      <c r="R29280" s="178"/>
      <c r="S29280" s="178"/>
    </row>
    <row r="29281" spans="18:19">
      <c r="R29281" s="178"/>
      <c r="S29281" s="178"/>
    </row>
    <row r="29282" spans="18:19">
      <c r="R29282" s="178"/>
      <c r="S29282" s="178"/>
    </row>
    <row r="29283" spans="18:19">
      <c r="R29283" s="178"/>
      <c r="S29283" s="178"/>
    </row>
    <row r="29284" spans="18:19">
      <c r="R29284" s="178"/>
      <c r="S29284" s="178"/>
    </row>
    <row r="29285" spans="18:19">
      <c r="R29285" s="178"/>
      <c r="S29285" s="178"/>
    </row>
    <row r="29286" spans="18:19">
      <c r="R29286" s="178"/>
      <c r="S29286" s="178"/>
    </row>
    <row r="29287" spans="18:19">
      <c r="R29287" s="178"/>
      <c r="S29287" s="178"/>
    </row>
    <row r="29288" spans="18:19">
      <c r="R29288" s="178"/>
      <c r="S29288" s="178"/>
    </row>
    <row r="29289" spans="18:19">
      <c r="R29289" s="178"/>
      <c r="S29289" s="178"/>
    </row>
    <row r="29290" spans="18:19">
      <c r="R29290" s="178"/>
      <c r="S29290" s="178"/>
    </row>
    <row r="29291" spans="18:19">
      <c r="R29291" s="178"/>
      <c r="S29291" s="178"/>
    </row>
    <row r="29292" spans="18:19">
      <c r="R29292" s="178"/>
      <c r="S29292" s="178"/>
    </row>
    <row r="29293" spans="18:19">
      <c r="R29293" s="178"/>
      <c r="S29293" s="178"/>
    </row>
    <row r="29294" spans="18:19">
      <c r="R29294" s="178"/>
      <c r="S29294" s="178"/>
    </row>
    <row r="29295" spans="18:19">
      <c r="R29295" s="178"/>
      <c r="S29295" s="178"/>
    </row>
    <row r="29296" spans="18:19">
      <c r="R29296" s="178"/>
      <c r="S29296" s="178"/>
    </row>
    <row r="29297" spans="18:19">
      <c r="R29297" s="178"/>
      <c r="S29297" s="178"/>
    </row>
    <row r="29298" spans="18:19">
      <c r="R29298" s="178"/>
      <c r="S29298" s="178"/>
    </row>
    <row r="29299" spans="18:19">
      <c r="R29299" s="178"/>
      <c r="S29299" s="178"/>
    </row>
    <row r="29300" spans="18:19">
      <c r="R29300" s="178"/>
      <c r="S29300" s="178"/>
    </row>
    <row r="29301" spans="18:19">
      <c r="R29301" s="178"/>
      <c r="S29301" s="178"/>
    </row>
    <row r="29302" spans="18:19">
      <c r="R29302" s="178"/>
      <c r="S29302" s="178"/>
    </row>
    <row r="29303" spans="18:19">
      <c r="R29303" s="178"/>
      <c r="S29303" s="178"/>
    </row>
    <row r="29304" spans="18:19">
      <c r="R29304" s="178"/>
      <c r="S29304" s="178"/>
    </row>
    <row r="29305" spans="18:19">
      <c r="R29305" s="178"/>
      <c r="S29305" s="178"/>
    </row>
    <row r="29306" spans="18:19">
      <c r="R29306" s="178"/>
      <c r="S29306" s="178"/>
    </row>
    <row r="29307" spans="18:19">
      <c r="R29307" s="178"/>
      <c r="S29307" s="178"/>
    </row>
    <row r="29308" spans="18:19">
      <c r="R29308" s="178"/>
      <c r="S29308" s="178"/>
    </row>
    <row r="29309" spans="18:19">
      <c r="R29309" s="178"/>
      <c r="S29309" s="178"/>
    </row>
    <row r="29310" spans="18:19">
      <c r="R29310" s="178"/>
      <c r="S29310" s="178"/>
    </row>
    <row r="29311" spans="18:19">
      <c r="R29311" s="178"/>
      <c r="S29311" s="178"/>
    </row>
    <row r="29312" spans="18:19">
      <c r="R29312" s="178"/>
      <c r="S29312" s="178"/>
    </row>
    <row r="29313" spans="18:19">
      <c r="R29313" s="178"/>
      <c r="S29313" s="178"/>
    </row>
    <row r="29314" spans="18:19">
      <c r="R29314" s="178"/>
      <c r="S29314" s="178"/>
    </row>
    <row r="29315" spans="18:19">
      <c r="R29315" s="178"/>
      <c r="S29315" s="178"/>
    </row>
    <row r="29316" spans="18:19">
      <c r="R29316" s="178"/>
      <c r="S29316" s="178"/>
    </row>
    <row r="29317" spans="18:19">
      <c r="R29317" s="178"/>
      <c r="S29317" s="178"/>
    </row>
    <row r="29318" spans="18:19">
      <c r="R29318" s="178"/>
      <c r="S29318" s="178"/>
    </row>
    <row r="29319" spans="18:19">
      <c r="R29319" s="178"/>
      <c r="S29319" s="178"/>
    </row>
    <row r="29320" spans="18:19">
      <c r="R29320" s="178"/>
      <c r="S29320" s="178"/>
    </row>
    <row r="29321" spans="18:19">
      <c r="R29321" s="178"/>
      <c r="S29321" s="178"/>
    </row>
    <row r="29322" spans="18:19">
      <c r="R29322" s="178"/>
      <c r="S29322" s="178"/>
    </row>
    <row r="29323" spans="18:19">
      <c r="R29323" s="178"/>
      <c r="S29323" s="178"/>
    </row>
    <row r="29324" spans="18:19">
      <c r="R29324" s="178"/>
      <c r="S29324" s="178"/>
    </row>
    <row r="29325" spans="18:19">
      <c r="R29325" s="178"/>
      <c r="S29325" s="178"/>
    </row>
    <row r="29326" spans="18:19">
      <c r="R29326" s="178"/>
      <c r="S29326" s="178"/>
    </row>
    <row r="29327" spans="18:19">
      <c r="R29327" s="178"/>
      <c r="S29327" s="178"/>
    </row>
    <row r="29328" spans="18:19">
      <c r="R29328" s="178"/>
      <c r="S29328" s="178"/>
    </row>
    <row r="29329" spans="18:19">
      <c r="R29329" s="178"/>
      <c r="S29329" s="178"/>
    </row>
    <row r="29330" spans="18:19">
      <c r="R29330" s="178"/>
      <c r="S29330" s="178"/>
    </row>
    <row r="29331" spans="18:19">
      <c r="R29331" s="178"/>
      <c r="S29331" s="178"/>
    </row>
    <row r="29332" spans="18:19">
      <c r="R29332" s="178"/>
      <c r="S29332" s="178"/>
    </row>
    <row r="29333" spans="18:19">
      <c r="R29333" s="178"/>
      <c r="S29333" s="178"/>
    </row>
    <row r="29334" spans="18:19">
      <c r="R29334" s="178"/>
      <c r="S29334" s="178"/>
    </row>
    <row r="29335" spans="18:19">
      <c r="R29335" s="178"/>
      <c r="S29335" s="178"/>
    </row>
    <row r="29336" spans="18:19">
      <c r="R29336" s="178"/>
      <c r="S29336" s="178"/>
    </row>
    <row r="29337" spans="18:19">
      <c r="R29337" s="178"/>
      <c r="S29337" s="178"/>
    </row>
    <row r="29338" spans="18:19">
      <c r="R29338" s="178"/>
      <c r="S29338" s="178"/>
    </row>
    <row r="29339" spans="18:19">
      <c r="R29339" s="178"/>
      <c r="S29339" s="178"/>
    </row>
    <row r="29340" spans="18:19">
      <c r="R29340" s="178"/>
      <c r="S29340" s="178"/>
    </row>
    <row r="29341" spans="18:19">
      <c r="R29341" s="178"/>
      <c r="S29341" s="178"/>
    </row>
    <row r="29342" spans="18:19">
      <c r="R29342" s="178"/>
      <c r="S29342" s="178"/>
    </row>
    <row r="29343" spans="18:19">
      <c r="R29343" s="178"/>
      <c r="S29343" s="178"/>
    </row>
    <row r="29344" spans="18:19">
      <c r="R29344" s="178"/>
      <c r="S29344" s="178"/>
    </row>
    <row r="29345" spans="18:19">
      <c r="R29345" s="178"/>
      <c r="S29345" s="178"/>
    </row>
    <row r="29346" spans="18:19">
      <c r="R29346" s="178"/>
      <c r="S29346" s="178"/>
    </row>
    <row r="29347" spans="18:19">
      <c r="R29347" s="178"/>
      <c r="S29347" s="178"/>
    </row>
    <row r="29348" spans="18:19">
      <c r="R29348" s="178"/>
      <c r="S29348" s="178"/>
    </row>
    <row r="29349" spans="18:19">
      <c r="R29349" s="178"/>
      <c r="S29349" s="178"/>
    </row>
    <row r="29350" spans="18:19">
      <c r="R29350" s="178"/>
      <c r="S29350" s="178"/>
    </row>
    <row r="29351" spans="18:19">
      <c r="R29351" s="178"/>
      <c r="S29351" s="178"/>
    </row>
    <row r="29352" spans="18:19">
      <c r="R29352" s="178"/>
      <c r="S29352" s="178"/>
    </row>
    <row r="29353" spans="18:19">
      <c r="R29353" s="178"/>
      <c r="S29353" s="178"/>
    </row>
    <row r="29354" spans="18:19">
      <c r="R29354" s="178"/>
      <c r="S29354" s="178"/>
    </row>
    <row r="29355" spans="18:19">
      <c r="R29355" s="178"/>
      <c r="S29355" s="178"/>
    </row>
    <row r="29356" spans="18:19">
      <c r="R29356" s="178"/>
      <c r="S29356" s="178"/>
    </row>
    <row r="29357" spans="18:19">
      <c r="R29357" s="178"/>
      <c r="S29357" s="178"/>
    </row>
    <row r="29358" spans="18:19">
      <c r="R29358" s="178"/>
      <c r="S29358" s="178"/>
    </row>
    <row r="29359" spans="18:19">
      <c r="R29359" s="178"/>
      <c r="S29359" s="178"/>
    </row>
    <row r="29360" spans="18:19">
      <c r="R29360" s="178"/>
      <c r="S29360" s="178"/>
    </row>
    <row r="29361" spans="18:19">
      <c r="R29361" s="178"/>
      <c r="S29361" s="178"/>
    </row>
    <row r="29362" spans="18:19">
      <c r="R29362" s="178"/>
      <c r="S29362" s="178"/>
    </row>
    <row r="29363" spans="18:19">
      <c r="R29363" s="178"/>
      <c r="S29363" s="178"/>
    </row>
    <row r="29364" spans="18:19">
      <c r="R29364" s="178"/>
      <c r="S29364" s="178"/>
    </row>
    <row r="29365" spans="18:19">
      <c r="R29365" s="178"/>
      <c r="S29365" s="178"/>
    </row>
    <row r="29366" spans="18:19">
      <c r="R29366" s="178"/>
      <c r="S29366" s="178"/>
    </row>
    <row r="29367" spans="18:19">
      <c r="R29367" s="178"/>
      <c r="S29367" s="178"/>
    </row>
    <row r="29368" spans="18:19">
      <c r="R29368" s="178"/>
      <c r="S29368" s="178"/>
    </row>
    <row r="29369" spans="18:19">
      <c r="R29369" s="178"/>
      <c r="S29369" s="178"/>
    </row>
    <row r="29370" spans="18:19">
      <c r="R29370" s="178"/>
      <c r="S29370" s="178"/>
    </row>
    <row r="29371" spans="18:19">
      <c r="R29371" s="178"/>
      <c r="S29371" s="178"/>
    </row>
    <row r="29372" spans="18:19">
      <c r="R29372" s="178"/>
      <c r="S29372" s="178"/>
    </row>
    <row r="29373" spans="18:19">
      <c r="R29373" s="178"/>
      <c r="S29373" s="178"/>
    </row>
    <row r="29374" spans="18:19">
      <c r="R29374" s="178"/>
      <c r="S29374" s="178"/>
    </row>
    <row r="29375" spans="18:19">
      <c r="R29375" s="178"/>
      <c r="S29375" s="178"/>
    </row>
    <row r="29376" spans="18:19">
      <c r="R29376" s="178"/>
      <c r="S29376" s="178"/>
    </row>
    <row r="29377" spans="18:19">
      <c r="R29377" s="178"/>
      <c r="S29377" s="178"/>
    </row>
    <row r="29378" spans="18:19">
      <c r="R29378" s="178"/>
      <c r="S29378" s="178"/>
    </row>
    <row r="29379" spans="18:19">
      <c r="R29379" s="178"/>
      <c r="S29379" s="178"/>
    </row>
    <row r="29380" spans="18:19">
      <c r="R29380" s="178"/>
      <c r="S29380" s="178"/>
    </row>
    <row r="29381" spans="18:19">
      <c r="R29381" s="178"/>
      <c r="S29381" s="178"/>
    </row>
    <row r="29382" spans="18:19">
      <c r="R29382" s="178"/>
      <c r="S29382" s="178"/>
    </row>
    <row r="29383" spans="18:19">
      <c r="R29383" s="178"/>
      <c r="S29383" s="178"/>
    </row>
    <row r="29384" spans="18:19">
      <c r="R29384" s="178"/>
      <c r="S29384" s="178"/>
    </row>
    <row r="29385" spans="18:19">
      <c r="R29385" s="178"/>
      <c r="S29385" s="178"/>
    </row>
    <row r="29386" spans="18:19">
      <c r="R29386" s="178"/>
      <c r="S29386" s="178"/>
    </row>
    <row r="29387" spans="18:19">
      <c r="R29387" s="178"/>
      <c r="S29387" s="178"/>
    </row>
    <row r="29388" spans="18:19">
      <c r="R29388" s="178"/>
      <c r="S29388" s="178"/>
    </row>
    <row r="29389" spans="18:19">
      <c r="R29389" s="178"/>
      <c r="S29389" s="178"/>
    </row>
    <row r="29390" spans="18:19">
      <c r="R29390" s="178"/>
      <c r="S29390" s="178"/>
    </row>
    <row r="29391" spans="18:19">
      <c r="R29391" s="178"/>
      <c r="S29391" s="178"/>
    </row>
    <row r="29392" spans="18:19">
      <c r="R29392" s="178"/>
      <c r="S29392" s="178"/>
    </row>
    <row r="29393" spans="18:19">
      <c r="R29393" s="178"/>
      <c r="S29393" s="178"/>
    </row>
    <row r="29394" spans="18:19">
      <c r="R29394" s="178"/>
      <c r="S29394" s="178"/>
    </row>
    <row r="29395" spans="18:19">
      <c r="R29395" s="178"/>
      <c r="S29395" s="178"/>
    </row>
    <row r="29396" spans="18:19">
      <c r="R29396" s="178"/>
      <c r="S29396" s="178"/>
    </row>
    <row r="29397" spans="18:19">
      <c r="R29397" s="178"/>
      <c r="S29397" s="178"/>
    </row>
    <row r="29398" spans="18:19">
      <c r="R29398" s="178"/>
      <c r="S29398" s="178"/>
    </row>
    <row r="29399" spans="18:19">
      <c r="R29399" s="178"/>
      <c r="S29399" s="178"/>
    </row>
    <row r="29400" spans="18:19">
      <c r="R29400" s="178"/>
      <c r="S29400" s="178"/>
    </row>
    <row r="29401" spans="18:19">
      <c r="R29401" s="178"/>
      <c r="S29401" s="178"/>
    </row>
    <row r="29402" spans="18:19">
      <c r="R29402" s="178"/>
      <c r="S29402" s="178"/>
    </row>
    <row r="29403" spans="18:19">
      <c r="R29403" s="178"/>
      <c r="S29403" s="178"/>
    </row>
    <row r="29404" spans="18:19">
      <c r="R29404" s="178"/>
      <c r="S29404" s="178"/>
    </row>
    <row r="29405" spans="18:19">
      <c r="R29405" s="178"/>
      <c r="S29405" s="178"/>
    </row>
    <row r="29406" spans="18:19">
      <c r="R29406" s="178"/>
      <c r="S29406" s="178"/>
    </row>
    <row r="29407" spans="18:19">
      <c r="R29407" s="178"/>
      <c r="S29407" s="178"/>
    </row>
    <row r="29408" spans="18:19">
      <c r="R29408" s="178"/>
      <c r="S29408" s="178"/>
    </row>
    <row r="29409" spans="18:19">
      <c r="R29409" s="178"/>
      <c r="S29409" s="178"/>
    </row>
    <row r="29410" spans="18:19">
      <c r="R29410" s="178"/>
      <c r="S29410" s="178"/>
    </row>
    <row r="29411" spans="18:19">
      <c r="R29411" s="178"/>
      <c r="S29411" s="178"/>
    </row>
    <row r="29412" spans="18:19">
      <c r="R29412" s="178"/>
      <c r="S29412" s="178"/>
    </row>
    <row r="29413" spans="18:19">
      <c r="R29413" s="178"/>
      <c r="S29413" s="178"/>
    </row>
    <row r="29414" spans="18:19">
      <c r="R29414" s="178"/>
      <c r="S29414" s="178"/>
    </row>
    <row r="29415" spans="18:19">
      <c r="R29415" s="178"/>
      <c r="S29415" s="178"/>
    </row>
    <row r="29416" spans="18:19">
      <c r="R29416" s="178"/>
      <c r="S29416" s="178"/>
    </row>
    <row r="29417" spans="18:19">
      <c r="R29417" s="178"/>
      <c r="S29417" s="178"/>
    </row>
    <row r="29418" spans="18:19">
      <c r="R29418" s="178"/>
      <c r="S29418" s="178"/>
    </row>
    <row r="29419" spans="18:19">
      <c r="R29419" s="178"/>
      <c r="S29419" s="178"/>
    </row>
    <row r="29420" spans="18:19">
      <c r="R29420" s="178"/>
      <c r="S29420" s="178"/>
    </row>
    <row r="29421" spans="18:19">
      <c r="R29421" s="178"/>
      <c r="S29421" s="178"/>
    </row>
    <row r="29422" spans="18:19">
      <c r="R29422" s="178"/>
      <c r="S29422" s="178"/>
    </row>
    <row r="29423" spans="18:19">
      <c r="R29423" s="178"/>
      <c r="S29423" s="178"/>
    </row>
    <row r="29424" spans="18:19">
      <c r="R29424" s="178"/>
      <c r="S29424" s="178"/>
    </row>
    <row r="29425" spans="18:19">
      <c r="R29425" s="178"/>
      <c r="S29425" s="178"/>
    </row>
    <row r="29426" spans="18:19">
      <c r="R29426" s="178"/>
      <c r="S29426" s="178"/>
    </row>
    <row r="29427" spans="18:19">
      <c r="R29427" s="178"/>
      <c r="S29427" s="178"/>
    </row>
    <row r="29428" spans="18:19">
      <c r="R29428" s="178"/>
      <c r="S29428" s="178"/>
    </row>
    <row r="29429" spans="18:19">
      <c r="R29429" s="178"/>
      <c r="S29429" s="178"/>
    </row>
    <row r="29430" spans="18:19">
      <c r="R29430" s="178"/>
      <c r="S29430" s="178"/>
    </row>
    <row r="29431" spans="18:19">
      <c r="R29431" s="178"/>
      <c r="S29431" s="178"/>
    </row>
    <row r="29432" spans="18:19">
      <c r="R29432" s="178"/>
      <c r="S29432" s="178"/>
    </row>
    <row r="29433" spans="18:19">
      <c r="R29433" s="178"/>
      <c r="S29433" s="178"/>
    </row>
    <row r="29434" spans="18:19">
      <c r="R29434" s="178"/>
      <c r="S29434" s="178"/>
    </row>
    <row r="29435" spans="18:19">
      <c r="R29435" s="178"/>
      <c r="S29435" s="178"/>
    </row>
    <row r="29436" spans="18:19">
      <c r="R29436" s="178"/>
      <c r="S29436" s="178"/>
    </row>
    <row r="29437" spans="18:19">
      <c r="R29437" s="178"/>
      <c r="S29437" s="178"/>
    </row>
    <row r="29438" spans="18:19">
      <c r="R29438" s="178"/>
      <c r="S29438" s="178"/>
    </row>
    <row r="29439" spans="18:19">
      <c r="R29439" s="178"/>
      <c r="S29439" s="178"/>
    </row>
    <row r="29440" spans="18:19">
      <c r="R29440" s="178"/>
      <c r="S29440" s="178"/>
    </row>
    <row r="29441" spans="18:19">
      <c r="R29441" s="178"/>
      <c r="S29441" s="178"/>
    </row>
    <row r="29442" spans="18:19">
      <c r="R29442" s="178"/>
      <c r="S29442" s="178"/>
    </row>
    <row r="29443" spans="18:19">
      <c r="R29443" s="178"/>
      <c r="S29443" s="178"/>
    </row>
    <row r="29444" spans="18:19">
      <c r="R29444" s="178"/>
      <c r="S29444" s="178"/>
    </row>
    <row r="29445" spans="18:19">
      <c r="R29445" s="178"/>
      <c r="S29445" s="178"/>
    </row>
    <row r="29446" spans="18:19">
      <c r="R29446" s="178"/>
      <c r="S29446" s="178"/>
    </row>
    <row r="29447" spans="18:19">
      <c r="R29447" s="178"/>
      <c r="S29447" s="178"/>
    </row>
    <row r="29448" spans="18:19">
      <c r="R29448" s="178"/>
      <c r="S29448" s="178"/>
    </row>
    <row r="29449" spans="18:19">
      <c r="R29449" s="178"/>
      <c r="S29449" s="178"/>
    </row>
    <row r="29450" spans="18:19">
      <c r="R29450" s="178"/>
      <c r="S29450" s="178"/>
    </row>
    <row r="29451" spans="18:19">
      <c r="R29451" s="178"/>
      <c r="S29451" s="178"/>
    </row>
    <row r="29452" spans="18:19">
      <c r="R29452" s="178"/>
      <c r="S29452" s="178"/>
    </row>
    <row r="29453" spans="18:19">
      <c r="R29453" s="178"/>
      <c r="S29453" s="178"/>
    </row>
    <row r="29454" spans="18:19">
      <c r="R29454" s="178"/>
      <c r="S29454" s="178"/>
    </row>
    <row r="29455" spans="18:19">
      <c r="R29455" s="178"/>
      <c r="S29455" s="178"/>
    </row>
    <row r="29456" spans="18:19">
      <c r="R29456" s="178"/>
      <c r="S29456" s="178"/>
    </row>
    <row r="29457" spans="18:19">
      <c r="R29457" s="178"/>
      <c r="S29457" s="178"/>
    </row>
    <row r="29458" spans="18:19">
      <c r="R29458" s="178"/>
      <c r="S29458" s="178"/>
    </row>
    <row r="29459" spans="18:19">
      <c r="R29459" s="178"/>
      <c r="S29459" s="178"/>
    </row>
    <row r="29460" spans="18:19">
      <c r="R29460" s="178"/>
      <c r="S29460" s="178"/>
    </row>
    <row r="29461" spans="18:19">
      <c r="R29461" s="178"/>
      <c r="S29461" s="178"/>
    </row>
    <row r="29462" spans="18:19">
      <c r="R29462" s="178"/>
      <c r="S29462" s="178"/>
    </row>
    <row r="29463" spans="18:19">
      <c r="R29463" s="178"/>
      <c r="S29463" s="178"/>
    </row>
    <row r="29464" spans="18:19">
      <c r="R29464" s="178"/>
      <c r="S29464" s="178"/>
    </row>
    <row r="29465" spans="18:19">
      <c r="R29465" s="178"/>
      <c r="S29465" s="178"/>
    </row>
    <row r="29466" spans="18:19">
      <c r="R29466" s="178"/>
      <c r="S29466" s="178"/>
    </row>
    <row r="29467" spans="18:19">
      <c r="R29467" s="178"/>
      <c r="S29467" s="178"/>
    </row>
    <row r="29468" spans="18:19">
      <c r="R29468" s="178"/>
      <c r="S29468" s="178"/>
    </row>
    <row r="29469" spans="18:19">
      <c r="R29469" s="178"/>
      <c r="S29469" s="178"/>
    </row>
    <row r="29470" spans="18:19">
      <c r="R29470" s="178"/>
      <c r="S29470" s="178"/>
    </row>
    <row r="29471" spans="18:19">
      <c r="R29471" s="178"/>
      <c r="S29471" s="178"/>
    </row>
    <row r="29472" spans="18:19">
      <c r="R29472" s="178"/>
      <c r="S29472" s="178"/>
    </row>
    <row r="29473" spans="18:19">
      <c r="R29473" s="178"/>
      <c r="S29473" s="178"/>
    </row>
    <row r="29474" spans="18:19">
      <c r="R29474" s="178"/>
      <c r="S29474" s="178"/>
    </row>
    <row r="29475" spans="18:19">
      <c r="R29475" s="178"/>
      <c r="S29475" s="178"/>
    </row>
    <row r="29476" spans="18:19">
      <c r="R29476" s="178"/>
      <c r="S29476" s="178"/>
    </row>
    <row r="29477" spans="18:19">
      <c r="R29477" s="178"/>
      <c r="S29477" s="178"/>
    </row>
    <row r="29478" spans="18:19">
      <c r="R29478" s="178"/>
      <c r="S29478" s="178"/>
    </row>
    <row r="29479" spans="18:19">
      <c r="R29479" s="178"/>
      <c r="S29479" s="178"/>
    </row>
    <row r="29480" spans="18:19">
      <c r="R29480" s="178"/>
      <c r="S29480" s="178"/>
    </row>
    <row r="29481" spans="18:19">
      <c r="R29481" s="178"/>
      <c r="S29481" s="178"/>
    </row>
    <row r="29482" spans="18:19">
      <c r="R29482" s="178"/>
      <c r="S29482" s="178"/>
    </row>
    <row r="29483" spans="18:19">
      <c r="R29483" s="178"/>
      <c r="S29483" s="178"/>
    </row>
    <row r="29484" spans="18:19">
      <c r="R29484" s="178"/>
      <c r="S29484" s="178"/>
    </row>
    <row r="29485" spans="18:19">
      <c r="R29485" s="178"/>
      <c r="S29485" s="178"/>
    </row>
    <row r="29486" spans="18:19">
      <c r="R29486" s="178"/>
      <c r="S29486" s="178"/>
    </row>
    <row r="29487" spans="18:19">
      <c r="R29487" s="178"/>
      <c r="S29487" s="178"/>
    </row>
    <row r="29488" spans="18:19">
      <c r="R29488" s="178"/>
      <c r="S29488" s="178"/>
    </row>
    <row r="29489" spans="18:19">
      <c r="R29489" s="178"/>
      <c r="S29489" s="178"/>
    </row>
    <row r="29490" spans="18:19">
      <c r="R29490" s="178"/>
      <c r="S29490" s="178"/>
    </row>
    <row r="29491" spans="18:19">
      <c r="R29491" s="178"/>
      <c r="S29491" s="178"/>
    </row>
    <row r="29492" spans="18:19">
      <c r="R29492" s="178"/>
      <c r="S29492" s="178"/>
    </row>
    <row r="29493" spans="18:19">
      <c r="R29493" s="178"/>
      <c r="S29493" s="178"/>
    </row>
    <row r="29494" spans="18:19">
      <c r="R29494" s="178"/>
      <c r="S29494" s="178"/>
    </row>
    <row r="29495" spans="18:19">
      <c r="R29495" s="178"/>
      <c r="S29495" s="178"/>
    </row>
    <row r="29496" spans="18:19">
      <c r="R29496" s="178"/>
      <c r="S29496" s="178"/>
    </row>
    <row r="29497" spans="18:19">
      <c r="R29497" s="178"/>
      <c r="S29497" s="178"/>
    </row>
    <row r="29498" spans="18:19">
      <c r="R29498" s="178"/>
      <c r="S29498" s="178"/>
    </row>
    <row r="29499" spans="18:19">
      <c r="R29499" s="178"/>
      <c r="S29499" s="178"/>
    </row>
    <row r="29500" spans="18:19">
      <c r="R29500" s="178"/>
      <c r="S29500" s="178"/>
    </row>
    <row r="29501" spans="18:19">
      <c r="R29501" s="178"/>
      <c r="S29501" s="178"/>
    </row>
    <row r="29502" spans="18:19">
      <c r="R29502" s="178"/>
      <c r="S29502" s="178"/>
    </row>
    <row r="29503" spans="18:19">
      <c r="R29503" s="178"/>
      <c r="S29503" s="178"/>
    </row>
    <row r="29504" spans="18:19">
      <c r="R29504" s="178"/>
      <c r="S29504" s="178"/>
    </row>
    <row r="29505" spans="18:19">
      <c r="R29505" s="178"/>
      <c r="S29505" s="178"/>
    </row>
    <row r="29506" spans="18:19">
      <c r="R29506" s="178"/>
      <c r="S29506" s="178"/>
    </row>
    <row r="29507" spans="18:19">
      <c r="R29507" s="178"/>
      <c r="S29507" s="178"/>
    </row>
    <row r="29508" spans="18:19">
      <c r="R29508" s="178"/>
      <c r="S29508" s="178"/>
    </row>
    <row r="29509" spans="18:19">
      <c r="R29509" s="178"/>
      <c r="S29509" s="178"/>
    </row>
    <row r="29510" spans="18:19">
      <c r="R29510" s="178"/>
      <c r="S29510" s="178"/>
    </row>
    <row r="29511" spans="18:19">
      <c r="R29511" s="178"/>
      <c r="S29511" s="178"/>
    </row>
    <row r="29512" spans="18:19">
      <c r="R29512" s="178"/>
      <c r="S29512" s="178"/>
    </row>
    <row r="29513" spans="18:19">
      <c r="R29513" s="178"/>
      <c r="S29513" s="178"/>
    </row>
    <row r="29514" spans="18:19">
      <c r="R29514" s="178"/>
      <c r="S29514" s="178"/>
    </row>
    <row r="29515" spans="18:19">
      <c r="R29515" s="178"/>
      <c r="S29515" s="178"/>
    </row>
    <row r="29516" spans="18:19">
      <c r="R29516" s="178"/>
      <c r="S29516" s="178"/>
    </row>
    <row r="29517" spans="18:19">
      <c r="R29517" s="178"/>
      <c r="S29517" s="178"/>
    </row>
    <row r="29518" spans="18:19">
      <c r="R29518" s="178"/>
      <c r="S29518" s="178"/>
    </row>
    <row r="29519" spans="18:19">
      <c r="R29519" s="178"/>
      <c r="S29519" s="178"/>
    </row>
    <row r="29520" spans="18:19">
      <c r="R29520" s="178"/>
      <c r="S29520" s="178"/>
    </row>
    <row r="29521" spans="18:19">
      <c r="R29521" s="178"/>
      <c r="S29521" s="178"/>
    </row>
    <row r="29522" spans="18:19">
      <c r="R29522" s="178"/>
      <c r="S29522" s="178"/>
    </row>
    <row r="29523" spans="18:19">
      <c r="R29523" s="178"/>
      <c r="S29523" s="178"/>
    </row>
    <row r="29524" spans="18:19">
      <c r="R29524" s="178"/>
      <c r="S29524" s="178"/>
    </row>
    <row r="29525" spans="18:19">
      <c r="R29525" s="178"/>
      <c r="S29525" s="178"/>
    </row>
    <row r="29526" spans="18:19">
      <c r="R29526" s="178"/>
      <c r="S29526" s="178"/>
    </row>
    <row r="29527" spans="18:19">
      <c r="R29527" s="178"/>
      <c r="S29527" s="178"/>
    </row>
    <row r="29528" spans="18:19">
      <c r="R29528" s="178"/>
      <c r="S29528" s="178"/>
    </row>
    <row r="29529" spans="18:19">
      <c r="R29529" s="178"/>
      <c r="S29529" s="178"/>
    </row>
    <row r="29530" spans="18:19">
      <c r="R29530" s="178"/>
      <c r="S29530" s="178"/>
    </row>
    <row r="29531" spans="18:19">
      <c r="R29531" s="178"/>
      <c r="S29531" s="178"/>
    </row>
    <row r="29532" spans="18:19">
      <c r="R29532" s="178"/>
      <c r="S29532" s="178"/>
    </row>
    <row r="29533" spans="18:19">
      <c r="R29533" s="178"/>
      <c r="S29533" s="178"/>
    </row>
    <row r="29534" spans="18:19">
      <c r="R29534" s="178"/>
      <c r="S29534" s="178"/>
    </row>
    <row r="29535" spans="18:19">
      <c r="R29535" s="178"/>
      <c r="S29535" s="178"/>
    </row>
    <row r="29536" spans="18:19">
      <c r="R29536" s="178"/>
      <c r="S29536" s="178"/>
    </row>
    <row r="29537" spans="18:19">
      <c r="R29537" s="178"/>
      <c r="S29537" s="178"/>
    </row>
    <row r="29538" spans="18:19">
      <c r="R29538" s="178"/>
      <c r="S29538" s="178"/>
    </row>
    <row r="29539" spans="18:19">
      <c r="R29539" s="178"/>
      <c r="S29539" s="178"/>
    </row>
    <row r="29540" spans="18:19">
      <c r="R29540" s="178"/>
      <c r="S29540" s="178"/>
    </row>
    <row r="29541" spans="18:19">
      <c r="R29541" s="178"/>
      <c r="S29541" s="178"/>
    </row>
    <row r="29542" spans="18:19">
      <c r="R29542" s="178"/>
      <c r="S29542" s="178"/>
    </row>
    <row r="29543" spans="18:19">
      <c r="R29543" s="178"/>
      <c r="S29543" s="178"/>
    </row>
    <row r="29544" spans="18:19">
      <c r="R29544" s="178"/>
      <c r="S29544" s="178"/>
    </row>
    <row r="29545" spans="18:19">
      <c r="R29545" s="178"/>
      <c r="S29545" s="178"/>
    </row>
    <row r="29546" spans="18:19">
      <c r="R29546" s="178"/>
      <c r="S29546" s="178"/>
    </row>
    <row r="29547" spans="18:19">
      <c r="R29547" s="178"/>
      <c r="S29547" s="178"/>
    </row>
    <row r="29548" spans="18:19">
      <c r="R29548" s="178"/>
      <c r="S29548" s="178"/>
    </row>
    <row r="29549" spans="18:19">
      <c r="R29549" s="178"/>
      <c r="S29549" s="178"/>
    </row>
    <row r="29550" spans="18:19">
      <c r="R29550" s="178"/>
      <c r="S29550" s="178"/>
    </row>
    <row r="29551" spans="18:19">
      <c r="R29551" s="178"/>
      <c r="S29551" s="178"/>
    </row>
    <row r="29552" spans="18:19">
      <c r="R29552" s="178"/>
      <c r="S29552" s="178"/>
    </row>
    <row r="29553" spans="18:19">
      <c r="R29553" s="178"/>
      <c r="S29553" s="178"/>
    </row>
    <row r="29554" spans="18:19">
      <c r="R29554" s="178"/>
      <c r="S29554" s="178"/>
    </row>
    <row r="29555" spans="18:19">
      <c r="R29555" s="178"/>
      <c r="S29555" s="178"/>
    </row>
    <row r="29556" spans="18:19">
      <c r="R29556" s="178"/>
      <c r="S29556" s="178"/>
    </row>
    <row r="29557" spans="18:19">
      <c r="R29557" s="178"/>
      <c r="S29557" s="178"/>
    </row>
    <row r="29558" spans="18:19">
      <c r="R29558" s="178"/>
      <c r="S29558" s="178"/>
    </row>
    <row r="29559" spans="18:19">
      <c r="R29559" s="178"/>
      <c r="S29559" s="178"/>
    </row>
    <row r="29560" spans="18:19">
      <c r="R29560" s="178"/>
      <c r="S29560" s="178"/>
    </row>
    <row r="29561" spans="18:19">
      <c r="R29561" s="178"/>
      <c r="S29561" s="178"/>
    </row>
    <row r="29562" spans="18:19">
      <c r="R29562" s="178"/>
      <c r="S29562" s="178"/>
    </row>
    <row r="29563" spans="18:19">
      <c r="R29563" s="178"/>
      <c r="S29563" s="178"/>
    </row>
    <row r="29564" spans="18:19">
      <c r="R29564" s="178"/>
      <c r="S29564" s="178"/>
    </row>
    <row r="29565" spans="18:19">
      <c r="R29565" s="178"/>
      <c r="S29565" s="178"/>
    </row>
    <row r="29566" spans="18:19">
      <c r="R29566" s="178"/>
      <c r="S29566" s="178"/>
    </row>
    <row r="29567" spans="18:19">
      <c r="R29567" s="178"/>
      <c r="S29567" s="178"/>
    </row>
    <row r="29568" spans="18:19">
      <c r="R29568" s="178"/>
      <c r="S29568" s="178"/>
    </row>
    <row r="29569" spans="18:19">
      <c r="R29569" s="178"/>
      <c r="S29569" s="178"/>
    </row>
    <row r="29570" spans="18:19">
      <c r="R29570" s="178"/>
      <c r="S29570" s="178"/>
    </row>
    <row r="29571" spans="18:19">
      <c r="R29571" s="178"/>
      <c r="S29571" s="178"/>
    </row>
    <row r="29572" spans="18:19">
      <c r="R29572" s="178"/>
      <c r="S29572" s="178"/>
    </row>
    <row r="29573" spans="18:19">
      <c r="R29573" s="178"/>
      <c r="S29573" s="178"/>
    </row>
    <row r="29574" spans="18:19">
      <c r="R29574" s="178"/>
      <c r="S29574" s="178"/>
    </row>
    <row r="29575" spans="18:19">
      <c r="R29575" s="178"/>
      <c r="S29575" s="178"/>
    </row>
    <row r="29576" spans="18:19">
      <c r="R29576" s="178"/>
      <c r="S29576" s="178"/>
    </row>
    <row r="29577" spans="18:19">
      <c r="R29577" s="178"/>
      <c r="S29577" s="178"/>
    </row>
    <row r="29578" spans="18:19">
      <c r="R29578" s="178"/>
      <c r="S29578" s="178"/>
    </row>
    <row r="29579" spans="18:19">
      <c r="R29579" s="178"/>
      <c r="S29579" s="178"/>
    </row>
    <row r="29580" spans="18:19">
      <c r="R29580" s="178"/>
      <c r="S29580" s="178"/>
    </row>
    <row r="29581" spans="18:19">
      <c r="R29581" s="178"/>
      <c r="S29581" s="178"/>
    </row>
    <row r="29582" spans="18:19">
      <c r="R29582" s="178"/>
      <c r="S29582" s="178"/>
    </row>
    <row r="29583" spans="18:19">
      <c r="R29583" s="178"/>
      <c r="S29583" s="178"/>
    </row>
    <row r="29584" spans="18:19">
      <c r="R29584" s="178"/>
      <c r="S29584" s="178"/>
    </row>
    <row r="29585" spans="18:19">
      <c r="R29585" s="178"/>
      <c r="S29585" s="178"/>
    </row>
    <row r="29586" spans="18:19">
      <c r="R29586" s="178"/>
      <c r="S29586" s="178"/>
    </row>
    <row r="29587" spans="18:19">
      <c r="R29587" s="178"/>
      <c r="S29587" s="178"/>
    </row>
    <row r="29588" spans="18:19">
      <c r="R29588" s="178"/>
      <c r="S29588" s="178"/>
    </row>
    <row r="29589" spans="18:19">
      <c r="R29589" s="178"/>
      <c r="S29589" s="178"/>
    </row>
    <row r="29590" spans="18:19">
      <c r="R29590" s="178"/>
      <c r="S29590" s="178"/>
    </row>
    <row r="29591" spans="18:19">
      <c r="R29591" s="178"/>
      <c r="S29591" s="178"/>
    </row>
    <row r="29592" spans="18:19">
      <c r="R29592" s="178"/>
      <c r="S29592" s="178"/>
    </row>
    <row r="29593" spans="18:19">
      <c r="R29593" s="178"/>
      <c r="S29593" s="178"/>
    </row>
    <row r="29594" spans="18:19">
      <c r="R29594" s="178"/>
      <c r="S29594" s="178"/>
    </row>
    <row r="29595" spans="18:19">
      <c r="R29595" s="178"/>
      <c r="S29595" s="178"/>
    </row>
    <row r="29596" spans="18:19">
      <c r="R29596" s="178"/>
      <c r="S29596" s="178"/>
    </row>
    <row r="29597" spans="18:19">
      <c r="R29597" s="178"/>
      <c r="S29597" s="178"/>
    </row>
    <row r="29598" spans="18:19">
      <c r="R29598" s="178"/>
      <c r="S29598" s="178"/>
    </row>
    <row r="29599" spans="18:19">
      <c r="R29599" s="178"/>
      <c r="S29599" s="178"/>
    </row>
    <row r="29600" spans="18:19">
      <c r="R29600" s="178"/>
      <c r="S29600" s="178"/>
    </row>
    <row r="29601" spans="18:19">
      <c r="R29601" s="178"/>
      <c r="S29601" s="178"/>
    </row>
    <row r="29602" spans="18:19">
      <c r="R29602" s="178"/>
      <c r="S29602" s="178"/>
    </row>
    <row r="29603" spans="18:19">
      <c r="R29603" s="178"/>
      <c r="S29603" s="178"/>
    </row>
    <row r="29604" spans="18:19">
      <c r="R29604" s="178"/>
      <c r="S29604" s="178"/>
    </row>
    <row r="29605" spans="18:19">
      <c r="R29605" s="178"/>
      <c r="S29605" s="178"/>
    </row>
    <row r="29606" spans="18:19">
      <c r="R29606" s="178"/>
      <c r="S29606" s="178"/>
    </row>
    <row r="29607" spans="18:19">
      <c r="R29607" s="178"/>
      <c r="S29607" s="178"/>
    </row>
    <row r="29608" spans="18:19">
      <c r="R29608" s="178"/>
      <c r="S29608" s="178"/>
    </row>
    <row r="29609" spans="18:19">
      <c r="R29609" s="178"/>
      <c r="S29609" s="178"/>
    </row>
    <row r="29610" spans="18:19">
      <c r="R29610" s="178"/>
      <c r="S29610" s="178"/>
    </row>
    <row r="29611" spans="18:19">
      <c r="R29611" s="178"/>
      <c r="S29611" s="178"/>
    </row>
    <row r="29612" spans="18:19">
      <c r="R29612" s="178"/>
      <c r="S29612" s="178"/>
    </row>
    <row r="29613" spans="18:19">
      <c r="R29613" s="178"/>
      <c r="S29613" s="178"/>
    </row>
    <row r="29614" spans="18:19">
      <c r="R29614" s="178"/>
      <c r="S29614" s="178"/>
    </row>
    <row r="29615" spans="18:19">
      <c r="R29615" s="178"/>
      <c r="S29615" s="178"/>
    </row>
    <row r="29616" spans="18:19">
      <c r="R29616" s="178"/>
      <c r="S29616" s="178"/>
    </row>
    <row r="29617" spans="18:19">
      <c r="R29617" s="178"/>
      <c r="S29617" s="178"/>
    </row>
    <row r="29618" spans="18:19">
      <c r="R29618" s="178"/>
      <c r="S29618" s="178"/>
    </row>
    <row r="29619" spans="18:19">
      <c r="R29619" s="178"/>
      <c r="S29619" s="178"/>
    </row>
    <row r="29620" spans="18:19">
      <c r="R29620" s="178"/>
      <c r="S29620" s="178"/>
    </row>
    <row r="29621" spans="18:19">
      <c r="R29621" s="178"/>
      <c r="S29621" s="178"/>
    </row>
    <row r="29622" spans="18:19">
      <c r="R29622" s="178"/>
      <c r="S29622" s="178"/>
    </row>
    <row r="29623" spans="18:19">
      <c r="R29623" s="178"/>
      <c r="S29623" s="178"/>
    </row>
    <row r="29624" spans="18:19">
      <c r="R29624" s="178"/>
      <c r="S29624" s="178"/>
    </row>
    <row r="29625" spans="18:19">
      <c r="R29625" s="178"/>
      <c r="S29625" s="178"/>
    </row>
    <row r="29626" spans="18:19">
      <c r="R29626" s="178"/>
      <c r="S29626" s="178"/>
    </row>
    <row r="29627" spans="18:19">
      <c r="R29627" s="178"/>
      <c r="S29627" s="178"/>
    </row>
    <row r="29628" spans="18:19">
      <c r="R29628" s="178"/>
      <c r="S29628" s="178"/>
    </row>
    <row r="29629" spans="18:19">
      <c r="R29629" s="178"/>
      <c r="S29629" s="178"/>
    </row>
    <row r="29630" spans="18:19">
      <c r="R29630" s="178"/>
      <c r="S29630" s="178"/>
    </row>
    <row r="29631" spans="18:19">
      <c r="R29631" s="178"/>
      <c r="S29631" s="178"/>
    </row>
    <row r="29632" spans="18:19">
      <c r="R29632" s="178"/>
      <c r="S29632" s="178"/>
    </row>
    <row r="29633" spans="18:19">
      <c r="R29633" s="178"/>
      <c r="S29633" s="178"/>
    </row>
    <row r="29634" spans="18:19">
      <c r="R29634" s="178"/>
      <c r="S29634" s="178"/>
    </row>
    <row r="29635" spans="18:19">
      <c r="R29635" s="178"/>
      <c r="S29635" s="178"/>
    </row>
    <row r="29636" spans="18:19">
      <c r="R29636" s="178"/>
      <c r="S29636" s="178"/>
    </row>
    <row r="29637" spans="18:19">
      <c r="R29637" s="178"/>
      <c r="S29637" s="178"/>
    </row>
    <row r="29638" spans="18:19">
      <c r="R29638" s="178"/>
      <c r="S29638" s="178"/>
    </row>
    <row r="29639" spans="18:19">
      <c r="R29639" s="178"/>
      <c r="S29639" s="178"/>
    </row>
    <row r="29640" spans="18:19">
      <c r="R29640" s="178"/>
      <c r="S29640" s="178"/>
    </row>
    <row r="29641" spans="18:19">
      <c r="R29641" s="178"/>
      <c r="S29641" s="178"/>
    </row>
    <row r="29642" spans="18:19">
      <c r="R29642" s="178"/>
      <c r="S29642" s="178"/>
    </row>
    <row r="29643" spans="18:19">
      <c r="R29643" s="178"/>
      <c r="S29643" s="178"/>
    </row>
    <row r="29644" spans="18:19">
      <c r="R29644" s="178"/>
      <c r="S29644" s="178"/>
    </row>
    <row r="29645" spans="18:19">
      <c r="R29645" s="178"/>
      <c r="S29645" s="178"/>
    </row>
    <row r="29646" spans="18:19">
      <c r="R29646" s="178"/>
      <c r="S29646" s="178"/>
    </row>
    <row r="29647" spans="18:19">
      <c r="R29647" s="178"/>
      <c r="S29647" s="178"/>
    </row>
    <row r="29648" spans="18:19">
      <c r="R29648" s="178"/>
      <c r="S29648" s="178"/>
    </row>
    <row r="29649" spans="18:19">
      <c r="R29649" s="178"/>
      <c r="S29649" s="178"/>
    </row>
    <row r="29650" spans="18:19">
      <c r="R29650" s="178"/>
      <c r="S29650" s="178"/>
    </row>
    <row r="29651" spans="18:19">
      <c r="R29651" s="178"/>
      <c r="S29651" s="178"/>
    </row>
    <row r="29652" spans="18:19">
      <c r="R29652" s="178"/>
      <c r="S29652" s="178"/>
    </row>
    <row r="29653" spans="18:19">
      <c r="R29653" s="178"/>
      <c r="S29653" s="178"/>
    </row>
    <row r="29654" spans="18:19">
      <c r="R29654" s="178"/>
      <c r="S29654" s="178"/>
    </row>
    <row r="29655" spans="18:19">
      <c r="R29655" s="178"/>
      <c r="S29655" s="178"/>
    </row>
    <row r="29656" spans="18:19">
      <c r="R29656" s="178"/>
      <c r="S29656" s="178"/>
    </row>
    <row r="29657" spans="18:19">
      <c r="R29657" s="178"/>
      <c r="S29657" s="178"/>
    </row>
    <row r="29658" spans="18:19">
      <c r="R29658" s="178"/>
      <c r="S29658" s="178"/>
    </row>
    <row r="29659" spans="18:19">
      <c r="R29659" s="178"/>
      <c r="S29659" s="178"/>
    </row>
    <row r="29660" spans="18:19">
      <c r="R29660" s="178"/>
      <c r="S29660" s="178"/>
    </row>
    <row r="29661" spans="18:19">
      <c r="R29661" s="178"/>
      <c r="S29661" s="178"/>
    </row>
    <row r="29662" spans="18:19">
      <c r="R29662" s="178"/>
      <c r="S29662" s="178"/>
    </row>
    <row r="29663" spans="18:19">
      <c r="R29663" s="178"/>
      <c r="S29663" s="178"/>
    </row>
    <row r="29664" spans="18:19">
      <c r="R29664" s="178"/>
      <c r="S29664" s="178"/>
    </row>
    <row r="29665" spans="18:19">
      <c r="R29665" s="178"/>
      <c r="S29665" s="178"/>
    </row>
    <row r="29666" spans="18:19">
      <c r="R29666" s="178"/>
      <c r="S29666" s="178"/>
    </row>
    <row r="29667" spans="18:19">
      <c r="R29667" s="178"/>
      <c r="S29667" s="178"/>
    </row>
    <row r="29668" spans="18:19">
      <c r="R29668" s="178"/>
      <c r="S29668" s="178"/>
    </row>
    <row r="29669" spans="18:19">
      <c r="R29669" s="178"/>
      <c r="S29669" s="178"/>
    </row>
    <row r="29670" spans="18:19">
      <c r="R29670" s="178"/>
      <c r="S29670" s="178"/>
    </row>
    <row r="29671" spans="18:19">
      <c r="R29671" s="178"/>
      <c r="S29671" s="178"/>
    </row>
    <row r="29672" spans="18:19">
      <c r="R29672" s="178"/>
      <c r="S29672" s="178"/>
    </row>
    <row r="29673" spans="18:19">
      <c r="R29673" s="178"/>
      <c r="S29673" s="178"/>
    </row>
    <row r="29674" spans="18:19">
      <c r="R29674" s="178"/>
      <c r="S29674" s="178"/>
    </row>
    <row r="29675" spans="18:19">
      <c r="R29675" s="178"/>
      <c r="S29675" s="178"/>
    </row>
    <row r="29676" spans="18:19">
      <c r="R29676" s="178"/>
      <c r="S29676" s="178"/>
    </row>
    <row r="29677" spans="18:19">
      <c r="R29677" s="178"/>
      <c r="S29677" s="178"/>
    </row>
    <row r="29678" spans="18:19">
      <c r="R29678" s="178"/>
      <c r="S29678" s="178"/>
    </row>
    <row r="29679" spans="18:19">
      <c r="R29679" s="178"/>
      <c r="S29679" s="178"/>
    </row>
    <row r="29680" spans="18:19">
      <c r="R29680" s="178"/>
      <c r="S29680" s="178"/>
    </row>
    <row r="29681" spans="18:19">
      <c r="R29681" s="178"/>
      <c r="S29681" s="178"/>
    </row>
    <row r="29682" spans="18:19">
      <c r="R29682" s="178"/>
      <c r="S29682" s="178"/>
    </row>
    <row r="29683" spans="18:19">
      <c r="R29683" s="178"/>
      <c r="S29683" s="178"/>
    </row>
    <row r="29684" spans="18:19">
      <c r="R29684" s="178"/>
      <c r="S29684" s="178"/>
    </row>
    <row r="29685" spans="18:19">
      <c r="R29685" s="178"/>
      <c r="S29685" s="178"/>
    </row>
    <row r="29686" spans="18:19">
      <c r="R29686" s="178"/>
      <c r="S29686" s="178"/>
    </row>
    <row r="29687" spans="18:19">
      <c r="R29687" s="178"/>
      <c r="S29687" s="178"/>
    </row>
    <row r="29688" spans="18:19">
      <c r="R29688" s="178"/>
      <c r="S29688" s="178"/>
    </row>
    <row r="29689" spans="18:19">
      <c r="R29689" s="178"/>
      <c r="S29689" s="178"/>
    </row>
    <row r="29690" spans="18:19">
      <c r="R29690" s="178"/>
      <c r="S29690" s="178"/>
    </row>
    <row r="29691" spans="18:19">
      <c r="R29691" s="178"/>
      <c r="S29691" s="178"/>
    </row>
    <row r="29692" spans="18:19">
      <c r="R29692" s="178"/>
      <c r="S29692" s="178"/>
    </row>
    <row r="29693" spans="18:19">
      <c r="R29693" s="178"/>
      <c r="S29693" s="178"/>
    </row>
    <row r="29694" spans="18:19">
      <c r="R29694" s="178"/>
      <c r="S29694" s="178"/>
    </row>
    <row r="29695" spans="18:19">
      <c r="R29695" s="178"/>
      <c r="S29695" s="178"/>
    </row>
    <row r="29696" spans="18:19">
      <c r="R29696" s="178"/>
      <c r="S29696" s="178"/>
    </row>
    <row r="29697" spans="18:19">
      <c r="R29697" s="178"/>
      <c r="S29697" s="178"/>
    </row>
    <row r="29698" spans="18:19">
      <c r="R29698" s="178"/>
      <c r="S29698" s="178"/>
    </row>
    <row r="29699" spans="18:19">
      <c r="R29699" s="178"/>
      <c r="S29699" s="178"/>
    </row>
    <row r="29700" spans="18:19">
      <c r="R29700" s="178"/>
      <c r="S29700" s="178"/>
    </row>
    <row r="29701" spans="18:19">
      <c r="R29701" s="178"/>
      <c r="S29701" s="178"/>
    </row>
    <row r="29702" spans="18:19">
      <c r="R29702" s="178"/>
      <c r="S29702" s="178"/>
    </row>
    <row r="29703" spans="18:19">
      <c r="R29703" s="178"/>
      <c r="S29703" s="178"/>
    </row>
    <row r="29704" spans="18:19">
      <c r="R29704" s="178"/>
      <c r="S29704" s="178"/>
    </row>
    <row r="29705" spans="18:19">
      <c r="R29705" s="178"/>
      <c r="S29705" s="178"/>
    </row>
    <row r="29706" spans="18:19">
      <c r="R29706" s="178"/>
      <c r="S29706" s="178"/>
    </row>
    <row r="29707" spans="18:19">
      <c r="R29707" s="178"/>
      <c r="S29707" s="178"/>
    </row>
    <row r="29708" spans="18:19">
      <c r="R29708" s="178"/>
      <c r="S29708" s="178"/>
    </row>
    <row r="29709" spans="18:19">
      <c r="R29709" s="178"/>
      <c r="S29709" s="178"/>
    </row>
    <row r="29710" spans="18:19">
      <c r="R29710" s="178"/>
      <c r="S29710" s="178"/>
    </row>
    <row r="29711" spans="18:19">
      <c r="R29711" s="178"/>
      <c r="S29711" s="178"/>
    </row>
    <row r="29712" spans="18:19">
      <c r="R29712" s="178"/>
      <c r="S29712" s="178"/>
    </row>
    <row r="29713" spans="18:19">
      <c r="R29713" s="178"/>
      <c r="S29713" s="178"/>
    </row>
    <row r="29714" spans="18:19">
      <c r="R29714" s="178"/>
      <c r="S29714" s="178"/>
    </row>
    <row r="29715" spans="18:19">
      <c r="R29715" s="178"/>
      <c r="S29715" s="178"/>
    </row>
    <row r="29716" spans="18:19">
      <c r="R29716" s="178"/>
      <c r="S29716" s="178"/>
    </row>
    <row r="29717" spans="18:19">
      <c r="R29717" s="178"/>
      <c r="S29717" s="178"/>
    </row>
    <row r="29718" spans="18:19">
      <c r="R29718" s="178"/>
      <c r="S29718" s="178"/>
    </row>
    <row r="29719" spans="18:19">
      <c r="R29719" s="178"/>
      <c r="S29719" s="178"/>
    </row>
    <row r="29720" spans="18:19">
      <c r="R29720" s="178"/>
      <c r="S29720" s="178"/>
    </row>
    <row r="29721" spans="18:19">
      <c r="R29721" s="178"/>
      <c r="S29721" s="178"/>
    </row>
    <row r="29722" spans="18:19">
      <c r="R29722" s="178"/>
      <c r="S29722" s="178"/>
    </row>
    <row r="29723" spans="18:19">
      <c r="R29723" s="178"/>
      <c r="S29723" s="178"/>
    </row>
    <row r="29724" spans="18:19">
      <c r="R29724" s="178"/>
      <c r="S29724" s="178"/>
    </row>
    <row r="29725" spans="18:19">
      <c r="R29725" s="178"/>
      <c r="S29725" s="178"/>
    </row>
    <row r="29726" spans="18:19">
      <c r="R29726" s="178"/>
      <c r="S29726" s="178"/>
    </row>
    <row r="29727" spans="18:19">
      <c r="R29727" s="178"/>
      <c r="S29727" s="178"/>
    </row>
    <row r="29728" spans="18:19">
      <c r="R29728" s="178"/>
      <c r="S29728" s="178"/>
    </row>
    <row r="29729" spans="18:19">
      <c r="R29729" s="178"/>
      <c r="S29729" s="178"/>
    </row>
    <row r="29730" spans="18:19">
      <c r="R29730" s="178"/>
      <c r="S29730" s="178"/>
    </row>
    <row r="29731" spans="18:19">
      <c r="R29731" s="178"/>
      <c r="S29731" s="178"/>
    </row>
    <row r="29732" spans="18:19">
      <c r="R29732" s="178"/>
      <c r="S29732" s="178"/>
    </row>
    <row r="29733" spans="18:19">
      <c r="R29733" s="178"/>
      <c r="S29733" s="178"/>
    </row>
    <row r="29734" spans="18:19">
      <c r="R29734" s="178"/>
      <c r="S29734" s="178"/>
    </row>
    <row r="29735" spans="18:19">
      <c r="R29735" s="178"/>
      <c r="S29735" s="178"/>
    </row>
    <row r="29736" spans="18:19">
      <c r="R29736" s="178"/>
      <c r="S29736" s="178"/>
    </row>
    <row r="29737" spans="18:19">
      <c r="R29737" s="178"/>
      <c r="S29737" s="178"/>
    </row>
    <row r="29738" spans="18:19">
      <c r="R29738" s="178"/>
      <c r="S29738" s="178"/>
    </row>
    <row r="29739" spans="18:19">
      <c r="R29739" s="178"/>
      <c r="S29739" s="178"/>
    </row>
    <row r="29740" spans="18:19">
      <c r="R29740" s="178"/>
      <c r="S29740" s="178"/>
    </row>
    <row r="29741" spans="18:19">
      <c r="R29741" s="178"/>
      <c r="S29741" s="178"/>
    </row>
    <row r="29742" spans="18:19">
      <c r="R29742" s="178"/>
      <c r="S29742" s="178"/>
    </row>
    <row r="29743" spans="18:19">
      <c r="R29743" s="178"/>
      <c r="S29743" s="178"/>
    </row>
    <row r="29744" spans="18:19">
      <c r="R29744" s="178"/>
      <c r="S29744" s="178"/>
    </row>
    <row r="29745" spans="18:19">
      <c r="R29745" s="178"/>
      <c r="S29745" s="178"/>
    </row>
    <row r="29746" spans="18:19">
      <c r="R29746" s="178"/>
      <c r="S29746" s="178"/>
    </row>
    <row r="29747" spans="18:19">
      <c r="R29747" s="178"/>
      <c r="S29747" s="178"/>
    </row>
    <row r="29748" spans="18:19">
      <c r="R29748" s="178"/>
      <c r="S29748" s="178"/>
    </row>
    <row r="29749" spans="18:19">
      <c r="R29749" s="178"/>
      <c r="S29749" s="178"/>
    </row>
    <row r="29750" spans="18:19">
      <c r="R29750" s="178"/>
      <c r="S29750" s="178"/>
    </row>
    <row r="29751" spans="18:19">
      <c r="R29751" s="178"/>
      <c r="S29751" s="178"/>
    </row>
    <row r="29752" spans="18:19">
      <c r="R29752" s="178"/>
      <c r="S29752" s="178"/>
    </row>
    <row r="29753" spans="18:19">
      <c r="R29753" s="178"/>
      <c r="S29753" s="178"/>
    </row>
    <row r="29754" spans="18:19">
      <c r="R29754" s="178"/>
      <c r="S29754" s="178"/>
    </row>
    <row r="29755" spans="18:19">
      <c r="R29755" s="178"/>
      <c r="S29755" s="178"/>
    </row>
    <row r="29756" spans="18:19">
      <c r="R29756" s="178"/>
      <c r="S29756" s="178"/>
    </row>
    <row r="29757" spans="18:19">
      <c r="R29757" s="178"/>
      <c r="S29757" s="178"/>
    </row>
    <row r="29758" spans="18:19">
      <c r="R29758" s="178"/>
      <c r="S29758" s="178"/>
    </row>
    <row r="29759" spans="18:19">
      <c r="R29759" s="178"/>
      <c r="S29759" s="178"/>
    </row>
    <row r="29760" spans="18:19">
      <c r="R29760" s="178"/>
      <c r="S29760" s="178"/>
    </row>
    <row r="29761" spans="18:19">
      <c r="R29761" s="178"/>
      <c r="S29761" s="178"/>
    </row>
    <row r="29762" spans="18:19">
      <c r="R29762" s="178"/>
      <c r="S29762" s="178"/>
    </row>
    <row r="29763" spans="18:19">
      <c r="R29763" s="178"/>
      <c r="S29763" s="178"/>
    </row>
    <row r="29764" spans="18:19">
      <c r="R29764" s="178"/>
      <c r="S29764" s="178"/>
    </row>
    <row r="29765" spans="18:19">
      <c r="R29765" s="178"/>
      <c r="S29765" s="178"/>
    </row>
    <row r="29766" spans="18:19">
      <c r="R29766" s="178"/>
      <c r="S29766" s="178"/>
    </row>
    <row r="29767" spans="18:19">
      <c r="R29767" s="178"/>
      <c r="S29767" s="178"/>
    </row>
    <row r="29768" spans="18:19">
      <c r="R29768" s="178"/>
      <c r="S29768" s="178"/>
    </row>
    <row r="29769" spans="18:19">
      <c r="R29769" s="178"/>
      <c r="S29769" s="178"/>
    </row>
    <row r="29770" spans="18:19">
      <c r="R29770" s="178"/>
      <c r="S29770" s="178"/>
    </row>
    <row r="29771" spans="18:19">
      <c r="R29771" s="178"/>
      <c r="S29771" s="178"/>
    </row>
    <row r="29772" spans="18:19">
      <c r="R29772" s="178"/>
      <c r="S29772" s="178"/>
    </row>
    <row r="29773" spans="18:19">
      <c r="R29773" s="178"/>
      <c r="S29773" s="178"/>
    </row>
    <row r="29774" spans="18:19">
      <c r="R29774" s="178"/>
      <c r="S29774" s="178"/>
    </row>
    <row r="29775" spans="18:19">
      <c r="R29775" s="178"/>
      <c r="S29775" s="178"/>
    </row>
    <row r="29776" spans="18:19">
      <c r="R29776" s="178"/>
      <c r="S29776" s="178"/>
    </row>
    <row r="29777" spans="18:19">
      <c r="R29777" s="178"/>
      <c r="S29777" s="178"/>
    </row>
    <row r="29778" spans="18:19">
      <c r="R29778" s="178"/>
      <c r="S29778" s="178"/>
    </row>
    <row r="29779" spans="18:19">
      <c r="R29779" s="178"/>
      <c r="S29779" s="178"/>
    </row>
    <row r="29780" spans="18:19">
      <c r="R29780" s="178"/>
      <c r="S29780" s="178"/>
    </row>
    <row r="29781" spans="18:19">
      <c r="R29781" s="178"/>
      <c r="S29781" s="178"/>
    </row>
    <row r="29782" spans="18:19">
      <c r="R29782" s="178"/>
      <c r="S29782" s="178"/>
    </row>
    <row r="29783" spans="18:19">
      <c r="R29783" s="178"/>
      <c r="S29783" s="178"/>
    </row>
    <row r="29784" spans="18:19">
      <c r="R29784" s="178"/>
      <c r="S29784" s="178"/>
    </row>
    <row r="29785" spans="18:19">
      <c r="R29785" s="178"/>
      <c r="S29785" s="178"/>
    </row>
    <row r="29786" spans="18:19">
      <c r="R29786" s="178"/>
      <c r="S29786" s="178"/>
    </row>
    <row r="29787" spans="18:19">
      <c r="R29787" s="178"/>
      <c r="S29787" s="178"/>
    </row>
    <row r="29788" spans="18:19">
      <c r="R29788" s="178"/>
      <c r="S29788" s="178"/>
    </row>
    <row r="29789" spans="18:19">
      <c r="R29789" s="178"/>
      <c r="S29789" s="178"/>
    </row>
    <row r="29790" spans="18:19">
      <c r="R29790" s="178"/>
      <c r="S29790" s="178"/>
    </row>
    <row r="29791" spans="18:19">
      <c r="R29791" s="178"/>
      <c r="S29791" s="178"/>
    </row>
    <row r="29792" spans="18:19">
      <c r="R29792" s="178"/>
      <c r="S29792" s="178"/>
    </row>
    <row r="29793" spans="18:19">
      <c r="R29793" s="178"/>
      <c r="S29793" s="178"/>
    </row>
    <row r="29794" spans="18:19">
      <c r="R29794" s="178"/>
      <c r="S29794" s="178"/>
    </row>
    <row r="29795" spans="18:19">
      <c r="R29795" s="178"/>
      <c r="S29795" s="178"/>
    </row>
    <row r="29796" spans="18:19">
      <c r="R29796" s="178"/>
      <c r="S29796" s="178"/>
    </row>
    <row r="29797" spans="18:19">
      <c r="R29797" s="178"/>
      <c r="S29797" s="178"/>
    </row>
    <row r="29798" spans="18:19">
      <c r="R29798" s="178"/>
      <c r="S29798" s="178"/>
    </row>
    <row r="29799" spans="18:19">
      <c r="R29799" s="178"/>
      <c r="S29799" s="178"/>
    </row>
    <row r="29800" spans="18:19">
      <c r="R29800" s="178"/>
      <c r="S29800" s="178"/>
    </row>
    <row r="29801" spans="18:19">
      <c r="R29801" s="178"/>
      <c r="S29801" s="178"/>
    </row>
    <row r="29802" spans="18:19">
      <c r="R29802" s="178"/>
      <c r="S29802" s="178"/>
    </row>
    <row r="29803" spans="18:19">
      <c r="R29803" s="178"/>
      <c r="S29803" s="178"/>
    </row>
    <row r="29804" spans="18:19">
      <c r="R29804" s="178"/>
      <c r="S29804" s="178"/>
    </row>
    <row r="29805" spans="18:19">
      <c r="R29805" s="178"/>
      <c r="S29805" s="178"/>
    </row>
    <row r="29806" spans="18:19">
      <c r="R29806" s="178"/>
      <c r="S29806" s="178"/>
    </row>
    <row r="29807" spans="18:19">
      <c r="R29807" s="178"/>
      <c r="S29807" s="178"/>
    </row>
    <row r="29808" spans="18:19">
      <c r="R29808" s="178"/>
      <c r="S29808" s="178"/>
    </row>
    <row r="29809" spans="18:19">
      <c r="R29809" s="178"/>
      <c r="S29809" s="178"/>
    </row>
    <row r="29810" spans="18:19">
      <c r="R29810" s="178"/>
      <c r="S29810" s="178"/>
    </row>
    <row r="29811" spans="18:19">
      <c r="R29811" s="178"/>
      <c r="S29811" s="178"/>
    </row>
    <row r="29812" spans="18:19">
      <c r="R29812" s="178"/>
      <c r="S29812" s="178"/>
    </row>
    <row r="29813" spans="18:19">
      <c r="R29813" s="178"/>
      <c r="S29813" s="178"/>
    </row>
    <row r="29814" spans="18:19">
      <c r="R29814" s="178"/>
      <c r="S29814" s="178"/>
    </row>
    <row r="29815" spans="18:19">
      <c r="R29815" s="178"/>
      <c r="S29815" s="178"/>
    </row>
    <row r="29816" spans="18:19">
      <c r="R29816" s="178"/>
      <c r="S29816" s="178"/>
    </row>
    <row r="29817" spans="18:19">
      <c r="R29817" s="178"/>
      <c r="S29817" s="178"/>
    </row>
    <row r="29818" spans="18:19">
      <c r="R29818" s="178"/>
      <c r="S29818" s="178"/>
    </row>
    <row r="29819" spans="18:19">
      <c r="R29819" s="178"/>
      <c r="S29819" s="178"/>
    </row>
    <row r="29820" spans="18:19">
      <c r="R29820" s="178"/>
      <c r="S29820" s="178"/>
    </row>
    <row r="29821" spans="18:19">
      <c r="R29821" s="178"/>
      <c r="S29821" s="178"/>
    </row>
    <row r="29822" spans="18:19">
      <c r="R29822" s="178"/>
      <c r="S29822" s="178"/>
    </row>
    <row r="29823" spans="18:19">
      <c r="R29823" s="178"/>
      <c r="S29823" s="178"/>
    </row>
    <row r="29824" spans="18:19">
      <c r="R29824" s="178"/>
      <c r="S29824" s="178"/>
    </row>
    <row r="29825" spans="18:19">
      <c r="R29825" s="178"/>
      <c r="S29825" s="178"/>
    </row>
    <row r="29826" spans="18:19">
      <c r="R29826" s="178"/>
      <c r="S29826" s="178"/>
    </row>
    <row r="29827" spans="18:19">
      <c r="R29827" s="178"/>
      <c r="S29827" s="178"/>
    </row>
    <row r="29828" spans="18:19">
      <c r="R29828" s="178"/>
      <c r="S29828" s="178"/>
    </row>
    <row r="29829" spans="18:19">
      <c r="R29829" s="178"/>
      <c r="S29829" s="178"/>
    </row>
    <row r="29830" spans="18:19">
      <c r="R29830" s="178"/>
      <c r="S29830" s="178"/>
    </row>
    <row r="29831" spans="18:19">
      <c r="R29831" s="178"/>
      <c r="S29831" s="178"/>
    </row>
    <row r="29832" spans="18:19">
      <c r="R29832" s="178"/>
      <c r="S29832" s="178"/>
    </row>
    <row r="29833" spans="18:19">
      <c r="R29833" s="178"/>
      <c r="S29833" s="178"/>
    </row>
    <row r="29834" spans="18:19">
      <c r="R29834" s="178"/>
      <c r="S29834" s="178"/>
    </row>
    <row r="29835" spans="18:19">
      <c r="R29835" s="178"/>
      <c r="S29835" s="178"/>
    </row>
    <row r="29836" spans="18:19">
      <c r="R29836" s="178"/>
      <c r="S29836" s="178"/>
    </row>
    <row r="29837" spans="18:19">
      <c r="R29837" s="178"/>
      <c r="S29837" s="178"/>
    </row>
    <row r="29838" spans="18:19">
      <c r="R29838" s="178"/>
      <c r="S29838" s="178"/>
    </row>
    <row r="29839" spans="18:19">
      <c r="R29839" s="178"/>
      <c r="S29839" s="178"/>
    </row>
    <row r="29840" spans="18:19">
      <c r="R29840" s="178"/>
      <c r="S29840" s="178"/>
    </row>
    <row r="29841" spans="18:19">
      <c r="R29841" s="178"/>
      <c r="S29841" s="178"/>
    </row>
    <row r="29842" spans="18:19">
      <c r="R29842" s="178"/>
      <c r="S29842" s="178"/>
    </row>
    <row r="29843" spans="18:19">
      <c r="R29843" s="178"/>
      <c r="S29843" s="178"/>
    </row>
    <row r="29844" spans="18:19">
      <c r="R29844" s="178"/>
      <c r="S29844" s="178"/>
    </row>
    <row r="29845" spans="18:19">
      <c r="R29845" s="178"/>
      <c r="S29845" s="178"/>
    </row>
    <row r="29846" spans="18:19">
      <c r="R29846" s="178"/>
      <c r="S29846" s="178"/>
    </row>
    <row r="29847" spans="18:19">
      <c r="R29847" s="178"/>
      <c r="S29847" s="178"/>
    </row>
    <row r="29848" spans="18:19">
      <c r="R29848" s="178"/>
      <c r="S29848" s="178"/>
    </row>
    <row r="29849" spans="18:19">
      <c r="R29849" s="178"/>
      <c r="S29849" s="178"/>
    </row>
    <row r="29850" spans="18:19">
      <c r="R29850" s="178"/>
      <c r="S29850" s="178"/>
    </row>
    <row r="29851" spans="18:19">
      <c r="R29851" s="178"/>
      <c r="S29851" s="178"/>
    </row>
    <row r="29852" spans="18:19">
      <c r="R29852" s="178"/>
      <c r="S29852" s="178"/>
    </row>
    <row r="29853" spans="18:19">
      <c r="R29853" s="178"/>
      <c r="S29853" s="178"/>
    </row>
    <row r="29854" spans="18:19">
      <c r="R29854" s="178"/>
      <c r="S29854" s="178"/>
    </row>
    <row r="29855" spans="18:19">
      <c r="R29855" s="178"/>
      <c r="S29855" s="178"/>
    </row>
    <row r="29856" spans="18:19">
      <c r="R29856" s="178"/>
      <c r="S29856" s="178"/>
    </row>
    <row r="29857" spans="18:19">
      <c r="R29857" s="178"/>
      <c r="S29857" s="178"/>
    </row>
    <row r="29858" spans="18:19">
      <c r="R29858" s="178"/>
      <c r="S29858" s="178"/>
    </row>
    <row r="29859" spans="18:19">
      <c r="R29859" s="178"/>
      <c r="S29859" s="178"/>
    </row>
    <row r="29860" spans="18:19">
      <c r="R29860" s="178"/>
      <c r="S29860" s="178"/>
    </row>
    <row r="29861" spans="18:19">
      <c r="R29861" s="178"/>
      <c r="S29861" s="178"/>
    </row>
    <row r="29862" spans="18:19">
      <c r="R29862" s="178"/>
      <c r="S29862" s="178"/>
    </row>
    <row r="29863" spans="18:19">
      <c r="R29863" s="178"/>
      <c r="S29863" s="178"/>
    </row>
    <row r="29864" spans="18:19">
      <c r="R29864" s="178"/>
      <c r="S29864" s="178"/>
    </row>
    <row r="29865" spans="18:19">
      <c r="R29865" s="178"/>
      <c r="S29865" s="178"/>
    </row>
    <row r="29866" spans="18:19">
      <c r="R29866" s="178"/>
      <c r="S29866" s="178"/>
    </row>
    <row r="29867" spans="18:19">
      <c r="R29867" s="178"/>
      <c r="S29867" s="178"/>
    </row>
    <row r="29868" spans="18:19">
      <c r="R29868" s="178"/>
      <c r="S29868" s="178"/>
    </row>
    <row r="29869" spans="18:19">
      <c r="R29869" s="178"/>
      <c r="S29869" s="178"/>
    </row>
    <row r="29870" spans="18:19">
      <c r="R29870" s="178"/>
      <c r="S29870" s="178"/>
    </row>
    <row r="29871" spans="18:19">
      <c r="R29871" s="178"/>
      <c r="S29871" s="178"/>
    </row>
    <row r="29872" spans="18:19">
      <c r="R29872" s="178"/>
      <c r="S29872" s="178"/>
    </row>
    <row r="29873" spans="18:19">
      <c r="R29873" s="178"/>
      <c r="S29873" s="178"/>
    </row>
    <row r="29874" spans="18:19">
      <c r="R29874" s="178"/>
      <c r="S29874" s="178"/>
    </row>
    <row r="29875" spans="18:19">
      <c r="R29875" s="178"/>
      <c r="S29875" s="178"/>
    </row>
    <row r="29876" spans="18:19">
      <c r="R29876" s="178"/>
      <c r="S29876" s="178"/>
    </row>
    <row r="29877" spans="18:19">
      <c r="R29877" s="178"/>
      <c r="S29877" s="178"/>
    </row>
    <row r="29878" spans="18:19">
      <c r="R29878" s="178"/>
      <c r="S29878" s="178"/>
    </row>
    <row r="29879" spans="18:19">
      <c r="R29879" s="178"/>
      <c r="S29879" s="178"/>
    </row>
    <row r="29880" spans="18:19">
      <c r="R29880" s="178"/>
      <c r="S29880" s="178"/>
    </row>
    <row r="29881" spans="18:19">
      <c r="R29881" s="178"/>
      <c r="S29881" s="178"/>
    </row>
    <row r="29882" spans="18:19">
      <c r="R29882" s="178"/>
      <c r="S29882" s="178"/>
    </row>
    <row r="29883" spans="18:19">
      <c r="R29883" s="178"/>
      <c r="S29883" s="178"/>
    </row>
    <row r="29884" spans="18:19">
      <c r="R29884" s="178"/>
      <c r="S29884" s="178"/>
    </row>
    <row r="29885" spans="18:19">
      <c r="R29885" s="178"/>
      <c r="S29885" s="178"/>
    </row>
    <row r="29886" spans="18:19">
      <c r="R29886" s="178"/>
      <c r="S29886" s="178"/>
    </row>
    <row r="29887" spans="18:19">
      <c r="R29887" s="178"/>
      <c r="S29887" s="178"/>
    </row>
    <row r="29888" spans="18:19">
      <c r="R29888" s="178"/>
      <c r="S29888" s="178"/>
    </row>
    <row r="29889" spans="18:19">
      <c r="R29889" s="178"/>
      <c r="S29889" s="178"/>
    </row>
    <row r="29890" spans="18:19">
      <c r="R29890" s="178"/>
      <c r="S29890" s="178"/>
    </row>
    <row r="29891" spans="18:19">
      <c r="R29891" s="178"/>
      <c r="S29891" s="178"/>
    </row>
    <row r="29892" spans="18:19">
      <c r="R29892" s="178"/>
      <c r="S29892" s="178"/>
    </row>
    <row r="29893" spans="18:19">
      <c r="R29893" s="178"/>
      <c r="S29893" s="178"/>
    </row>
    <row r="29894" spans="18:19">
      <c r="R29894" s="178"/>
      <c r="S29894" s="178"/>
    </row>
    <row r="29895" spans="18:19">
      <c r="R29895" s="178"/>
      <c r="S29895" s="178"/>
    </row>
    <row r="29896" spans="18:19">
      <c r="R29896" s="178"/>
      <c r="S29896" s="178"/>
    </row>
    <row r="29897" spans="18:19">
      <c r="R29897" s="178"/>
      <c r="S29897" s="178"/>
    </row>
    <row r="29898" spans="18:19">
      <c r="R29898" s="178"/>
      <c r="S29898" s="178"/>
    </row>
    <row r="29899" spans="18:19">
      <c r="R29899" s="178"/>
      <c r="S29899" s="178"/>
    </row>
    <row r="29900" spans="18:19">
      <c r="R29900" s="178"/>
      <c r="S29900" s="178"/>
    </row>
    <row r="29901" spans="18:19">
      <c r="R29901" s="178"/>
      <c r="S29901" s="178"/>
    </row>
    <row r="29902" spans="18:19">
      <c r="R29902" s="178"/>
      <c r="S29902" s="178"/>
    </row>
    <row r="29903" spans="18:19">
      <c r="R29903" s="178"/>
      <c r="S29903" s="178"/>
    </row>
    <row r="29904" spans="18:19">
      <c r="R29904" s="178"/>
      <c r="S29904" s="178"/>
    </row>
    <row r="29905" spans="18:19">
      <c r="R29905" s="178"/>
      <c r="S29905" s="178"/>
    </row>
    <row r="29906" spans="18:19">
      <c r="R29906" s="178"/>
      <c r="S29906" s="178"/>
    </row>
    <row r="29907" spans="18:19">
      <c r="R29907" s="178"/>
      <c r="S29907" s="178"/>
    </row>
    <row r="29908" spans="18:19">
      <c r="R29908" s="178"/>
      <c r="S29908" s="178"/>
    </row>
    <row r="29909" spans="18:19">
      <c r="R29909" s="178"/>
      <c r="S29909" s="178"/>
    </row>
    <row r="29910" spans="18:19">
      <c r="R29910" s="178"/>
      <c r="S29910" s="178"/>
    </row>
    <row r="29911" spans="18:19">
      <c r="R29911" s="178"/>
      <c r="S29911" s="178"/>
    </row>
    <row r="29912" spans="18:19">
      <c r="R29912" s="178"/>
      <c r="S29912" s="178"/>
    </row>
    <row r="29913" spans="18:19">
      <c r="R29913" s="178"/>
      <c r="S29913" s="178"/>
    </row>
    <row r="29914" spans="18:19">
      <c r="R29914" s="178"/>
      <c r="S29914" s="178"/>
    </row>
    <row r="29915" spans="18:19">
      <c r="R29915" s="178"/>
      <c r="S29915" s="178"/>
    </row>
    <row r="29916" spans="18:19">
      <c r="R29916" s="178"/>
      <c r="S29916" s="178"/>
    </row>
    <row r="29917" spans="18:19">
      <c r="R29917" s="178"/>
      <c r="S29917" s="178"/>
    </row>
    <row r="29918" spans="18:19">
      <c r="R29918" s="178"/>
      <c r="S29918" s="178"/>
    </row>
    <row r="29919" spans="18:19">
      <c r="R29919" s="178"/>
      <c r="S29919" s="178"/>
    </row>
    <row r="29920" spans="18:19">
      <c r="R29920" s="178"/>
      <c r="S29920" s="178"/>
    </row>
    <row r="29921" spans="18:19">
      <c r="R29921" s="178"/>
      <c r="S29921" s="178"/>
    </row>
    <row r="29922" spans="18:19">
      <c r="R29922" s="178"/>
      <c r="S29922" s="178"/>
    </row>
    <row r="29923" spans="18:19">
      <c r="R29923" s="178"/>
      <c r="S29923" s="178"/>
    </row>
    <row r="29924" spans="18:19">
      <c r="R29924" s="178"/>
      <c r="S29924" s="178"/>
    </row>
    <row r="29925" spans="18:19">
      <c r="R29925" s="178"/>
      <c r="S29925" s="178"/>
    </row>
    <row r="29926" spans="18:19">
      <c r="R29926" s="178"/>
      <c r="S29926" s="178"/>
    </row>
    <row r="29927" spans="18:19">
      <c r="R29927" s="178"/>
      <c r="S29927" s="178"/>
    </row>
    <row r="29928" spans="18:19">
      <c r="R29928" s="178"/>
      <c r="S29928" s="178"/>
    </row>
    <row r="29929" spans="18:19">
      <c r="R29929" s="178"/>
      <c r="S29929" s="178"/>
    </row>
    <row r="29930" spans="18:19">
      <c r="R29930" s="178"/>
      <c r="S29930" s="178"/>
    </row>
    <row r="29931" spans="18:19">
      <c r="R29931" s="178"/>
      <c r="S29931" s="178"/>
    </row>
    <row r="29932" spans="18:19">
      <c r="R29932" s="178"/>
      <c r="S29932" s="178"/>
    </row>
    <row r="29933" spans="18:19">
      <c r="R29933" s="178"/>
      <c r="S29933" s="178"/>
    </row>
    <row r="29934" spans="18:19">
      <c r="R29934" s="178"/>
      <c r="S29934" s="178"/>
    </row>
    <row r="29935" spans="18:19">
      <c r="R29935" s="178"/>
      <c r="S29935" s="178"/>
    </row>
    <row r="29936" spans="18:19">
      <c r="R29936" s="178"/>
      <c r="S29936" s="178"/>
    </row>
    <row r="29937" spans="18:19">
      <c r="R29937" s="178"/>
      <c r="S29937" s="178"/>
    </row>
    <row r="29938" spans="18:19">
      <c r="R29938" s="178"/>
      <c r="S29938" s="178"/>
    </row>
    <row r="29939" spans="18:19">
      <c r="R29939" s="178"/>
      <c r="S29939" s="178"/>
    </row>
    <row r="29940" spans="18:19">
      <c r="R29940" s="178"/>
      <c r="S29940" s="178"/>
    </row>
    <row r="29941" spans="18:19">
      <c r="R29941" s="178"/>
      <c r="S29941" s="178"/>
    </row>
    <row r="29942" spans="18:19">
      <c r="R29942" s="178"/>
      <c r="S29942" s="178"/>
    </row>
    <row r="29943" spans="18:19">
      <c r="R29943" s="178"/>
      <c r="S29943" s="178"/>
    </row>
    <row r="29944" spans="18:19">
      <c r="R29944" s="178"/>
      <c r="S29944" s="178"/>
    </row>
    <row r="29945" spans="18:19">
      <c r="R29945" s="178"/>
      <c r="S29945" s="178"/>
    </row>
    <row r="29946" spans="18:19">
      <c r="R29946" s="178"/>
      <c r="S29946" s="178"/>
    </row>
    <row r="29947" spans="18:19">
      <c r="R29947" s="178"/>
      <c r="S29947" s="178"/>
    </row>
    <row r="29948" spans="18:19">
      <c r="R29948" s="178"/>
      <c r="S29948" s="178"/>
    </row>
    <row r="29949" spans="18:19">
      <c r="R29949" s="178"/>
      <c r="S29949" s="178"/>
    </row>
    <row r="29950" spans="18:19">
      <c r="R29950" s="178"/>
      <c r="S29950" s="178"/>
    </row>
    <row r="29951" spans="18:19">
      <c r="R29951" s="178"/>
      <c r="S29951" s="178"/>
    </row>
    <row r="29952" spans="18:19">
      <c r="R29952" s="178"/>
      <c r="S29952" s="178"/>
    </row>
    <row r="29953" spans="18:19">
      <c r="R29953" s="178"/>
      <c r="S29953" s="178"/>
    </row>
    <row r="29954" spans="18:19">
      <c r="R29954" s="178"/>
      <c r="S29954" s="178"/>
    </row>
    <row r="29955" spans="18:19">
      <c r="R29955" s="178"/>
      <c r="S29955" s="178"/>
    </row>
    <row r="29956" spans="18:19">
      <c r="R29956" s="178"/>
      <c r="S29956" s="178"/>
    </row>
    <row r="29957" spans="18:19">
      <c r="R29957" s="178"/>
      <c r="S29957" s="178"/>
    </row>
    <row r="29958" spans="18:19">
      <c r="R29958" s="178"/>
      <c r="S29958" s="178"/>
    </row>
    <row r="29959" spans="18:19">
      <c r="R29959" s="178"/>
      <c r="S29959" s="178"/>
    </row>
    <row r="29960" spans="18:19">
      <c r="R29960" s="178"/>
      <c r="S29960" s="178"/>
    </row>
    <row r="29961" spans="18:19">
      <c r="R29961" s="178"/>
      <c r="S29961" s="178"/>
    </row>
    <row r="29962" spans="18:19">
      <c r="R29962" s="178"/>
      <c r="S29962" s="178"/>
    </row>
    <row r="29963" spans="18:19">
      <c r="R29963" s="178"/>
      <c r="S29963" s="178"/>
    </row>
    <row r="29964" spans="18:19">
      <c r="R29964" s="178"/>
      <c r="S29964" s="178"/>
    </row>
    <row r="29965" spans="18:19">
      <c r="R29965" s="178"/>
      <c r="S29965" s="178"/>
    </row>
    <row r="29966" spans="18:19">
      <c r="R29966" s="178"/>
      <c r="S29966" s="178"/>
    </row>
    <row r="29967" spans="18:19">
      <c r="R29967" s="178"/>
      <c r="S29967" s="178"/>
    </row>
    <row r="29968" spans="18:19">
      <c r="R29968" s="178"/>
      <c r="S29968" s="178"/>
    </row>
    <row r="29969" spans="18:19">
      <c r="R29969" s="178"/>
      <c r="S29969" s="178"/>
    </row>
    <row r="29970" spans="18:19">
      <c r="R29970" s="178"/>
      <c r="S29970" s="178"/>
    </row>
    <row r="29971" spans="18:19">
      <c r="R29971" s="178"/>
      <c r="S29971" s="178"/>
    </row>
    <row r="29972" spans="18:19">
      <c r="R29972" s="178"/>
      <c r="S29972" s="178"/>
    </row>
    <row r="29973" spans="18:19">
      <c r="R29973" s="178"/>
      <c r="S29973" s="178"/>
    </row>
    <row r="29974" spans="18:19">
      <c r="R29974" s="178"/>
      <c r="S29974" s="178"/>
    </row>
    <row r="29975" spans="18:19">
      <c r="R29975" s="178"/>
      <c r="S29975" s="178"/>
    </row>
    <row r="29976" spans="18:19">
      <c r="R29976" s="178"/>
      <c r="S29976" s="178"/>
    </row>
    <row r="29977" spans="18:19">
      <c r="R29977" s="178"/>
      <c r="S29977" s="178"/>
    </row>
    <row r="29978" spans="18:19">
      <c r="R29978" s="178"/>
      <c r="S29978" s="178"/>
    </row>
    <row r="29979" spans="18:19">
      <c r="R29979" s="178"/>
      <c r="S29979" s="178"/>
    </row>
    <row r="29980" spans="18:19">
      <c r="R29980" s="178"/>
      <c r="S29980" s="178"/>
    </row>
    <row r="29981" spans="18:19">
      <c r="R29981" s="178"/>
      <c r="S29981" s="178"/>
    </row>
    <row r="29982" spans="18:19">
      <c r="R29982" s="178"/>
      <c r="S29982" s="178"/>
    </row>
    <row r="29983" spans="18:19">
      <c r="R29983" s="178"/>
      <c r="S29983" s="178"/>
    </row>
    <row r="29984" spans="18:19">
      <c r="R29984" s="178"/>
      <c r="S29984" s="178"/>
    </row>
    <row r="29985" spans="18:19">
      <c r="R29985" s="178"/>
      <c r="S29985" s="178"/>
    </row>
    <row r="29986" spans="18:19">
      <c r="R29986" s="178"/>
      <c r="S29986" s="178"/>
    </row>
    <row r="29987" spans="18:19">
      <c r="R29987" s="178"/>
      <c r="S29987" s="178"/>
    </row>
    <row r="29988" spans="18:19">
      <c r="R29988" s="178"/>
      <c r="S29988" s="178"/>
    </row>
    <row r="29989" spans="18:19">
      <c r="R29989" s="178"/>
      <c r="S29989" s="178"/>
    </row>
    <row r="29990" spans="18:19">
      <c r="R29990" s="178"/>
      <c r="S29990" s="178"/>
    </row>
    <row r="29991" spans="18:19">
      <c r="R29991" s="178"/>
      <c r="S29991" s="178"/>
    </row>
    <row r="29992" spans="18:19">
      <c r="R29992" s="178"/>
      <c r="S29992" s="178"/>
    </row>
    <row r="29993" spans="18:19">
      <c r="R29993" s="178"/>
      <c r="S29993" s="178"/>
    </row>
    <row r="29994" spans="18:19">
      <c r="R29994" s="178"/>
      <c r="S29994" s="178"/>
    </row>
    <row r="29995" spans="18:19">
      <c r="R29995" s="178"/>
      <c r="S29995" s="178"/>
    </row>
    <row r="29996" spans="18:19">
      <c r="R29996" s="178"/>
      <c r="S29996" s="178"/>
    </row>
    <row r="29997" spans="18:19">
      <c r="R29997" s="178"/>
      <c r="S29997" s="178"/>
    </row>
    <row r="29998" spans="18:19">
      <c r="R29998" s="178"/>
      <c r="S29998" s="178"/>
    </row>
    <row r="29999" spans="18:19">
      <c r="R29999" s="178"/>
      <c r="S29999" s="178"/>
    </row>
    <row r="30000" spans="18:19">
      <c r="R30000" s="178"/>
      <c r="S30000" s="178"/>
    </row>
    <row r="30001" spans="18:19">
      <c r="R30001" s="178"/>
      <c r="S30001" s="178"/>
    </row>
    <row r="30002" spans="18:19">
      <c r="R30002" s="178"/>
      <c r="S30002" s="178"/>
    </row>
    <row r="30003" spans="18:19">
      <c r="R30003" s="178"/>
      <c r="S30003" s="178"/>
    </row>
    <row r="30004" spans="18:19">
      <c r="R30004" s="178"/>
      <c r="S30004" s="178"/>
    </row>
    <row r="30005" spans="18:19">
      <c r="R30005" s="178"/>
      <c r="S30005" s="178"/>
    </row>
    <row r="30006" spans="18:19">
      <c r="R30006" s="178"/>
      <c r="S30006" s="178"/>
    </row>
    <row r="30007" spans="18:19">
      <c r="R30007" s="178"/>
      <c r="S30007" s="178"/>
    </row>
    <row r="30008" spans="18:19">
      <c r="R30008" s="178"/>
      <c r="S30008" s="178"/>
    </row>
    <row r="30009" spans="18:19">
      <c r="R30009" s="178"/>
      <c r="S30009" s="178"/>
    </row>
    <row r="30010" spans="18:19">
      <c r="R30010" s="178"/>
      <c r="S30010" s="178"/>
    </row>
    <row r="30011" spans="18:19">
      <c r="R30011" s="178"/>
      <c r="S30011" s="178"/>
    </row>
    <row r="30012" spans="18:19">
      <c r="R30012" s="178"/>
      <c r="S30012" s="178"/>
    </row>
    <row r="30013" spans="18:19">
      <c r="R30013" s="178"/>
      <c r="S30013" s="178"/>
    </row>
    <row r="30014" spans="18:19">
      <c r="R30014" s="178"/>
      <c r="S30014" s="178"/>
    </row>
    <row r="30015" spans="18:19">
      <c r="R30015" s="178"/>
      <c r="S30015" s="178"/>
    </row>
    <row r="30016" spans="18:19">
      <c r="R30016" s="178"/>
      <c r="S30016" s="178"/>
    </row>
    <row r="30017" spans="18:19">
      <c r="R30017" s="178"/>
      <c r="S30017" s="178"/>
    </row>
    <row r="30018" spans="18:19">
      <c r="R30018" s="178"/>
      <c r="S30018" s="178"/>
    </row>
    <row r="30019" spans="18:19">
      <c r="R30019" s="178"/>
      <c r="S30019" s="178"/>
    </row>
    <row r="30020" spans="18:19">
      <c r="R30020" s="178"/>
      <c r="S30020" s="178"/>
    </row>
    <row r="30021" spans="18:19">
      <c r="R30021" s="178"/>
      <c r="S30021" s="178"/>
    </row>
    <row r="30022" spans="18:19">
      <c r="R30022" s="178"/>
      <c r="S30022" s="178"/>
    </row>
    <row r="30023" spans="18:19">
      <c r="R30023" s="178"/>
      <c r="S30023" s="178"/>
    </row>
    <row r="30024" spans="18:19">
      <c r="R30024" s="178"/>
      <c r="S30024" s="178"/>
    </row>
    <row r="30025" spans="18:19">
      <c r="R30025" s="178"/>
      <c r="S30025" s="178"/>
    </row>
    <row r="30026" spans="18:19">
      <c r="R30026" s="178"/>
      <c r="S30026" s="178"/>
    </row>
    <row r="30027" spans="18:19">
      <c r="R30027" s="178"/>
      <c r="S30027" s="178"/>
    </row>
    <row r="30028" spans="18:19">
      <c r="R30028" s="178"/>
      <c r="S30028" s="178"/>
    </row>
    <row r="30029" spans="18:19">
      <c r="R30029" s="178"/>
      <c r="S30029" s="178"/>
    </row>
    <row r="30030" spans="18:19">
      <c r="R30030" s="178"/>
      <c r="S30030" s="178"/>
    </row>
    <row r="30031" spans="18:19">
      <c r="R30031" s="178"/>
      <c r="S30031" s="178"/>
    </row>
    <row r="30032" spans="18:19">
      <c r="R30032" s="178"/>
      <c r="S30032" s="178"/>
    </row>
    <row r="30033" spans="18:19">
      <c r="R30033" s="178"/>
      <c r="S30033" s="178"/>
    </row>
    <row r="30034" spans="18:19">
      <c r="R30034" s="178"/>
      <c r="S30034" s="178"/>
    </row>
    <row r="30035" spans="18:19">
      <c r="R30035" s="178"/>
      <c r="S30035" s="178"/>
    </row>
    <row r="30036" spans="18:19">
      <c r="R30036" s="178"/>
      <c r="S30036" s="178"/>
    </row>
    <row r="30037" spans="18:19">
      <c r="R30037" s="178"/>
      <c r="S30037" s="178"/>
    </row>
    <row r="30038" spans="18:19">
      <c r="R30038" s="178"/>
      <c r="S30038" s="178"/>
    </row>
    <row r="30039" spans="18:19">
      <c r="R30039" s="178"/>
      <c r="S30039" s="178"/>
    </row>
    <row r="30040" spans="18:19">
      <c r="R30040" s="178"/>
      <c r="S30040" s="178"/>
    </row>
    <row r="30041" spans="18:19">
      <c r="R30041" s="178"/>
      <c r="S30041" s="178"/>
    </row>
    <row r="30042" spans="18:19">
      <c r="R30042" s="178"/>
      <c r="S30042" s="178"/>
    </row>
    <row r="30043" spans="18:19">
      <c r="R30043" s="178"/>
      <c r="S30043" s="178"/>
    </row>
    <row r="30044" spans="18:19">
      <c r="R30044" s="178"/>
      <c r="S30044" s="178"/>
    </row>
    <row r="30045" spans="18:19">
      <c r="R30045" s="178"/>
      <c r="S30045" s="178"/>
    </row>
    <row r="30046" spans="18:19">
      <c r="R30046" s="178"/>
      <c r="S30046" s="178"/>
    </row>
    <row r="30047" spans="18:19">
      <c r="R30047" s="178"/>
      <c r="S30047" s="178"/>
    </row>
    <row r="30048" spans="18:19">
      <c r="R30048" s="178"/>
      <c r="S30048" s="178"/>
    </row>
    <row r="30049" spans="18:19">
      <c r="R30049" s="178"/>
      <c r="S30049" s="178"/>
    </row>
    <row r="30050" spans="18:19">
      <c r="R30050" s="178"/>
      <c r="S30050" s="178"/>
    </row>
    <row r="30051" spans="18:19">
      <c r="R30051" s="178"/>
      <c r="S30051" s="178"/>
    </row>
    <row r="30052" spans="18:19">
      <c r="R30052" s="178"/>
      <c r="S30052" s="178"/>
    </row>
    <row r="30053" spans="18:19">
      <c r="R30053" s="178"/>
      <c r="S30053" s="178"/>
    </row>
    <row r="30054" spans="18:19">
      <c r="R30054" s="178"/>
      <c r="S30054" s="178"/>
    </row>
    <row r="30055" spans="18:19">
      <c r="R30055" s="178"/>
      <c r="S30055" s="178"/>
    </row>
    <row r="30056" spans="18:19">
      <c r="R30056" s="178"/>
      <c r="S30056" s="178"/>
    </row>
    <row r="30057" spans="18:19">
      <c r="R30057" s="178"/>
      <c r="S30057" s="178"/>
    </row>
    <row r="30058" spans="18:19">
      <c r="R30058" s="178"/>
      <c r="S30058" s="178"/>
    </row>
    <row r="30059" spans="18:19">
      <c r="R30059" s="178"/>
      <c r="S30059" s="178"/>
    </row>
    <row r="30060" spans="18:19">
      <c r="R30060" s="178"/>
      <c r="S30060" s="178"/>
    </row>
    <row r="30061" spans="18:19">
      <c r="R30061" s="178"/>
      <c r="S30061" s="178"/>
    </row>
    <row r="30062" spans="18:19">
      <c r="R30062" s="178"/>
      <c r="S30062" s="178"/>
    </row>
    <row r="30063" spans="18:19">
      <c r="R30063" s="178"/>
      <c r="S30063" s="178"/>
    </row>
    <row r="30064" spans="18:19">
      <c r="R30064" s="178"/>
      <c r="S30064" s="178"/>
    </row>
    <row r="30065" spans="18:19">
      <c r="R30065" s="178"/>
      <c r="S30065" s="178"/>
    </row>
    <row r="30066" spans="18:19">
      <c r="R30066" s="178"/>
      <c r="S30066" s="178"/>
    </row>
    <row r="30067" spans="18:19">
      <c r="R30067" s="178"/>
      <c r="S30067" s="178"/>
    </row>
    <row r="30068" spans="18:19">
      <c r="R30068" s="178"/>
      <c r="S30068" s="178"/>
    </row>
    <row r="30069" spans="18:19">
      <c r="R30069" s="178"/>
      <c r="S30069" s="178"/>
    </row>
    <row r="30070" spans="18:19">
      <c r="R30070" s="178"/>
      <c r="S30070" s="178"/>
    </row>
    <row r="30071" spans="18:19">
      <c r="R30071" s="178"/>
      <c r="S30071" s="178"/>
    </row>
    <row r="30072" spans="18:19">
      <c r="R30072" s="178"/>
      <c r="S30072" s="178"/>
    </row>
    <row r="30073" spans="18:19">
      <c r="R30073" s="178"/>
      <c r="S30073" s="178"/>
    </row>
    <row r="30074" spans="18:19">
      <c r="R30074" s="178"/>
      <c r="S30074" s="178"/>
    </row>
    <row r="30075" spans="18:19">
      <c r="R30075" s="178"/>
      <c r="S30075" s="178"/>
    </row>
    <row r="30076" spans="18:19">
      <c r="R30076" s="178"/>
      <c r="S30076" s="178"/>
    </row>
    <row r="30077" spans="18:19">
      <c r="R30077" s="178"/>
      <c r="S30077" s="178"/>
    </row>
    <row r="30078" spans="18:19">
      <c r="R30078" s="178"/>
      <c r="S30078" s="178"/>
    </row>
    <row r="30079" spans="18:19">
      <c r="R30079" s="178"/>
      <c r="S30079" s="178"/>
    </row>
    <row r="30080" spans="18:19">
      <c r="R30080" s="178"/>
      <c r="S30080" s="178"/>
    </row>
    <row r="30081" spans="18:19">
      <c r="R30081" s="178"/>
      <c r="S30081" s="178"/>
    </row>
    <row r="30082" spans="18:19">
      <c r="R30082" s="178"/>
      <c r="S30082" s="178"/>
    </row>
    <row r="30083" spans="18:19">
      <c r="R30083" s="178"/>
      <c r="S30083" s="178"/>
    </row>
    <row r="30084" spans="18:19">
      <c r="R30084" s="178"/>
      <c r="S30084" s="178"/>
    </row>
    <row r="30085" spans="18:19">
      <c r="R30085" s="178"/>
      <c r="S30085" s="178"/>
    </row>
    <row r="30086" spans="18:19">
      <c r="R30086" s="178"/>
      <c r="S30086" s="178"/>
    </row>
    <row r="30087" spans="18:19">
      <c r="R30087" s="178"/>
      <c r="S30087" s="178"/>
    </row>
    <row r="30088" spans="18:19">
      <c r="R30088" s="178"/>
      <c r="S30088" s="178"/>
    </row>
    <row r="30089" spans="18:19">
      <c r="R30089" s="178"/>
      <c r="S30089" s="178"/>
    </row>
    <row r="30090" spans="18:19">
      <c r="R30090" s="178"/>
      <c r="S30090" s="178"/>
    </row>
    <row r="30091" spans="18:19">
      <c r="R30091" s="178"/>
      <c r="S30091" s="178"/>
    </row>
    <row r="30092" spans="18:19">
      <c r="R30092" s="178"/>
      <c r="S30092" s="178"/>
    </row>
    <row r="30093" spans="18:19">
      <c r="R30093" s="178"/>
      <c r="S30093" s="178"/>
    </row>
    <row r="30094" spans="18:19">
      <c r="R30094" s="178"/>
      <c r="S30094" s="178"/>
    </row>
    <row r="30095" spans="18:19">
      <c r="R30095" s="178"/>
      <c r="S30095" s="178"/>
    </row>
    <row r="30096" spans="18:19">
      <c r="R30096" s="178"/>
      <c r="S30096" s="178"/>
    </row>
    <row r="30097" spans="18:19">
      <c r="R30097" s="178"/>
      <c r="S30097" s="178"/>
    </row>
    <row r="30098" spans="18:19">
      <c r="R30098" s="178"/>
      <c r="S30098" s="178"/>
    </row>
    <row r="30099" spans="18:19">
      <c r="R30099" s="178"/>
      <c r="S30099" s="178"/>
    </row>
    <row r="30100" spans="18:19">
      <c r="R30100" s="178"/>
      <c r="S30100" s="178"/>
    </row>
    <row r="30101" spans="18:19">
      <c r="R30101" s="178"/>
      <c r="S30101" s="178"/>
    </row>
    <row r="30102" spans="18:19">
      <c r="R30102" s="178"/>
      <c r="S30102" s="178"/>
    </row>
    <row r="30103" spans="18:19">
      <c r="R30103" s="178"/>
      <c r="S30103" s="178"/>
    </row>
    <row r="30104" spans="18:19">
      <c r="R30104" s="178"/>
      <c r="S30104" s="178"/>
    </row>
    <row r="30105" spans="18:19">
      <c r="R30105" s="178"/>
      <c r="S30105" s="178"/>
    </row>
    <row r="30106" spans="18:19">
      <c r="R30106" s="178"/>
      <c r="S30106" s="178"/>
    </row>
    <row r="30107" spans="18:19">
      <c r="R30107" s="178"/>
      <c r="S30107" s="178"/>
    </row>
    <row r="30108" spans="18:19">
      <c r="R30108" s="178"/>
      <c r="S30108" s="178"/>
    </row>
    <row r="30109" spans="18:19">
      <c r="R30109" s="178"/>
      <c r="S30109" s="178"/>
    </row>
    <row r="30110" spans="18:19">
      <c r="R30110" s="178"/>
      <c r="S30110" s="178"/>
    </row>
    <row r="30111" spans="18:19">
      <c r="R30111" s="178"/>
      <c r="S30111" s="178"/>
    </row>
    <row r="30112" spans="18:19">
      <c r="R30112" s="178"/>
      <c r="S30112" s="178"/>
    </row>
    <row r="30113" spans="18:19">
      <c r="R30113" s="178"/>
      <c r="S30113" s="178"/>
    </row>
    <row r="30114" spans="18:19">
      <c r="R30114" s="178"/>
      <c r="S30114" s="178"/>
    </row>
    <row r="30115" spans="18:19">
      <c r="R30115" s="178"/>
      <c r="S30115" s="178"/>
    </row>
    <row r="30116" spans="18:19">
      <c r="R30116" s="178"/>
      <c r="S30116" s="178"/>
    </row>
    <row r="30117" spans="18:19">
      <c r="R30117" s="178"/>
      <c r="S30117" s="178"/>
    </row>
    <row r="30118" spans="18:19">
      <c r="R30118" s="178"/>
      <c r="S30118" s="178"/>
    </row>
    <row r="30119" spans="18:19">
      <c r="R30119" s="178"/>
      <c r="S30119" s="178"/>
    </row>
    <row r="30120" spans="18:19">
      <c r="R30120" s="178"/>
      <c r="S30120" s="178"/>
    </row>
    <row r="30121" spans="18:19">
      <c r="R30121" s="178"/>
      <c r="S30121" s="178"/>
    </row>
    <row r="30122" spans="18:19">
      <c r="R30122" s="178"/>
      <c r="S30122" s="178"/>
    </row>
    <row r="30123" spans="18:19">
      <c r="R30123" s="178"/>
      <c r="S30123" s="178"/>
    </row>
    <row r="30124" spans="18:19">
      <c r="R30124" s="178"/>
      <c r="S30124" s="178"/>
    </row>
    <row r="30125" spans="18:19">
      <c r="R30125" s="178"/>
      <c r="S30125" s="178"/>
    </row>
    <row r="30126" spans="18:19">
      <c r="R30126" s="178"/>
      <c r="S30126" s="178"/>
    </row>
    <row r="30127" spans="18:19">
      <c r="R30127" s="178"/>
      <c r="S30127" s="178"/>
    </row>
    <row r="30128" spans="18:19">
      <c r="R30128" s="178"/>
      <c r="S30128" s="178"/>
    </row>
    <row r="30129" spans="18:19">
      <c r="R30129" s="178"/>
      <c r="S30129" s="178"/>
    </row>
    <row r="30130" spans="18:19">
      <c r="R30130" s="178"/>
      <c r="S30130" s="178"/>
    </row>
    <row r="30131" spans="18:19">
      <c r="R30131" s="178"/>
      <c r="S30131" s="178"/>
    </row>
    <row r="30132" spans="18:19">
      <c r="R30132" s="178"/>
      <c r="S30132" s="178"/>
    </row>
    <row r="30133" spans="18:19">
      <c r="R30133" s="178"/>
      <c r="S30133" s="178"/>
    </row>
    <row r="30134" spans="18:19">
      <c r="R30134" s="178"/>
      <c r="S30134" s="178"/>
    </row>
    <row r="30135" spans="18:19">
      <c r="R30135" s="178"/>
      <c r="S30135" s="178"/>
    </row>
    <row r="30136" spans="18:19">
      <c r="R30136" s="178"/>
      <c r="S30136" s="178"/>
    </row>
    <row r="30137" spans="18:19">
      <c r="R30137" s="178"/>
      <c r="S30137" s="178"/>
    </row>
    <row r="30138" spans="18:19">
      <c r="R30138" s="178"/>
      <c r="S30138" s="178"/>
    </row>
    <row r="30139" spans="18:19">
      <c r="R30139" s="178"/>
      <c r="S30139" s="178"/>
    </row>
    <row r="30140" spans="18:19">
      <c r="R30140" s="178"/>
      <c r="S30140" s="178"/>
    </row>
    <row r="30141" spans="18:19">
      <c r="R30141" s="178"/>
      <c r="S30141" s="178"/>
    </row>
    <row r="30142" spans="18:19">
      <c r="R30142" s="178"/>
      <c r="S30142" s="178"/>
    </row>
    <row r="30143" spans="18:19">
      <c r="R30143" s="178"/>
      <c r="S30143" s="178"/>
    </row>
    <row r="30144" spans="18:19">
      <c r="R30144" s="178"/>
      <c r="S30144" s="178"/>
    </row>
    <row r="30145" spans="18:19">
      <c r="R30145" s="178"/>
      <c r="S30145" s="178"/>
    </row>
    <row r="30146" spans="18:19">
      <c r="R30146" s="178"/>
      <c r="S30146" s="178"/>
    </row>
    <row r="30147" spans="18:19">
      <c r="R30147" s="178"/>
      <c r="S30147" s="178"/>
    </row>
    <row r="30148" spans="18:19">
      <c r="R30148" s="178"/>
      <c r="S30148" s="178"/>
    </row>
    <row r="30149" spans="18:19">
      <c r="R30149" s="178"/>
      <c r="S30149" s="178"/>
    </row>
    <row r="30150" spans="18:19">
      <c r="R30150" s="178"/>
      <c r="S30150" s="178"/>
    </row>
    <row r="30151" spans="18:19">
      <c r="R30151" s="178"/>
      <c r="S30151" s="178"/>
    </row>
    <row r="30152" spans="18:19">
      <c r="R30152" s="178"/>
      <c r="S30152" s="178"/>
    </row>
    <row r="30153" spans="18:19">
      <c r="R30153" s="178"/>
      <c r="S30153" s="178"/>
    </row>
    <row r="30154" spans="18:19">
      <c r="R30154" s="178"/>
      <c r="S30154" s="178"/>
    </row>
    <row r="30155" spans="18:19">
      <c r="R30155" s="178"/>
      <c r="S30155" s="178"/>
    </row>
    <row r="30156" spans="18:19">
      <c r="R30156" s="178"/>
      <c r="S30156" s="178"/>
    </row>
    <row r="30157" spans="18:19">
      <c r="R30157" s="178"/>
      <c r="S30157" s="178"/>
    </row>
    <row r="30158" spans="18:19">
      <c r="R30158" s="178"/>
      <c r="S30158" s="178"/>
    </row>
    <row r="30159" spans="18:19">
      <c r="R30159" s="178"/>
      <c r="S30159" s="178"/>
    </row>
    <row r="30160" spans="18:19">
      <c r="R30160" s="178"/>
      <c r="S30160" s="178"/>
    </row>
    <row r="30161" spans="18:19">
      <c r="R30161" s="178"/>
      <c r="S30161" s="178"/>
    </row>
    <row r="30162" spans="18:19">
      <c r="R30162" s="178"/>
      <c r="S30162" s="178"/>
    </row>
    <row r="30163" spans="18:19">
      <c r="R30163" s="178"/>
      <c r="S30163" s="178"/>
    </row>
    <row r="30164" spans="18:19">
      <c r="R30164" s="178"/>
      <c r="S30164" s="178"/>
    </row>
    <row r="30165" spans="18:19">
      <c r="R30165" s="178"/>
      <c r="S30165" s="178"/>
    </row>
    <row r="30166" spans="18:19">
      <c r="R30166" s="178"/>
      <c r="S30166" s="178"/>
    </row>
    <row r="30167" spans="18:19">
      <c r="R30167" s="178"/>
      <c r="S30167" s="178"/>
    </row>
    <row r="30168" spans="18:19">
      <c r="R30168" s="178"/>
      <c r="S30168" s="178"/>
    </row>
    <row r="30169" spans="18:19">
      <c r="R30169" s="178"/>
      <c r="S30169" s="178"/>
    </row>
    <row r="30170" spans="18:19">
      <c r="R30170" s="178"/>
      <c r="S30170" s="178"/>
    </row>
    <row r="30171" spans="18:19">
      <c r="R30171" s="178"/>
      <c r="S30171" s="178"/>
    </row>
    <row r="30172" spans="18:19">
      <c r="R30172" s="178"/>
      <c r="S30172" s="178"/>
    </row>
    <row r="30173" spans="18:19">
      <c r="R30173" s="178"/>
      <c r="S30173" s="178"/>
    </row>
    <row r="30174" spans="18:19">
      <c r="R30174" s="178"/>
      <c r="S30174" s="178"/>
    </row>
    <row r="30175" spans="18:19">
      <c r="R30175" s="178"/>
      <c r="S30175" s="178"/>
    </row>
    <row r="30176" spans="18:19">
      <c r="R30176" s="178"/>
      <c r="S30176" s="178"/>
    </row>
    <row r="30177" spans="18:19">
      <c r="R30177" s="178"/>
      <c r="S30177" s="178"/>
    </row>
    <row r="30178" spans="18:19">
      <c r="R30178" s="178"/>
      <c r="S30178" s="178"/>
    </row>
    <row r="30179" spans="18:19">
      <c r="R30179" s="178"/>
      <c r="S30179" s="178"/>
    </row>
    <row r="30180" spans="18:19">
      <c r="R30180" s="178"/>
      <c r="S30180" s="178"/>
    </row>
    <row r="30181" spans="18:19">
      <c r="R30181" s="178"/>
      <c r="S30181" s="178"/>
    </row>
    <row r="30182" spans="18:19">
      <c r="R30182" s="178"/>
      <c r="S30182" s="178"/>
    </row>
    <row r="30183" spans="18:19">
      <c r="R30183" s="178"/>
      <c r="S30183" s="178"/>
    </row>
    <row r="30184" spans="18:19">
      <c r="R30184" s="178"/>
      <c r="S30184" s="178"/>
    </row>
    <row r="30185" spans="18:19">
      <c r="R30185" s="178"/>
      <c r="S30185" s="178"/>
    </row>
    <row r="30186" spans="18:19">
      <c r="R30186" s="178"/>
      <c r="S30186" s="178"/>
    </row>
    <row r="30187" spans="18:19">
      <c r="R30187" s="178"/>
      <c r="S30187" s="178"/>
    </row>
    <row r="30188" spans="18:19">
      <c r="R30188" s="178"/>
      <c r="S30188" s="178"/>
    </row>
    <row r="30189" spans="18:19">
      <c r="R30189" s="178"/>
      <c r="S30189" s="178"/>
    </row>
    <row r="30190" spans="18:19">
      <c r="R30190" s="178"/>
      <c r="S30190" s="178"/>
    </row>
    <row r="30191" spans="18:19">
      <c r="R30191" s="178"/>
      <c r="S30191" s="178"/>
    </row>
    <row r="30192" spans="18:19">
      <c r="R30192" s="178"/>
      <c r="S30192" s="178"/>
    </row>
    <row r="30193" spans="18:19">
      <c r="R30193" s="178"/>
      <c r="S30193" s="178"/>
    </row>
    <row r="30194" spans="18:19">
      <c r="R30194" s="178"/>
      <c r="S30194" s="178"/>
    </row>
    <row r="30195" spans="18:19">
      <c r="R30195" s="178"/>
      <c r="S30195" s="178"/>
    </row>
    <row r="30196" spans="18:19">
      <c r="R30196" s="178"/>
      <c r="S30196" s="178"/>
    </row>
    <row r="30197" spans="18:19">
      <c r="R30197" s="178"/>
      <c r="S30197" s="178"/>
    </row>
    <row r="30198" spans="18:19">
      <c r="R30198" s="178"/>
      <c r="S30198" s="178"/>
    </row>
    <row r="30199" spans="18:19">
      <c r="R30199" s="178"/>
      <c r="S30199" s="178"/>
    </row>
    <row r="30200" spans="18:19">
      <c r="R30200" s="178"/>
      <c r="S30200" s="178"/>
    </row>
    <row r="30201" spans="18:19">
      <c r="R30201" s="178"/>
      <c r="S30201" s="178"/>
    </row>
    <row r="30202" spans="18:19">
      <c r="R30202" s="178"/>
      <c r="S30202" s="178"/>
    </row>
    <row r="30203" spans="18:19">
      <c r="R30203" s="178"/>
      <c r="S30203" s="178"/>
    </row>
    <row r="30204" spans="18:19">
      <c r="R30204" s="178"/>
      <c r="S30204" s="178"/>
    </row>
    <row r="30205" spans="18:19">
      <c r="R30205" s="178"/>
      <c r="S30205" s="178"/>
    </row>
    <row r="30206" spans="18:19">
      <c r="R30206" s="178"/>
      <c r="S30206" s="178"/>
    </row>
    <row r="30207" spans="18:19">
      <c r="R30207" s="178"/>
      <c r="S30207" s="178"/>
    </row>
    <row r="30208" spans="18:19">
      <c r="R30208" s="178"/>
      <c r="S30208" s="178"/>
    </row>
    <row r="30209" spans="18:19">
      <c r="R30209" s="178"/>
      <c r="S30209" s="178"/>
    </row>
    <row r="30210" spans="18:19">
      <c r="R30210" s="178"/>
      <c r="S30210" s="178"/>
    </row>
    <row r="30211" spans="18:19">
      <c r="R30211" s="178"/>
      <c r="S30211" s="178"/>
    </row>
    <row r="30212" spans="18:19">
      <c r="R30212" s="178"/>
      <c r="S30212" s="178"/>
    </row>
    <row r="30213" spans="18:19">
      <c r="R30213" s="178"/>
      <c r="S30213" s="178"/>
    </row>
    <row r="30214" spans="18:19">
      <c r="R30214" s="178"/>
      <c r="S30214" s="178"/>
    </row>
    <row r="30215" spans="18:19">
      <c r="R30215" s="178"/>
      <c r="S30215" s="178"/>
    </row>
    <row r="30216" spans="18:19">
      <c r="R30216" s="178"/>
      <c r="S30216" s="178"/>
    </row>
    <row r="30217" spans="18:19">
      <c r="R30217" s="178"/>
      <c r="S30217" s="178"/>
    </row>
    <row r="30218" spans="18:19">
      <c r="R30218" s="178"/>
      <c r="S30218" s="178"/>
    </row>
    <row r="30219" spans="18:19">
      <c r="R30219" s="178"/>
      <c r="S30219" s="178"/>
    </row>
    <row r="30220" spans="18:19">
      <c r="R30220" s="178"/>
      <c r="S30220" s="178"/>
    </row>
    <row r="30221" spans="18:19">
      <c r="R30221" s="178"/>
      <c r="S30221" s="178"/>
    </row>
    <row r="30222" spans="18:19">
      <c r="R30222" s="178"/>
      <c r="S30222" s="178"/>
    </row>
    <row r="30223" spans="18:19">
      <c r="R30223" s="178"/>
      <c r="S30223" s="178"/>
    </row>
    <row r="30224" spans="18:19">
      <c r="R30224" s="178"/>
      <c r="S30224" s="178"/>
    </row>
    <row r="30225" spans="18:19">
      <c r="R30225" s="178"/>
      <c r="S30225" s="178"/>
    </row>
    <row r="30226" spans="18:19">
      <c r="R30226" s="178"/>
      <c r="S30226" s="178"/>
    </row>
    <row r="30227" spans="18:19">
      <c r="R30227" s="178"/>
      <c r="S30227" s="178"/>
    </row>
    <row r="30228" spans="18:19">
      <c r="R30228" s="178"/>
      <c r="S30228" s="178"/>
    </row>
    <row r="30229" spans="18:19">
      <c r="R30229" s="178"/>
      <c r="S30229" s="178"/>
    </row>
    <row r="30230" spans="18:19">
      <c r="R30230" s="178"/>
      <c r="S30230" s="178"/>
    </row>
    <row r="30231" spans="18:19">
      <c r="R30231" s="178"/>
      <c r="S30231" s="178"/>
    </row>
    <row r="30232" spans="18:19">
      <c r="R30232" s="178"/>
      <c r="S30232" s="178"/>
    </row>
    <row r="30233" spans="18:19">
      <c r="R30233" s="178"/>
      <c r="S30233" s="178"/>
    </row>
    <row r="30234" spans="18:19">
      <c r="R30234" s="178"/>
      <c r="S30234" s="178"/>
    </row>
    <row r="30235" spans="18:19">
      <c r="R30235" s="178"/>
      <c r="S30235" s="178"/>
    </row>
    <row r="30236" spans="18:19">
      <c r="R30236" s="178"/>
      <c r="S30236" s="178"/>
    </row>
    <row r="30237" spans="18:19">
      <c r="R30237" s="178"/>
      <c r="S30237" s="178"/>
    </row>
    <row r="30238" spans="18:19">
      <c r="R30238" s="178"/>
      <c r="S30238" s="178"/>
    </row>
    <row r="30239" spans="18:19">
      <c r="R30239" s="178"/>
      <c r="S30239" s="178"/>
    </row>
    <row r="30240" spans="18:19">
      <c r="R30240" s="178"/>
      <c r="S30240" s="178"/>
    </row>
    <row r="30241" spans="18:19">
      <c r="R30241" s="178"/>
      <c r="S30241" s="178"/>
    </row>
    <row r="30242" spans="18:19">
      <c r="R30242" s="178"/>
      <c r="S30242" s="178"/>
    </row>
    <row r="30243" spans="18:19">
      <c r="R30243" s="178"/>
      <c r="S30243" s="178"/>
    </row>
    <row r="30244" spans="18:19">
      <c r="R30244" s="178"/>
      <c r="S30244" s="178"/>
    </row>
    <row r="30245" spans="18:19">
      <c r="R30245" s="178"/>
      <c r="S30245" s="178"/>
    </row>
    <row r="30246" spans="18:19">
      <c r="R30246" s="178"/>
      <c r="S30246" s="178"/>
    </row>
    <row r="30247" spans="18:19">
      <c r="R30247" s="178"/>
      <c r="S30247" s="178"/>
    </row>
    <row r="30248" spans="18:19">
      <c r="R30248" s="178"/>
      <c r="S30248" s="178"/>
    </row>
    <row r="30249" spans="18:19">
      <c r="R30249" s="178"/>
      <c r="S30249" s="178"/>
    </row>
    <row r="30250" spans="18:19">
      <c r="R30250" s="178"/>
      <c r="S30250" s="178"/>
    </row>
    <row r="30251" spans="18:19">
      <c r="R30251" s="178"/>
      <c r="S30251" s="178"/>
    </row>
    <row r="30252" spans="18:19">
      <c r="R30252" s="178"/>
      <c r="S30252" s="178"/>
    </row>
    <row r="30253" spans="18:19">
      <c r="R30253" s="178"/>
      <c r="S30253" s="178"/>
    </row>
    <row r="30254" spans="18:19">
      <c r="R30254" s="178"/>
      <c r="S30254" s="178"/>
    </row>
    <row r="30255" spans="18:19">
      <c r="R30255" s="178"/>
      <c r="S30255" s="178"/>
    </row>
    <row r="30256" spans="18:19">
      <c r="R30256" s="178"/>
      <c r="S30256" s="178"/>
    </row>
    <row r="30257" spans="18:19">
      <c r="R30257" s="178"/>
      <c r="S30257" s="178"/>
    </row>
    <row r="30258" spans="18:19">
      <c r="R30258" s="178"/>
      <c r="S30258" s="178"/>
    </row>
    <row r="30259" spans="18:19">
      <c r="R30259" s="178"/>
      <c r="S30259" s="178"/>
    </row>
    <row r="30260" spans="18:19">
      <c r="R30260" s="178"/>
      <c r="S30260" s="178"/>
    </row>
    <row r="30261" spans="18:19">
      <c r="R30261" s="178"/>
      <c r="S30261" s="178"/>
    </row>
    <row r="30262" spans="18:19">
      <c r="R30262" s="178"/>
      <c r="S30262" s="178"/>
    </row>
    <row r="30263" spans="18:19">
      <c r="R30263" s="178"/>
      <c r="S30263" s="178"/>
    </row>
    <row r="30264" spans="18:19">
      <c r="R30264" s="178"/>
      <c r="S30264" s="178"/>
    </row>
    <row r="30265" spans="18:19">
      <c r="R30265" s="178"/>
      <c r="S30265" s="178"/>
    </row>
    <row r="30266" spans="18:19">
      <c r="R30266" s="178"/>
      <c r="S30266" s="178"/>
    </row>
    <row r="30267" spans="18:19">
      <c r="R30267" s="178"/>
      <c r="S30267" s="178"/>
    </row>
    <row r="30268" spans="18:19">
      <c r="R30268" s="178"/>
      <c r="S30268" s="178"/>
    </row>
    <row r="30269" spans="18:19">
      <c r="R30269" s="178"/>
      <c r="S30269" s="178"/>
    </row>
    <row r="30270" spans="18:19">
      <c r="R30270" s="178"/>
      <c r="S30270" s="178"/>
    </row>
    <row r="30271" spans="18:19">
      <c r="R30271" s="178"/>
      <c r="S30271" s="178"/>
    </row>
    <row r="30272" spans="18:19">
      <c r="R30272" s="178"/>
      <c r="S30272" s="178"/>
    </row>
    <row r="30273" spans="18:19">
      <c r="R30273" s="178"/>
      <c r="S30273" s="178"/>
    </row>
    <row r="30274" spans="18:19">
      <c r="R30274" s="178"/>
      <c r="S30274" s="178"/>
    </row>
    <row r="30275" spans="18:19">
      <c r="R30275" s="178"/>
      <c r="S30275" s="178"/>
    </row>
    <row r="30276" spans="18:19">
      <c r="R30276" s="178"/>
      <c r="S30276" s="178"/>
    </row>
    <row r="30277" spans="18:19">
      <c r="R30277" s="178"/>
      <c r="S30277" s="178"/>
    </row>
    <row r="30278" spans="18:19">
      <c r="R30278" s="178"/>
      <c r="S30278" s="178"/>
    </row>
    <row r="30279" spans="18:19">
      <c r="R30279" s="178"/>
      <c r="S30279" s="178"/>
    </row>
    <row r="30280" spans="18:19">
      <c r="R30280" s="178"/>
      <c r="S30280" s="178"/>
    </row>
    <row r="30281" spans="18:19">
      <c r="R30281" s="178"/>
      <c r="S30281" s="178"/>
    </row>
    <row r="30282" spans="18:19">
      <c r="R30282" s="178"/>
      <c r="S30282" s="178"/>
    </row>
    <row r="30283" spans="18:19">
      <c r="R30283" s="178"/>
      <c r="S30283" s="178"/>
    </row>
    <row r="30284" spans="18:19">
      <c r="R30284" s="178"/>
      <c r="S30284" s="178"/>
    </row>
    <row r="30285" spans="18:19">
      <c r="R30285" s="178"/>
      <c r="S30285" s="178"/>
    </row>
    <row r="30286" spans="18:19">
      <c r="R30286" s="178"/>
      <c r="S30286" s="178"/>
    </row>
    <row r="30287" spans="18:19">
      <c r="R30287" s="178"/>
      <c r="S30287" s="178"/>
    </row>
    <row r="30288" spans="18:19">
      <c r="R30288" s="178"/>
      <c r="S30288" s="178"/>
    </row>
    <row r="30289" spans="18:19">
      <c r="R30289" s="178"/>
      <c r="S30289" s="178"/>
    </row>
    <row r="30290" spans="18:19">
      <c r="R30290" s="178"/>
      <c r="S30290" s="178"/>
    </row>
    <row r="30291" spans="18:19">
      <c r="R30291" s="178"/>
      <c r="S30291" s="178"/>
    </row>
    <row r="30292" spans="18:19">
      <c r="R30292" s="178"/>
      <c r="S30292" s="178"/>
    </row>
    <row r="30293" spans="18:19">
      <c r="R30293" s="178"/>
      <c r="S30293" s="178"/>
    </row>
    <row r="30294" spans="18:19">
      <c r="R30294" s="178"/>
      <c r="S30294" s="178"/>
    </row>
    <row r="30295" spans="18:19">
      <c r="R30295" s="178"/>
      <c r="S30295" s="178"/>
    </row>
    <row r="30296" spans="18:19">
      <c r="R30296" s="178"/>
      <c r="S30296" s="178"/>
    </row>
    <row r="30297" spans="18:19">
      <c r="R30297" s="178"/>
      <c r="S30297" s="178"/>
    </row>
    <row r="30298" spans="18:19">
      <c r="R30298" s="178"/>
      <c r="S30298" s="178"/>
    </row>
    <row r="30299" spans="18:19">
      <c r="R30299" s="178"/>
      <c r="S30299" s="178"/>
    </row>
    <row r="30300" spans="18:19">
      <c r="R30300" s="178"/>
      <c r="S30300" s="178"/>
    </row>
    <row r="30301" spans="18:19">
      <c r="R30301" s="178"/>
      <c r="S30301" s="178"/>
    </row>
    <row r="30302" spans="18:19">
      <c r="R30302" s="178"/>
      <c r="S30302" s="178"/>
    </row>
    <row r="30303" spans="18:19">
      <c r="R30303" s="178"/>
      <c r="S30303" s="178"/>
    </row>
    <row r="30304" spans="18:19">
      <c r="R30304" s="178"/>
      <c r="S30304" s="178"/>
    </row>
    <row r="30305" spans="18:19">
      <c r="R30305" s="178"/>
      <c r="S30305" s="178"/>
    </row>
    <row r="30306" spans="18:19">
      <c r="R30306" s="178"/>
      <c r="S30306" s="178"/>
    </row>
    <row r="30307" spans="18:19">
      <c r="R30307" s="178"/>
      <c r="S30307" s="178"/>
    </row>
    <row r="30308" spans="18:19">
      <c r="R30308" s="178"/>
      <c r="S30308" s="178"/>
    </row>
    <row r="30309" spans="18:19">
      <c r="R30309" s="178"/>
      <c r="S30309" s="178"/>
    </row>
    <row r="30310" spans="18:19">
      <c r="R30310" s="178"/>
      <c r="S30310" s="178"/>
    </row>
    <row r="30311" spans="18:19">
      <c r="R30311" s="178"/>
      <c r="S30311" s="178"/>
    </row>
    <row r="30312" spans="18:19">
      <c r="R30312" s="178"/>
      <c r="S30312" s="178"/>
    </row>
    <row r="30313" spans="18:19">
      <c r="R30313" s="178"/>
      <c r="S30313" s="178"/>
    </row>
    <row r="30314" spans="18:19">
      <c r="R30314" s="178"/>
      <c r="S30314" s="178"/>
    </row>
    <row r="30315" spans="18:19">
      <c r="R30315" s="178"/>
      <c r="S30315" s="178"/>
    </row>
    <row r="30316" spans="18:19">
      <c r="R30316" s="178"/>
      <c r="S30316" s="178"/>
    </row>
    <row r="30317" spans="18:19">
      <c r="R30317" s="178"/>
      <c r="S30317" s="178"/>
    </row>
    <row r="30318" spans="18:19">
      <c r="R30318" s="178"/>
      <c r="S30318" s="178"/>
    </row>
    <row r="30319" spans="18:19">
      <c r="R30319" s="178"/>
      <c r="S30319" s="178"/>
    </row>
    <row r="30320" spans="18:19">
      <c r="R30320" s="178"/>
      <c r="S30320" s="178"/>
    </row>
    <row r="30321" spans="18:19">
      <c r="R30321" s="178"/>
      <c r="S30321" s="178"/>
    </row>
    <row r="30322" spans="18:19">
      <c r="R30322" s="178"/>
      <c r="S30322" s="178"/>
    </row>
    <row r="30323" spans="18:19">
      <c r="R30323" s="178"/>
      <c r="S30323" s="178"/>
    </row>
    <row r="30324" spans="18:19">
      <c r="R30324" s="178"/>
      <c r="S30324" s="178"/>
    </row>
    <row r="30325" spans="18:19">
      <c r="R30325" s="178"/>
      <c r="S30325" s="178"/>
    </row>
    <row r="30326" spans="18:19">
      <c r="R30326" s="178"/>
      <c r="S30326" s="178"/>
    </row>
    <row r="30327" spans="18:19">
      <c r="R30327" s="178"/>
      <c r="S30327" s="178"/>
    </row>
    <row r="30328" spans="18:19">
      <c r="R30328" s="178"/>
      <c r="S30328" s="178"/>
    </row>
    <row r="30329" spans="18:19">
      <c r="R30329" s="178"/>
      <c r="S30329" s="178"/>
    </row>
    <row r="30330" spans="18:19">
      <c r="R30330" s="178"/>
      <c r="S30330" s="178"/>
    </row>
    <row r="30331" spans="18:19">
      <c r="R30331" s="178"/>
      <c r="S30331" s="178"/>
    </row>
    <row r="30332" spans="18:19">
      <c r="R30332" s="178"/>
      <c r="S30332" s="178"/>
    </row>
    <row r="30333" spans="18:19">
      <c r="R30333" s="178"/>
      <c r="S30333" s="178"/>
    </row>
    <row r="30334" spans="18:19">
      <c r="R30334" s="178"/>
      <c r="S30334" s="178"/>
    </row>
    <row r="30335" spans="18:19">
      <c r="R30335" s="178"/>
      <c r="S30335" s="178"/>
    </row>
    <row r="30336" spans="18:19">
      <c r="R30336" s="178"/>
      <c r="S30336" s="178"/>
    </row>
    <row r="30337" spans="18:19">
      <c r="R30337" s="178"/>
      <c r="S30337" s="178"/>
    </row>
    <row r="30338" spans="18:19">
      <c r="R30338" s="178"/>
      <c r="S30338" s="178"/>
    </row>
    <row r="30339" spans="18:19">
      <c r="R30339" s="178"/>
      <c r="S30339" s="178"/>
    </row>
    <row r="30340" spans="18:19">
      <c r="R30340" s="178"/>
      <c r="S30340" s="178"/>
    </row>
    <row r="30341" spans="18:19">
      <c r="R30341" s="178"/>
      <c r="S30341" s="178"/>
    </row>
    <row r="30342" spans="18:19">
      <c r="R30342" s="178"/>
      <c r="S30342" s="178"/>
    </row>
    <row r="30343" spans="18:19">
      <c r="R30343" s="178"/>
      <c r="S30343" s="178"/>
    </row>
    <row r="30344" spans="18:19">
      <c r="R30344" s="178"/>
      <c r="S30344" s="178"/>
    </row>
    <row r="30345" spans="18:19">
      <c r="R30345" s="178"/>
      <c r="S30345" s="178"/>
    </row>
    <row r="30346" spans="18:19">
      <c r="R30346" s="178"/>
      <c r="S30346" s="178"/>
    </row>
    <row r="30347" spans="18:19">
      <c r="R30347" s="178"/>
      <c r="S30347" s="178"/>
    </row>
    <row r="30348" spans="18:19">
      <c r="R30348" s="178"/>
      <c r="S30348" s="178"/>
    </row>
    <row r="30349" spans="18:19">
      <c r="R30349" s="178"/>
      <c r="S30349" s="178"/>
    </row>
    <row r="30350" spans="18:19">
      <c r="R30350" s="178"/>
      <c r="S30350" s="178"/>
    </row>
    <row r="30351" spans="18:19">
      <c r="R30351" s="178"/>
      <c r="S30351" s="178"/>
    </row>
    <row r="30352" spans="18:19">
      <c r="R30352" s="178"/>
      <c r="S30352" s="178"/>
    </row>
    <row r="30353" spans="18:19">
      <c r="R30353" s="178"/>
      <c r="S30353" s="178"/>
    </row>
    <row r="30354" spans="18:19">
      <c r="R30354" s="178"/>
      <c r="S30354" s="178"/>
    </row>
    <row r="30355" spans="18:19">
      <c r="R30355" s="178"/>
      <c r="S30355" s="178"/>
    </row>
    <row r="30356" spans="18:19">
      <c r="R30356" s="178"/>
      <c r="S30356" s="178"/>
    </row>
    <row r="30357" spans="18:19">
      <c r="R30357" s="178"/>
      <c r="S30357" s="178"/>
    </row>
    <row r="30358" spans="18:19">
      <c r="R30358" s="178"/>
      <c r="S30358" s="178"/>
    </row>
    <row r="30359" spans="18:19">
      <c r="R30359" s="178"/>
      <c r="S30359" s="178"/>
    </row>
    <row r="30360" spans="18:19">
      <c r="R30360" s="178"/>
      <c r="S30360" s="178"/>
    </row>
    <row r="30361" spans="18:19">
      <c r="R30361" s="178"/>
      <c r="S30361" s="178"/>
    </row>
    <row r="30362" spans="18:19">
      <c r="R30362" s="178"/>
      <c r="S30362" s="178"/>
    </row>
    <row r="30363" spans="18:19">
      <c r="R30363" s="178"/>
      <c r="S30363" s="178"/>
    </row>
    <row r="30364" spans="18:19">
      <c r="R30364" s="178"/>
      <c r="S30364" s="178"/>
    </row>
    <row r="30365" spans="18:19">
      <c r="R30365" s="178"/>
      <c r="S30365" s="178"/>
    </row>
    <row r="30366" spans="18:19">
      <c r="R30366" s="178"/>
      <c r="S30366" s="178"/>
    </row>
    <row r="30367" spans="18:19">
      <c r="R30367" s="178"/>
      <c r="S30367" s="178"/>
    </row>
    <row r="30368" spans="18:19">
      <c r="R30368" s="178"/>
      <c r="S30368" s="178"/>
    </row>
    <row r="30369" spans="18:19">
      <c r="R30369" s="178"/>
      <c r="S30369" s="178"/>
    </row>
    <row r="30370" spans="18:19">
      <c r="R30370" s="178"/>
      <c r="S30370" s="178"/>
    </row>
    <row r="30371" spans="18:19">
      <c r="R30371" s="178"/>
      <c r="S30371" s="178"/>
    </row>
    <row r="30372" spans="18:19">
      <c r="R30372" s="178"/>
      <c r="S30372" s="178"/>
    </row>
    <row r="30373" spans="18:19">
      <c r="R30373" s="178"/>
      <c r="S30373" s="178"/>
    </row>
    <row r="30374" spans="18:19">
      <c r="R30374" s="178"/>
      <c r="S30374" s="178"/>
    </row>
    <row r="30375" spans="18:19">
      <c r="R30375" s="178"/>
      <c r="S30375" s="178"/>
    </row>
    <row r="30376" spans="18:19">
      <c r="R30376" s="178"/>
      <c r="S30376" s="178"/>
    </row>
    <row r="30377" spans="18:19">
      <c r="R30377" s="178"/>
      <c r="S30377" s="178"/>
    </row>
    <row r="30378" spans="18:19">
      <c r="R30378" s="178"/>
      <c r="S30378" s="178"/>
    </row>
    <row r="30379" spans="18:19">
      <c r="R30379" s="178"/>
      <c r="S30379" s="178"/>
    </row>
    <row r="30380" spans="18:19">
      <c r="R30380" s="178"/>
      <c r="S30380" s="178"/>
    </row>
    <row r="30381" spans="18:19">
      <c r="R30381" s="178"/>
      <c r="S30381" s="178"/>
    </row>
    <row r="30382" spans="18:19">
      <c r="R30382" s="178"/>
      <c r="S30382" s="178"/>
    </row>
    <row r="30383" spans="18:19">
      <c r="R30383" s="178"/>
      <c r="S30383" s="178"/>
    </row>
    <row r="30384" spans="18:19">
      <c r="R30384" s="178"/>
      <c r="S30384" s="178"/>
    </row>
    <row r="30385" spans="18:19">
      <c r="R30385" s="178"/>
      <c r="S30385" s="178"/>
    </row>
    <row r="30386" spans="18:19">
      <c r="R30386" s="178"/>
      <c r="S30386" s="178"/>
    </row>
    <row r="30387" spans="18:19">
      <c r="R30387" s="178"/>
      <c r="S30387" s="178"/>
    </row>
    <row r="30388" spans="18:19">
      <c r="R30388" s="178"/>
      <c r="S30388" s="178"/>
    </row>
    <row r="30389" spans="18:19">
      <c r="R30389" s="178"/>
      <c r="S30389" s="178"/>
    </row>
    <row r="30390" spans="18:19">
      <c r="R30390" s="178"/>
      <c r="S30390" s="178"/>
    </row>
    <row r="30391" spans="18:19">
      <c r="R30391" s="178"/>
      <c r="S30391" s="178"/>
    </row>
    <row r="30392" spans="18:19">
      <c r="R30392" s="178"/>
      <c r="S30392" s="178"/>
    </row>
    <row r="30393" spans="18:19">
      <c r="R30393" s="178"/>
      <c r="S30393" s="178"/>
    </row>
    <row r="30394" spans="18:19">
      <c r="R30394" s="178"/>
      <c r="S30394" s="178"/>
    </row>
    <row r="30395" spans="18:19">
      <c r="R30395" s="178"/>
      <c r="S30395" s="178"/>
    </row>
    <row r="30396" spans="18:19">
      <c r="R30396" s="178"/>
      <c r="S30396" s="178"/>
    </row>
    <row r="30397" spans="18:19">
      <c r="R30397" s="178"/>
      <c r="S30397" s="178"/>
    </row>
    <row r="30398" spans="18:19">
      <c r="R30398" s="178"/>
      <c r="S30398" s="178"/>
    </row>
    <row r="30399" spans="18:19">
      <c r="R30399" s="178"/>
      <c r="S30399" s="178"/>
    </row>
    <row r="30400" spans="18:19">
      <c r="R30400" s="178"/>
      <c r="S30400" s="178"/>
    </row>
    <row r="30401" spans="18:19">
      <c r="R30401" s="178"/>
      <c r="S30401" s="178"/>
    </row>
    <row r="30402" spans="18:19">
      <c r="R30402" s="178"/>
      <c r="S30402" s="178"/>
    </row>
    <row r="30403" spans="18:19">
      <c r="R30403" s="178"/>
      <c r="S30403" s="178"/>
    </row>
    <row r="30404" spans="18:19">
      <c r="R30404" s="178"/>
      <c r="S30404" s="178"/>
    </row>
    <row r="30405" spans="18:19">
      <c r="R30405" s="178"/>
      <c r="S30405" s="178"/>
    </row>
    <row r="30406" spans="18:19">
      <c r="R30406" s="178"/>
      <c r="S30406" s="178"/>
    </row>
    <row r="30407" spans="18:19">
      <c r="R30407" s="178"/>
      <c r="S30407" s="178"/>
    </row>
    <row r="30408" spans="18:19">
      <c r="R30408" s="178"/>
      <c r="S30408" s="178"/>
    </row>
    <row r="30409" spans="18:19">
      <c r="R30409" s="178"/>
      <c r="S30409" s="178"/>
    </row>
    <row r="30410" spans="18:19">
      <c r="R30410" s="178"/>
      <c r="S30410" s="178"/>
    </row>
    <row r="30411" spans="18:19">
      <c r="R30411" s="178"/>
      <c r="S30411" s="178"/>
    </row>
    <row r="30412" spans="18:19">
      <c r="R30412" s="178"/>
      <c r="S30412" s="178"/>
    </row>
    <row r="30413" spans="18:19">
      <c r="R30413" s="178"/>
      <c r="S30413" s="178"/>
    </row>
    <row r="30414" spans="18:19">
      <c r="R30414" s="178"/>
      <c r="S30414" s="178"/>
    </row>
    <row r="30415" spans="18:19">
      <c r="R30415" s="178"/>
      <c r="S30415" s="178"/>
    </row>
    <row r="30416" spans="18:19">
      <c r="R30416" s="178"/>
      <c r="S30416" s="178"/>
    </row>
    <row r="30417" spans="18:19">
      <c r="R30417" s="178"/>
      <c r="S30417" s="178"/>
    </row>
    <row r="30418" spans="18:19">
      <c r="R30418" s="178"/>
      <c r="S30418" s="178"/>
    </row>
    <row r="30419" spans="18:19">
      <c r="R30419" s="178"/>
      <c r="S30419" s="178"/>
    </row>
    <row r="30420" spans="18:19">
      <c r="R30420" s="178"/>
      <c r="S30420" s="178"/>
    </row>
    <row r="30421" spans="18:19">
      <c r="R30421" s="178"/>
      <c r="S30421" s="178"/>
    </row>
    <row r="30422" spans="18:19">
      <c r="R30422" s="178"/>
      <c r="S30422" s="178"/>
    </row>
    <row r="30423" spans="18:19">
      <c r="R30423" s="178"/>
      <c r="S30423" s="178"/>
    </row>
    <row r="30424" spans="18:19">
      <c r="R30424" s="178"/>
      <c r="S30424" s="178"/>
    </row>
    <row r="30425" spans="18:19">
      <c r="R30425" s="178"/>
      <c r="S30425" s="178"/>
    </row>
    <row r="30426" spans="18:19">
      <c r="R30426" s="178"/>
      <c r="S30426" s="178"/>
    </row>
    <row r="30427" spans="18:19">
      <c r="R30427" s="178"/>
      <c r="S30427" s="178"/>
    </row>
    <row r="30428" spans="18:19">
      <c r="R30428" s="178"/>
      <c r="S30428" s="178"/>
    </row>
    <row r="30429" spans="18:19">
      <c r="R30429" s="178"/>
      <c r="S30429" s="178"/>
    </row>
    <row r="30430" spans="18:19">
      <c r="R30430" s="178"/>
      <c r="S30430" s="178"/>
    </row>
    <row r="30431" spans="18:19">
      <c r="R30431" s="178"/>
      <c r="S30431" s="178"/>
    </row>
    <row r="30432" spans="18:19">
      <c r="R30432" s="178"/>
      <c r="S30432" s="178"/>
    </row>
    <row r="30433" spans="18:19">
      <c r="R30433" s="178"/>
      <c r="S30433" s="178"/>
    </row>
    <row r="30434" spans="18:19">
      <c r="R30434" s="178"/>
      <c r="S30434" s="178"/>
    </row>
    <row r="30435" spans="18:19">
      <c r="R30435" s="178"/>
      <c r="S30435" s="178"/>
    </row>
    <row r="30436" spans="18:19">
      <c r="R30436" s="178"/>
      <c r="S30436" s="178"/>
    </row>
    <row r="30437" spans="18:19">
      <c r="R30437" s="178"/>
      <c r="S30437" s="178"/>
    </row>
    <row r="30438" spans="18:19">
      <c r="R30438" s="178"/>
      <c r="S30438" s="178"/>
    </row>
    <row r="30439" spans="18:19">
      <c r="R30439" s="178"/>
      <c r="S30439" s="178"/>
    </row>
    <row r="30440" spans="18:19">
      <c r="R30440" s="178"/>
      <c r="S30440" s="178"/>
    </row>
    <row r="30441" spans="18:19">
      <c r="R30441" s="178"/>
      <c r="S30441" s="178"/>
    </row>
    <row r="30442" spans="18:19">
      <c r="R30442" s="178"/>
      <c r="S30442" s="178"/>
    </row>
    <row r="30443" spans="18:19">
      <c r="R30443" s="178"/>
      <c r="S30443" s="178"/>
    </row>
    <row r="30444" spans="18:19">
      <c r="R30444" s="178"/>
      <c r="S30444" s="178"/>
    </row>
    <row r="30445" spans="18:19">
      <c r="R30445" s="178"/>
      <c r="S30445" s="178"/>
    </row>
    <row r="30446" spans="18:19">
      <c r="R30446" s="178"/>
      <c r="S30446" s="178"/>
    </row>
    <row r="30447" spans="18:19">
      <c r="R30447" s="178"/>
      <c r="S30447" s="178"/>
    </row>
    <row r="30448" spans="18:19">
      <c r="R30448" s="178"/>
      <c r="S30448" s="178"/>
    </row>
    <row r="30449" spans="18:19">
      <c r="R30449" s="178"/>
      <c r="S30449" s="178"/>
    </row>
    <row r="30450" spans="18:19">
      <c r="R30450" s="178"/>
      <c r="S30450" s="178"/>
    </row>
    <row r="30451" spans="18:19">
      <c r="R30451" s="178"/>
      <c r="S30451" s="178"/>
    </row>
    <row r="30452" spans="18:19">
      <c r="R30452" s="178"/>
      <c r="S30452" s="178"/>
    </row>
    <row r="30453" spans="18:19">
      <c r="R30453" s="178"/>
      <c r="S30453" s="178"/>
    </row>
    <row r="30454" spans="18:19">
      <c r="R30454" s="178"/>
      <c r="S30454" s="178"/>
    </row>
    <row r="30455" spans="18:19">
      <c r="R30455" s="178"/>
      <c r="S30455" s="178"/>
    </row>
    <row r="30456" spans="18:19">
      <c r="R30456" s="178"/>
      <c r="S30456" s="178"/>
    </row>
    <row r="30457" spans="18:19">
      <c r="R30457" s="178"/>
      <c r="S30457" s="178"/>
    </row>
    <row r="30458" spans="18:19">
      <c r="R30458" s="178"/>
      <c r="S30458" s="178"/>
    </row>
    <row r="30459" spans="18:19">
      <c r="R30459" s="178"/>
      <c r="S30459" s="178"/>
    </row>
    <row r="30460" spans="18:19">
      <c r="R30460" s="178"/>
      <c r="S30460" s="178"/>
    </row>
    <row r="30461" spans="18:19">
      <c r="R30461" s="178"/>
      <c r="S30461" s="178"/>
    </row>
    <row r="30462" spans="18:19">
      <c r="R30462" s="178"/>
      <c r="S30462" s="178"/>
    </row>
    <row r="30463" spans="18:19">
      <c r="R30463" s="178"/>
      <c r="S30463" s="178"/>
    </row>
    <row r="30464" spans="18:19">
      <c r="R30464" s="178"/>
      <c r="S30464" s="178"/>
    </row>
    <row r="30465" spans="18:19">
      <c r="R30465" s="178"/>
      <c r="S30465" s="178"/>
    </row>
    <row r="30466" spans="18:19">
      <c r="R30466" s="178"/>
      <c r="S30466" s="178"/>
    </row>
    <row r="30467" spans="18:19">
      <c r="R30467" s="178"/>
      <c r="S30467" s="178"/>
    </row>
    <row r="30468" spans="18:19">
      <c r="R30468" s="178"/>
      <c r="S30468" s="178"/>
    </row>
    <row r="30469" spans="18:19">
      <c r="R30469" s="178"/>
      <c r="S30469" s="178"/>
    </row>
    <row r="30470" spans="18:19">
      <c r="R30470" s="178"/>
      <c r="S30470" s="178"/>
    </row>
    <row r="30471" spans="18:19">
      <c r="R30471" s="178"/>
      <c r="S30471" s="178"/>
    </row>
    <row r="30472" spans="18:19">
      <c r="R30472" s="178"/>
      <c r="S30472" s="178"/>
    </row>
    <row r="30473" spans="18:19">
      <c r="R30473" s="178"/>
      <c r="S30473" s="178"/>
    </row>
    <row r="30474" spans="18:19">
      <c r="R30474" s="178"/>
      <c r="S30474" s="178"/>
    </row>
    <row r="30475" spans="18:19">
      <c r="R30475" s="178"/>
      <c r="S30475" s="178"/>
    </row>
    <row r="30476" spans="18:19">
      <c r="R30476" s="178"/>
      <c r="S30476" s="178"/>
    </row>
    <row r="30477" spans="18:19">
      <c r="R30477" s="178"/>
      <c r="S30477" s="178"/>
    </row>
    <row r="30478" spans="18:19">
      <c r="R30478" s="178"/>
      <c r="S30478" s="178"/>
    </row>
    <row r="30479" spans="18:19">
      <c r="R30479" s="178"/>
      <c r="S30479" s="178"/>
    </row>
    <row r="30480" spans="18:19">
      <c r="R30480" s="178"/>
      <c r="S30480" s="178"/>
    </row>
    <row r="30481" spans="18:19">
      <c r="R30481" s="178"/>
      <c r="S30481" s="178"/>
    </row>
    <row r="30482" spans="18:19">
      <c r="R30482" s="178"/>
      <c r="S30482" s="178"/>
    </row>
    <row r="30483" spans="18:19">
      <c r="R30483" s="178"/>
      <c r="S30483" s="178"/>
    </row>
    <row r="30484" spans="18:19">
      <c r="R30484" s="178"/>
      <c r="S30484" s="178"/>
    </row>
    <row r="30485" spans="18:19">
      <c r="R30485" s="178"/>
      <c r="S30485" s="178"/>
    </row>
    <row r="30486" spans="18:19">
      <c r="R30486" s="178"/>
      <c r="S30486" s="178"/>
    </row>
    <row r="30487" spans="18:19">
      <c r="R30487" s="178"/>
      <c r="S30487" s="178"/>
    </row>
    <row r="30488" spans="18:19">
      <c r="R30488" s="178"/>
      <c r="S30488" s="178"/>
    </row>
    <row r="30489" spans="18:19">
      <c r="R30489" s="178"/>
      <c r="S30489" s="178"/>
    </row>
    <row r="30490" spans="18:19">
      <c r="R30490" s="178"/>
      <c r="S30490" s="178"/>
    </row>
    <row r="30491" spans="18:19">
      <c r="R30491" s="178"/>
      <c r="S30491" s="178"/>
    </row>
    <row r="30492" spans="18:19">
      <c r="R30492" s="178"/>
      <c r="S30492" s="178"/>
    </row>
    <row r="30493" spans="18:19">
      <c r="R30493" s="178"/>
      <c r="S30493" s="178"/>
    </row>
    <row r="30494" spans="18:19">
      <c r="R30494" s="178"/>
      <c r="S30494" s="178"/>
    </row>
    <row r="30495" spans="18:19">
      <c r="R30495" s="178"/>
      <c r="S30495" s="178"/>
    </row>
    <row r="30496" spans="18:19">
      <c r="R30496" s="178"/>
      <c r="S30496" s="178"/>
    </row>
    <row r="30497" spans="18:19">
      <c r="R30497" s="178"/>
      <c r="S30497" s="178"/>
    </row>
    <row r="30498" spans="18:19">
      <c r="R30498" s="178"/>
      <c r="S30498" s="178"/>
    </row>
    <row r="30499" spans="18:19">
      <c r="R30499" s="178"/>
      <c r="S30499" s="178"/>
    </row>
    <row r="30500" spans="18:19">
      <c r="R30500" s="178"/>
      <c r="S30500" s="178"/>
    </row>
    <row r="30501" spans="18:19">
      <c r="R30501" s="178"/>
      <c r="S30501" s="178"/>
    </row>
    <row r="30502" spans="18:19">
      <c r="R30502" s="178"/>
      <c r="S30502" s="178"/>
    </row>
    <row r="30503" spans="18:19">
      <c r="R30503" s="178"/>
      <c r="S30503" s="178"/>
    </row>
    <row r="30504" spans="18:19">
      <c r="R30504" s="178"/>
      <c r="S30504" s="178"/>
    </row>
    <row r="30505" spans="18:19">
      <c r="R30505" s="178"/>
      <c r="S30505" s="178"/>
    </row>
    <row r="30506" spans="18:19">
      <c r="R30506" s="178"/>
      <c r="S30506" s="178"/>
    </row>
    <row r="30507" spans="18:19">
      <c r="R30507" s="178"/>
      <c r="S30507" s="178"/>
    </row>
    <row r="30508" spans="18:19">
      <c r="R30508" s="178"/>
      <c r="S30508" s="178"/>
    </row>
    <row r="30509" spans="18:19">
      <c r="R30509" s="178"/>
      <c r="S30509" s="178"/>
    </row>
    <row r="30510" spans="18:19">
      <c r="R30510" s="178"/>
      <c r="S30510" s="178"/>
    </row>
    <row r="30511" spans="18:19">
      <c r="R30511" s="178"/>
      <c r="S30511" s="178"/>
    </row>
    <row r="30512" spans="18:19">
      <c r="R30512" s="178"/>
      <c r="S30512" s="178"/>
    </row>
    <row r="30513" spans="18:19">
      <c r="R30513" s="178"/>
      <c r="S30513" s="178"/>
    </row>
    <row r="30514" spans="18:19">
      <c r="R30514" s="178"/>
      <c r="S30514" s="178"/>
    </row>
    <row r="30515" spans="18:19">
      <c r="R30515" s="178"/>
      <c r="S30515" s="178"/>
    </row>
    <row r="30516" spans="18:19">
      <c r="R30516" s="178"/>
      <c r="S30516" s="178"/>
    </row>
    <row r="30517" spans="18:19">
      <c r="R30517" s="178"/>
      <c r="S30517" s="178"/>
    </row>
    <row r="30518" spans="18:19">
      <c r="R30518" s="178"/>
      <c r="S30518" s="178"/>
    </row>
    <row r="30519" spans="18:19">
      <c r="R30519" s="178"/>
      <c r="S30519" s="178"/>
    </row>
    <row r="30520" spans="18:19">
      <c r="R30520" s="178"/>
      <c r="S30520" s="178"/>
    </row>
    <row r="30521" spans="18:19">
      <c r="R30521" s="178"/>
      <c r="S30521" s="178"/>
    </row>
    <row r="30522" spans="18:19">
      <c r="R30522" s="178"/>
      <c r="S30522" s="178"/>
    </row>
    <row r="30523" spans="18:19">
      <c r="R30523" s="178"/>
      <c r="S30523" s="178"/>
    </row>
    <row r="30524" spans="18:19">
      <c r="R30524" s="178"/>
      <c r="S30524" s="178"/>
    </row>
    <row r="30525" spans="18:19">
      <c r="R30525" s="178"/>
      <c r="S30525" s="178"/>
    </row>
    <row r="30526" spans="18:19">
      <c r="R30526" s="178"/>
      <c r="S30526" s="178"/>
    </row>
    <row r="30527" spans="18:19">
      <c r="R30527" s="178"/>
      <c r="S30527" s="178"/>
    </row>
    <row r="30528" spans="18:19">
      <c r="R30528" s="178"/>
      <c r="S30528" s="178"/>
    </row>
    <row r="30529" spans="18:19">
      <c r="R30529" s="178"/>
      <c r="S30529" s="178"/>
    </row>
    <row r="30530" spans="18:19">
      <c r="R30530" s="178"/>
      <c r="S30530" s="178"/>
    </row>
    <row r="30531" spans="18:19">
      <c r="R30531" s="178"/>
      <c r="S30531" s="178"/>
    </row>
    <row r="30532" spans="18:19">
      <c r="R30532" s="178"/>
      <c r="S30532" s="178"/>
    </row>
    <row r="30533" spans="18:19">
      <c r="R30533" s="178"/>
      <c r="S30533" s="178"/>
    </row>
    <row r="30534" spans="18:19">
      <c r="R30534" s="178"/>
      <c r="S30534" s="178"/>
    </row>
    <row r="30535" spans="18:19">
      <c r="R30535" s="178"/>
      <c r="S30535" s="178"/>
    </row>
    <row r="30536" spans="18:19">
      <c r="R30536" s="178"/>
      <c r="S30536" s="178"/>
    </row>
    <row r="30537" spans="18:19">
      <c r="R30537" s="178"/>
      <c r="S30537" s="178"/>
    </row>
    <row r="30538" spans="18:19">
      <c r="R30538" s="178"/>
      <c r="S30538" s="178"/>
    </row>
    <row r="30539" spans="18:19">
      <c r="R30539" s="178"/>
      <c r="S30539" s="178"/>
    </row>
    <row r="30540" spans="18:19">
      <c r="R30540" s="178"/>
      <c r="S30540" s="178"/>
    </row>
    <row r="30541" spans="18:19">
      <c r="R30541" s="178"/>
      <c r="S30541" s="178"/>
    </row>
    <row r="30542" spans="18:19">
      <c r="R30542" s="178"/>
      <c r="S30542" s="178"/>
    </row>
    <row r="30543" spans="18:19">
      <c r="R30543" s="178"/>
      <c r="S30543" s="178"/>
    </row>
    <row r="30544" spans="18:19">
      <c r="R30544" s="178"/>
      <c r="S30544" s="178"/>
    </row>
    <row r="30545" spans="18:19">
      <c r="R30545" s="178"/>
      <c r="S30545" s="178"/>
    </row>
    <row r="30546" spans="18:19">
      <c r="R30546" s="178"/>
      <c r="S30546" s="178"/>
    </row>
    <row r="30547" spans="18:19">
      <c r="R30547" s="178"/>
      <c r="S30547" s="178"/>
    </row>
    <row r="30548" spans="18:19">
      <c r="R30548" s="178"/>
      <c r="S30548" s="178"/>
    </row>
    <row r="30549" spans="18:19">
      <c r="R30549" s="178"/>
      <c r="S30549" s="178"/>
    </row>
    <row r="30550" spans="18:19">
      <c r="R30550" s="178"/>
      <c r="S30550" s="178"/>
    </row>
    <row r="30551" spans="18:19">
      <c r="R30551" s="178"/>
      <c r="S30551" s="178"/>
    </row>
    <row r="30552" spans="18:19">
      <c r="R30552" s="178"/>
      <c r="S30552" s="178"/>
    </row>
    <row r="30553" spans="18:19">
      <c r="R30553" s="178"/>
      <c r="S30553" s="178"/>
    </row>
    <row r="30554" spans="18:19">
      <c r="R30554" s="178"/>
      <c r="S30554" s="178"/>
    </row>
    <row r="30555" spans="18:19">
      <c r="R30555" s="178"/>
      <c r="S30555" s="178"/>
    </row>
    <row r="30556" spans="18:19">
      <c r="R30556" s="178"/>
      <c r="S30556" s="178"/>
    </row>
    <row r="30557" spans="18:19">
      <c r="R30557" s="178"/>
      <c r="S30557" s="178"/>
    </row>
    <row r="30558" spans="18:19">
      <c r="R30558" s="178"/>
      <c r="S30558" s="178"/>
    </row>
    <row r="30559" spans="18:19">
      <c r="R30559" s="178"/>
      <c r="S30559" s="178"/>
    </row>
    <row r="30560" spans="18:19">
      <c r="R30560" s="178"/>
      <c r="S30560" s="178"/>
    </row>
    <row r="30561" spans="18:19">
      <c r="R30561" s="178"/>
      <c r="S30561" s="178"/>
    </row>
    <row r="30562" spans="18:19">
      <c r="R30562" s="178"/>
      <c r="S30562" s="178"/>
    </row>
    <row r="30563" spans="18:19">
      <c r="R30563" s="178"/>
      <c r="S30563" s="178"/>
    </row>
    <row r="30564" spans="18:19">
      <c r="R30564" s="178"/>
      <c r="S30564" s="178"/>
    </row>
    <row r="30565" spans="18:19">
      <c r="R30565" s="178"/>
      <c r="S30565" s="178"/>
    </row>
    <row r="30566" spans="18:19">
      <c r="R30566" s="178"/>
      <c r="S30566" s="178"/>
    </row>
    <row r="30567" spans="18:19">
      <c r="R30567" s="178"/>
      <c r="S30567" s="178"/>
    </row>
    <row r="30568" spans="18:19">
      <c r="R30568" s="178"/>
      <c r="S30568" s="178"/>
    </row>
    <row r="30569" spans="18:19">
      <c r="R30569" s="178"/>
      <c r="S30569" s="178"/>
    </row>
    <row r="30570" spans="18:19">
      <c r="R30570" s="178"/>
      <c r="S30570" s="178"/>
    </row>
    <row r="30571" spans="18:19">
      <c r="R30571" s="178"/>
      <c r="S30571" s="178"/>
    </row>
    <row r="30572" spans="18:19">
      <c r="R30572" s="178"/>
      <c r="S30572" s="178"/>
    </row>
    <row r="30573" spans="18:19">
      <c r="R30573" s="178"/>
      <c r="S30573" s="178"/>
    </row>
    <row r="30574" spans="18:19">
      <c r="R30574" s="178"/>
      <c r="S30574" s="178"/>
    </row>
    <row r="30575" spans="18:19">
      <c r="R30575" s="178"/>
      <c r="S30575" s="178"/>
    </row>
    <row r="30576" spans="18:19">
      <c r="R30576" s="178"/>
      <c r="S30576" s="178"/>
    </row>
    <row r="30577" spans="18:19">
      <c r="R30577" s="178"/>
      <c r="S30577" s="178"/>
    </row>
    <row r="30578" spans="18:19">
      <c r="R30578" s="178"/>
      <c r="S30578" s="178"/>
    </row>
    <row r="30579" spans="18:19">
      <c r="R30579" s="178"/>
      <c r="S30579" s="178"/>
    </row>
    <row r="30580" spans="18:19">
      <c r="R30580" s="178"/>
      <c r="S30580" s="178"/>
    </row>
    <row r="30581" spans="18:19">
      <c r="R30581" s="178"/>
      <c r="S30581" s="178"/>
    </row>
    <row r="30582" spans="18:19">
      <c r="R30582" s="178"/>
      <c r="S30582" s="178"/>
    </row>
    <row r="30583" spans="18:19">
      <c r="R30583" s="178"/>
      <c r="S30583" s="178"/>
    </row>
    <row r="30584" spans="18:19">
      <c r="R30584" s="178"/>
      <c r="S30584" s="178"/>
    </row>
    <row r="30585" spans="18:19">
      <c r="R30585" s="178"/>
      <c r="S30585" s="178"/>
    </row>
    <row r="30586" spans="18:19">
      <c r="R30586" s="178"/>
      <c r="S30586" s="178"/>
    </row>
    <row r="30587" spans="18:19">
      <c r="R30587" s="178"/>
      <c r="S30587" s="178"/>
    </row>
    <row r="30588" spans="18:19">
      <c r="R30588" s="178"/>
      <c r="S30588" s="178"/>
    </row>
    <row r="30589" spans="18:19">
      <c r="R30589" s="178"/>
      <c r="S30589" s="178"/>
    </row>
    <row r="30590" spans="18:19">
      <c r="R30590" s="178"/>
      <c r="S30590" s="178"/>
    </row>
    <row r="30591" spans="18:19">
      <c r="R30591" s="178"/>
      <c r="S30591" s="178"/>
    </row>
    <row r="30592" spans="18:19">
      <c r="R30592" s="178"/>
      <c r="S30592" s="178"/>
    </row>
    <row r="30593" spans="18:19">
      <c r="R30593" s="178"/>
      <c r="S30593" s="178"/>
    </row>
    <row r="30594" spans="18:19">
      <c r="R30594" s="178"/>
      <c r="S30594" s="178"/>
    </row>
    <row r="30595" spans="18:19">
      <c r="R30595" s="178"/>
      <c r="S30595" s="178"/>
    </row>
    <row r="30596" spans="18:19">
      <c r="R30596" s="178"/>
      <c r="S30596" s="178"/>
    </row>
    <row r="30597" spans="18:19">
      <c r="R30597" s="178"/>
      <c r="S30597" s="178"/>
    </row>
    <row r="30598" spans="18:19">
      <c r="R30598" s="178"/>
      <c r="S30598" s="178"/>
    </row>
    <row r="30599" spans="18:19">
      <c r="R30599" s="178"/>
      <c r="S30599" s="178"/>
    </row>
    <row r="30600" spans="18:19">
      <c r="R30600" s="178"/>
      <c r="S30600" s="178"/>
    </row>
    <row r="30601" spans="18:19">
      <c r="R30601" s="178"/>
      <c r="S30601" s="178"/>
    </row>
    <row r="30602" spans="18:19">
      <c r="R30602" s="178"/>
      <c r="S30602" s="178"/>
    </row>
    <row r="30603" spans="18:19">
      <c r="R30603" s="178"/>
      <c r="S30603" s="178"/>
    </row>
    <row r="30604" spans="18:19">
      <c r="R30604" s="178"/>
      <c r="S30604" s="178"/>
    </row>
    <row r="30605" spans="18:19">
      <c r="R30605" s="178"/>
      <c r="S30605" s="178"/>
    </row>
    <row r="30606" spans="18:19">
      <c r="R30606" s="178"/>
      <c r="S30606" s="178"/>
    </row>
    <row r="30607" spans="18:19">
      <c r="R30607" s="178"/>
      <c r="S30607" s="178"/>
    </row>
    <row r="30608" spans="18:19">
      <c r="R30608" s="178"/>
      <c r="S30608" s="178"/>
    </row>
    <row r="30609" spans="18:19">
      <c r="R30609" s="178"/>
      <c r="S30609" s="178"/>
    </row>
    <row r="30610" spans="18:19">
      <c r="R30610" s="178"/>
      <c r="S30610" s="178"/>
    </row>
    <row r="30611" spans="18:19">
      <c r="R30611" s="178"/>
      <c r="S30611" s="178"/>
    </row>
    <row r="30612" spans="18:19">
      <c r="R30612" s="178"/>
      <c r="S30612" s="178"/>
    </row>
    <row r="30613" spans="18:19">
      <c r="R30613" s="178"/>
      <c r="S30613" s="178"/>
    </row>
    <row r="30614" spans="18:19">
      <c r="R30614" s="178"/>
      <c r="S30614" s="178"/>
    </row>
    <row r="30615" spans="18:19">
      <c r="R30615" s="178"/>
      <c r="S30615" s="178"/>
    </row>
    <row r="30616" spans="18:19">
      <c r="R30616" s="178"/>
      <c r="S30616" s="178"/>
    </row>
    <row r="30617" spans="18:19">
      <c r="R30617" s="178"/>
      <c r="S30617" s="178"/>
    </row>
    <row r="30618" spans="18:19">
      <c r="R30618" s="178"/>
      <c r="S30618" s="178"/>
    </row>
    <row r="30619" spans="18:19">
      <c r="R30619" s="178"/>
      <c r="S30619" s="178"/>
    </row>
    <row r="30620" spans="18:19">
      <c r="R30620" s="178"/>
      <c r="S30620" s="178"/>
    </row>
    <row r="30621" spans="18:19">
      <c r="R30621" s="178"/>
      <c r="S30621" s="178"/>
    </row>
    <row r="30622" spans="18:19">
      <c r="R30622" s="178"/>
      <c r="S30622" s="178"/>
    </row>
    <row r="30623" spans="18:19">
      <c r="R30623" s="178"/>
      <c r="S30623" s="178"/>
    </row>
    <row r="30624" spans="18:19">
      <c r="R30624" s="178"/>
      <c r="S30624" s="178"/>
    </row>
    <row r="30625" spans="18:19">
      <c r="R30625" s="178"/>
      <c r="S30625" s="178"/>
    </row>
    <row r="30626" spans="18:19">
      <c r="R30626" s="178"/>
      <c r="S30626" s="178"/>
    </row>
    <row r="30627" spans="18:19">
      <c r="R30627" s="178"/>
      <c r="S30627" s="178"/>
    </row>
    <row r="30628" spans="18:19">
      <c r="R30628" s="178"/>
      <c r="S30628" s="178"/>
    </row>
    <row r="30629" spans="18:19">
      <c r="R30629" s="178"/>
      <c r="S30629" s="178"/>
    </row>
    <row r="30630" spans="18:19">
      <c r="R30630" s="178"/>
      <c r="S30630" s="178"/>
    </row>
    <row r="30631" spans="18:19">
      <c r="R30631" s="178"/>
      <c r="S30631" s="178"/>
    </row>
    <row r="30632" spans="18:19">
      <c r="R30632" s="178"/>
      <c r="S30632" s="178"/>
    </row>
    <row r="30633" spans="18:19">
      <c r="R30633" s="178"/>
      <c r="S30633" s="178"/>
    </row>
    <row r="30634" spans="18:19">
      <c r="R30634" s="178"/>
      <c r="S30634" s="178"/>
    </row>
    <row r="30635" spans="18:19">
      <c r="R30635" s="178"/>
      <c r="S30635" s="178"/>
    </row>
    <row r="30636" spans="18:19">
      <c r="R30636" s="178"/>
      <c r="S30636" s="178"/>
    </row>
    <row r="30637" spans="18:19">
      <c r="R30637" s="178"/>
      <c r="S30637" s="178"/>
    </row>
    <row r="30638" spans="18:19">
      <c r="R30638" s="178"/>
      <c r="S30638" s="178"/>
    </row>
    <row r="30639" spans="18:19">
      <c r="R30639" s="178"/>
      <c r="S30639" s="178"/>
    </row>
    <row r="30640" spans="18:19">
      <c r="R30640" s="178"/>
      <c r="S30640" s="178"/>
    </row>
    <row r="30641" spans="18:19">
      <c r="R30641" s="178"/>
      <c r="S30641" s="178"/>
    </row>
    <row r="30642" spans="18:19">
      <c r="R30642" s="178"/>
      <c r="S30642" s="178"/>
    </row>
    <row r="30643" spans="18:19">
      <c r="R30643" s="178"/>
      <c r="S30643" s="178"/>
    </row>
    <row r="30644" spans="18:19">
      <c r="R30644" s="178"/>
      <c r="S30644" s="178"/>
    </row>
    <row r="30645" spans="18:19">
      <c r="R30645" s="178"/>
      <c r="S30645" s="178"/>
    </row>
    <row r="30646" spans="18:19">
      <c r="R30646" s="178"/>
      <c r="S30646" s="178"/>
    </row>
    <row r="30647" spans="18:19">
      <c r="R30647" s="178"/>
      <c r="S30647" s="178"/>
    </row>
    <row r="30648" spans="18:19">
      <c r="R30648" s="178"/>
      <c r="S30648" s="178"/>
    </row>
    <row r="30649" spans="18:19">
      <c r="R30649" s="178"/>
      <c r="S30649" s="178"/>
    </row>
    <row r="30650" spans="18:19">
      <c r="R30650" s="178"/>
      <c r="S30650" s="178"/>
    </row>
    <row r="30651" spans="18:19">
      <c r="R30651" s="178"/>
      <c r="S30651" s="178"/>
    </row>
    <row r="30652" spans="18:19">
      <c r="R30652" s="178"/>
      <c r="S30652" s="178"/>
    </row>
    <row r="30653" spans="18:19">
      <c r="R30653" s="178"/>
      <c r="S30653" s="178"/>
    </row>
    <row r="30654" spans="18:19">
      <c r="R30654" s="178"/>
      <c r="S30654" s="178"/>
    </row>
    <row r="30655" spans="18:19">
      <c r="R30655" s="178"/>
      <c r="S30655" s="178"/>
    </row>
    <row r="30656" spans="18:19">
      <c r="R30656" s="178"/>
      <c r="S30656" s="178"/>
    </row>
    <row r="30657" spans="18:19">
      <c r="R30657" s="178"/>
      <c r="S30657" s="178"/>
    </row>
    <row r="30658" spans="18:19">
      <c r="R30658" s="178"/>
      <c r="S30658" s="178"/>
    </row>
    <row r="30659" spans="18:19">
      <c r="R30659" s="178"/>
      <c r="S30659" s="178"/>
    </row>
    <row r="30660" spans="18:19">
      <c r="R30660" s="178"/>
      <c r="S30660" s="178"/>
    </row>
    <row r="30661" spans="18:19">
      <c r="R30661" s="178"/>
      <c r="S30661" s="178"/>
    </row>
    <row r="30662" spans="18:19">
      <c r="R30662" s="178"/>
      <c r="S30662" s="178"/>
    </row>
    <row r="30663" spans="18:19">
      <c r="R30663" s="178"/>
      <c r="S30663" s="178"/>
    </row>
    <row r="30664" spans="18:19">
      <c r="R30664" s="178"/>
      <c r="S30664" s="178"/>
    </row>
    <row r="30665" spans="18:19">
      <c r="R30665" s="178"/>
      <c r="S30665" s="178"/>
    </row>
    <row r="30666" spans="18:19">
      <c r="R30666" s="178"/>
      <c r="S30666" s="178"/>
    </row>
    <row r="30667" spans="18:19">
      <c r="R30667" s="178"/>
      <c r="S30667" s="178"/>
    </row>
    <row r="30668" spans="18:19">
      <c r="R30668" s="178"/>
      <c r="S30668" s="178"/>
    </row>
    <row r="30669" spans="18:19">
      <c r="R30669" s="178"/>
      <c r="S30669" s="178"/>
    </row>
    <row r="30670" spans="18:19">
      <c r="R30670" s="178"/>
      <c r="S30670" s="178"/>
    </row>
    <row r="30671" spans="18:19">
      <c r="R30671" s="178"/>
      <c r="S30671" s="178"/>
    </row>
    <row r="30672" spans="18:19">
      <c r="R30672" s="178"/>
      <c r="S30672" s="178"/>
    </row>
    <row r="30673" spans="18:19">
      <c r="R30673" s="178"/>
      <c r="S30673" s="178"/>
    </row>
    <row r="30674" spans="18:19">
      <c r="R30674" s="178"/>
      <c r="S30674" s="178"/>
    </row>
    <row r="30675" spans="18:19">
      <c r="R30675" s="178"/>
      <c r="S30675" s="178"/>
    </row>
    <row r="30676" spans="18:19">
      <c r="R30676" s="178"/>
      <c r="S30676" s="178"/>
    </row>
    <row r="30677" spans="18:19">
      <c r="R30677" s="178"/>
      <c r="S30677" s="178"/>
    </row>
    <row r="30678" spans="18:19">
      <c r="R30678" s="178"/>
      <c r="S30678" s="178"/>
    </row>
    <row r="30679" spans="18:19">
      <c r="R30679" s="178"/>
      <c r="S30679" s="178"/>
    </row>
    <row r="30680" spans="18:19">
      <c r="R30680" s="178"/>
      <c r="S30680" s="178"/>
    </row>
    <row r="30681" spans="18:19">
      <c r="R30681" s="178"/>
      <c r="S30681" s="178"/>
    </row>
    <row r="30682" spans="18:19">
      <c r="R30682" s="178"/>
      <c r="S30682" s="178"/>
    </row>
    <row r="30683" spans="18:19">
      <c r="R30683" s="178"/>
      <c r="S30683" s="178"/>
    </row>
    <row r="30684" spans="18:19">
      <c r="R30684" s="178"/>
      <c r="S30684" s="178"/>
    </row>
    <row r="30685" spans="18:19">
      <c r="R30685" s="178"/>
      <c r="S30685" s="178"/>
    </row>
    <row r="30686" spans="18:19">
      <c r="R30686" s="178"/>
      <c r="S30686" s="178"/>
    </row>
    <row r="30687" spans="18:19">
      <c r="R30687" s="178"/>
      <c r="S30687" s="178"/>
    </row>
    <row r="30688" spans="18:19">
      <c r="R30688" s="178"/>
      <c r="S30688" s="178"/>
    </row>
    <row r="30689" spans="18:19">
      <c r="R30689" s="178"/>
      <c r="S30689" s="178"/>
    </row>
    <row r="30690" spans="18:19">
      <c r="R30690" s="178"/>
      <c r="S30690" s="178"/>
    </row>
    <row r="30691" spans="18:19">
      <c r="R30691" s="178"/>
      <c r="S30691" s="178"/>
    </row>
    <row r="30692" spans="18:19">
      <c r="R30692" s="178"/>
      <c r="S30692" s="178"/>
    </row>
    <row r="30693" spans="18:19">
      <c r="R30693" s="178"/>
      <c r="S30693" s="178"/>
    </row>
    <row r="30694" spans="18:19">
      <c r="R30694" s="178"/>
      <c r="S30694" s="178"/>
    </row>
    <row r="30695" spans="18:19">
      <c r="R30695" s="178"/>
      <c r="S30695" s="178"/>
    </row>
    <row r="30696" spans="18:19">
      <c r="R30696" s="178"/>
      <c r="S30696" s="178"/>
    </row>
    <row r="30697" spans="18:19">
      <c r="R30697" s="178"/>
      <c r="S30697" s="178"/>
    </row>
    <row r="30698" spans="18:19">
      <c r="R30698" s="178"/>
      <c r="S30698" s="178"/>
    </row>
    <row r="30699" spans="18:19">
      <c r="R30699" s="178"/>
      <c r="S30699" s="178"/>
    </row>
    <row r="30700" spans="18:19">
      <c r="R30700" s="178"/>
      <c r="S30700" s="178"/>
    </row>
    <row r="30701" spans="18:19">
      <c r="R30701" s="178"/>
      <c r="S30701" s="178"/>
    </row>
    <row r="30702" spans="18:19">
      <c r="R30702" s="178"/>
      <c r="S30702" s="178"/>
    </row>
    <row r="30703" spans="18:19">
      <c r="R30703" s="178"/>
      <c r="S30703" s="178"/>
    </row>
    <row r="30704" spans="18:19">
      <c r="R30704" s="178"/>
      <c r="S30704" s="178"/>
    </row>
    <row r="30705" spans="18:19">
      <c r="R30705" s="178"/>
      <c r="S30705" s="178"/>
    </row>
    <row r="30706" spans="18:19">
      <c r="R30706" s="178"/>
      <c r="S30706" s="178"/>
    </row>
    <row r="30707" spans="18:19">
      <c r="R30707" s="178"/>
      <c r="S30707" s="178"/>
    </row>
    <row r="30708" spans="18:19">
      <c r="R30708" s="178"/>
      <c r="S30708" s="178"/>
    </row>
    <row r="30709" spans="18:19">
      <c r="R30709" s="178"/>
      <c r="S30709" s="178"/>
    </row>
    <row r="30710" spans="18:19">
      <c r="R30710" s="178"/>
      <c r="S30710" s="178"/>
    </row>
    <row r="30711" spans="18:19">
      <c r="R30711" s="178"/>
      <c r="S30711" s="178"/>
    </row>
    <row r="30712" spans="18:19">
      <c r="R30712" s="178"/>
      <c r="S30712" s="178"/>
    </row>
    <row r="30713" spans="18:19">
      <c r="R30713" s="178"/>
      <c r="S30713" s="178"/>
    </row>
    <row r="30714" spans="18:19">
      <c r="R30714" s="178"/>
      <c r="S30714" s="178"/>
    </row>
    <row r="30715" spans="18:19">
      <c r="R30715" s="178"/>
      <c r="S30715" s="178"/>
    </row>
    <row r="30716" spans="18:19">
      <c r="R30716" s="178"/>
      <c r="S30716" s="178"/>
    </row>
    <row r="30717" spans="18:19">
      <c r="R30717" s="178"/>
      <c r="S30717" s="178"/>
    </row>
    <row r="30718" spans="18:19">
      <c r="R30718" s="178"/>
      <c r="S30718" s="178"/>
    </row>
    <row r="30719" spans="18:19">
      <c r="R30719" s="178"/>
      <c r="S30719" s="178"/>
    </row>
    <row r="30720" spans="18:19">
      <c r="R30720" s="178"/>
      <c r="S30720" s="178"/>
    </row>
    <row r="30721" spans="18:19">
      <c r="R30721" s="178"/>
      <c r="S30721" s="178"/>
    </row>
    <row r="30722" spans="18:19">
      <c r="R30722" s="178"/>
      <c r="S30722" s="178"/>
    </row>
    <row r="30723" spans="18:19">
      <c r="R30723" s="178"/>
      <c r="S30723" s="178"/>
    </row>
    <row r="30724" spans="18:19">
      <c r="R30724" s="178"/>
      <c r="S30724" s="178"/>
    </row>
    <row r="30725" spans="18:19">
      <c r="R30725" s="178"/>
      <c r="S30725" s="178"/>
    </row>
    <row r="30726" spans="18:19">
      <c r="R30726" s="178"/>
      <c r="S30726" s="178"/>
    </row>
    <row r="30727" spans="18:19">
      <c r="R30727" s="178"/>
      <c r="S30727" s="178"/>
    </row>
    <row r="30728" spans="18:19">
      <c r="R30728" s="178"/>
      <c r="S30728" s="178"/>
    </row>
    <row r="30729" spans="18:19">
      <c r="R30729" s="178"/>
      <c r="S30729" s="178"/>
    </row>
    <row r="30730" spans="18:19">
      <c r="R30730" s="178"/>
      <c r="S30730" s="178"/>
    </row>
    <row r="30731" spans="18:19">
      <c r="R30731" s="178"/>
      <c r="S30731" s="178"/>
    </row>
    <row r="30732" spans="18:19">
      <c r="R30732" s="178"/>
      <c r="S30732" s="178"/>
    </row>
    <row r="30733" spans="18:19">
      <c r="R30733" s="178"/>
      <c r="S30733" s="178"/>
    </row>
    <row r="30734" spans="18:19">
      <c r="R30734" s="178"/>
      <c r="S30734" s="178"/>
    </row>
    <row r="30735" spans="18:19">
      <c r="R30735" s="178"/>
      <c r="S30735" s="178"/>
    </row>
    <row r="30736" spans="18:19">
      <c r="R30736" s="178"/>
      <c r="S30736" s="178"/>
    </row>
    <row r="30737" spans="18:19">
      <c r="R30737" s="178"/>
      <c r="S30737" s="178"/>
    </row>
    <row r="30738" spans="18:19">
      <c r="R30738" s="178"/>
      <c r="S30738" s="178"/>
    </row>
    <row r="30739" spans="18:19">
      <c r="R30739" s="178"/>
      <c r="S30739" s="178"/>
    </row>
    <row r="30740" spans="18:19">
      <c r="R30740" s="178"/>
      <c r="S30740" s="178"/>
    </row>
    <row r="30741" spans="18:19">
      <c r="R30741" s="178"/>
      <c r="S30741" s="178"/>
    </row>
    <row r="30742" spans="18:19">
      <c r="R30742" s="178"/>
      <c r="S30742" s="178"/>
    </row>
    <row r="30743" spans="18:19">
      <c r="R30743" s="178"/>
      <c r="S30743" s="178"/>
    </row>
    <row r="30744" spans="18:19">
      <c r="R30744" s="178"/>
      <c r="S30744" s="178"/>
    </row>
    <row r="30745" spans="18:19">
      <c r="R30745" s="178"/>
      <c r="S30745" s="178"/>
    </row>
    <row r="30746" spans="18:19">
      <c r="R30746" s="178"/>
      <c r="S30746" s="178"/>
    </row>
    <row r="30747" spans="18:19">
      <c r="R30747" s="178"/>
      <c r="S30747" s="178"/>
    </row>
    <row r="30748" spans="18:19">
      <c r="R30748" s="178"/>
      <c r="S30748" s="178"/>
    </row>
    <row r="30749" spans="18:19">
      <c r="R30749" s="178"/>
      <c r="S30749" s="178"/>
    </row>
    <row r="30750" spans="18:19">
      <c r="R30750" s="178"/>
      <c r="S30750" s="178"/>
    </row>
    <row r="30751" spans="18:19">
      <c r="R30751" s="178"/>
      <c r="S30751" s="178"/>
    </row>
    <row r="30752" spans="18:19">
      <c r="R30752" s="178"/>
      <c r="S30752" s="178"/>
    </row>
    <row r="30753" spans="18:19">
      <c r="R30753" s="178"/>
      <c r="S30753" s="178"/>
    </row>
    <row r="30754" spans="18:19">
      <c r="R30754" s="178"/>
      <c r="S30754" s="178"/>
    </row>
    <row r="30755" spans="18:19">
      <c r="R30755" s="178"/>
      <c r="S30755" s="178"/>
    </row>
    <row r="30756" spans="18:19">
      <c r="R30756" s="178"/>
      <c r="S30756" s="178"/>
    </row>
    <row r="30757" spans="18:19">
      <c r="R30757" s="178"/>
      <c r="S30757" s="178"/>
    </row>
    <row r="30758" spans="18:19">
      <c r="R30758" s="178"/>
      <c r="S30758" s="178"/>
    </row>
    <row r="30759" spans="18:19">
      <c r="R30759" s="178"/>
      <c r="S30759" s="178"/>
    </row>
    <row r="30760" spans="18:19">
      <c r="R30760" s="178"/>
      <c r="S30760" s="178"/>
    </row>
    <row r="30761" spans="18:19">
      <c r="R30761" s="178"/>
      <c r="S30761" s="178"/>
    </row>
    <row r="30762" spans="18:19">
      <c r="R30762" s="178"/>
      <c r="S30762" s="178"/>
    </row>
    <row r="30763" spans="18:19">
      <c r="R30763" s="178"/>
      <c r="S30763" s="178"/>
    </row>
    <row r="30764" spans="18:19">
      <c r="R30764" s="178"/>
      <c r="S30764" s="178"/>
    </row>
    <row r="30765" spans="18:19">
      <c r="R30765" s="178"/>
      <c r="S30765" s="178"/>
    </row>
    <row r="30766" spans="18:19">
      <c r="R30766" s="178"/>
      <c r="S30766" s="178"/>
    </row>
    <row r="30767" spans="18:19">
      <c r="R30767" s="178"/>
      <c r="S30767" s="178"/>
    </row>
    <row r="30768" spans="18:19">
      <c r="R30768" s="178"/>
      <c r="S30768" s="178"/>
    </row>
    <row r="30769" spans="18:19">
      <c r="R30769" s="178"/>
      <c r="S30769" s="178"/>
    </row>
    <row r="30770" spans="18:19">
      <c r="R30770" s="178"/>
      <c r="S30770" s="178"/>
    </row>
    <row r="30771" spans="18:19">
      <c r="R30771" s="178"/>
      <c r="S30771" s="178"/>
    </row>
    <row r="30772" spans="18:19">
      <c r="R30772" s="178"/>
      <c r="S30772" s="178"/>
    </row>
    <row r="30773" spans="18:19">
      <c r="R30773" s="178"/>
      <c r="S30773" s="178"/>
    </row>
    <row r="30774" spans="18:19">
      <c r="R30774" s="178"/>
      <c r="S30774" s="178"/>
    </row>
    <row r="30775" spans="18:19">
      <c r="R30775" s="178"/>
      <c r="S30775" s="178"/>
    </row>
    <row r="30776" spans="18:19">
      <c r="R30776" s="178"/>
      <c r="S30776" s="178"/>
    </row>
    <row r="30777" spans="18:19">
      <c r="R30777" s="178"/>
      <c r="S30777" s="178"/>
    </row>
    <row r="30778" spans="18:19">
      <c r="R30778" s="178"/>
      <c r="S30778" s="178"/>
    </row>
    <row r="30779" spans="18:19">
      <c r="R30779" s="178"/>
      <c r="S30779" s="178"/>
    </row>
    <row r="30780" spans="18:19">
      <c r="R30780" s="178"/>
      <c r="S30780" s="178"/>
    </row>
    <row r="30781" spans="18:19">
      <c r="R30781" s="178"/>
      <c r="S30781" s="178"/>
    </row>
    <row r="30782" spans="18:19">
      <c r="R30782" s="178"/>
      <c r="S30782" s="178"/>
    </row>
    <row r="30783" spans="18:19">
      <c r="R30783" s="178"/>
      <c r="S30783" s="178"/>
    </row>
    <row r="30784" spans="18:19">
      <c r="R30784" s="178"/>
      <c r="S30784" s="178"/>
    </row>
    <row r="30785" spans="18:19">
      <c r="R30785" s="178"/>
      <c r="S30785" s="178"/>
    </row>
    <row r="30786" spans="18:19">
      <c r="R30786" s="178"/>
      <c r="S30786" s="178"/>
    </row>
    <row r="30787" spans="18:19">
      <c r="R30787" s="178"/>
      <c r="S30787" s="178"/>
    </row>
    <row r="30788" spans="18:19">
      <c r="R30788" s="178"/>
      <c r="S30788" s="178"/>
    </row>
    <row r="30789" spans="18:19">
      <c r="R30789" s="178"/>
      <c r="S30789" s="178"/>
    </row>
    <row r="30790" spans="18:19">
      <c r="R30790" s="178"/>
      <c r="S30790" s="178"/>
    </row>
    <row r="30791" spans="18:19">
      <c r="R30791" s="178"/>
      <c r="S30791" s="178"/>
    </row>
    <row r="30792" spans="18:19">
      <c r="R30792" s="178"/>
      <c r="S30792" s="178"/>
    </row>
    <row r="30793" spans="18:19">
      <c r="R30793" s="178"/>
      <c r="S30793" s="178"/>
    </row>
    <row r="30794" spans="18:19">
      <c r="R30794" s="178"/>
      <c r="S30794" s="178"/>
    </row>
    <row r="30795" spans="18:19">
      <c r="R30795" s="178"/>
      <c r="S30795" s="178"/>
    </row>
    <row r="30796" spans="18:19">
      <c r="R30796" s="178"/>
      <c r="S30796" s="178"/>
    </row>
    <row r="30797" spans="18:19">
      <c r="R30797" s="178"/>
      <c r="S30797" s="178"/>
    </row>
    <row r="30798" spans="18:19">
      <c r="R30798" s="178"/>
      <c r="S30798" s="178"/>
    </row>
    <row r="30799" spans="18:19">
      <c r="R30799" s="178"/>
      <c r="S30799" s="178"/>
    </row>
    <row r="30800" spans="18:19">
      <c r="R30800" s="178"/>
      <c r="S30800" s="178"/>
    </row>
    <row r="30801" spans="18:19">
      <c r="R30801" s="178"/>
      <c r="S30801" s="178"/>
    </row>
    <row r="30802" spans="18:19">
      <c r="R30802" s="178"/>
      <c r="S30802" s="178"/>
    </row>
    <row r="30803" spans="18:19">
      <c r="R30803" s="178"/>
      <c r="S30803" s="178"/>
    </row>
    <row r="30804" spans="18:19">
      <c r="R30804" s="178"/>
      <c r="S30804" s="178"/>
    </row>
    <row r="30805" spans="18:19">
      <c r="R30805" s="178"/>
      <c r="S30805" s="178"/>
    </row>
    <row r="30806" spans="18:19">
      <c r="R30806" s="178"/>
      <c r="S30806" s="178"/>
    </row>
    <row r="30807" spans="18:19">
      <c r="R30807" s="178"/>
      <c r="S30807" s="178"/>
    </row>
    <row r="30808" spans="18:19">
      <c r="R30808" s="178"/>
      <c r="S30808" s="178"/>
    </row>
    <row r="30809" spans="18:19">
      <c r="R30809" s="178"/>
      <c r="S30809" s="178"/>
    </row>
    <row r="30810" spans="18:19">
      <c r="R30810" s="178"/>
      <c r="S30810" s="178"/>
    </row>
    <row r="30811" spans="18:19">
      <c r="R30811" s="178"/>
      <c r="S30811" s="178"/>
    </row>
    <row r="30812" spans="18:19">
      <c r="R30812" s="178"/>
      <c r="S30812" s="178"/>
    </row>
    <row r="30813" spans="18:19">
      <c r="R30813" s="178"/>
      <c r="S30813" s="178"/>
    </row>
    <row r="30814" spans="18:19">
      <c r="R30814" s="178"/>
      <c r="S30814" s="178"/>
    </row>
    <row r="30815" spans="18:19">
      <c r="R30815" s="178"/>
      <c r="S30815" s="178"/>
    </row>
    <row r="30816" spans="18:19">
      <c r="R30816" s="178"/>
      <c r="S30816" s="178"/>
    </row>
    <row r="30817" spans="18:19">
      <c r="R30817" s="178"/>
      <c r="S30817" s="178"/>
    </row>
    <row r="30818" spans="18:19">
      <c r="R30818" s="178"/>
      <c r="S30818" s="178"/>
    </row>
    <row r="30819" spans="18:19">
      <c r="R30819" s="178"/>
      <c r="S30819" s="178"/>
    </row>
    <row r="30820" spans="18:19">
      <c r="R30820" s="178"/>
      <c r="S30820" s="178"/>
    </row>
    <row r="30821" spans="18:19">
      <c r="R30821" s="178"/>
      <c r="S30821" s="178"/>
    </row>
    <row r="30822" spans="18:19">
      <c r="R30822" s="178"/>
      <c r="S30822" s="178"/>
    </row>
    <row r="30823" spans="18:19">
      <c r="R30823" s="178"/>
      <c r="S30823" s="178"/>
    </row>
    <row r="30824" spans="18:19">
      <c r="R30824" s="178"/>
      <c r="S30824" s="178"/>
    </row>
    <row r="30825" spans="18:19">
      <c r="R30825" s="178"/>
      <c r="S30825" s="178"/>
    </row>
    <row r="30826" spans="18:19">
      <c r="R30826" s="178"/>
      <c r="S30826" s="178"/>
    </row>
    <row r="30827" spans="18:19">
      <c r="R30827" s="178"/>
      <c r="S30827" s="178"/>
    </row>
    <row r="30828" spans="18:19">
      <c r="R30828" s="178"/>
      <c r="S30828" s="178"/>
    </row>
    <row r="30829" spans="18:19">
      <c r="R30829" s="178"/>
      <c r="S30829" s="178"/>
    </row>
    <row r="30830" spans="18:19">
      <c r="R30830" s="178"/>
      <c r="S30830" s="178"/>
    </row>
    <row r="30831" spans="18:19">
      <c r="R30831" s="178"/>
      <c r="S30831" s="178"/>
    </row>
    <row r="30832" spans="18:19">
      <c r="R30832" s="178"/>
      <c r="S30832" s="178"/>
    </row>
    <row r="30833" spans="18:19">
      <c r="R30833" s="178"/>
      <c r="S30833" s="178"/>
    </row>
    <row r="30834" spans="18:19">
      <c r="R30834" s="178"/>
      <c r="S30834" s="178"/>
    </row>
    <row r="30835" spans="18:19">
      <c r="R30835" s="178"/>
      <c r="S30835" s="178"/>
    </row>
    <row r="30836" spans="18:19">
      <c r="R30836" s="178"/>
      <c r="S30836" s="178"/>
    </row>
    <row r="30837" spans="18:19">
      <c r="R30837" s="178"/>
      <c r="S30837" s="178"/>
    </row>
    <row r="30838" spans="18:19">
      <c r="R30838" s="178"/>
      <c r="S30838" s="178"/>
    </row>
    <row r="30839" spans="18:19">
      <c r="R30839" s="178"/>
      <c r="S30839" s="178"/>
    </row>
    <row r="30840" spans="18:19">
      <c r="R30840" s="178"/>
      <c r="S30840" s="178"/>
    </row>
    <row r="30841" spans="18:19">
      <c r="R30841" s="178"/>
      <c r="S30841" s="178"/>
    </row>
    <row r="30842" spans="18:19">
      <c r="R30842" s="178"/>
      <c r="S30842" s="178"/>
    </row>
    <row r="30843" spans="18:19">
      <c r="R30843" s="178"/>
      <c r="S30843" s="178"/>
    </row>
    <row r="30844" spans="18:19">
      <c r="R30844" s="178"/>
      <c r="S30844" s="178"/>
    </row>
    <row r="30845" spans="18:19">
      <c r="R30845" s="178"/>
      <c r="S30845" s="178"/>
    </row>
    <row r="30846" spans="18:19">
      <c r="R30846" s="178"/>
      <c r="S30846" s="178"/>
    </row>
    <row r="30847" spans="18:19">
      <c r="R30847" s="178"/>
      <c r="S30847" s="178"/>
    </row>
    <row r="30848" spans="18:19">
      <c r="R30848" s="178"/>
      <c r="S30848" s="178"/>
    </row>
    <row r="30849" spans="18:19">
      <c r="R30849" s="178"/>
      <c r="S30849" s="178"/>
    </row>
    <row r="30850" spans="18:19">
      <c r="R30850" s="178"/>
      <c r="S30850" s="178"/>
    </row>
    <row r="30851" spans="18:19">
      <c r="R30851" s="178"/>
      <c r="S30851" s="178"/>
    </row>
    <row r="30852" spans="18:19">
      <c r="R30852" s="178"/>
      <c r="S30852" s="178"/>
    </row>
    <row r="30853" spans="18:19">
      <c r="R30853" s="178"/>
      <c r="S30853" s="178"/>
    </row>
    <row r="30854" spans="18:19">
      <c r="R30854" s="178"/>
      <c r="S30854" s="178"/>
    </row>
    <row r="30855" spans="18:19">
      <c r="R30855" s="178"/>
      <c r="S30855" s="178"/>
    </row>
    <row r="30856" spans="18:19">
      <c r="R30856" s="178"/>
      <c r="S30856" s="178"/>
    </row>
    <row r="30857" spans="18:19">
      <c r="R30857" s="178"/>
      <c r="S30857" s="178"/>
    </row>
    <row r="30858" spans="18:19">
      <c r="R30858" s="178"/>
      <c r="S30858" s="178"/>
    </row>
    <row r="30859" spans="18:19">
      <c r="R30859" s="178"/>
      <c r="S30859" s="178"/>
    </row>
    <row r="30860" spans="18:19">
      <c r="R30860" s="178"/>
      <c r="S30860" s="178"/>
    </row>
    <row r="30861" spans="18:19">
      <c r="R30861" s="178"/>
      <c r="S30861" s="178"/>
    </row>
    <row r="30862" spans="18:19">
      <c r="R30862" s="178"/>
      <c r="S30862" s="178"/>
    </row>
    <row r="30863" spans="18:19">
      <c r="R30863" s="178"/>
      <c r="S30863" s="178"/>
    </row>
    <row r="30864" spans="18:19">
      <c r="R30864" s="178"/>
      <c r="S30864" s="178"/>
    </row>
    <row r="30865" spans="18:19">
      <c r="R30865" s="178"/>
      <c r="S30865" s="178"/>
    </row>
    <row r="30866" spans="18:19">
      <c r="R30866" s="178"/>
      <c r="S30866" s="178"/>
    </row>
    <row r="30867" spans="18:19">
      <c r="R30867" s="178"/>
      <c r="S30867" s="178"/>
    </row>
    <row r="30868" spans="18:19">
      <c r="R30868" s="178"/>
      <c r="S30868" s="178"/>
    </row>
    <row r="30869" spans="18:19">
      <c r="R30869" s="178"/>
      <c r="S30869" s="178"/>
    </row>
    <row r="30870" spans="18:19">
      <c r="R30870" s="178"/>
      <c r="S30870" s="178"/>
    </row>
    <row r="30871" spans="18:19">
      <c r="R30871" s="178"/>
      <c r="S30871" s="178"/>
    </row>
    <row r="30872" spans="18:19">
      <c r="R30872" s="178"/>
      <c r="S30872" s="178"/>
    </row>
    <row r="30873" spans="18:19">
      <c r="R30873" s="178"/>
      <c r="S30873" s="178"/>
    </row>
    <row r="30874" spans="18:19">
      <c r="R30874" s="178"/>
      <c r="S30874" s="178"/>
    </row>
    <row r="30875" spans="18:19">
      <c r="R30875" s="178"/>
      <c r="S30875" s="178"/>
    </row>
    <row r="30876" spans="18:19">
      <c r="R30876" s="178"/>
      <c r="S30876" s="178"/>
    </row>
    <row r="30877" spans="18:19">
      <c r="R30877" s="178"/>
      <c r="S30877" s="178"/>
    </row>
    <row r="30878" spans="18:19">
      <c r="R30878" s="178"/>
      <c r="S30878" s="178"/>
    </row>
    <row r="30879" spans="18:19">
      <c r="R30879" s="178"/>
      <c r="S30879" s="178"/>
    </row>
    <row r="30880" spans="18:19">
      <c r="R30880" s="178"/>
      <c r="S30880" s="178"/>
    </row>
    <row r="30881" spans="18:19">
      <c r="R30881" s="178"/>
      <c r="S30881" s="178"/>
    </row>
    <row r="30882" spans="18:19">
      <c r="R30882" s="178"/>
      <c r="S30882" s="178"/>
    </row>
    <row r="30883" spans="18:19">
      <c r="R30883" s="178"/>
      <c r="S30883" s="178"/>
    </row>
    <row r="30884" spans="18:19">
      <c r="R30884" s="178"/>
      <c r="S30884" s="178"/>
    </row>
    <row r="30885" spans="18:19">
      <c r="R30885" s="178"/>
      <c r="S30885" s="178"/>
    </row>
    <row r="30886" spans="18:19">
      <c r="R30886" s="178"/>
      <c r="S30886" s="178"/>
    </row>
    <row r="30887" spans="18:19">
      <c r="R30887" s="178"/>
      <c r="S30887" s="178"/>
    </row>
    <row r="30888" spans="18:19">
      <c r="R30888" s="178"/>
      <c r="S30888" s="178"/>
    </row>
    <row r="30889" spans="18:19">
      <c r="R30889" s="178"/>
      <c r="S30889" s="178"/>
    </row>
    <row r="30890" spans="18:19">
      <c r="R30890" s="178"/>
      <c r="S30890" s="178"/>
    </row>
    <row r="30891" spans="18:19">
      <c r="R30891" s="178"/>
      <c r="S30891" s="178"/>
    </row>
    <row r="30892" spans="18:19">
      <c r="R30892" s="178"/>
      <c r="S30892" s="178"/>
    </row>
    <row r="30893" spans="18:19">
      <c r="R30893" s="178"/>
      <c r="S30893" s="178"/>
    </row>
    <row r="30894" spans="18:19">
      <c r="R30894" s="178"/>
      <c r="S30894" s="178"/>
    </row>
    <row r="30895" spans="18:19">
      <c r="R30895" s="178"/>
      <c r="S30895" s="178"/>
    </row>
    <row r="30896" spans="18:19">
      <c r="R30896" s="178"/>
      <c r="S30896" s="178"/>
    </row>
    <row r="30897" spans="18:19">
      <c r="R30897" s="178"/>
      <c r="S30897" s="178"/>
    </row>
    <row r="30898" spans="18:19">
      <c r="R30898" s="178"/>
      <c r="S30898" s="178"/>
    </row>
    <row r="30899" spans="18:19">
      <c r="R30899" s="178"/>
      <c r="S30899" s="178"/>
    </row>
    <row r="30900" spans="18:19">
      <c r="R30900" s="178"/>
      <c r="S30900" s="178"/>
    </row>
    <row r="30901" spans="18:19">
      <c r="R30901" s="178"/>
      <c r="S30901" s="178"/>
    </row>
    <row r="30902" spans="18:19">
      <c r="R30902" s="178"/>
      <c r="S30902" s="178"/>
    </row>
    <row r="30903" spans="18:19">
      <c r="R30903" s="178"/>
      <c r="S30903" s="178"/>
    </row>
    <row r="30904" spans="18:19">
      <c r="R30904" s="178"/>
      <c r="S30904" s="178"/>
    </row>
    <row r="30905" spans="18:19">
      <c r="R30905" s="178"/>
      <c r="S30905" s="178"/>
    </row>
    <row r="30906" spans="18:19">
      <c r="R30906" s="178"/>
      <c r="S30906" s="178"/>
    </row>
    <row r="30907" spans="18:19">
      <c r="R30907" s="178"/>
      <c r="S30907" s="178"/>
    </row>
    <row r="30908" spans="18:19">
      <c r="R30908" s="178"/>
      <c r="S30908" s="178"/>
    </row>
    <row r="30909" spans="18:19">
      <c r="R30909" s="178"/>
      <c r="S30909" s="178"/>
    </row>
    <row r="30910" spans="18:19">
      <c r="R30910" s="178"/>
      <c r="S30910" s="178"/>
    </row>
    <row r="30911" spans="18:19">
      <c r="R30911" s="178"/>
      <c r="S30911" s="178"/>
    </row>
    <row r="30912" spans="18:19">
      <c r="R30912" s="178"/>
      <c r="S30912" s="178"/>
    </row>
    <row r="30913" spans="18:19">
      <c r="R30913" s="178"/>
      <c r="S30913" s="178"/>
    </row>
    <row r="30914" spans="18:19">
      <c r="R30914" s="178"/>
      <c r="S30914" s="178"/>
    </row>
    <row r="30915" spans="18:19">
      <c r="R30915" s="178"/>
      <c r="S30915" s="178"/>
    </row>
    <row r="30916" spans="18:19">
      <c r="R30916" s="178"/>
      <c r="S30916" s="178"/>
    </row>
    <row r="30917" spans="18:19">
      <c r="R30917" s="178"/>
      <c r="S30917" s="178"/>
    </row>
    <row r="30918" spans="18:19">
      <c r="R30918" s="178"/>
      <c r="S30918" s="178"/>
    </row>
    <row r="30919" spans="18:19">
      <c r="R30919" s="178"/>
      <c r="S30919" s="178"/>
    </row>
    <row r="30920" spans="18:19">
      <c r="R30920" s="178"/>
      <c r="S30920" s="178"/>
    </row>
    <row r="30921" spans="18:19">
      <c r="R30921" s="178"/>
      <c r="S30921" s="178"/>
    </row>
    <row r="30922" spans="18:19">
      <c r="R30922" s="178"/>
      <c r="S30922" s="178"/>
    </row>
    <row r="30923" spans="18:19">
      <c r="R30923" s="178"/>
      <c r="S30923" s="178"/>
    </row>
    <row r="30924" spans="18:19">
      <c r="R30924" s="178"/>
      <c r="S30924" s="178"/>
    </row>
    <row r="30925" spans="18:19">
      <c r="R30925" s="178"/>
      <c r="S30925" s="178"/>
    </row>
    <row r="30926" spans="18:19">
      <c r="R30926" s="178"/>
      <c r="S30926" s="178"/>
    </row>
    <row r="30927" spans="18:19">
      <c r="R30927" s="178"/>
      <c r="S30927" s="178"/>
    </row>
    <row r="30928" spans="18:19">
      <c r="R30928" s="178"/>
      <c r="S30928" s="178"/>
    </row>
    <row r="30929" spans="18:19">
      <c r="R30929" s="178"/>
      <c r="S30929" s="178"/>
    </row>
    <row r="30930" spans="18:19">
      <c r="R30930" s="178"/>
      <c r="S30930" s="178"/>
    </row>
    <row r="30931" spans="18:19">
      <c r="R30931" s="178"/>
      <c r="S30931" s="178"/>
    </row>
    <row r="30932" spans="18:19">
      <c r="R30932" s="178"/>
      <c r="S30932" s="178"/>
    </row>
    <row r="30933" spans="18:19">
      <c r="R30933" s="178"/>
      <c r="S30933" s="178"/>
    </row>
    <row r="30934" spans="18:19">
      <c r="R30934" s="178"/>
      <c r="S30934" s="178"/>
    </row>
    <row r="30935" spans="18:19">
      <c r="R30935" s="178"/>
      <c r="S30935" s="178"/>
    </row>
    <row r="30936" spans="18:19">
      <c r="R30936" s="178"/>
      <c r="S30936" s="178"/>
    </row>
    <row r="30937" spans="18:19">
      <c r="R30937" s="178"/>
      <c r="S30937" s="178"/>
    </row>
    <row r="30938" spans="18:19">
      <c r="R30938" s="178"/>
      <c r="S30938" s="178"/>
    </row>
    <row r="30939" spans="18:19">
      <c r="R30939" s="178"/>
      <c r="S30939" s="178"/>
    </row>
    <row r="30940" spans="18:19">
      <c r="R30940" s="178"/>
      <c r="S30940" s="178"/>
    </row>
    <row r="30941" spans="18:19">
      <c r="R30941" s="178"/>
      <c r="S30941" s="178"/>
    </row>
    <row r="30942" spans="18:19">
      <c r="R30942" s="178"/>
      <c r="S30942" s="178"/>
    </row>
    <row r="30943" spans="18:19">
      <c r="R30943" s="178"/>
      <c r="S30943" s="178"/>
    </row>
    <row r="30944" spans="18:19">
      <c r="R30944" s="178"/>
      <c r="S30944" s="178"/>
    </row>
    <row r="30945" spans="18:19">
      <c r="R30945" s="178"/>
      <c r="S30945" s="178"/>
    </row>
    <row r="30946" spans="18:19">
      <c r="R30946" s="178"/>
      <c r="S30946" s="178"/>
    </row>
    <row r="30947" spans="18:19">
      <c r="R30947" s="178"/>
      <c r="S30947" s="178"/>
    </row>
    <row r="30948" spans="18:19">
      <c r="R30948" s="178"/>
      <c r="S30948" s="178"/>
    </row>
    <row r="30949" spans="18:19">
      <c r="R30949" s="178"/>
      <c r="S30949" s="178"/>
    </row>
    <row r="30950" spans="18:19">
      <c r="R30950" s="178"/>
      <c r="S30950" s="178"/>
    </row>
    <row r="30951" spans="18:19">
      <c r="R30951" s="178"/>
      <c r="S30951" s="178"/>
    </row>
    <row r="30952" spans="18:19">
      <c r="R30952" s="178"/>
      <c r="S30952" s="178"/>
    </row>
    <row r="30953" spans="18:19">
      <c r="R30953" s="178"/>
      <c r="S30953" s="178"/>
    </row>
    <row r="30954" spans="18:19">
      <c r="R30954" s="178"/>
      <c r="S30954" s="178"/>
    </row>
    <row r="30955" spans="18:19">
      <c r="R30955" s="178"/>
      <c r="S30955" s="178"/>
    </row>
    <row r="30956" spans="18:19">
      <c r="R30956" s="178"/>
      <c r="S30956" s="178"/>
    </row>
    <row r="30957" spans="18:19">
      <c r="R30957" s="178"/>
      <c r="S30957" s="178"/>
    </row>
    <row r="30958" spans="18:19">
      <c r="R30958" s="178"/>
      <c r="S30958" s="178"/>
    </row>
    <row r="30959" spans="18:19">
      <c r="R30959" s="178"/>
      <c r="S30959" s="178"/>
    </row>
    <row r="30960" spans="18:19">
      <c r="R30960" s="178"/>
      <c r="S30960" s="178"/>
    </row>
    <row r="30961" spans="18:19">
      <c r="R30961" s="178"/>
      <c r="S30961" s="178"/>
    </row>
    <row r="30962" spans="18:19">
      <c r="R30962" s="178"/>
      <c r="S30962" s="178"/>
    </row>
    <row r="30963" spans="18:19">
      <c r="R30963" s="178"/>
      <c r="S30963" s="178"/>
    </row>
    <row r="30964" spans="18:19">
      <c r="R30964" s="178"/>
      <c r="S30964" s="178"/>
    </row>
    <row r="30965" spans="18:19">
      <c r="R30965" s="178"/>
      <c r="S30965" s="178"/>
    </row>
    <row r="30966" spans="18:19">
      <c r="R30966" s="178"/>
      <c r="S30966" s="178"/>
    </row>
    <row r="30967" spans="18:19">
      <c r="R30967" s="178"/>
      <c r="S30967" s="178"/>
    </row>
    <row r="30968" spans="18:19">
      <c r="R30968" s="178"/>
      <c r="S30968" s="178"/>
    </row>
    <row r="30969" spans="18:19">
      <c r="R30969" s="178"/>
      <c r="S30969" s="178"/>
    </row>
    <row r="30970" spans="18:19">
      <c r="R30970" s="178"/>
      <c r="S30970" s="178"/>
    </row>
    <row r="30971" spans="18:19">
      <c r="R30971" s="178"/>
      <c r="S30971" s="178"/>
    </row>
    <row r="30972" spans="18:19">
      <c r="R30972" s="178"/>
      <c r="S30972" s="178"/>
    </row>
    <row r="30973" spans="18:19">
      <c r="R30973" s="178"/>
      <c r="S30973" s="178"/>
    </row>
    <row r="30974" spans="18:19">
      <c r="R30974" s="178"/>
      <c r="S30974" s="178"/>
    </row>
    <row r="30975" spans="18:19">
      <c r="R30975" s="178"/>
      <c r="S30975" s="178"/>
    </row>
    <row r="30976" spans="18:19">
      <c r="R30976" s="178"/>
      <c r="S30976" s="178"/>
    </row>
    <row r="30977" spans="18:19">
      <c r="R30977" s="178"/>
      <c r="S30977" s="178"/>
    </row>
    <row r="30978" spans="18:19">
      <c r="R30978" s="178"/>
      <c r="S30978" s="178"/>
    </row>
    <row r="30979" spans="18:19">
      <c r="R30979" s="178"/>
      <c r="S30979" s="178"/>
    </row>
    <row r="30980" spans="18:19">
      <c r="R30980" s="178"/>
      <c r="S30980" s="178"/>
    </row>
    <row r="30981" spans="18:19">
      <c r="R30981" s="178"/>
      <c r="S30981" s="178"/>
    </row>
    <row r="30982" spans="18:19">
      <c r="R30982" s="178"/>
      <c r="S30982" s="178"/>
    </row>
    <row r="30983" spans="18:19">
      <c r="R30983" s="178"/>
      <c r="S30983" s="178"/>
    </row>
    <row r="30984" spans="18:19">
      <c r="R30984" s="178"/>
      <c r="S30984" s="178"/>
    </row>
    <row r="30985" spans="18:19">
      <c r="R30985" s="178"/>
      <c r="S30985" s="178"/>
    </row>
    <row r="30986" spans="18:19">
      <c r="R30986" s="178"/>
      <c r="S30986" s="178"/>
    </row>
    <row r="30987" spans="18:19">
      <c r="R30987" s="178"/>
      <c r="S30987" s="178"/>
    </row>
    <row r="30988" spans="18:19">
      <c r="R30988" s="178"/>
      <c r="S30988" s="178"/>
    </row>
    <row r="30989" spans="18:19">
      <c r="R30989" s="178"/>
      <c r="S30989" s="178"/>
    </row>
    <row r="30990" spans="18:19">
      <c r="R30990" s="178"/>
      <c r="S30990" s="178"/>
    </row>
    <row r="30991" spans="18:19">
      <c r="R30991" s="178"/>
      <c r="S30991" s="178"/>
    </row>
    <row r="30992" spans="18:19">
      <c r="R30992" s="178"/>
      <c r="S30992" s="178"/>
    </row>
    <row r="30993" spans="18:19">
      <c r="R30993" s="178"/>
      <c r="S30993" s="178"/>
    </row>
    <row r="30994" spans="18:19">
      <c r="R30994" s="178"/>
      <c r="S30994" s="178"/>
    </row>
    <row r="30995" spans="18:19">
      <c r="R30995" s="178"/>
      <c r="S30995" s="178"/>
    </row>
    <row r="30996" spans="18:19">
      <c r="R30996" s="178"/>
      <c r="S30996" s="178"/>
    </row>
    <row r="30997" spans="18:19">
      <c r="R30997" s="178"/>
      <c r="S30997" s="178"/>
    </row>
    <row r="30998" spans="18:19">
      <c r="R30998" s="178"/>
      <c r="S30998" s="178"/>
    </row>
    <row r="30999" spans="18:19">
      <c r="R30999" s="178"/>
      <c r="S30999" s="178"/>
    </row>
    <row r="31000" spans="18:19">
      <c r="R31000" s="178"/>
      <c r="S31000" s="178"/>
    </row>
    <row r="31001" spans="18:19">
      <c r="R31001" s="178"/>
      <c r="S31001" s="178"/>
    </row>
    <row r="31002" spans="18:19">
      <c r="R31002" s="178"/>
      <c r="S31002" s="178"/>
    </row>
    <row r="31003" spans="18:19">
      <c r="R31003" s="178"/>
      <c r="S31003" s="178"/>
    </row>
    <row r="31004" spans="18:19">
      <c r="R31004" s="178"/>
      <c r="S31004" s="178"/>
    </row>
    <row r="31005" spans="18:19">
      <c r="R31005" s="178"/>
      <c r="S31005" s="178"/>
    </row>
    <row r="31006" spans="18:19">
      <c r="R31006" s="178"/>
      <c r="S31006" s="178"/>
    </row>
    <row r="31007" spans="18:19">
      <c r="R31007" s="178"/>
      <c r="S31007" s="178"/>
    </row>
    <row r="31008" spans="18:19">
      <c r="R31008" s="178"/>
      <c r="S31008" s="178"/>
    </row>
    <row r="31009" spans="18:19">
      <c r="R31009" s="178"/>
      <c r="S31009" s="178"/>
    </row>
    <row r="31010" spans="18:19">
      <c r="R31010" s="178"/>
      <c r="S31010" s="178"/>
    </row>
    <row r="31011" spans="18:19">
      <c r="R31011" s="178"/>
      <c r="S31011" s="178"/>
    </row>
    <row r="31012" spans="18:19">
      <c r="R31012" s="178"/>
      <c r="S31012" s="178"/>
    </row>
    <row r="31013" spans="18:19">
      <c r="R31013" s="178"/>
      <c r="S31013" s="178"/>
    </row>
    <row r="31014" spans="18:19">
      <c r="R31014" s="178"/>
      <c r="S31014" s="178"/>
    </row>
    <row r="31015" spans="18:19">
      <c r="R31015" s="178"/>
      <c r="S31015" s="178"/>
    </row>
    <row r="31016" spans="18:19">
      <c r="R31016" s="178"/>
      <c r="S31016" s="178"/>
    </row>
    <row r="31017" spans="18:19">
      <c r="R31017" s="178"/>
      <c r="S31017" s="178"/>
    </row>
    <row r="31018" spans="18:19">
      <c r="R31018" s="178"/>
      <c r="S31018" s="178"/>
    </row>
    <row r="31019" spans="18:19">
      <c r="R31019" s="178"/>
      <c r="S31019" s="178"/>
    </row>
    <row r="31020" spans="18:19">
      <c r="R31020" s="178"/>
      <c r="S31020" s="178"/>
    </row>
    <row r="31021" spans="18:19">
      <c r="R31021" s="178"/>
      <c r="S31021" s="178"/>
    </row>
    <row r="31022" spans="18:19">
      <c r="R31022" s="178"/>
      <c r="S31022" s="178"/>
    </row>
    <row r="31023" spans="18:19">
      <c r="R31023" s="178"/>
      <c r="S31023" s="178"/>
    </row>
    <row r="31024" spans="18:19">
      <c r="R31024" s="178"/>
      <c r="S31024" s="178"/>
    </row>
    <row r="31025" spans="18:19">
      <c r="R31025" s="178"/>
      <c r="S31025" s="178"/>
    </row>
    <row r="31026" spans="18:19">
      <c r="R31026" s="178"/>
      <c r="S31026" s="178"/>
    </row>
    <row r="31027" spans="18:19">
      <c r="R31027" s="178"/>
      <c r="S31027" s="178"/>
    </row>
    <row r="31028" spans="18:19">
      <c r="R31028" s="178"/>
      <c r="S31028" s="178"/>
    </row>
    <row r="31029" spans="18:19">
      <c r="R31029" s="178"/>
      <c r="S31029" s="178"/>
    </row>
    <row r="31030" spans="18:19">
      <c r="R31030" s="178"/>
      <c r="S31030" s="178"/>
    </row>
    <row r="31031" spans="18:19">
      <c r="R31031" s="178"/>
      <c r="S31031" s="178"/>
    </row>
    <row r="31032" spans="18:19">
      <c r="R31032" s="178"/>
      <c r="S31032" s="178"/>
    </row>
    <row r="31033" spans="18:19">
      <c r="R31033" s="178"/>
      <c r="S31033" s="178"/>
    </row>
    <row r="31034" spans="18:19">
      <c r="R31034" s="178"/>
      <c r="S31034" s="178"/>
    </row>
    <row r="31035" spans="18:19">
      <c r="R31035" s="178"/>
      <c r="S31035" s="178"/>
    </row>
    <row r="31036" spans="18:19">
      <c r="R31036" s="178"/>
      <c r="S31036" s="178"/>
    </row>
    <row r="31037" spans="18:19">
      <c r="R31037" s="178"/>
      <c r="S31037" s="178"/>
    </row>
    <row r="31038" spans="18:19">
      <c r="R31038" s="178"/>
      <c r="S31038" s="178"/>
    </row>
    <row r="31039" spans="18:19">
      <c r="R31039" s="178"/>
      <c r="S31039" s="178"/>
    </row>
    <row r="31040" spans="18:19">
      <c r="R31040" s="178"/>
      <c r="S31040" s="178"/>
    </row>
    <row r="31041" spans="18:19">
      <c r="R31041" s="178"/>
      <c r="S31041" s="178"/>
    </row>
    <row r="31042" spans="18:19">
      <c r="R31042" s="178"/>
      <c r="S31042" s="178"/>
    </row>
    <row r="31043" spans="18:19">
      <c r="R31043" s="178"/>
      <c r="S31043" s="178"/>
    </row>
    <row r="31044" spans="18:19">
      <c r="R31044" s="178"/>
      <c r="S31044" s="178"/>
    </row>
    <row r="31045" spans="18:19">
      <c r="R31045" s="178"/>
      <c r="S31045" s="178"/>
    </row>
    <row r="31046" spans="18:19">
      <c r="R31046" s="178"/>
      <c r="S31046" s="178"/>
    </row>
    <row r="31047" spans="18:19">
      <c r="R31047" s="178"/>
      <c r="S31047" s="178"/>
    </row>
    <row r="31048" spans="18:19">
      <c r="R31048" s="178"/>
      <c r="S31048" s="178"/>
    </row>
    <row r="31049" spans="18:19">
      <c r="R31049" s="178"/>
      <c r="S31049" s="178"/>
    </row>
    <row r="31050" spans="18:19">
      <c r="R31050" s="178"/>
      <c r="S31050" s="178"/>
    </row>
    <row r="31051" spans="18:19">
      <c r="R31051" s="178"/>
      <c r="S31051" s="178"/>
    </row>
    <row r="31052" spans="18:19">
      <c r="R31052" s="178"/>
      <c r="S31052" s="178"/>
    </row>
    <row r="31053" spans="18:19">
      <c r="R31053" s="178"/>
      <c r="S31053" s="178"/>
    </row>
    <row r="31054" spans="18:19">
      <c r="R31054" s="178"/>
      <c r="S31054" s="178"/>
    </row>
    <row r="31055" spans="18:19">
      <c r="R31055" s="178"/>
      <c r="S31055" s="178"/>
    </row>
    <row r="31056" spans="18:19">
      <c r="R31056" s="178"/>
      <c r="S31056" s="178"/>
    </row>
    <row r="31057" spans="18:19">
      <c r="R31057" s="178"/>
      <c r="S31057" s="178"/>
    </row>
    <row r="31058" spans="18:19">
      <c r="R31058" s="178"/>
      <c r="S31058" s="178"/>
    </row>
    <row r="31059" spans="18:19">
      <c r="R31059" s="178"/>
      <c r="S31059" s="178"/>
    </row>
    <row r="31060" spans="18:19">
      <c r="R31060" s="178"/>
      <c r="S31060" s="178"/>
    </row>
    <row r="31061" spans="18:19">
      <c r="R31061" s="178"/>
      <c r="S31061" s="178"/>
    </row>
    <row r="31062" spans="18:19">
      <c r="R31062" s="178"/>
      <c r="S31062" s="178"/>
    </row>
    <row r="31063" spans="18:19">
      <c r="R31063" s="178"/>
      <c r="S31063" s="178"/>
    </row>
    <row r="31064" spans="18:19">
      <c r="R31064" s="178"/>
      <c r="S31064" s="178"/>
    </row>
    <row r="31065" spans="18:19">
      <c r="R31065" s="178"/>
      <c r="S31065" s="178"/>
    </row>
    <row r="31066" spans="18:19">
      <c r="R31066" s="178"/>
      <c r="S31066" s="178"/>
    </row>
    <row r="31067" spans="18:19">
      <c r="R31067" s="178"/>
      <c r="S31067" s="178"/>
    </row>
    <row r="31068" spans="18:19">
      <c r="R31068" s="178"/>
      <c r="S31068" s="178"/>
    </row>
    <row r="31069" spans="18:19">
      <c r="R31069" s="178"/>
      <c r="S31069" s="178"/>
    </row>
    <row r="31070" spans="18:19">
      <c r="R31070" s="178"/>
      <c r="S31070" s="178"/>
    </row>
    <row r="31071" spans="18:19">
      <c r="R31071" s="178"/>
      <c r="S31071" s="178"/>
    </row>
    <row r="31072" spans="18:19">
      <c r="R31072" s="178"/>
      <c r="S31072" s="178"/>
    </row>
    <row r="31073" spans="18:19">
      <c r="R31073" s="178"/>
      <c r="S31073" s="178"/>
    </row>
    <row r="31074" spans="18:19">
      <c r="R31074" s="178"/>
      <c r="S31074" s="178"/>
    </row>
    <row r="31075" spans="18:19">
      <c r="R31075" s="178"/>
      <c r="S31075" s="178"/>
    </row>
    <row r="31076" spans="18:19">
      <c r="R31076" s="178"/>
      <c r="S31076" s="178"/>
    </row>
    <row r="31077" spans="18:19">
      <c r="R31077" s="178"/>
      <c r="S31077" s="178"/>
    </row>
    <row r="31078" spans="18:19">
      <c r="R31078" s="178"/>
      <c r="S31078" s="178"/>
    </row>
    <row r="31079" spans="18:19">
      <c r="R31079" s="178"/>
      <c r="S31079" s="178"/>
    </row>
    <row r="31080" spans="18:19">
      <c r="R31080" s="178"/>
      <c r="S31080" s="178"/>
    </row>
    <row r="31081" spans="18:19">
      <c r="R31081" s="178"/>
      <c r="S31081" s="178"/>
    </row>
    <row r="31082" spans="18:19">
      <c r="R31082" s="178"/>
      <c r="S31082" s="178"/>
    </row>
    <row r="31083" spans="18:19">
      <c r="R31083" s="178"/>
      <c r="S31083" s="178"/>
    </row>
    <row r="31084" spans="18:19">
      <c r="R31084" s="178"/>
      <c r="S31084" s="178"/>
    </row>
    <row r="31085" spans="18:19">
      <c r="R31085" s="178"/>
      <c r="S31085" s="178"/>
    </row>
    <row r="31086" spans="18:19">
      <c r="R31086" s="178"/>
      <c r="S31086" s="178"/>
    </row>
    <row r="31087" spans="18:19">
      <c r="R31087" s="178"/>
      <c r="S31087" s="178"/>
    </row>
    <row r="31088" spans="18:19">
      <c r="R31088" s="178"/>
      <c r="S31088" s="178"/>
    </row>
    <row r="31089" spans="18:19">
      <c r="R31089" s="178"/>
      <c r="S31089" s="178"/>
    </row>
    <row r="31090" spans="18:19">
      <c r="R31090" s="178"/>
      <c r="S31090" s="178"/>
    </row>
    <row r="31091" spans="18:19">
      <c r="R31091" s="178"/>
      <c r="S31091" s="178"/>
    </row>
    <row r="31092" spans="18:19">
      <c r="R31092" s="178"/>
      <c r="S31092" s="178"/>
    </row>
    <row r="31093" spans="18:19">
      <c r="R31093" s="178"/>
      <c r="S31093" s="178"/>
    </row>
    <row r="31094" spans="18:19">
      <c r="R31094" s="178"/>
      <c r="S31094" s="178"/>
    </row>
    <row r="31095" spans="18:19">
      <c r="R31095" s="178"/>
      <c r="S31095" s="178"/>
    </row>
    <row r="31096" spans="18:19">
      <c r="R31096" s="178"/>
      <c r="S31096" s="178"/>
    </row>
    <row r="31097" spans="18:19">
      <c r="R31097" s="178"/>
      <c r="S31097" s="178"/>
    </row>
    <row r="31098" spans="18:19">
      <c r="R31098" s="178"/>
      <c r="S31098" s="178"/>
    </row>
    <row r="31099" spans="18:19">
      <c r="R31099" s="178"/>
      <c r="S31099" s="178"/>
    </row>
    <row r="31100" spans="18:19">
      <c r="R31100" s="178"/>
      <c r="S31100" s="178"/>
    </row>
    <row r="31101" spans="18:19">
      <c r="R31101" s="178"/>
      <c r="S31101" s="178"/>
    </row>
    <row r="31102" spans="18:19">
      <c r="R31102" s="178"/>
      <c r="S31102" s="178"/>
    </row>
    <row r="31103" spans="18:19">
      <c r="R31103" s="178"/>
      <c r="S31103" s="178"/>
    </row>
    <row r="31104" spans="18:19">
      <c r="R31104" s="178"/>
      <c r="S31104" s="178"/>
    </row>
    <row r="31105" spans="18:19">
      <c r="R31105" s="178"/>
      <c r="S31105" s="178"/>
    </row>
    <row r="31106" spans="18:19">
      <c r="R31106" s="178"/>
      <c r="S31106" s="178"/>
    </row>
    <row r="31107" spans="18:19">
      <c r="R31107" s="178"/>
      <c r="S31107" s="178"/>
    </row>
    <row r="31108" spans="18:19">
      <c r="R31108" s="178"/>
      <c r="S31108" s="178"/>
    </row>
    <row r="31109" spans="18:19">
      <c r="R31109" s="178"/>
      <c r="S31109" s="178"/>
    </row>
    <row r="31110" spans="18:19">
      <c r="R31110" s="178"/>
      <c r="S31110" s="178"/>
    </row>
    <row r="31111" spans="18:19">
      <c r="R31111" s="178"/>
      <c r="S31111" s="178"/>
    </row>
    <row r="31112" spans="18:19">
      <c r="R31112" s="178"/>
      <c r="S31112" s="178"/>
    </row>
    <row r="31113" spans="18:19">
      <c r="R31113" s="178"/>
      <c r="S31113" s="178"/>
    </row>
    <row r="31114" spans="18:19">
      <c r="R31114" s="178"/>
      <c r="S31114" s="178"/>
    </row>
    <row r="31115" spans="18:19">
      <c r="R31115" s="178"/>
      <c r="S31115" s="178"/>
    </row>
    <row r="31116" spans="18:19">
      <c r="R31116" s="178"/>
      <c r="S31116" s="178"/>
    </row>
    <row r="31117" spans="18:19">
      <c r="R31117" s="178"/>
      <c r="S31117" s="178"/>
    </row>
    <row r="31118" spans="18:19">
      <c r="R31118" s="178"/>
      <c r="S31118" s="178"/>
    </row>
    <row r="31119" spans="18:19">
      <c r="R31119" s="178"/>
      <c r="S31119" s="178"/>
    </row>
    <row r="31120" spans="18:19">
      <c r="R31120" s="178"/>
      <c r="S31120" s="178"/>
    </row>
    <row r="31121" spans="18:19">
      <c r="R31121" s="178"/>
      <c r="S31121" s="178"/>
    </row>
    <row r="31122" spans="18:19">
      <c r="R31122" s="178"/>
      <c r="S31122" s="178"/>
    </row>
    <row r="31123" spans="18:19">
      <c r="R31123" s="178"/>
      <c r="S31123" s="178"/>
    </row>
    <row r="31124" spans="18:19">
      <c r="R31124" s="178"/>
      <c r="S31124" s="178"/>
    </row>
    <row r="31125" spans="18:19">
      <c r="R31125" s="178"/>
      <c r="S31125" s="178"/>
    </row>
    <row r="31126" spans="18:19">
      <c r="R31126" s="178"/>
      <c r="S31126" s="178"/>
    </row>
    <row r="31127" spans="18:19">
      <c r="R31127" s="178"/>
      <c r="S31127" s="178"/>
    </row>
    <row r="31128" spans="18:19">
      <c r="R31128" s="178"/>
      <c r="S31128" s="178"/>
    </row>
    <row r="31129" spans="18:19">
      <c r="R31129" s="178"/>
      <c r="S31129" s="178"/>
    </row>
    <row r="31130" spans="18:19">
      <c r="R31130" s="178"/>
      <c r="S31130" s="178"/>
    </row>
    <row r="31131" spans="18:19">
      <c r="R31131" s="178"/>
      <c r="S31131" s="178"/>
    </row>
    <row r="31132" spans="18:19">
      <c r="R31132" s="178"/>
      <c r="S31132" s="178"/>
    </row>
    <row r="31133" spans="18:19">
      <c r="R31133" s="178"/>
      <c r="S31133" s="178"/>
    </row>
    <row r="31134" spans="18:19">
      <c r="R31134" s="178"/>
      <c r="S31134" s="178"/>
    </row>
    <row r="31135" spans="18:19">
      <c r="R31135" s="178"/>
      <c r="S31135" s="178"/>
    </row>
    <row r="31136" spans="18:19">
      <c r="R31136" s="178"/>
      <c r="S31136" s="178"/>
    </row>
    <row r="31137" spans="18:19">
      <c r="R31137" s="178"/>
      <c r="S31137" s="178"/>
    </row>
    <row r="31138" spans="18:19">
      <c r="R31138" s="178"/>
      <c r="S31138" s="178"/>
    </row>
    <row r="31139" spans="18:19">
      <c r="R31139" s="178"/>
      <c r="S31139" s="178"/>
    </row>
    <row r="31140" spans="18:19">
      <c r="R31140" s="178"/>
      <c r="S31140" s="178"/>
    </row>
    <row r="31141" spans="18:19">
      <c r="R31141" s="178"/>
      <c r="S31141" s="178"/>
    </row>
    <row r="31142" spans="18:19">
      <c r="R31142" s="178"/>
      <c r="S31142" s="178"/>
    </row>
    <row r="31143" spans="18:19">
      <c r="R31143" s="178"/>
      <c r="S31143" s="178"/>
    </row>
    <row r="31144" spans="18:19">
      <c r="R31144" s="178"/>
      <c r="S31144" s="178"/>
    </row>
    <row r="31145" spans="18:19">
      <c r="R31145" s="178"/>
      <c r="S31145" s="178"/>
    </row>
    <row r="31146" spans="18:19">
      <c r="R31146" s="178"/>
      <c r="S31146" s="178"/>
    </row>
    <row r="31147" spans="18:19">
      <c r="R31147" s="178"/>
      <c r="S31147" s="178"/>
    </row>
    <row r="31148" spans="18:19">
      <c r="R31148" s="178"/>
      <c r="S31148" s="178"/>
    </row>
    <row r="31149" spans="18:19">
      <c r="R31149" s="178"/>
      <c r="S31149" s="178"/>
    </row>
    <row r="31150" spans="18:19">
      <c r="R31150" s="178"/>
      <c r="S31150" s="178"/>
    </row>
    <row r="31151" spans="18:19">
      <c r="R31151" s="178"/>
      <c r="S31151" s="178"/>
    </row>
    <row r="31152" spans="18:19">
      <c r="R31152" s="178"/>
      <c r="S31152" s="178"/>
    </row>
    <row r="31153" spans="18:19">
      <c r="R31153" s="178"/>
      <c r="S31153" s="178"/>
    </row>
    <row r="31154" spans="18:19">
      <c r="R31154" s="178"/>
      <c r="S31154" s="178"/>
    </row>
    <row r="31155" spans="18:19">
      <c r="R31155" s="178"/>
      <c r="S31155" s="178"/>
    </row>
    <row r="31156" spans="18:19">
      <c r="R31156" s="178"/>
      <c r="S31156" s="178"/>
    </row>
    <row r="31157" spans="18:19">
      <c r="R31157" s="178"/>
      <c r="S31157" s="178"/>
    </row>
    <row r="31158" spans="18:19">
      <c r="R31158" s="178"/>
      <c r="S31158" s="178"/>
    </row>
    <row r="31159" spans="18:19">
      <c r="R31159" s="178"/>
      <c r="S31159" s="178"/>
    </row>
    <row r="31160" spans="18:19">
      <c r="R31160" s="178"/>
      <c r="S31160" s="178"/>
    </row>
    <row r="31161" spans="18:19">
      <c r="R31161" s="178"/>
      <c r="S31161" s="178"/>
    </row>
    <row r="31162" spans="18:19">
      <c r="R31162" s="178"/>
      <c r="S31162" s="178"/>
    </row>
    <row r="31163" spans="18:19">
      <c r="R31163" s="178"/>
      <c r="S31163" s="178"/>
    </row>
    <row r="31164" spans="18:19">
      <c r="R31164" s="178"/>
      <c r="S31164" s="178"/>
    </row>
    <row r="31165" spans="18:19">
      <c r="R31165" s="178"/>
      <c r="S31165" s="178"/>
    </row>
    <row r="31166" spans="18:19">
      <c r="R31166" s="178"/>
      <c r="S31166" s="178"/>
    </row>
    <row r="31167" spans="18:19">
      <c r="R31167" s="178"/>
      <c r="S31167" s="178"/>
    </row>
    <row r="31168" spans="18:19">
      <c r="R31168" s="178"/>
      <c r="S31168" s="178"/>
    </row>
    <row r="31169" spans="18:19">
      <c r="R31169" s="178"/>
      <c r="S31169" s="178"/>
    </row>
    <row r="31170" spans="18:19">
      <c r="R31170" s="178"/>
      <c r="S31170" s="178"/>
    </row>
    <row r="31171" spans="18:19">
      <c r="R31171" s="178"/>
      <c r="S31171" s="178"/>
    </row>
    <row r="31172" spans="18:19">
      <c r="R31172" s="178"/>
      <c r="S31172" s="178"/>
    </row>
    <row r="31173" spans="18:19">
      <c r="R31173" s="178"/>
      <c r="S31173" s="178"/>
    </row>
    <row r="31174" spans="18:19">
      <c r="R31174" s="178"/>
      <c r="S31174" s="178"/>
    </row>
    <row r="31175" spans="18:19">
      <c r="R31175" s="178"/>
      <c r="S31175" s="178"/>
    </row>
    <row r="31176" spans="18:19">
      <c r="R31176" s="178"/>
      <c r="S31176" s="178"/>
    </row>
    <row r="31177" spans="18:19">
      <c r="R31177" s="178"/>
      <c r="S31177" s="178"/>
    </row>
    <row r="31178" spans="18:19">
      <c r="R31178" s="178"/>
      <c r="S31178" s="178"/>
    </row>
    <row r="31179" spans="18:19">
      <c r="R31179" s="178"/>
      <c r="S31179" s="178"/>
    </row>
    <row r="31180" spans="18:19">
      <c r="R31180" s="178"/>
      <c r="S31180" s="178"/>
    </row>
    <row r="31181" spans="18:19">
      <c r="R31181" s="178"/>
      <c r="S31181" s="178"/>
    </row>
    <row r="31182" spans="18:19">
      <c r="R31182" s="178"/>
      <c r="S31182" s="178"/>
    </row>
    <row r="31183" spans="18:19">
      <c r="R31183" s="178"/>
      <c r="S31183" s="178"/>
    </row>
    <row r="31184" spans="18:19">
      <c r="R31184" s="178"/>
      <c r="S31184" s="178"/>
    </row>
    <row r="31185" spans="18:19">
      <c r="R31185" s="178"/>
      <c r="S31185" s="178"/>
    </row>
    <row r="31186" spans="18:19">
      <c r="R31186" s="178"/>
      <c r="S31186" s="178"/>
    </row>
    <row r="31187" spans="18:19">
      <c r="R31187" s="178"/>
      <c r="S31187" s="178"/>
    </row>
    <row r="31188" spans="18:19">
      <c r="R31188" s="178"/>
      <c r="S31188" s="178"/>
    </row>
    <row r="31189" spans="18:19">
      <c r="R31189" s="178"/>
      <c r="S31189" s="178"/>
    </row>
    <row r="31190" spans="18:19">
      <c r="R31190" s="178"/>
      <c r="S31190" s="178"/>
    </row>
    <row r="31191" spans="18:19">
      <c r="R31191" s="178"/>
      <c r="S31191" s="178"/>
    </row>
    <row r="31192" spans="18:19">
      <c r="R31192" s="178"/>
      <c r="S31192" s="178"/>
    </row>
    <row r="31193" spans="18:19">
      <c r="R31193" s="178"/>
      <c r="S31193" s="178"/>
    </row>
    <row r="31194" spans="18:19">
      <c r="R31194" s="178"/>
      <c r="S31194" s="178"/>
    </row>
    <row r="31195" spans="18:19">
      <c r="R31195" s="178"/>
      <c r="S31195" s="178"/>
    </row>
    <row r="31196" spans="18:19">
      <c r="R31196" s="178"/>
      <c r="S31196" s="178"/>
    </row>
    <row r="31197" spans="18:19">
      <c r="R31197" s="178"/>
      <c r="S31197" s="178"/>
    </row>
    <row r="31198" spans="18:19">
      <c r="R31198" s="178"/>
      <c r="S31198" s="178"/>
    </row>
    <row r="31199" spans="18:19">
      <c r="R31199" s="178"/>
      <c r="S31199" s="178"/>
    </row>
    <row r="31200" spans="18:19">
      <c r="R31200" s="178"/>
      <c r="S31200" s="178"/>
    </row>
    <row r="31201" spans="18:19">
      <c r="R31201" s="178"/>
      <c r="S31201" s="178"/>
    </row>
    <row r="31202" spans="18:19">
      <c r="R31202" s="178"/>
      <c r="S31202" s="178"/>
    </row>
    <row r="31203" spans="18:19">
      <c r="R31203" s="178"/>
      <c r="S31203" s="178"/>
    </row>
    <row r="31204" spans="18:19">
      <c r="R31204" s="178"/>
      <c r="S31204" s="178"/>
    </row>
    <row r="31205" spans="18:19">
      <c r="R31205" s="178"/>
      <c r="S31205" s="178"/>
    </row>
    <row r="31206" spans="18:19">
      <c r="R31206" s="178"/>
      <c r="S31206" s="178"/>
    </row>
    <row r="31207" spans="18:19">
      <c r="R31207" s="178"/>
      <c r="S31207" s="178"/>
    </row>
    <row r="31208" spans="18:19">
      <c r="R31208" s="178"/>
      <c r="S31208" s="178"/>
    </row>
    <row r="31209" spans="18:19">
      <c r="R31209" s="178"/>
      <c r="S31209" s="178"/>
    </row>
    <row r="31210" spans="18:19">
      <c r="R31210" s="178"/>
      <c r="S31210" s="178"/>
    </row>
    <row r="31211" spans="18:19">
      <c r="R31211" s="178"/>
      <c r="S31211" s="178"/>
    </row>
    <row r="31212" spans="18:19">
      <c r="R31212" s="178"/>
      <c r="S31212" s="178"/>
    </row>
    <row r="31213" spans="18:19">
      <c r="R31213" s="178"/>
      <c r="S31213" s="178"/>
    </row>
    <row r="31214" spans="18:19">
      <c r="R31214" s="178"/>
      <c r="S31214" s="178"/>
    </row>
    <row r="31215" spans="18:19">
      <c r="R31215" s="178"/>
      <c r="S31215" s="178"/>
    </row>
    <row r="31216" spans="18:19">
      <c r="R31216" s="178"/>
      <c r="S31216" s="178"/>
    </row>
    <row r="31217" spans="18:19">
      <c r="R31217" s="178"/>
      <c r="S31217" s="178"/>
    </row>
    <row r="31218" spans="18:19">
      <c r="R31218" s="178"/>
      <c r="S31218" s="178"/>
    </row>
    <row r="31219" spans="18:19">
      <c r="R31219" s="178"/>
      <c r="S31219" s="178"/>
    </row>
    <row r="31220" spans="18:19">
      <c r="R31220" s="178"/>
      <c r="S31220" s="178"/>
    </row>
    <row r="31221" spans="18:19">
      <c r="R31221" s="178"/>
      <c r="S31221" s="178"/>
    </row>
    <row r="31222" spans="18:19">
      <c r="R31222" s="178"/>
      <c r="S31222" s="178"/>
    </row>
    <row r="31223" spans="18:19">
      <c r="R31223" s="178"/>
      <c r="S31223" s="178"/>
    </row>
    <row r="31224" spans="18:19">
      <c r="R31224" s="178"/>
      <c r="S31224" s="178"/>
    </row>
    <row r="31225" spans="18:19">
      <c r="R31225" s="178"/>
      <c r="S31225" s="178"/>
    </row>
    <row r="31226" spans="18:19">
      <c r="R31226" s="178"/>
      <c r="S31226" s="178"/>
    </row>
    <row r="31227" spans="18:19">
      <c r="R31227" s="178"/>
      <c r="S31227" s="178"/>
    </row>
    <row r="31228" spans="18:19">
      <c r="R31228" s="178"/>
      <c r="S31228" s="178"/>
    </row>
    <row r="31229" spans="18:19">
      <c r="R31229" s="178"/>
      <c r="S31229" s="178"/>
    </row>
    <row r="31230" spans="18:19">
      <c r="R31230" s="178"/>
      <c r="S31230" s="178"/>
    </row>
    <row r="31231" spans="18:19">
      <c r="R31231" s="178"/>
      <c r="S31231" s="178"/>
    </row>
    <row r="31232" spans="18:19">
      <c r="R31232" s="178"/>
      <c r="S31232" s="178"/>
    </row>
    <row r="31233" spans="18:19">
      <c r="R31233" s="178"/>
      <c r="S31233" s="178"/>
    </row>
    <row r="31234" spans="18:19">
      <c r="R31234" s="178"/>
      <c r="S31234" s="178"/>
    </row>
    <row r="31235" spans="18:19">
      <c r="R31235" s="178"/>
      <c r="S31235" s="178"/>
    </row>
    <row r="31236" spans="18:19">
      <c r="R31236" s="178"/>
      <c r="S31236" s="178"/>
    </row>
    <row r="31237" spans="18:19">
      <c r="R31237" s="178"/>
      <c r="S31237" s="178"/>
    </row>
    <row r="31238" spans="18:19">
      <c r="R31238" s="178"/>
      <c r="S31238" s="178"/>
    </row>
    <row r="31239" spans="18:19">
      <c r="R31239" s="178"/>
      <c r="S31239" s="178"/>
    </row>
    <row r="31240" spans="18:19">
      <c r="R31240" s="178"/>
      <c r="S31240" s="178"/>
    </row>
    <row r="31241" spans="18:19">
      <c r="R31241" s="178"/>
      <c r="S31241" s="178"/>
    </row>
    <row r="31242" spans="18:19">
      <c r="R31242" s="178"/>
      <c r="S31242" s="178"/>
    </row>
    <row r="31243" spans="18:19">
      <c r="R31243" s="178"/>
      <c r="S31243" s="178"/>
    </row>
    <row r="31244" spans="18:19">
      <c r="R31244" s="178"/>
      <c r="S31244" s="178"/>
    </row>
    <row r="31245" spans="18:19">
      <c r="R31245" s="178"/>
      <c r="S31245" s="178"/>
    </row>
    <row r="31246" spans="18:19">
      <c r="R31246" s="178"/>
      <c r="S31246" s="178"/>
    </row>
    <row r="31247" spans="18:19">
      <c r="R31247" s="178"/>
      <c r="S31247" s="178"/>
    </row>
    <row r="31248" spans="18:19">
      <c r="R31248" s="178"/>
      <c r="S31248" s="178"/>
    </row>
    <row r="31249" spans="18:19">
      <c r="R31249" s="178"/>
      <c r="S31249" s="178"/>
    </row>
    <row r="31250" spans="18:19">
      <c r="R31250" s="178"/>
      <c r="S31250" s="178"/>
    </row>
    <row r="31251" spans="18:19">
      <c r="R31251" s="178"/>
      <c r="S31251" s="178"/>
    </row>
    <row r="31252" spans="18:19">
      <c r="R31252" s="178"/>
      <c r="S31252" s="178"/>
    </row>
    <row r="31253" spans="18:19">
      <c r="R31253" s="178"/>
      <c r="S31253" s="178"/>
    </row>
    <row r="31254" spans="18:19">
      <c r="R31254" s="178"/>
      <c r="S31254" s="178"/>
    </row>
    <row r="31255" spans="18:19">
      <c r="R31255" s="178"/>
      <c r="S31255" s="178"/>
    </row>
    <row r="31256" spans="18:19">
      <c r="R31256" s="178"/>
      <c r="S31256" s="178"/>
    </row>
    <row r="31257" spans="18:19">
      <c r="R31257" s="178"/>
      <c r="S31257" s="178"/>
    </row>
    <row r="31258" spans="18:19">
      <c r="R31258" s="178"/>
      <c r="S31258" s="178"/>
    </row>
    <row r="31259" spans="18:19">
      <c r="R31259" s="178"/>
      <c r="S31259" s="178"/>
    </row>
    <row r="31260" spans="18:19">
      <c r="R31260" s="178"/>
      <c r="S31260" s="178"/>
    </row>
    <row r="31261" spans="18:19">
      <c r="R31261" s="178"/>
      <c r="S31261" s="178"/>
    </row>
    <row r="31262" spans="18:19">
      <c r="R31262" s="178"/>
      <c r="S31262" s="178"/>
    </row>
    <row r="31263" spans="18:19">
      <c r="R31263" s="178"/>
      <c r="S31263" s="178"/>
    </row>
    <row r="31264" spans="18:19">
      <c r="R31264" s="178"/>
      <c r="S31264" s="178"/>
    </row>
    <row r="31265" spans="18:19">
      <c r="R31265" s="178"/>
      <c r="S31265" s="178"/>
    </row>
    <row r="31266" spans="18:19">
      <c r="R31266" s="178"/>
      <c r="S31266" s="178"/>
    </row>
    <row r="31267" spans="18:19">
      <c r="R31267" s="178"/>
      <c r="S31267" s="178"/>
    </row>
    <row r="31268" spans="18:19">
      <c r="R31268" s="178"/>
      <c r="S31268" s="178"/>
    </row>
    <row r="31269" spans="18:19">
      <c r="R31269" s="178"/>
      <c r="S31269" s="178"/>
    </row>
    <row r="31270" spans="18:19">
      <c r="R31270" s="178"/>
      <c r="S31270" s="178"/>
    </row>
    <row r="31271" spans="18:19">
      <c r="R31271" s="178"/>
      <c r="S31271" s="178"/>
    </row>
    <row r="31272" spans="18:19">
      <c r="R31272" s="178"/>
      <c r="S31272" s="178"/>
    </row>
    <row r="31273" spans="18:19">
      <c r="R31273" s="178"/>
      <c r="S31273" s="178"/>
    </row>
    <row r="31274" spans="18:19">
      <c r="R31274" s="178"/>
      <c r="S31274" s="178"/>
    </row>
    <row r="31275" spans="18:19">
      <c r="R31275" s="178"/>
      <c r="S31275" s="178"/>
    </row>
    <row r="31276" spans="18:19">
      <c r="R31276" s="178"/>
      <c r="S31276" s="178"/>
    </row>
    <row r="31277" spans="18:19">
      <c r="R31277" s="178"/>
      <c r="S31277" s="178"/>
    </row>
    <row r="31278" spans="18:19">
      <c r="R31278" s="178"/>
      <c r="S31278" s="178"/>
    </row>
    <row r="31279" spans="18:19">
      <c r="R31279" s="178"/>
      <c r="S31279" s="178"/>
    </row>
    <row r="31280" spans="18:19">
      <c r="R31280" s="178"/>
      <c r="S31280" s="178"/>
    </row>
    <row r="31281" spans="18:19">
      <c r="R31281" s="178"/>
      <c r="S31281" s="178"/>
    </row>
    <row r="31282" spans="18:19">
      <c r="R31282" s="178"/>
      <c r="S31282" s="178"/>
    </row>
    <row r="31283" spans="18:19">
      <c r="R31283" s="178"/>
      <c r="S31283" s="178"/>
    </row>
    <row r="31284" spans="18:19">
      <c r="R31284" s="178"/>
      <c r="S31284" s="178"/>
    </row>
    <row r="31285" spans="18:19">
      <c r="R31285" s="178"/>
      <c r="S31285" s="178"/>
    </row>
    <row r="31286" spans="18:19">
      <c r="R31286" s="178"/>
      <c r="S31286" s="178"/>
    </row>
    <row r="31287" spans="18:19">
      <c r="R31287" s="178"/>
      <c r="S31287" s="178"/>
    </row>
    <row r="31288" spans="18:19">
      <c r="R31288" s="178"/>
      <c r="S31288" s="178"/>
    </row>
    <row r="31289" spans="18:19">
      <c r="R31289" s="178"/>
      <c r="S31289" s="178"/>
    </row>
    <row r="31290" spans="18:19">
      <c r="R31290" s="178"/>
      <c r="S31290" s="178"/>
    </row>
    <row r="31291" spans="18:19">
      <c r="R31291" s="178"/>
      <c r="S31291" s="178"/>
    </row>
    <row r="31292" spans="18:19">
      <c r="R31292" s="178"/>
      <c r="S31292" s="178"/>
    </row>
    <row r="31293" spans="18:19">
      <c r="R31293" s="178"/>
      <c r="S31293" s="178"/>
    </row>
    <row r="31294" spans="18:19">
      <c r="R31294" s="178"/>
      <c r="S31294" s="178"/>
    </row>
    <row r="31295" spans="18:19">
      <c r="R31295" s="178"/>
      <c r="S31295" s="178"/>
    </row>
    <row r="31296" spans="18:19">
      <c r="R31296" s="178"/>
      <c r="S31296" s="178"/>
    </row>
    <row r="31297" spans="18:19">
      <c r="R31297" s="178"/>
      <c r="S31297" s="178"/>
    </row>
    <row r="31298" spans="18:19">
      <c r="R31298" s="178"/>
      <c r="S31298" s="178"/>
    </row>
    <row r="31299" spans="18:19">
      <c r="R31299" s="178"/>
      <c r="S31299" s="178"/>
    </row>
    <row r="31300" spans="18:19">
      <c r="R31300" s="178"/>
      <c r="S31300" s="178"/>
    </row>
    <row r="31301" spans="18:19">
      <c r="R31301" s="178"/>
      <c r="S31301" s="178"/>
    </row>
    <row r="31302" spans="18:19">
      <c r="R31302" s="178"/>
      <c r="S31302" s="178"/>
    </row>
    <row r="31303" spans="18:19">
      <c r="R31303" s="178"/>
      <c r="S31303" s="178"/>
    </row>
    <row r="31304" spans="18:19">
      <c r="R31304" s="178"/>
      <c r="S31304" s="178"/>
    </row>
    <row r="31305" spans="18:19">
      <c r="R31305" s="178"/>
      <c r="S31305" s="178"/>
    </row>
    <row r="31306" spans="18:19">
      <c r="R31306" s="178"/>
      <c r="S31306" s="178"/>
    </row>
    <row r="31307" spans="18:19">
      <c r="R31307" s="178"/>
      <c r="S31307" s="178"/>
    </row>
    <row r="31308" spans="18:19">
      <c r="R31308" s="178"/>
      <c r="S31308" s="178"/>
    </row>
    <row r="31309" spans="18:19">
      <c r="R31309" s="178"/>
      <c r="S31309" s="178"/>
    </row>
    <row r="31310" spans="18:19">
      <c r="R31310" s="178"/>
      <c r="S31310" s="178"/>
    </row>
    <row r="31311" spans="18:19">
      <c r="R31311" s="178"/>
      <c r="S31311" s="178"/>
    </row>
    <row r="31312" spans="18:19">
      <c r="R31312" s="178"/>
      <c r="S31312" s="178"/>
    </row>
    <row r="31313" spans="18:19">
      <c r="R31313" s="178"/>
      <c r="S31313" s="178"/>
    </row>
    <row r="31314" spans="18:19">
      <c r="R31314" s="178"/>
      <c r="S31314" s="178"/>
    </row>
    <row r="31315" spans="18:19">
      <c r="R31315" s="178"/>
      <c r="S31315" s="178"/>
    </row>
    <row r="31316" spans="18:19">
      <c r="R31316" s="178"/>
      <c r="S31316" s="178"/>
    </row>
    <row r="31317" spans="18:19">
      <c r="R31317" s="178"/>
      <c r="S31317" s="178"/>
    </row>
    <row r="31318" spans="18:19">
      <c r="R31318" s="178"/>
      <c r="S31318" s="178"/>
    </row>
    <row r="31319" spans="18:19">
      <c r="R31319" s="178"/>
      <c r="S31319" s="178"/>
    </row>
    <row r="31320" spans="18:19">
      <c r="R31320" s="178"/>
      <c r="S31320" s="178"/>
    </row>
    <row r="31321" spans="18:19">
      <c r="R31321" s="178"/>
      <c r="S31321" s="178"/>
    </row>
    <row r="31322" spans="18:19">
      <c r="R31322" s="178"/>
      <c r="S31322" s="178"/>
    </row>
    <row r="31323" spans="18:19">
      <c r="R31323" s="178"/>
      <c r="S31323" s="178"/>
    </row>
    <row r="31324" spans="18:19">
      <c r="R31324" s="178"/>
      <c r="S31324" s="178"/>
    </row>
    <row r="31325" spans="18:19">
      <c r="R31325" s="178"/>
      <c r="S31325" s="178"/>
    </row>
    <row r="31326" spans="18:19">
      <c r="R31326" s="178"/>
      <c r="S31326" s="178"/>
    </row>
    <row r="31327" spans="18:19">
      <c r="R31327" s="178"/>
      <c r="S31327" s="178"/>
    </row>
    <row r="31328" spans="18:19">
      <c r="R31328" s="178"/>
      <c r="S31328" s="178"/>
    </row>
    <row r="31329" spans="18:19">
      <c r="R31329" s="178"/>
      <c r="S31329" s="178"/>
    </row>
    <row r="31330" spans="18:19">
      <c r="R31330" s="178"/>
      <c r="S31330" s="178"/>
    </row>
    <row r="31331" spans="18:19">
      <c r="R31331" s="178"/>
      <c r="S31331" s="178"/>
    </row>
    <row r="31332" spans="18:19">
      <c r="R31332" s="178"/>
      <c r="S31332" s="178"/>
    </row>
    <row r="31333" spans="18:19">
      <c r="R31333" s="178"/>
      <c r="S31333" s="178"/>
    </row>
    <row r="31334" spans="18:19">
      <c r="R31334" s="178"/>
      <c r="S31334" s="178"/>
    </row>
    <row r="31335" spans="18:19">
      <c r="R31335" s="178"/>
      <c r="S31335" s="178"/>
    </row>
    <row r="31336" spans="18:19">
      <c r="R31336" s="178"/>
      <c r="S31336" s="178"/>
    </row>
    <row r="31337" spans="18:19">
      <c r="R31337" s="178"/>
      <c r="S31337" s="178"/>
    </row>
    <row r="31338" spans="18:19">
      <c r="R31338" s="178"/>
      <c r="S31338" s="178"/>
    </row>
    <row r="31339" spans="18:19">
      <c r="R31339" s="178"/>
      <c r="S31339" s="178"/>
    </row>
    <row r="31340" spans="18:19">
      <c r="R31340" s="178"/>
      <c r="S31340" s="178"/>
    </row>
    <row r="31341" spans="18:19">
      <c r="R31341" s="178"/>
      <c r="S31341" s="178"/>
    </row>
    <row r="31342" spans="18:19">
      <c r="R31342" s="178"/>
      <c r="S31342" s="178"/>
    </row>
    <row r="31343" spans="18:19">
      <c r="R31343" s="178"/>
      <c r="S31343" s="178"/>
    </row>
    <row r="31344" spans="18:19">
      <c r="R31344" s="178"/>
      <c r="S31344" s="178"/>
    </row>
    <row r="31345" spans="18:19">
      <c r="R31345" s="178"/>
      <c r="S31345" s="178"/>
    </row>
    <row r="31346" spans="18:19">
      <c r="R31346" s="178"/>
      <c r="S31346" s="178"/>
    </row>
    <row r="31347" spans="18:19">
      <c r="R31347" s="178"/>
      <c r="S31347" s="178"/>
    </row>
    <row r="31348" spans="18:19">
      <c r="R31348" s="178"/>
      <c r="S31348" s="178"/>
    </row>
    <row r="31349" spans="18:19">
      <c r="R31349" s="178"/>
      <c r="S31349" s="178"/>
    </row>
    <row r="31350" spans="18:19">
      <c r="R31350" s="178"/>
      <c r="S31350" s="178"/>
    </row>
    <row r="31351" spans="18:19">
      <c r="R31351" s="178"/>
      <c r="S31351" s="178"/>
    </row>
    <row r="31352" spans="18:19">
      <c r="R31352" s="178"/>
      <c r="S31352" s="178"/>
    </row>
    <row r="31353" spans="18:19">
      <c r="R31353" s="178"/>
      <c r="S31353" s="178"/>
    </row>
    <row r="31354" spans="18:19">
      <c r="R31354" s="178"/>
      <c r="S31354" s="178"/>
    </row>
    <row r="31355" spans="18:19">
      <c r="R31355" s="178"/>
      <c r="S31355" s="178"/>
    </row>
    <row r="31356" spans="18:19">
      <c r="R31356" s="178"/>
      <c r="S31356" s="178"/>
    </row>
    <row r="31357" spans="18:19">
      <c r="R31357" s="178"/>
      <c r="S31357" s="178"/>
    </row>
    <row r="31358" spans="18:19">
      <c r="R31358" s="178"/>
      <c r="S31358" s="178"/>
    </row>
    <row r="31359" spans="18:19">
      <c r="R31359" s="178"/>
      <c r="S31359" s="178"/>
    </row>
    <row r="31360" spans="18:19">
      <c r="R31360" s="178"/>
      <c r="S31360" s="178"/>
    </row>
    <row r="31361" spans="18:19">
      <c r="R31361" s="178"/>
      <c r="S31361" s="178"/>
    </row>
    <row r="31362" spans="18:19">
      <c r="R31362" s="178"/>
      <c r="S31362" s="178"/>
    </row>
    <row r="31363" spans="18:19">
      <c r="R31363" s="178"/>
      <c r="S31363" s="178"/>
    </row>
    <row r="31364" spans="18:19">
      <c r="R31364" s="178"/>
      <c r="S31364" s="178"/>
    </row>
    <row r="31365" spans="18:19">
      <c r="R31365" s="178"/>
      <c r="S31365" s="178"/>
    </row>
    <row r="31366" spans="18:19">
      <c r="R31366" s="178"/>
      <c r="S31366" s="178"/>
    </row>
    <row r="31367" spans="18:19">
      <c r="R31367" s="178"/>
      <c r="S31367" s="178"/>
    </row>
    <row r="31368" spans="18:19">
      <c r="R31368" s="178"/>
      <c r="S31368" s="178"/>
    </row>
    <row r="31369" spans="18:19">
      <c r="R31369" s="178"/>
      <c r="S31369" s="178"/>
    </row>
    <row r="31370" spans="18:19">
      <c r="R31370" s="178"/>
      <c r="S31370" s="178"/>
    </row>
    <row r="31371" spans="18:19">
      <c r="R31371" s="178"/>
      <c r="S31371" s="178"/>
    </row>
    <row r="31372" spans="18:19">
      <c r="R31372" s="178"/>
      <c r="S31372" s="178"/>
    </row>
    <row r="31373" spans="18:19">
      <c r="R31373" s="178"/>
      <c r="S31373" s="178"/>
    </row>
    <row r="31374" spans="18:19">
      <c r="R31374" s="178"/>
      <c r="S31374" s="178"/>
    </row>
    <row r="31375" spans="18:19">
      <c r="R31375" s="178"/>
      <c r="S31375" s="178"/>
    </row>
    <row r="31376" spans="18:19">
      <c r="R31376" s="178"/>
      <c r="S31376" s="178"/>
    </row>
    <row r="31377" spans="18:19">
      <c r="R31377" s="178"/>
      <c r="S31377" s="178"/>
    </row>
    <row r="31378" spans="18:19">
      <c r="R31378" s="178"/>
      <c r="S31378" s="178"/>
    </row>
    <row r="31379" spans="18:19">
      <c r="R31379" s="178"/>
      <c r="S31379" s="178"/>
    </row>
    <row r="31380" spans="18:19">
      <c r="R31380" s="178"/>
      <c r="S31380" s="178"/>
    </row>
    <row r="31381" spans="18:19">
      <c r="R31381" s="178"/>
      <c r="S31381" s="178"/>
    </row>
    <row r="31382" spans="18:19">
      <c r="R31382" s="178"/>
      <c r="S31382" s="178"/>
    </row>
    <row r="31383" spans="18:19">
      <c r="R31383" s="178"/>
      <c r="S31383" s="178"/>
    </row>
    <row r="31384" spans="18:19">
      <c r="R31384" s="178"/>
      <c r="S31384" s="178"/>
    </row>
    <row r="31385" spans="18:19">
      <c r="R31385" s="178"/>
      <c r="S31385" s="178"/>
    </row>
    <row r="31386" spans="18:19">
      <c r="R31386" s="178"/>
      <c r="S31386" s="178"/>
    </row>
    <row r="31387" spans="18:19">
      <c r="R31387" s="178"/>
      <c r="S31387" s="178"/>
    </row>
    <row r="31388" spans="18:19">
      <c r="R31388" s="178"/>
      <c r="S31388" s="178"/>
    </row>
    <row r="31389" spans="18:19">
      <c r="R31389" s="178"/>
      <c r="S31389" s="178"/>
    </row>
    <row r="31390" spans="18:19">
      <c r="R31390" s="178"/>
      <c r="S31390" s="178"/>
    </row>
    <row r="31391" spans="18:19">
      <c r="R31391" s="178"/>
      <c r="S31391" s="178"/>
    </row>
    <row r="31392" spans="18:19">
      <c r="R31392" s="178"/>
      <c r="S31392" s="178"/>
    </row>
    <row r="31393" spans="18:19">
      <c r="R31393" s="178"/>
      <c r="S31393" s="178"/>
    </row>
    <row r="31394" spans="18:19">
      <c r="R31394" s="178"/>
      <c r="S31394" s="178"/>
    </row>
    <row r="31395" spans="18:19">
      <c r="R31395" s="178"/>
      <c r="S31395" s="178"/>
    </row>
    <row r="31396" spans="18:19">
      <c r="R31396" s="178"/>
      <c r="S31396" s="178"/>
    </row>
    <row r="31397" spans="18:19">
      <c r="R31397" s="178"/>
      <c r="S31397" s="178"/>
    </row>
    <row r="31398" spans="18:19">
      <c r="R31398" s="178"/>
      <c r="S31398" s="178"/>
    </row>
    <row r="31399" spans="18:19">
      <c r="R31399" s="178"/>
      <c r="S31399" s="178"/>
    </row>
    <row r="31400" spans="18:19">
      <c r="R31400" s="178"/>
      <c r="S31400" s="178"/>
    </row>
    <row r="31401" spans="18:19">
      <c r="R31401" s="178"/>
      <c r="S31401" s="178"/>
    </row>
    <row r="31402" spans="18:19">
      <c r="R31402" s="178"/>
      <c r="S31402" s="178"/>
    </row>
    <row r="31403" spans="18:19">
      <c r="R31403" s="178"/>
      <c r="S31403" s="178"/>
    </row>
    <row r="31404" spans="18:19">
      <c r="R31404" s="178"/>
      <c r="S31404" s="178"/>
    </row>
    <row r="31405" spans="18:19">
      <c r="R31405" s="178"/>
      <c r="S31405" s="178"/>
    </row>
    <row r="31406" spans="18:19">
      <c r="R31406" s="178"/>
      <c r="S31406" s="178"/>
    </row>
    <row r="31407" spans="18:19">
      <c r="R31407" s="178"/>
      <c r="S31407" s="178"/>
    </row>
    <row r="31408" spans="18:19">
      <c r="R31408" s="178"/>
      <c r="S31408" s="178"/>
    </row>
    <row r="31409" spans="18:19">
      <c r="R31409" s="178"/>
      <c r="S31409" s="178"/>
    </row>
    <row r="31410" spans="18:19">
      <c r="R31410" s="178"/>
      <c r="S31410" s="178"/>
    </row>
    <row r="31411" spans="18:19">
      <c r="R31411" s="178"/>
      <c r="S31411" s="178"/>
    </row>
    <row r="31412" spans="18:19">
      <c r="R31412" s="178"/>
      <c r="S31412" s="178"/>
    </row>
    <row r="31413" spans="18:19">
      <c r="R31413" s="178"/>
      <c r="S31413" s="178"/>
    </row>
    <row r="31414" spans="18:19">
      <c r="R31414" s="178"/>
      <c r="S31414" s="178"/>
    </row>
    <row r="31415" spans="18:19">
      <c r="R31415" s="178"/>
      <c r="S31415" s="178"/>
    </row>
    <row r="31416" spans="18:19">
      <c r="R31416" s="178"/>
      <c r="S31416" s="178"/>
    </row>
    <row r="31417" spans="18:19">
      <c r="R31417" s="178"/>
      <c r="S31417" s="178"/>
    </row>
    <row r="31418" spans="18:19">
      <c r="R31418" s="178"/>
      <c r="S31418" s="178"/>
    </row>
    <row r="31419" spans="18:19">
      <c r="R31419" s="178"/>
      <c r="S31419" s="178"/>
    </row>
    <row r="31420" spans="18:19">
      <c r="R31420" s="178"/>
      <c r="S31420" s="178"/>
    </row>
    <row r="31421" spans="18:19">
      <c r="R31421" s="178"/>
      <c r="S31421" s="178"/>
    </row>
    <row r="31422" spans="18:19">
      <c r="R31422" s="178"/>
      <c r="S31422" s="178"/>
    </row>
    <row r="31423" spans="18:19">
      <c r="R31423" s="178"/>
      <c r="S31423" s="178"/>
    </row>
    <row r="31424" spans="18:19">
      <c r="R31424" s="178"/>
      <c r="S31424" s="178"/>
    </row>
    <row r="31425" spans="18:19">
      <c r="R31425" s="178"/>
      <c r="S31425" s="178"/>
    </row>
    <row r="31426" spans="18:19">
      <c r="R31426" s="178"/>
      <c r="S31426" s="178"/>
    </row>
    <row r="31427" spans="18:19">
      <c r="R31427" s="178"/>
      <c r="S31427" s="178"/>
    </row>
    <row r="31428" spans="18:19">
      <c r="R31428" s="178"/>
      <c r="S31428" s="178"/>
    </row>
    <row r="31429" spans="18:19">
      <c r="R31429" s="178"/>
      <c r="S31429" s="178"/>
    </row>
    <row r="31430" spans="18:19">
      <c r="R31430" s="178"/>
      <c r="S31430" s="178"/>
    </row>
    <row r="31431" spans="18:19">
      <c r="R31431" s="178"/>
      <c r="S31431" s="178"/>
    </row>
    <row r="31432" spans="18:19">
      <c r="R31432" s="178"/>
      <c r="S31432" s="178"/>
    </row>
    <row r="31433" spans="18:19">
      <c r="R31433" s="178"/>
      <c r="S31433" s="178"/>
    </row>
    <row r="31434" spans="18:19">
      <c r="R31434" s="178"/>
      <c r="S31434" s="178"/>
    </row>
    <row r="31435" spans="18:19">
      <c r="R31435" s="178"/>
      <c r="S31435" s="178"/>
    </row>
    <row r="31436" spans="18:19">
      <c r="R31436" s="178"/>
      <c r="S31436" s="178"/>
    </row>
    <row r="31437" spans="18:19">
      <c r="R31437" s="178"/>
      <c r="S31437" s="178"/>
    </row>
    <row r="31438" spans="18:19">
      <c r="R31438" s="178"/>
      <c r="S31438" s="178"/>
    </row>
    <row r="31439" spans="18:19">
      <c r="R31439" s="178"/>
      <c r="S31439" s="178"/>
    </row>
    <row r="31440" spans="18:19">
      <c r="R31440" s="178"/>
      <c r="S31440" s="178"/>
    </row>
    <row r="31441" spans="18:19">
      <c r="R31441" s="178"/>
      <c r="S31441" s="178"/>
    </row>
    <row r="31442" spans="18:19">
      <c r="R31442" s="178"/>
      <c r="S31442" s="178"/>
    </row>
    <row r="31443" spans="18:19">
      <c r="R31443" s="178"/>
      <c r="S31443" s="178"/>
    </row>
    <row r="31444" spans="18:19">
      <c r="R31444" s="178"/>
      <c r="S31444" s="178"/>
    </row>
    <row r="31445" spans="18:19">
      <c r="R31445" s="178"/>
      <c r="S31445" s="178"/>
    </row>
    <row r="31446" spans="18:19">
      <c r="R31446" s="178"/>
      <c r="S31446" s="178"/>
    </row>
    <row r="31447" spans="18:19">
      <c r="R31447" s="178"/>
      <c r="S31447" s="178"/>
    </row>
    <row r="31448" spans="18:19">
      <c r="R31448" s="178"/>
      <c r="S31448" s="178"/>
    </row>
    <row r="31449" spans="18:19">
      <c r="R31449" s="178"/>
      <c r="S31449" s="178"/>
    </row>
    <row r="31450" spans="18:19">
      <c r="R31450" s="178"/>
      <c r="S31450" s="178"/>
    </row>
    <row r="31451" spans="18:19">
      <c r="R31451" s="178"/>
      <c r="S31451" s="178"/>
    </row>
    <row r="31452" spans="18:19">
      <c r="R31452" s="178"/>
      <c r="S31452" s="178"/>
    </row>
    <row r="31453" spans="18:19">
      <c r="R31453" s="178"/>
      <c r="S31453" s="178"/>
    </row>
    <row r="31454" spans="18:19">
      <c r="R31454" s="178"/>
      <c r="S31454" s="178"/>
    </row>
    <row r="31455" spans="18:19">
      <c r="R31455" s="178"/>
      <c r="S31455" s="178"/>
    </row>
    <row r="31456" spans="18:19">
      <c r="R31456" s="178"/>
      <c r="S31456" s="178"/>
    </row>
    <row r="31457" spans="18:19">
      <c r="R31457" s="178"/>
      <c r="S31457" s="178"/>
    </row>
    <row r="31458" spans="18:19">
      <c r="R31458" s="178"/>
      <c r="S31458" s="178"/>
    </row>
    <row r="31459" spans="18:19">
      <c r="R31459" s="178"/>
      <c r="S31459" s="178"/>
    </row>
    <row r="31460" spans="18:19">
      <c r="R31460" s="178"/>
      <c r="S31460" s="178"/>
    </row>
    <row r="31461" spans="18:19">
      <c r="R31461" s="178"/>
      <c r="S31461" s="178"/>
    </row>
    <row r="31462" spans="18:19">
      <c r="R31462" s="178"/>
      <c r="S31462" s="178"/>
    </row>
    <row r="31463" spans="18:19">
      <c r="R31463" s="178"/>
      <c r="S31463" s="178"/>
    </row>
    <row r="31464" spans="18:19">
      <c r="R31464" s="178"/>
      <c r="S31464" s="178"/>
    </row>
    <row r="31465" spans="18:19">
      <c r="R31465" s="178"/>
      <c r="S31465" s="178"/>
    </row>
    <row r="31466" spans="18:19">
      <c r="R31466" s="178"/>
      <c r="S31466" s="178"/>
    </row>
    <row r="31467" spans="18:19">
      <c r="R31467" s="178"/>
      <c r="S31467" s="178"/>
    </row>
    <row r="31468" spans="18:19">
      <c r="R31468" s="178"/>
      <c r="S31468" s="178"/>
    </row>
    <row r="31469" spans="18:19">
      <c r="R31469" s="178"/>
      <c r="S31469" s="178"/>
    </row>
    <row r="31470" spans="18:19">
      <c r="R31470" s="178"/>
      <c r="S31470" s="178"/>
    </row>
    <row r="31471" spans="18:19">
      <c r="R31471" s="178"/>
      <c r="S31471" s="178"/>
    </row>
    <row r="31472" spans="18:19">
      <c r="R31472" s="178"/>
      <c r="S31472" s="178"/>
    </row>
    <row r="31473" spans="18:19">
      <c r="R31473" s="178"/>
      <c r="S31473" s="178"/>
    </row>
    <row r="31474" spans="18:19">
      <c r="R31474" s="178"/>
      <c r="S31474" s="178"/>
    </row>
    <row r="31475" spans="18:19">
      <c r="R31475" s="178"/>
      <c r="S31475" s="178"/>
    </row>
    <row r="31476" spans="18:19">
      <c r="R31476" s="178"/>
      <c r="S31476" s="178"/>
    </row>
    <row r="31477" spans="18:19">
      <c r="R31477" s="178"/>
      <c r="S31477" s="178"/>
    </row>
    <row r="31478" spans="18:19">
      <c r="R31478" s="178"/>
      <c r="S31478" s="178"/>
    </row>
    <row r="31479" spans="18:19">
      <c r="R31479" s="178"/>
      <c r="S31479" s="178"/>
    </row>
    <row r="31480" spans="18:19">
      <c r="R31480" s="178"/>
      <c r="S31480" s="178"/>
    </row>
    <row r="31481" spans="18:19">
      <c r="R31481" s="178"/>
      <c r="S31481" s="178"/>
    </row>
    <row r="31482" spans="18:19">
      <c r="R31482" s="178"/>
      <c r="S31482" s="178"/>
    </row>
    <row r="31483" spans="18:19">
      <c r="R31483" s="178"/>
      <c r="S31483" s="178"/>
    </row>
    <row r="31484" spans="18:19">
      <c r="R31484" s="178"/>
      <c r="S31484" s="178"/>
    </row>
    <row r="31485" spans="18:19">
      <c r="R31485" s="178"/>
      <c r="S31485" s="178"/>
    </row>
    <row r="31486" spans="18:19">
      <c r="R31486" s="178"/>
      <c r="S31486" s="178"/>
    </row>
    <row r="31487" spans="18:19">
      <c r="R31487" s="178"/>
      <c r="S31487" s="178"/>
    </row>
    <row r="31488" spans="18:19">
      <c r="R31488" s="178"/>
      <c r="S31488" s="178"/>
    </row>
    <row r="31489" spans="18:19">
      <c r="R31489" s="178"/>
      <c r="S31489" s="178"/>
    </row>
    <row r="31490" spans="18:19">
      <c r="R31490" s="178"/>
      <c r="S31490" s="178"/>
    </row>
    <row r="31491" spans="18:19">
      <c r="R31491" s="178"/>
      <c r="S31491" s="178"/>
    </row>
    <row r="31492" spans="18:19">
      <c r="R31492" s="178"/>
      <c r="S31492" s="178"/>
    </row>
    <row r="31493" spans="18:19">
      <c r="R31493" s="178"/>
      <c r="S31493" s="178"/>
    </row>
    <row r="31494" spans="18:19">
      <c r="R31494" s="178"/>
      <c r="S31494" s="178"/>
    </row>
    <row r="31495" spans="18:19">
      <c r="R31495" s="178"/>
      <c r="S31495" s="178"/>
    </row>
    <row r="31496" spans="18:19">
      <c r="R31496" s="178"/>
      <c r="S31496" s="178"/>
    </row>
    <row r="31497" spans="18:19">
      <c r="R31497" s="178"/>
      <c r="S31497" s="178"/>
    </row>
    <row r="31498" spans="18:19">
      <c r="R31498" s="178"/>
      <c r="S31498" s="178"/>
    </row>
    <row r="31499" spans="18:19">
      <c r="R31499" s="178"/>
      <c r="S31499" s="178"/>
    </row>
    <row r="31500" spans="18:19">
      <c r="R31500" s="178"/>
      <c r="S31500" s="178"/>
    </row>
    <row r="31501" spans="18:19">
      <c r="R31501" s="178"/>
      <c r="S31501" s="178"/>
    </row>
    <row r="31502" spans="18:19">
      <c r="R31502" s="178"/>
      <c r="S31502" s="178"/>
    </row>
    <row r="31503" spans="18:19">
      <c r="R31503" s="178"/>
      <c r="S31503" s="178"/>
    </row>
    <row r="31504" spans="18:19">
      <c r="R31504" s="178"/>
      <c r="S31504" s="178"/>
    </row>
    <row r="31505" spans="18:19">
      <c r="R31505" s="178"/>
      <c r="S31505" s="178"/>
    </row>
    <row r="31506" spans="18:19">
      <c r="R31506" s="178"/>
      <c r="S31506" s="178"/>
    </row>
    <row r="31507" spans="18:19">
      <c r="R31507" s="178"/>
      <c r="S31507" s="178"/>
    </row>
    <row r="31508" spans="18:19">
      <c r="R31508" s="178"/>
      <c r="S31508" s="178"/>
    </row>
    <row r="31509" spans="18:19">
      <c r="R31509" s="178"/>
      <c r="S31509" s="178"/>
    </row>
    <row r="31510" spans="18:19">
      <c r="R31510" s="178"/>
      <c r="S31510" s="178"/>
    </row>
    <row r="31511" spans="18:19">
      <c r="R31511" s="178"/>
      <c r="S31511" s="178"/>
    </row>
    <row r="31512" spans="18:19">
      <c r="R31512" s="178"/>
      <c r="S31512" s="178"/>
    </row>
    <row r="31513" spans="18:19">
      <c r="R31513" s="178"/>
      <c r="S31513" s="178"/>
    </row>
    <row r="31514" spans="18:19">
      <c r="R31514" s="178"/>
      <c r="S31514" s="178"/>
    </row>
    <row r="31515" spans="18:19">
      <c r="R31515" s="178"/>
      <c r="S31515" s="178"/>
    </row>
    <row r="31516" spans="18:19">
      <c r="R31516" s="178"/>
      <c r="S31516" s="178"/>
    </row>
    <row r="31517" spans="18:19">
      <c r="R31517" s="178"/>
      <c r="S31517" s="178"/>
    </row>
    <row r="31518" spans="18:19">
      <c r="R31518" s="178"/>
      <c r="S31518" s="178"/>
    </row>
    <row r="31519" spans="18:19">
      <c r="R31519" s="178"/>
      <c r="S31519" s="178"/>
    </row>
    <row r="31520" spans="18:19">
      <c r="R31520" s="178"/>
      <c r="S31520" s="178"/>
    </row>
    <row r="31521" spans="18:19">
      <c r="R31521" s="178"/>
      <c r="S31521" s="178"/>
    </row>
    <row r="31522" spans="18:19">
      <c r="R31522" s="178"/>
      <c r="S31522" s="178"/>
    </row>
    <row r="31523" spans="18:19">
      <c r="R31523" s="178"/>
      <c r="S31523" s="178"/>
    </row>
    <row r="31524" spans="18:19">
      <c r="R31524" s="178"/>
      <c r="S31524" s="178"/>
    </row>
    <row r="31525" spans="18:19">
      <c r="R31525" s="178"/>
      <c r="S31525" s="178"/>
    </row>
    <row r="31526" spans="18:19">
      <c r="R31526" s="178"/>
      <c r="S31526" s="178"/>
    </row>
    <row r="31527" spans="18:19">
      <c r="R31527" s="178"/>
      <c r="S31527" s="178"/>
    </row>
    <row r="31528" spans="18:19">
      <c r="R31528" s="178"/>
      <c r="S31528" s="178"/>
    </row>
    <row r="31529" spans="18:19">
      <c r="R31529" s="178"/>
      <c r="S31529" s="178"/>
    </row>
    <row r="31530" spans="18:19">
      <c r="R31530" s="178"/>
      <c r="S31530" s="178"/>
    </row>
    <row r="31531" spans="18:19">
      <c r="R31531" s="178"/>
      <c r="S31531" s="178"/>
    </row>
    <row r="31532" spans="18:19">
      <c r="R31532" s="178"/>
      <c r="S31532" s="178"/>
    </row>
    <row r="31533" spans="18:19">
      <c r="R31533" s="178"/>
      <c r="S31533" s="178"/>
    </row>
    <row r="31534" spans="18:19">
      <c r="R31534" s="178"/>
      <c r="S31534" s="178"/>
    </row>
    <row r="31535" spans="18:19">
      <c r="R31535" s="178"/>
      <c r="S31535" s="178"/>
    </row>
    <row r="31536" spans="18:19">
      <c r="R31536" s="178"/>
      <c r="S31536" s="178"/>
    </row>
    <row r="31537" spans="18:19">
      <c r="R31537" s="178"/>
      <c r="S31537" s="178"/>
    </row>
    <row r="31538" spans="18:19">
      <c r="R31538" s="178"/>
      <c r="S31538" s="178"/>
    </row>
    <row r="31539" spans="18:19">
      <c r="R31539" s="178"/>
      <c r="S31539" s="178"/>
    </row>
    <row r="31540" spans="18:19">
      <c r="R31540" s="178"/>
      <c r="S31540" s="178"/>
    </row>
    <row r="31541" spans="18:19">
      <c r="R31541" s="178"/>
      <c r="S31541" s="178"/>
    </row>
    <row r="31542" spans="18:19">
      <c r="R31542" s="178"/>
      <c r="S31542" s="178"/>
    </row>
    <row r="31543" spans="18:19">
      <c r="R31543" s="178"/>
      <c r="S31543" s="178"/>
    </row>
    <row r="31544" spans="18:19">
      <c r="R31544" s="178"/>
      <c r="S31544" s="178"/>
    </row>
    <row r="31545" spans="18:19">
      <c r="R31545" s="178"/>
      <c r="S31545" s="178"/>
    </row>
    <row r="31546" spans="18:19">
      <c r="R31546" s="178"/>
      <c r="S31546" s="178"/>
    </row>
    <row r="31547" spans="18:19">
      <c r="R31547" s="178"/>
      <c r="S31547" s="178"/>
    </row>
    <row r="31548" spans="18:19">
      <c r="R31548" s="178"/>
      <c r="S31548" s="178"/>
    </row>
    <row r="31549" spans="18:19">
      <c r="R31549" s="178"/>
      <c r="S31549" s="178"/>
    </row>
    <row r="31550" spans="18:19">
      <c r="R31550" s="178"/>
      <c r="S31550" s="178"/>
    </row>
    <row r="31551" spans="18:19">
      <c r="R31551" s="178"/>
      <c r="S31551" s="178"/>
    </row>
    <row r="31552" spans="18:19">
      <c r="R31552" s="178"/>
      <c r="S31552" s="178"/>
    </row>
    <row r="31553" spans="18:19">
      <c r="R31553" s="178"/>
      <c r="S31553" s="178"/>
    </row>
    <row r="31554" spans="18:19">
      <c r="R31554" s="178"/>
      <c r="S31554" s="178"/>
    </row>
    <row r="31555" spans="18:19">
      <c r="R31555" s="178"/>
      <c r="S31555" s="178"/>
    </row>
    <row r="31556" spans="18:19">
      <c r="R31556" s="178"/>
      <c r="S31556" s="178"/>
    </row>
    <row r="31557" spans="18:19">
      <c r="R31557" s="178"/>
      <c r="S31557" s="178"/>
    </row>
    <row r="31558" spans="18:19">
      <c r="R31558" s="178"/>
      <c r="S31558" s="178"/>
    </row>
    <row r="31559" spans="18:19">
      <c r="R31559" s="178"/>
      <c r="S31559" s="178"/>
    </row>
    <row r="31560" spans="18:19">
      <c r="R31560" s="178"/>
      <c r="S31560" s="178"/>
    </row>
    <row r="31561" spans="18:19">
      <c r="R31561" s="178"/>
      <c r="S31561" s="178"/>
    </row>
    <row r="31562" spans="18:19">
      <c r="R31562" s="178"/>
      <c r="S31562" s="178"/>
    </row>
    <row r="31563" spans="18:19">
      <c r="R31563" s="178"/>
      <c r="S31563" s="178"/>
    </row>
    <row r="31564" spans="18:19">
      <c r="R31564" s="178"/>
      <c r="S31564" s="178"/>
    </row>
    <row r="31565" spans="18:19">
      <c r="R31565" s="178"/>
      <c r="S31565" s="178"/>
    </row>
    <row r="31566" spans="18:19">
      <c r="R31566" s="178"/>
      <c r="S31566" s="178"/>
    </row>
    <row r="31567" spans="18:19">
      <c r="R31567" s="178"/>
      <c r="S31567" s="178"/>
    </row>
    <row r="31568" spans="18:19">
      <c r="R31568" s="178"/>
      <c r="S31568" s="178"/>
    </row>
    <row r="31569" spans="18:19">
      <c r="R31569" s="178"/>
      <c r="S31569" s="178"/>
    </row>
    <row r="31570" spans="18:19">
      <c r="R31570" s="178"/>
      <c r="S31570" s="178"/>
    </row>
    <row r="31571" spans="18:19">
      <c r="R31571" s="178"/>
      <c r="S31571" s="178"/>
    </row>
    <row r="31572" spans="18:19">
      <c r="R31572" s="178"/>
      <c r="S31572" s="178"/>
    </row>
    <row r="31573" spans="18:19">
      <c r="R31573" s="178"/>
      <c r="S31573" s="178"/>
    </row>
    <row r="31574" spans="18:19">
      <c r="R31574" s="178"/>
      <c r="S31574" s="178"/>
    </row>
    <row r="31575" spans="18:19">
      <c r="R31575" s="178"/>
      <c r="S31575" s="178"/>
    </row>
    <row r="31576" spans="18:19">
      <c r="R31576" s="178"/>
      <c r="S31576" s="178"/>
    </row>
    <row r="31577" spans="18:19">
      <c r="R31577" s="178"/>
      <c r="S31577" s="178"/>
    </row>
    <row r="31578" spans="18:19">
      <c r="R31578" s="178"/>
      <c r="S31578" s="178"/>
    </row>
    <row r="31579" spans="18:19">
      <c r="R31579" s="178"/>
      <c r="S31579" s="178"/>
    </row>
    <row r="31580" spans="18:19">
      <c r="R31580" s="178"/>
      <c r="S31580" s="178"/>
    </row>
    <row r="31581" spans="18:19">
      <c r="R31581" s="178"/>
      <c r="S31581" s="178"/>
    </row>
    <row r="31582" spans="18:19">
      <c r="R31582" s="178"/>
      <c r="S31582" s="178"/>
    </row>
    <row r="31583" spans="18:19">
      <c r="R31583" s="178"/>
      <c r="S31583" s="178"/>
    </row>
    <row r="31584" spans="18:19">
      <c r="R31584" s="178"/>
      <c r="S31584" s="178"/>
    </row>
    <row r="31585" spans="18:19">
      <c r="R31585" s="178"/>
      <c r="S31585" s="178"/>
    </row>
    <row r="31586" spans="18:19">
      <c r="R31586" s="178"/>
      <c r="S31586" s="178"/>
    </row>
    <row r="31587" spans="18:19">
      <c r="R31587" s="178"/>
      <c r="S31587" s="178"/>
    </row>
    <row r="31588" spans="18:19">
      <c r="R31588" s="178"/>
      <c r="S31588" s="178"/>
    </row>
    <row r="31589" spans="18:19">
      <c r="R31589" s="178"/>
      <c r="S31589" s="178"/>
    </row>
    <row r="31590" spans="18:19">
      <c r="R31590" s="178"/>
      <c r="S31590" s="178"/>
    </row>
    <row r="31591" spans="18:19">
      <c r="R31591" s="178"/>
      <c r="S31591" s="178"/>
    </row>
    <row r="31592" spans="18:19">
      <c r="R31592" s="178"/>
      <c r="S31592" s="178"/>
    </row>
    <row r="31593" spans="18:19">
      <c r="R31593" s="178"/>
      <c r="S31593" s="178"/>
    </row>
    <row r="31594" spans="18:19">
      <c r="R31594" s="178"/>
      <c r="S31594" s="178"/>
    </row>
    <row r="31595" spans="18:19">
      <c r="R31595" s="178"/>
      <c r="S31595" s="178"/>
    </row>
    <row r="31596" spans="18:19">
      <c r="R31596" s="178"/>
      <c r="S31596" s="178"/>
    </row>
    <row r="31597" spans="18:19">
      <c r="R31597" s="178"/>
      <c r="S31597" s="178"/>
    </row>
    <row r="31598" spans="18:19">
      <c r="R31598" s="178"/>
      <c r="S31598" s="178"/>
    </row>
    <row r="31599" spans="18:19">
      <c r="R31599" s="178"/>
      <c r="S31599" s="178"/>
    </row>
    <row r="31600" spans="18:19">
      <c r="R31600" s="178"/>
      <c r="S31600" s="178"/>
    </row>
    <row r="31601" spans="18:19">
      <c r="R31601" s="178"/>
      <c r="S31601" s="178"/>
    </row>
    <row r="31602" spans="18:19">
      <c r="R31602" s="178"/>
      <c r="S31602" s="178"/>
    </row>
    <row r="31603" spans="18:19">
      <c r="R31603" s="178"/>
      <c r="S31603" s="178"/>
    </row>
    <row r="31604" spans="18:19">
      <c r="R31604" s="178"/>
      <c r="S31604" s="178"/>
    </row>
    <row r="31605" spans="18:19">
      <c r="R31605" s="178"/>
      <c r="S31605" s="178"/>
    </row>
    <row r="31606" spans="18:19">
      <c r="R31606" s="178"/>
      <c r="S31606" s="178"/>
    </row>
    <row r="31607" spans="18:19">
      <c r="R31607" s="178"/>
      <c r="S31607" s="178"/>
    </row>
    <row r="31608" spans="18:19">
      <c r="R31608" s="178"/>
      <c r="S31608" s="178"/>
    </row>
    <row r="31609" spans="18:19">
      <c r="R31609" s="178"/>
      <c r="S31609" s="178"/>
    </row>
    <row r="31610" spans="18:19">
      <c r="R31610" s="178"/>
      <c r="S31610" s="178"/>
    </row>
    <row r="31611" spans="18:19">
      <c r="R31611" s="178"/>
      <c r="S31611" s="178"/>
    </row>
    <row r="31612" spans="18:19">
      <c r="R31612" s="178"/>
      <c r="S31612" s="178"/>
    </row>
    <row r="31613" spans="18:19">
      <c r="R31613" s="178"/>
      <c r="S31613" s="178"/>
    </row>
    <row r="31614" spans="18:19">
      <c r="R31614" s="178"/>
      <c r="S31614" s="178"/>
    </row>
    <row r="31615" spans="18:19">
      <c r="R31615" s="178"/>
      <c r="S31615" s="178"/>
    </row>
    <row r="31616" spans="18:19">
      <c r="R31616" s="178"/>
      <c r="S31616" s="178"/>
    </row>
    <row r="31617" spans="18:19">
      <c r="R31617" s="178"/>
      <c r="S31617" s="178"/>
    </row>
    <row r="31618" spans="18:19">
      <c r="R31618" s="178"/>
      <c r="S31618" s="178"/>
    </row>
    <row r="31619" spans="18:19">
      <c r="R31619" s="178"/>
      <c r="S31619" s="178"/>
    </row>
    <row r="31620" spans="18:19">
      <c r="R31620" s="178"/>
      <c r="S31620" s="178"/>
    </row>
    <row r="31621" spans="18:19">
      <c r="R31621" s="178"/>
      <c r="S31621" s="178"/>
    </row>
    <row r="31622" spans="18:19">
      <c r="R31622" s="178"/>
      <c r="S31622" s="178"/>
    </row>
    <row r="31623" spans="18:19">
      <c r="R31623" s="178"/>
      <c r="S31623" s="178"/>
    </row>
    <row r="31624" spans="18:19">
      <c r="R31624" s="178"/>
      <c r="S31624" s="178"/>
    </row>
    <row r="31625" spans="18:19">
      <c r="R31625" s="178"/>
      <c r="S31625" s="178"/>
    </row>
    <row r="31626" spans="18:19">
      <c r="R31626" s="178"/>
      <c r="S31626" s="178"/>
    </row>
    <row r="31627" spans="18:19">
      <c r="R31627" s="178"/>
      <c r="S31627" s="178"/>
    </row>
    <row r="31628" spans="18:19">
      <c r="R31628" s="178"/>
      <c r="S31628" s="178"/>
    </row>
    <row r="31629" spans="18:19">
      <c r="R31629" s="178"/>
      <c r="S31629" s="178"/>
    </row>
    <row r="31630" spans="18:19">
      <c r="R31630" s="178"/>
      <c r="S31630" s="178"/>
    </row>
    <row r="31631" spans="18:19">
      <c r="R31631" s="178"/>
      <c r="S31631" s="178"/>
    </row>
    <row r="31632" spans="18:19">
      <c r="R31632" s="178"/>
      <c r="S31632" s="178"/>
    </row>
    <row r="31633" spans="18:19">
      <c r="R31633" s="178"/>
      <c r="S31633" s="178"/>
    </row>
    <row r="31634" spans="18:19">
      <c r="R31634" s="178"/>
      <c r="S31634" s="178"/>
    </row>
    <row r="31635" spans="18:19">
      <c r="R31635" s="178"/>
      <c r="S31635" s="178"/>
    </row>
    <row r="31636" spans="18:19">
      <c r="R31636" s="178"/>
      <c r="S31636" s="178"/>
    </row>
    <row r="31637" spans="18:19">
      <c r="R31637" s="178"/>
      <c r="S31637" s="178"/>
    </row>
    <row r="31638" spans="18:19">
      <c r="R31638" s="178"/>
      <c r="S31638" s="178"/>
    </row>
    <row r="31639" spans="18:19">
      <c r="R31639" s="178"/>
      <c r="S31639" s="178"/>
    </row>
    <row r="31640" spans="18:19">
      <c r="R31640" s="178"/>
      <c r="S31640" s="178"/>
    </row>
    <row r="31641" spans="18:19">
      <c r="R31641" s="178"/>
      <c r="S31641" s="178"/>
    </row>
    <row r="31642" spans="18:19">
      <c r="R31642" s="178"/>
      <c r="S31642" s="178"/>
    </row>
    <row r="31643" spans="18:19">
      <c r="R31643" s="178"/>
      <c r="S31643" s="178"/>
    </row>
    <row r="31644" spans="18:19">
      <c r="R31644" s="178"/>
      <c r="S31644" s="178"/>
    </row>
    <row r="31645" spans="18:19">
      <c r="R31645" s="178"/>
      <c r="S31645" s="178"/>
    </row>
    <row r="31646" spans="18:19">
      <c r="R31646" s="178"/>
      <c r="S31646" s="178"/>
    </row>
    <row r="31647" spans="18:19">
      <c r="R31647" s="178"/>
      <c r="S31647" s="178"/>
    </row>
    <row r="31648" spans="18:19">
      <c r="R31648" s="178"/>
      <c r="S31648" s="178"/>
    </row>
    <row r="31649" spans="18:19">
      <c r="R31649" s="178"/>
      <c r="S31649" s="178"/>
    </row>
    <row r="31650" spans="18:19">
      <c r="R31650" s="178"/>
      <c r="S31650" s="178"/>
    </row>
    <row r="31651" spans="18:19">
      <c r="R31651" s="178"/>
      <c r="S31651" s="178"/>
    </row>
    <row r="31652" spans="18:19">
      <c r="R31652" s="178"/>
      <c r="S31652" s="178"/>
    </row>
    <row r="31653" spans="18:19">
      <c r="R31653" s="178"/>
      <c r="S31653" s="178"/>
    </row>
    <row r="31654" spans="18:19">
      <c r="R31654" s="178"/>
      <c r="S31654" s="178"/>
    </row>
    <row r="31655" spans="18:19">
      <c r="R31655" s="178"/>
      <c r="S31655" s="178"/>
    </row>
    <row r="31656" spans="18:19">
      <c r="R31656" s="178"/>
      <c r="S31656" s="178"/>
    </row>
    <row r="31657" spans="18:19">
      <c r="R31657" s="178"/>
      <c r="S31657" s="178"/>
    </row>
    <row r="31658" spans="18:19">
      <c r="R31658" s="178"/>
      <c r="S31658" s="178"/>
    </row>
    <row r="31659" spans="18:19">
      <c r="R31659" s="178"/>
      <c r="S31659" s="178"/>
    </row>
    <row r="31660" spans="18:19">
      <c r="R31660" s="178"/>
      <c r="S31660" s="178"/>
    </row>
    <row r="31661" spans="18:19">
      <c r="R31661" s="178"/>
      <c r="S31661" s="178"/>
    </row>
    <row r="31662" spans="18:19">
      <c r="R31662" s="178"/>
      <c r="S31662" s="178"/>
    </row>
    <row r="31663" spans="18:19">
      <c r="R31663" s="178"/>
      <c r="S31663" s="178"/>
    </row>
    <row r="31664" spans="18:19">
      <c r="R31664" s="178"/>
      <c r="S31664" s="178"/>
    </row>
    <row r="31665" spans="18:19">
      <c r="R31665" s="178"/>
      <c r="S31665" s="178"/>
    </row>
    <row r="31666" spans="18:19">
      <c r="R31666" s="178"/>
      <c r="S31666" s="178"/>
    </row>
    <row r="31667" spans="18:19">
      <c r="R31667" s="178"/>
      <c r="S31667" s="178"/>
    </row>
    <row r="31668" spans="18:19">
      <c r="R31668" s="178"/>
      <c r="S31668" s="178"/>
    </row>
    <row r="31669" spans="18:19">
      <c r="R31669" s="178"/>
      <c r="S31669" s="178"/>
    </row>
    <row r="31670" spans="18:19">
      <c r="R31670" s="178"/>
      <c r="S31670" s="178"/>
    </row>
    <row r="31671" spans="18:19">
      <c r="R31671" s="178"/>
      <c r="S31671" s="178"/>
    </row>
    <row r="31672" spans="18:19">
      <c r="R31672" s="178"/>
      <c r="S31672" s="178"/>
    </row>
    <row r="31673" spans="18:19">
      <c r="R31673" s="178"/>
      <c r="S31673" s="178"/>
    </row>
    <row r="31674" spans="18:19">
      <c r="R31674" s="178"/>
      <c r="S31674" s="178"/>
    </row>
    <row r="31675" spans="18:19">
      <c r="R31675" s="178"/>
      <c r="S31675" s="178"/>
    </row>
    <row r="31676" spans="18:19">
      <c r="R31676" s="178"/>
      <c r="S31676" s="178"/>
    </row>
    <row r="31677" spans="18:19">
      <c r="R31677" s="178"/>
      <c r="S31677" s="178"/>
    </row>
    <row r="31678" spans="18:19">
      <c r="R31678" s="178"/>
      <c r="S31678" s="178"/>
    </row>
    <row r="31679" spans="18:19">
      <c r="R31679" s="178"/>
      <c r="S31679" s="178"/>
    </row>
    <row r="31680" spans="18:19">
      <c r="R31680" s="178"/>
      <c r="S31680" s="178"/>
    </row>
    <row r="31681" spans="18:19">
      <c r="R31681" s="178"/>
      <c r="S31681" s="178"/>
    </row>
    <row r="31682" spans="18:19">
      <c r="R31682" s="178"/>
      <c r="S31682" s="178"/>
    </row>
    <row r="31683" spans="18:19">
      <c r="R31683" s="178"/>
      <c r="S31683" s="178"/>
    </row>
    <row r="31684" spans="18:19">
      <c r="R31684" s="178"/>
      <c r="S31684" s="178"/>
    </row>
    <row r="31685" spans="18:19">
      <c r="R31685" s="178"/>
      <c r="S31685" s="178"/>
    </row>
    <row r="31686" spans="18:19">
      <c r="R31686" s="178"/>
      <c r="S31686" s="178"/>
    </row>
    <row r="31687" spans="18:19">
      <c r="R31687" s="178"/>
      <c r="S31687" s="178"/>
    </row>
    <row r="31688" spans="18:19">
      <c r="R31688" s="178"/>
      <c r="S31688" s="178"/>
    </row>
    <row r="31689" spans="18:19">
      <c r="R31689" s="178"/>
      <c r="S31689" s="178"/>
    </row>
    <row r="31690" spans="18:19">
      <c r="R31690" s="178"/>
      <c r="S31690" s="178"/>
    </row>
    <row r="31691" spans="18:19">
      <c r="R31691" s="178"/>
      <c r="S31691" s="178"/>
    </row>
    <row r="31692" spans="18:19">
      <c r="R31692" s="178"/>
      <c r="S31692" s="178"/>
    </row>
    <row r="31693" spans="18:19">
      <c r="R31693" s="178"/>
      <c r="S31693" s="178"/>
    </row>
    <row r="31694" spans="18:19">
      <c r="R31694" s="178"/>
      <c r="S31694" s="178"/>
    </row>
    <row r="31695" spans="18:19">
      <c r="R31695" s="178"/>
      <c r="S31695" s="178"/>
    </row>
    <row r="31696" spans="18:19">
      <c r="R31696" s="178"/>
      <c r="S31696" s="178"/>
    </row>
    <row r="31697" spans="18:19">
      <c r="R31697" s="178"/>
      <c r="S31697" s="178"/>
    </row>
    <row r="31698" spans="18:19">
      <c r="R31698" s="178"/>
      <c r="S31698" s="178"/>
    </row>
    <row r="31699" spans="18:19">
      <c r="R31699" s="178"/>
      <c r="S31699" s="178"/>
    </row>
    <row r="31700" spans="18:19">
      <c r="R31700" s="178"/>
      <c r="S31700" s="178"/>
    </row>
    <row r="31701" spans="18:19">
      <c r="R31701" s="178"/>
      <c r="S31701" s="178"/>
    </row>
    <row r="31702" spans="18:19">
      <c r="R31702" s="178"/>
      <c r="S31702" s="178"/>
    </row>
    <row r="31703" spans="18:19">
      <c r="R31703" s="178"/>
      <c r="S31703" s="178"/>
    </row>
    <row r="31704" spans="18:19">
      <c r="R31704" s="178"/>
      <c r="S31704" s="178"/>
    </row>
    <row r="31705" spans="18:19">
      <c r="R31705" s="178"/>
      <c r="S31705" s="178"/>
    </row>
    <row r="31706" spans="18:19">
      <c r="R31706" s="178"/>
      <c r="S31706" s="178"/>
    </row>
    <row r="31707" spans="18:19">
      <c r="R31707" s="178"/>
      <c r="S31707" s="178"/>
    </row>
    <row r="31708" spans="18:19">
      <c r="R31708" s="178"/>
      <c r="S31708" s="178"/>
    </row>
    <row r="31709" spans="18:19">
      <c r="R31709" s="178"/>
      <c r="S31709" s="178"/>
    </row>
    <row r="31710" spans="18:19">
      <c r="R31710" s="178"/>
      <c r="S31710" s="178"/>
    </row>
    <row r="31711" spans="18:19">
      <c r="R31711" s="178"/>
      <c r="S31711" s="178"/>
    </row>
    <row r="31712" spans="18:19">
      <c r="R31712" s="178"/>
      <c r="S31712" s="178"/>
    </row>
    <row r="31713" spans="18:19">
      <c r="R31713" s="178"/>
      <c r="S31713" s="178"/>
    </row>
    <row r="31714" spans="18:19">
      <c r="R31714" s="178"/>
      <c r="S31714" s="178"/>
    </row>
    <row r="31715" spans="18:19">
      <c r="R31715" s="178"/>
      <c r="S31715" s="178"/>
    </row>
    <row r="31716" spans="18:19">
      <c r="R31716" s="178"/>
      <c r="S31716" s="178"/>
    </row>
    <row r="31717" spans="18:19">
      <c r="R31717" s="178"/>
      <c r="S31717" s="178"/>
    </row>
    <row r="31718" spans="18:19">
      <c r="R31718" s="178"/>
      <c r="S31718" s="178"/>
    </row>
    <row r="31719" spans="18:19">
      <c r="R31719" s="178"/>
      <c r="S31719" s="178"/>
    </row>
    <row r="31720" spans="18:19">
      <c r="R31720" s="178"/>
      <c r="S31720" s="178"/>
    </row>
    <row r="31721" spans="18:19">
      <c r="R31721" s="178"/>
      <c r="S31721" s="178"/>
    </row>
    <row r="31722" spans="18:19">
      <c r="R31722" s="178"/>
      <c r="S31722" s="178"/>
    </row>
    <row r="31723" spans="18:19">
      <c r="R31723" s="178"/>
      <c r="S31723" s="178"/>
    </row>
    <row r="31724" spans="18:19">
      <c r="R31724" s="178"/>
      <c r="S31724" s="178"/>
    </row>
    <row r="31725" spans="18:19">
      <c r="R31725" s="178"/>
      <c r="S31725" s="178"/>
    </row>
    <row r="31726" spans="18:19">
      <c r="R31726" s="178"/>
      <c r="S31726" s="178"/>
    </row>
    <row r="31727" spans="18:19">
      <c r="R31727" s="178"/>
      <c r="S31727" s="178"/>
    </row>
    <row r="31728" spans="18:19">
      <c r="R31728" s="178"/>
      <c r="S31728" s="178"/>
    </row>
    <row r="31729" spans="18:19">
      <c r="R31729" s="178"/>
      <c r="S31729" s="178"/>
    </row>
    <row r="31730" spans="18:19">
      <c r="R31730" s="178"/>
      <c r="S31730" s="178"/>
    </row>
    <row r="31731" spans="18:19">
      <c r="R31731" s="178"/>
      <c r="S31731" s="178"/>
    </row>
    <row r="31732" spans="18:19">
      <c r="R31732" s="178"/>
      <c r="S31732" s="178"/>
    </row>
    <row r="31733" spans="18:19">
      <c r="R31733" s="178"/>
      <c r="S31733" s="178"/>
    </row>
    <row r="31734" spans="18:19">
      <c r="R31734" s="178"/>
      <c r="S31734" s="178"/>
    </row>
    <row r="31735" spans="18:19">
      <c r="R31735" s="178"/>
      <c r="S31735" s="178"/>
    </row>
    <row r="31736" spans="18:19">
      <c r="R31736" s="178"/>
      <c r="S31736" s="178"/>
    </row>
    <row r="31737" spans="18:19">
      <c r="R31737" s="178"/>
      <c r="S31737" s="178"/>
    </row>
    <row r="31738" spans="18:19">
      <c r="R31738" s="178"/>
      <c r="S31738" s="178"/>
    </row>
    <row r="31739" spans="18:19">
      <c r="R31739" s="178"/>
      <c r="S31739" s="178"/>
    </row>
    <row r="31740" spans="18:19">
      <c r="R31740" s="178"/>
      <c r="S31740" s="178"/>
    </row>
    <row r="31741" spans="18:19">
      <c r="R31741" s="178"/>
      <c r="S31741" s="178"/>
    </row>
    <row r="31742" spans="18:19">
      <c r="R31742" s="178"/>
      <c r="S31742" s="178"/>
    </row>
    <row r="31743" spans="18:19">
      <c r="R31743" s="178"/>
      <c r="S31743" s="178"/>
    </row>
    <row r="31744" spans="18:19">
      <c r="R31744" s="178"/>
      <c r="S31744" s="178"/>
    </row>
    <row r="31745" spans="18:19">
      <c r="R31745" s="178"/>
      <c r="S31745" s="178"/>
    </row>
    <row r="31746" spans="18:19">
      <c r="R31746" s="178"/>
      <c r="S31746" s="178"/>
    </row>
    <row r="31747" spans="18:19">
      <c r="R31747" s="178"/>
      <c r="S31747" s="178"/>
    </row>
    <row r="31748" spans="18:19">
      <c r="R31748" s="178"/>
      <c r="S31748" s="178"/>
    </row>
    <row r="31749" spans="18:19">
      <c r="R31749" s="178"/>
      <c r="S31749" s="178"/>
    </row>
    <row r="31750" spans="18:19">
      <c r="R31750" s="178"/>
      <c r="S31750" s="178"/>
    </row>
    <row r="31751" spans="18:19">
      <c r="R31751" s="178"/>
      <c r="S31751" s="178"/>
    </row>
    <row r="31752" spans="18:19">
      <c r="R31752" s="178"/>
      <c r="S31752" s="178"/>
    </row>
    <row r="31753" spans="18:19">
      <c r="R31753" s="178"/>
      <c r="S31753" s="178"/>
    </row>
    <row r="31754" spans="18:19">
      <c r="R31754" s="178"/>
      <c r="S31754" s="178"/>
    </row>
    <row r="31755" spans="18:19">
      <c r="R31755" s="178"/>
      <c r="S31755" s="178"/>
    </row>
    <row r="31756" spans="18:19">
      <c r="R31756" s="178"/>
      <c r="S31756" s="178"/>
    </row>
    <row r="31757" spans="18:19">
      <c r="R31757" s="178"/>
      <c r="S31757" s="178"/>
    </row>
    <row r="31758" spans="18:19">
      <c r="R31758" s="178"/>
      <c r="S31758" s="178"/>
    </row>
    <row r="31759" spans="18:19">
      <c r="R31759" s="178"/>
      <c r="S31759" s="178"/>
    </row>
    <row r="31760" spans="18:19">
      <c r="R31760" s="178"/>
      <c r="S31760" s="178"/>
    </row>
    <row r="31761" spans="18:19">
      <c r="R31761" s="178"/>
      <c r="S31761" s="178"/>
    </row>
    <row r="31762" spans="18:19">
      <c r="R31762" s="178"/>
      <c r="S31762" s="178"/>
    </row>
    <row r="31763" spans="18:19">
      <c r="R31763" s="178"/>
      <c r="S31763" s="178"/>
    </row>
    <row r="31764" spans="18:19">
      <c r="R31764" s="178"/>
      <c r="S31764" s="178"/>
    </row>
    <row r="31765" spans="18:19">
      <c r="R31765" s="178"/>
      <c r="S31765" s="178"/>
    </row>
    <row r="31766" spans="18:19">
      <c r="R31766" s="178"/>
      <c r="S31766" s="178"/>
    </row>
    <row r="31767" spans="18:19">
      <c r="R31767" s="178"/>
      <c r="S31767" s="178"/>
    </row>
    <row r="31768" spans="18:19">
      <c r="R31768" s="178"/>
      <c r="S31768" s="178"/>
    </row>
    <row r="31769" spans="18:19">
      <c r="R31769" s="178"/>
      <c r="S31769" s="178"/>
    </row>
    <row r="31770" spans="18:19">
      <c r="R31770" s="178"/>
      <c r="S31770" s="178"/>
    </row>
    <row r="31771" spans="18:19">
      <c r="R31771" s="178"/>
      <c r="S31771" s="178"/>
    </row>
    <row r="31772" spans="18:19">
      <c r="R31772" s="178"/>
      <c r="S31772" s="178"/>
    </row>
    <row r="31773" spans="18:19">
      <c r="R31773" s="178"/>
      <c r="S31773" s="178"/>
    </row>
    <row r="31774" spans="18:19">
      <c r="R31774" s="178"/>
      <c r="S31774" s="178"/>
    </row>
    <row r="31775" spans="18:19">
      <c r="R31775" s="178"/>
      <c r="S31775" s="178"/>
    </row>
    <row r="31776" spans="18:19">
      <c r="R31776" s="178"/>
      <c r="S31776" s="178"/>
    </row>
    <row r="31777" spans="18:19">
      <c r="R31777" s="178"/>
      <c r="S31777" s="178"/>
    </row>
    <row r="31778" spans="18:19">
      <c r="R31778" s="178"/>
      <c r="S31778" s="178"/>
    </row>
    <row r="31779" spans="18:19">
      <c r="R31779" s="178"/>
      <c r="S31779" s="178"/>
    </row>
    <row r="31780" spans="18:19">
      <c r="R31780" s="178"/>
      <c r="S31780" s="178"/>
    </row>
    <row r="31781" spans="18:19">
      <c r="R31781" s="178"/>
      <c r="S31781" s="178"/>
    </row>
    <row r="31782" spans="18:19">
      <c r="R31782" s="178"/>
      <c r="S31782" s="178"/>
    </row>
    <row r="31783" spans="18:19">
      <c r="R31783" s="178"/>
      <c r="S31783" s="178"/>
    </row>
    <row r="31784" spans="18:19">
      <c r="R31784" s="178"/>
      <c r="S31784" s="178"/>
    </row>
    <row r="31785" spans="18:19">
      <c r="R31785" s="178"/>
      <c r="S31785" s="178"/>
    </row>
    <row r="31786" spans="18:19">
      <c r="R31786" s="178"/>
      <c r="S31786" s="178"/>
    </row>
    <row r="31787" spans="18:19">
      <c r="R31787" s="178"/>
      <c r="S31787" s="178"/>
    </row>
    <row r="31788" spans="18:19">
      <c r="R31788" s="178"/>
      <c r="S31788" s="178"/>
    </row>
    <row r="31789" spans="18:19">
      <c r="R31789" s="178"/>
      <c r="S31789" s="178"/>
    </row>
    <row r="31790" spans="18:19">
      <c r="R31790" s="178"/>
      <c r="S31790" s="178"/>
    </row>
    <row r="31791" spans="18:19">
      <c r="R31791" s="178"/>
      <c r="S31791" s="178"/>
    </row>
    <row r="31792" spans="18:19">
      <c r="R31792" s="178"/>
      <c r="S31792" s="178"/>
    </row>
    <row r="31793" spans="18:19">
      <c r="R31793" s="178"/>
      <c r="S31793" s="178"/>
    </row>
    <row r="31794" spans="18:19">
      <c r="R31794" s="178"/>
      <c r="S31794" s="178"/>
    </row>
    <row r="31795" spans="18:19">
      <c r="R31795" s="178"/>
      <c r="S31795" s="178"/>
    </row>
    <row r="31796" spans="18:19">
      <c r="R31796" s="178"/>
      <c r="S31796" s="178"/>
    </row>
    <row r="31797" spans="18:19">
      <c r="R31797" s="178"/>
      <c r="S31797" s="178"/>
    </row>
    <row r="31798" spans="18:19">
      <c r="R31798" s="178"/>
      <c r="S31798" s="178"/>
    </row>
    <row r="31799" spans="18:19">
      <c r="R31799" s="178"/>
      <c r="S31799" s="178"/>
    </row>
    <row r="31800" spans="18:19">
      <c r="R31800" s="178"/>
      <c r="S31800" s="178"/>
    </row>
    <row r="31801" spans="18:19">
      <c r="R31801" s="178"/>
      <c r="S31801" s="178"/>
    </row>
    <row r="31802" spans="18:19">
      <c r="R31802" s="178"/>
      <c r="S31802" s="178"/>
    </row>
    <row r="31803" spans="18:19">
      <c r="R31803" s="178"/>
      <c r="S31803" s="178"/>
    </row>
    <row r="31804" spans="18:19">
      <c r="R31804" s="178"/>
      <c r="S31804" s="178"/>
    </row>
    <row r="31805" spans="18:19">
      <c r="R31805" s="178"/>
      <c r="S31805" s="178"/>
    </row>
    <row r="31806" spans="18:19">
      <c r="R31806" s="178"/>
      <c r="S31806" s="178"/>
    </row>
    <row r="31807" spans="18:19">
      <c r="R31807" s="178"/>
      <c r="S31807" s="178"/>
    </row>
    <row r="31808" spans="18:19">
      <c r="R31808" s="178"/>
      <c r="S31808" s="178"/>
    </row>
    <row r="31809" spans="18:19">
      <c r="R31809" s="178"/>
      <c r="S31809" s="178"/>
    </row>
    <row r="31810" spans="18:19">
      <c r="R31810" s="178"/>
      <c r="S31810" s="178"/>
    </row>
    <row r="31811" spans="18:19">
      <c r="R31811" s="178"/>
      <c r="S31811" s="178"/>
    </row>
    <row r="31812" spans="18:19">
      <c r="R31812" s="178"/>
      <c r="S31812" s="178"/>
    </row>
    <row r="31813" spans="18:19">
      <c r="R31813" s="178"/>
      <c r="S31813" s="178"/>
    </row>
    <row r="31814" spans="18:19">
      <c r="R31814" s="178"/>
      <c r="S31814" s="178"/>
    </row>
    <row r="31815" spans="18:19">
      <c r="R31815" s="178"/>
      <c r="S31815" s="178"/>
    </row>
    <row r="31816" spans="18:19">
      <c r="R31816" s="178"/>
      <c r="S31816" s="178"/>
    </row>
    <row r="31817" spans="18:19">
      <c r="R31817" s="178"/>
      <c r="S31817" s="178"/>
    </row>
    <row r="31818" spans="18:19">
      <c r="R31818" s="178"/>
      <c r="S31818" s="178"/>
    </row>
    <row r="31819" spans="18:19">
      <c r="R31819" s="178"/>
      <c r="S31819" s="178"/>
    </row>
    <row r="31820" spans="18:19">
      <c r="R31820" s="178"/>
      <c r="S31820" s="178"/>
    </row>
    <row r="31821" spans="18:19">
      <c r="R31821" s="178"/>
      <c r="S31821" s="178"/>
    </row>
    <row r="31822" spans="18:19">
      <c r="R31822" s="178"/>
      <c r="S31822" s="178"/>
    </row>
    <row r="31823" spans="18:19">
      <c r="R31823" s="178"/>
      <c r="S31823" s="178"/>
    </row>
    <row r="31824" spans="18:19">
      <c r="R31824" s="178"/>
      <c r="S31824" s="178"/>
    </row>
    <row r="31825" spans="18:19">
      <c r="R31825" s="178"/>
      <c r="S31825" s="178"/>
    </row>
    <row r="31826" spans="18:19">
      <c r="R31826" s="178"/>
      <c r="S31826" s="178"/>
    </row>
    <row r="31827" spans="18:19">
      <c r="R31827" s="178"/>
      <c r="S31827" s="178"/>
    </row>
    <row r="31828" spans="18:19">
      <c r="R31828" s="178"/>
      <c r="S31828" s="178"/>
    </row>
    <row r="31829" spans="18:19">
      <c r="R31829" s="178"/>
      <c r="S31829" s="178"/>
    </row>
    <row r="31830" spans="18:19">
      <c r="R31830" s="178"/>
      <c r="S31830" s="178"/>
    </row>
    <row r="31831" spans="18:19">
      <c r="R31831" s="178"/>
      <c r="S31831" s="178"/>
    </row>
    <row r="31832" spans="18:19">
      <c r="R31832" s="178"/>
      <c r="S31832" s="178"/>
    </row>
    <row r="31833" spans="18:19">
      <c r="R31833" s="178"/>
      <c r="S31833" s="178"/>
    </row>
    <row r="31834" spans="18:19">
      <c r="R31834" s="178"/>
      <c r="S31834" s="178"/>
    </row>
    <row r="31835" spans="18:19">
      <c r="R31835" s="178"/>
      <c r="S31835" s="178"/>
    </row>
    <row r="31836" spans="18:19">
      <c r="R31836" s="178"/>
      <c r="S31836" s="178"/>
    </row>
    <row r="31837" spans="18:19">
      <c r="R31837" s="178"/>
      <c r="S31837" s="178"/>
    </row>
    <row r="31838" spans="18:19">
      <c r="R31838" s="178"/>
      <c r="S31838" s="178"/>
    </row>
    <row r="31839" spans="18:19">
      <c r="R31839" s="178"/>
      <c r="S31839" s="178"/>
    </row>
    <row r="31840" spans="18:19">
      <c r="R31840" s="178"/>
      <c r="S31840" s="178"/>
    </row>
    <row r="31841" spans="18:19">
      <c r="R31841" s="178"/>
      <c r="S31841" s="178"/>
    </row>
    <row r="31842" spans="18:19">
      <c r="R31842" s="178"/>
      <c r="S31842" s="178"/>
    </row>
    <row r="31843" spans="18:19">
      <c r="R31843" s="178"/>
      <c r="S31843" s="178"/>
    </row>
    <row r="31844" spans="18:19">
      <c r="R31844" s="178"/>
      <c r="S31844" s="178"/>
    </row>
    <row r="31845" spans="18:19">
      <c r="R31845" s="178"/>
      <c r="S31845" s="178"/>
    </row>
    <row r="31846" spans="18:19">
      <c r="R31846" s="178"/>
      <c r="S31846" s="178"/>
    </row>
    <row r="31847" spans="18:19">
      <c r="R31847" s="178"/>
      <c r="S31847" s="178"/>
    </row>
    <row r="31848" spans="18:19">
      <c r="R31848" s="178"/>
      <c r="S31848" s="178"/>
    </row>
    <row r="31849" spans="18:19">
      <c r="R31849" s="178"/>
      <c r="S31849" s="178"/>
    </row>
    <row r="31850" spans="18:19">
      <c r="R31850" s="178"/>
      <c r="S31850" s="178"/>
    </row>
    <row r="31851" spans="18:19">
      <c r="R31851" s="178"/>
      <c r="S31851" s="178"/>
    </row>
    <row r="31852" spans="18:19">
      <c r="R31852" s="178"/>
      <c r="S31852" s="178"/>
    </row>
    <row r="31853" spans="18:19">
      <c r="R31853" s="178"/>
      <c r="S31853" s="178"/>
    </row>
    <row r="31854" spans="18:19">
      <c r="R31854" s="178"/>
      <c r="S31854" s="178"/>
    </row>
    <row r="31855" spans="18:19">
      <c r="R31855" s="178"/>
      <c r="S31855" s="178"/>
    </row>
    <row r="31856" spans="18:19">
      <c r="R31856" s="178"/>
      <c r="S31856" s="178"/>
    </row>
    <row r="31857" spans="18:19">
      <c r="R31857" s="178"/>
      <c r="S31857" s="178"/>
    </row>
    <row r="31858" spans="18:19">
      <c r="R31858" s="178"/>
      <c r="S31858" s="178"/>
    </row>
    <row r="31859" spans="18:19">
      <c r="R31859" s="178"/>
      <c r="S31859" s="178"/>
    </row>
    <row r="31860" spans="18:19">
      <c r="R31860" s="178"/>
      <c r="S31860" s="178"/>
    </row>
    <row r="31861" spans="18:19">
      <c r="R31861" s="178"/>
      <c r="S31861" s="178"/>
    </row>
    <row r="31862" spans="18:19">
      <c r="R31862" s="178"/>
      <c r="S31862" s="178"/>
    </row>
    <row r="31863" spans="18:19">
      <c r="R31863" s="178"/>
      <c r="S31863" s="178"/>
    </row>
    <row r="31864" spans="18:19">
      <c r="R31864" s="178"/>
      <c r="S31864" s="178"/>
    </row>
    <row r="31865" spans="18:19">
      <c r="R31865" s="178"/>
      <c r="S31865" s="178"/>
    </row>
    <row r="31866" spans="18:19">
      <c r="R31866" s="178"/>
      <c r="S31866" s="178"/>
    </row>
    <row r="31867" spans="18:19">
      <c r="R31867" s="178"/>
      <c r="S31867" s="178"/>
    </row>
    <row r="31868" spans="18:19">
      <c r="R31868" s="178"/>
      <c r="S31868" s="178"/>
    </row>
    <row r="31869" spans="18:19">
      <c r="R31869" s="178"/>
      <c r="S31869" s="178"/>
    </row>
    <row r="31870" spans="18:19">
      <c r="R31870" s="178"/>
      <c r="S31870" s="178"/>
    </row>
    <row r="31871" spans="18:19">
      <c r="R31871" s="178"/>
      <c r="S31871" s="178"/>
    </row>
    <row r="31872" spans="18:19">
      <c r="R31872" s="178"/>
      <c r="S31872" s="178"/>
    </row>
    <row r="31873" spans="18:19">
      <c r="R31873" s="178"/>
      <c r="S31873" s="178"/>
    </row>
    <row r="31874" spans="18:19">
      <c r="R31874" s="178"/>
      <c r="S31874" s="178"/>
    </row>
    <row r="31875" spans="18:19">
      <c r="R31875" s="178"/>
      <c r="S31875" s="178"/>
    </row>
    <row r="31876" spans="18:19">
      <c r="R31876" s="178"/>
      <c r="S31876" s="178"/>
    </row>
    <row r="31877" spans="18:19">
      <c r="R31877" s="178"/>
      <c r="S31877" s="178"/>
    </row>
    <row r="31878" spans="18:19">
      <c r="R31878" s="178"/>
      <c r="S31878" s="178"/>
    </row>
    <row r="31879" spans="18:19">
      <c r="R31879" s="178"/>
      <c r="S31879" s="178"/>
    </row>
    <row r="31880" spans="18:19">
      <c r="R31880" s="178"/>
      <c r="S31880" s="178"/>
    </row>
    <row r="31881" spans="18:19">
      <c r="R31881" s="178"/>
      <c r="S31881" s="178"/>
    </row>
    <row r="31882" spans="18:19">
      <c r="R31882" s="178"/>
      <c r="S31882" s="178"/>
    </row>
    <row r="31883" spans="18:19">
      <c r="R31883" s="178"/>
      <c r="S31883" s="178"/>
    </row>
    <row r="31884" spans="18:19">
      <c r="R31884" s="178"/>
      <c r="S31884" s="178"/>
    </row>
    <row r="31885" spans="18:19">
      <c r="R31885" s="178"/>
      <c r="S31885" s="178"/>
    </row>
    <row r="31886" spans="18:19">
      <c r="R31886" s="178"/>
      <c r="S31886" s="178"/>
    </row>
    <row r="31887" spans="18:19">
      <c r="R31887" s="178"/>
      <c r="S31887" s="178"/>
    </row>
    <row r="31888" spans="18:19">
      <c r="R31888" s="178"/>
      <c r="S31888" s="178"/>
    </row>
    <row r="31889" spans="18:19">
      <c r="R31889" s="178"/>
      <c r="S31889" s="178"/>
    </row>
    <row r="31890" spans="18:19">
      <c r="R31890" s="178"/>
      <c r="S31890" s="178"/>
    </row>
    <row r="31891" spans="18:19">
      <c r="R31891" s="178"/>
      <c r="S31891" s="178"/>
    </row>
    <row r="31892" spans="18:19">
      <c r="R31892" s="178"/>
      <c r="S31892" s="178"/>
    </row>
    <row r="31893" spans="18:19">
      <c r="R31893" s="178"/>
      <c r="S31893" s="178"/>
    </row>
    <row r="31894" spans="18:19">
      <c r="R31894" s="178"/>
      <c r="S31894" s="178"/>
    </row>
    <row r="31895" spans="18:19">
      <c r="R31895" s="178"/>
      <c r="S31895" s="178"/>
    </row>
    <row r="31896" spans="18:19">
      <c r="R31896" s="178"/>
      <c r="S31896" s="178"/>
    </row>
    <row r="31897" spans="18:19">
      <c r="R31897" s="178"/>
      <c r="S31897" s="178"/>
    </row>
    <row r="31898" spans="18:19">
      <c r="R31898" s="178"/>
      <c r="S31898" s="178"/>
    </row>
    <row r="31899" spans="18:19">
      <c r="R31899" s="178"/>
      <c r="S31899" s="178"/>
    </row>
    <row r="31900" spans="18:19">
      <c r="R31900" s="178"/>
      <c r="S31900" s="178"/>
    </row>
    <row r="31901" spans="18:19">
      <c r="R31901" s="178"/>
      <c r="S31901" s="178"/>
    </row>
    <row r="31902" spans="18:19">
      <c r="R31902" s="178"/>
      <c r="S31902" s="178"/>
    </row>
    <row r="31903" spans="18:19">
      <c r="R31903" s="178"/>
      <c r="S31903" s="178"/>
    </row>
    <row r="31904" spans="18:19">
      <c r="R31904" s="178"/>
      <c r="S31904" s="178"/>
    </row>
    <row r="31905" spans="18:19">
      <c r="R31905" s="178"/>
      <c r="S31905" s="178"/>
    </row>
    <row r="31906" spans="18:19">
      <c r="R31906" s="178"/>
      <c r="S31906" s="178"/>
    </row>
    <row r="31907" spans="18:19">
      <c r="R31907" s="178"/>
      <c r="S31907" s="178"/>
    </row>
    <row r="31908" spans="18:19">
      <c r="R31908" s="178"/>
      <c r="S31908" s="178"/>
    </row>
    <row r="31909" spans="18:19">
      <c r="R31909" s="178"/>
      <c r="S31909" s="178"/>
    </row>
    <row r="31910" spans="18:19">
      <c r="R31910" s="178"/>
      <c r="S31910" s="178"/>
    </row>
    <row r="31911" spans="18:19">
      <c r="R31911" s="178"/>
      <c r="S31911" s="178"/>
    </row>
    <row r="31912" spans="18:19">
      <c r="R31912" s="178"/>
      <c r="S31912" s="178"/>
    </row>
    <row r="31913" spans="18:19">
      <c r="R31913" s="178"/>
      <c r="S31913" s="178"/>
    </row>
    <row r="31914" spans="18:19">
      <c r="R31914" s="178"/>
      <c r="S31914" s="178"/>
    </row>
    <row r="31915" spans="18:19">
      <c r="R31915" s="178"/>
      <c r="S31915" s="178"/>
    </row>
    <row r="31916" spans="18:19">
      <c r="R31916" s="178"/>
      <c r="S31916" s="178"/>
    </row>
    <row r="31917" spans="18:19">
      <c r="R31917" s="178"/>
      <c r="S31917" s="178"/>
    </row>
    <row r="31918" spans="18:19">
      <c r="R31918" s="178"/>
      <c r="S31918" s="178"/>
    </row>
    <row r="31919" spans="18:19">
      <c r="R31919" s="178"/>
      <c r="S31919" s="178"/>
    </row>
    <row r="31920" spans="18:19">
      <c r="R31920" s="178"/>
      <c r="S31920" s="178"/>
    </row>
    <row r="31921" spans="18:19">
      <c r="R31921" s="178"/>
      <c r="S31921" s="178"/>
    </row>
    <row r="31922" spans="18:19">
      <c r="R31922" s="178"/>
      <c r="S31922" s="178"/>
    </row>
    <row r="31923" spans="18:19">
      <c r="R31923" s="178"/>
      <c r="S31923" s="178"/>
    </row>
    <row r="31924" spans="18:19">
      <c r="R31924" s="178"/>
      <c r="S31924" s="178"/>
    </row>
    <row r="31925" spans="18:19">
      <c r="R31925" s="178"/>
      <c r="S31925" s="178"/>
    </row>
    <row r="31926" spans="18:19">
      <c r="R31926" s="178"/>
      <c r="S31926" s="178"/>
    </row>
    <row r="31927" spans="18:19">
      <c r="R31927" s="178"/>
      <c r="S31927" s="178"/>
    </row>
    <row r="31928" spans="18:19">
      <c r="R31928" s="178"/>
      <c r="S31928" s="178"/>
    </row>
    <row r="31929" spans="18:19">
      <c r="R31929" s="178"/>
      <c r="S31929" s="178"/>
    </row>
    <row r="31930" spans="18:19">
      <c r="R31930" s="178"/>
      <c r="S31930" s="178"/>
    </row>
    <row r="31931" spans="18:19">
      <c r="R31931" s="178"/>
      <c r="S31931" s="178"/>
    </row>
    <row r="31932" spans="18:19">
      <c r="R31932" s="178"/>
      <c r="S31932" s="178"/>
    </row>
    <row r="31933" spans="18:19">
      <c r="R31933" s="178"/>
      <c r="S31933" s="178"/>
    </row>
    <row r="31934" spans="18:19">
      <c r="R31934" s="178"/>
      <c r="S31934" s="178"/>
    </row>
    <row r="31935" spans="18:19">
      <c r="R31935" s="178"/>
      <c r="S31935" s="178"/>
    </row>
    <row r="31936" spans="18:19">
      <c r="R31936" s="178"/>
      <c r="S31936" s="178"/>
    </row>
    <row r="31937" spans="18:19">
      <c r="R31937" s="178"/>
      <c r="S31937" s="178"/>
    </row>
    <row r="31938" spans="18:19">
      <c r="R31938" s="178"/>
      <c r="S31938" s="178"/>
    </row>
    <row r="31939" spans="18:19">
      <c r="R31939" s="178"/>
      <c r="S31939" s="178"/>
    </row>
    <row r="31940" spans="18:19">
      <c r="R31940" s="178"/>
      <c r="S31940" s="178"/>
    </row>
    <row r="31941" spans="18:19">
      <c r="R31941" s="178"/>
      <c r="S31941" s="178"/>
    </row>
    <row r="31942" spans="18:19">
      <c r="R31942" s="178"/>
      <c r="S31942" s="178"/>
    </row>
    <row r="31943" spans="18:19">
      <c r="R31943" s="178"/>
      <c r="S31943" s="178"/>
    </row>
    <row r="31944" spans="18:19">
      <c r="R31944" s="178"/>
      <c r="S31944" s="178"/>
    </row>
    <row r="31945" spans="18:19">
      <c r="R31945" s="178"/>
      <c r="S31945" s="178"/>
    </row>
    <row r="31946" spans="18:19">
      <c r="R31946" s="178"/>
      <c r="S31946" s="178"/>
    </row>
    <row r="31947" spans="18:19">
      <c r="R31947" s="178"/>
      <c r="S31947" s="178"/>
    </row>
    <row r="31948" spans="18:19">
      <c r="R31948" s="178"/>
      <c r="S31948" s="178"/>
    </row>
    <row r="31949" spans="18:19">
      <c r="R31949" s="178"/>
      <c r="S31949" s="178"/>
    </row>
    <row r="31950" spans="18:19">
      <c r="R31950" s="178"/>
      <c r="S31950" s="178"/>
    </row>
    <row r="31951" spans="18:19">
      <c r="R31951" s="178"/>
      <c r="S31951" s="178"/>
    </row>
    <row r="31952" spans="18:19">
      <c r="R31952" s="178"/>
      <c r="S31952" s="178"/>
    </row>
    <row r="31953" spans="18:19">
      <c r="R31953" s="178"/>
      <c r="S31953" s="178"/>
    </row>
    <row r="31954" spans="18:19">
      <c r="R31954" s="178"/>
      <c r="S31954" s="178"/>
    </row>
    <row r="31955" spans="18:19">
      <c r="R31955" s="178"/>
      <c r="S31955" s="178"/>
    </row>
    <row r="31956" spans="18:19">
      <c r="R31956" s="178"/>
      <c r="S31956" s="178"/>
    </row>
    <row r="31957" spans="18:19">
      <c r="R31957" s="178"/>
      <c r="S31957" s="178"/>
    </row>
    <row r="31958" spans="18:19">
      <c r="R31958" s="178"/>
      <c r="S31958" s="178"/>
    </row>
    <row r="31959" spans="18:19">
      <c r="R31959" s="178"/>
      <c r="S31959" s="178"/>
    </row>
    <row r="31960" spans="18:19">
      <c r="R31960" s="178"/>
      <c r="S31960" s="178"/>
    </row>
    <row r="31961" spans="18:19">
      <c r="R31961" s="178"/>
      <c r="S31961" s="178"/>
    </row>
    <row r="31962" spans="18:19">
      <c r="R31962" s="178"/>
      <c r="S31962" s="178"/>
    </row>
    <row r="31963" spans="18:19">
      <c r="R31963" s="178"/>
      <c r="S31963" s="178"/>
    </row>
    <row r="31964" spans="18:19">
      <c r="R31964" s="178"/>
      <c r="S31964" s="178"/>
    </row>
    <row r="31965" spans="18:19">
      <c r="R31965" s="178"/>
      <c r="S31965" s="178"/>
    </row>
    <row r="31966" spans="18:19">
      <c r="R31966" s="178"/>
      <c r="S31966" s="178"/>
    </row>
    <row r="31967" spans="18:19">
      <c r="R31967" s="178"/>
      <c r="S31967" s="178"/>
    </row>
    <row r="31968" spans="18:19">
      <c r="R31968" s="178"/>
      <c r="S31968" s="178"/>
    </row>
    <row r="31969" spans="18:19">
      <c r="R31969" s="178"/>
      <c r="S31969" s="178"/>
    </row>
    <row r="31970" spans="18:19">
      <c r="R31970" s="178"/>
      <c r="S31970" s="178"/>
    </row>
    <row r="31971" spans="18:19">
      <c r="R31971" s="178"/>
      <c r="S31971" s="178"/>
    </row>
    <row r="31972" spans="18:19">
      <c r="R31972" s="178"/>
      <c r="S31972" s="178"/>
    </row>
    <row r="31973" spans="18:19">
      <c r="R31973" s="178"/>
      <c r="S31973" s="178"/>
    </row>
    <row r="31974" spans="18:19">
      <c r="R31974" s="178"/>
      <c r="S31974" s="178"/>
    </row>
    <row r="31975" spans="18:19">
      <c r="R31975" s="178"/>
      <c r="S31975" s="178"/>
    </row>
    <row r="31976" spans="18:19">
      <c r="R31976" s="178"/>
      <c r="S31976" s="178"/>
    </row>
    <row r="31977" spans="18:19">
      <c r="R31977" s="178"/>
      <c r="S31977" s="178"/>
    </row>
    <row r="31978" spans="18:19">
      <c r="R31978" s="178"/>
      <c r="S31978" s="178"/>
    </row>
    <row r="31979" spans="18:19">
      <c r="R31979" s="178"/>
      <c r="S31979" s="178"/>
    </row>
    <row r="31980" spans="18:19">
      <c r="R31980" s="178"/>
      <c r="S31980" s="178"/>
    </row>
    <row r="31981" spans="18:19">
      <c r="R31981" s="178"/>
      <c r="S31981" s="178"/>
    </row>
    <row r="31982" spans="18:19">
      <c r="R31982" s="178"/>
      <c r="S31982" s="178"/>
    </row>
    <row r="31983" spans="18:19">
      <c r="R31983" s="178"/>
      <c r="S31983" s="178"/>
    </row>
    <row r="31984" spans="18:19">
      <c r="R31984" s="178"/>
      <c r="S31984" s="178"/>
    </row>
    <row r="31985" spans="18:19">
      <c r="R31985" s="178"/>
      <c r="S31985" s="178"/>
    </row>
    <row r="31986" spans="18:19">
      <c r="R31986" s="178"/>
      <c r="S31986" s="178"/>
    </row>
    <row r="31987" spans="18:19">
      <c r="R31987" s="178"/>
      <c r="S31987" s="178"/>
    </row>
    <row r="31988" spans="18:19">
      <c r="R31988" s="178"/>
      <c r="S31988" s="178"/>
    </row>
    <row r="31989" spans="18:19">
      <c r="R31989" s="178"/>
      <c r="S31989" s="178"/>
    </row>
    <row r="31990" spans="18:19">
      <c r="R31990" s="178"/>
      <c r="S31990" s="178"/>
    </row>
    <row r="31991" spans="18:19">
      <c r="R31991" s="178"/>
      <c r="S31991" s="178"/>
    </row>
    <row r="31992" spans="18:19">
      <c r="R31992" s="178"/>
      <c r="S31992" s="178"/>
    </row>
    <row r="31993" spans="18:19">
      <c r="R31993" s="178"/>
      <c r="S31993" s="178"/>
    </row>
    <row r="31994" spans="18:19">
      <c r="R31994" s="178"/>
      <c r="S31994" s="178"/>
    </row>
    <row r="31995" spans="18:19">
      <c r="R31995" s="178"/>
      <c r="S31995" s="178"/>
    </row>
    <row r="31996" spans="18:19">
      <c r="R31996" s="178"/>
      <c r="S31996" s="178"/>
    </row>
    <row r="31997" spans="18:19">
      <c r="R31997" s="178"/>
      <c r="S31997" s="178"/>
    </row>
    <row r="31998" spans="18:19">
      <c r="R31998" s="178"/>
      <c r="S31998" s="178"/>
    </row>
    <row r="31999" spans="18:19">
      <c r="R31999" s="178"/>
      <c r="S31999" s="178"/>
    </row>
    <row r="32000" spans="18:19">
      <c r="R32000" s="178"/>
      <c r="S32000" s="178"/>
    </row>
    <row r="32001" spans="18:19">
      <c r="R32001" s="178"/>
      <c r="S32001" s="178"/>
    </row>
    <row r="32002" spans="18:19">
      <c r="R32002" s="178"/>
      <c r="S32002" s="178"/>
    </row>
    <row r="32003" spans="18:19">
      <c r="R32003" s="178"/>
      <c r="S32003" s="178"/>
    </row>
    <row r="32004" spans="18:19">
      <c r="R32004" s="178"/>
      <c r="S32004" s="178"/>
    </row>
    <row r="32005" spans="18:19">
      <c r="R32005" s="178"/>
      <c r="S32005" s="178"/>
    </row>
    <row r="32006" spans="18:19">
      <c r="R32006" s="178"/>
      <c r="S32006" s="178"/>
    </row>
    <row r="32007" spans="18:19">
      <c r="R32007" s="178"/>
      <c r="S32007" s="178"/>
    </row>
    <row r="32008" spans="18:19">
      <c r="R32008" s="178"/>
      <c r="S32008" s="178"/>
    </row>
    <row r="32009" spans="18:19">
      <c r="R32009" s="178"/>
      <c r="S32009" s="178"/>
    </row>
    <row r="32010" spans="18:19">
      <c r="R32010" s="178"/>
      <c r="S32010" s="178"/>
    </row>
    <row r="32011" spans="18:19">
      <c r="R32011" s="178"/>
      <c r="S32011" s="178"/>
    </row>
    <row r="32012" spans="18:19">
      <c r="R32012" s="178"/>
      <c r="S32012" s="178"/>
    </row>
    <row r="32013" spans="18:19">
      <c r="R32013" s="178"/>
      <c r="S32013" s="178"/>
    </row>
    <row r="32014" spans="18:19">
      <c r="R32014" s="178"/>
      <c r="S32014" s="178"/>
    </row>
    <row r="32015" spans="18:19">
      <c r="R32015" s="178"/>
      <c r="S32015" s="178"/>
    </row>
    <row r="32016" spans="18:19">
      <c r="R32016" s="178"/>
      <c r="S32016" s="178"/>
    </row>
    <row r="32017" spans="18:19">
      <c r="R32017" s="178"/>
      <c r="S32017" s="178"/>
    </row>
    <row r="32018" spans="18:19">
      <c r="R32018" s="178"/>
      <c r="S32018" s="178"/>
    </row>
    <row r="32019" spans="18:19">
      <c r="R32019" s="178"/>
      <c r="S32019" s="178"/>
    </row>
    <row r="32020" spans="18:19">
      <c r="R32020" s="178"/>
      <c r="S32020" s="178"/>
    </row>
    <row r="32021" spans="18:19">
      <c r="R32021" s="178"/>
      <c r="S32021" s="178"/>
    </row>
    <row r="32022" spans="18:19">
      <c r="R32022" s="178"/>
      <c r="S32022" s="178"/>
    </row>
    <row r="32023" spans="18:19">
      <c r="R32023" s="178"/>
      <c r="S32023" s="178"/>
    </row>
    <row r="32024" spans="18:19">
      <c r="R32024" s="178"/>
      <c r="S32024" s="178"/>
    </row>
    <row r="32025" spans="18:19">
      <c r="R32025" s="178"/>
      <c r="S32025" s="178"/>
    </row>
    <row r="32026" spans="18:19">
      <c r="R32026" s="178"/>
      <c r="S32026" s="178"/>
    </row>
    <row r="32027" spans="18:19">
      <c r="R32027" s="178"/>
      <c r="S32027" s="178"/>
    </row>
    <row r="32028" spans="18:19">
      <c r="R32028" s="178"/>
      <c r="S32028" s="178"/>
    </row>
    <row r="32029" spans="18:19">
      <c r="R32029" s="178"/>
      <c r="S32029" s="178"/>
    </row>
    <row r="32030" spans="18:19">
      <c r="R32030" s="178"/>
      <c r="S32030" s="178"/>
    </row>
    <row r="32031" spans="18:19">
      <c r="R32031" s="178"/>
      <c r="S32031" s="178"/>
    </row>
    <row r="32032" spans="18:19">
      <c r="R32032" s="178"/>
      <c r="S32032" s="178"/>
    </row>
    <row r="32033" spans="18:19">
      <c r="R32033" s="178"/>
      <c r="S32033" s="178"/>
    </row>
    <row r="32034" spans="18:19">
      <c r="R32034" s="178"/>
      <c r="S32034" s="178"/>
    </row>
    <row r="32035" spans="18:19">
      <c r="R32035" s="178"/>
      <c r="S32035" s="178"/>
    </row>
    <row r="32036" spans="18:19">
      <c r="R32036" s="178"/>
      <c r="S32036" s="178"/>
    </row>
    <row r="32037" spans="18:19">
      <c r="R32037" s="178"/>
      <c r="S32037" s="178"/>
    </row>
    <row r="32038" spans="18:19">
      <c r="R32038" s="178"/>
      <c r="S32038" s="178"/>
    </row>
    <row r="32039" spans="18:19">
      <c r="R32039" s="178"/>
      <c r="S32039" s="178"/>
    </row>
    <row r="32040" spans="18:19">
      <c r="R32040" s="178"/>
      <c r="S32040" s="178"/>
    </row>
    <row r="32041" spans="18:19">
      <c r="R32041" s="178"/>
      <c r="S32041" s="178"/>
    </row>
    <row r="32042" spans="18:19">
      <c r="R32042" s="178"/>
      <c r="S32042" s="178"/>
    </row>
    <row r="32043" spans="18:19">
      <c r="R32043" s="178"/>
      <c r="S32043" s="178"/>
    </row>
    <row r="32044" spans="18:19">
      <c r="R32044" s="178"/>
      <c r="S32044" s="178"/>
    </row>
    <row r="32045" spans="18:19">
      <c r="R32045" s="178"/>
      <c r="S32045" s="178"/>
    </row>
    <row r="32046" spans="18:19">
      <c r="R32046" s="178"/>
      <c r="S32046" s="178"/>
    </row>
    <row r="32047" spans="18:19">
      <c r="R32047" s="178"/>
      <c r="S32047" s="178"/>
    </row>
    <row r="32048" spans="18:19">
      <c r="R32048" s="178"/>
      <c r="S32048" s="178"/>
    </row>
    <row r="32049" spans="18:19">
      <c r="R32049" s="178"/>
      <c r="S32049" s="178"/>
    </row>
    <row r="32050" spans="18:19">
      <c r="R32050" s="178"/>
      <c r="S32050" s="178"/>
    </row>
    <row r="32051" spans="18:19">
      <c r="R32051" s="178"/>
      <c r="S32051" s="178"/>
    </row>
    <row r="32052" spans="18:19">
      <c r="R32052" s="178"/>
      <c r="S32052" s="178"/>
    </row>
    <row r="32053" spans="18:19">
      <c r="R32053" s="178"/>
      <c r="S32053" s="178"/>
    </row>
    <row r="32054" spans="18:19">
      <c r="R32054" s="178"/>
      <c r="S32054" s="178"/>
    </row>
    <row r="32055" spans="18:19">
      <c r="R32055" s="178"/>
      <c r="S32055" s="178"/>
    </row>
    <row r="32056" spans="18:19">
      <c r="R32056" s="178"/>
      <c r="S32056" s="178"/>
    </row>
    <row r="32057" spans="18:19">
      <c r="R32057" s="178"/>
      <c r="S32057" s="178"/>
    </row>
    <row r="32058" spans="18:19">
      <c r="R32058" s="178"/>
      <c r="S32058" s="178"/>
    </row>
    <row r="32059" spans="18:19">
      <c r="R32059" s="178"/>
      <c r="S32059" s="178"/>
    </row>
    <row r="32060" spans="18:19">
      <c r="R32060" s="178"/>
      <c r="S32060" s="178"/>
    </row>
    <row r="32061" spans="18:19">
      <c r="R32061" s="178"/>
      <c r="S32061" s="178"/>
    </row>
    <row r="32062" spans="18:19">
      <c r="R32062" s="178"/>
      <c r="S32062" s="178"/>
    </row>
    <row r="32063" spans="18:19">
      <c r="R32063" s="178"/>
      <c r="S32063" s="178"/>
    </row>
    <row r="32064" spans="18:19">
      <c r="R32064" s="178"/>
      <c r="S32064" s="178"/>
    </row>
    <row r="32065" spans="18:19">
      <c r="R32065" s="178"/>
      <c r="S32065" s="178"/>
    </row>
    <row r="32066" spans="18:19">
      <c r="R32066" s="178"/>
      <c r="S32066" s="178"/>
    </row>
    <row r="32067" spans="18:19">
      <c r="R32067" s="178"/>
      <c r="S32067" s="178"/>
    </row>
    <row r="32068" spans="18:19">
      <c r="R32068" s="178"/>
      <c r="S32068" s="178"/>
    </row>
    <row r="32069" spans="18:19">
      <c r="R32069" s="178"/>
      <c r="S32069" s="178"/>
    </row>
    <row r="32070" spans="18:19">
      <c r="R32070" s="178"/>
      <c r="S32070" s="178"/>
    </row>
    <row r="32071" spans="18:19">
      <c r="R32071" s="178"/>
      <c r="S32071" s="178"/>
    </row>
    <row r="32072" spans="18:19">
      <c r="R32072" s="178"/>
      <c r="S32072" s="178"/>
    </row>
    <row r="32073" spans="18:19">
      <c r="R32073" s="178"/>
      <c r="S32073" s="178"/>
    </row>
    <row r="32074" spans="18:19">
      <c r="R32074" s="178"/>
      <c r="S32074" s="178"/>
    </row>
    <row r="32075" spans="18:19">
      <c r="R32075" s="178"/>
      <c r="S32075" s="178"/>
    </row>
    <row r="32076" spans="18:19">
      <c r="R32076" s="178"/>
      <c r="S32076" s="178"/>
    </row>
    <row r="32077" spans="18:19">
      <c r="R32077" s="178"/>
      <c r="S32077" s="178"/>
    </row>
    <row r="32078" spans="18:19">
      <c r="R32078" s="178"/>
      <c r="S32078" s="178"/>
    </row>
    <row r="32079" spans="18:19">
      <c r="R32079" s="178"/>
      <c r="S32079" s="178"/>
    </row>
    <row r="32080" spans="18:19">
      <c r="R32080" s="178"/>
      <c r="S32080" s="178"/>
    </row>
    <row r="32081" spans="18:19">
      <c r="R32081" s="178"/>
      <c r="S32081" s="178"/>
    </row>
    <row r="32082" spans="18:19">
      <c r="R32082" s="178"/>
      <c r="S32082" s="178"/>
    </row>
    <row r="32083" spans="18:19">
      <c r="R32083" s="178"/>
      <c r="S32083" s="178"/>
    </row>
    <row r="32084" spans="18:19">
      <c r="R32084" s="178"/>
      <c r="S32084" s="178"/>
    </row>
    <row r="32085" spans="18:19">
      <c r="R32085" s="178"/>
      <c r="S32085" s="178"/>
    </row>
    <row r="32086" spans="18:19">
      <c r="R32086" s="178"/>
      <c r="S32086" s="178"/>
    </row>
    <row r="32087" spans="18:19">
      <c r="R32087" s="178"/>
      <c r="S32087" s="178"/>
    </row>
    <row r="32088" spans="18:19">
      <c r="R32088" s="178"/>
      <c r="S32088" s="178"/>
    </row>
    <row r="32089" spans="18:19">
      <c r="R32089" s="178"/>
      <c r="S32089" s="178"/>
    </row>
    <row r="32090" spans="18:19">
      <c r="R32090" s="178"/>
      <c r="S32090" s="178"/>
    </row>
    <row r="32091" spans="18:19">
      <c r="R32091" s="178"/>
      <c r="S32091" s="178"/>
    </row>
    <row r="32092" spans="18:19">
      <c r="R32092" s="178"/>
      <c r="S32092" s="178"/>
    </row>
    <row r="32093" spans="18:19">
      <c r="R32093" s="178"/>
      <c r="S32093" s="178"/>
    </row>
    <row r="32094" spans="18:19">
      <c r="R32094" s="178"/>
      <c r="S32094" s="178"/>
    </row>
    <row r="32095" spans="18:19">
      <c r="R32095" s="178"/>
      <c r="S32095" s="178"/>
    </row>
    <row r="32096" spans="18:19">
      <c r="R32096" s="178"/>
      <c r="S32096" s="178"/>
    </row>
    <row r="32097" spans="18:19">
      <c r="R32097" s="178"/>
      <c r="S32097" s="178"/>
    </row>
    <row r="32098" spans="18:19">
      <c r="R32098" s="178"/>
      <c r="S32098" s="178"/>
    </row>
    <row r="32099" spans="18:19">
      <c r="R32099" s="178"/>
      <c r="S32099" s="178"/>
    </row>
    <row r="32100" spans="18:19">
      <c r="R32100" s="178"/>
      <c r="S32100" s="178"/>
    </row>
    <row r="32101" spans="18:19">
      <c r="R32101" s="178"/>
      <c r="S32101" s="178"/>
    </row>
    <row r="32102" spans="18:19">
      <c r="R32102" s="178"/>
      <c r="S32102" s="178"/>
    </row>
    <row r="32103" spans="18:19">
      <c r="R32103" s="178"/>
      <c r="S32103" s="178"/>
    </row>
    <row r="32104" spans="18:19">
      <c r="R32104" s="178"/>
      <c r="S32104" s="178"/>
    </row>
    <row r="32105" spans="18:19">
      <c r="R32105" s="178"/>
      <c r="S32105" s="178"/>
    </row>
    <row r="32106" spans="18:19">
      <c r="R32106" s="178"/>
      <c r="S32106" s="178"/>
    </row>
    <row r="32107" spans="18:19">
      <c r="R32107" s="178"/>
      <c r="S32107" s="178"/>
    </row>
    <row r="32108" spans="18:19">
      <c r="R32108" s="178"/>
      <c r="S32108" s="178"/>
    </row>
    <row r="32109" spans="18:19">
      <c r="R32109" s="178"/>
      <c r="S32109" s="178"/>
    </row>
    <row r="32110" spans="18:19">
      <c r="R32110" s="178"/>
      <c r="S32110" s="178"/>
    </row>
    <row r="32111" spans="18:19">
      <c r="R32111" s="178"/>
      <c r="S32111" s="178"/>
    </row>
    <row r="32112" spans="18:19">
      <c r="R32112" s="178"/>
      <c r="S32112" s="178"/>
    </row>
    <row r="32113" spans="18:19">
      <c r="R32113" s="178"/>
      <c r="S32113" s="178"/>
    </row>
    <row r="32114" spans="18:19">
      <c r="R32114" s="178"/>
      <c r="S32114" s="178"/>
    </row>
    <row r="32115" spans="18:19">
      <c r="R32115" s="178"/>
      <c r="S32115" s="178"/>
    </row>
    <row r="32116" spans="18:19">
      <c r="R32116" s="178"/>
      <c r="S32116" s="178"/>
    </row>
    <row r="32117" spans="18:19">
      <c r="R32117" s="178"/>
      <c r="S32117" s="178"/>
    </row>
    <row r="32118" spans="18:19">
      <c r="R32118" s="178"/>
      <c r="S32118" s="178"/>
    </row>
    <row r="32119" spans="18:19">
      <c r="R32119" s="178"/>
      <c r="S32119" s="178"/>
    </row>
    <row r="32120" spans="18:19">
      <c r="R32120" s="178"/>
      <c r="S32120" s="178"/>
    </row>
    <row r="32121" spans="18:19">
      <c r="R32121" s="178"/>
      <c r="S32121" s="178"/>
    </row>
    <row r="32122" spans="18:19">
      <c r="R32122" s="178"/>
      <c r="S32122" s="178"/>
    </row>
    <row r="32123" spans="18:19">
      <c r="R32123" s="178"/>
      <c r="S32123" s="178"/>
    </row>
    <row r="32124" spans="18:19">
      <c r="R32124" s="178"/>
      <c r="S32124" s="178"/>
    </row>
    <row r="32125" spans="18:19">
      <c r="R32125" s="178"/>
      <c r="S32125" s="178"/>
    </row>
    <row r="32126" spans="18:19">
      <c r="R32126" s="178"/>
      <c r="S32126" s="178"/>
    </row>
    <row r="32127" spans="18:19">
      <c r="R32127" s="178"/>
      <c r="S32127" s="178"/>
    </row>
    <row r="32128" spans="18:19">
      <c r="R32128" s="178"/>
      <c r="S32128" s="178"/>
    </row>
    <row r="32129" spans="18:19">
      <c r="R32129" s="178"/>
      <c r="S32129" s="178"/>
    </row>
    <row r="32130" spans="18:19">
      <c r="R32130" s="178"/>
      <c r="S32130" s="178"/>
    </row>
    <row r="32131" spans="18:19">
      <c r="R32131" s="178"/>
      <c r="S32131" s="178"/>
    </row>
    <row r="32132" spans="18:19">
      <c r="R32132" s="178"/>
      <c r="S32132" s="178"/>
    </row>
    <row r="32133" spans="18:19">
      <c r="R32133" s="178"/>
      <c r="S32133" s="178"/>
    </row>
    <row r="32134" spans="18:19">
      <c r="R32134" s="178"/>
      <c r="S32134" s="178"/>
    </row>
    <row r="32135" spans="18:19">
      <c r="R32135" s="178"/>
      <c r="S32135" s="178"/>
    </row>
    <row r="32136" spans="18:19">
      <c r="R32136" s="178"/>
      <c r="S32136" s="178"/>
    </row>
    <row r="32137" spans="18:19">
      <c r="R32137" s="178"/>
      <c r="S32137" s="178"/>
    </row>
    <row r="32138" spans="18:19">
      <c r="R32138" s="178"/>
      <c r="S32138" s="178"/>
    </row>
    <row r="32139" spans="18:19">
      <c r="R32139" s="178"/>
      <c r="S32139" s="178"/>
    </row>
    <row r="32140" spans="18:19">
      <c r="R32140" s="178"/>
      <c r="S32140" s="178"/>
    </row>
    <row r="32141" spans="18:19">
      <c r="R32141" s="178"/>
      <c r="S32141" s="178"/>
    </row>
    <row r="32142" spans="18:19">
      <c r="R32142" s="178"/>
      <c r="S32142" s="178"/>
    </row>
    <row r="32143" spans="18:19">
      <c r="R32143" s="178"/>
      <c r="S32143" s="178"/>
    </row>
    <row r="32144" spans="18:19">
      <c r="R32144" s="178"/>
      <c r="S32144" s="178"/>
    </row>
    <row r="32145" spans="18:19">
      <c r="R32145" s="178"/>
      <c r="S32145" s="178"/>
    </row>
    <row r="32146" spans="18:19">
      <c r="R32146" s="178"/>
      <c r="S32146" s="178"/>
    </row>
    <row r="32147" spans="18:19">
      <c r="R32147" s="178"/>
      <c r="S32147" s="178"/>
    </row>
    <row r="32148" spans="18:19">
      <c r="R32148" s="178"/>
      <c r="S32148" s="178"/>
    </row>
    <row r="32149" spans="18:19">
      <c r="R32149" s="178"/>
      <c r="S32149" s="178"/>
    </row>
    <row r="32150" spans="18:19">
      <c r="R32150" s="178"/>
      <c r="S32150" s="178"/>
    </row>
    <row r="32151" spans="18:19">
      <c r="R32151" s="178"/>
      <c r="S32151" s="178"/>
    </row>
    <row r="32152" spans="18:19">
      <c r="R32152" s="178"/>
      <c r="S32152" s="178"/>
    </row>
    <row r="32153" spans="18:19">
      <c r="R32153" s="178"/>
      <c r="S32153" s="178"/>
    </row>
    <row r="32154" spans="18:19">
      <c r="R32154" s="178"/>
      <c r="S32154" s="178"/>
    </row>
    <row r="32155" spans="18:19">
      <c r="R32155" s="178"/>
      <c r="S32155" s="178"/>
    </row>
    <row r="32156" spans="18:19">
      <c r="R32156" s="178"/>
      <c r="S32156" s="178"/>
    </row>
    <row r="32157" spans="18:19">
      <c r="R32157" s="178"/>
      <c r="S32157" s="178"/>
    </row>
    <row r="32158" spans="18:19">
      <c r="R32158" s="178"/>
      <c r="S32158" s="178"/>
    </row>
    <row r="32159" spans="18:19">
      <c r="R32159" s="178"/>
      <c r="S32159" s="178"/>
    </row>
    <row r="32160" spans="18:19">
      <c r="R32160" s="178"/>
      <c r="S32160" s="178"/>
    </row>
    <row r="32161" spans="18:19">
      <c r="R32161" s="178"/>
      <c r="S32161" s="178"/>
    </row>
    <row r="32162" spans="18:19">
      <c r="R32162" s="178"/>
      <c r="S32162" s="178"/>
    </row>
    <row r="32163" spans="18:19">
      <c r="R32163" s="178"/>
      <c r="S32163" s="178"/>
    </row>
    <row r="32164" spans="18:19">
      <c r="R32164" s="178"/>
      <c r="S32164" s="178"/>
    </row>
    <row r="32165" spans="18:19">
      <c r="R32165" s="178"/>
      <c r="S32165" s="178"/>
    </row>
    <row r="32166" spans="18:19">
      <c r="R32166" s="178"/>
      <c r="S32166" s="178"/>
    </row>
    <row r="32167" spans="18:19">
      <c r="R32167" s="178"/>
      <c r="S32167" s="178"/>
    </row>
    <row r="32168" spans="18:19">
      <c r="R32168" s="178"/>
      <c r="S32168" s="178"/>
    </row>
    <row r="32169" spans="18:19">
      <c r="R32169" s="178"/>
      <c r="S32169" s="178"/>
    </row>
    <row r="32170" spans="18:19">
      <c r="R32170" s="178"/>
      <c r="S32170" s="178"/>
    </row>
    <row r="32171" spans="18:19">
      <c r="R32171" s="178"/>
      <c r="S32171" s="178"/>
    </row>
    <row r="32172" spans="18:19">
      <c r="R32172" s="178"/>
      <c r="S32172" s="178"/>
    </row>
    <row r="32173" spans="18:19">
      <c r="R32173" s="178"/>
      <c r="S32173" s="178"/>
    </row>
    <row r="32174" spans="18:19">
      <c r="R32174" s="178"/>
      <c r="S32174" s="178"/>
    </row>
    <row r="32175" spans="18:19">
      <c r="R32175" s="178"/>
      <c r="S32175" s="178"/>
    </row>
    <row r="32176" spans="18:19">
      <c r="R32176" s="178"/>
      <c r="S32176" s="178"/>
    </row>
    <row r="32177" spans="18:19">
      <c r="R32177" s="178"/>
      <c r="S32177" s="178"/>
    </row>
    <row r="32178" spans="18:19">
      <c r="R32178" s="178"/>
      <c r="S32178" s="178"/>
    </row>
    <row r="32179" spans="18:19">
      <c r="R32179" s="178"/>
      <c r="S32179" s="178"/>
    </row>
    <row r="32180" spans="18:19">
      <c r="R32180" s="178"/>
      <c r="S32180" s="178"/>
    </row>
    <row r="32181" spans="18:19">
      <c r="R32181" s="178"/>
      <c r="S32181" s="178"/>
    </row>
    <row r="32182" spans="18:19">
      <c r="R32182" s="178"/>
      <c r="S32182" s="178"/>
    </row>
    <row r="32183" spans="18:19">
      <c r="R32183" s="178"/>
      <c r="S32183" s="178"/>
    </row>
    <row r="32184" spans="18:19">
      <c r="R32184" s="178"/>
      <c r="S32184" s="178"/>
    </row>
    <row r="32185" spans="18:19">
      <c r="R32185" s="178"/>
      <c r="S32185" s="178"/>
    </row>
    <row r="32186" spans="18:19">
      <c r="R32186" s="178"/>
      <c r="S32186" s="178"/>
    </row>
    <row r="32187" spans="18:19">
      <c r="R32187" s="178"/>
      <c r="S32187" s="178"/>
    </row>
    <row r="32188" spans="18:19">
      <c r="R32188" s="178"/>
      <c r="S32188" s="178"/>
    </row>
    <row r="32189" spans="18:19">
      <c r="R32189" s="178"/>
      <c r="S32189" s="178"/>
    </row>
    <row r="32190" spans="18:19">
      <c r="R32190" s="178"/>
      <c r="S32190" s="178"/>
    </row>
    <row r="32191" spans="18:19">
      <c r="R32191" s="178"/>
      <c r="S32191" s="178"/>
    </row>
    <row r="32192" spans="18:19">
      <c r="R32192" s="178"/>
      <c r="S32192" s="178"/>
    </row>
    <row r="32193" spans="18:19">
      <c r="R32193" s="178"/>
      <c r="S32193" s="178"/>
    </row>
    <row r="32194" spans="18:19">
      <c r="R32194" s="178"/>
      <c r="S32194" s="178"/>
    </row>
    <row r="32195" spans="18:19">
      <c r="R32195" s="178"/>
      <c r="S32195" s="178"/>
    </row>
    <row r="32196" spans="18:19">
      <c r="R32196" s="178"/>
      <c r="S32196" s="178"/>
    </row>
    <row r="32197" spans="18:19">
      <c r="R32197" s="178"/>
      <c r="S32197" s="178"/>
    </row>
    <row r="32198" spans="18:19">
      <c r="R32198" s="178"/>
      <c r="S32198" s="178"/>
    </row>
    <row r="32199" spans="18:19">
      <c r="R32199" s="178"/>
      <c r="S32199" s="178"/>
    </row>
    <row r="32200" spans="18:19">
      <c r="R32200" s="178"/>
      <c r="S32200" s="178"/>
    </row>
    <row r="32201" spans="18:19">
      <c r="R32201" s="178"/>
      <c r="S32201" s="178"/>
    </row>
    <row r="32202" spans="18:19">
      <c r="R32202" s="178"/>
      <c r="S32202" s="178"/>
    </row>
    <row r="32203" spans="18:19">
      <c r="R32203" s="178"/>
      <c r="S32203" s="178"/>
    </row>
    <row r="32204" spans="18:19">
      <c r="R32204" s="178"/>
      <c r="S32204" s="178"/>
    </row>
    <row r="32205" spans="18:19">
      <c r="R32205" s="178"/>
      <c r="S32205" s="178"/>
    </row>
    <row r="32206" spans="18:19">
      <c r="R32206" s="178"/>
      <c r="S32206" s="178"/>
    </row>
    <row r="32207" spans="18:19">
      <c r="R32207" s="178"/>
      <c r="S32207" s="178"/>
    </row>
    <row r="32208" spans="18:19">
      <c r="R32208" s="178"/>
      <c r="S32208" s="178"/>
    </row>
    <row r="32209" spans="18:19">
      <c r="R32209" s="178"/>
      <c r="S32209" s="178"/>
    </row>
    <row r="32210" spans="18:19">
      <c r="R32210" s="178"/>
      <c r="S32210" s="178"/>
    </row>
    <row r="32211" spans="18:19">
      <c r="R32211" s="178"/>
      <c r="S32211" s="178"/>
    </row>
    <row r="32212" spans="18:19">
      <c r="R32212" s="178"/>
      <c r="S32212" s="178"/>
    </row>
    <row r="32213" spans="18:19">
      <c r="R32213" s="178"/>
      <c r="S32213" s="178"/>
    </row>
    <row r="32214" spans="18:19">
      <c r="R32214" s="178"/>
      <c r="S32214" s="178"/>
    </row>
    <row r="32215" spans="18:19">
      <c r="R32215" s="178"/>
      <c r="S32215" s="178"/>
    </row>
    <row r="32216" spans="18:19">
      <c r="R32216" s="178"/>
      <c r="S32216" s="178"/>
    </row>
    <row r="32217" spans="18:19">
      <c r="R32217" s="178"/>
      <c r="S32217" s="178"/>
    </row>
    <row r="32218" spans="18:19">
      <c r="R32218" s="178"/>
      <c r="S32218" s="178"/>
    </row>
    <row r="32219" spans="18:19">
      <c r="R32219" s="178"/>
      <c r="S32219" s="178"/>
    </row>
    <row r="32220" spans="18:19">
      <c r="R32220" s="178"/>
      <c r="S32220" s="178"/>
    </row>
    <row r="32221" spans="18:19">
      <c r="R32221" s="178"/>
      <c r="S32221" s="178"/>
    </row>
    <row r="32222" spans="18:19">
      <c r="R32222" s="178"/>
      <c r="S32222" s="178"/>
    </row>
    <row r="32223" spans="18:19">
      <c r="R32223" s="178"/>
      <c r="S32223" s="178"/>
    </row>
    <row r="32224" spans="18:19">
      <c r="R32224" s="178"/>
      <c r="S32224" s="178"/>
    </row>
    <row r="32225" spans="18:19">
      <c r="R32225" s="178"/>
      <c r="S32225" s="178"/>
    </row>
    <row r="32226" spans="18:19">
      <c r="R32226" s="178"/>
      <c r="S32226" s="178"/>
    </row>
    <row r="32227" spans="18:19">
      <c r="R32227" s="178"/>
      <c r="S32227" s="178"/>
    </row>
    <row r="32228" spans="18:19">
      <c r="R32228" s="178"/>
      <c r="S32228" s="178"/>
    </row>
    <row r="32229" spans="18:19">
      <c r="R32229" s="178"/>
      <c r="S32229" s="178"/>
    </row>
    <row r="32230" spans="18:19">
      <c r="R32230" s="178"/>
      <c r="S32230" s="178"/>
    </row>
    <row r="32231" spans="18:19">
      <c r="R32231" s="178"/>
      <c r="S32231" s="178"/>
    </row>
    <row r="32232" spans="18:19">
      <c r="R32232" s="178"/>
      <c r="S32232" s="178"/>
    </row>
    <row r="32233" spans="18:19">
      <c r="R32233" s="178"/>
      <c r="S32233" s="178"/>
    </row>
    <row r="32234" spans="18:19">
      <c r="R32234" s="178"/>
      <c r="S32234" s="178"/>
    </row>
    <row r="32235" spans="18:19">
      <c r="R32235" s="178"/>
      <c r="S32235" s="178"/>
    </row>
    <row r="32236" spans="18:19">
      <c r="R32236" s="178"/>
      <c r="S32236" s="178"/>
    </row>
    <row r="32237" spans="18:19">
      <c r="R32237" s="178"/>
      <c r="S32237" s="178"/>
    </row>
    <row r="32238" spans="18:19">
      <c r="R32238" s="178"/>
      <c r="S32238" s="178"/>
    </row>
    <row r="32239" spans="18:19">
      <c r="R32239" s="178"/>
      <c r="S32239" s="178"/>
    </row>
    <row r="32240" spans="18:19">
      <c r="R32240" s="178"/>
      <c r="S32240" s="178"/>
    </row>
    <row r="32241" spans="18:19">
      <c r="R32241" s="178"/>
      <c r="S32241" s="178"/>
    </row>
    <row r="32242" spans="18:19">
      <c r="R32242" s="178"/>
      <c r="S32242" s="178"/>
    </row>
    <row r="32243" spans="18:19">
      <c r="R32243" s="178"/>
      <c r="S32243" s="178"/>
    </row>
    <row r="32244" spans="18:19">
      <c r="R32244" s="178"/>
      <c r="S32244" s="178"/>
    </row>
    <row r="32245" spans="18:19">
      <c r="R32245" s="178"/>
      <c r="S32245" s="178"/>
    </row>
    <row r="32246" spans="18:19">
      <c r="R32246" s="178"/>
      <c r="S32246" s="178"/>
    </row>
    <row r="32247" spans="18:19">
      <c r="R32247" s="178"/>
      <c r="S32247" s="178"/>
    </row>
    <row r="32248" spans="18:19">
      <c r="R32248" s="178"/>
      <c r="S32248" s="178"/>
    </row>
    <row r="32249" spans="18:19">
      <c r="R32249" s="178"/>
      <c r="S32249" s="178"/>
    </row>
    <row r="32250" spans="18:19">
      <c r="R32250" s="178"/>
      <c r="S32250" s="178"/>
    </row>
    <row r="32251" spans="18:19">
      <c r="R32251" s="178"/>
      <c r="S32251" s="178"/>
    </row>
    <row r="32252" spans="18:19">
      <c r="R32252" s="178"/>
      <c r="S32252" s="178"/>
    </row>
    <row r="32253" spans="18:19">
      <c r="R32253" s="178"/>
      <c r="S32253" s="178"/>
    </row>
    <row r="32254" spans="18:19">
      <c r="R32254" s="178"/>
      <c r="S32254" s="178"/>
    </row>
    <row r="32255" spans="18:19">
      <c r="R32255" s="178"/>
      <c r="S32255" s="178"/>
    </row>
    <row r="32256" spans="18:19">
      <c r="R32256" s="178"/>
      <c r="S32256" s="178"/>
    </row>
    <row r="32257" spans="18:19">
      <c r="R32257" s="178"/>
      <c r="S32257" s="178"/>
    </row>
    <row r="32258" spans="18:19">
      <c r="R32258" s="178"/>
      <c r="S32258" s="178"/>
    </row>
    <row r="32259" spans="18:19">
      <c r="R32259" s="178"/>
      <c r="S32259" s="178"/>
    </row>
    <row r="32260" spans="18:19">
      <c r="R32260" s="178"/>
      <c r="S32260" s="178"/>
    </row>
    <row r="32261" spans="18:19">
      <c r="R32261" s="178"/>
      <c r="S32261" s="178"/>
    </row>
    <row r="32262" spans="18:19">
      <c r="R32262" s="178"/>
      <c r="S32262" s="178"/>
    </row>
    <row r="32263" spans="18:19">
      <c r="R32263" s="178"/>
      <c r="S32263" s="178"/>
    </row>
    <row r="32264" spans="18:19">
      <c r="R32264" s="178"/>
      <c r="S32264" s="178"/>
    </row>
    <row r="32265" spans="18:19">
      <c r="R32265" s="178"/>
      <c r="S32265" s="178"/>
    </row>
    <row r="32266" spans="18:19">
      <c r="R32266" s="178"/>
      <c r="S32266" s="178"/>
    </row>
    <row r="32267" spans="18:19">
      <c r="R32267" s="178"/>
      <c r="S32267" s="178"/>
    </row>
    <row r="32268" spans="18:19">
      <c r="R32268" s="178"/>
      <c r="S32268" s="178"/>
    </row>
    <row r="32269" spans="18:19">
      <c r="R32269" s="178"/>
      <c r="S32269" s="178"/>
    </row>
    <row r="32270" spans="18:19">
      <c r="R32270" s="178"/>
      <c r="S32270" s="178"/>
    </row>
    <row r="32271" spans="18:19">
      <c r="R32271" s="178"/>
      <c r="S32271" s="178"/>
    </row>
    <row r="32272" spans="18:19">
      <c r="R32272" s="178"/>
      <c r="S32272" s="178"/>
    </row>
    <row r="32273" spans="18:19">
      <c r="R32273" s="178"/>
      <c r="S32273" s="178"/>
    </row>
    <row r="32274" spans="18:19">
      <c r="R32274" s="178"/>
      <c r="S32274" s="178"/>
    </row>
    <row r="32275" spans="18:19">
      <c r="R32275" s="178"/>
      <c r="S32275" s="178"/>
    </row>
    <row r="32276" spans="18:19">
      <c r="R32276" s="178"/>
      <c r="S32276" s="178"/>
    </row>
    <row r="32277" spans="18:19">
      <c r="R32277" s="178"/>
      <c r="S32277" s="178"/>
    </row>
    <row r="32278" spans="18:19">
      <c r="R32278" s="178"/>
      <c r="S32278" s="178"/>
    </row>
    <row r="32279" spans="18:19">
      <c r="R32279" s="178"/>
      <c r="S32279" s="178"/>
    </row>
    <row r="32280" spans="18:19">
      <c r="R32280" s="178"/>
      <c r="S32280" s="178"/>
    </row>
    <row r="32281" spans="18:19">
      <c r="R32281" s="178"/>
      <c r="S32281" s="178"/>
    </row>
    <row r="32282" spans="18:19">
      <c r="R32282" s="178"/>
      <c r="S32282" s="178"/>
    </row>
    <row r="32283" spans="18:19">
      <c r="R32283" s="178"/>
      <c r="S32283" s="178"/>
    </row>
    <row r="32284" spans="18:19">
      <c r="R32284" s="178"/>
      <c r="S32284" s="178"/>
    </row>
    <row r="32285" spans="18:19">
      <c r="R32285" s="178"/>
      <c r="S32285" s="178"/>
    </row>
    <row r="32286" spans="18:19">
      <c r="R32286" s="178"/>
      <c r="S32286" s="178"/>
    </row>
    <row r="32287" spans="18:19">
      <c r="R32287" s="178"/>
      <c r="S32287" s="178"/>
    </row>
    <row r="32288" spans="18:19">
      <c r="R32288" s="178"/>
      <c r="S32288" s="178"/>
    </row>
    <row r="32289" spans="18:19">
      <c r="R32289" s="178"/>
      <c r="S32289" s="178"/>
    </row>
    <row r="32290" spans="18:19">
      <c r="R32290" s="178"/>
      <c r="S32290" s="178"/>
    </row>
    <row r="32291" spans="18:19">
      <c r="R32291" s="178"/>
      <c r="S32291" s="178"/>
    </row>
    <row r="32292" spans="18:19">
      <c r="R32292" s="178"/>
      <c r="S32292" s="178"/>
    </row>
    <row r="32293" spans="18:19">
      <c r="R32293" s="178"/>
      <c r="S32293" s="178"/>
    </row>
    <row r="32294" spans="18:19">
      <c r="R32294" s="178"/>
      <c r="S32294" s="178"/>
    </row>
    <row r="32295" spans="18:19">
      <c r="R32295" s="178"/>
      <c r="S32295" s="178"/>
    </row>
    <row r="32296" spans="18:19">
      <c r="R32296" s="178"/>
      <c r="S32296" s="178"/>
    </row>
    <row r="32297" spans="18:19">
      <c r="R32297" s="178"/>
      <c r="S32297" s="178"/>
    </row>
    <row r="32298" spans="18:19">
      <c r="R32298" s="178"/>
      <c r="S32298" s="178"/>
    </row>
    <row r="32299" spans="18:19">
      <c r="R32299" s="178"/>
      <c r="S32299" s="178"/>
    </row>
    <row r="32300" spans="18:19">
      <c r="R32300" s="178"/>
      <c r="S32300" s="178"/>
    </row>
    <row r="32301" spans="18:19">
      <c r="R32301" s="178"/>
      <c r="S32301" s="178"/>
    </row>
    <row r="32302" spans="18:19">
      <c r="R32302" s="178"/>
      <c r="S32302" s="178"/>
    </row>
    <row r="32303" spans="18:19">
      <c r="R32303" s="178"/>
      <c r="S32303" s="178"/>
    </row>
    <row r="32304" spans="18:19">
      <c r="R32304" s="178"/>
      <c r="S32304" s="178"/>
    </row>
    <row r="32305" spans="18:19">
      <c r="R32305" s="178"/>
      <c r="S32305" s="178"/>
    </row>
    <row r="32306" spans="18:19">
      <c r="R32306" s="178"/>
      <c r="S32306" s="178"/>
    </row>
    <row r="32307" spans="18:19">
      <c r="R32307" s="178"/>
      <c r="S32307" s="178"/>
    </row>
    <row r="32308" spans="18:19">
      <c r="R32308" s="178"/>
      <c r="S32308" s="178"/>
    </row>
    <row r="32309" spans="18:19">
      <c r="R32309" s="178"/>
      <c r="S32309" s="178"/>
    </row>
    <row r="32310" spans="18:19">
      <c r="R32310" s="178"/>
      <c r="S32310" s="178"/>
    </row>
    <row r="32311" spans="18:19">
      <c r="R32311" s="178"/>
      <c r="S32311" s="178"/>
    </row>
    <row r="32312" spans="18:19">
      <c r="R32312" s="178"/>
      <c r="S32312" s="178"/>
    </row>
    <row r="32313" spans="18:19">
      <c r="R32313" s="178"/>
      <c r="S32313" s="178"/>
    </row>
    <row r="32314" spans="18:19">
      <c r="R32314" s="178"/>
      <c r="S32314" s="178"/>
    </row>
    <row r="32315" spans="18:19">
      <c r="R32315" s="178"/>
      <c r="S32315" s="178"/>
    </row>
    <row r="32316" spans="18:19">
      <c r="R32316" s="178"/>
      <c r="S32316" s="178"/>
    </row>
    <row r="32317" spans="18:19">
      <c r="R32317" s="178"/>
      <c r="S32317" s="178"/>
    </row>
    <row r="32318" spans="18:19">
      <c r="R32318" s="178"/>
      <c r="S32318" s="178"/>
    </row>
    <row r="32319" spans="18:19">
      <c r="R32319" s="178"/>
      <c r="S32319" s="178"/>
    </row>
    <row r="32320" spans="18:19">
      <c r="R32320" s="178"/>
      <c r="S32320" s="178"/>
    </row>
    <row r="32321" spans="18:19">
      <c r="R32321" s="178"/>
      <c r="S32321" s="178"/>
    </row>
    <row r="32322" spans="18:19">
      <c r="R32322" s="178"/>
      <c r="S32322" s="178"/>
    </row>
    <row r="32323" spans="18:19">
      <c r="R32323" s="178"/>
      <c r="S32323" s="178"/>
    </row>
    <row r="32324" spans="18:19">
      <c r="R32324" s="178"/>
      <c r="S32324" s="178"/>
    </row>
    <row r="32325" spans="18:19">
      <c r="R32325" s="178"/>
      <c r="S32325" s="178"/>
    </row>
    <row r="32326" spans="18:19">
      <c r="R32326" s="178"/>
      <c r="S32326" s="178"/>
    </row>
    <row r="32327" spans="18:19">
      <c r="R32327" s="178"/>
      <c r="S32327" s="178"/>
    </row>
    <row r="32328" spans="18:19">
      <c r="R32328" s="178"/>
      <c r="S32328" s="178"/>
    </row>
    <row r="32329" spans="18:19">
      <c r="R32329" s="178"/>
      <c r="S32329" s="178"/>
    </row>
    <row r="32330" spans="18:19">
      <c r="R32330" s="178"/>
      <c r="S32330" s="178"/>
    </row>
    <row r="32331" spans="18:19">
      <c r="R32331" s="178"/>
      <c r="S32331" s="178"/>
    </row>
    <row r="32332" spans="18:19">
      <c r="R32332" s="178"/>
      <c r="S32332" s="178"/>
    </row>
    <row r="32333" spans="18:19">
      <c r="R32333" s="178"/>
      <c r="S32333" s="178"/>
    </row>
    <row r="32334" spans="18:19">
      <c r="R32334" s="178"/>
      <c r="S32334" s="178"/>
    </row>
    <row r="32335" spans="18:19">
      <c r="R32335" s="178"/>
      <c r="S32335" s="178"/>
    </row>
    <row r="32336" spans="18:19">
      <c r="R32336" s="178"/>
      <c r="S32336" s="178"/>
    </row>
    <row r="32337" spans="18:19">
      <c r="R32337" s="178"/>
      <c r="S32337" s="178"/>
    </row>
    <row r="32338" spans="18:19">
      <c r="R32338" s="178"/>
      <c r="S32338" s="178"/>
    </row>
    <row r="32339" spans="18:19">
      <c r="R32339" s="178"/>
      <c r="S32339" s="178"/>
    </row>
    <row r="32340" spans="18:19">
      <c r="R32340" s="178"/>
      <c r="S32340" s="178"/>
    </row>
    <row r="32341" spans="18:19">
      <c r="R32341" s="178"/>
      <c r="S32341" s="178"/>
    </row>
    <row r="32342" spans="18:19">
      <c r="R32342" s="178"/>
      <c r="S32342" s="178"/>
    </row>
    <row r="32343" spans="18:19">
      <c r="R32343" s="178"/>
      <c r="S32343" s="178"/>
    </row>
    <row r="32344" spans="18:19">
      <c r="R32344" s="178"/>
      <c r="S32344" s="178"/>
    </row>
    <row r="32345" spans="18:19">
      <c r="R32345" s="178"/>
      <c r="S32345" s="178"/>
    </row>
    <row r="32346" spans="18:19">
      <c r="R32346" s="178"/>
      <c r="S32346" s="178"/>
    </row>
    <row r="32347" spans="18:19">
      <c r="R32347" s="178"/>
      <c r="S32347" s="178"/>
    </row>
    <row r="32348" spans="18:19">
      <c r="R32348" s="178"/>
      <c r="S32348" s="178"/>
    </row>
    <row r="32349" spans="18:19">
      <c r="R32349" s="178"/>
      <c r="S32349" s="178"/>
    </row>
    <row r="32350" spans="18:19">
      <c r="R32350" s="178"/>
      <c r="S32350" s="178"/>
    </row>
    <row r="32351" spans="18:19">
      <c r="R32351" s="178"/>
      <c r="S32351" s="178"/>
    </row>
    <row r="32352" spans="18:19">
      <c r="R32352" s="178"/>
      <c r="S32352" s="178"/>
    </row>
    <row r="32353" spans="18:19">
      <c r="R32353" s="178"/>
      <c r="S32353" s="178"/>
    </row>
    <row r="32354" spans="18:19">
      <c r="R32354" s="178"/>
      <c r="S32354" s="178"/>
    </row>
    <row r="32355" spans="18:19">
      <c r="R32355" s="178"/>
      <c r="S32355" s="178"/>
    </row>
    <row r="32356" spans="18:19">
      <c r="R32356" s="178"/>
      <c r="S32356" s="178"/>
    </row>
    <row r="32357" spans="18:19">
      <c r="R32357" s="178"/>
      <c r="S32357" s="178"/>
    </row>
    <row r="32358" spans="18:19">
      <c r="R32358" s="178"/>
      <c r="S32358" s="178"/>
    </row>
    <row r="32359" spans="18:19">
      <c r="R32359" s="178"/>
      <c r="S32359" s="178"/>
    </row>
    <row r="32360" spans="18:19">
      <c r="R32360" s="178"/>
      <c r="S32360" s="178"/>
    </row>
    <row r="32361" spans="18:19">
      <c r="R32361" s="178"/>
      <c r="S32361" s="178"/>
    </row>
    <row r="32362" spans="18:19">
      <c r="R32362" s="178"/>
      <c r="S32362" s="178"/>
    </row>
    <row r="32363" spans="18:19">
      <c r="R32363" s="178"/>
      <c r="S32363" s="178"/>
    </row>
    <row r="32364" spans="18:19">
      <c r="R32364" s="178"/>
      <c r="S32364" s="178"/>
    </row>
    <row r="32365" spans="18:19">
      <c r="R32365" s="178"/>
      <c r="S32365" s="178"/>
    </row>
    <row r="32366" spans="18:19">
      <c r="R32366" s="178"/>
      <c r="S32366" s="178"/>
    </row>
    <row r="32367" spans="18:19">
      <c r="R32367" s="178"/>
      <c r="S32367" s="178"/>
    </row>
    <row r="32368" spans="18:19">
      <c r="R32368" s="178"/>
      <c r="S32368" s="178"/>
    </row>
    <row r="32369" spans="18:19">
      <c r="R32369" s="178"/>
      <c r="S32369" s="178"/>
    </row>
    <row r="32370" spans="18:19">
      <c r="R32370" s="178"/>
      <c r="S32370" s="178"/>
    </row>
    <row r="32371" spans="18:19">
      <c r="R32371" s="178"/>
      <c r="S32371" s="178"/>
    </row>
    <row r="32372" spans="18:19">
      <c r="R32372" s="178"/>
      <c r="S32372" s="178"/>
    </row>
    <row r="32373" spans="18:19">
      <c r="R32373" s="178"/>
      <c r="S32373" s="178"/>
    </row>
    <row r="32374" spans="18:19">
      <c r="R32374" s="178"/>
      <c r="S32374" s="178"/>
    </row>
    <row r="32375" spans="18:19">
      <c r="R32375" s="178"/>
      <c r="S32375" s="178"/>
    </row>
    <row r="32376" spans="18:19">
      <c r="R32376" s="178"/>
      <c r="S32376" s="178"/>
    </row>
    <row r="32377" spans="18:19">
      <c r="R32377" s="178"/>
      <c r="S32377" s="178"/>
    </row>
    <row r="32378" spans="18:19">
      <c r="R32378" s="178"/>
      <c r="S32378" s="178"/>
    </row>
    <row r="32379" spans="18:19">
      <c r="R32379" s="178"/>
      <c r="S32379" s="178"/>
    </row>
    <row r="32380" spans="18:19">
      <c r="R32380" s="178"/>
      <c r="S32380" s="178"/>
    </row>
    <row r="32381" spans="18:19">
      <c r="R32381" s="178"/>
      <c r="S32381" s="178"/>
    </row>
    <row r="32382" spans="18:19">
      <c r="R32382" s="178"/>
      <c r="S32382" s="178"/>
    </row>
    <row r="32383" spans="18:19">
      <c r="R32383" s="178"/>
      <c r="S32383" s="178"/>
    </row>
    <row r="32384" spans="18:19">
      <c r="R32384" s="178"/>
      <c r="S32384" s="178"/>
    </row>
    <row r="32385" spans="18:19">
      <c r="R32385" s="178"/>
      <c r="S32385" s="178"/>
    </row>
    <row r="32386" spans="18:19">
      <c r="R32386" s="178"/>
      <c r="S32386" s="178"/>
    </row>
    <row r="32387" spans="18:19">
      <c r="R32387" s="178"/>
      <c r="S32387" s="178"/>
    </row>
    <row r="32388" spans="18:19">
      <c r="R32388" s="178"/>
      <c r="S32388" s="178"/>
    </row>
    <row r="32389" spans="18:19">
      <c r="R32389" s="178"/>
      <c r="S32389" s="178"/>
    </row>
    <row r="32390" spans="18:19">
      <c r="R32390" s="178"/>
      <c r="S32390" s="178"/>
    </row>
    <row r="32391" spans="18:19">
      <c r="R32391" s="178"/>
      <c r="S32391" s="178"/>
    </row>
    <row r="32392" spans="18:19">
      <c r="R32392" s="178"/>
      <c r="S32392" s="178"/>
    </row>
    <row r="32393" spans="18:19">
      <c r="R32393" s="178"/>
      <c r="S32393" s="178"/>
    </row>
    <row r="32394" spans="18:19">
      <c r="R32394" s="178"/>
      <c r="S32394" s="178"/>
    </row>
    <row r="32395" spans="18:19">
      <c r="R32395" s="178"/>
      <c r="S32395" s="178"/>
    </row>
    <row r="32396" spans="18:19">
      <c r="R32396" s="178"/>
      <c r="S32396" s="178"/>
    </row>
    <row r="32397" spans="18:19">
      <c r="R32397" s="178"/>
      <c r="S32397" s="178"/>
    </row>
    <row r="32398" spans="18:19">
      <c r="R32398" s="178"/>
      <c r="S32398" s="178"/>
    </row>
    <row r="32399" spans="18:19">
      <c r="R32399" s="178"/>
      <c r="S32399" s="178"/>
    </row>
    <row r="32400" spans="18:19">
      <c r="R32400" s="178"/>
      <c r="S32400" s="178"/>
    </row>
    <row r="32401" spans="18:19">
      <c r="R32401" s="178"/>
      <c r="S32401" s="178"/>
    </row>
    <row r="32402" spans="18:19">
      <c r="R32402" s="178"/>
      <c r="S32402" s="178"/>
    </row>
    <row r="32403" spans="18:19">
      <c r="R32403" s="178"/>
      <c r="S32403" s="178"/>
    </row>
    <row r="32404" spans="18:19">
      <c r="R32404" s="178"/>
      <c r="S32404" s="178"/>
    </row>
    <row r="32405" spans="18:19">
      <c r="R32405" s="178"/>
      <c r="S32405" s="178"/>
    </row>
    <row r="32406" spans="18:19">
      <c r="R32406" s="178"/>
      <c r="S32406" s="178"/>
    </row>
    <row r="32407" spans="18:19">
      <c r="R32407" s="178"/>
      <c r="S32407" s="178"/>
    </row>
    <row r="32408" spans="18:19">
      <c r="R32408" s="178"/>
      <c r="S32408" s="178"/>
    </row>
    <row r="32409" spans="18:19">
      <c r="R32409" s="178"/>
      <c r="S32409" s="178"/>
    </row>
    <row r="32410" spans="18:19">
      <c r="R32410" s="178"/>
      <c r="S32410" s="178"/>
    </row>
    <row r="32411" spans="18:19">
      <c r="R32411" s="178"/>
      <c r="S32411" s="178"/>
    </row>
    <row r="32412" spans="18:19">
      <c r="R32412" s="178"/>
      <c r="S32412" s="178"/>
    </row>
    <row r="32413" spans="18:19">
      <c r="R32413" s="178"/>
      <c r="S32413" s="178"/>
    </row>
    <row r="32414" spans="18:19">
      <c r="R32414" s="178"/>
      <c r="S32414" s="178"/>
    </row>
    <row r="32415" spans="18:19">
      <c r="R32415" s="178"/>
      <c r="S32415" s="178"/>
    </row>
    <row r="32416" spans="18:19">
      <c r="R32416" s="178"/>
      <c r="S32416" s="178"/>
    </row>
    <row r="32417" spans="18:19">
      <c r="R32417" s="178"/>
      <c r="S32417" s="178"/>
    </row>
    <row r="32418" spans="18:19">
      <c r="R32418" s="178"/>
      <c r="S32418" s="178"/>
    </row>
    <row r="32419" spans="18:19">
      <c r="R32419" s="178"/>
      <c r="S32419" s="178"/>
    </row>
    <row r="32420" spans="18:19">
      <c r="R32420" s="178"/>
      <c r="S32420" s="178"/>
    </row>
    <row r="32421" spans="18:19">
      <c r="R32421" s="178"/>
      <c r="S32421" s="178"/>
    </row>
    <row r="32422" spans="18:19">
      <c r="R32422" s="178"/>
      <c r="S32422" s="178"/>
    </row>
    <row r="32423" spans="18:19">
      <c r="R32423" s="178"/>
      <c r="S32423" s="178"/>
    </row>
    <row r="32424" spans="18:19">
      <c r="R32424" s="178"/>
      <c r="S32424" s="178"/>
    </row>
    <row r="32425" spans="18:19">
      <c r="R32425" s="178"/>
      <c r="S32425" s="178"/>
    </row>
    <row r="32426" spans="18:19">
      <c r="R32426" s="178"/>
      <c r="S32426" s="178"/>
    </row>
    <row r="32427" spans="18:19">
      <c r="R32427" s="178"/>
      <c r="S32427" s="178"/>
    </row>
    <row r="32428" spans="18:19">
      <c r="R32428" s="178"/>
      <c r="S32428" s="178"/>
    </row>
    <row r="32429" spans="18:19">
      <c r="R32429" s="178"/>
      <c r="S32429" s="178"/>
    </row>
    <row r="32430" spans="18:19">
      <c r="R32430" s="178"/>
      <c r="S32430" s="178"/>
    </row>
    <row r="32431" spans="18:19">
      <c r="R32431" s="178"/>
      <c r="S32431" s="178"/>
    </row>
    <row r="32432" spans="18:19">
      <c r="R32432" s="178"/>
      <c r="S32432" s="178"/>
    </row>
    <row r="32433" spans="18:19">
      <c r="R32433" s="178"/>
      <c r="S32433" s="178"/>
    </row>
    <row r="32434" spans="18:19">
      <c r="R32434" s="178"/>
      <c r="S32434" s="178"/>
    </row>
    <row r="32435" spans="18:19">
      <c r="R32435" s="178"/>
      <c r="S32435" s="178"/>
    </row>
    <row r="32436" spans="18:19">
      <c r="R32436" s="178"/>
      <c r="S32436" s="178"/>
    </row>
    <row r="32437" spans="18:19">
      <c r="R32437" s="178"/>
      <c r="S32437" s="178"/>
    </row>
    <row r="32438" spans="18:19">
      <c r="R32438" s="178"/>
      <c r="S32438" s="178"/>
    </row>
    <row r="32439" spans="18:19">
      <c r="R32439" s="178"/>
      <c r="S32439" s="178"/>
    </row>
    <row r="32440" spans="18:19">
      <c r="R32440" s="178"/>
      <c r="S32440" s="178"/>
    </row>
    <row r="32441" spans="18:19">
      <c r="R32441" s="178"/>
      <c r="S32441" s="178"/>
    </row>
    <row r="32442" spans="18:19">
      <c r="R32442" s="178"/>
      <c r="S32442" s="178"/>
    </row>
    <row r="32443" spans="18:19">
      <c r="R32443" s="178"/>
      <c r="S32443" s="178"/>
    </row>
    <row r="32444" spans="18:19">
      <c r="R32444" s="178"/>
      <c r="S32444" s="178"/>
    </row>
    <row r="32445" spans="18:19">
      <c r="R32445" s="178"/>
      <c r="S32445" s="178"/>
    </row>
    <row r="32446" spans="18:19">
      <c r="R32446" s="178"/>
      <c r="S32446" s="178"/>
    </row>
    <row r="32447" spans="18:19">
      <c r="R32447" s="178"/>
      <c r="S32447" s="178"/>
    </row>
    <row r="32448" spans="18:19">
      <c r="R32448" s="178"/>
      <c r="S32448" s="178"/>
    </row>
    <row r="32449" spans="18:19">
      <c r="R32449" s="178"/>
      <c r="S32449" s="178"/>
    </row>
    <row r="32450" spans="18:19">
      <c r="R32450" s="178"/>
      <c r="S32450" s="178"/>
    </row>
    <row r="32451" spans="18:19">
      <c r="R32451" s="178"/>
      <c r="S32451" s="178"/>
    </row>
    <row r="32452" spans="18:19">
      <c r="R32452" s="178"/>
      <c r="S32452" s="178"/>
    </row>
    <row r="32453" spans="18:19">
      <c r="R32453" s="178"/>
      <c r="S32453" s="178"/>
    </row>
    <row r="32454" spans="18:19">
      <c r="R32454" s="178"/>
      <c r="S32454" s="178"/>
    </row>
    <row r="32455" spans="18:19">
      <c r="R32455" s="178"/>
      <c r="S32455" s="178"/>
    </row>
    <row r="32456" spans="18:19">
      <c r="R32456" s="178"/>
      <c r="S32456" s="178"/>
    </row>
    <row r="32457" spans="18:19">
      <c r="R32457" s="178"/>
      <c r="S32457" s="178"/>
    </row>
    <row r="32458" spans="18:19">
      <c r="R32458" s="178"/>
      <c r="S32458" s="178"/>
    </row>
    <row r="32459" spans="18:19">
      <c r="R32459" s="178"/>
      <c r="S32459" s="178"/>
    </row>
    <row r="32460" spans="18:19">
      <c r="R32460" s="178"/>
      <c r="S32460" s="178"/>
    </row>
    <row r="32461" spans="18:19">
      <c r="R32461" s="178"/>
      <c r="S32461" s="178"/>
    </row>
    <row r="32462" spans="18:19">
      <c r="R32462" s="178"/>
      <c r="S32462" s="178"/>
    </row>
    <row r="32463" spans="18:19">
      <c r="R32463" s="178"/>
      <c r="S32463" s="178"/>
    </row>
    <row r="32464" spans="18:19">
      <c r="R32464" s="178"/>
      <c r="S32464" s="178"/>
    </row>
    <row r="32465" spans="18:19">
      <c r="R32465" s="178"/>
      <c r="S32465" s="178"/>
    </row>
    <row r="32466" spans="18:19">
      <c r="R32466" s="178"/>
      <c r="S32466" s="178"/>
    </row>
    <row r="32467" spans="18:19">
      <c r="R32467" s="178"/>
      <c r="S32467" s="178"/>
    </row>
    <row r="32468" spans="18:19">
      <c r="R32468" s="178"/>
      <c r="S32468" s="178"/>
    </row>
    <row r="32469" spans="18:19">
      <c r="R32469" s="178"/>
      <c r="S32469" s="178"/>
    </row>
    <row r="32470" spans="18:19">
      <c r="R32470" s="178"/>
      <c r="S32470" s="178"/>
    </row>
    <row r="32471" spans="18:19">
      <c r="R32471" s="178"/>
      <c r="S32471" s="178"/>
    </row>
    <row r="32472" spans="18:19">
      <c r="R32472" s="178"/>
      <c r="S32472" s="178"/>
    </row>
    <row r="32473" spans="18:19">
      <c r="R32473" s="178"/>
      <c r="S32473" s="178"/>
    </row>
    <row r="32474" spans="18:19">
      <c r="R32474" s="178"/>
      <c r="S32474" s="178"/>
    </row>
    <row r="32475" spans="18:19">
      <c r="R32475" s="178"/>
      <c r="S32475" s="178"/>
    </row>
    <row r="32476" spans="18:19">
      <c r="R32476" s="178"/>
      <c r="S32476" s="178"/>
    </row>
    <row r="32477" spans="18:19">
      <c r="R32477" s="178"/>
      <c r="S32477" s="178"/>
    </row>
    <row r="32478" spans="18:19">
      <c r="R32478" s="178"/>
      <c r="S32478" s="178"/>
    </row>
    <row r="32479" spans="18:19">
      <c r="R32479" s="178"/>
      <c r="S32479" s="178"/>
    </row>
    <row r="32480" spans="18:19">
      <c r="R32480" s="178"/>
      <c r="S32480" s="178"/>
    </row>
    <row r="32481" spans="18:19">
      <c r="R32481" s="178"/>
      <c r="S32481" s="178"/>
    </row>
    <row r="32482" spans="18:19">
      <c r="R32482" s="178"/>
      <c r="S32482" s="178"/>
    </row>
    <row r="32483" spans="18:19">
      <c r="R32483" s="178"/>
      <c r="S32483" s="178"/>
    </row>
    <row r="32484" spans="18:19">
      <c r="R32484" s="178"/>
      <c r="S32484" s="178"/>
    </row>
    <row r="32485" spans="18:19">
      <c r="R32485" s="178"/>
      <c r="S32485" s="178"/>
    </row>
    <row r="32486" spans="18:19">
      <c r="R32486" s="178"/>
      <c r="S32486" s="178"/>
    </row>
    <row r="32487" spans="18:19">
      <c r="R32487" s="178"/>
      <c r="S32487" s="178"/>
    </row>
    <row r="32488" spans="18:19">
      <c r="R32488" s="178"/>
      <c r="S32488" s="178"/>
    </row>
    <row r="32489" spans="18:19">
      <c r="R32489" s="178"/>
      <c r="S32489" s="178"/>
    </row>
    <row r="32490" spans="18:19">
      <c r="R32490" s="178"/>
      <c r="S32490" s="178"/>
    </row>
    <row r="32491" spans="18:19">
      <c r="R32491" s="178"/>
      <c r="S32491" s="178"/>
    </row>
    <row r="32492" spans="18:19">
      <c r="R32492" s="178"/>
      <c r="S32492" s="178"/>
    </row>
    <row r="32493" spans="18:19">
      <c r="R32493" s="178"/>
      <c r="S32493" s="178"/>
    </row>
    <row r="32494" spans="18:19">
      <c r="R32494" s="178"/>
      <c r="S32494" s="178"/>
    </row>
    <row r="32495" spans="18:19">
      <c r="R32495" s="178"/>
      <c r="S32495" s="178"/>
    </row>
    <row r="32496" spans="18:19">
      <c r="R32496" s="178"/>
      <c r="S32496" s="178"/>
    </row>
    <row r="32497" spans="18:19">
      <c r="R32497" s="178"/>
      <c r="S32497" s="178"/>
    </row>
    <row r="32498" spans="18:19">
      <c r="R32498" s="178"/>
      <c r="S32498" s="178"/>
    </row>
    <row r="32499" spans="18:19">
      <c r="R32499" s="178"/>
      <c r="S32499" s="178"/>
    </row>
    <row r="32500" spans="18:19">
      <c r="R32500" s="178"/>
      <c r="S32500" s="178"/>
    </row>
    <row r="32501" spans="18:19">
      <c r="R32501" s="178"/>
      <c r="S32501" s="178"/>
    </row>
    <row r="32502" spans="18:19">
      <c r="R32502" s="178"/>
      <c r="S32502" s="178"/>
    </row>
    <row r="32503" spans="18:19">
      <c r="R32503" s="178"/>
      <c r="S32503" s="178"/>
    </row>
    <row r="32504" spans="18:19">
      <c r="R32504" s="178"/>
      <c r="S32504" s="178"/>
    </row>
    <row r="32505" spans="18:19">
      <c r="R32505" s="178"/>
      <c r="S32505" s="178"/>
    </row>
    <row r="32506" spans="18:19">
      <c r="R32506" s="178"/>
      <c r="S32506" s="178"/>
    </row>
    <row r="32507" spans="18:19">
      <c r="R32507" s="178"/>
      <c r="S32507" s="178"/>
    </row>
    <row r="32508" spans="18:19">
      <c r="R32508" s="178"/>
      <c r="S32508" s="178"/>
    </row>
    <row r="32509" spans="18:19">
      <c r="R32509" s="178"/>
      <c r="S32509" s="178"/>
    </row>
    <row r="32510" spans="18:19">
      <c r="R32510" s="178"/>
      <c r="S32510" s="178"/>
    </row>
    <row r="32511" spans="18:19">
      <c r="R32511" s="178"/>
      <c r="S32511" s="178"/>
    </row>
    <row r="32512" spans="18:19">
      <c r="R32512" s="178"/>
      <c r="S32512" s="178"/>
    </row>
    <row r="32513" spans="18:19">
      <c r="R32513" s="178"/>
      <c r="S32513" s="178"/>
    </row>
    <row r="32514" spans="18:19">
      <c r="R32514" s="178"/>
      <c r="S32514" s="178"/>
    </row>
    <row r="32515" spans="18:19">
      <c r="R32515" s="178"/>
      <c r="S32515" s="178"/>
    </row>
    <row r="32516" spans="18:19">
      <c r="R32516" s="178"/>
      <c r="S32516" s="178"/>
    </row>
    <row r="32517" spans="18:19">
      <c r="R32517" s="178"/>
      <c r="S32517" s="178"/>
    </row>
    <row r="32518" spans="18:19">
      <c r="R32518" s="178"/>
      <c r="S32518" s="178"/>
    </row>
    <row r="32519" spans="18:19">
      <c r="R32519" s="178"/>
      <c r="S32519" s="178"/>
    </row>
    <row r="32520" spans="18:19">
      <c r="R32520" s="178"/>
      <c r="S32520" s="178"/>
    </row>
    <row r="32521" spans="18:19">
      <c r="R32521" s="178"/>
      <c r="S32521" s="178"/>
    </row>
    <row r="32522" spans="18:19">
      <c r="R32522" s="178"/>
      <c r="S32522" s="178"/>
    </row>
    <row r="32523" spans="18:19">
      <c r="R32523" s="178"/>
      <c r="S32523" s="178"/>
    </row>
    <row r="32524" spans="18:19">
      <c r="R32524" s="178"/>
      <c r="S32524" s="178"/>
    </row>
    <row r="32525" spans="18:19">
      <c r="R32525" s="178"/>
      <c r="S32525" s="178"/>
    </row>
    <row r="32526" spans="18:19">
      <c r="R32526" s="178"/>
      <c r="S32526" s="178"/>
    </row>
    <row r="32527" spans="18:19">
      <c r="R32527" s="178"/>
      <c r="S32527" s="178"/>
    </row>
    <row r="32528" spans="18:19">
      <c r="R32528" s="178"/>
      <c r="S32528" s="178"/>
    </row>
    <row r="32529" spans="18:19">
      <c r="R32529" s="178"/>
      <c r="S32529" s="178"/>
    </row>
    <row r="32530" spans="18:19">
      <c r="R32530" s="178"/>
      <c r="S32530" s="178"/>
    </row>
    <row r="32531" spans="18:19">
      <c r="R32531" s="178"/>
      <c r="S32531" s="178"/>
    </row>
    <row r="32532" spans="18:19">
      <c r="R32532" s="178"/>
      <c r="S32532" s="178"/>
    </row>
    <row r="32533" spans="18:19">
      <c r="R32533" s="178"/>
      <c r="S32533" s="178"/>
    </row>
    <row r="32534" spans="18:19">
      <c r="R32534" s="178"/>
      <c r="S32534" s="178"/>
    </row>
    <row r="32535" spans="18:19">
      <c r="R32535" s="178"/>
      <c r="S32535" s="178"/>
    </row>
    <row r="32536" spans="18:19">
      <c r="R32536" s="178"/>
      <c r="S32536" s="178"/>
    </row>
    <row r="32537" spans="18:19">
      <c r="R32537" s="178"/>
      <c r="S32537" s="178"/>
    </row>
    <row r="32538" spans="18:19">
      <c r="R32538" s="178"/>
      <c r="S32538" s="178"/>
    </row>
    <row r="32539" spans="18:19">
      <c r="R32539" s="178"/>
      <c r="S32539" s="178"/>
    </row>
    <row r="32540" spans="18:19">
      <c r="R32540" s="178"/>
      <c r="S32540" s="178"/>
    </row>
    <row r="32541" spans="18:19">
      <c r="R32541" s="178"/>
      <c r="S32541" s="178"/>
    </row>
    <row r="32542" spans="18:19">
      <c r="R32542" s="178"/>
      <c r="S32542" s="178"/>
    </row>
    <row r="32543" spans="18:19">
      <c r="R32543" s="178"/>
      <c r="S32543" s="178"/>
    </row>
    <row r="32544" spans="18:19">
      <c r="R32544" s="178"/>
      <c r="S32544" s="178"/>
    </row>
    <row r="32545" spans="18:19">
      <c r="R32545" s="178"/>
      <c r="S32545" s="178"/>
    </row>
    <row r="32546" spans="18:19">
      <c r="R32546" s="178"/>
      <c r="S32546" s="178"/>
    </row>
    <row r="32547" spans="18:19">
      <c r="R32547" s="178"/>
      <c r="S32547" s="178"/>
    </row>
    <row r="32548" spans="18:19">
      <c r="R32548" s="178"/>
      <c r="S32548" s="178"/>
    </row>
    <row r="32549" spans="18:19">
      <c r="R32549" s="178"/>
      <c r="S32549" s="178"/>
    </row>
    <row r="32550" spans="18:19">
      <c r="R32550" s="178"/>
      <c r="S32550" s="178"/>
    </row>
    <row r="32551" spans="18:19">
      <c r="R32551" s="178"/>
      <c r="S32551" s="178"/>
    </row>
    <row r="32552" spans="18:19">
      <c r="R32552" s="178"/>
      <c r="S32552" s="178"/>
    </row>
    <row r="32553" spans="18:19">
      <c r="R32553" s="178"/>
      <c r="S32553" s="178"/>
    </row>
    <row r="32554" spans="18:19">
      <c r="R32554" s="178"/>
      <c r="S32554" s="178"/>
    </row>
    <row r="32555" spans="18:19">
      <c r="R32555" s="178"/>
      <c r="S32555" s="178"/>
    </row>
    <row r="32556" spans="18:19">
      <c r="R32556" s="178"/>
      <c r="S32556" s="178"/>
    </row>
    <row r="32557" spans="18:19">
      <c r="R32557" s="178"/>
      <c r="S32557" s="178"/>
    </row>
    <row r="32558" spans="18:19">
      <c r="R32558" s="178"/>
      <c r="S32558" s="178"/>
    </row>
    <row r="32559" spans="18:19">
      <c r="R32559" s="178"/>
      <c r="S32559" s="178"/>
    </row>
    <row r="32560" spans="18:19">
      <c r="R32560" s="178"/>
      <c r="S32560" s="178"/>
    </row>
    <row r="32561" spans="18:19">
      <c r="R32561" s="178"/>
      <c r="S32561" s="178"/>
    </row>
    <row r="32562" spans="18:19">
      <c r="R32562" s="178"/>
      <c r="S32562" s="178"/>
    </row>
    <row r="32563" spans="18:19">
      <c r="R32563" s="178"/>
      <c r="S32563" s="178"/>
    </row>
    <row r="32564" spans="18:19">
      <c r="R32564" s="178"/>
      <c r="S32564" s="178"/>
    </row>
    <row r="32565" spans="18:19">
      <c r="R32565" s="178"/>
      <c r="S32565" s="178"/>
    </row>
    <row r="32566" spans="18:19">
      <c r="R32566" s="178"/>
      <c r="S32566" s="178"/>
    </row>
    <row r="32567" spans="18:19">
      <c r="R32567" s="178"/>
      <c r="S32567" s="178"/>
    </row>
    <row r="32568" spans="18:19">
      <c r="R32568" s="178"/>
      <c r="S32568" s="178"/>
    </row>
    <row r="32569" spans="18:19">
      <c r="R32569" s="178"/>
      <c r="S32569" s="178"/>
    </row>
    <row r="32570" spans="18:19">
      <c r="R32570" s="178"/>
      <c r="S32570" s="178"/>
    </row>
    <row r="32571" spans="18:19">
      <c r="R32571" s="178"/>
      <c r="S32571" s="178"/>
    </row>
    <row r="32572" spans="18:19">
      <c r="R32572" s="178"/>
      <c r="S32572" s="178"/>
    </row>
    <row r="32573" spans="18:19">
      <c r="R32573" s="178"/>
      <c r="S32573" s="178"/>
    </row>
    <row r="32574" spans="18:19">
      <c r="R32574" s="178"/>
      <c r="S32574" s="178"/>
    </row>
    <row r="32575" spans="18:19">
      <c r="R32575" s="178"/>
      <c r="S32575" s="178"/>
    </row>
    <row r="32576" spans="18:19">
      <c r="R32576" s="178"/>
      <c r="S32576" s="178"/>
    </row>
    <row r="32577" spans="18:19">
      <c r="R32577" s="178"/>
      <c r="S32577" s="178"/>
    </row>
    <row r="32578" spans="18:19">
      <c r="R32578" s="178"/>
      <c r="S32578" s="178"/>
    </row>
    <row r="32579" spans="18:19">
      <c r="R32579" s="178"/>
      <c r="S32579" s="178"/>
    </row>
    <row r="32580" spans="18:19">
      <c r="R32580" s="178"/>
      <c r="S32580" s="178"/>
    </row>
    <row r="32581" spans="18:19">
      <c r="R32581" s="178"/>
      <c r="S32581" s="178"/>
    </row>
    <row r="32582" spans="18:19">
      <c r="R32582" s="178"/>
      <c r="S32582" s="178"/>
    </row>
    <row r="32583" spans="18:19">
      <c r="R32583" s="178"/>
      <c r="S32583" s="178"/>
    </row>
    <row r="32584" spans="18:19">
      <c r="R32584" s="178"/>
      <c r="S32584" s="178"/>
    </row>
    <row r="32585" spans="18:19">
      <c r="R32585" s="178"/>
      <c r="S32585" s="178"/>
    </row>
    <row r="32586" spans="18:19">
      <c r="R32586" s="178"/>
      <c r="S32586" s="178"/>
    </row>
    <row r="32587" spans="18:19">
      <c r="R32587" s="178"/>
      <c r="S32587" s="178"/>
    </row>
    <row r="32588" spans="18:19">
      <c r="R32588" s="178"/>
      <c r="S32588" s="178"/>
    </row>
    <row r="32589" spans="18:19">
      <c r="R32589" s="178"/>
      <c r="S32589" s="178"/>
    </row>
    <row r="32590" spans="18:19">
      <c r="R32590" s="178"/>
      <c r="S32590" s="178"/>
    </row>
    <row r="32591" spans="18:19">
      <c r="R32591" s="178"/>
      <c r="S32591" s="178"/>
    </row>
    <row r="32592" spans="18:19">
      <c r="R32592" s="178"/>
      <c r="S32592" s="178"/>
    </row>
    <row r="32593" spans="18:19">
      <c r="R32593" s="178"/>
      <c r="S32593" s="178"/>
    </row>
    <row r="32594" spans="18:19">
      <c r="R32594" s="178"/>
      <c r="S32594" s="178"/>
    </row>
    <row r="32595" spans="18:19">
      <c r="R32595" s="178"/>
      <c r="S32595" s="178"/>
    </row>
    <row r="32596" spans="18:19">
      <c r="R32596" s="178"/>
      <c r="S32596" s="178"/>
    </row>
    <row r="32597" spans="18:19">
      <c r="R32597" s="178"/>
      <c r="S32597" s="178"/>
    </row>
    <row r="32598" spans="18:19">
      <c r="R32598" s="178"/>
      <c r="S32598" s="178"/>
    </row>
    <row r="32599" spans="18:19">
      <c r="R32599" s="178"/>
      <c r="S32599" s="178"/>
    </row>
    <row r="32600" spans="18:19">
      <c r="R32600" s="178"/>
      <c r="S32600" s="178"/>
    </row>
    <row r="32601" spans="18:19">
      <c r="R32601" s="178"/>
      <c r="S32601" s="178"/>
    </row>
    <row r="32602" spans="18:19">
      <c r="R32602" s="178"/>
      <c r="S32602" s="178"/>
    </row>
    <row r="32603" spans="18:19">
      <c r="R32603" s="178"/>
      <c r="S32603" s="178"/>
    </row>
    <row r="32604" spans="18:19">
      <c r="R32604" s="178"/>
      <c r="S32604" s="178"/>
    </row>
    <row r="32605" spans="18:19">
      <c r="R32605" s="178"/>
      <c r="S32605" s="178"/>
    </row>
    <row r="32606" spans="18:19">
      <c r="R32606" s="178"/>
      <c r="S32606" s="178"/>
    </row>
    <row r="32607" spans="18:19">
      <c r="R32607" s="178"/>
      <c r="S32607" s="178"/>
    </row>
    <row r="32608" spans="18:19">
      <c r="R32608" s="178"/>
      <c r="S32608" s="178"/>
    </row>
    <row r="32609" spans="18:19">
      <c r="R32609" s="178"/>
      <c r="S32609" s="178"/>
    </row>
    <row r="32610" spans="18:19">
      <c r="R32610" s="178"/>
      <c r="S32610" s="178"/>
    </row>
    <row r="32611" spans="18:19">
      <c r="R32611" s="178"/>
      <c r="S32611" s="178"/>
    </row>
    <row r="32612" spans="18:19">
      <c r="R32612" s="178"/>
      <c r="S32612" s="178"/>
    </row>
    <row r="32613" spans="18:19">
      <c r="R32613" s="178"/>
      <c r="S32613" s="178"/>
    </row>
    <row r="32614" spans="18:19">
      <c r="R32614" s="178"/>
      <c r="S32614" s="178"/>
    </row>
    <row r="32615" spans="18:19">
      <c r="R32615" s="178"/>
      <c r="S32615" s="178"/>
    </row>
    <row r="32616" spans="18:19">
      <c r="R32616" s="178"/>
      <c r="S32616" s="178"/>
    </row>
    <row r="32617" spans="18:19">
      <c r="R32617" s="178"/>
      <c r="S32617" s="178"/>
    </row>
    <row r="32618" spans="18:19">
      <c r="R32618" s="178"/>
      <c r="S32618" s="178"/>
    </row>
    <row r="32619" spans="18:19">
      <c r="R32619" s="178"/>
      <c r="S32619" s="178"/>
    </row>
    <row r="32620" spans="18:19">
      <c r="R32620" s="178"/>
      <c r="S32620" s="178"/>
    </row>
    <row r="32621" spans="18:19">
      <c r="R32621" s="178"/>
      <c r="S32621" s="178"/>
    </row>
    <row r="32622" spans="18:19">
      <c r="R32622" s="178"/>
      <c r="S32622" s="178"/>
    </row>
    <row r="32623" spans="18:19">
      <c r="R32623" s="178"/>
      <c r="S32623" s="178"/>
    </row>
    <row r="32624" spans="18:19">
      <c r="R32624" s="178"/>
      <c r="S32624" s="178"/>
    </row>
    <row r="32625" spans="18:19">
      <c r="R32625" s="178"/>
      <c r="S32625" s="178"/>
    </row>
    <row r="32626" spans="18:19">
      <c r="R32626" s="178"/>
      <c r="S32626" s="178"/>
    </row>
    <row r="32627" spans="18:19">
      <c r="R32627" s="178"/>
      <c r="S32627" s="178"/>
    </row>
    <row r="32628" spans="18:19">
      <c r="R32628" s="178"/>
      <c r="S32628" s="178"/>
    </row>
    <row r="32629" spans="18:19">
      <c r="R32629" s="178"/>
      <c r="S32629" s="178"/>
    </row>
    <row r="32630" spans="18:19">
      <c r="R32630" s="178"/>
      <c r="S32630" s="178"/>
    </row>
    <row r="32631" spans="18:19">
      <c r="R32631" s="178"/>
      <c r="S32631" s="178"/>
    </row>
    <row r="32632" spans="18:19">
      <c r="R32632" s="178"/>
      <c r="S32632" s="178"/>
    </row>
    <row r="32633" spans="18:19">
      <c r="R32633" s="178"/>
      <c r="S32633" s="178"/>
    </row>
    <row r="32634" spans="18:19">
      <c r="R32634" s="178"/>
      <c r="S32634" s="178"/>
    </row>
    <row r="32635" spans="18:19">
      <c r="R32635" s="178"/>
      <c r="S32635" s="178"/>
    </row>
    <row r="32636" spans="18:19">
      <c r="R32636" s="178"/>
      <c r="S32636" s="178"/>
    </row>
    <row r="32637" spans="18:19">
      <c r="R32637" s="178"/>
      <c r="S32637" s="178"/>
    </row>
    <row r="32638" spans="18:19">
      <c r="R32638" s="178"/>
      <c r="S32638" s="178"/>
    </row>
    <row r="32639" spans="18:19">
      <c r="R32639" s="178"/>
      <c r="S32639" s="178"/>
    </row>
    <row r="32640" spans="18:19">
      <c r="R32640" s="178"/>
      <c r="S32640" s="178"/>
    </row>
    <row r="32641" spans="18:19">
      <c r="R32641" s="178"/>
      <c r="S32641" s="178"/>
    </row>
    <row r="32642" spans="18:19">
      <c r="R32642" s="178"/>
      <c r="S32642" s="178"/>
    </row>
    <row r="32643" spans="18:19">
      <c r="R32643" s="178"/>
      <c r="S32643" s="178"/>
    </row>
    <row r="32644" spans="18:19">
      <c r="R32644" s="178"/>
      <c r="S32644" s="178"/>
    </row>
    <row r="32645" spans="18:19">
      <c r="R32645" s="178"/>
      <c r="S32645" s="178"/>
    </row>
    <row r="32646" spans="18:19">
      <c r="R32646" s="178"/>
      <c r="S32646" s="178"/>
    </row>
    <row r="32647" spans="18:19">
      <c r="R32647" s="178"/>
      <c r="S32647" s="178"/>
    </row>
    <row r="32648" spans="18:19">
      <c r="R32648" s="178"/>
      <c r="S32648" s="178"/>
    </row>
    <row r="32649" spans="18:19">
      <c r="R32649" s="178"/>
      <c r="S32649" s="178"/>
    </row>
    <row r="32650" spans="18:19">
      <c r="R32650" s="178"/>
      <c r="S32650" s="178"/>
    </row>
    <row r="32651" spans="18:19">
      <c r="R32651" s="178"/>
      <c r="S32651" s="178"/>
    </row>
    <row r="32652" spans="18:19">
      <c r="R32652" s="178"/>
      <c r="S32652" s="178"/>
    </row>
    <row r="32653" spans="18:19">
      <c r="R32653" s="178"/>
      <c r="S32653" s="178"/>
    </row>
    <row r="32654" spans="18:19">
      <c r="R32654" s="178"/>
      <c r="S32654" s="178"/>
    </row>
    <row r="32655" spans="18:19">
      <c r="R32655" s="178"/>
      <c r="S32655" s="178"/>
    </row>
    <row r="32656" spans="18:19">
      <c r="R32656" s="178"/>
      <c r="S32656" s="178"/>
    </row>
    <row r="32657" spans="18:19">
      <c r="R32657" s="178"/>
      <c r="S32657" s="178"/>
    </row>
    <row r="32658" spans="18:19">
      <c r="R32658" s="178"/>
      <c r="S32658" s="178"/>
    </row>
    <row r="32659" spans="18:19">
      <c r="R32659" s="178"/>
      <c r="S32659" s="178"/>
    </row>
    <row r="32660" spans="18:19">
      <c r="R32660" s="178"/>
      <c r="S32660" s="178"/>
    </row>
    <row r="32661" spans="18:19">
      <c r="R32661" s="178"/>
      <c r="S32661" s="178"/>
    </row>
    <row r="32662" spans="18:19">
      <c r="R32662" s="178"/>
      <c r="S32662" s="178"/>
    </row>
    <row r="32663" spans="18:19">
      <c r="R32663" s="178"/>
      <c r="S32663" s="178"/>
    </row>
    <row r="32664" spans="18:19">
      <c r="R32664" s="178"/>
      <c r="S32664" s="178"/>
    </row>
    <row r="32665" spans="18:19">
      <c r="R32665" s="178"/>
      <c r="S32665" s="178"/>
    </row>
    <row r="32666" spans="18:19">
      <c r="R32666" s="178"/>
      <c r="S32666" s="178"/>
    </row>
    <row r="32667" spans="18:19">
      <c r="R32667" s="178"/>
      <c r="S32667" s="178"/>
    </row>
    <row r="32668" spans="18:19">
      <c r="R32668" s="178"/>
      <c r="S32668" s="178"/>
    </row>
    <row r="32669" spans="18:19">
      <c r="R32669" s="178"/>
      <c r="S32669" s="178"/>
    </row>
    <row r="32670" spans="18:19">
      <c r="R32670" s="178"/>
      <c r="S32670" s="178"/>
    </row>
    <row r="32671" spans="18:19">
      <c r="R32671" s="178"/>
      <c r="S32671" s="178"/>
    </row>
    <row r="32672" spans="18:19">
      <c r="R32672" s="178"/>
      <c r="S32672" s="178"/>
    </row>
    <row r="32673" spans="18:19">
      <c r="R32673" s="178"/>
      <c r="S32673" s="178"/>
    </row>
    <row r="32674" spans="18:19">
      <c r="R32674" s="178"/>
      <c r="S32674" s="178"/>
    </row>
    <row r="32675" spans="18:19">
      <c r="R32675" s="178"/>
      <c r="S32675" s="178"/>
    </row>
    <row r="32676" spans="18:19">
      <c r="R32676" s="178"/>
      <c r="S32676" s="178"/>
    </row>
    <row r="32677" spans="18:19">
      <c r="R32677" s="178"/>
      <c r="S32677" s="178"/>
    </row>
    <row r="32678" spans="18:19">
      <c r="R32678" s="178"/>
      <c r="S32678" s="178"/>
    </row>
    <row r="32679" spans="18:19">
      <c r="R32679" s="178"/>
      <c r="S32679" s="178"/>
    </row>
    <row r="32680" spans="18:19">
      <c r="R32680" s="178"/>
      <c r="S32680" s="178"/>
    </row>
    <row r="32681" spans="18:19">
      <c r="R32681" s="178"/>
      <c r="S32681" s="178"/>
    </row>
    <row r="32682" spans="18:19">
      <c r="R32682" s="178"/>
      <c r="S32682" s="178"/>
    </row>
    <row r="32683" spans="18:19">
      <c r="R32683" s="178"/>
      <c r="S32683" s="178"/>
    </row>
    <row r="32684" spans="18:19">
      <c r="R32684" s="178"/>
      <c r="S32684" s="178"/>
    </row>
    <row r="32685" spans="18:19">
      <c r="R32685" s="178"/>
      <c r="S32685" s="178"/>
    </row>
    <row r="32686" spans="18:19">
      <c r="R32686" s="178"/>
      <c r="S32686" s="178"/>
    </row>
    <row r="32687" spans="18:19">
      <c r="R32687" s="178"/>
      <c r="S32687" s="178"/>
    </row>
    <row r="32688" spans="18:19">
      <c r="R32688" s="178"/>
      <c r="S32688" s="178"/>
    </row>
    <row r="32689" spans="18:19">
      <c r="R32689" s="178"/>
      <c r="S32689" s="178"/>
    </row>
    <row r="32690" spans="18:19">
      <c r="R32690" s="178"/>
      <c r="S32690" s="178"/>
    </row>
    <row r="32691" spans="18:19">
      <c r="R32691" s="178"/>
      <c r="S32691" s="178"/>
    </row>
    <row r="32692" spans="18:19">
      <c r="R32692" s="178"/>
      <c r="S32692" s="178"/>
    </row>
    <row r="32693" spans="18:19">
      <c r="R32693" s="178"/>
      <c r="S32693" s="178"/>
    </row>
    <row r="32694" spans="18:19">
      <c r="R32694" s="178"/>
      <c r="S32694" s="178"/>
    </row>
    <row r="32695" spans="18:19">
      <c r="R32695" s="178"/>
      <c r="S32695" s="178"/>
    </row>
    <row r="32696" spans="18:19">
      <c r="R32696" s="178"/>
      <c r="S32696" s="178"/>
    </row>
    <row r="32697" spans="18:19">
      <c r="R32697" s="178"/>
      <c r="S32697" s="178"/>
    </row>
    <row r="32698" spans="18:19">
      <c r="R32698" s="178"/>
      <c r="S32698" s="178"/>
    </row>
    <row r="32699" spans="18:19">
      <c r="R32699" s="178"/>
      <c r="S32699" s="178"/>
    </row>
    <row r="32700" spans="18:19">
      <c r="R32700" s="178"/>
      <c r="S32700" s="178"/>
    </row>
    <row r="32701" spans="18:19">
      <c r="R32701" s="178"/>
      <c r="S32701" s="178"/>
    </row>
    <row r="32702" spans="18:19">
      <c r="R32702" s="178"/>
      <c r="S32702" s="178"/>
    </row>
    <row r="32703" spans="18:19">
      <c r="R32703" s="178"/>
      <c r="S32703" s="178"/>
    </row>
    <row r="32704" spans="18:19">
      <c r="R32704" s="178"/>
      <c r="S32704" s="178"/>
    </row>
    <row r="32705" spans="18:19">
      <c r="R32705" s="178"/>
      <c r="S32705" s="178"/>
    </row>
    <row r="32706" spans="18:19">
      <c r="R32706" s="178"/>
      <c r="S32706" s="178"/>
    </row>
    <row r="32707" spans="18:19">
      <c r="R32707" s="178"/>
      <c r="S32707" s="178"/>
    </row>
    <row r="32708" spans="18:19">
      <c r="R32708" s="178"/>
      <c r="S32708" s="178"/>
    </row>
    <row r="32709" spans="18:19">
      <c r="R32709" s="178"/>
      <c r="S32709" s="178"/>
    </row>
    <row r="32710" spans="18:19">
      <c r="R32710" s="178"/>
      <c r="S32710" s="178"/>
    </row>
    <row r="32711" spans="18:19">
      <c r="R32711" s="178"/>
      <c r="S32711" s="178"/>
    </row>
    <row r="32712" spans="18:19">
      <c r="R32712" s="178"/>
      <c r="S32712" s="178"/>
    </row>
    <row r="32713" spans="18:19">
      <c r="R32713" s="178"/>
      <c r="S32713" s="178"/>
    </row>
    <row r="32714" spans="18:19">
      <c r="R32714" s="178"/>
      <c r="S32714" s="178"/>
    </row>
    <row r="32715" spans="18:19">
      <c r="R32715" s="178"/>
      <c r="S32715" s="178"/>
    </row>
    <row r="32716" spans="18:19">
      <c r="R32716" s="178"/>
      <c r="S32716" s="178"/>
    </row>
    <row r="32717" spans="18:19">
      <c r="R32717" s="178"/>
      <c r="S32717" s="178"/>
    </row>
    <row r="32718" spans="18:19">
      <c r="R32718" s="178"/>
      <c r="S32718" s="178"/>
    </row>
    <row r="32719" spans="18:19">
      <c r="R32719" s="178"/>
      <c r="S32719" s="178"/>
    </row>
    <row r="32720" spans="18:19">
      <c r="R32720" s="178"/>
      <c r="S32720" s="178"/>
    </row>
    <row r="32721" spans="18:19">
      <c r="R32721" s="178"/>
      <c r="S32721" s="178"/>
    </row>
    <row r="32722" spans="18:19">
      <c r="R32722" s="178"/>
      <c r="S32722" s="178"/>
    </row>
    <row r="32723" spans="18:19">
      <c r="R32723" s="178"/>
      <c r="S32723" s="178"/>
    </row>
    <row r="32724" spans="18:19">
      <c r="R32724" s="178"/>
      <c r="S32724" s="178"/>
    </row>
    <row r="32725" spans="18:19">
      <c r="R32725" s="178"/>
      <c r="S32725" s="178"/>
    </row>
    <row r="32726" spans="18:19">
      <c r="R32726" s="178"/>
      <c r="S32726" s="178"/>
    </row>
    <row r="32727" spans="18:19">
      <c r="R32727" s="178"/>
      <c r="S32727" s="178"/>
    </row>
    <row r="32728" spans="18:19">
      <c r="R32728" s="178"/>
      <c r="S32728" s="178"/>
    </row>
    <row r="32729" spans="18:19">
      <c r="R32729" s="178"/>
      <c r="S32729" s="178"/>
    </row>
    <row r="32730" spans="18:19">
      <c r="R32730" s="178"/>
      <c r="S32730" s="178"/>
    </row>
    <row r="32731" spans="18:19">
      <c r="R32731" s="178"/>
      <c r="S32731" s="178"/>
    </row>
    <row r="32732" spans="18:19">
      <c r="R32732" s="178"/>
      <c r="S32732" s="178"/>
    </row>
    <row r="32733" spans="18:19">
      <c r="R32733" s="178"/>
      <c r="S32733" s="178"/>
    </row>
    <row r="32734" spans="18:19">
      <c r="R32734" s="178"/>
      <c r="S32734" s="178"/>
    </row>
    <row r="32735" spans="18:19">
      <c r="R32735" s="178"/>
      <c r="S32735" s="178"/>
    </row>
    <row r="32736" spans="18:19">
      <c r="R32736" s="178"/>
      <c r="S32736" s="178"/>
    </row>
    <row r="32737" spans="18:19">
      <c r="R32737" s="178"/>
      <c r="S32737" s="178"/>
    </row>
    <row r="32738" spans="18:19">
      <c r="R32738" s="178"/>
      <c r="S32738" s="178"/>
    </row>
    <row r="32739" spans="18:19">
      <c r="R32739" s="178"/>
      <c r="S32739" s="178"/>
    </row>
    <row r="32740" spans="18:19">
      <c r="R32740" s="178"/>
      <c r="S32740" s="178"/>
    </row>
    <row r="32741" spans="18:19">
      <c r="R32741" s="178"/>
      <c r="S32741" s="178"/>
    </row>
    <row r="32742" spans="18:19">
      <c r="R32742" s="178"/>
      <c r="S32742" s="178"/>
    </row>
    <row r="32743" spans="18:19">
      <c r="R32743" s="178"/>
      <c r="S32743" s="178"/>
    </row>
    <row r="32744" spans="18:19">
      <c r="R32744" s="178"/>
      <c r="S32744" s="178"/>
    </row>
    <row r="32745" spans="18:19">
      <c r="R32745" s="178"/>
      <c r="S32745" s="178"/>
    </row>
    <row r="32746" spans="18:19">
      <c r="R32746" s="178"/>
      <c r="S32746" s="178"/>
    </row>
    <row r="32747" spans="18:19">
      <c r="R32747" s="178"/>
      <c r="S32747" s="178"/>
    </row>
    <row r="32748" spans="18:19">
      <c r="R32748" s="178"/>
      <c r="S32748" s="178"/>
    </row>
    <row r="32749" spans="18:19">
      <c r="R32749" s="178"/>
      <c r="S32749" s="178"/>
    </row>
    <row r="32750" spans="18:19">
      <c r="R32750" s="178"/>
      <c r="S32750" s="178"/>
    </row>
    <row r="32751" spans="18:19">
      <c r="R32751" s="178"/>
      <c r="S32751" s="178"/>
    </row>
    <row r="32752" spans="18:19">
      <c r="R32752" s="178"/>
      <c r="S32752" s="178"/>
    </row>
    <row r="32753" spans="18:19">
      <c r="R32753" s="178"/>
      <c r="S32753" s="178"/>
    </row>
    <row r="32754" spans="18:19">
      <c r="R32754" s="178"/>
      <c r="S32754" s="178"/>
    </row>
    <row r="32755" spans="18:19">
      <c r="R32755" s="178"/>
      <c r="S32755" s="178"/>
    </row>
    <row r="32756" spans="18:19">
      <c r="R32756" s="178"/>
      <c r="S32756" s="178"/>
    </row>
    <row r="32757" spans="18:19">
      <c r="R32757" s="178"/>
      <c r="S32757" s="178"/>
    </row>
    <row r="32758" spans="18:19">
      <c r="R32758" s="178"/>
      <c r="S32758" s="178"/>
    </row>
    <row r="32759" spans="18:19">
      <c r="R32759" s="178"/>
      <c r="S32759" s="178"/>
    </row>
    <row r="32760" spans="18:19">
      <c r="R32760" s="178"/>
      <c r="S32760" s="178"/>
    </row>
    <row r="32761" spans="18:19">
      <c r="R32761" s="178"/>
      <c r="S32761" s="178"/>
    </row>
    <row r="32762" spans="18:19">
      <c r="R32762" s="178"/>
      <c r="S32762" s="178"/>
    </row>
    <row r="32763" spans="18:19">
      <c r="R32763" s="178"/>
      <c r="S32763" s="178"/>
    </row>
    <row r="32764" spans="18:19">
      <c r="R32764" s="178"/>
      <c r="S32764" s="178"/>
    </row>
    <row r="32765" spans="18:19">
      <c r="R32765" s="178"/>
      <c r="S32765" s="178"/>
    </row>
    <row r="32766" spans="18:19">
      <c r="R32766" s="178"/>
      <c r="S32766" s="178"/>
    </row>
    <row r="32767" spans="18:19">
      <c r="R32767" s="178"/>
      <c r="S32767" s="178"/>
    </row>
    <row r="32768" spans="18:19">
      <c r="R32768" s="178"/>
      <c r="S32768" s="178"/>
    </row>
    <row r="32769" spans="18:19">
      <c r="R32769" s="178"/>
      <c r="S32769" s="178"/>
    </row>
    <row r="32770" spans="18:19">
      <c r="R32770" s="178"/>
      <c r="S32770" s="178"/>
    </row>
    <row r="32771" spans="18:19">
      <c r="R32771" s="178"/>
      <c r="S32771" s="178"/>
    </row>
    <row r="32772" spans="18:19">
      <c r="R32772" s="178"/>
      <c r="S32772" s="178"/>
    </row>
    <row r="32773" spans="18:19">
      <c r="R32773" s="178"/>
      <c r="S32773" s="178"/>
    </row>
    <row r="32774" spans="18:19">
      <c r="R32774" s="178"/>
      <c r="S32774" s="178"/>
    </row>
    <row r="32775" spans="18:19">
      <c r="R32775" s="178"/>
      <c r="S32775" s="178"/>
    </row>
    <row r="32776" spans="18:19">
      <c r="R32776" s="178"/>
      <c r="S32776" s="178"/>
    </row>
    <row r="32777" spans="18:19">
      <c r="R32777" s="178"/>
      <c r="S32777" s="178"/>
    </row>
    <row r="32778" spans="18:19">
      <c r="R32778" s="178"/>
      <c r="S32778" s="178"/>
    </row>
    <row r="32779" spans="18:19">
      <c r="R32779" s="178"/>
      <c r="S32779" s="178"/>
    </row>
    <row r="32780" spans="18:19">
      <c r="R32780" s="178"/>
      <c r="S32780" s="178"/>
    </row>
    <row r="32781" spans="18:19">
      <c r="R32781" s="178"/>
      <c r="S32781" s="178"/>
    </row>
    <row r="32782" spans="18:19">
      <c r="R32782" s="178"/>
      <c r="S32782" s="178"/>
    </row>
    <row r="32783" spans="18:19">
      <c r="R32783" s="178"/>
      <c r="S32783" s="178"/>
    </row>
    <row r="32784" spans="18:19">
      <c r="R32784" s="178"/>
      <c r="S32784" s="178"/>
    </row>
    <row r="32785" spans="18:19">
      <c r="R32785" s="178"/>
      <c r="S32785" s="178"/>
    </row>
    <row r="32786" spans="18:19">
      <c r="R32786" s="178"/>
      <c r="S32786" s="178"/>
    </row>
    <row r="32787" spans="18:19">
      <c r="R32787" s="178"/>
      <c r="S32787" s="178"/>
    </row>
    <row r="32788" spans="18:19">
      <c r="R32788" s="178"/>
      <c r="S32788" s="178"/>
    </row>
    <row r="32789" spans="18:19">
      <c r="R32789" s="178"/>
      <c r="S32789" s="178"/>
    </row>
    <row r="32790" spans="18:19">
      <c r="R32790" s="178"/>
      <c r="S32790" s="178"/>
    </row>
    <row r="32791" spans="18:19">
      <c r="R32791" s="178"/>
      <c r="S32791" s="178"/>
    </row>
    <row r="32792" spans="18:19">
      <c r="R32792" s="178"/>
      <c r="S32792" s="178"/>
    </row>
    <row r="32793" spans="18:19">
      <c r="R32793" s="178"/>
      <c r="S32793" s="178"/>
    </row>
    <row r="32794" spans="18:19">
      <c r="R32794" s="178"/>
      <c r="S32794" s="178"/>
    </row>
    <row r="32795" spans="18:19">
      <c r="R32795" s="178"/>
      <c r="S32795" s="178"/>
    </row>
    <row r="32796" spans="18:19">
      <c r="R32796" s="178"/>
      <c r="S32796" s="178"/>
    </row>
    <row r="32797" spans="18:19">
      <c r="R32797" s="178"/>
      <c r="S32797" s="178"/>
    </row>
    <row r="32798" spans="18:19">
      <c r="R32798" s="178"/>
      <c r="S32798" s="178"/>
    </row>
    <row r="32799" spans="18:19">
      <c r="R32799" s="178"/>
      <c r="S32799" s="178"/>
    </row>
    <row r="32800" spans="18:19">
      <c r="R32800" s="178"/>
      <c r="S32800" s="178"/>
    </row>
    <row r="32801" spans="18:19">
      <c r="R32801" s="178"/>
      <c r="S32801" s="178"/>
    </row>
    <row r="32802" spans="18:19">
      <c r="R32802" s="178"/>
      <c r="S32802" s="178"/>
    </row>
    <row r="32803" spans="18:19">
      <c r="R32803" s="178"/>
      <c r="S32803" s="178"/>
    </row>
    <row r="32804" spans="18:19">
      <c r="R32804" s="178"/>
      <c r="S32804" s="178"/>
    </row>
    <row r="32805" spans="18:19">
      <c r="R32805" s="178"/>
      <c r="S32805" s="178"/>
    </row>
    <row r="32806" spans="18:19">
      <c r="R32806" s="178"/>
      <c r="S32806" s="178"/>
    </row>
    <row r="32807" spans="18:19">
      <c r="R32807" s="178"/>
      <c r="S32807" s="178"/>
    </row>
    <row r="32808" spans="18:19">
      <c r="R32808" s="178"/>
      <c r="S32808" s="178"/>
    </row>
    <row r="32809" spans="18:19">
      <c r="R32809" s="178"/>
      <c r="S32809" s="178"/>
    </row>
    <row r="32810" spans="18:19">
      <c r="R32810" s="178"/>
      <c r="S32810" s="178"/>
    </row>
    <row r="32811" spans="18:19">
      <c r="R32811" s="178"/>
      <c r="S32811" s="178"/>
    </row>
    <row r="32812" spans="18:19">
      <c r="R32812" s="178"/>
      <c r="S32812" s="178"/>
    </row>
    <row r="32813" spans="18:19">
      <c r="R32813" s="178"/>
      <c r="S32813" s="178"/>
    </row>
    <row r="32814" spans="18:19">
      <c r="R32814" s="178"/>
      <c r="S32814" s="178"/>
    </row>
    <row r="32815" spans="18:19">
      <c r="R32815" s="178"/>
      <c r="S32815" s="178"/>
    </row>
    <row r="32816" spans="18:19">
      <c r="R32816" s="178"/>
      <c r="S32816" s="178"/>
    </row>
    <row r="32817" spans="18:19">
      <c r="R32817" s="178"/>
      <c r="S32817" s="178"/>
    </row>
    <row r="32818" spans="18:19">
      <c r="R32818" s="178"/>
      <c r="S32818" s="178"/>
    </row>
    <row r="32819" spans="18:19">
      <c r="R32819" s="178"/>
      <c r="S32819" s="178"/>
    </row>
    <row r="32820" spans="18:19">
      <c r="R32820" s="178"/>
      <c r="S32820" s="178"/>
    </row>
    <row r="32821" spans="18:19">
      <c r="R32821" s="178"/>
      <c r="S32821" s="178"/>
    </row>
    <row r="32822" spans="18:19">
      <c r="R32822" s="178"/>
      <c r="S32822" s="178"/>
    </row>
    <row r="32823" spans="18:19">
      <c r="R32823" s="178"/>
      <c r="S32823" s="178"/>
    </row>
    <row r="32824" spans="18:19">
      <c r="R32824" s="178"/>
      <c r="S32824" s="178"/>
    </row>
    <row r="32825" spans="18:19">
      <c r="R32825" s="178"/>
      <c r="S32825" s="178"/>
    </row>
    <row r="32826" spans="18:19">
      <c r="R32826" s="178"/>
      <c r="S32826" s="178"/>
    </row>
    <row r="32827" spans="18:19">
      <c r="R32827" s="178"/>
      <c r="S32827" s="178"/>
    </row>
    <row r="32828" spans="18:19">
      <c r="R32828" s="178"/>
      <c r="S32828" s="178"/>
    </row>
    <row r="32829" spans="18:19">
      <c r="R32829" s="178"/>
      <c r="S32829" s="178"/>
    </row>
    <row r="32830" spans="18:19">
      <c r="R32830" s="178"/>
      <c r="S32830" s="178"/>
    </row>
    <row r="32831" spans="18:19">
      <c r="R32831" s="178"/>
      <c r="S32831" s="178"/>
    </row>
    <row r="32832" spans="18:19">
      <c r="R32832" s="178"/>
      <c r="S32832" s="178"/>
    </row>
    <row r="32833" spans="18:19">
      <c r="R32833" s="178"/>
      <c r="S32833" s="178"/>
    </row>
    <row r="32834" spans="18:19">
      <c r="R32834" s="178"/>
      <c r="S32834" s="178"/>
    </row>
    <row r="32835" spans="18:19">
      <c r="R32835" s="178"/>
      <c r="S32835" s="178"/>
    </row>
    <row r="32836" spans="18:19">
      <c r="R32836" s="178"/>
      <c r="S32836" s="178"/>
    </row>
    <row r="32837" spans="18:19">
      <c r="R32837" s="178"/>
      <c r="S32837" s="178"/>
    </row>
    <row r="32838" spans="18:19">
      <c r="R32838" s="178"/>
      <c r="S32838" s="178"/>
    </row>
    <row r="32839" spans="18:19">
      <c r="R32839" s="178"/>
      <c r="S32839" s="178"/>
    </row>
    <row r="32840" spans="18:19">
      <c r="R32840" s="178"/>
      <c r="S32840" s="178"/>
    </row>
    <row r="32841" spans="18:19">
      <c r="R32841" s="178"/>
      <c r="S32841" s="178"/>
    </row>
    <row r="32842" spans="18:19">
      <c r="R32842" s="178"/>
      <c r="S32842" s="178"/>
    </row>
    <row r="32843" spans="18:19">
      <c r="R32843" s="178"/>
      <c r="S32843" s="178"/>
    </row>
    <row r="32844" spans="18:19">
      <c r="R32844" s="178"/>
      <c r="S32844" s="178"/>
    </row>
    <row r="32845" spans="18:19">
      <c r="R32845" s="178"/>
      <c r="S32845" s="178"/>
    </row>
    <row r="32846" spans="18:19">
      <c r="R32846" s="178"/>
      <c r="S32846" s="178"/>
    </row>
    <row r="32847" spans="18:19">
      <c r="R32847" s="178"/>
      <c r="S32847" s="178"/>
    </row>
    <row r="32848" spans="18:19">
      <c r="R32848" s="178"/>
      <c r="S32848" s="178"/>
    </row>
    <row r="32849" spans="18:19">
      <c r="R32849" s="178"/>
      <c r="S32849" s="178"/>
    </row>
    <row r="32850" spans="18:19">
      <c r="R32850" s="178"/>
      <c r="S32850" s="178"/>
    </row>
    <row r="32851" spans="18:19">
      <c r="R32851" s="178"/>
      <c r="S32851" s="178"/>
    </row>
    <row r="32852" spans="18:19">
      <c r="R32852" s="178"/>
      <c r="S32852" s="178"/>
    </row>
    <row r="32853" spans="18:19">
      <c r="R32853" s="178"/>
      <c r="S32853" s="178"/>
    </row>
    <row r="32854" spans="18:19">
      <c r="R32854" s="178"/>
      <c r="S32854" s="178"/>
    </row>
    <row r="32855" spans="18:19">
      <c r="R32855" s="178"/>
      <c r="S32855" s="178"/>
    </row>
    <row r="32856" spans="18:19">
      <c r="R32856" s="178"/>
      <c r="S32856" s="178"/>
    </row>
    <row r="32857" spans="18:19">
      <c r="R32857" s="178"/>
      <c r="S32857" s="178"/>
    </row>
    <row r="32858" spans="18:19">
      <c r="R32858" s="178"/>
      <c r="S32858" s="178"/>
    </row>
    <row r="32859" spans="18:19">
      <c r="R32859" s="178"/>
      <c r="S32859" s="178"/>
    </row>
    <row r="32860" spans="18:19">
      <c r="R32860" s="178"/>
      <c r="S32860" s="178"/>
    </row>
    <row r="32861" spans="18:19">
      <c r="R32861" s="178"/>
      <c r="S32861" s="178"/>
    </row>
    <row r="32862" spans="18:19">
      <c r="R32862" s="178"/>
      <c r="S32862" s="178"/>
    </row>
    <row r="32863" spans="18:19">
      <c r="R32863" s="178"/>
      <c r="S32863" s="178"/>
    </row>
    <row r="32864" spans="18:19">
      <c r="R32864" s="178"/>
      <c r="S32864" s="178"/>
    </row>
    <row r="32865" spans="18:19">
      <c r="R32865" s="178"/>
      <c r="S32865" s="178"/>
    </row>
    <row r="32866" spans="18:19">
      <c r="R32866" s="178"/>
      <c r="S32866" s="178"/>
    </row>
    <row r="32867" spans="18:19">
      <c r="R32867" s="178"/>
      <c r="S32867" s="178"/>
    </row>
    <row r="32868" spans="18:19">
      <c r="R32868" s="178"/>
      <c r="S32868" s="178"/>
    </row>
    <row r="32869" spans="18:19">
      <c r="R32869" s="178"/>
      <c r="S32869" s="178"/>
    </row>
    <row r="32870" spans="18:19">
      <c r="R32870" s="178"/>
      <c r="S32870" s="178"/>
    </row>
    <row r="32871" spans="18:19">
      <c r="R32871" s="178"/>
      <c r="S32871" s="178"/>
    </row>
    <row r="32872" spans="18:19">
      <c r="R32872" s="178"/>
      <c r="S32872" s="178"/>
    </row>
    <row r="32873" spans="18:19">
      <c r="R32873" s="178"/>
      <c r="S32873" s="178"/>
    </row>
    <row r="32874" spans="18:19">
      <c r="R32874" s="178"/>
      <c r="S32874" s="178"/>
    </row>
    <row r="32875" spans="18:19">
      <c r="R32875" s="178"/>
      <c r="S32875" s="178"/>
    </row>
    <row r="32876" spans="18:19">
      <c r="R32876" s="178"/>
      <c r="S32876" s="178"/>
    </row>
    <row r="32877" spans="18:19">
      <c r="R32877" s="178"/>
      <c r="S32877" s="178"/>
    </row>
    <row r="32878" spans="18:19">
      <c r="R32878" s="178"/>
      <c r="S32878" s="178"/>
    </row>
    <row r="32879" spans="18:19">
      <c r="R32879" s="178"/>
      <c r="S32879" s="178"/>
    </row>
    <row r="32880" spans="18:19">
      <c r="R32880" s="178"/>
      <c r="S32880" s="178"/>
    </row>
    <row r="32881" spans="18:19">
      <c r="R32881" s="178"/>
      <c r="S32881" s="178"/>
    </row>
    <row r="32882" spans="18:19">
      <c r="R32882" s="178"/>
      <c r="S32882" s="178"/>
    </row>
    <row r="32883" spans="18:19">
      <c r="R32883" s="178"/>
      <c r="S32883" s="178"/>
    </row>
    <row r="32884" spans="18:19">
      <c r="R32884" s="178"/>
      <c r="S32884" s="178"/>
    </row>
    <row r="32885" spans="18:19">
      <c r="R32885" s="178"/>
      <c r="S32885" s="178"/>
    </row>
    <row r="32886" spans="18:19">
      <c r="R32886" s="178"/>
      <c r="S32886" s="178"/>
    </row>
    <row r="32887" spans="18:19">
      <c r="R32887" s="178"/>
      <c r="S32887" s="178"/>
    </row>
    <row r="32888" spans="18:19">
      <c r="R32888" s="178"/>
      <c r="S32888" s="178"/>
    </row>
    <row r="32889" spans="18:19">
      <c r="R32889" s="178"/>
      <c r="S32889" s="178"/>
    </row>
    <row r="32890" spans="18:19">
      <c r="R32890" s="178"/>
      <c r="S32890" s="178"/>
    </row>
    <row r="32891" spans="18:19">
      <c r="R32891" s="178"/>
      <c r="S32891" s="178"/>
    </row>
    <row r="32892" spans="18:19">
      <c r="R32892" s="178"/>
      <c r="S32892" s="178"/>
    </row>
    <row r="32893" spans="18:19">
      <c r="R32893" s="178"/>
      <c r="S32893" s="178"/>
    </row>
    <row r="32894" spans="18:19">
      <c r="R32894" s="178"/>
      <c r="S32894" s="178"/>
    </row>
    <row r="32895" spans="18:19">
      <c r="R32895" s="178"/>
      <c r="S32895" s="178"/>
    </row>
    <row r="32896" spans="18:19">
      <c r="R32896" s="178"/>
      <c r="S32896" s="178"/>
    </row>
    <row r="32897" spans="18:19">
      <c r="R32897" s="178"/>
      <c r="S32897" s="178"/>
    </row>
    <row r="32898" spans="18:19">
      <c r="R32898" s="178"/>
      <c r="S32898" s="178"/>
    </row>
    <row r="32899" spans="18:19">
      <c r="R32899" s="178"/>
      <c r="S32899" s="178"/>
    </row>
    <row r="32900" spans="18:19">
      <c r="R32900" s="178"/>
      <c r="S32900" s="178"/>
    </row>
    <row r="32901" spans="18:19">
      <c r="R32901" s="178"/>
      <c r="S32901" s="178"/>
    </row>
    <row r="32902" spans="18:19">
      <c r="R32902" s="178"/>
      <c r="S32902" s="178"/>
    </row>
    <row r="32903" spans="18:19">
      <c r="R32903" s="178"/>
      <c r="S32903" s="178"/>
    </row>
    <row r="32904" spans="18:19">
      <c r="R32904" s="178"/>
      <c r="S32904" s="178"/>
    </row>
    <row r="32905" spans="18:19">
      <c r="R32905" s="178"/>
      <c r="S32905" s="178"/>
    </row>
    <row r="32906" spans="18:19">
      <c r="R32906" s="178"/>
      <c r="S32906" s="178"/>
    </row>
    <row r="32907" spans="18:19">
      <c r="R32907" s="178"/>
      <c r="S32907" s="178"/>
    </row>
    <row r="32908" spans="18:19">
      <c r="R32908" s="178"/>
      <c r="S32908" s="178"/>
    </row>
    <row r="32909" spans="18:19">
      <c r="R32909" s="178"/>
      <c r="S32909" s="178"/>
    </row>
    <row r="32910" spans="18:19">
      <c r="R32910" s="178"/>
      <c r="S32910" s="178"/>
    </row>
    <row r="32911" spans="18:19">
      <c r="R32911" s="178"/>
      <c r="S32911" s="178"/>
    </row>
    <row r="32912" spans="18:19">
      <c r="R32912" s="178"/>
      <c r="S32912" s="178"/>
    </row>
    <row r="32913" spans="18:19">
      <c r="R32913" s="178"/>
      <c r="S32913" s="178"/>
    </row>
    <row r="32914" spans="18:19">
      <c r="R32914" s="178"/>
      <c r="S32914" s="178"/>
    </row>
    <row r="32915" spans="18:19">
      <c r="R32915" s="178"/>
      <c r="S32915" s="178"/>
    </row>
    <row r="32916" spans="18:19">
      <c r="R32916" s="178"/>
      <c r="S32916" s="178"/>
    </row>
    <row r="32917" spans="18:19">
      <c r="R32917" s="178"/>
      <c r="S32917" s="178"/>
    </row>
    <row r="32918" spans="18:19">
      <c r="R32918" s="178"/>
      <c r="S32918" s="178"/>
    </row>
    <row r="32919" spans="18:19">
      <c r="R32919" s="178"/>
      <c r="S32919" s="178"/>
    </row>
    <row r="32920" spans="18:19">
      <c r="R32920" s="178"/>
      <c r="S32920" s="178"/>
    </row>
    <row r="32921" spans="18:19">
      <c r="R32921" s="178"/>
      <c r="S32921" s="178"/>
    </row>
    <row r="32922" spans="18:19">
      <c r="R32922" s="178"/>
      <c r="S32922" s="178"/>
    </row>
    <row r="32923" spans="18:19">
      <c r="R32923" s="178"/>
      <c r="S32923" s="178"/>
    </row>
    <row r="32924" spans="18:19">
      <c r="R32924" s="178"/>
      <c r="S32924" s="178"/>
    </row>
    <row r="32925" spans="18:19">
      <c r="R32925" s="178"/>
      <c r="S32925" s="178"/>
    </row>
    <row r="32926" spans="18:19">
      <c r="R32926" s="178"/>
      <c r="S32926" s="178"/>
    </row>
    <row r="32927" spans="18:19">
      <c r="R32927" s="178"/>
      <c r="S32927" s="178"/>
    </row>
    <row r="32928" spans="18:19">
      <c r="R32928" s="178"/>
      <c r="S32928" s="178"/>
    </row>
    <row r="32929" spans="18:19">
      <c r="R32929" s="178"/>
      <c r="S32929" s="178"/>
    </row>
    <row r="32930" spans="18:19">
      <c r="R32930" s="178"/>
      <c r="S32930" s="178"/>
    </row>
    <row r="32931" spans="18:19">
      <c r="R32931" s="178"/>
      <c r="S32931" s="178"/>
    </row>
    <row r="32932" spans="18:19">
      <c r="R32932" s="178"/>
      <c r="S32932" s="178"/>
    </row>
    <row r="32933" spans="18:19">
      <c r="R32933" s="178"/>
      <c r="S32933" s="178"/>
    </row>
    <row r="32934" spans="18:19">
      <c r="R32934" s="178"/>
      <c r="S32934" s="178"/>
    </row>
    <row r="32935" spans="18:19">
      <c r="R32935" s="178"/>
      <c r="S32935" s="178"/>
    </row>
    <row r="32936" spans="18:19">
      <c r="R32936" s="178"/>
      <c r="S32936" s="178"/>
    </row>
    <row r="32937" spans="18:19">
      <c r="R32937" s="178"/>
      <c r="S32937" s="178"/>
    </row>
    <row r="32938" spans="18:19">
      <c r="R32938" s="178"/>
      <c r="S32938" s="178"/>
    </row>
    <row r="32939" spans="18:19">
      <c r="R32939" s="178"/>
      <c r="S32939" s="178"/>
    </row>
    <row r="32940" spans="18:19">
      <c r="R32940" s="178"/>
      <c r="S32940" s="178"/>
    </row>
    <row r="32941" spans="18:19">
      <c r="R32941" s="178"/>
      <c r="S32941" s="178"/>
    </row>
    <row r="32942" spans="18:19">
      <c r="R32942" s="178"/>
      <c r="S32942" s="178"/>
    </row>
    <row r="32943" spans="18:19">
      <c r="R32943" s="178"/>
      <c r="S32943" s="178"/>
    </row>
    <row r="32944" spans="18:19">
      <c r="R32944" s="178"/>
      <c r="S32944" s="178"/>
    </row>
    <row r="32945" spans="18:19">
      <c r="R32945" s="178"/>
      <c r="S32945" s="178"/>
    </row>
    <row r="32946" spans="18:19">
      <c r="R32946" s="178"/>
      <c r="S32946" s="178"/>
    </row>
    <row r="32947" spans="18:19">
      <c r="R32947" s="178"/>
      <c r="S32947" s="178"/>
    </row>
    <row r="32948" spans="18:19">
      <c r="R32948" s="178"/>
      <c r="S32948" s="178"/>
    </row>
    <row r="32949" spans="18:19">
      <c r="R32949" s="178"/>
      <c r="S32949" s="178"/>
    </row>
    <row r="32950" spans="18:19">
      <c r="R32950" s="178"/>
      <c r="S32950" s="178"/>
    </row>
    <row r="32951" spans="18:19">
      <c r="R32951" s="178"/>
      <c r="S32951" s="178"/>
    </row>
    <row r="32952" spans="18:19">
      <c r="R32952" s="178"/>
      <c r="S32952" s="178"/>
    </row>
    <row r="32953" spans="18:19">
      <c r="R32953" s="178"/>
      <c r="S32953" s="178"/>
    </row>
    <row r="32954" spans="18:19">
      <c r="R32954" s="178"/>
      <c r="S32954" s="178"/>
    </row>
    <row r="32955" spans="18:19">
      <c r="R32955" s="178"/>
      <c r="S32955" s="178"/>
    </row>
    <row r="32956" spans="18:19">
      <c r="R32956" s="178"/>
      <c r="S32956" s="178"/>
    </row>
    <row r="32957" spans="18:19">
      <c r="R32957" s="178"/>
      <c r="S32957" s="178"/>
    </row>
    <row r="32958" spans="18:19">
      <c r="R32958" s="178"/>
      <c r="S32958" s="178"/>
    </row>
    <row r="32959" spans="18:19">
      <c r="R32959" s="178"/>
      <c r="S32959" s="178"/>
    </row>
    <row r="32960" spans="18:19">
      <c r="R32960" s="178"/>
      <c r="S32960" s="178"/>
    </row>
    <row r="32961" spans="18:19">
      <c r="R32961" s="178"/>
      <c r="S32961" s="178"/>
    </row>
    <row r="32962" spans="18:19">
      <c r="R32962" s="178"/>
      <c r="S32962" s="178"/>
    </row>
    <row r="32963" spans="18:19">
      <c r="R32963" s="178"/>
      <c r="S32963" s="178"/>
    </row>
    <row r="32964" spans="18:19">
      <c r="R32964" s="178"/>
      <c r="S32964" s="178"/>
    </row>
    <row r="32965" spans="18:19">
      <c r="R32965" s="178"/>
      <c r="S32965" s="178"/>
    </row>
    <row r="32966" spans="18:19">
      <c r="R32966" s="178"/>
      <c r="S32966" s="178"/>
    </row>
    <row r="32967" spans="18:19">
      <c r="R32967" s="178"/>
      <c r="S32967" s="178"/>
    </row>
    <row r="32968" spans="18:19">
      <c r="R32968" s="178"/>
      <c r="S32968" s="178"/>
    </row>
    <row r="32969" spans="18:19">
      <c r="R32969" s="178"/>
      <c r="S32969" s="178"/>
    </row>
    <row r="32970" spans="18:19">
      <c r="R32970" s="178"/>
      <c r="S32970" s="178"/>
    </row>
    <row r="32971" spans="18:19">
      <c r="R32971" s="178"/>
      <c r="S32971" s="178"/>
    </row>
    <row r="32972" spans="18:19">
      <c r="R32972" s="178"/>
      <c r="S32972" s="178"/>
    </row>
    <row r="32973" spans="18:19">
      <c r="R32973" s="178"/>
      <c r="S32973" s="178"/>
    </row>
    <row r="32974" spans="18:19">
      <c r="R32974" s="178"/>
      <c r="S32974" s="178"/>
    </row>
    <row r="32975" spans="18:19">
      <c r="R32975" s="178"/>
      <c r="S32975" s="178"/>
    </row>
    <row r="32976" spans="18:19">
      <c r="R32976" s="178"/>
      <c r="S32976" s="178"/>
    </row>
    <row r="32977" spans="18:19">
      <c r="R32977" s="178"/>
      <c r="S32977" s="178"/>
    </row>
    <row r="32978" spans="18:19">
      <c r="R32978" s="178"/>
      <c r="S32978" s="178"/>
    </row>
    <row r="32979" spans="18:19">
      <c r="R32979" s="178"/>
      <c r="S32979" s="178"/>
    </row>
    <row r="32980" spans="18:19">
      <c r="R32980" s="178"/>
      <c r="S32980" s="178"/>
    </row>
    <row r="32981" spans="18:19">
      <c r="R32981" s="178"/>
      <c r="S32981" s="178"/>
    </row>
    <row r="32982" spans="18:19">
      <c r="R32982" s="178"/>
      <c r="S32982" s="178"/>
    </row>
    <row r="32983" spans="18:19">
      <c r="R32983" s="178"/>
      <c r="S32983" s="178"/>
    </row>
    <row r="32984" spans="18:19">
      <c r="R32984" s="178"/>
      <c r="S32984" s="178"/>
    </row>
    <row r="32985" spans="18:19">
      <c r="R32985" s="178"/>
      <c r="S32985" s="178"/>
    </row>
    <row r="32986" spans="18:19">
      <c r="R32986" s="178"/>
      <c r="S32986" s="178"/>
    </row>
    <row r="32987" spans="18:19">
      <c r="R32987" s="178"/>
      <c r="S32987" s="178"/>
    </row>
    <row r="32988" spans="18:19">
      <c r="R32988" s="178"/>
      <c r="S32988" s="178"/>
    </row>
    <row r="32989" spans="18:19">
      <c r="R32989" s="178"/>
      <c r="S32989" s="178"/>
    </row>
    <row r="32990" spans="18:19">
      <c r="R32990" s="178"/>
      <c r="S32990" s="178"/>
    </row>
    <row r="32991" spans="18:19">
      <c r="R32991" s="178"/>
      <c r="S32991" s="178"/>
    </row>
    <row r="32992" spans="18:19">
      <c r="R32992" s="178"/>
      <c r="S32992" s="178"/>
    </row>
    <row r="32993" spans="18:19">
      <c r="R32993" s="178"/>
      <c r="S32993" s="178"/>
    </row>
    <row r="32994" spans="18:19">
      <c r="R32994" s="178"/>
      <c r="S32994" s="178"/>
    </row>
    <row r="32995" spans="18:19">
      <c r="R32995" s="178"/>
      <c r="S32995" s="178"/>
    </row>
    <row r="32996" spans="18:19">
      <c r="R32996" s="178"/>
      <c r="S32996" s="178"/>
    </row>
    <row r="32997" spans="18:19">
      <c r="R32997" s="178"/>
      <c r="S32997" s="178"/>
    </row>
    <row r="32998" spans="18:19">
      <c r="R32998" s="178"/>
      <c r="S32998" s="178"/>
    </row>
    <row r="32999" spans="18:19">
      <c r="R32999" s="178"/>
      <c r="S32999" s="178"/>
    </row>
    <row r="33000" spans="18:19">
      <c r="R33000" s="178"/>
      <c r="S33000" s="178"/>
    </row>
    <row r="33001" spans="18:19">
      <c r="R33001" s="178"/>
      <c r="S33001" s="178"/>
    </row>
    <row r="33002" spans="18:19">
      <c r="R33002" s="178"/>
      <c r="S33002" s="178"/>
    </row>
    <row r="33003" spans="18:19">
      <c r="R33003" s="178"/>
      <c r="S33003" s="178"/>
    </row>
    <row r="33004" spans="18:19">
      <c r="R33004" s="178"/>
      <c r="S33004" s="178"/>
    </row>
    <row r="33005" spans="18:19">
      <c r="R33005" s="178"/>
      <c r="S33005" s="178"/>
    </row>
    <row r="33006" spans="18:19">
      <c r="R33006" s="178"/>
      <c r="S33006" s="178"/>
    </row>
    <row r="33007" spans="18:19">
      <c r="R33007" s="178"/>
      <c r="S33007" s="178"/>
    </row>
    <row r="33008" spans="18:19">
      <c r="R33008" s="178"/>
      <c r="S33008" s="178"/>
    </row>
    <row r="33009" spans="18:19">
      <c r="R33009" s="178"/>
      <c r="S33009" s="178"/>
    </row>
    <row r="33010" spans="18:19">
      <c r="R33010" s="178"/>
      <c r="S33010" s="178"/>
    </row>
    <row r="33011" spans="18:19">
      <c r="R33011" s="178"/>
      <c r="S33011" s="178"/>
    </row>
    <row r="33012" spans="18:19">
      <c r="R33012" s="178"/>
      <c r="S33012" s="178"/>
    </row>
    <row r="33013" spans="18:19">
      <c r="R33013" s="178"/>
      <c r="S33013" s="178"/>
    </row>
    <row r="33014" spans="18:19">
      <c r="R33014" s="178"/>
      <c r="S33014" s="178"/>
    </row>
    <row r="33015" spans="18:19">
      <c r="R33015" s="178"/>
      <c r="S33015" s="178"/>
    </row>
    <row r="33016" spans="18:19">
      <c r="R33016" s="178"/>
      <c r="S33016" s="178"/>
    </row>
    <row r="33017" spans="18:19">
      <c r="R33017" s="178"/>
      <c r="S33017" s="178"/>
    </row>
    <row r="33018" spans="18:19">
      <c r="R33018" s="178"/>
      <c r="S33018" s="178"/>
    </row>
    <row r="33019" spans="18:19">
      <c r="R33019" s="178"/>
      <c r="S33019" s="178"/>
    </row>
    <row r="33020" spans="18:19">
      <c r="R33020" s="178"/>
      <c r="S33020" s="178"/>
    </row>
    <row r="33021" spans="18:19">
      <c r="R33021" s="178"/>
      <c r="S33021" s="178"/>
    </row>
    <row r="33022" spans="18:19">
      <c r="R33022" s="178"/>
      <c r="S33022" s="178"/>
    </row>
    <row r="33023" spans="18:19">
      <c r="R33023" s="178"/>
      <c r="S33023" s="178"/>
    </row>
    <row r="33024" spans="18:19">
      <c r="R33024" s="178"/>
      <c r="S33024" s="178"/>
    </row>
    <row r="33025" spans="18:19">
      <c r="R33025" s="178"/>
      <c r="S33025" s="178"/>
    </row>
    <row r="33026" spans="18:19">
      <c r="R33026" s="178"/>
      <c r="S33026" s="178"/>
    </row>
    <row r="33027" spans="18:19">
      <c r="R33027" s="178"/>
      <c r="S33027" s="178"/>
    </row>
    <row r="33028" spans="18:19">
      <c r="R33028" s="178"/>
      <c r="S33028" s="178"/>
    </row>
    <row r="33029" spans="18:19">
      <c r="R33029" s="178"/>
      <c r="S33029" s="178"/>
    </row>
    <row r="33030" spans="18:19">
      <c r="R33030" s="178"/>
      <c r="S33030" s="178"/>
    </row>
    <row r="33031" spans="18:19">
      <c r="R33031" s="178"/>
      <c r="S33031" s="178"/>
    </row>
    <row r="33032" spans="18:19">
      <c r="R33032" s="178"/>
      <c r="S33032" s="178"/>
    </row>
    <row r="33033" spans="18:19">
      <c r="R33033" s="178"/>
      <c r="S33033" s="178"/>
    </row>
    <row r="33034" spans="18:19">
      <c r="R33034" s="178"/>
      <c r="S33034" s="178"/>
    </row>
    <row r="33035" spans="18:19">
      <c r="R33035" s="178"/>
      <c r="S33035" s="178"/>
    </row>
    <row r="33036" spans="18:19">
      <c r="R33036" s="178"/>
      <c r="S33036" s="178"/>
    </row>
    <row r="33037" spans="18:19">
      <c r="R33037" s="178"/>
      <c r="S33037" s="178"/>
    </row>
    <row r="33038" spans="18:19">
      <c r="R33038" s="178"/>
      <c r="S33038" s="178"/>
    </row>
    <row r="33039" spans="18:19">
      <c r="R33039" s="178"/>
      <c r="S33039" s="178"/>
    </row>
    <row r="33040" spans="18:19">
      <c r="R33040" s="178"/>
      <c r="S33040" s="178"/>
    </row>
    <row r="33041" spans="18:19">
      <c r="R33041" s="178"/>
      <c r="S33041" s="178"/>
    </row>
    <row r="33042" spans="18:19">
      <c r="R33042" s="178"/>
      <c r="S33042" s="178"/>
    </row>
    <row r="33043" spans="18:19">
      <c r="R33043" s="178"/>
      <c r="S33043" s="178"/>
    </row>
    <row r="33044" spans="18:19">
      <c r="R33044" s="178"/>
      <c r="S33044" s="178"/>
    </row>
    <row r="33045" spans="18:19">
      <c r="R33045" s="178"/>
      <c r="S33045" s="178"/>
    </row>
    <row r="33046" spans="18:19">
      <c r="R33046" s="178"/>
      <c r="S33046" s="178"/>
    </row>
    <row r="33047" spans="18:19">
      <c r="R33047" s="178"/>
      <c r="S33047" s="178"/>
    </row>
    <row r="33048" spans="18:19">
      <c r="R33048" s="178"/>
      <c r="S33048" s="178"/>
    </row>
    <row r="33049" spans="18:19">
      <c r="R33049" s="178"/>
      <c r="S33049" s="178"/>
    </row>
    <row r="33050" spans="18:19">
      <c r="R33050" s="178"/>
      <c r="S33050" s="178"/>
    </row>
    <row r="33051" spans="18:19">
      <c r="R33051" s="178"/>
      <c r="S33051" s="178"/>
    </row>
    <row r="33052" spans="18:19">
      <c r="R33052" s="178"/>
      <c r="S33052" s="178"/>
    </row>
    <row r="33053" spans="18:19">
      <c r="R33053" s="178"/>
      <c r="S33053" s="178"/>
    </row>
    <row r="33054" spans="18:19">
      <c r="R33054" s="178"/>
      <c r="S33054" s="178"/>
    </row>
    <row r="33055" spans="18:19">
      <c r="R33055" s="178"/>
      <c r="S33055" s="178"/>
    </row>
    <row r="33056" spans="18:19">
      <c r="R33056" s="178"/>
      <c r="S33056" s="178"/>
    </row>
    <row r="33057" spans="18:19">
      <c r="R33057" s="178"/>
      <c r="S33057" s="178"/>
    </row>
    <row r="33058" spans="18:19">
      <c r="R33058" s="178"/>
      <c r="S33058" s="178"/>
    </row>
    <row r="33059" spans="18:19">
      <c r="R33059" s="178"/>
      <c r="S33059" s="178"/>
    </row>
    <row r="33060" spans="18:19">
      <c r="R33060" s="178"/>
      <c r="S33060" s="178"/>
    </row>
    <row r="33061" spans="18:19">
      <c r="R33061" s="178"/>
      <c r="S33061" s="178"/>
    </row>
    <row r="33062" spans="18:19">
      <c r="R33062" s="178"/>
      <c r="S33062" s="178"/>
    </row>
    <row r="33063" spans="18:19">
      <c r="R33063" s="178"/>
      <c r="S33063" s="178"/>
    </row>
    <row r="33064" spans="18:19">
      <c r="R33064" s="178"/>
      <c r="S33064" s="178"/>
    </row>
    <row r="33065" spans="18:19">
      <c r="R33065" s="178"/>
      <c r="S33065" s="178"/>
    </row>
    <row r="33066" spans="18:19">
      <c r="R33066" s="178"/>
      <c r="S33066" s="178"/>
    </row>
    <row r="33067" spans="18:19">
      <c r="R33067" s="178"/>
      <c r="S33067" s="178"/>
    </row>
    <row r="33068" spans="18:19">
      <c r="R33068" s="178"/>
      <c r="S33068" s="178"/>
    </row>
    <row r="33069" spans="18:19">
      <c r="R33069" s="178"/>
      <c r="S33069" s="178"/>
    </row>
    <row r="33070" spans="18:19">
      <c r="R33070" s="178"/>
      <c r="S33070" s="178"/>
    </row>
    <row r="33071" spans="18:19">
      <c r="R33071" s="178"/>
      <c r="S33071" s="178"/>
    </row>
    <row r="33072" spans="18:19">
      <c r="R33072" s="178"/>
      <c r="S33072" s="178"/>
    </row>
    <row r="33073" spans="18:19">
      <c r="R33073" s="178"/>
      <c r="S33073" s="178"/>
    </row>
    <row r="33074" spans="18:19">
      <c r="R33074" s="178"/>
      <c r="S33074" s="178"/>
    </row>
    <row r="33075" spans="18:19">
      <c r="R33075" s="178"/>
      <c r="S33075" s="178"/>
    </row>
    <row r="33076" spans="18:19">
      <c r="R33076" s="178"/>
      <c r="S33076" s="178"/>
    </row>
    <row r="33077" spans="18:19">
      <c r="R33077" s="178"/>
      <c r="S33077" s="178"/>
    </row>
    <row r="33078" spans="18:19">
      <c r="R33078" s="178"/>
      <c r="S33078" s="178"/>
    </row>
    <row r="33079" spans="18:19">
      <c r="R33079" s="178"/>
      <c r="S33079" s="178"/>
    </row>
    <row r="33080" spans="18:19">
      <c r="R33080" s="178"/>
      <c r="S33080" s="178"/>
    </row>
    <row r="33081" spans="18:19">
      <c r="R33081" s="178"/>
      <c r="S33081" s="178"/>
    </row>
    <row r="33082" spans="18:19">
      <c r="R33082" s="178"/>
      <c r="S33082" s="178"/>
    </row>
    <row r="33083" spans="18:19">
      <c r="R33083" s="178"/>
      <c r="S33083" s="178"/>
    </row>
    <row r="33084" spans="18:19">
      <c r="R33084" s="178"/>
      <c r="S33084" s="178"/>
    </row>
    <row r="33085" spans="18:19">
      <c r="R33085" s="178"/>
      <c r="S33085" s="178"/>
    </row>
    <row r="33086" spans="18:19">
      <c r="R33086" s="178"/>
      <c r="S33086" s="178"/>
    </row>
    <row r="33087" spans="18:19">
      <c r="R33087" s="178"/>
      <c r="S33087" s="178"/>
    </row>
    <row r="33088" spans="18:19">
      <c r="R33088" s="178"/>
      <c r="S33088" s="178"/>
    </row>
    <row r="33089" spans="18:19">
      <c r="R33089" s="178"/>
      <c r="S33089" s="178"/>
    </row>
    <row r="33090" spans="18:19">
      <c r="R33090" s="178"/>
      <c r="S33090" s="178"/>
    </row>
    <row r="33091" spans="18:19">
      <c r="R33091" s="178"/>
      <c r="S33091" s="178"/>
    </row>
    <row r="33092" spans="18:19">
      <c r="R33092" s="178"/>
      <c r="S33092" s="178"/>
    </row>
    <row r="33093" spans="18:19">
      <c r="R33093" s="178"/>
      <c r="S33093" s="178"/>
    </row>
    <row r="33094" spans="18:19">
      <c r="R33094" s="178"/>
      <c r="S33094" s="178"/>
    </row>
    <row r="33095" spans="18:19">
      <c r="R33095" s="178"/>
      <c r="S33095" s="178"/>
    </row>
    <row r="33096" spans="18:19">
      <c r="R33096" s="178"/>
      <c r="S33096" s="178"/>
    </row>
    <row r="33097" spans="18:19">
      <c r="R33097" s="178"/>
      <c r="S33097" s="178"/>
    </row>
    <row r="33098" spans="18:19">
      <c r="R33098" s="178"/>
      <c r="S33098" s="178"/>
    </row>
    <row r="33099" spans="18:19">
      <c r="R33099" s="178"/>
      <c r="S33099" s="178"/>
    </row>
    <row r="33100" spans="18:19">
      <c r="R33100" s="178"/>
      <c r="S33100" s="178"/>
    </row>
    <row r="33101" spans="18:19">
      <c r="R33101" s="178"/>
      <c r="S33101" s="178"/>
    </row>
    <row r="33102" spans="18:19">
      <c r="R33102" s="178"/>
      <c r="S33102" s="178"/>
    </row>
    <row r="33103" spans="18:19">
      <c r="R33103" s="178"/>
      <c r="S33103" s="178"/>
    </row>
    <row r="33104" spans="18:19">
      <c r="R33104" s="178"/>
      <c r="S33104" s="178"/>
    </row>
    <row r="33105" spans="18:19">
      <c r="R33105" s="178"/>
      <c r="S33105" s="178"/>
    </row>
    <row r="33106" spans="18:19">
      <c r="R33106" s="178"/>
      <c r="S33106" s="178"/>
    </row>
    <row r="33107" spans="18:19">
      <c r="R33107" s="178"/>
      <c r="S33107" s="178"/>
    </row>
    <row r="33108" spans="18:19">
      <c r="R33108" s="178"/>
      <c r="S33108" s="178"/>
    </row>
    <row r="33109" spans="18:19">
      <c r="R33109" s="178"/>
      <c r="S33109" s="178"/>
    </row>
    <row r="33110" spans="18:19">
      <c r="R33110" s="178"/>
      <c r="S33110" s="178"/>
    </row>
    <row r="33111" spans="18:19">
      <c r="R33111" s="178"/>
      <c r="S33111" s="178"/>
    </row>
    <row r="33112" spans="18:19">
      <c r="R33112" s="178"/>
      <c r="S33112" s="178"/>
    </row>
    <row r="33113" spans="18:19">
      <c r="R33113" s="178"/>
      <c r="S33113" s="178"/>
    </row>
    <row r="33114" spans="18:19">
      <c r="R33114" s="178"/>
      <c r="S33114" s="178"/>
    </row>
    <row r="33115" spans="18:19">
      <c r="R33115" s="178"/>
      <c r="S33115" s="178"/>
    </row>
    <row r="33116" spans="18:19">
      <c r="R33116" s="178"/>
      <c r="S33116" s="178"/>
    </row>
    <row r="33117" spans="18:19">
      <c r="R33117" s="178"/>
      <c r="S33117" s="178"/>
    </row>
    <row r="33118" spans="18:19">
      <c r="R33118" s="178"/>
      <c r="S33118" s="178"/>
    </row>
    <row r="33119" spans="18:19">
      <c r="R33119" s="178"/>
      <c r="S33119" s="178"/>
    </row>
    <row r="33120" spans="18:19">
      <c r="R33120" s="178"/>
      <c r="S33120" s="178"/>
    </row>
    <row r="33121" spans="18:19">
      <c r="R33121" s="178"/>
      <c r="S33121" s="178"/>
    </row>
    <row r="33122" spans="18:19">
      <c r="R33122" s="178"/>
      <c r="S33122" s="178"/>
    </row>
    <row r="33123" spans="18:19">
      <c r="R33123" s="178"/>
      <c r="S33123" s="178"/>
    </row>
    <row r="33124" spans="18:19">
      <c r="R33124" s="178"/>
      <c r="S33124" s="178"/>
    </row>
    <row r="33125" spans="18:19">
      <c r="R33125" s="178"/>
      <c r="S33125" s="178"/>
    </row>
    <row r="33126" spans="18:19">
      <c r="R33126" s="178"/>
      <c r="S33126" s="178"/>
    </row>
    <row r="33127" spans="18:19">
      <c r="R33127" s="178"/>
      <c r="S33127" s="178"/>
    </row>
    <row r="33128" spans="18:19">
      <c r="R33128" s="178"/>
      <c r="S33128" s="178"/>
    </row>
    <row r="33129" spans="18:19">
      <c r="R33129" s="178"/>
      <c r="S33129" s="178"/>
    </row>
    <row r="33130" spans="18:19">
      <c r="R33130" s="178"/>
      <c r="S33130" s="178"/>
    </row>
    <row r="33131" spans="18:19">
      <c r="R33131" s="178"/>
      <c r="S33131" s="178"/>
    </row>
    <row r="33132" spans="18:19">
      <c r="R33132" s="178"/>
      <c r="S33132" s="178"/>
    </row>
    <row r="33133" spans="18:19">
      <c r="R33133" s="178"/>
      <c r="S33133" s="178"/>
    </row>
    <row r="33134" spans="18:19">
      <c r="R33134" s="178"/>
      <c r="S33134" s="178"/>
    </row>
    <row r="33135" spans="18:19">
      <c r="R33135" s="178"/>
      <c r="S33135" s="178"/>
    </row>
    <row r="33136" spans="18:19">
      <c r="R33136" s="178"/>
      <c r="S33136" s="178"/>
    </row>
    <row r="33137" spans="18:19">
      <c r="R33137" s="178"/>
      <c r="S33137" s="178"/>
    </row>
    <row r="33138" spans="18:19">
      <c r="R33138" s="178"/>
      <c r="S33138" s="178"/>
    </row>
    <row r="33139" spans="18:19">
      <c r="R33139" s="178"/>
      <c r="S33139" s="178"/>
    </row>
    <row r="33140" spans="18:19">
      <c r="R33140" s="178"/>
      <c r="S33140" s="178"/>
    </row>
    <row r="33141" spans="18:19">
      <c r="R33141" s="178"/>
      <c r="S33141" s="178"/>
    </row>
    <row r="33142" spans="18:19">
      <c r="R33142" s="178"/>
      <c r="S33142" s="178"/>
    </row>
    <row r="33143" spans="18:19">
      <c r="R33143" s="178"/>
      <c r="S33143" s="178"/>
    </row>
    <row r="33144" spans="18:19">
      <c r="R33144" s="178"/>
      <c r="S33144" s="178"/>
    </row>
    <row r="33145" spans="18:19">
      <c r="R33145" s="178"/>
      <c r="S33145" s="178"/>
    </row>
    <row r="33146" spans="18:19">
      <c r="R33146" s="178"/>
      <c r="S33146" s="178"/>
    </row>
    <row r="33147" spans="18:19">
      <c r="R33147" s="178"/>
      <c r="S33147" s="178"/>
    </row>
    <row r="33148" spans="18:19">
      <c r="R33148" s="178"/>
      <c r="S33148" s="178"/>
    </row>
    <row r="33149" spans="18:19">
      <c r="R33149" s="178"/>
      <c r="S33149" s="178"/>
    </row>
    <row r="33150" spans="18:19">
      <c r="R33150" s="178"/>
      <c r="S33150" s="178"/>
    </row>
    <row r="33151" spans="18:19">
      <c r="R33151" s="178"/>
      <c r="S33151" s="178"/>
    </row>
    <row r="33152" spans="18:19">
      <c r="R33152" s="178"/>
      <c r="S33152" s="178"/>
    </row>
    <row r="33153" spans="18:19">
      <c r="R33153" s="178"/>
      <c r="S33153" s="178"/>
    </row>
    <row r="33154" spans="18:19">
      <c r="R33154" s="178"/>
      <c r="S33154" s="178"/>
    </row>
    <row r="33155" spans="18:19">
      <c r="R33155" s="178"/>
      <c r="S33155" s="178"/>
    </row>
    <row r="33156" spans="18:19">
      <c r="R33156" s="178"/>
      <c r="S33156" s="178"/>
    </row>
    <row r="33157" spans="18:19">
      <c r="R33157" s="178"/>
      <c r="S33157" s="178"/>
    </row>
    <row r="33158" spans="18:19">
      <c r="R33158" s="178"/>
      <c r="S33158" s="178"/>
    </row>
    <row r="33159" spans="18:19">
      <c r="R33159" s="178"/>
      <c r="S33159" s="178"/>
    </row>
    <row r="33160" spans="18:19">
      <c r="R33160" s="178"/>
      <c r="S33160" s="178"/>
    </row>
    <row r="33161" spans="18:19">
      <c r="R33161" s="178"/>
      <c r="S33161" s="178"/>
    </row>
    <row r="33162" spans="18:19">
      <c r="R33162" s="178"/>
      <c r="S33162" s="178"/>
    </row>
    <row r="33163" spans="18:19">
      <c r="R33163" s="178"/>
      <c r="S33163" s="178"/>
    </row>
    <row r="33164" spans="18:19">
      <c r="R33164" s="178"/>
      <c r="S33164" s="178"/>
    </row>
    <row r="33165" spans="18:19">
      <c r="R33165" s="178"/>
      <c r="S33165" s="178"/>
    </row>
    <row r="33166" spans="18:19">
      <c r="R33166" s="178"/>
      <c r="S33166" s="178"/>
    </row>
    <row r="33167" spans="18:19">
      <c r="R33167" s="178"/>
      <c r="S33167" s="178"/>
    </row>
    <row r="33168" spans="18:19">
      <c r="R33168" s="178"/>
      <c r="S33168" s="178"/>
    </row>
    <row r="33169" spans="18:19">
      <c r="R33169" s="178"/>
      <c r="S33169" s="178"/>
    </row>
    <row r="33170" spans="18:19">
      <c r="R33170" s="178"/>
      <c r="S33170" s="178"/>
    </row>
    <row r="33171" spans="18:19">
      <c r="R33171" s="178"/>
      <c r="S33171" s="178"/>
    </row>
    <row r="33172" spans="18:19">
      <c r="R33172" s="178"/>
      <c r="S33172" s="178"/>
    </row>
    <row r="33173" spans="18:19">
      <c r="R33173" s="178"/>
      <c r="S33173" s="178"/>
    </row>
    <row r="33174" spans="18:19">
      <c r="R33174" s="178"/>
      <c r="S33174" s="178"/>
    </row>
    <row r="33175" spans="18:19">
      <c r="R33175" s="178"/>
      <c r="S33175" s="178"/>
    </row>
    <row r="33176" spans="18:19">
      <c r="R33176" s="178"/>
      <c r="S33176" s="178"/>
    </row>
    <row r="33177" spans="18:19">
      <c r="R33177" s="178"/>
      <c r="S33177" s="178"/>
    </row>
    <row r="33178" spans="18:19">
      <c r="R33178" s="178"/>
      <c r="S33178" s="178"/>
    </row>
    <row r="33179" spans="18:19">
      <c r="R33179" s="178"/>
      <c r="S33179" s="178"/>
    </row>
    <row r="33180" spans="18:19">
      <c r="R33180" s="178"/>
      <c r="S33180" s="178"/>
    </row>
    <row r="33181" spans="18:19">
      <c r="R33181" s="178"/>
      <c r="S33181" s="178"/>
    </row>
    <row r="33182" spans="18:19">
      <c r="R33182" s="178"/>
      <c r="S33182" s="178"/>
    </row>
    <row r="33183" spans="18:19">
      <c r="R33183" s="178"/>
      <c r="S33183" s="178"/>
    </row>
    <row r="33184" spans="18:19">
      <c r="R33184" s="178"/>
      <c r="S33184" s="178"/>
    </row>
    <row r="33185" spans="18:19">
      <c r="R33185" s="178"/>
      <c r="S33185" s="178"/>
    </row>
    <row r="33186" spans="18:19">
      <c r="R33186" s="178"/>
      <c r="S33186" s="178"/>
    </row>
    <row r="33187" spans="18:19">
      <c r="R33187" s="178"/>
      <c r="S33187" s="178"/>
    </row>
    <row r="33188" spans="18:19">
      <c r="R33188" s="178"/>
      <c r="S33188" s="178"/>
    </row>
    <row r="33189" spans="18:19">
      <c r="R33189" s="178"/>
      <c r="S33189" s="178"/>
    </row>
    <row r="33190" spans="18:19">
      <c r="R33190" s="178"/>
      <c r="S33190" s="178"/>
    </row>
    <row r="33191" spans="18:19">
      <c r="R33191" s="178"/>
      <c r="S33191" s="178"/>
    </row>
    <row r="33192" spans="18:19">
      <c r="R33192" s="178"/>
      <c r="S33192" s="178"/>
    </row>
    <row r="33193" spans="18:19">
      <c r="R33193" s="178"/>
      <c r="S33193" s="178"/>
    </row>
    <row r="33194" spans="18:19">
      <c r="R33194" s="178"/>
      <c r="S33194" s="178"/>
    </row>
    <row r="33195" spans="18:19">
      <c r="R33195" s="178"/>
      <c r="S33195" s="178"/>
    </row>
    <row r="33196" spans="18:19">
      <c r="R33196" s="178"/>
      <c r="S33196" s="178"/>
    </row>
    <row r="33197" spans="18:19">
      <c r="R33197" s="178"/>
      <c r="S33197" s="178"/>
    </row>
    <row r="33198" spans="18:19">
      <c r="R33198" s="178"/>
      <c r="S33198" s="178"/>
    </row>
    <row r="33199" spans="18:19">
      <c r="R33199" s="178"/>
      <c r="S33199" s="178"/>
    </row>
    <row r="33200" spans="18:19">
      <c r="R33200" s="178"/>
      <c r="S33200" s="178"/>
    </row>
    <row r="33201" spans="18:19">
      <c r="R33201" s="178"/>
      <c r="S33201" s="178"/>
    </row>
    <row r="33202" spans="18:19">
      <c r="R33202" s="178"/>
      <c r="S33202" s="178"/>
    </row>
    <row r="33203" spans="18:19">
      <c r="R33203" s="178"/>
      <c r="S33203" s="178"/>
    </row>
    <row r="33204" spans="18:19">
      <c r="R33204" s="178"/>
      <c r="S33204" s="178"/>
    </row>
    <row r="33205" spans="18:19">
      <c r="R33205" s="178"/>
      <c r="S33205" s="178"/>
    </row>
    <row r="33206" spans="18:19">
      <c r="R33206" s="178"/>
      <c r="S33206" s="178"/>
    </row>
    <row r="33207" spans="18:19">
      <c r="R33207" s="178"/>
      <c r="S33207" s="178"/>
    </row>
    <row r="33208" spans="18:19">
      <c r="R33208" s="178"/>
      <c r="S33208" s="178"/>
    </row>
    <row r="33209" spans="18:19">
      <c r="R33209" s="178"/>
      <c r="S33209" s="178"/>
    </row>
    <row r="33210" spans="18:19">
      <c r="R33210" s="178"/>
      <c r="S33210" s="178"/>
    </row>
    <row r="33211" spans="18:19">
      <c r="R33211" s="178"/>
      <c r="S33211" s="178"/>
    </row>
    <row r="33212" spans="18:19">
      <c r="R33212" s="178"/>
      <c r="S33212" s="178"/>
    </row>
    <row r="33213" spans="18:19">
      <c r="R33213" s="178"/>
      <c r="S33213" s="178"/>
    </row>
    <row r="33214" spans="18:19">
      <c r="R33214" s="178"/>
      <c r="S33214" s="178"/>
    </row>
    <row r="33215" spans="18:19">
      <c r="R33215" s="178"/>
      <c r="S33215" s="178"/>
    </row>
    <row r="33216" spans="18:19">
      <c r="R33216" s="178"/>
      <c r="S33216" s="178"/>
    </row>
    <row r="33217" spans="18:19">
      <c r="R33217" s="178"/>
      <c r="S33217" s="178"/>
    </row>
    <row r="33218" spans="18:19">
      <c r="R33218" s="178"/>
      <c r="S33218" s="178"/>
    </row>
    <row r="33219" spans="18:19">
      <c r="R33219" s="178"/>
      <c r="S33219" s="178"/>
    </row>
    <row r="33220" spans="18:19">
      <c r="R33220" s="178"/>
      <c r="S33220" s="178"/>
    </row>
    <row r="33221" spans="18:19">
      <c r="R33221" s="178"/>
      <c r="S33221" s="178"/>
    </row>
    <row r="33222" spans="18:19">
      <c r="R33222" s="178"/>
      <c r="S33222" s="178"/>
    </row>
    <row r="33223" spans="18:19">
      <c r="R33223" s="178"/>
      <c r="S33223" s="178"/>
    </row>
    <row r="33224" spans="18:19">
      <c r="R33224" s="178"/>
      <c r="S33224" s="178"/>
    </row>
    <row r="33225" spans="18:19">
      <c r="R33225" s="178"/>
      <c r="S33225" s="178"/>
    </row>
    <row r="33226" spans="18:19">
      <c r="R33226" s="178"/>
      <c r="S33226" s="178"/>
    </row>
    <row r="33227" spans="18:19">
      <c r="R33227" s="178"/>
      <c r="S33227" s="178"/>
    </row>
    <row r="33228" spans="18:19">
      <c r="R33228" s="178"/>
      <c r="S33228" s="178"/>
    </row>
    <row r="33229" spans="18:19">
      <c r="R33229" s="178"/>
      <c r="S33229" s="178"/>
    </row>
    <row r="33230" spans="18:19">
      <c r="R33230" s="178"/>
      <c r="S33230" s="178"/>
    </row>
    <row r="33231" spans="18:19">
      <c r="R33231" s="178"/>
      <c r="S33231" s="178"/>
    </row>
    <row r="33232" spans="18:19">
      <c r="R33232" s="178"/>
      <c r="S33232" s="178"/>
    </row>
    <row r="33233" spans="18:19">
      <c r="R33233" s="178"/>
      <c r="S33233" s="178"/>
    </row>
    <row r="33234" spans="18:19">
      <c r="R33234" s="178"/>
      <c r="S33234" s="178"/>
    </row>
    <row r="33235" spans="18:19">
      <c r="R33235" s="178"/>
      <c r="S33235" s="178"/>
    </row>
    <row r="33236" spans="18:19">
      <c r="R33236" s="178"/>
      <c r="S33236" s="178"/>
    </row>
    <row r="33237" spans="18:19">
      <c r="R33237" s="178"/>
      <c r="S33237" s="178"/>
    </row>
    <row r="33238" spans="18:19">
      <c r="R33238" s="178"/>
      <c r="S33238" s="178"/>
    </row>
    <row r="33239" spans="18:19">
      <c r="R33239" s="178"/>
      <c r="S33239" s="178"/>
    </row>
    <row r="33240" spans="18:19">
      <c r="R33240" s="178"/>
      <c r="S33240" s="178"/>
    </row>
    <row r="33241" spans="18:19">
      <c r="R33241" s="178"/>
      <c r="S33241" s="178"/>
    </row>
    <row r="33242" spans="18:19">
      <c r="R33242" s="178"/>
      <c r="S33242" s="178"/>
    </row>
    <row r="33243" spans="18:19">
      <c r="R33243" s="178"/>
      <c r="S33243" s="178"/>
    </row>
    <row r="33244" spans="18:19">
      <c r="R33244" s="178"/>
      <c r="S33244" s="178"/>
    </row>
    <row r="33245" spans="18:19">
      <c r="R33245" s="178"/>
      <c r="S33245" s="178"/>
    </row>
    <row r="33246" spans="18:19">
      <c r="R33246" s="178"/>
      <c r="S33246" s="178"/>
    </row>
    <row r="33247" spans="18:19">
      <c r="R33247" s="178"/>
      <c r="S33247" s="178"/>
    </row>
    <row r="33248" spans="18:19">
      <c r="R33248" s="178"/>
      <c r="S33248" s="178"/>
    </row>
    <row r="33249" spans="18:19">
      <c r="R33249" s="178"/>
      <c r="S33249" s="178"/>
    </row>
    <row r="33250" spans="18:19">
      <c r="R33250" s="178"/>
      <c r="S33250" s="178"/>
    </row>
    <row r="33251" spans="18:19">
      <c r="R33251" s="178"/>
      <c r="S33251" s="178"/>
    </row>
    <row r="33252" spans="18:19">
      <c r="R33252" s="178"/>
      <c r="S33252" s="178"/>
    </row>
    <row r="33253" spans="18:19">
      <c r="R33253" s="178"/>
      <c r="S33253" s="178"/>
    </row>
    <row r="33254" spans="18:19">
      <c r="R33254" s="178"/>
      <c r="S33254" s="178"/>
    </row>
    <row r="33255" spans="18:19">
      <c r="R33255" s="178"/>
      <c r="S33255" s="178"/>
    </row>
    <row r="33256" spans="18:19">
      <c r="R33256" s="178"/>
      <c r="S33256" s="178"/>
    </row>
    <row r="33257" spans="18:19">
      <c r="R33257" s="178"/>
      <c r="S33257" s="178"/>
    </row>
    <row r="33258" spans="18:19">
      <c r="R33258" s="178"/>
      <c r="S33258" s="178"/>
    </row>
    <row r="33259" spans="18:19">
      <c r="R33259" s="178"/>
      <c r="S33259" s="178"/>
    </row>
    <row r="33260" spans="18:19">
      <c r="R33260" s="178"/>
      <c r="S33260" s="178"/>
    </row>
    <row r="33261" spans="18:19">
      <c r="R33261" s="178"/>
      <c r="S33261" s="178"/>
    </row>
    <row r="33262" spans="18:19">
      <c r="R33262" s="178"/>
      <c r="S33262" s="178"/>
    </row>
    <row r="33263" spans="18:19">
      <c r="R33263" s="178"/>
      <c r="S33263" s="178"/>
    </row>
    <row r="33264" spans="18:19">
      <c r="R33264" s="178"/>
      <c r="S33264" s="178"/>
    </row>
    <row r="33265" spans="18:19">
      <c r="R33265" s="178"/>
      <c r="S33265" s="178"/>
    </row>
    <row r="33266" spans="18:19">
      <c r="R33266" s="178"/>
      <c r="S33266" s="178"/>
    </row>
    <row r="33267" spans="18:19">
      <c r="R33267" s="178"/>
      <c r="S33267" s="178"/>
    </row>
    <row r="33268" spans="18:19">
      <c r="R33268" s="178"/>
      <c r="S33268" s="178"/>
    </row>
    <row r="33269" spans="18:19">
      <c r="R33269" s="178"/>
      <c r="S33269" s="178"/>
    </row>
    <row r="33270" spans="18:19">
      <c r="R33270" s="178"/>
      <c r="S33270" s="178"/>
    </row>
    <row r="33271" spans="18:19">
      <c r="R33271" s="178"/>
      <c r="S33271" s="178"/>
    </row>
    <row r="33272" spans="18:19">
      <c r="R33272" s="178"/>
      <c r="S33272" s="178"/>
    </row>
    <row r="33273" spans="18:19">
      <c r="R33273" s="178"/>
      <c r="S33273" s="178"/>
    </row>
    <row r="33274" spans="18:19">
      <c r="R33274" s="178"/>
      <c r="S33274" s="178"/>
    </row>
    <row r="33275" spans="18:19">
      <c r="R33275" s="178"/>
      <c r="S33275" s="178"/>
    </row>
    <row r="33276" spans="18:19">
      <c r="R33276" s="178"/>
      <c r="S33276" s="178"/>
    </row>
    <row r="33277" spans="18:19">
      <c r="R33277" s="178"/>
      <c r="S33277" s="178"/>
    </row>
    <row r="33278" spans="18:19">
      <c r="R33278" s="178"/>
      <c r="S33278" s="178"/>
    </row>
    <row r="33279" spans="18:19">
      <c r="R33279" s="178"/>
      <c r="S33279" s="178"/>
    </row>
    <row r="33280" spans="18:19">
      <c r="R33280" s="178"/>
      <c r="S33280" s="178"/>
    </row>
    <row r="33281" spans="18:19">
      <c r="R33281" s="178"/>
      <c r="S33281" s="178"/>
    </row>
    <row r="33282" spans="18:19">
      <c r="R33282" s="178"/>
      <c r="S33282" s="178"/>
    </row>
    <row r="33283" spans="18:19">
      <c r="R33283" s="178"/>
      <c r="S33283" s="178"/>
    </row>
    <row r="33284" spans="18:19">
      <c r="R33284" s="178"/>
      <c r="S33284" s="178"/>
    </row>
    <row r="33285" spans="18:19">
      <c r="R33285" s="178"/>
      <c r="S33285" s="178"/>
    </row>
    <row r="33286" spans="18:19">
      <c r="R33286" s="178"/>
      <c r="S33286" s="178"/>
    </row>
    <row r="33287" spans="18:19">
      <c r="R33287" s="178"/>
      <c r="S33287" s="178"/>
    </row>
    <row r="33288" spans="18:19">
      <c r="R33288" s="178"/>
      <c r="S33288" s="178"/>
    </row>
    <row r="33289" spans="18:19">
      <c r="R33289" s="178"/>
      <c r="S33289" s="178"/>
    </row>
    <row r="33290" spans="18:19">
      <c r="R33290" s="178"/>
      <c r="S33290" s="178"/>
    </row>
    <row r="33291" spans="18:19">
      <c r="R33291" s="178"/>
      <c r="S33291" s="178"/>
    </row>
    <row r="33292" spans="18:19">
      <c r="R33292" s="178"/>
      <c r="S33292" s="178"/>
    </row>
    <row r="33293" spans="18:19">
      <c r="R33293" s="178"/>
      <c r="S33293" s="178"/>
    </row>
    <row r="33294" spans="18:19">
      <c r="R33294" s="178"/>
      <c r="S33294" s="178"/>
    </row>
    <row r="33295" spans="18:19">
      <c r="R33295" s="178"/>
      <c r="S33295" s="178"/>
    </row>
    <row r="33296" spans="18:19">
      <c r="R33296" s="178"/>
      <c r="S33296" s="178"/>
    </row>
    <row r="33297" spans="18:19">
      <c r="R33297" s="178"/>
      <c r="S33297" s="178"/>
    </row>
    <row r="33298" spans="18:19">
      <c r="R33298" s="178"/>
      <c r="S33298" s="178"/>
    </row>
    <row r="33299" spans="18:19">
      <c r="R33299" s="178"/>
      <c r="S33299" s="178"/>
    </row>
    <row r="33300" spans="18:19">
      <c r="R33300" s="178"/>
      <c r="S33300" s="178"/>
    </row>
    <row r="33301" spans="18:19">
      <c r="R33301" s="178"/>
      <c r="S33301" s="178"/>
    </row>
    <row r="33302" spans="18:19">
      <c r="R33302" s="178"/>
      <c r="S33302" s="178"/>
    </row>
    <row r="33303" spans="18:19">
      <c r="R33303" s="178"/>
      <c r="S33303" s="178"/>
    </row>
    <row r="33304" spans="18:19">
      <c r="R33304" s="178"/>
      <c r="S33304" s="178"/>
    </row>
    <row r="33305" spans="18:19">
      <c r="R33305" s="178"/>
      <c r="S33305" s="178"/>
    </row>
    <row r="33306" spans="18:19">
      <c r="R33306" s="178"/>
      <c r="S33306" s="178"/>
    </row>
    <row r="33307" spans="18:19">
      <c r="R33307" s="178"/>
      <c r="S33307" s="178"/>
    </row>
    <row r="33308" spans="18:19">
      <c r="R33308" s="178"/>
      <c r="S33308" s="178"/>
    </row>
    <row r="33309" spans="18:19">
      <c r="R33309" s="178"/>
      <c r="S33309" s="178"/>
    </row>
    <row r="33310" spans="18:19">
      <c r="R33310" s="178"/>
      <c r="S33310" s="178"/>
    </row>
    <row r="33311" spans="18:19">
      <c r="R33311" s="178"/>
      <c r="S33311" s="178"/>
    </row>
    <row r="33312" spans="18:19">
      <c r="R33312" s="178"/>
      <c r="S33312" s="178"/>
    </row>
    <row r="33313" spans="18:19">
      <c r="R33313" s="178"/>
      <c r="S33313" s="178"/>
    </row>
    <row r="33314" spans="18:19">
      <c r="R33314" s="178"/>
      <c r="S33314" s="178"/>
    </row>
    <row r="33315" spans="18:19">
      <c r="R33315" s="178"/>
      <c r="S33315" s="178"/>
    </row>
    <row r="33316" spans="18:19">
      <c r="R33316" s="178"/>
      <c r="S33316" s="178"/>
    </row>
    <row r="33317" spans="18:19">
      <c r="R33317" s="178"/>
      <c r="S33317" s="178"/>
    </row>
    <row r="33318" spans="18:19">
      <c r="R33318" s="178"/>
      <c r="S33318" s="178"/>
    </row>
    <row r="33319" spans="18:19">
      <c r="R33319" s="178"/>
      <c r="S33319" s="178"/>
    </row>
    <row r="33320" spans="18:19">
      <c r="R33320" s="178"/>
      <c r="S33320" s="178"/>
    </row>
    <row r="33321" spans="18:19">
      <c r="R33321" s="178"/>
      <c r="S33321" s="178"/>
    </row>
    <row r="33322" spans="18:19">
      <c r="R33322" s="178"/>
      <c r="S33322" s="178"/>
    </row>
    <row r="33323" spans="18:19">
      <c r="R33323" s="178"/>
      <c r="S33323" s="178"/>
    </row>
    <row r="33324" spans="18:19">
      <c r="R33324" s="178"/>
      <c r="S33324" s="178"/>
    </row>
    <row r="33325" spans="18:19">
      <c r="R33325" s="178"/>
      <c r="S33325" s="178"/>
    </row>
    <row r="33326" spans="18:19">
      <c r="R33326" s="178"/>
      <c r="S33326" s="178"/>
    </row>
    <row r="33327" spans="18:19">
      <c r="R33327" s="178"/>
      <c r="S33327" s="178"/>
    </row>
    <row r="33328" spans="18:19">
      <c r="R33328" s="178"/>
      <c r="S33328" s="178"/>
    </row>
    <row r="33329" spans="18:19">
      <c r="R33329" s="178"/>
      <c r="S33329" s="178"/>
    </row>
    <row r="33330" spans="18:19">
      <c r="R33330" s="178"/>
      <c r="S33330" s="178"/>
    </row>
    <row r="33331" spans="18:19">
      <c r="R33331" s="178"/>
      <c r="S33331" s="178"/>
    </row>
    <row r="33332" spans="18:19">
      <c r="R33332" s="178"/>
      <c r="S33332" s="178"/>
    </row>
    <row r="33333" spans="18:19">
      <c r="R33333" s="178"/>
      <c r="S33333" s="178"/>
    </row>
    <row r="33334" spans="18:19">
      <c r="R33334" s="178"/>
      <c r="S33334" s="178"/>
    </row>
    <row r="33335" spans="18:19">
      <c r="R33335" s="178"/>
      <c r="S33335" s="178"/>
    </row>
    <row r="33336" spans="18:19">
      <c r="R33336" s="178"/>
      <c r="S33336" s="178"/>
    </row>
    <row r="33337" spans="18:19">
      <c r="R33337" s="178"/>
      <c r="S33337" s="178"/>
    </row>
    <row r="33338" spans="18:19">
      <c r="R33338" s="178"/>
      <c r="S33338" s="178"/>
    </row>
    <row r="33339" spans="18:19">
      <c r="R33339" s="178"/>
      <c r="S33339" s="178"/>
    </row>
    <row r="33340" spans="18:19">
      <c r="R33340" s="178"/>
      <c r="S33340" s="178"/>
    </row>
    <row r="33341" spans="18:19">
      <c r="R33341" s="178"/>
      <c r="S33341" s="178"/>
    </row>
    <row r="33342" spans="18:19">
      <c r="R33342" s="178"/>
      <c r="S33342" s="178"/>
    </row>
    <row r="33343" spans="18:19">
      <c r="R33343" s="178"/>
      <c r="S33343" s="178"/>
    </row>
    <row r="33344" spans="18:19">
      <c r="R33344" s="178"/>
      <c r="S33344" s="178"/>
    </row>
    <row r="33345" spans="18:19">
      <c r="R33345" s="178"/>
      <c r="S33345" s="178"/>
    </row>
    <row r="33346" spans="18:19">
      <c r="R33346" s="178"/>
      <c r="S33346" s="178"/>
    </row>
    <row r="33347" spans="18:19">
      <c r="R33347" s="178"/>
      <c r="S33347" s="178"/>
    </row>
    <row r="33348" spans="18:19">
      <c r="R33348" s="178"/>
      <c r="S33348" s="178"/>
    </row>
    <row r="33349" spans="18:19">
      <c r="R33349" s="178"/>
      <c r="S33349" s="178"/>
    </row>
    <row r="33350" spans="18:19">
      <c r="R33350" s="178"/>
      <c r="S33350" s="178"/>
    </row>
    <row r="33351" spans="18:19">
      <c r="R33351" s="178"/>
      <c r="S33351" s="178"/>
    </row>
    <row r="33352" spans="18:19">
      <c r="R33352" s="178"/>
      <c r="S33352" s="178"/>
    </row>
    <row r="33353" spans="18:19">
      <c r="R33353" s="178"/>
      <c r="S33353" s="178"/>
    </row>
    <row r="33354" spans="18:19">
      <c r="R33354" s="178"/>
      <c r="S33354" s="178"/>
    </row>
    <row r="33355" spans="18:19">
      <c r="R33355" s="178"/>
      <c r="S33355" s="178"/>
    </row>
    <row r="33356" spans="18:19">
      <c r="R33356" s="178"/>
      <c r="S33356" s="178"/>
    </row>
    <row r="33357" spans="18:19">
      <c r="R33357" s="178"/>
      <c r="S33357" s="178"/>
    </row>
    <row r="33358" spans="18:19">
      <c r="R33358" s="178"/>
      <c r="S33358" s="178"/>
    </row>
    <row r="33359" spans="18:19">
      <c r="R33359" s="178"/>
      <c r="S33359" s="178"/>
    </row>
    <row r="33360" spans="18:19">
      <c r="R33360" s="178"/>
      <c r="S33360" s="178"/>
    </row>
    <row r="33361" spans="18:19">
      <c r="R33361" s="178"/>
      <c r="S33361" s="178"/>
    </row>
    <row r="33362" spans="18:19">
      <c r="R33362" s="178"/>
      <c r="S33362" s="178"/>
    </row>
    <row r="33363" spans="18:19">
      <c r="R33363" s="178"/>
      <c r="S33363" s="178"/>
    </row>
    <row r="33364" spans="18:19">
      <c r="R33364" s="178"/>
      <c r="S33364" s="178"/>
    </row>
    <row r="33365" spans="18:19">
      <c r="R33365" s="178"/>
      <c r="S33365" s="178"/>
    </row>
    <row r="33366" spans="18:19">
      <c r="R33366" s="178"/>
      <c r="S33366" s="178"/>
    </row>
    <row r="33367" spans="18:19">
      <c r="R33367" s="178"/>
      <c r="S33367" s="178"/>
    </row>
    <row r="33368" spans="18:19">
      <c r="R33368" s="178"/>
      <c r="S33368" s="178"/>
    </row>
    <row r="33369" spans="18:19">
      <c r="R33369" s="178"/>
      <c r="S33369" s="178"/>
    </row>
    <row r="33370" spans="18:19">
      <c r="R33370" s="178"/>
      <c r="S33370" s="178"/>
    </row>
    <row r="33371" spans="18:19">
      <c r="R33371" s="178"/>
      <c r="S33371" s="178"/>
    </row>
    <row r="33372" spans="18:19">
      <c r="R33372" s="178"/>
      <c r="S33372" s="178"/>
    </row>
    <row r="33373" spans="18:19">
      <c r="R33373" s="178"/>
      <c r="S33373" s="178"/>
    </row>
    <row r="33374" spans="18:19">
      <c r="R33374" s="178"/>
      <c r="S33374" s="178"/>
    </row>
    <row r="33375" spans="18:19">
      <c r="R33375" s="178"/>
      <c r="S33375" s="178"/>
    </row>
    <row r="33376" spans="18:19">
      <c r="R33376" s="178"/>
      <c r="S33376" s="178"/>
    </row>
    <row r="33377" spans="18:19">
      <c r="R33377" s="178"/>
      <c r="S33377" s="178"/>
    </row>
    <row r="33378" spans="18:19">
      <c r="R33378" s="178"/>
      <c r="S33378" s="178"/>
    </row>
    <row r="33379" spans="18:19">
      <c r="R33379" s="178"/>
      <c r="S33379" s="178"/>
    </row>
    <row r="33380" spans="18:19">
      <c r="R33380" s="178"/>
      <c r="S33380" s="178"/>
    </row>
    <row r="33381" spans="18:19">
      <c r="R33381" s="178"/>
      <c r="S33381" s="178"/>
    </row>
    <row r="33382" spans="18:19">
      <c r="R33382" s="178"/>
      <c r="S33382" s="178"/>
    </row>
    <row r="33383" spans="18:19">
      <c r="R33383" s="178"/>
      <c r="S33383" s="178"/>
    </row>
    <row r="33384" spans="18:19">
      <c r="R33384" s="178"/>
      <c r="S33384" s="178"/>
    </row>
    <row r="33385" spans="18:19">
      <c r="R33385" s="178"/>
      <c r="S33385" s="178"/>
    </row>
    <row r="33386" spans="18:19">
      <c r="R33386" s="178"/>
      <c r="S33386" s="178"/>
    </row>
    <row r="33387" spans="18:19">
      <c r="R33387" s="178"/>
      <c r="S33387" s="178"/>
    </row>
    <row r="33388" spans="18:19">
      <c r="R33388" s="178"/>
      <c r="S33388" s="178"/>
    </row>
    <row r="33389" spans="18:19">
      <c r="R33389" s="178"/>
      <c r="S33389" s="178"/>
    </row>
    <row r="33390" spans="18:19">
      <c r="R33390" s="178"/>
      <c r="S33390" s="178"/>
    </row>
    <row r="33391" spans="18:19">
      <c r="R33391" s="178"/>
      <c r="S33391" s="178"/>
    </row>
    <row r="33392" spans="18:19">
      <c r="R33392" s="178"/>
      <c r="S33392" s="178"/>
    </row>
    <row r="33393" spans="18:19">
      <c r="R33393" s="178"/>
      <c r="S33393" s="178"/>
    </row>
    <row r="33394" spans="18:19">
      <c r="R33394" s="178"/>
      <c r="S33394" s="178"/>
    </row>
    <row r="33395" spans="18:19">
      <c r="R33395" s="178"/>
      <c r="S33395" s="178"/>
    </row>
    <row r="33396" spans="18:19">
      <c r="R33396" s="178"/>
      <c r="S33396" s="178"/>
    </row>
    <row r="33397" spans="18:19">
      <c r="R33397" s="178"/>
      <c r="S33397" s="178"/>
    </row>
    <row r="33398" spans="18:19">
      <c r="R33398" s="178"/>
      <c r="S33398" s="178"/>
    </row>
    <row r="33399" spans="18:19">
      <c r="R33399" s="178"/>
      <c r="S33399" s="178"/>
    </row>
    <row r="33400" spans="18:19">
      <c r="R33400" s="178"/>
      <c r="S33400" s="178"/>
    </row>
    <row r="33401" spans="18:19">
      <c r="R33401" s="178"/>
      <c r="S33401" s="178"/>
    </row>
    <row r="33402" spans="18:19">
      <c r="R33402" s="178"/>
      <c r="S33402" s="178"/>
    </row>
    <row r="33403" spans="18:19">
      <c r="R33403" s="178"/>
      <c r="S33403" s="178"/>
    </row>
    <row r="33404" spans="18:19">
      <c r="R33404" s="178"/>
      <c r="S33404" s="178"/>
    </row>
    <row r="33405" spans="18:19">
      <c r="R33405" s="178"/>
      <c r="S33405" s="178"/>
    </row>
    <row r="33406" spans="18:19">
      <c r="R33406" s="178"/>
      <c r="S33406" s="178"/>
    </row>
    <row r="33407" spans="18:19">
      <c r="R33407" s="178"/>
      <c r="S33407" s="178"/>
    </row>
    <row r="33408" spans="18:19">
      <c r="R33408" s="178"/>
      <c r="S33408" s="178"/>
    </row>
    <row r="33409" spans="18:19">
      <c r="R33409" s="178"/>
      <c r="S33409" s="178"/>
    </row>
    <row r="33410" spans="18:19">
      <c r="R33410" s="178"/>
      <c r="S33410" s="178"/>
    </row>
    <row r="33411" spans="18:19">
      <c r="R33411" s="178"/>
      <c r="S33411" s="178"/>
    </row>
    <row r="33412" spans="18:19">
      <c r="R33412" s="178"/>
      <c r="S33412" s="178"/>
    </row>
    <row r="33413" spans="18:19">
      <c r="R33413" s="178"/>
      <c r="S33413" s="178"/>
    </row>
    <row r="33414" spans="18:19">
      <c r="R33414" s="178"/>
      <c r="S33414" s="178"/>
    </row>
    <row r="33415" spans="18:19">
      <c r="R33415" s="178"/>
      <c r="S33415" s="178"/>
    </row>
    <row r="33416" spans="18:19">
      <c r="R33416" s="178"/>
      <c r="S33416" s="178"/>
    </row>
    <row r="33417" spans="18:19">
      <c r="R33417" s="178"/>
      <c r="S33417" s="178"/>
    </row>
    <row r="33418" spans="18:19">
      <c r="R33418" s="178"/>
      <c r="S33418" s="178"/>
    </row>
    <row r="33419" spans="18:19">
      <c r="R33419" s="178"/>
      <c r="S33419" s="178"/>
    </row>
    <row r="33420" spans="18:19">
      <c r="R33420" s="178"/>
      <c r="S33420" s="178"/>
    </row>
    <row r="33421" spans="18:19">
      <c r="R33421" s="178"/>
      <c r="S33421" s="178"/>
    </row>
    <row r="33422" spans="18:19">
      <c r="R33422" s="178"/>
      <c r="S33422" s="178"/>
    </row>
    <row r="33423" spans="18:19">
      <c r="R33423" s="178"/>
      <c r="S33423" s="178"/>
    </row>
    <row r="33424" spans="18:19">
      <c r="R33424" s="178"/>
      <c r="S33424" s="178"/>
    </row>
    <row r="33425" spans="18:19">
      <c r="R33425" s="178"/>
      <c r="S33425" s="178"/>
    </row>
    <row r="33426" spans="18:19">
      <c r="R33426" s="178"/>
      <c r="S33426" s="178"/>
    </row>
    <row r="33427" spans="18:19">
      <c r="R33427" s="178"/>
      <c r="S33427" s="178"/>
    </row>
    <row r="33428" spans="18:19">
      <c r="R33428" s="178"/>
      <c r="S33428" s="178"/>
    </row>
    <row r="33429" spans="18:19">
      <c r="R33429" s="178"/>
      <c r="S33429" s="178"/>
    </row>
    <row r="33430" spans="18:19">
      <c r="R33430" s="178"/>
      <c r="S33430" s="178"/>
    </row>
    <row r="33431" spans="18:19">
      <c r="R33431" s="178"/>
      <c r="S33431" s="178"/>
    </row>
    <row r="33432" spans="18:19">
      <c r="R33432" s="178"/>
      <c r="S33432" s="178"/>
    </row>
    <row r="33433" spans="18:19">
      <c r="R33433" s="178"/>
      <c r="S33433" s="178"/>
    </row>
    <row r="33434" spans="18:19">
      <c r="R33434" s="178"/>
      <c r="S33434" s="178"/>
    </row>
    <row r="33435" spans="18:19">
      <c r="R33435" s="178"/>
      <c r="S33435" s="178"/>
    </row>
    <row r="33436" spans="18:19">
      <c r="R33436" s="178"/>
      <c r="S33436" s="178"/>
    </row>
    <row r="33437" spans="18:19">
      <c r="R33437" s="178"/>
      <c r="S33437" s="178"/>
    </row>
    <row r="33438" spans="18:19">
      <c r="R33438" s="178"/>
      <c r="S33438" s="178"/>
    </row>
    <row r="33439" spans="18:19">
      <c r="R33439" s="178"/>
      <c r="S33439" s="178"/>
    </row>
    <row r="33440" spans="18:19">
      <c r="R33440" s="178"/>
      <c r="S33440" s="178"/>
    </row>
    <row r="33441" spans="18:19">
      <c r="R33441" s="178"/>
      <c r="S33441" s="178"/>
    </row>
    <row r="33442" spans="18:19">
      <c r="R33442" s="178"/>
      <c r="S33442" s="178"/>
    </row>
    <row r="33443" spans="18:19">
      <c r="R33443" s="178"/>
      <c r="S33443" s="178"/>
    </row>
    <row r="33444" spans="18:19">
      <c r="R33444" s="178"/>
      <c r="S33444" s="178"/>
    </row>
    <row r="33445" spans="18:19">
      <c r="R33445" s="178"/>
      <c r="S33445" s="178"/>
    </row>
    <row r="33446" spans="18:19">
      <c r="R33446" s="178"/>
      <c r="S33446" s="178"/>
    </row>
    <row r="33447" spans="18:19">
      <c r="R33447" s="178"/>
      <c r="S33447" s="178"/>
    </row>
    <row r="33448" spans="18:19">
      <c r="R33448" s="178"/>
      <c r="S33448" s="178"/>
    </row>
    <row r="33449" spans="18:19">
      <c r="R33449" s="178"/>
      <c r="S33449" s="178"/>
    </row>
    <row r="33450" spans="18:19">
      <c r="R33450" s="178"/>
      <c r="S33450" s="178"/>
    </row>
    <row r="33451" spans="18:19">
      <c r="R33451" s="178"/>
      <c r="S33451" s="178"/>
    </row>
    <row r="33452" spans="18:19">
      <c r="R33452" s="178"/>
      <c r="S33452" s="178"/>
    </row>
    <row r="33453" spans="18:19">
      <c r="R33453" s="178"/>
      <c r="S33453" s="178"/>
    </row>
    <row r="33454" spans="18:19">
      <c r="R33454" s="178"/>
      <c r="S33454" s="178"/>
    </row>
    <row r="33455" spans="18:19">
      <c r="R33455" s="178"/>
      <c r="S33455" s="178"/>
    </row>
    <row r="33456" spans="18:19">
      <c r="R33456" s="178"/>
      <c r="S33456" s="178"/>
    </row>
    <row r="33457" spans="18:19">
      <c r="R33457" s="178"/>
      <c r="S33457" s="178"/>
    </row>
    <row r="33458" spans="18:19">
      <c r="R33458" s="178"/>
      <c r="S33458" s="178"/>
    </row>
    <row r="33459" spans="18:19">
      <c r="R33459" s="178"/>
      <c r="S33459" s="178"/>
    </row>
    <row r="33460" spans="18:19">
      <c r="R33460" s="178"/>
      <c r="S33460" s="178"/>
    </row>
    <row r="33461" spans="18:19">
      <c r="R33461" s="178"/>
      <c r="S33461" s="178"/>
    </row>
    <row r="33462" spans="18:19">
      <c r="R33462" s="178"/>
      <c r="S33462" s="178"/>
    </row>
    <row r="33463" spans="18:19">
      <c r="R33463" s="178"/>
      <c r="S33463" s="178"/>
    </row>
    <row r="33464" spans="18:19">
      <c r="R33464" s="178"/>
      <c r="S33464" s="178"/>
    </row>
    <row r="33465" spans="18:19">
      <c r="R33465" s="178"/>
      <c r="S33465" s="178"/>
    </row>
    <row r="33466" spans="18:19">
      <c r="R33466" s="178"/>
      <c r="S33466" s="178"/>
    </row>
    <row r="33467" spans="18:19">
      <c r="R33467" s="178"/>
      <c r="S33467" s="178"/>
    </row>
    <row r="33468" spans="18:19">
      <c r="R33468" s="178"/>
      <c r="S33468" s="178"/>
    </row>
    <row r="33469" spans="18:19">
      <c r="R33469" s="178"/>
      <c r="S33469" s="178"/>
    </row>
    <row r="33470" spans="18:19">
      <c r="R33470" s="178"/>
      <c r="S33470" s="178"/>
    </row>
    <row r="33471" spans="18:19">
      <c r="R33471" s="178"/>
      <c r="S33471" s="178"/>
    </row>
    <row r="33472" spans="18:19">
      <c r="R33472" s="178"/>
      <c r="S33472" s="178"/>
    </row>
    <row r="33473" spans="18:19">
      <c r="R33473" s="178"/>
      <c r="S33473" s="178"/>
    </row>
    <row r="33474" spans="18:19">
      <c r="R33474" s="178"/>
      <c r="S33474" s="178"/>
    </row>
    <row r="33475" spans="18:19">
      <c r="R33475" s="178"/>
      <c r="S33475" s="178"/>
    </row>
    <row r="33476" spans="18:19">
      <c r="R33476" s="178"/>
      <c r="S33476" s="178"/>
    </row>
    <row r="33477" spans="18:19">
      <c r="R33477" s="178"/>
      <c r="S33477" s="178"/>
    </row>
    <row r="33478" spans="18:19">
      <c r="R33478" s="178"/>
      <c r="S33478" s="178"/>
    </row>
    <row r="33479" spans="18:19">
      <c r="R33479" s="178"/>
      <c r="S33479" s="178"/>
    </row>
    <row r="33480" spans="18:19">
      <c r="R33480" s="178"/>
      <c r="S33480" s="178"/>
    </row>
    <row r="33481" spans="18:19">
      <c r="R33481" s="178"/>
      <c r="S33481" s="178"/>
    </row>
    <row r="33482" spans="18:19">
      <c r="R33482" s="178"/>
      <c r="S33482" s="178"/>
    </row>
    <row r="33483" spans="18:19">
      <c r="R33483" s="178"/>
      <c r="S33483" s="178"/>
    </row>
    <row r="33484" spans="18:19">
      <c r="R33484" s="178"/>
      <c r="S33484" s="178"/>
    </row>
    <row r="33485" spans="18:19">
      <c r="R33485" s="178"/>
      <c r="S33485" s="178"/>
    </row>
    <row r="33486" spans="18:19">
      <c r="R33486" s="178"/>
      <c r="S33486" s="178"/>
    </row>
    <row r="33487" spans="18:19">
      <c r="R33487" s="178"/>
      <c r="S33487" s="178"/>
    </row>
    <row r="33488" spans="18:19">
      <c r="R33488" s="178"/>
      <c r="S33488" s="178"/>
    </row>
    <row r="33489" spans="18:19">
      <c r="R33489" s="178"/>
      <c r="S33489" s="178"/>
    </row>
    <row r="33490" spans="18:19">
      <c r="R33490" s="178"/>
      <c r="S33490" s="178"/>
    </row>
    <row r="33491" spans="18:19">
      <c r="R33491" s="178"/>
      <c r="S33491" s="178"/>
    </row>
    <row r="33492" spans="18:19">
      <c r="R33492" s="178"/>
      <c r="S33492" s="178"/>
    </row>
    <row r="33493" spans="18:19">
      <c r="R33493" s="178"/>
      <c r="S33493" s="178"/>
    </row>
    <row r="33494" spans="18:19">
      <c r="R33494" s="178"/>
      <c r="S33494" s="178"/>
    </row>
    <row r="33495" spans="18:19">
      <c r="R33495" s="178"/>
      <c r="S33495" s="178"/>
    </row>
    <row r="33496" spans="18:19">
      <c r="R33496" s="178"/>
      <c r="S33496" s="178"/>
    </row>
    <row r="33497" spans="18:19">
      <c r="R33497" s="178"/>
      <c r="S33497" s="178"/>
    </row>
    <row r="33498" spans="18:19">
      <c r="R33498" s="178"/>
      <c r="S33498" s="178"/>
    </row>
    <row r="33499" spans="18:19">
      <c r="R33499" s="178"/>
      <c r="S33499" s="178"/>
    </row>
    <row r="33500" spans="18:19">
      <c r="R33500" s="178"/>
      <c r="S33500" s="178"/>
    </row>
    <row r="33501" spans="18:19">
      <c r="R33501" s="178"/>
      <c r="S33501" s="178"/>
    </row>
    <row r="33502" spans="18:19">
      <c r="R33502" s="178"/>
      <c r="S33502" s="178"/>
    </row>
    <row r="33503" spans="18:19">
      <c r="R33503" s="178"/>
      <c r="S33503" s="178"/>
    </row>
    <row r="33504" spans="18:19">
      <c r="R33504" s="178"/>
      <c r="S33504" s="178"/>
    </row>
    <row r="33505" spans="18:19">
      <c r="R33505" s="178"/>
      <c r="S33505" s="178"/>
    </row>
    <row r="33506" spans="18:19">
      <c r="R33506" s="178"/>
      <c r="S33506" s="178"/>
    </row>
    <row r="33507" spans="18:19">
      <c r="R33507" s="178"/>
      <c r="S33507" s="178"/>
    </row>
    <row r="33508" spans="18:19">
      <c r="R33508" s="178"/>
      <c r="S33508" s="178"/>
    </row>
    <row r="33509" spans="18:19">
      <c r="R33509" s="178"/>
      <c r="S33509" s="178"/>
    </row>
    <row r="33510" spans="18:19">
      <c r="R33510" s="178"/>
      <c r="S33510" s="178"/>
    </row>
    <row r="33511" spans="18:19">
      <c r="R33511" s="178"/>
      <c r="S33511" s="178"/>
    </row>
    <row r="33512" spans="18:19">
      <c r="R33512" s="178"/>
      <c r="S33512" s="178"/>
    </row>
    <row r="33513" spans="18:19">
      <c r="R33513" s="178"/>
      <c r="S33513" s="178"/>
    </row>
    <row r="33514" spans="18:19">
      <c r="R33514" s="178"/>
      <c r="S33514" s="178"/>
    </row>
    <row r="33515" spans="18:19">
      <c r="R33515" s="178"/>
      <c r="S33515" s="178"/>
    </row>
    <row r="33516" spans="18:19">
      <c r="R33516" s="178"/>
      <c r="S33516" s="178"/>
    </row>
    <row r="33517" spans="18:19">
      <c r="R33517" s="178"/>
      <c r="S33517" s="178"/>
    </row>
    <row r="33518" spans="18:19">
      <c r="R33518" s="178"/>
      <c r="S33518" s="178"/>
    </row>
    <row r="33519" spans="18:19">
      <c r="R33519" s="178"/>
      <c r="S33519" s="178"/>
    </row>
    <row r="33520" spans="18:19">
      <c r="R33520" s="178"/>
      <c r="S33520" s="178"/>
    </row>
    <row r="33521" spans="18:19">
      <c r="R33521" s="178"/>
      <c r="S33521" s="178"/>
    </row>
    <row r="33522" spans="18:19">
      <c r="R33522" s="178"/>
      <c r="S33522" s="178"/>
    </row>
    <row r="33523" spans="18:19">
      <c r="R33523" s="178"/>
      <c r="S33523" s="178"/>
    </row>
    <row r="33524" spans="18:19">
      <c r="R33524" s="178"/>
      <c r="S33524" s="178"/>
    </row>
    <row r="33525" spans="18:19">
      <c r="R33525" s="178"/>
      <c r="S33525" s="178"/>
    </row>
    <row r="33526" spans="18:19">
      <c r="R33526" s="178"/>
      <c r="S33526" s="178"/>
    </row>
    <row r="33527" spans="18:19">
      <c r="R33527" s="178"/>
      <c r="S33527" s="178"/>
    </row>
    <row r="33528" spans="18:19">
      <c r="R33528" s="178"/>
      <c r="S33528" s="178"/>
    </row>
    <row r="33529" spans="18:19">
      <c r="R33529" s="178"/>
      <c r="S33529" s="178"/>
    </row>
    <row r="33530" spans="18:19">
      <c r="R33530" s="178"/>
      <c r="S33530" s="178"/>
    </row>
    <row r="33531" spans="18:19">
      <c r="R33531" s="178"/>
      <c r="S33531" s="178"/>
    </row>
    <row r="33532" spans="18:19">
      <c r="R33532" s="178"/>
      <c r="S33532" s="178"/>
    </row>
    <row r="33533" spans="18:19">
      <c r="R33533" s="178"/>
      <c r="S33533" s="178"/>
    </row>
    <row r="33534" spans="18:19">
      <c r="R33534" s="178"/>
      <c r="S33534" s="178"/>
    </row>
    <row r="33535" spans="18:19">
      <c r="R33535" s="178"/>
      <c r="S33535" s="178"/>
    </row>
    <row r="33536" spans="18:19">
      <c r="R33536" s="178"/>
      <c r="S33536" s="178"/>
    </row>
    <row r="33537" spans="18:19">
      <c r="R33537" s="178"/>
      <c r="S33537" s="178"/>
    </row>
    <row r="33538" spans="18:19">
      <c r="R33538" s="178"/>
      <c r="S33538" s="178"/>
    </row>
    <row r="33539" spans="18:19">
      <c r="R33539" s="178"/>
      <c r="S33539" s="178"/>
    </row>
    <row r="33540" spans="18:19">
      <c r="R33540" s="178"/>
      <c r="S33540" s="178"/>
    </row>
    <row r="33541" spans="18:19">
      <c r="R33541" s="178"/>
      <c r="S33541" s="178"/>
    </row>
    <row r="33542" spans="18:19">
      <c r="R33542" s="178"/>
      <c r="S33542" s="178"/>
    </row>
    <row r="33543" spans="18:19">
      <c r="R33543" s="178"/>
      <c r="S33543" s="178"/>
    </row>
    <row r="33544" spans="18:19">
      <c r="R33544" s="178"/>
      <c r="S33544" s="178"/>
    </row>
    <row r="33545" spans="18:19">
      <c r="R33545" s="178"/>
      <c r="S33545" s="178"/>
    </row>
    <row r="33546" spans="18:19">
      <c r="R33546" s="178"/>
      <c r="S33546" s="178"/>
    </row>
    <row r="33547" spans="18:19">
      <c r="R33547" s="178"/>
      <c r="S33547" s="178"/>
    </row>
    <row r="33548" spans="18:19">
      <c r="R33548" s="178"/>
      <c r="S33548" s="178"/>
    </row>
    <row r="33549" spans="18:19">
      <c r="R33549" s="178"/>
      <c r="S33549" s="178"/>
    </row>
    <row r="33550" spans="18:19">
      <c r="R33550" s="178"/>
      <c r="S33550" s="178"/>
    </row>
    <row r="33551" spans="18:19">
      <c r="R33551" s="178"/>
      <c r="S33551" s="178"/>
    </row>
    <row r="33552" spans="18:19">
      <c r="R33552" s="178"/>
      <c r="S33552" s="178"/>
    </row>
    <row r="33553" spans="18:19">
      <c r="R33553" s="178"/>
      <c r="S33553" s="178"/>
    </row>
    <row r="33554" spans="18:19">
      <c r="R33554" s="178"/>
      <c r="S33554" s="178"/>
    </row>
    <row r="33555" spans="18:19">
      <c r="R33555" s="178"/>
      <c r="S33555" s="178"/>
    </row>
    <row r="33556" spans="18:19">
      <c r="R33556" s="178"/>
      <c r="S33556" s="178"/>
    </row>
    <row r="33557" spans="18:19">
      <c r="R33557" s="178"/>
      <c r="S33557" s="178"/>
    </row>
    <row r="33558" spans="18:19">
      <c r="R33558" s="178"/>
      <c r="S33558" s="178"/>
    </row>
    <row r="33559" spans="18:19">
      <c r="R33559" s="178"/>
      <c r="S33559" s="178"/>
    </row>
    <row r="33560" spans="18:19">
      <c r="R33560" s="178"/>
      <c r="S33560" s="178"/>
    </row>
    <row r="33561" spans="18:19">
      <c r="R33561" s="178"/>
      <c r="S33561" s="178"/>
    </row>
    <row r="33562" spans="18:19">
      <c r="R33562" s="178"/>
      <c r="S33562" s="178"/>
    </row>
    <row r="33563" spans="18:19">
      <c r="R33563" s="178"/>
      <c r="S33563" s="178"/>
    </row>
    <row r="33564" spans="18:19">
      <c r="R33564" s="178"/>
      <c r="S33564" s="178"/>
    </row>
    <row r="33565" spans="18:19">
      <c r="R33565" s="178"/>
      <c r="S33565" s="178"/>
    </row>
    <row r="33566" spans="18:19">
      <c r="R33566" s="178"/>
      <c r="S33566" s="178"/>
    </row>
    <row r="33567" spans="18:19">
      <c r="R33567" s="178"/>
      <c r="S33567" s="178"/>
    </row>
    <row r="33568" spans="18:19">
      <c r="R33568" s="178"/>
      <c r="S33568" s="178"/>
    </row>
    <row r="33569" spans="18:19">
      <c r="R33569" s="178"/>
      <c r="S33569" s="178"/>
    </row>
    <row r="33570" spans="18:19">
      <c r="R33570" s="178"/>
      <c r="S33570" s="178"/>
    </row>
    <row r="33571" spans="18:19">
      <c r="R33571" s="178"/>
      <c r="S33571" s="178"/>
    </row>
    <row r="33572" spans="18:19">
      <c r="R33572" s="178"/>
      <c r="S33572" s="178"/>
    </row>
    <row r="33573" spans="18:19">
      <c r="R33573" s="178"/>
      <c r="S33573" s="178"/>
    </row>
    <row r="33574" spans="18:19">
      <c r="R33574" s="178"/>
      <c r="S33574" s="178"/>
    </row>
    <row r="33575" spans="18:19">
      <c r="R33575" s="178"/>
      <c r="S33575" s="178"/>
    </row>
    <row r="33576" spans="18:19">
      <c r="R33576" s="178"/>
      <c r="S33576" s="178"/>
    </row>
    <row r="33577" spans="18:19">
      <c r="R33577" s="178"/>
      <c r="S33577" s="178"/>
    </row>
    <row r="33578" spans="18:19">
      <c r="R33578" s="178"/>
      <c r="S33578" s="178"/>
    </row>
    <row r="33579" spans="18:19">
      <c r="R33579" s="178"/>
      <c r="S33579" s="178"/>
    </row>
    <row r="33580" spans="18:19">
      <c r="R33580" s="178"/>
      <c r="S33580" s="178"/>
    </row>
    <row r="33581" spans="18:19">
      <c r="R33581" s="178"/>
      <c r="S33581" s="178"/>
    </row>
    <row r="33582" spans="18:19">
      <c r="R33582" s="178"/>
      <c r="S33582" s="178"/>
    </row>
    <row r="33583" spans="18:19">
      <c r="R33583" s="178"/>
      <c r="S33583" s="178"/>
    </row>
    <row r="33584" spans="18:19">
      <c r="R33584" s="178"/>
      <c r="S33584" s="178"/>
    </row>
    <row r="33585" spans="18:19">
      <c r="R33585" s="178"/>
      <c r="S33585" s="178"/>
    </row>
    <row r="33586" spans="18:19">
      <c r="R33586" s="178"/>
      <c r="S33586" s="178"/>
    </row>
    <row r="33587" spans="18:19">
      <c r="R33587" s="178"/>
      <c r="S33587" s="178"/>
    </row>
    <row r="33588" spans="18:19">
      <c r="R33588" s="178"/>
      <c r="S33588" s="178"/>
    </row>
    <row r="33589" spans="18:19">
      <c r="R33589" s="178"/>
      <c r="S33589" s="178"/>
    </row>
    <row r="33590" spans="18:19">
      <c r="R33590" s="178"/>
      <c r="S33590" s="178"/>
    </row>
    <row r="33591" spans="18:19">
      <c r="R33591" s="178"/>
      <c r="S33591" s="178"/>
    </row>
    <row r="33592" spans="18:19">
      <c r="R33592" s="178"/>
      <c r="S33592" s="178"/>
    </row>
    <row r="33593" spans="18:19">
      <c r="R33593" s="178"/>
      <c r="S33593" s="178"/>
    </row>
    <row r="33594" spans="18:19">
      <c r="R33594" s="178"/>
      <c r="S33594" s="178"/>
    </row>
    <row r="33595" spans="18:19">
      <c r="R33595" s="178"/>
      <c r="S33595" s="178"/>
    </row>
    <row r="33596" spans="18:19">
      <c r="R33596" s="178"/>
      <c r="S33596" s="178"/>
    </row>
    <row r="33597" spans="18:19">
      <c r="R33597" s="178"/>
      <c r="S33597" s="178"/>
    </row>
    <row r="33598" spans="18:19">
      <c r="R33598" s="178"/>
      <c r="S33598" s="178"/>
    </row>
    <row r="33599" spans="18:19">
      <c r="R33599" s="178"/>
      <c r="S33599" s="178"/>
    </row>
    <row r="33600" spans="18:19">
      <c r="R33600" s="178"/>
      <c r="S33600" s="178"/>
    </row>
    <row r="33601" spans="18:19">
      <c r="R33601" s="178"/>
      <c r="S33601" s="178"/>
    </row>
    <row r="33602" spans="18:19">
      <c r="R33602" s="178"/>
      <c r="S33602" s="178"/>
    </row>
    <row r="33603" spans="18:19">
      <c r="R33603" s="178"/>
      <c r="S33603" s="178"/>
    </row>
    <row r="33604" spans="18:19">
      <c r="R33604" s="178"/>
      <c r="S33604" s="178"/>
    </row>
    <row r="33605" spans="18:19">
      <c r="R33605" s="178"/>
      <c r="S33605" s="178"/>
    </row>
    <row r="33606" spans="18:19">
      <c r="R33606" s="178"/>
      <c r="S33606" s="178"/>
    </row>
    <row r="33607" spans="18:19">
      <c r="R33607" s="178"/>
      <c r="S33607" s="178"/>
    </row>
    <row r="33608" spans="18:19">
      <c r="R33608" s="178"/>
      <c r="S33608" s="178"/>
    </row>
    <row r="33609" spans="18:19">
      <c r="R33609" s="178"/>
      <c r="S33609" s="178"/>
    </row>
    <row r="33610" spans="18:19">
      <c r="R33610" s="178"/>
      <c r="S33610" s="178"/>
    </row>
    <row r="33611" spans="18:19">
      <c r="R33611" s="178"/>
      <c r="S33611" s="178"/>
    </row>
    <row r="33612" spans="18:19">
      <c r="R33612" s="178"/>
      <c r="S33612" s="178"/>
    </row>
    <row r="33613" spans="18:19">
      <c r="R33613" s="178"/>
      <c r="S33613" s="178"/>
    </row>
    <row r="33614" spans="18:19">
      <c r="R33614" s="178"/>
      <c r="S33614" s="178"/>
    </row>
    <row r="33615" spans="18:19">
      <c r="R33615" s="178"/>
      <c r="S33615" s="178"/>
    </row>
    <row r="33616" spans="18:19">
      <c r="R33616" s="178"/>
      <c r="S33616" s="178"/>
    </row>
    <row r="33617" spans="18:19">
      <c r="R33617" s="178"/>
      <c r="S33617" s="178"/>
    </row>
    <row r="33618" spans="18:19">
      <c r="R33618" s="178"/>
      <c r="S33618" s="178"/>
    </row>
    <row r="33619" spans="18:19">
      <c r="R33619" s="178"/>
      <c r="S33619" s="178"/>
    </row>
    <row r="33620" spans="18:19">
      <c r="R33620" s="178"/>
      <c r="S33620" s="178"/>
    </row>
    <row r="33621" spans="18:19">
      <c r="R33621" s="178"/>
      <c r="S33621" s="178"/>
    </row>
    <row r="33622" spans="18:19">
      <c r="R33622" s="178"/>
      <c r="S33622" s="178"/>
    </row>
    <row r="33623" spans="18:19">
      <c r="R33623" s="178"/>
      <c r="S33623" s="178"/>
    </row>
    <row r="33624" spans="18:19">
      <c r="R33624" s="178"/>
      <c r="S33624" s="178"/>
    </row>
    <row r="33625" spans="18:19">
      <c r="R33625" s="178"/>
      <c r="S33625" s="178"/>
    </row>
    <row r="33626" spans="18:19">
      <c r="R33626" s="178"/>
      <c r="S33626" s="178"/>
    </row>
    <row r="33627" spans="18:19">
      <c r="R33627" s="178"/>
      <c r="S33627" s="178"/>
    </row>
    <row r="33628" spans="18:19">
      <c r="R33628" s="178"/>
      <c r="S33628" s="178"/>
    </row>
    <row r="33629" spans="18:19">
      <c r="R33629" s="178"/>
      <c r="S33629" s="178"/>
    </row>
    <row r="33630" spans="18:19">
      <c r="R33630" s="178"/>
      <c r="S33630" s="178"/>
    </row>
    <row r="33631" spans="18:19">
      <c r="R33631" s="178"/>
      <c r="S33631" s="178"/>
    </row>
    <row r="33632" spans="18:19">
      <c r="R33632" s="178"/>
      <c r="S33632" s="178"/>
    </row>
    <row r="33633" spans="18:19">
      <c r="R33633" s="178"/>
      <c r="S33633" s="178"/>
    </row>
    <row r="33634" spans="18:19">
      <c r="R33634" s="178"/>
      <c r="S33634" s="178"/>
    </row>
    <row r="33635" spans="18:19">
      <c r="R33635" s="178"/>
      <c r="S33635" s="178"/>
    </row>
    <row r="33636" spans="18:19">
      <c r="R33636" s="178"/>
      <c r="S33636" s="178"/>
    </row>
    <row r="33637" spans="18:19">
      <c r="R33637" s="178"/>
      <c r="S33637" s="178"/>
    </row>
    <row r="33638" spans="18:19">
      <c r="R33638" s="178"/>
      <c r="S33638" s="178"/>
    </row>
    <row r="33639" spans="18:19">
      <c r="R33639" s="178"/>
      <c r="S33639" s="178"/>
    </row>
    <row r="33640" spans="18:19">
      <c r="R33640" s="178"/>
      <c r="S33640" s="178"/>
    </row>
    <row r="33641" spans="18:19">
      <c r="R33641" s="178"/>
      <c r="S33641" s="178"/>
    </row>
    <row r="33642" spans="18:19">
      <c r="R33642" s="178"/>
      <c r="S33642" s="178"/>
    </row>
    <row r="33643" spans="18:19">
      <c r="R33643" s="178"/>
      <c r="S33643" s="178"/>
    </row>
    <row r="33644" spans="18:19">
      <c r="R33644" s="178"/>
      <c r="S33644" s="178"/>
    </row>
    <row r="33645" spans="18:19">
      <c r="R33645" s="178"/>
      <c r="S33645" s="178"/>
    </row>
    <row r="33646" spans="18:19">
      <c r="R33646" s="178"/>
      <c r="S33646" s="178"/>
    </row>
    <row r="33647" spans="18:19">
      <c r="R33647" s="178"/>
      <c r="S33647" s="178"/>
    </row>
    <row r="33648" spans="18:19">
      <c r="R33648" s="178"/>
      <c r="S33648" s="178"/>
    </row>
    <row r="33649" spans="18:19">
      <c r="R33649" s="178"/>
      <c r="S33649" s="178"/>
    </row>
    <row r="33650" spans="18:19">
      <c r="R33650" s="178"/>
      <c r="S33650" s="178"/>
    </row>
    <row r="33651" spans="18:19">
      <c r="R33651" s="178"/>
      <c r="S33651" s="178"/>
    </row>
    <row r="33652" spans="18:19">
      <c r="R33652" s="178"/>
      <c r="S33652" s="178"/>
    </row>
    <row r="33653" spans="18:19">
      <c r="R33653" s="178"/>
      <c r="S33653" s="178"/>
    </row>
    <row r="33654" spans="18:19">
      <c r="R33654" s="178"/>
      <c r="S33654" s="178"/>
    </row>
    <row r="33655" spans="18:19">
      <c r="R33655" s="178"/>
      <c r="S33655" s="178"/>
    </row>
    <row r="33656" spans="18:19">
      <c r="R33656" s="178"/>
      <c r="S33656" s="178"/>
    </row>
    <row r="33657" spans="18:19">
      <c r="R33657" s="178"/>
      <c r="S33657" s="178"/>
    </row>
    <row r="33658" spans="18:19">
      <c r="R33658" s="178"/>
      <c r="S33658" s="178"/>
    </row>
    <row r="33659" spans="18:19">
      <c r="R33659" s="178"/>
      <c r="S33659" s="178"/>
    </row>
    <row r="33660" spans="18:19">
      <c r="R33660" s="178"/>
      <c r="S33660" s="178"/>
    </row>
    <row r="33661" spans="18:19">
      <c r="R33661" s="178"/>
      <c r="S33661" s="178"/>
    </row>
    <row r="33662" spans="18:19">
      <c r="R33662" s="178"/>
      <c r="S33662" s="178"/>
    </row>
    <row r="33663" spans="18:19">
      <c r="R33663" s="178"/>
      <c r="S33663" s="178"/>
    </row>
    <row r="33664" spans="18:19">
      <c r="R33664" s="178"/>
      <c r="S33664" s="178"/>
    </row>
    <row r="33665" spans="18:19">
      <c r="R33665" s="178"/>
      <c r="S33665" s="178"/>
    </row>
    <row r="33666" spans="18:19">
      <c r="R33666" s="178"/>
      <c r="S33666" s="178"/>
    </row>
    <row r="33667" spans="18:19">
      <c r="R33667" s="178"/>
      <c r="S33667" s="178"/>
    </row>
    <row r="33668" spans="18:19">
      <c r="R33668" s="178"/>
      <c r="S33668" s="178"/>
    </row>
    <row r="33669" spans="18:19">
      <c r="R33669" s="178"/>
      <c r="S33669" s="178"/>
    </row>
    <row r="33670" spans="18:19">
      <c r="R33670" s="178"/>
      <c r="S33670" s="178"/>
    </row>
    <row r="33671" spans="18:19">
      <c r="R33671" s="178"/>
      <c r="S33671" s="178"/>
    </row>
    <row r="33672" spans="18:19">
      <c r="R33672" s="178"/>
      <c r="S33672" s="178"/>
    </row>
    <row r="33673" spans="18:19">
      <c r="R33673" s="178"/>
      <c r="S33673" s="178"/>
    </row>
    <row r="33674" spans="18:19">
      <c r="R33674" s="178"/>
      <c r="S33674" s="178"/>
    </row>
    <row r="33675" spans="18:19">
      <c r="R33675" s="178"/>
      <c r="S33675" s="178"/>
    </row>
    <row r="33676" spans="18:19">
      <c r="R33676" s="178"/>
      <c r="S33676" s="178"/>
    </row>
    <row r="33677" spans="18:19">
      <c r="R33677" s="178"/>
      <c r="S33677" s="178"/>
    </row>
    <row r="33678" spans="18:19">
      <c r="R33678" s="178"/>
      <c r="S33678" s="178"/>
    </row>
    <row r="33679" spans="18:19">
      <c r="R33679" s="178"/>
      <c r="S33679" s="178"/>
    </row>
    <row r="33680" spans="18:19">
      <c r="R33680" s="178"/>
      <c r="S33680" s="178"/>
    </row>
    <row r="33681" spans="18:19">
      <c r="R33681" s="178"/>
      <c r="S33681" s="178"/>
    </row>
    <row r="33682" spans="18:19">
      <c r="R33682" s="178"/>
      <c r="S33682" s="178"/>
    </row>
    <row r="33683" spans="18:19">
      <c r="R33683" s="178"/>
      <c r="S33683" s="178"/>
    </row>
    <row r="33684" spans="18:19">
      <c r="R33684" s="178"/>
      <c r="S33684" s="178"/>
    </row>
    <row r="33685" spans="18:19">
      <c r="R33685" s="178"/>
      <c r="S33685" s="178"/>
    </row>
    <row r="33686" spans="18:19">
      <c r="R33686" s="178"/>
      <c r="S33686" s="178"/>
    </row>
    <row r="33687" spans="18:19">
      <c r="R33687" s="178"/>
      <c r="S33687" s="178"/>
    </row>
    <row r="33688" spans="18:19">
      <c r="R33688" s="178"/>
      <c r="S33688" s="178"/>
    </row>
    <row r="33689" spans="18:19">
      <c r="R33689" s="178"/>
      <c r="S33689" s="178"/>
    </row>
    <row r="33690" spans="18:19">
      <c r="R33690" s="178"/>
      <c r="S33690" s="178"/>
    </row>
    <row r="33691" spans="18:19">
      <c r="R33691" s="178"/>
      <c r="S33691" s="178"/>
    </row>
    <row r="33692" spans="18:19">
      <c r="R33692" s="178"/>
      <c r="S33692" s="178"/>
    </row>
    <row r="33693" spans="18:19">
      <c r="R33693" s="178"/>
      <c r="S33693" s="178"/>
    </row>
    <row r="33694" spans="18:19">
      <c r="R33694" s="178"/>
      <c r="S33694" s="178"/>
    </row>
    <row r="33695" spans="18:19">
      <c r="R33695" s="178"/>
      <c r="S33695" s="178"/>
    </row>
    <row r="33696" spans="18:19">
      <c r="R33696" s="178"/>
      <c r="S33696" s="178"/>
    </row>
    <row r="33697" spans="18:19">
      <c r="R33697" s="178"/>
      <c r="S33697" s="178"/>
    </row>
    <row r="33698" spans="18:19">
      <c r="R33698" s="178"/>
      <c r="S33698" s="178"/>
    </row>
    <row r="33699" spans="18:19">
      <c r="R33699" s="178"/>
      <c r="S33699" s="178"/>
    </row>
    <row r="33700" spans="18:19">
      <c r="R33700" s="178"/>
      <c r="S33700" s="178"/>
    </row>
    <row r="33701" spans="18:19">
      <c r="R33701" s="178"/>
      <c r="S33701" s="178"/>
    </row>
    <row r="33702" spans="18:19">
      <c r="R33702" s="178"/>
      <c r="S33702" s="178"/>
    </row>
    <row r="33703" spans="18:19">
      <c r="R33703" s="178"/>
      <c r="S33703" s="178"/>
    </row>
    <row r="33704" spans="18:19">
      <c r="R33704" s="178"/>
      <c r="S33704" s="178"/>
    </row>
    <row r="33705" spans="18:19">
      <c r="R33705" s="178"/>
      <c r="S33705" s="178"/>
    </row>
    <row r="33706" spans="18:19">
      <c r="R33706" s="178"/>
      <c r="S33706" s="178"/>
    </row>
    <row r="33707" spans="18:19">
      <c r="R33707" s="178"/>
      <c r="S33707" s="178"/>
    </row>
    <row r="33708" spans="18:19">
      <c r="R33708" s="178"/>
      <c r="S33708" s="178"/>
    </row>
    <row r="33709" spans="18:19">
      <c r="R33709" s="178"/>
      <c r="S33709" s="178"/>
    </row>
    <row r="33710" spans="18:19">
      <c r="R33710" s="178"/>
      <c r="S33710" s="178"/>
    </row>
    <row r="33711" spans="18:19">
      <c r="R33711" s="178"/>
      <c r="S33711" s="178"/>
    </row>
    <row r="33712" spans="18:19">
      <c r="R33712" s="178"/>
      <c r="S33712" s="178"/>
    </row>
    <row r="33713" spans="18:19">
      <c r="R33713" s="178"/>
      <c r="S33713" s="178"/>
    </row>
    <row r="33714" spans="18:19">
      <c r="R33714" s="178"/>
      <c r="S33714" s="178"/>
    </row>
    <row r="33715" spans="18:19">
      <c r="R33715" s="178"/>
      <c r="S33715" s="178"/>
    </row>
    <row r="33716" spans="18:19">
      <c r="R33716" s="178"/>
      <c r="S33716" s="178"/>
    </row>
    <row r="33717" spans="18:19">
      <c r="R33717" s="178"/>
      <c r="S33717" s="178"/>
    </row>
    <row r="33718" spans="18:19">
      <c r="R33718" s="178"/>
      <c r="S33718" s="178"/>
    </row>
    <row r="33719" spans="18:19">
      <c r="R33719" s="178"/>
      <c r="S33719" s="178"/>
    </row>
    <row r="33720" spans="18:19">
      <c r="R33720" s="178"/>
      <c r="S33720" s="178"/>
    </row>
    <row r="33721" spans="18:19">
      <c r="R33721" s="178"/>
      <c r="S33721" s="178"/>
    </row>
    <row r="33722" spans="18:19">
      <c r="R33722" s="178"/>
      <c r="S33722" s="178"/>
    </row>
    <row r="33723" spans="18:19">
      <c r="R33723" s="178"/>
      <c r="S33723" s="178"/>
    </row>
    <row r="33724" spans="18:19">
      <c r="R33724" s="178"/>
      <c r="S33724" s="178"/>
    </row>
    <row r="33725" spans="18:19">
      <c r="R33725" s="178"/>
      <c r="S33725" s="178"/>
    </row>
    <row r="33726" spans="18:19">
      <c r="R33726" s="178"/>
      <c r="S33726" s="178"/>
    </row>
    <row r="33727" spans="18:19">
      <c r="R33727" s="178"/>
      <c r="S33727" s="178"/>
    </row>
    <row r="33728" spans="18:19">
      <c r="R33728" s="178"/>
      <c r="S33728" s="178"/>
    </row>
    <row r="33729" spans="18:19">
      <c r="R33729" s="178"/>
      <c r="S33729" s="178"/>
    </row>
    <row r="33730" spans="18:19">
      <c r="R33730" s="178"/>
      <c r="S33730" s="178"/>
    </row>
    <row r="33731" spans="18:19">
      <c r="R33731" s="178"/>
      <c r="S33731" s="178"/>
    </row>
    <row r="33732" spans="18:19">
      <c r="R33732" s="178"/>
      <c r="S33732" s="178"/>
    </row>
    <row r="33733" spans="18:19">
      <c r="R33733" s="178"/>
      <c r="S33733" s="178"/>
    </row>
    <row r="33734" spans="18:19">
      <c r="R33734" s="178"/>
      <c r="S33734" s="178"/>
    </row>
    <row r="33735" spans="18:19">
      <c r="R33735" s="178"/>
      <c r="S33735" s="178"/>
    </row>
    <row r="33736" spans="18:19">
      <c r="R33736" s="178"/>
      <c r="S33736" s="178"/>
    </row>
    <row r="33737" spans="18:19">
      <c r="R33737" s="178"/>
      <c r="S33737" s="178"/>
    </row>
    <row r="33738" spans="18:19">
      <c r="R33738" s="178"/>
      <c r="S33738" s="178"/>
    </row>
    <row r="33739" spans="18:19">
      <c r="R33739" s="178"/>
      <c r="S33739" s="178"/>
    </row>
    <row r="33740" spans="18:19">
      <c r="R33740" s="178"/>
      <c r="S33740" s="178"/>
    </row>
    <row r="33741" spans="18:19">
      <c r="R33741" s="178"/>
      <c r="S33741" s="178"/>
    </row>
    <row r="33742" spans="18:19">
      <c r="R33742" s="178"/>
      <c r="S33742" s="178"/>
    </row>
    <row r="33743" spans="18:19">
      <c r="R33743" s="178"/>
      <c r="S33743" s="178"/>
    </row>
    <row r="33744" spans="18:19">
      <c r="R33744" s="178"/>
      <c r="S33744" s="178"/>
    </row>
    <row r="33745" spans="18:19">
      <c r="R33745" s="178"/>
      <c r="S33745" s="178"/>
    </row>
    <row r="33746" spans="18:19">
      <c r="R33746" s="178"/>
      <c r="S33746" s="178"/>
    </row>
    <row r="33747" spans="18:19">
      <c r="R33747" s="178"/>
      <c r="S33747" s="178"/>
    </row>
    <row r="33748" spans="18:19">
      <c r="R33748" s="178"/>
      <c r="S33748" s="178"/>
    </row>
    <row r="33749" spans="18:19">
      <c r="R33749" s="178"/>
      <c r="S33749" s="178"/>
    </row>
    <row r="33750" spans="18:19">
      <c r="R33750" s="178"/>
      <c r="S33750" s="178"/>
    </row>
    <row r="33751" spans="18:19">
      <c r="R33751" s="178"/>
      <c r="S33751" s="178"/>
    </row>
    <row r="33752" spans="18:19">
      <c r="R33752" s="178"/>
      <c r="S33752" s="178"/>
    </row>
    <row r="33753" spans="18:19">
      <c r="R33753" s="178"/>
      <c r="S33753" s="178"/>
    </row>
    <row r="33754" spans="18:19">
      <c r="R33754" s="178"/>
      <c r="S33754" s="178"/>
    </row>
    <row r="33755" spans="18:19">
      <c r="R33755" s="178"/>
      <c r="S33755" s="178"/>
    </row>
    <row r="33756" spans="18:19">
      <c r="R33756" s="178"/>
      <c r="S33756" s="178"/>
    </row>
    <row r="33757" spans="18:19">
      <c r="R33757" s="178"/>
      <c r="S33757" s="178"/>
    </row>
    <row r="33758" spans="18:19">
      <c r="R33758" s="178"/>
      <c r="S33758" s="178"/>
    </row>
    <row r="33759" spans="18:19">
      <c r="R33759" s="178"/>
      <c r="S33759" s="178"/>
    </row>
    <row r="33760" spans="18:19">
      <c r="R33760" s="178"/>
      <c r="S33760" s="178"/>
    </row>
    <row r="33761" spans="18:19">
      <c r="R33761" s="178"/>
      <c r="S33761" s="178"/>
    </row>
    <row r="33762" spans="18:19">
      <c r="R33762" s="178"/>
      <c r="S33762" s="178"/>
    </row>
    <row r="33763" spans="18:19">
      <c r="R33763" s="178"/>
      <c r="S33763" s="178"/>
    </row>
    <row r="33764" spans="18:19">
      <c r="R33764" s="178"/>
      <c r="S33764" s="178"/>
    </row>
    <row r="33765" spans="18:19">
      <c r="R33765" s="178"/>
      <c r="S33765" s="178"/>
    </row>
    <row r="33766" spans="18:19">
      <c r="R33766" s="178"/>
      <c r="S33766" s="178"/>
    </row>
    <row r="33767" spans="18:19">
      <c r="R33767" s="178"/>
      <c r="S33767" s="178"/>
    </row>
    <row r="33768" spans="18:19">
      <c r="R33768" s="178"/>
      <c r="S33768" s="178"/>
    </row>
    <row r="33769" spans="18:19">
      <c r="R33769" s="178"/>
      <c r="S33769" s="178"/>
    </row>
    <row r="33770" spans="18:19">
      <c r="R33770" s="178"/>
      <c r="S33770" s="178"/>
    </row>
    <row r="33771" spans="18:19">
      <c r="R33771" s="178"/>
      <c r="S33771" s="178"/>
    </row>
    <row r="33772" spans="18:19">
      <c r="R33772" s="178"/>
      <c r="S33772" s="178"/>
    </row>
    <row r="33773" spans="18:19">
      <c r="R33773" s="178"/>
      <c r="S33773" s="178"/>
    </row>
    <row r="33774" spans="18:19">
      <c r="R33774" s="178"/>
      <c r="S33774" s="178"/>
    </row>
    <row r="33775" spans="18:19">
      <c r="R33775" s="178"/>
      <c r="S33775" s="178"/>
    </row>
    <row r="33776" spans="18:19">
      <c r="R33776" s="178"/>
      <c r="S33776" s="178"/>
    </row>
    <row r="33777" spans="18:19">
      <c r="R33777" s="178"/>
      <c r="S33777" s="178"/>
    </row>
    <row r="33778" spans="18:19">
      <c r="R33778" s="178"/>
      <c r="S33778" s="178"/>
    </row>
    <row r="33779" spans="18:19">
      <c r="R33779" s="178"/>
      <c r="S33779" s="178"/>
    </row>
    <row r="33780" spans="18:19">
      <c r="R33780" s="178"/>
      <c r="S33780" s="178"/>
    </row>
    <row r="33781" spans="18:19">
      <c r="R33781" s="178"/>
      <c r="S33781" s="178"/>
    </row>
    <row r="33782" spans="18:19">
      <c r="R33782" s="178"/>
      <c r="S33782" s="178"/>
    </row>
    <row r="33783" spans="18:19">
      <c r="R33783" s="178"/>
      <c r="S33783" s="178"/>
    </row>
    <row r="33784" spans="18:19">
      <c r="R33784" s="178"/>
      <c r="S33784" s="178"/>
    </row>
    <row r="33785" spans="18:19">
      <c r="R33785" s="178"/>
      <c r="S33785" s="178"/>
    </row>
    <row r="33786" spans="18:19">
      <c r="R33786" s="178"/>
      <c r="S33786" s="178"/>
    </row>
    <row r="33787" spans="18:19">
      <c r="R33787" s="178"/>
      <c r="S33787" s="178"/>
    </row>
    <row r="33788" spans="18:19">
      <c r="R33788" s="178"/>
      <c r="S33788" s="178"/>
    </row>
    <row r="33789" spans="18:19">
      <c r="R33789" s="178"/>
      <c r="S33789" s="178"/>
    </row>
    <row r="33790" spans="18:19">
      <c r="R33790" s="178"/>
      <c r="S33790" s="178"/>
    </row>
    <row r="33791" spans="18:19">
      <c r="R33791" s="178"/>
      <c r="S33791" s="178"/>
    </row>
    <row r="33792" spans="18:19">
      <c r="R33792" s="178"/>
      <c r="S33792" s="178"/>
    </row>
    <row r="33793" spans="18:19">
      <c r="R33793" s="178"/>
      <c r="S33793" s="178"/>
    </row>
    <row r="33794" spans="18:19">
      <c r="R33794" s="178"/>
      <c r="S33794" s="178"/>
    </row>
    <row r="33795" spans="18:19">
      <c r="R33795" s="178"/>
      <c r="S33795" s="178"/>
    </row>
    <row r="33796" spans="18:19">
      <c r="R33796" s="178"/>
      <c r="S33796" s="178"/>
    </row>
    <row r="33797" spans="18:19">
      <c r="R33797" s="178"/>
      <c r="S33797" s="178"/>
    </row>
    <row r="33798" spans="18:19">
      <c r="R33798" s="178"/>
      <c r="S33798" s="178"/>
    </row>
    <row r="33799" spans="18:19">
      <c r="R33799" s="178"/>
      <c r="S33799" s="178"/>
    </row>
    <row r="33800" spans="18:19">
      <c r="R33800" s="178"/>
      <c r="S33800" s="178"/>
    </row>
    <row r="33801" spans="18:19">
      <c r="R33801" s="178"/>
      <c r="S33801" s="178"/>
    </row>
    <row r="33802" spans="18:19">
      <c r="R33802" s="178"/>
      <c r="S33802" s="178"/>
    </row>
    <row r="33803" spans="18:19">
      <c r="R33803" s="178"/>
      <c r="S33803" s="178"/>
    </row>
    <row r="33804" spans="18:19">
      <c r="R33804" s="178"/>
      <c r="S33804" s="178"/>
    </row>
    <row r="33805" spans="18:19">
      <c r="R33805" s="178"/>
      <c r="S33805" s="178"/>
    </row>
    <row r="33806" spans="18:19">
      <c r="R33806" s="178"/>
      <c r="S33806" s="178"/>
    </row>
    <row r="33807" spans="18:19">
      <c r="R33807" s="178"/>
      <c r="S33807" s="178"/>
    </row>
    <row r="33808" spans="18:19">
      <c r="R33808" s="178"/>
      <c r="S33808" s="178"/>
    </row>
    <row r="33809" spans="18:19">
      <c r="R33809" s="178"/>
      <c r="S33809" s="178"/>
    </row>
    <row r="33810" spans="18:19">
      <c r="R33810" s="178"/>
      <c r="S33810" s="178"/>
    </row>
    <row r="33811" spans="18:19">
      <c r="R33811" s="178"/>
      <c r="S33811" s="178"/>
    </row>
    <row r="33812" spans="18:19">
      <c r="R33812" s="178"/>
      <c r="S33812" s="178"/>
    </row>
    <row r="33813" spans="18:19">
      <c r="R33813" s="178"/>
      <c r="S33813" s="178"/>
    </row>
    <row r="33814" spans="18:19">
      <c r="R33814" s="178"/>
      <c r="S33814" s="178"/>
    </row>
    <row r="33815" spans="18:19">
      <c r="R33815" s="178"/>
      <c r="S33815" s="178"/>
    </row>
    <row r="33816" spans="18:19">
      <c r="R33816" s="178"/>
      <c r="S33816" s="178"/>
    </row>
    <row r="33817" spans="18:19">
      <c r="R33817" s="178"/>
      <c r="S33817" s="178"/>
    </row>
    <row r="33818" spans="18:19">
      <c r="R33818" s="178"/>
      <c r="S33818" s="178"/>
    </row>
    <row r="33819" spans="18:19">
      <c r="R33819" s="178"/>
      <c r="S33819" s="178"/>
    </row>
    <row r="33820" spans="18:19">
      <c r="R33820" s="178"/>
      <c r="S33820" s="178"/>
    </row>
    <row r="33821" spans="18:19">
      <c r="R33821" s="178"/>
      <c r="S33821" s="178"/>
    </row>
    <row r="33822" spans="18:19">
      <c r="R33822" s="178"/>
      <c r="S33822" s="178"/>
    </row>
    <row r="33823" spans="18:19">
      <c r="R33823" s="178"/>
      <c r="S33823" s="178"/>
    </row>
    <row r="33824" spans="18:19">
      <c r="R33824" s="178"/>
      <c r="S33824" s="178"/>
    </row>
    <row r="33825" spans="18:19">
      <c r="R33825" s="178"/>
      <c r="S33825" s="178"/>
    </row>
    <row r="33826" spans="18:19">
      <c r="R33826" s="178"/>
      <c r="S33826" s="178"/>
    </row>
    <row r="33827" spans="18:19">
      <c r="R33827" s="178"/>
      <c r="S33827" s="178"/>
    </row>
    <row r="33828" spans="18:19">
      <c r="R33828" s="178"/>
      <c r="S33828" s="178"/>
    </row>
    <row r="33829" spans="18:19">
      <c r="R33829" s="178"/>
      <c r="S33829" s="178"/>
    </row>
    <row r="33830" spans="18:19">
      <c r="R33830" s="178"/>
      <c r="S33830" s="178"/>
    </row>
    <row r="33831" spans="18:19">
      <c r="R33831" s="178"/>
      <c r="S33831" s="178"/>
    </row>
    <row r="33832" spans="18:19">
      <c r="R33832" s="178"/>
      <c r="S33832" s="178"/>
    </row>
    <row r="33833" spans="18:19">
      <c r="R33833" s="178"/>
      <c r="S33833" s="178"/>
    </row>
    <row r="33834" spans="18:19">
      <c r="R33834" s="178"/>
      <c r="S33834" s="178"/>
    </row>
    <row r="33835" spans="18:19">
      <c r="R33835" s="178"/>
      <c r="S33835" s="178"/>
    </row>
    <row r="33836" spans="18:19">
      <c r="R33836" s="178"/>
      <c r="S33836" s="178"/>
    </row>
    <row r="33837" spans="18:19">
      <c r="R33837" s="178"/>
      <c r="S33837" s="178"/>
    </row>
    <row r="33838" spans="18:19">
      <c r="R33838" s="178"/>
      <c r="S33838" s="178"/>
    </row>
    <row r="33839" spans="18:19">
      <c r="R33839" s="178"/>
      <c r="S33839" s="178"/>
    </row>
    <row r="33840" spans="18:19">
      <c r="R33840" s="178"/>
      <c r="S33840" s="178"/>
    </row>
    <row r="33841" spans="18:19">
      <c r="R33841" s="178"/>
      <c r="S33841" s="178"/>
    </row>
    <row r="33842" spans="18:19">
      <c r="R33842" s="178"/>
      <c r="S33842" s="178"/>
    </row>
    <row r="33843" spans="18:19">
      <c r="R33843" s="178"/>
      <c r="S33843" s="178"/>
    </row>
    <row r="33844" spans="18:19">
      <c r="R33844" s="178"/>
      <c r="S33844" s="178"/>
    </row>
    <row r="33845" spans="18:19">
      <c r="R33845" s="178"/>
      <c r="S33845" s="178"/>
    </row>
    <row r="33846" spans="18:19">
      <c r="R33846" s="178"/>
      <c r="S33846" s="178"/>
    </row>
    <row r="33847" spans="18:19">
      <c r="R33847" s="178"/>
      <c r="S33847" s="178"/>
    </row>
    <row r="33848" spans="18:19">
      <c r="R33848" s="178"/>
      <c r="S33848" s="178"/>
    </row>
    <row r="33849" spans="18:19">
      <c r="R33849" s="178"/>
      <c r="S33849" s="178"/>
    </row>
    <row r="33850" spans="18:19">
      <c r="R33850" s="178"/>
      <c r="S33850" s="178"/>
    </row>
    <row r="33851" spans="18:19">
      <c r="R33851" s="178"/>
      <c r="S33851" s="178"/>
    </row>
    <row r="33852" spans="18:19">
      <c r="R33852" s="178"/>
      <c r="S33852" s="178"/>
    </row>
    <row r="33853" spans="18:19">
      <c r="R33853" s="178"/>
      <c r="S33853" s="178"/>
    </row>
    <row r="33854" spans="18:19">
      <c r="R33854" s="178"/>
      <c r="S33854" s="178"/>
    </row>
    <row r="33855" spans="18:19">
      <c r="R33855" s="178"/>
      <c r="S33855" s="178"/>
    </row>
    <row r="33856" spans="18:19">
      <c r="R33856" s="178"/>
      <c r="S33856" s="178"/>
    </row>
    <row r="33857" spans="18:19">
      <c r="R33857" s="178"/>
      <c r="S33857" s="178"/>
    </row>
    <row r="33858" spans="18:19">
      <c r="R33858" s="178"/>
      <c r="S33858" s="178"/>
    </row>
    <row r="33859" spans="18:19">
      <c r="R33859" s="178"/>
      <c r="S33859" s="178"/>
    </row>
    <row r="33860" spans="18:19">
      <c r="R33860" s="178"/>
      <c r="S33860" s="178"/>
    </row>
    <row r="33861" spans="18:19">
      <c r="R33861" s="178"/>
      <c r="S33861" s="178"/>
    </row>
    <row r="33862" spans="18:19">
      <c r="R33862" s="178"/>
      <c r="S33862" s="178"/>
    </row>
    <row r="33863" spans="18:19">
      <c r="R33863" s="178"/>
      <c r="S33863" s="178"/>
    </row>
    <row r="33864" spans="18:19">
      <c r="R33864" s="178"/>
      <c r="S33864" s="178"/>
    </row>
    <row r="33865" spans="18:19">
      <c r="R33865" s="178"/>
      <c r="S33865" s="178"/>
    </row>
    <row r="33866" spans="18:19">
      <c r="R33866" s="178"/>
      <c r="S33866" s="178"/>
    </row>
    <row r="33867" spans="18:19">
      <c r="R33867" s="178"/>
      <c r="S33867" s="178"/>
    </row>
    <row r="33868" spans="18:19">
      <c r="R33868" s="178"/>
      <c r="S33868" s="178"/>
    </row>
    <row r="33869" spans="18:19">
      <c r="R33869" s="178"/>
      <c r="S33869" s="178"/>
    </row>
    <row r="33870" spans="18:19">
      <c r="R33870" s="178"/>
      <c r="S33870" s="178"/>
    </row>
    <row r="33871" spans="18:19">
      <c r="R33871" s="178"/>
      <c r="S33871" s="178"/>
    </row>
    <row r="33872" spans="18:19">
      <c r="R33872" s="178"/>
      <c r="S33872" s="178"/>
    </row>
    <row r="33873" spans="18:19">
      <c r="R33873" s="178"/>
      <c r="S33873" s="178"/>
    </row>
    <row r="33874" spans="18:19">
      <c r="R33874" s="178"/>
      <c r="S33874" s="178"/>
    </row>
    <row r="33875" spans="18:19">
      <c r="R33875" s="178"/>
      <c r="S33875" s="178"/>
    </row>
    <row r="33876" spans="18:19">
      <c r="R33876" s="178"/>
      <c r="S33876" s="178"/>
    </row>
    <row r="33877" spans="18:19">
      <c r="R33877" s="178"/>
      <c r="S33877" s="178"/>
    </row>
    <row r="33878" spans="18:19">
      <c r="R33878" s="178"/>
      <c r="S33878" s="178"/>
    </row>
    <row r="33879" spans="18:19">
      <c r="R33879" s="178"/>
      <c r="S33879" s="178"/>
    </row>
    <row r="33880" spans="18:19">
      <c r="R33880" s="178"/>
      <c r="S33880" s="178"/>
    </row>
    <row r="33881" spans="18:19">
      <c r="R33881" s="178"/>
      <c r="S33881" s="178"/>
    </row>
    <row r="33882" spans="18:19">
      <c r="R33882" s="178"/>
      <c r="S33882" s="178"/>
    </row>
    <row r="33883" spans="18:19">
      <c r="R33883" s="178"/>
      <c r="S33883" s="178"/>
    </row>
    <row r="33884" spans="18:19">
      <c r="R33884" s="178"/>
      <c r="S33884" s="178"/>
    </row>
    <row r="33885" spans="18:19">
      <c r="R33885" s="178"/>
      <c r="S33885" s="178"/>
    </row>
    <row r="33886" spans="18:19">
      <c r="R33886" s="178"/>
      <c r="S33886" s="178"/>
    </row>
    <row r="33887" spans="18:19">
      <c r="R33887" s="178"/>
      <c r="S33887" s="178"/>
    </row>
    <row r="33888" spans="18:19">
      <c r="R33888" s="178"/>
      <c r="S33888" s="178"/>
    </row>
    <row r="33889" spans="18:19">
      <c r="R33889" s="178"/>
      <c r="S33889" s="178"/>
    </row>
    <row r="33890" spans="18:19">
      <c r="R33890" s="178"/>
      <c r="S33890" s="178"/>
    </row>
    <row r="33891" spans="18:19">
      <c r="R33891" s="178"/>
      <c r="S33891" s="178"/>
    </row>
    <row r="33892" spans="18:19">
      <c r="R33892" s="178"/>
      <c r="S33892" s="178"/>
    </row>
    <row r="33893" spans="18:19">
      <c r="R33893" s="178"/>
      <c r="S33893" s="178"/>
    </row>
    <row r="33894" spans="18:19">
      <c r="R33894" s="178"/>
      <c r="S33894" s="178"/>
    </row>
    <row r="33895" spans="18:19">
      <c r="R33895" s="178"/>
      <c r="S33895" s="178"/>
    </row>
    <row r="33896" spans="18:19">
      <c r="R33896" s="178"/>
      <c r="S33896" s="178"/>
    </row>
    <row r="33897" spans="18:19">
      <c r="R33897" s="178"/>
      <c r="S33897" s="178"/>
    </row>
    <row r="33898" spans="18:19">
      <c r="R33898" s="178"/>
      <c r="S33898" s="178"/>
    </row>
    <row r="33899" spans="18:19">
      <c r="R33899" s="178"/>
      <c r="S33899" s="178"/>
    </row>
    <row r="33900" spans="18:19">
      <c r="R33900" s="178"/>
      <c r="S33900" s="178"/>
    </row>
    <row r="33901" spans="18:19">
      <c r="R33901" s="178"/>
      <c r="S33901" s="178"/>
    </row>
    <row r="33902" spans="18:19">
      <c r="R33902" s="178"/>
      <c r="S33902" s="178"/>
    </row>
    <row r="33903" spans="18:19">
      <c r="R33903" s="178"/>
      <c r="S33903" s="178"/>
    </row>
    <row r="33904" spans="18:19">
      <c r="R33904" s="178"/>
      <c r="S33904" s="178"/>
    </row>
    <row r="33905" spans="18:19">
      <c r="R33905" s="178"/>
      <c r="S33905" s="178"/>
    </row>
    <row r="33906" spans="18:19">
      <c r="R33906" s="178"/>
      <c r="S33906" s="178"/>
    </row>
    <row r="33907" spans="18:19">
      <c r="R33907" s="178"/>
      <c r="S33907" s="178"/>
    </row>
    <row r="33908" spans="18:19">
      <c r="R33908" s="178"/>
      <c r="S33908" s="178"/>
    </row>
    <row r="33909" spans="18:19">
      <c r="R33909" s="178"/>
      <c r="S33909" s="178"/>
    </row>
    <row r="33910" spans="18:19">
      <c r="R33910" s="178"/>
      <c r="S33910" s="178"/>
    </row>
    <row r="33911" spans="18:19">
      <c r="R33911" s="178"/>
      <c r="S33911" s="178"/>
    </row>
    <row r="33912" spans="18:19">
      <c r="R33912" s="178"/>
      <c r="S33912" s="178"/>
    </row>
    <row r="33913" spans="18:19">
      <c r="R33913" s="178"/>
      <c r="S33913" s="178"/>
    </row>
    <row r="33914" spans="18:19">
      <c r="R33914" s="178"/>
      <c r="S33914" s="178"/>
    </row>
    <row r="33915" spans="18:19">
      <c r="R33915" s="178"/>
      <c r="S33915" s="178"/>
    </row>
    <row r="33916" spans="18:19">
      <c r="R33916" s="178"/>
      <c r="S33916" s="178"/>
    </row>
    <row r="33917" spans="18:19">
      <c r="R33917" s="178"/>
      <c r="S33917" s="178"/>
    </row>
    <row r="33918" spans="18:19">
      <c r="R33918" s="178"/>
      <c r="S33918" s="178"/>
    </row>
    <row r="33919" spans="18:19">
      <c r="R33919" s="178"/>
      <c r="S33919" s="178"/>
    </row>
    <row r="33920" spans="18:19">
      <c r="R33920" s="178"/>
      <c r="S33920" s="178"/>
    </row>
    <row r="33921" spans="18:19">
      <c r="R33921" s="178"/>
      <c r="S33921" s="178"/>
    </row>
    <row r="33922" spans="18:19">
      <c r="R33922" s="178"/>
      <c r="S33922" s="178"/>
    </row>
    <row r="33923" spans="18:19">
      <c r="R33923" s="178"/>
      <c r="S33923" s="178"/>
    </row>
    <row r="33924" spans="18:19">
      <c r="R33924" s="178"/>
      <c r="S33924" s="178"/>
    </row>
    <row r="33925" spans="18:19">
      <c r="R33925" s="178"/>
      <c r="S33925" s="178"/>
    </row>
    <row r="33926" spans="18:19">
      <c r="R33926" s="178"/>
      <c r="S33926" s="178"/>
    </row>
    <row r="33927" spans="18:19">
      <c r="R33927" s="178"/>
      <c r="S33927" s="178"/>
    </row>
    <row r="33928" spans="18:19">
      <c r="R33928" s="178"/>
      <c r="S33928" s="178"/>
    </row>
    <row r="33929" spans="18:19">
      <c r="R33929" s="178"/>
      <c r="S33929" s="178"/>
    </row>
    <row r="33930" spans="18:19">
      <c r="R33930" s="178"/>
      <c r="S33930" s="178"/>
    </row>
    <row r="33931" spans="18:19">
      <c r="R33931" s="178"/>
      <c r="S33931" s="178"/>
    </row>
    <row r="33932" spans="18:19">
      <c r="R33932" s="178"/>
      <c r="S33932" s="178"/>
    </row>
    <row r="33933" spans="18:19">
      <c r="R33933" s="178"/>
      <c r="S33933" s="178"/>
    </row>
    <row r="33934" spans="18:19">
      <c r="R33934" s="178"/>
      <c r="S33934" s="178"/>
    </row>
    <row r="33935" spans="18:19">
      <c r="R33935" s="178"/>
      <c r="S33935" s="178"/>
    </row>
    <row r="33936" spans="18:19">
      <c r="R33936" s="178"/>
      <c r="S33936" s="178"/>
    </row>
    <row r="33937" spans="18:19">
      <c r="R33937" s="178"/>
      <c r="S33937" s="178"/>
    </row>
    <row r="33938" spans="18:19">
      <c r="R33938" s="178"/>
      <c r="S33938" s="178"/>
    </row>
    <row r="33939" spans="18:19">
      <c r="R33939" s="178"/>
      <c r="S33939" s="178"/>
    </row>
    <row r="33940" spans="18:19">
      <c r="R33940" s="178"/>
      <c r="S33940" s="178"/>
    </row>
    <row r="33941" spans="18:19">
      <c r="R33941" s="178"/>
      <c r="S33941" s="178"/>
    </row>
    <row r="33942" spans="18:19">
      <c r="R33942" s="178"/>
      <c r="S33942" s="178"/>
    </row>
    <row r="33943" spans="18:19">
      <c r="R33943" s="178"/>
      <c r="S33943" s="178"/>
    </row>
    <row r="33944" spans="18:19">
      <c r="R33944" s="178"/>
      <c r="S33944" s="178"/>
    </row>
    <row r="33945" spans="18:19">
      <c r="R33945" s="178"/>
      <c r="S33945" s="178"/>
    </row>
    <row r="33946" spans="18:19">
      <c r="R33946" s="178"/>
      <c r="S33946" s="178"/>
    </row>
    <row r="33947" spans="18:19">
      <c r="R33947" s="178"/>
      <c r="S33947" s="178"/>
    </row>
    <row r="33948" spans="18:19">
      <c r="R33948" s="178"/>
      <c r="S33948" s="178"/>
    </row>
    <row r="33949" spans="18:19">
      <c r="R33949" s="178"/>
      <c r="S33949" s="178"/>
    </row>
    <row r="33950" spans="18:19">
      <c r="R33950" s="178"/>
      <c r="S33950" s="178"/>
    </row>
    <row r="33951" spans="18:19">
      <c r="R33951" s="178"/>
      <c r="S33951" s="178"/>
    </row>
    <row r="33952" spans="18:19">
      <c r="R33952" s="178"/>
      <c r="S33952" s="178"/>
    </row>
    <row r="33953" spans="18:19">
      <c r="R33953" s="178"/>
      <c r="S33953" s="178"/>
    </row>
    <row r="33954" spans="18:19">
      <c r="R33954" s="178"/>
      <c r="S33954" s="178"/>
    </row>
    <row r="33955" spans="18:19">
      <c r="R33955" s="178"/>
      <c r="S33955" s="178"/>
    </row>
    <row r="33956" spans="18:19">
      <c r="R33956" s="178"/>
      <c r="S33956" s="178"/>
    </row>
    <row r="33957" spans="18:19">
      <c r="R33957" s="178"/>
      <c r="S33957" s="178"/>
    </row>
    <row r="33958" spans="18:19">
      <c r="R33958" s="178"/>
      <c r="S33958" s="178"/>
    </row>
    <row r="33959" spans="18:19">
      <c r="R33959" s="178"/>
      <c r="S33959" s="178"/>
    </row>
    <row r="33960" spans="18:19">
      <c r="R33960" s="178"/>
      <c r="S33960" s="178"/>
    </row>
    <row r="33961" spans="18:19">
      <c r="R33961" s="178"/>
      <c r="S33961" s="178"/>
    </row>
    <row r="33962" spans="18:19">
      <c r="R33962" s="178"/>
      <c r="S33962" s="178"/>
    </row>
    <row r="33963" spans="18:19">
      <c r="R33963" s="178"/>
      <c r="S33963" s="178"/>
    </row>
    <row r="33964" spans="18:19">
      <c r="R33964" s="178"/>
      <c r="S33964" s="178"/>
    </row>
    <row r="33965" spans="18:19">
      <c r="R33965" s="178"/>
      <c r="S33965" s="178"/>
    </row>
    <row r="33966" spans="18:19">
      <c r="R33966" s="178"/>
      <c r="S33966" s="178"/>
    </row>
    <row r="33967" spans="18:19">
      <c r="R33967" s="178"/>
      <c r="S33967" s="178"/>
    </row>
    <row r="33968" spans="18:19">
      <c r="R33968" s="178"/>
      <c r="S33968" s="178"/>
    </row>
    <row r="33969" spans="18:19">
      <c r="R33969" s="178"/>
      <c r="S33969" s="178"/>
    </row>
    <row r="33970" spans="18:19">
      <c r="R33970" s="178"/>
      <c r="S33970" s="178"/>
    </row>
    <row r="33971" spans="18:19">
      <c r="R33971" s="178"/>
      <c r="S33971" s="178"/>
    </row>
    <row r="33972" spans="18:19">
      <c r="R33972" s="178"/>
      <c r="S33972" s="178"/>
    </row>
    <row r="33973" spans="18:19">
      <c r="R33973" s="178"/>
      <c r="S33973" s="178"/>
    </row>
    <row r="33974" spans="18:19">
      <c r="R33974" s="178"/>
      <c r="S33974" s="178"/>
    </row>
    <row r="33975" spans="18:19">
      <c r="R33975" s="178"/>
      <c r="S33975" s="178"/>
    </row>
    <row r="33976" spans="18:19">
      <c r="R33976" s="178"/>
      <c r="S33976" s="178"/>
    </row>
    <row r="33977" spans="18:19">
      <c r="R33977" s="178"/>
      <c r="S33977" s="178"/>
    </row>
    <row r="33978" spans="18:19">
      <c r="R33978" s="178"/>
      <c r="S33978" s="178"/>
    </row>
    <row r="33979" spans="18:19">
      <c r="R33979" s="178"/>
      <c r="S33979" s="178"/>
    </row>
    <row r="33980" spans="18:19">
      <c r="R33980" s="178"/>
      <c r="S33980" s="178"/>
    </row>
    <row r="33981" spans="18:19">
      <c r="R33981" s="178"/>
      <c r="S33981" s="178"/>
    </row>
    <row r="33982" spans="18:19">
      <c r="R33982" s="178"/>
      <c r="S33982" s="178"/>
    </row>
    <row r="33983" spans="18:19">
      <c r="R33983" s="178"/>
      <c r="S33983" s="178"/>
    </row>
    <row r="33984" spans="18:19">
      <c r="R33984" s="178"/>
      <c r="S33984" s="178"/>
    </row>
    <row r="33985" spans="18:19">
      <c r="R33985" s="178"/>
      <c r="S33985" s="178"/>
    </row>
    <row r="33986" spans="18:19">
      <c r="R33986" s="178"/>
      <c r="S33986" s="178"/>
    </row>
    <row r="33987" spans="18:19">
      <c r="R33987" s="178"/>
      <c r="S33987" s="178"/>
    </row>
    <row r="33988" spans="18:19">
      <c r="R33988" s="178"/>
      <c r="S33988" s="178"/>
    </row>
    <row r="33989" spans="18:19">
      <c r="R33989" s="178"/>
      <c r="S33989" s="178"/>
    </row>
    <row r="33990" spans="18:19">
      <c r="R33990" s="178"/>
      <c r="S33990" s="178"/>
    </row>
    <row r="33991" spans="18:19">
      <c r="R33991" s="178"/>
      <c r="S33991" s="178"/>
    </row>
    <row r="33992" spans="18:19">
      <c r="R33992" s="178"/>
      <c r="S33992" s="178"/>
    </row>
    <row r="33993" spans="18:19">
      <c r="R33993" s="178"/>
      <c r="S33993" s="178"/>
    </row>
    <row r="33994" spans="18:19">
      <c r="R33994" s="178"/>
      <c r="S33994" s="178"/>
    </row>
    <row r="33995" spans="18:19">
      <c r="R33995" s="178"/>
      <c r="S33995" s="178"/>
    </row>
    <row r="33996" spans="18:19">
      <c r="R33996" s="178"/>
      <c r="S33996" s="178"/>
    </row>
    <row r="33997" spans="18:19">
      <c r="R33997" s="178"/>
      <c r="S33997" s="178"/>
    </row>
    <row r="33998" spans="18:19">
      <c r="R33998" s="178"/>
      <c r="S33998" s="178"/>
    </row>
    <row r="33999" spans="18:19">
      <c r="R33999" s="178"/>
      <c r="S33999" s="178"/>
    </row>
    <row r="34000" spans="18:19">
      <c r="R34000" s="178"/>
      <c r="S34000" s="178"/>
    </row>
    <row r="34001" spans="18:19">
      <c r="R34001" s="178"/>
      <c r="S34001" s="178"/>
    </row>
    <row r="34002" spans="18:19">
      <c r="R34002" s="178"/>
      <c r="S34002" s="178"/>
    </row>
    <row r="34003" spans="18:19">
      <c r="R34003" s="178"/>
      <c r="S34003" s="178"/>
    </row>
    <row r="34004" spans="18:19">
      <c r="R34004" s="178"/>
      <c r="S34004" s="178"/>
    </row>
    <row r="34005" spans="18:19">
      <c r="R34005" s="178"/>
      <c r="S34005" s="178"/>
    </row>
    <row r="34006" spans="18:19">
      <c r="R34006" s="178"/>
      <c r="S34006" s="178"/>
    </row>
    <row r="34007" spans="18:19">
      <c r="R34007" s="178"/>
      <c r="S34007" s="178"/>
    </row>
    <row r="34008" spans="18:19">
      <c r="R34008" s="178"/>
      <c r="S34008" s="178"/>
    </row>
    <row r="34009" spans="18:19">
      <c r="R34009" s="178"/>
      <c r="S34009" s="178"/>
    </row>
    <row r="34010" spans="18:19">
      <c r="R34010" s="178"/>
      <c r="S34010" s="178"/>
    </row>
    <row r="34011" spans="18:19">
      <c r="R34011" s="178"/>
      <c r="S34011" s="178"/>
    </row>
    <row r="34012" spans="18:19">
      <c r="R34012" s="178"/>
      <c r="S34012" s="178"/>
    </row>
    <row r="34013" spans="18:19">
      <c r="R34013" s="178"/>
      <c r="S34013" s="178"/>
    </row>
    <row r="34014" spans="18:19">
      <c r="R34014" s="178"/>
      <c r="S34014" s="178"/>
    </row>
    <row r="34015" spans="18:19">
      <c r="R34015" s="178"/>
      <c r="S34015" s="178"/>
    </row>
    <row r="34016" spans="18:19">
      <c r="R34016" s="178"/>
      <c r="S34016" s="178"/>
    </row>
    <row r="34017" spans="18:19">
      <c r="R34017" s="178"/>
      <c r="S34017" s="178"/>
    </row>
    <row r="34018" spans="18:19">
      <c r="R34018" s="178"/>
      <c r="S34018" s="178"/>
    </row>
    <row r="34019" spans="18:19">
      <c r="R34019" s="178"/>
      <c r="S34019" s="178"/>
    </row>
    <row r="34020" spans="18:19">
      <c r="R34020" s="178"/>
      <c r="S34020" s="178"/>
    </row>
    <row r="34021" spans="18:19">
      <c r="R34021" s="178"/>
      <c r="S34021" s="178"/>
    </row>
    <row r="34022" spans="18:19">
      <c r="R34022" s="178"/>
      <c r="S34022" s="178"/>
    </row>
    <row r="34023" spans="18:19">
      <c r="R34023" s="178"/>
      <c r="S34023" s="178"/>
    </row>
    <row r="34024" spans="18:19">
      <c r="R34024" s="178"/>
      <c r="S34024" s="178"/>
    </row>
    <row r="34025" spans="18:19">
      <c r="R34025" s="178"/>
      <c r="S34025" s="178"/>
    </row>
    <row r="34026" spans="18:19">
      <c r="R34026" s="178"/>
      <c r="S34026" s="178"/>
    </row>
    <row r="34027" spans="18:19">
      <c r="R34027" s="178"/>
      <c r="S34027" s="178"/>
    </row>
    <row r="34028" spans="18:19">
      <c r="R34028" s="178"/>
      <c r="S34028" s="178"/>
    </row>
    <row r="34029" spans="18:19">
      <c r="R34029" s="178"/>
      <c r="S34029" s="178"/>
    </row>
    <row r="34030" spans="18:19">
      <c r="R34030" s="178"/>
      <c r="S34030" s="178"/>
    </row>
    <row r="34031" spans="18:19">
      <c r="R34031" s="178"/>
      <c r="S34031" s="178"/>
    </row>
    <row r="34032" spans="18:19">
      <c r="R34032" s="178"/>
      <c r="S34032" s="178"/>
    </row>
    <row r="34033" spans="18:19">
      <c r="R34033" s="178"/>
      <c r="S34033" s="178"/>
    </row>
    <row r="34034" spans="18:19">
      <c r="R34034" s="178"/>
      <c r="S34034" s="178"/>
    </row>
    <row r="34035" spans="18:19">
      <c r="R34035" s="178"/>
      <c r="S34035" s="178"/>
    </row>
    <row r="34036" spans="18:19">
      <c r="R34036" s="178"/>
      <c r="S34036" s="178"/>
    </row>
    <row r="34037" spans="18:19">
      <c r="R34037" s="178"/>
      <c r="S34037" s="178"/>
    </row>
    <row r="34038" spans="18:19">
      <c r="R34038" s="178"/>
      <c r="S34038" s="178"/>
    </row>
    <row r="34039" spans="18:19">
      <c r="R34039" s="178"/>
      <c r="S34039" s="178"/>
    </row>
    <row r="34040" spans="18:19">
      <c r="R34040" s="178"/>
      <c r="S34040" s="178"/>
    </row>
    <row r="34041" spans="18:19">
      <c r="R34041" s="178"/>
      <c r="S34041" s="178"/>
    </row>
    <row r="34042" spans="18:19">
      <c r="R34042" s="178"/>
      <c r="S34042" s="178"/>
    </row>
    <row r="34043" spans="18:19">
      <c r="R34043" s="178"/>
      <c r="S34043" s="178"/>
    </row>
    <row r="34044" spans="18:19">
      <c r="R34044" s="178"/>
      <c r="S34044" s="178"/>
    </row>
    <row r="34045" spans="18:19">
      <c r="R34045" s="178"/>
      <c r="S34045" s="178"/>
    </row>
    <row r="34046" spans="18:19">
      <c r="R34046" s="178"/>
      <c r="S34046" s="178"/>
    </row>
    <row r="34047" spans="18:19">
      <c r="R34047" s="178"/>
      <c r="S34047" s="178"/>
    </row>
    <row r="34048" spans="18:19">
      <c r="R34048" s="178"/>
      <c r="S34048" s="178"/>
    </row>
    <row r="34049" spans="18:19">
      <c r="R34049" s="178"/>
      <c r="S34049" s="178"/>
    </row>
    <row r="34050" spans="18:19">
      <c r="R34050" s="178"/>
      <c r="S34050" s="178"/>
    </row>
    <row r="34051" spans="18:19">
      <c r="R34051" s="178"/>
      <c r="S34051" s="178"/>
    </row>
    <row r="34052" spans="18:19">
      <c r="R34052" s="178"/>
      <c r="S34052" s="178"/>
    </row>
    <row r="34053" spans="18:19">
      <c r="R34053" s="178"/>
      <c r="S34053" s="178"/>
    </row>
    <row r="34054" spans="18:19">
      <c r="R34054" s="178"/>
      <c r="S34054" s="178"/>
    </row>
    <row r="34055" spans="18:19">
      <c r="R34055" s="178"/>
      <c r="S34055" s="178"/>
    </row>
    <row r="34056" spans="18:19">
      <c r="R34056" s="178"/>
      <c r="S34056" s="178"/>
    </row>
    <row r="34057" spans="18:19">
      <c r="R34057" s="178"/>
      <c r="S34057" s="178"/>
    </row>
    <row r="34058" spans="18:19">
      <c r="R34058" s="178"/>
      <c r="S34058" s="178"/>
    </row>
    <row r="34059" spans="18:19">
      <c r="R34059" s="178"/>
      <c r="S34059" s="178"/>
    </row>
    <row r="34060" spans="18:19">
      <c r="R34060" s="178"/>
      <c r="S34060" s="178"/>
    </row>
    <row r="34061" spans="18:19">
      <c r="R34061" s="178"/>
      <c r="S34061" s="178"/>
    </row>
    <row r="34062" spans="18:19">
      <c r="R34062" s="178"/>
      <c r="S34062" s="178"/>
    </row>
    <row r="34063" spans="18:19">
      <c r="R34063" s="178"/>
      <c r="S34063" s="178"/>
    </row>
    <row r="34064" spans="18:19">
      <c r="R34064" s="178"/>
      <c r="S34064" s="178"/>
    </row>
    <row r="34065" spans="18:19">
      <c r="R34065" s="178"/>
      <c r="S34065" s="178"/>
    </row>
    <row r="34066" spans="18:19">
      <c r="R34066" s="178"/>
      <c r="S34066" s="178"/>
    </row>
    <row r="34067" spans="18:19">
      <c r="R34067" s="178"/>
      <c r="S34067" s="178"/>
    </row>
    <row r="34068" spans="18:19">
      <c r="R34068" s="178"/>
      <c r="S34068" s="178"/>
    </row>
    <row r="34069" spans="18:19">
      <c r="R34069" s="178"/>
      <c r="S34069" s="178"/>
    </row>
    <row r="34070" spans="18:19">
      <c r="R34070" s="178"/>
      <c r="S34070" s="178"/>
    </row>
    <row r="34071" spans="18:19">
      <c r="R34071" s="178"/>
      <c r="S34071" s="178"/>
    </row>
    <row r="34072" spans="18:19">
      <c r="R34072" s="178"/>
      <c r="S34072" s="178"/>
    </row>
    <row r="34073" spans="18:19">
      <c r="R34073" s="178"/>
      <c r="S34073" s="178"/>
    </row>
    <row r="34074" spans="18:19">
      <c r="R34074" s="178"/>
      <c r="S34074" s="178"/>
    </row>
    <row r="34075" spans="18:19">
      <c r="R34075" s="178"/>
      <c r="S34075" s="178"/>
    </row>
    <row r="34076" spans="18:19">
      <c r="R34076" s="178"/>
      <c r="S34076" s="178"/>
    </row>
    <row r="34077" spans="18:19">
      <c r="R34077" s="178"/>
      <c r="S34077" s="178"/>
    </row>
    <row r="34078" spans="18:19">
      <c r="R34078" s="178"/>
      <c r="S34078" s="178"/>
    </row>
    <row r="34079" spans="18:19">
      <c r="R34079" s="178"/>
      <c r="S34079" s="178"/>
    </row>
    <row r="34080" spans="18:19">
      <c r="R34080" s="178"/>
      <c r="S34080" s="178"/>
    </row>
    <row r="34081" spans="18:19">
      <c r="R34081" s="178"/>
      <c r="S34081" s="178"/>
    </row>
    <row r="34082" spans="18:19">
      <c r="R34082" s="178"/>
      <c r="S34082" s="178"/>
    </row>
    <row r="34083" spans="18:19">
      <c r="R34083" s="178"/>
      <c r="S34083" s="178"/>
    </row>
    <row r="34084" spans="18:19">
      <c r="R34084" s="178"/>
      <c r="S34084" s="178"/>
    </row>
    <row r="34085" spans="18:19">
      <c r="R34085" s="178"/>
      <c r="S34085" s="178"/>
    </row>
    <row r="34086" spans="18:19">
      <c r="R34086" s="178"/>
      <c r="S34086" s="178"/>
    </row>
    <row r="34087" spans="18:19">
      <c r="R34087" s="178"/>
      <c r="S34087" s="178"/>
    </row>
    <row r="34088" spans="18:19">
      <c r="R34088" s="178"/>
      <c r="S34088" s="178"/>
    </row>
    <row r="34089" spans="18:19">
      <c r="R34089" s="178"/>
      <c r="S34089" s="178"/>
    </row>
    <row r="34090" spans="18:19">
      <c r="R34090" s="178"/>
      <c r="S34090" s="178"/>
    </row>
    <row r="34091" spans="18:19">
      <c r="R34091" s="178"/>
      <c r="S34091" s="178"/>
    </row>
    <row r="34092" spans="18:19">
      <c r="R34092" s="178"/>
      <c r="S34092" s="178"/>
    </row>
    <row r="34093" spans="18:19">
      <c r="R34093" s="178"/>
      <c r="S34093" s="178"/>
    </row>
    <row r="34094" spans="18:19">
      <c r="R34094" s="178"/>
      <c r="S34094" s="178"/>
    </row>
    <row r="34095" spans="18:19">
      <c r="R34095" s="178"/>
      <c r="S34095" s="178"/>
    </row>
    <row r="34096" spans="18:19">
      <c r="R34096" s="178"/>
      <c r="S34096" s="178"/>
    </row>
    <row r="34097" spans="18:19">
      <c r="R34097" s="178"/>
      <c r="S34097" s="178"/>
    </row>
    <row r="34098" spans="18:19">
      <c r="R34098" s="178"/>
      <c r="S34098" s="178"/>
    </row>
    <row r="34099" spans="18:19">
      <c r="R34099" s="178"/>
      <c r="S34099" s="178"/>
    </row>
    <row r="34100" spans="18:19">
      <c r="R34100" s="178"/>
      <c r="S34100" s="178"/>
    </row>
    <row r="34101" spans="18:19">
      <c r="R34101" s="178"/>
      <c r="S34101" s="178"/>
    </row>
    <row r="34102" spans="18:19">
      <c r="R34102" s="178"/>
      <c r="S34102" s="178"/>
    </row>
    <row r="34103" spans="18:19">
      <c r="R34103" s="178"/>
      <c r="S34103" s="178"/>
    </row>
    <row r="34104" spans="18:19">
      <c r="R34104" s="178"/>
      <c r="S34104" s="178"/>
    </row>
    <row r="34105" spans="18:19">
      <c r="R34105" s="178"/>
      <c r="S34105" s="178"/>
    </row>
    <row r="34106" spans="18:19">
      <c r="R34106" s="178"/>
      <c r="S34106" s="178"/>
    </row>
    <row r="34107" spans="18:19">
      <c r="R34107" s="178"/>
      <c r="S34107" s="178"/>
    </row>
    <row r="34108" spans="18:19">
      <c r="R34108" s="178"/>
      <c r="S34108" s="178"/>
    </row>
    <row r="34109" spans="18:19">
      <c r="R34109" s="178"/>
      <c r="S34109" s="178"/>
    </row>
    <row r="34110" spans="18:19">
      <c r="R34110" s="178"/>
      <c r="S34110" s="178"/>
    </row>
    <row r="34111" spans="18:19">
      <c r="R34111" s="178"/>
      <c r="S34111" s="178"/>
    </row>
    <row r="34112" spans="18:19">
      <c r="R34112" s="178"/>
      <c r="S34112" s="178"/>
    </row>
    <row r="34113" spans="18:19">
      <c r="R34113" s="178"/>
      <c r="S34113" s="178"/>
    </row>
    <row r="34114" spans="18:19">
      <c r="R34114" s="178"/>
      <c r="S34114" s="178"/>
    </row>
    <row r="34115" spans="18:19">
      <c r="R34115" s="178"/>
      <c r="S34115" s="178"/>
    </row>
    <row r="34116" spans="18:19">
      <c r="R34116" s="178"/>
      <c r="S34116" s="178"/>
    </row>
    <row r="34117" spans="18:19">
      <c r="R34117" s="178"/>
      <c r="S34117" s="178"/>
    </row>
    <row r="34118" spans="18:19">
      <c r="R34118" s="178"/>
      <c r="S34118" s="178"/>
    </row>
    <row r="34119" spans="18:19">
      <c r="R34119" s="178"/>
      <c r="S34119" s="178"/>
    </row>
    <row r="34120" spans="18:19">
      <c r="R34120" s="178"/>
      <c r="S34120" s="178"/>
    </row>
    <row r="34121" spans="18:19">
      <c r="R34121" s="178"/>
      <c r="S34121" s="178"/>
    </row>
    <row r="34122" spans="18:19">
      <c r="R34122" s="178"/>
      <c r="S34122" s="178"/>
    </row>
    <row r="34123" spans="18:19">
      <c r="R34123" s="178"/>
      <c r="S34123" s="178"/>
    </row>
    <row r="34124" spans="18:19">
      <c r="R34124" s="178"/>
      <c r="S34124" s="178"/>
    </row>
    <row r="34125" spans="18:19">
      <c r="R34125" s="178"/>
      <c r="S34125" s="178"/>
    </row>
    <row r="34126" spans="18:19">
      <c r="R34126" s="178"/>
      <c r="S34126" s="178"/>
    </row>
    <row r="34127" spans="18:19">
      <c r="R34127" s="178"/>
      <c r="S34127" s="178"/>
    </row>
    <row r="34128" spans="18:19">
      <c r="R34128" s="178"/>
      <c r="S34128" s="178"/>
    </row>
    <row r="34129" spans="18:19">
      <c r="R34129" s="178"/>
      <c r="S34129" s="178"/>
    </row>
    <row r="34130" spans="18:19">
      <c r="R34130" s="178"/>
      <c r="S34130" s="178"/>
    </row>
    <row r="34131" spans="18:19">
      <c r="R34131" s="178"/>
      <c r="S34131" s="178"/>
    </row>
    <row r="34132" spans="18:19">
      <c r="R34132" s="178"/>
      <c r="S34132" s="178"/>
    </row>
    <row r="34133" spans="18:19">
      <c r="R34133" s="178"/>
      <c r="S34133" s="178"/>
    </row>
    <row r="34134" spans="18:19">
      <c r="R34134" s="178"/>
      <c r="S34134" s="178"/>
    </row>
    <row r="34135" spans="18:19">
      <c r="R34135" s="178"/>
      <c r="S34135" s="178"/>
    </row>
    <row r="34136" spans="18:19">
      <c r="R34136" s="178"/>
      <c r="S34136" s="178"/>
    </row>
    <row r="34137" spans="18:19">
      <c r="R34137" s="178"/>
      <c r="S34137" s="178"/>
    </row>
    <row r="34138" spans="18:19">
      <c r="R34138" s="178"/>
      <c r="S34138" s="178"/>
    </row>
    <row r="34139" spans="18:19">
      <c r="R34139" s="178"/>
      <c r="S34139" s="178"/>
    </row>
    <row r="34140" spans="18:19">
      <c r="R34140" s="178"/>
      <c r="S34140" s="178"/>
    </row>
    <row r="34141" spans="18:19">
      <c r="R34141" s="178"/>
      <c r="S34141" s="178"/>
    </row>
    <row r="34142" spans="18:19">
      <c r="R34142" s="178"/>
      <c r="S34142" s="178"/>
    </row>
    <row r="34143" spans="18:19">
      <c r="R34143" s="178"/>
      <c r="S34143" s="178"/>
    </row>
    <row r="34144" spans="18:19">
      <c r="R34144" s="178"/>
      <c r="S34144" s="178"/>
    </row>
    <row r="34145" spans="18:19">
      <c r="R34145" s="178"/>
      <c r="S34145" s="178"/>
    </row>
    <row r="34146" spans="18:19">
      <c r="R34146" s="178"/>
      <c r="S34146" s="178"/>
    </row>
    <row r="34147" spans="18:19">
      <c r="R34147" s="178"/>
      <c r="S34147" s="178"/>
    </row>
    <row r="34148" spans="18:19">
      <c r="R34148" s="178"/>
      <c r="S34148" s="178"/>
    </row>
    <row r="34149" spans="18:19">
      <c r="R34149" s="178"/>
      <c r="S34149" s="178"/>
    </row>
    <row r="34150" spans="18:19">
      <c r="R34150" s="178"/>
      <c r="S34150" s="178"/>
    </row>
    <row r="34151" spans="18:19">
      <c r="R34151" s="178"/>
      <c r="S34151" s="178"/>
    </row>
    <row r="34152" spans="18:19">
      <c r="R34152" s="178"/>
      <c r="S34152" s="178"/>
    </row>
    <row r="34153" spans="18:19">
      <c r="R34153" s="178"/>
      <c r="S34153" s="178"/>
    </row>
    <row r="34154" spans="18:19">
      <c r="R34154" s="178"/>
      <c r="S34154" s="178"/>
    </row>
    <row r="34155" spans="18:19">
      <c r="R34155" s="178"/>
      <c r="S34155" s="178"/>
    </row>
    <row r="34156" spans="18:19">
      <c r="R34156" s="178"/>
      <c r="S34156" s="178"/>
    </row>
    <row r="34157" spans="18:19">
      <c r="R34157" s="178"/>
      <c r="S34157" s="178"/>
    </row>
    <row r="34158" spans="18:19">
      <c r="R34158" s="178"/>
      <c r="S34158" s="178"/>
    </row>
    <row r="34159" spans="18:19">
      <c r="R34159" s="178"/>
      <c r="S34159" s="178"/>
    </row>
    <row r="34160" spans="18:19">
      <c r="R34160" s="178"/>
      <c r="S34160" s="178"/>
    </row>
    <row r="34161" spans="18:19">
      <c r="R34161" s="178"/>
      <c r="S34161" s="178"/>
    </row>
    <row r="34162" spans="18:19">
      <c r="R34162" s="178"/>
      <c r="S34162" s="178"/>
    </row>
    <row r="34163" spans="18:19">
      <c r="R34163" s="178"/>
      <c r="S34163" s="178"/>
    </row>
    <row r="34164" spans="18:19">
      <c r="R34164" s="178"/>
      <c r="S34164" s="178"/>
    </row>
    <row r="34165" spans="18:19">
      <c r="R34165" s="178"/>
      <c r="S34165" s="178"/>
    </row>
    <row r="34166" spans="18:19">
      <c r="R34166" s="178"/>
      <c r="S34166" s="178"/>
    </row>
    <row r="34167" spans="18:19">
      <c r="R34167" s="178"/>
      <c r="S34167" s="178"/>
    </row>
    <row r="34168" spans="18:19">
      <c r="R34168" s="178"/>
      <c r="S34168" s="178"/>
    </row>
    <row r="34169" spans="18:19">
      <c r="R34169" s="178"/>
      <c r="S34169" s="178"/>
    </row>
    <row r="34170" spans="18:19">
      <c r="R34170" s="178"/>
      <c r="S34170" s="178"/>
    </row>
    <row r="34171" spans="18:19">
      <c r="R34171" s="178"/>
      <c r="S34171" s="178"/>
    </row>
    <row r="34172" spans="18:19">
      <c r="R34172" s="178"/>
      <c r="S34172" s="178"/>
    </row>
    <row r="34173" spans="18:19">
      <c r="R34173" s="178"/>
      <c r="S34173" s="178"/>
    </row>
    <row r="34174" spans="18:19">
      <c r="R34174" s="178"/>
      <c r="S34174" s="178"/>
    </row>
    <row r="34175" spans="18:19">
      <c r="R34175" s="178"/>
      <c r="S34175" s="178"/>
    </row>
    <row r="34176" spans="18:19">
      <c r="R34176" s="178"/>
      <c r="S34176" s="178"/>
    </row>
    <row r="34177" spans="18:19">
      <c r="R34177" s="178"/>
      <c r="S34177" s="178"/>
    </row>
    <row r="34178" spans="18:19">
      <c r="R34178" s="178"/>
      <c r="S34178" s="178"/>
    </row>
    <row r="34179" spans="18:19">
      <c r="R34179" s="178"/>
      <c r="S34179" s="178"/>
    </row>
    <row r="34180" spans="18:19">
      <c r="R34180" s="178"/>
      <c r="S34180" s="178"/>
    </row>
    <row r="34181" spans="18:19">
      <c r="R34181" s="178"/>
      <c r="S34181" s="178"/>
    </row>
    <row r="34182" spans="18:19">
      <c r="R34182" s="178"/>
      <c r="S34182" s="178"/>
    </row>
    <row r="34183" spans="18:19">
      <c r="R34183" s="178"/>
      <c r="S34183" s="178"/>
    </row>
    <row r="34184" spans="18:19">
      <c r="R34184" s="178"/>
      <c r="S34184" s="178"/>
    </row>
    <row r="34185" spans="18:19">
      <c r="R34185" s="178"/>
      <c r="S34185" s="178"/>
    </row>
    <row r="34186" spans="18:19">
      <c r="R34186" s="178"/>
      <c r="S34186" s="178"/>
    </row>
    <row r="34187" spans="18:19">
      <c r="R34187" s="178"/>
      <c r="S34187" s="178"/>
    </row>
    <row r="34188" spans="18:19">
      <c r="R34188" s="178"/>
      <c r="S34188" s="178"/>
    </row>
    <row r="34189" spans="18:19">
      <c r="R34189" s="178"/>
      <c r="S34189" s="178"/>
    </row>
    <row r="34190" spans="18:19">
      <c r="R34190" s="178"/>
      <c r="S34190" s="178"/>
    </row>
    <row r="34191" spans="18:19">
      <c r="R34191" s="178"/>
      <c r="S34191" s="178"/>
    </row>
    <row r="34192" spans="18:19">
      <c r="R34192" s="178"/>
      <c r="S34192" s="178"/>
    </row>
    <row r="34193" spans="18:19">
      <c r="R34193" s="178"/>
      <c r="S34193" s="178"/>
    </row>
    <row r="34194" spans="18:19">
      <c r="R34194" s="178"/>
      <c r="S34194" s="178"/>
    </row>
    <row r="34195" spans="18:19">
      <c r="R34195" s="178"/>
      <c r="S34195" s="178"/>
    </row>
    <row r="34196" spans="18:19">
      <c r="R34196" s="178"/>
      <c r="S34196" s="178"/>
    </row>
    <row r="34197" spans="18:19">
      <c r="R34197" s="178"/>
      <c r="S34197" s="178"/>
    </row>
    <row r="34198" spans="18:19">
      <c r="R34198" s="178"/>
      <c r="S34198" s="178"/>
    </row>
    <row r="34199" spans="18:19">
      <c r="R34199" s="178"/>
      <c r="S34199" s="178"/>
    </row>
    <row r="34200" spans="18:19">
      <c r="R34200" s="178"/>
      <c r="S34200" s="178"/>
    </row>
    <row r="34201" spans="18:19">
      <c r="R34201" s="178"/>
      <c r="S34201" s="178"/>
    </row>
    <row r="34202" spans="18:19">
      <c r="R34202" s="178"/>
      <c r="S34202" s="178"/>
    </row>
    <row r="34203" spans="18:19">
      <c r="R34203" s="178"/>
      <c r="S34203" s="178"/>
    </row>
    <row r="34204" spans="18:19">
      <c r="R34204" s="178"/>
      <c r="S34204" s="178"/>
    </row>
    <row r="34205" spans="18:19">
      <c r="R34205" s="178"/>
      <c r="S34205" s="178"/>
    </row>
    <row r="34206" spans="18:19">
      <c r="R34206" s="178"/>
      <c r="S34206" s="178"/>
    </row>
    <row r="34207" spans="18:19">
      <c r="R34207" s="178"/>
      <c r="S34207" s="178"/>
    </row>
    <row r="34208" spans="18:19">
      <c r="R34208" s="178"/>
      <c r="S34208" s="178"/>
    </row>
    <row r="34209" spans="18:19">
      <c r="R34209" s="178"/>
      <c r="S34209" s="178"/>
    </row>
    <row r="34210" spans="18:19">
      <c r="R34210" s="178"/>
      <c r="S34210" s="178"/>
    </row>
    <row r="34211" spans="18:19">
      <c r="R34211" s="178"/>
      <c r="S34211" s="178"/>
    </row>
    <row r="34212" spans="18:19">
      <c r="R34212" s="178"/>
      <c r="S34212" s="178"/>
    </row>
    <row r="34213" spans="18:19">
      <c r="R34213" s="178"/>
      <c r="S34213" s="178"/>
    </row>
    <row r="34214" spans="18:19">
      <c r="R34214" s="178"/>
      <c r="S34214" s="178"/>
    </row>
    <row r="34215" spans="18:19">
      <c r="R34215" s="178"/>
      <c r="S34215" s="178"/>
    </row>
    <row r="34216" spans="18:19">
      <c r="R34216" s="178"/>
      <c r="S34216" s="178"/>
    </row>
    <row r="34217" spans="18:19">
      <c r="R34217" s="178"/>
      <c r="S34217" s="178"/>
    </row>
    <row r="34218" spans="18:19">
      <c r="R34218" s="178"/>
      <c r="S34218" s="178"/>
    </row>
    <row r="34219" spans="18:19">
      <c r="R34219" s="178"/>
      <c r="S34219" s="178"/>
    </row>
    <row r="34220" spans="18:19">
      <c r="R34220" s="178"/>
      <c r="S34220" s="178"/>
    </row>
    <row r="34221" spans="18:19">
      <c r="R34221" s="178"/>
      <c r="S34221" s="178"/>
    </row>
    <row r="34222" spans="18:19">
      <c r="R34222" s="178"/>
      <c r="S34222" s="178"/>
    </row>
    <row r="34223" spans="18:19">
      <c r="R34223" s="178"/>
      <c r="S34223" s="178"/>
    </row>
    <row r="34224" spans="18:19">
      <c r="R34224" s="178"/>
      <c r="S34224" s="178"/>
    </row>
    <row r="34225" spans="18:19">
      <c r="R34225" s="178"/>
      <c r="S34225" s="178"/>
    </row>
    <row r="34226" spans="18:19">
      <c r="R34226" s="178"/>
      <c r="S34226" s="178"/>
    </row>
    <row r="34227" spans="18:19">
      <c r="R34227" s="178"/>
      <c r="S34227" s="178"/>
    </row>
    <row r="34228" spans="18:19">
      <c r="R34228" s="178"/>
      <c r="S34228" s="178"/>
    </row>
    <row r="34229" spans="18:19">
      <c r="R34229" s="178"/>
      <c r="S34229" s="178"/>
    </row>
    <row r="34230" spans="18:19">
      <c r="R34230" s="178"/>
      <c r="S34230" s="178"/>
    </row>
    <row r="34231" spans="18:19">
      <c r="R34231" s="178"/>
      <c r="S34231" s="178"/>
    </row>
    <row r="34232" spans="18:19">
      <c r="R34232" s="178"/>
      <c r="S34232" s="178"/>
    </row>
    <row r="34233" spans="18:19">
      <c r="R34233" s="178"/>
      <c r="S34233" s="178"/>
    </row>
    <row r="34234" spans="18:19">
      <c r="R34234" s="178"/>
      <c r="S34234" s="178"/>
    </row>
    <row r="34235" spans="18:19">
      <c r="R34235" s="178"/>
      <c r="S34235" s="178"/>
    </row>
    <row r="34236" spans="18:19">
      <c r="R34236" s="178"/>
      <c r="S34236" s="178"/>
    </row>
    <row r="34237" spans="18:19">
      <c r="R34237" s="178"/>
      <c r="S34237" s="178"/>
    </row>
    <row r="34238" spans="18:19">
      <c r="R34238" s="178"/>
      <c r="S34238" s="178"/>
    </row>
    <row r="34239" spans="18:19">
      <c r="R34239" s="178"/>
      <c r="S34239" s="178"/>
    </row>
    <row r="34240" spans="18:19">
      <c r="R34240" s="178"/>
      <c r="S34240" s="178"/>
    </row>
    <row r="34241" spans="18:19">
      <c r="R34241" s="178"/>
      <c r="S34241" s="178"/>
    </row>
    <row r="34242" spans="18:19">
      <c r="R34242" s="178"/>
      <c r="S34242" s="178"/>
    </row>
    <row r="34243" spans="18:19">
      <c r="R34243" s="178"/>
      <c r="S34243" s="178"/>
    </row>
    <row r="34244" spans="18:19">
      <c r="R34244" s="178"/>
      <c r="S34244" s="178"/>
    </row>
    <row r="34245" spans="18:19">
      <c r="R34245" s="178"/>
      <c r="S34245" s="178"/>
    </row>
    <row r="34246" spans="18:19">
      <c r="R34246" s="178"/>
      <c r="S34246" s="178"/>
    </row>
    <row r="34247" spans="18:19">
      <c r="R34247" s="178"/>
      <c r="S34247" s="178"/>
    </row>
    <row r="34248" spans="18:19">
      <c r="R34248" s="178"/>
      <c r="S34248" s="178"/>
    </row>
    <row r="34249" spans="18:19">
      <c r="R34249" s="178"/>
      <c r="S34249" s="178"/>
    </row>
    <row r="34250" spans="18:19">
      <c r="R34250" s="178"/>
      <c r="S34250" s="178"/>
    </row>
    <row r="34251" spans="18:19">
      <c r="R34251" s="178"/>
      <c r="S34251" s="178"/>
    </row>
    <row r="34252" spans="18:19">
      <c r="R34252" s="178"/>
      <c r="S34252" s="178"/>
    </row>
    <row r="34253" spans="18:19">
      <c r="R34253" s="178"/>
      <c r="S34253" s="178"/>
    </row>
    <row r="34254" spans="18:19">
      <c r="R34254" s="178"/>
      <c r="S34254" s="178"/>
    </row>
    <row r="34255" spans="18:19">
      <c r="R34255" s="178"/>
      <c r="S34255" s="178"/>
    </row>
    <row r="34256" spans="18:19">
      <c r="R34256" s="178"/>
      <c r="S34256" s="178"/>
    </row>
    <row r="34257" spans="18:19">
      <c r="R34257" s="178"/>
      <c r="S34257" s="178"/>
    </row>
    <row r="34258" spans="18:19">
      <c r="R34258" s="178"/>
      <c r="S34258" s="178"/>
    </row>
    <row r="34259" spans="18:19">
      <c r="R34259" s="178"/>
      <c r="S34259" s="178"/>
    </row>
    <row r="34260" spans="18:19">
      <c r="R34260" s="178"/>
      <c r="S34260" s="178"/>
    </row>
    <row r="34261" spans="18:19">
      <c r="R34261" s="178"/>
      <c r="S34261" s="178"/>
    </row>
    <row r="34262" spans="18:19">
      <c r="R34262" s="178"/>
      <c r="S34262" s="178"/>
    </row>
    <row r="34263" spans="18:19">
      <c r="R34263" s="178"/>
      <c r="S34263" s="178"/>
    </row>
    <row r="34264" spans="18:19">
      <c r="R34264" s="178"/>
      <c r="S34264" s="178"/>
    </row>
    <row r="34265" spans="18:19">
      <c r="R34265" s="178"/>
      <c r="S34265" s="178"/>
    </row>
    <row r="34266" spans="18:19">
      <c r="R34266" s="178"/>
      <c r="S34266" s="178"/>
    </row>
    <row r="34267" spans="18:19">
      <c r="R34267" s="178"/>
      <c r="S34267" s="178"/>
    </row>
    <row r="34268" spans="18:19">
      <c r="R34268" s="178"/>
      <c r="S34268" s="178"/>
    </row>
    <row r="34269" spans="18:19">
      <c r="R34269" s="178"/>
      <c r="S34269" s="178"/>
    </row>
    <row r="34270" spans="18:19">
      <c r="R34270" s="178"/>
      <c r="S34270" s="178"/>
    </row>
    <row r="34271" spans="18:19">
      <c r="R34271" s="178"/>
      <c r="S34271" s="178"/>
    </row>
    <row r="34272" spans="18:19">
      <c r="R34272" s="178"/>
      <c r="S34272" s="178"/>
    </row>
    <row r="34273" spans="18:19">
      <c r="R34273" s="178"/>
      <c r="S34273" s="178"/>
    </row>
    <row r="34274" spans="18:19">
      <c r="R34274" s="178"/>
      <c r="S34274" s="178"/>
    </row>
    <row r="34275" spans="18:19">
      <c r="R34275" s="178"/>
      <c r="S34275" s="178"/>
    </row>
    <row r="34276" spans="18:19">
      <c r="R34276" s="178"/>
      <c r="S34276" s="178"/>
    </row>
    <row r="34277" spans="18:19">
      <c r="R34277" s="178"/>
      <c r="S34277" s="178"/>
    </row>
    <row r="34278" spans="18:19">
      <c r="R34278" s="178"/>
      <c r="S34278" s="178"/>
    </row>
    <row r="34279" spans="18:19">
      <c r="R34279" s="178"/>
      <c r="S34279" s="178"/>
    </row>
    <row r="34280" spans="18:19">
      <c r="R34280" s="178"/>
      <c r="S34280" s="178"/>
    </row>
    <row r="34281" spans="18:19">
      <c r="R34281" s="178"/>
      <c r="S34281" s="178"/>
    </row>
    <row r="34282" spans="18:19">
      <c r="R34282" s="178"/>
      <c r="S34282" s="178"/>
    </row>
    <row r="34283" spans="18:19">
      <c r="R34283" s="178"/>
      <c r="S34283" s="178"/>
    </row>
    <row r="34284" spans="18:19">
      <c r="R34284" s="178"/>
      <c r="S34284" s="178"/>
    </row>
    <row r="34285" spans="18:19">
      <c r="R34285" s="178"/>
      <c r="S34285" s="178"/>
    </row>
    <row r="34286" spans="18:19">
      <c r="R34286" s="178"/>
      <c r="S34286" s="178"/>
    </row>
    <row r="34287" spans="18:19">
      <c r="R34287" s="178"/>
      <c r="S34287" s="178"/>
    </row>
    <row r="34288" spans="18:19">
      <c r="R34288" s="178"/>
      <c r="S34288" s="178"/>
    </row>
    <row r="34289" spans="18:19">
      <c r="R34289" s="178"/>
      <c r="S34289" s="178"/>
    </row>
    <row r="34290" spans="18:19">
      <c r="R34290" s="178"/>
      <c r="S34290" s="178"/>
    </row>
    <row r="34291" spans="18:19">
      <c r="R34291" s="178"/>
      <c r="S34291" s="178"/>
    </row>
    <row r="34292" spans="18:19">
      <c r="R34292" s="178"/>
      <c r="S34292" s="178"/>
    </row>
    <row r="34293" spans="18:19">
      <c r="R34293" s="178"/>
      <c r="S34293" s="178"/>
    </row>
    <row r="34294" spans="18:19">
      <c r="R34294" s="178"/>
      <c r="S34294" s="178"/>
    </row>
    <row r="34295" spans="18:19">
      <c r="R34295" s="178"/>
      <c r="S34295" s="178"/>
    </row>
    <row r="34296" spans="18:19">
      <c r="R34296" s="178"/>
      <c r="S34296" s="178"/>
    </row>
    <row r="34297" spans="18:19">
      <c r="R34297" s="178"/>
      <c r="S34297" s="178"/>
    </row>
    <row r="34298" spans="18:19">
      <c r="R34298" s="178"/>
      <c r="S34298" s="178"/>
    </row>
    <row r="34299" spans="18:19">
      <c r="R34299" s="178"/>
      <c r="S34299" s="178"/>
    </row>
    <row r="34300" spans="18:19">
      <c r="R34300" s="178"/>
      <c r="S34300" s="178"/>
    </row>
    <row r="34301" spans="18:19">
      <c r="R34301" s="178"/>
      <c r="S34301" s="178"/>
    </row>
    <row r="34302" spans="18:19">
      <c r="R34302" s="178"/>
      <c r="S34302" s="178"/>
    </row>
    <row r="34303" spans="18:19">
      <c r="R34303" s="178"/>
      <c r="S34303" s="178"/>
    </row>
    <row r="34304" spans="18:19">
      <c r="R34304" s="178"/>
      <c r="S34304" s="178"/>
    </row>
    <row r="34305" spans="18:19">
      <c r="R34305" s="178"/>
      <c r="S34305" s="178"/>
    </row>
    <row r="34306" spans="18:19">
      <c r="R34306" s="178"/>
      <c r="S34306" s="178"/>
    </row>
    <row r="34307" spans="18:19">
      <c r="R34307" s="178"/>
      <c r="S34307" s="178"/>
    </row>
    <row r="34308" spans="18:19">
      <c r="R34308" s="178"/>
      <c r="S34308" s="178"/>
    </row>
    <row r="34309" spans="18:19">
      <c r="R34309" s="178"/>
      <c r="S34309" s="178"/>
    </row>
    <row r="34310" spans="18:19">
      <c r="R34310" s="178"/>
      <c r="S34310" s="178"/>
    </row>
    <row r="34311" spans="18:19">
      <c r="R34311" s="178"/>
      <c r="S34311" s="178"/>
    </row>
    <row r="34312" spans="18:19">
      <c r="R34312" s="178"/>
      <c r="S34312" s="178"/>
    </row>
    <row r="34313" spans="18:19">
      <c r="R34313" s="178"/>
      <c r="S34313" s="178"/>
    </row>
    <row r="34314" spans="18:19">
      <c r="R34314" s="178"/>
      <c r="S34314" s="178"/>
    </row>
    <row r="34315" spans="18:19">
      <c r="R34315" s="178"/>
      <c r="S34315" s="178"/>
    </row>
    <row r="34316" spans="18:19">
      <c r="R34316" s="178"/>
      <c r="S34316" s="178"/>
    </row>
    <row r="34317" spans="18:19">
      <c r="R34317" s="178"/>
      <c r="S34317" s="178"/>
    </row>
    <row r="34318" spans="18:19">
      <c r="R34318" s="178"/>
      <c r="S34318" s="178"/>
    </row>
    <row r="34319" spans="18:19">
      <c r="R34319" s="178"/>
      <c r="S34319" s="178"/>
    </row>
    <row r="34320" spans="18:19">
      <c r="R34320" s="178"/>
      <c r="S34320" s="178"/>
    </row>
    <row r="34321" spans="18:19">
      <c r="R34321" s="178"/>
      <c r="S34321" s="178"/>
    </row>
    <row r="34322" spans="18:19">
      <c r="R34322" s="178"/>
      <c r="S34322" s="178"/>
    </row>
    <row r="34323" spans="18:19">
      <c r="R34323" s="178"/>
      <c r="S34323" s="178"/>
    </row>
    <row r="34324" spans="18:19">
      <c r="R34324" s="178"/>
      <c r="S34324" s="178"/>
    </row>
    <row r="34325" spans="18:19">
      <c r="R34325" s="178"/>
      <c r="S34325" s="178"/>
    </row>
    <row r="34326" spans="18:19">
      <c r="R34326" s="178"/>
      <c r="S34326" s="178"/>
    </row>
    <row r="34327" spans="18:19">
      <c r="R34327" s="178"/>
      <c r="S34327" s="178"/>
    </row>
    <row r="34328" spans="18:19">
      <c r="R34328" s="178"/>
      <c r="S34328" s="178"/>
    </row>
    <row r="34329" spans="18:19">
      <c r="R34329" s="178"/>
      <c r="S34329" s="178"/>
    </row>
    <row r="34330" spans="18:19">
      <c r="R34330" s="178"/>
      <c r="S34330" s="178"/>
    </row>
    <row r="34331" spans="18:19">
      <c r="R34331" s="178"/>
      <c r="S34331" s="178"/>
    </row>
    <row r="34332" spans="18:19">
      <c r="R34332" s="178"/>
      <c r="S34332" s="178"/>
    </row>
    <row r="34333" spans="18:19">
      <c r="R34333" s="178"/>
      <c r="S34333" s="178"/>
    </row>
    <row r="34334" spans="18:19">
      <c r="R34334" s="178"/>
      <c r="S34334" s="178"/>
    </row>
    <row r="34335" spans="18:19">
      <c r="R34335" s="178"/>
      <c r="S34335" s="178"/>
    </row>
    <row r="34336" spans="18:19">
      <c r="R34336" s="178"/>
      <c r="S34336" s="178"/>
    </row>
    <row r="34337" spans="18:19">
      <c r="R34337" s="178"/>
      <c r="S34337" s="178"/>
    </row>
    <row r="34338" spans="18:19">
      <c r="R34338" s="178"/>
      <c r="S34338" s="178"/>
    </row>
    <row r="34339" spans="18:19">
      <c r="R34339" s="178"/>
      <c r="S34339" s="178"/>
    </row>
    <row r="34340" spans="18:19">
      <c r="R34340" s="178"/>
      <c r="S34340" s="178"/>
    </row>
    <row r="34341" spans="18:19">
      <c r="R34341" s="178"/>
      <c r="S34341" s="178"/>
    </row>
    <row r="34342" spans="18:19">
      <c r="R34342" s="178"/>
      <c r="S34342" s="178"/>
    </row>
    <row r="34343" spans="18:19">
      <c r="R34343" s="178"/>
      <c r="S34343" s="178"/>
    </row>
    <row r="34344" spans="18:19">
      <c r="R34344" s="178"/>
      <c r="S34344" s="178"/>
    </row>
    <row r="34345" spans="18:19">
      <c r="R34345" s="178"/>
      <c r="S34345" s="178"/>
    </row>
    <row r="34346" spans="18:19">
      <c r="R34346" s="178"/>
      <c r="S34346" s="178"/>
    </row>
    <row r="34347" spans="18:19">
      <c r="R34347" s="178"/>
      <c r="S34347" s="178"/>
    </row>
    <row r="34348" spans="18:19">
      <c r="R34348" s="178"/>
      <c r="S34348" s="178"/>
    </row>
    <row r="34349" spans="18:19">
      <c r="R34349" s="178"/>
      <c r="S34349" s="178"/>
    </row>
    <row r="34350" spans="18:19">
      <c r="R34350" s="178"/>
      <c r="S34350" s="178"/>
    </row>
    <row r="34351" spans="18:19">
      <c r="R34351" s="178"/>
      <c r="S34351" s="178"/>
    </row>
    <row r="34352" spans="18:19">
      <c r="R34352" s="178"/>
      <c r="S34352" s="178"/>
    </row>
    <row r="34353" spans="18:19">
      <c r="R34353" s="178"/>
      <c r="S34353" s="178"/>
    </row>
    <row r="34354" spans="18:19">
      <c r="R34354" s="178"/>
      <c r="S34354" s="178"/>
    </row>
    <row r="34355" spans="18:19">
      <c r="R34355" s="178"/>
      <c r="S34355" s="178"/>
    </row>
    <row r="34356" spans="18:19">
      <c r="R34356" s="178"/>
      <c r="S34356" s="178"/>
    </row>
    <row r="34357" spans="18:19">
      <c r="R34357" s="178"/>
      <c r="S34357" s="178"/>
    </row>
    <row r="34358" spans="18:19">
      <c r="R34358" s="178"/>
      <c r="S34358" s="178"/>
    </row>
    <row r="34359" spans="18:19">
      <c r="R34359" s="178"/>
      <c r="S34359" s="178"/>
    </row>
    <row r="34360" spans="18:19">
      <c r="R34360" s="178"/>
      <c r="S34360" s="178"/>
    </row>
    <row r="34361" spans="18:19">
      <c r="R34361" s="178"/>
      <c r="S34361" s="178"/>
    </row>
    <row r="34362" spans="18:19">
      <c r="R34362" s="178"/>
      <c r="S34362" s="178"/>
    </row>
    <row r="34363" spans="18:19">
      <c r="R34363" s="178"/>
      <c r="S34363" s="178"/>
    </row>
    <row r="34364" spans="18:19">
      <c r="R34364" s="178"/>
      <c r="S34364" s="178"/>
    </row>
    <row r="34365" spans="18:19">
      <c r="R34365" s="178"/>
      <c r="S34365" s="178"/>
    </row>
    <row r="34366" spans="18:19">
      <c r="R34366" s="178"/>
      <c r="S34366" s="178"/>
    </row>
    <row r="34367" spans="18:19">
      <c r="R34367" s="178"/>
      <c r="S34367" s="178"/>
    </row>
    <row r="34368" spans="18:19">
      <c r="R34368" s="178"/>
      <c r="S34368" s="178"/>
    </row>
    <row r="34369" spans="18:19">
      <c r="R34369" s="178"/>
      <c r="S34369" s="178"/>
    </row>
    <row r="34370" spans="18:19">
      <c r="R34370" s="178"/>
      <c r="S34370" s="178"/>
    </row>
    <row r="34371" spans="18:19">
      <c r="R34371" s="178"/>
      <c r="S34371" s="178"/>
    </row>
    <row r="34372" spans="18:19">
      <c r="R34372" s="178"/>
      <c r="S34372" s="178"/>
    </row>
    <row r="34373" spans="18:19">
      <c r="R34373" s="178"/>
      <c r="S34373" s="178"/>
    </row>
    <row r="34374" spans="18:19">
      <c r="R34374" s="178"/>
      <c r="S34374" s="178"/>
    </row>
    <row r="34375" spans="18:19">
      <c r="R34375" s="178"/>
      <c r="S34375" s="178"/>
    </row>
    <row r="34376" spans="18:19">
      <c r="R34376" s="178"/>
      <c r="S34376" s="178"/>
    </row>
    <row r="34377" spans="18:19">
      <c r="R34377" s="178"/>
      <c r="S34377" s="178"/>
    </row>
    <row r="34378" spans="18:19">
      <c r="R34378" s="178"/>
      <c r="S34378" s="178"/>
    </row>
    <row r="34379" spans="18:19">
      <c r="R34379" s="178"/>
      <c r="S34379" s="178"/>
    </row>
    <row r="34380" spans="18:19">
      <c r="R34380" s="178"/>
      <c r="S34380" s="178"/>
    </row>
    <row r="34381" spans="18:19">
      <c r="R34381" s="178"/>
      <c r="S34381" s="178"/>
    </row>
    <row r="34382" spans="18:19">
      <c r="R34382" s="178"/>
      <c r="S34382" s="178"/>
    </row>
    <row r="34383" spans="18:19">
      <c r="R34383" s="178"/>
      <c r="S34383" s="178"/>
    </row>
    <row r="34384" spans="18:19">
      <c r="R34384" s="178"/>
      <c r="S34384" s="178"/>
    </row>
    <row r="34385" spans="18:19">
      <c r="R34385" s="178"/>
      <c r="S34385" s="178"/>
    </row>
    <row r="34386" spans="18:19">
      <c r="R34386" s="178"/>
      <c r="S34386" s="178"/>
    </row>
    <row r="34387" spans="18:19">
      <c r="R34387" s="178"/>
      <c r="S34387" s="178"/>
    </row>
    <row r="34388" spans="18:19">
      <c r="R34388" s="178"/>
      <c r="S34388" s="178"/>
    </row>
    <row r="34389" spans="18:19">
      <c r="R34389" s="178"/>
      <c r="S34389" s="178"/>
    </row>
    <row r="34390" spans="18:19">
      <c r="R34390" s="178"/>
      <c r="S34390" s="178"/>
    </row>
    <row r="34391" spans="18:19">
      <c r="R34391" s="178"/>
      <c r="S34391" s="178"/>
    </row>
    <row r="34392" spans="18:19">
      <c r="R34392" s="178"/>
      <c r="S34392" s="178"/>
    </row>
    <row r="34393" spans="18:19">
      <c r="R34393" s="178"/>
      <c r="S34393" s="178"/>
    </row>
    <row r="34394" spans="18:19">
      <c r="R34394" s="178"/>
      <c r="S34394" s="178"/>
    </row>
    <row r="34395" spans="18:19">
      <c r="R34395" s="178"/>
      <c r="S34395" s="178"/>
    </row>
    <row r="34396" spans="18:19">
      <c r="R34396" s="178"/>
      <c r="S34396" s="178"/>
    </row>
    <row r="34397" spans="18:19">
      <c r="R34397" s="178"/>
      <c r="S34397" s="178"/>
    </row>
    <row r="34398" spans="18:19">
      <c r="R34398" s="178"/>
      <c r="S34398" s="178"/>
    </row>
    <row r="34399" spans="18:19">
      <c r="R34399" s="178"/>
      <c r="S34399" s="178"/>
    </row>
    <row r="34400" spans="18:19">
      <c r="R34400" s="178"/>
      <c r="S34400" s="178"/>
    </row>
    <row r="34401" spans="18:19">
      <c r="R34401" s="178"/>
      <c r="S34401" s="178"/>
    </row>
    <row r="34402" spans="18:19">
      <c r="R34402" s="178"/>
      <c r="S34402" s="178"/>
    </row>
    <row r="34403" spans="18:19">
      <c r="R34403" s="178"/>
      <c r="S34403" s="178"/>
    </row>
    <row r="34404" spans="18:19">
      <c r="R34404" s="178"/>
      <c r="S34404" s="178"/>
    </row>
    <row r="34405" spans="18:19">
      <c r="R34405" s="178"/>
      <c r="S34405" s="178"/>
    </row>
    <row r="34406" spans="18:19">
      <c r="R34406" s="178"/>
      <c r="S34406" s="178"/>
    </row>
    <row r="34407" spans="18:19">
      <c r="R34407" s="178"/>
      <c r="S34407" s="178"/>
    </row>
    <row r="34408" spans="18:19">
      <c r="R34408" s="178"/>
      <c r="S34408" s="178"/>
    </row>
    <row r="34409" spans="18:19">
      <c r="R34409" s="178"/>
      <c r="S34409" s="178"/>
    </row>
    <row r="34410" spans="18:19">
      <c r="R34410" s="178"/>
      <c r="S34410" s="178"/>
    </row>
    <row r="34411" spans="18:19">
      <c r="R34411" s="178"/>
      <c r="S34411" s="178"/>
    </row>
    <row r="34412" spans="18:19">
      <c r="R34412" s="178"/>
      <c r="S34412" s="178"/>
    </row>
    <row r="34413" spans="18:19">
      <c r="R34413" s="178"/>
      <c r="S34413" s="178"/>
    </row>
    <row r="34414" spans="18:19">
      <c r="R34414" s="178"/>
      <c r="S34414" s="178"/>
    </row>
    <row r="34415" spans="18:19">
      <c r="R34415" s="178"/>
      <c r="S34415" s="178"/>
    </row>
    <row r="34416" spans="18:19">
      <c r="R34416" s="178"/>
      <c r="S34416" s="178"/>
    </row>
    <row r="34417" spans="18:19">
      <c r="R34417" s="178"/>
      <c r="S34417" s="178"/>
    </row>
    <row r="34418" spans="18:19">
      <c r="R34418" s="178"/>
      <c r="S34418" s="178"/>
    </row>
    <row r="34419" spans="18:19">
      <c r="R34419" s="178"/>
      <c r="S34419" s="178"/>
    </row>
    <row r="34420" spans="18:19">
      <c r="R34420" s="178"/>
      <c r="S34420" s="178"/>
    </row>
    <row r="34421" spans="18:19">
      <c r="R34421" s="178"/>
      <c r="S34421" s="178"/>
    </row>
    <row r="34422" spans="18:19">
      <c r="R34422" s="178"/>
      <c r="S34422" s="178"/>
    </row>
    <row r="34423" spans="18:19">
      <c r="R34423" s="178"/>
      <c r="S34423" s="178"/>
    </row>
    <row r="34424" spans="18:19">
      <c r="R34424" s="178"/>
      <c r="S34424" s="178"/>
    </row>
    <row r="34425" spans="18:19">
      <c r="R34425" s="178"/>
      <c r="S34425" s="178"/>
    </row>
    <row r="34426" spans="18:19">
      <c r="R34426" s="178"/>
      <c r="S34426" s="178"/>
    </row>
    <row r="34427" spans="18:19">
      <c r="R34427" s="178"/>
      <c r="S34427" s="178"/>
    </row>
    <row r="34428" spans="18:19">
      <c r="R34428" s="178"/>
      <c r="S34428" s="178"/>
    </row>
    <row r="34429" spans="18:19">
      <c r="R34429" s="178"/>
      <c r="S34429" s="178"/>
    </row>
    <row r="34430" spans="18:19">
      <c r="R34430" s="178"/>
      <c r="S34430" s="178"/>
    </row>
    <row r="34431" spans="18:19">
      <c r="R34431" s="178"/>
      <c r="S34431" s="178"/>
    </row>
    <row r="34432" spans="18:19">
      <c r="R34432" s="178"/>
      <c r="S34432" s="178"/>
    </row>
    <row r="34433" spans="18:19">
      <c r="R34433" s="178"/>
      <c r="S34433" s="178"/>
    </row>
    <row r="34434" spans="18:19">
      <c r="R34434" s="178"/>
      <c r="S34434" s="178"/>
    </row>
    <row r="34435" spans="18:19">
      <c r="R34435" s="178"/>
      <c r="S34435" s="178"/>
    </row>
    <row r="34436" spans="18:19">
      <c r="R34436" s="178"/>
      <c r="S34436" s="178"/>
    </row>
    <row r="34437" spans="18:19">
      <c r="R34437" s="178"/>
      <c r="S34437" s="178"/>
    </row>
    <row r="34438" spans="18:19">
      <c r="R34438" s="178"/>
      <c r="S34438" s="178"/>
    </row>
    <row r="34439" spans="18:19">
      <c r="R34439" s="178"/>
      <c r="S34439" s="178"/>
    </row>
    <row r="34440" spans="18:19">
      <c r="R34440" s="178"/>
      <c r="S34440" s="178"/>
    </row>
    <row r="34441" spans="18:19">
      <c r="R34441" s="178"/>
      <c r="S34441" s="178"/>
    </row>
    <row r="34442" spans="18:19">
      <c r="R34442" s="178"/>
      <c r="S34442" s="178"/>
    </row>
    <row r="34443" spans="18:19">
      <c r="R34443" s="178"/>
      <c r="S34443" s="178"/>
    </row>
    <row r="34444" spans="18:19">
      <c r="R34444" s="178"/>
      <c r="S34444" s="178"/>
    </row>
    <row r="34445" spans="18:19">
      <c r="R34445" s="178"/>
      <c r="S34445" s="178"/>
    </row>
    <row r="34446" spans="18:19">
      <c r="R34446" s="178"/>
      <c r="S34446" s="178"/>
    </row>
    <row r="34447" spans="18:19">
      <c r="R34447" s="178"/>
      <c r="S34447" s="178"/>
    </row>
    <row r="34448" spans="18:19">
      <c r="R34448" s="178"/>
      <c r="S34448" s="178"/>
    </row>
    <row r="34449" spans="18:19">
      <c r="R34449" s="178"/>
      <c r="S34449" s="178"/>
    </row>
    <row r="34450" spans="18:19">
      <c r="R34450" s="178"/>
      <c r="S34450" s="178"/>
    </row>
    <row r="34451" spans="18:19">
      <c r="R34451" s="178"/>
      <c r="S34451" s="178"/>
    </row>
    <row r="34452" spans="18:19">
      <c r="R34452" s="178"/>
      <c r="S34452" s="178"/>
    </row>
    <row r="34453" spans="18:19">
      <c r="R34453" s="178"/>
      <c r="S34453" s="178"/>
    </row>
    <row r="34454" spans="18:19">
      <c r="R34454" s="178"/>
      <c r="S34454" s="178"/>
    </row>
    <row r="34455" spans="18:19">
      <c r="R34455" s="178"/>
      <c r="S34455" s="178"/>
    </row>
    <row r="34456" spans="18:19">
      <c r="R34456" s="178"/>
      <c r="S34456" s="178"/>
    </row>
    <row r="34457" spans="18:19">
      <c r="R34457" s="178"/>
      <c r="S34457" s="178"/>
    </row>
    <row r="34458" spans="18:19">
      <c r="R34458" s="178"/>
      <c r="S34458" s="178"/>
    </row>
    <row r="34459" spans="18:19">
      <c r="R34459" s="178"/>
      <c r="S34459" s="178"/>
    </row>
    <row r="34460" spans="18:19">
      <c r="R34460" s="178"/>
      <c r="S34460" s="178"/>
    </row>
    <row r="34461" spans="18:19">
      <c r="R34461" s="178"/>
      <c r="S34461" s="178"/>
    </row>
    <row r="34462" spans="18:19">
      <c r="R34462" s="178"/>
      <c r="S34462" s="178"/>
    </row>
    <row r="34463" spans="18:19">
      <c r="R34463" s="178"/>
      <c r="S34463" s="178"/>
    </row>
    <row r="34464" spans="18:19">
      <c r="R34464" s="178"/>
      <c r="S34464" s="178"/>
    </row>
    <row r="34465" spans="18:19">
      <c r="R34465" s="178"/>
      <c r="S34465" s="178"/>
    </row>
    <row r="34466" spans="18:19">
      <c r="R34466" s="178"/>
      <c r="S34466" s="178"/>
    </row>
    <row r="34467" spans="18:19">
      <c r="R34467" s="178"/>
      <c r="S34467" s="178"/>
    </row>
    <row r="34468" spans="18:19">
      <c r="R34468" s="178"/>
      <c r="S34468" s="178"/>
    </row>
    <row r="34469" spans="18:19">
      <c r="R34469" s="178"/>
      <c r="S34469" s="178"/>
    </row>
    <row r="34470" spans="18:19">
      <c r="R34470" s="178"/>
      <c r="S34470" s="178"/>
    </row>
    <row r="34471" spans="18:19">
      <c r="R34471" s="178"/>
      <c r="S34471" s="178"/>
    </row>
    <row r="34472" spans="18:19">
      <c r="R34472" s="178"/>
      <c r="S34472" s="178"/>
    </row>
    <row r="34473" spans="18:19">
      <c r="R34473" s="178"/>
      <c r="S34473" s="178"/>
    </row>
    <row r="34474" spans="18:19">
      <c r="R34474" s="178"/>
      <c r="S34474" s="178"/>
    </row>
    <row r="34475" spans="18:19">
      <c r="R34475" s="178"/>
      <c r="S34475" s="178"/>
    </row>
    <row r="34476" spans="18:19">
      <c r="R34476" s="178"/>
      <c r="S34476" s="178"/>
    </row>
    <row r="34477" spans="18:19">
      <c r="R34477" s="178"/>
      <c r="S34477" s="178"/>
    </row>
    <row r="34478" spans="18:19">
      <c r="R34478" s="178"/>
      <c r="S34478" s="178"/>
    </row>
    <row r="34479" spans="18:19">
      <c r="R34479" s="178"/>
      <c r="S34479" s="178"/>
    </row>
    <row r="34480" spans="18:19">
      <c r="R34480" s="178"/>
      <c r="S34480" s="178"/>
    </row>
    <row r="34481" spans="18:19">
      <c r="R34481" s="178"/>
      <c r="S34481" s="178"/>
    </row>
    <row r="34482" spans="18:19">
      <c r="R34482" s="178"/>
      <c r="S34482" s="178"/>
    </row>
    <row r="34483" spans="18:19">
      <c r="R34483" s="178"/>
      <c r="S34483" s="178"/>
    </row>
    <row r="34484" spans="18:19">
      <c r="R34484" s="178"/>
      <c r="S34484" s="178"/>
    </row>
    <row r="34485" spans="18:19">
      <c r="R34485" s="178"/>
      <c r="S34485" s="178"/>
    </row>
    <row r="34486" spans="18:19">
      <c r="R34486" s="178"/>
      <c r="S34486" s="178"/>
    </row>
    <row r="34487" spans="18:19">
      <c r="R34487" s="178"/>
      <c r="S34487" s="178"/>
    </row>
    <row r="34488" spans="18:19">
      <c r="R34488" s="178"/>
      <c r="S34488" s="178"/>
    </row>
    <row r="34489" spans="18:19">
      <c r="R34489" s="178"/>
      <c r="S34489" s="178"/>
    </row>
    <row r="34490" spans="18:19">
      <c r="R34490" s="178"/>
      <c r="S34490" s="178"/>
    </row>
    <row r="34491" spans="18:19">
      <c r="R34491" s="178"/>
      <c r="S34491" s="178"/>
    </row>
    <row r="34492" spans="18:19">
      <c r="R34492" s="178"/>
      <c r="S34492" s="178"/>
    </row>
    <row r="34493" spans="18:19">
      <c r="R34493" s="178"/>
      <c r="S34493" s="178"/>
    </row>
    <row r="34494" spans="18:19">
      <c r="R34494" s="178"/>
      <c r="S34494" s="178"/>
    </row>
    <row r="34495" spans="18:19">
      <c r="R34495" s="178"/>
      <c r="S34495" s="178"/>
    </row>
    <row r="34496" spans="18:19">
      <c r="R34496" s="178"/>
      <c r="S34496" s="178"/>
    </row>
    <row r="34497" spans="18:19">
      <c r="R34497" s="178"/>
      <c r="S34497" s="178"/>
    </row>
    <row r="34498" spans="18:19">
      <c r="R34498" s="178"/>
      <c r="S34498" s="178"/>
    </row>
    <row r="34499" spans="18:19">
      <c r="R34499" s="178"/>
      <c r="S34499" s="178"/>
    </row>
    <row r="34500" spans="18:19">
      <c r="R34500" s="178"/>
      <c r="S34500" s="178"/>
    </row>
    <row r="34501" spans="18:19">
      <c r="R34501" s="178"/>
      <c r="S34501" s="178"/>
    </row>
    <row r="34502" spans="18:19">
      <c r="R34502" s="178"/>
      <c r="S34502" s="178"/>
    </row>
    <row r="34503" spans="18:19">
      <c r="R34503" s="178"/>
      <c r="S34503" s="178"/>
    </row>
    <row r="34504" spans="18:19">
      <c r="R34504" s="178"/>
      <c r="S34504" s="178"/>
    </row>
    <row r="34505" spans="18:19">
      <c r="R34505" s="178"/>
      <c r="S34505" s="178"/>
    </row>
    <row r="34506" spans="18:19">
      <c r="R34506" s="178"/>
      <c r="S34506" s="178"/>
    </row>
    <row r="34507" spans="18:19">
      <c r="R34507" s="178"/>
      <c r="S34507" s="178"/>
    </row>
    <row r="34508" spans="18:19">
      <c r="R34508" s="178"/>
      <c r="S34508" s="178"/>
    </row>
    <row r="34509" spans="18:19">
      <c r="R34509" s="178"/>
      <c r="S34509" s="178"/>
    </row>
    <row r="34510" spans="18:19">
      <c r="R34510" s="178"/>
      <c r="S34510" s="178"/>
    </row>
    <row r="34511" spans="18:19">
      <c r="R34511" s="178"/>
      <c r="S34511" s="178"/>
    </row>
    <row r="34512" spans="18:19">
      <c r="R34512" s="178"/>
      <c r="S34512" s="178"/>
    </row>
    <row r="34513" spans="18:19">
      <c r="R34513" s="178"/>
      <c r="S34513" s="178"/>
    </row>
    <row r="34514" spans="18:19">
      <c r="R34514" s="178"/>
      <c r="S34514" s="178"/>
    </row>
    <row r="34515" spans="18:19">
      <c r="R34515" s="178"/>
      <c r="S34515" s="178"/>
    </row>
    <row r="34516" spans="18:19">
      <c r="R34516" s="178"/>
      <c r="S34516" s="178"/>
    </row>
    <row r="34517" spans="18:19">
      <c r="R34517" s="178"/>
      <c r="S34517" s="178"/>
    </row>
    <row r="34518" spans="18:19">
      <c r="R34518" s="178"/>
      <c r="S34518" s="178"/>
    </row>
    <row r="34519" spans="18:19">
      <c r="R34519" s="178"/>
      <c r="S34519" s="178"/>
    </row>
    <row r="34520" spans="18:19">
      <c r="R34520" s="178"/>
      <c r="S34520" s="178"/>
    </row>
    <row r="34521" spans="18:19">
      <c r="R34521" s="178"/>
      <c r="S34521" s="178"/>
    </row>
    <row r="34522" spans="18:19">
      <c r="R34522" s="178"/>
      <c r="S34522" s="178"/>
    </row>
    <row r="34523" spans="18:19">
      <c r="R34523" s="178"/>
      <c r="S34523" s="178"/>
    </row>
    <row r="34524" spans="18:19">
      <c r="R34524" s="178"/>
      <c r="S34524" s="178"/>
    </row>
    <row r="34525" spans="18:19">
      <c r="R34525" s="178"/>
      <c r="S34525" s="178"/>
    </row>
    <row r="34526" spans="18:19">
      <c r="R34526" s="178"/>
      <c r="S34526" s="178"/>
    </row>
    <row r="34527" spans="18:19">
      <c r="R34527" s="178"/>
      <c r="S34527" s="178"/>
    </row>
    <row r="34528" spans="18:19">
      <c r="R34528" s="178"/>
      <c r="S34528" s="178"/>
    </row>
    <row r="34529" spans="18:19">
      <c r="R34529" s="178"/>
      <c r="S34529" s="178"/>
    </row>
    <row r="34530" spans="18:19">
      <c r="R34530" s="178"/>
      <c r="S34530" s="178"/>
    </row>
    <row r="34531" spans="18:19">
      <c r="R34531" s="178"/>
      <c r="S34531" s="178"/>
    </row>
    <row r="34532" spans="18:19">
      <c r="R34532" s="178"/>
      <c r="S34532" s="178"/>
    </row>
    <row r="34533" spans="18:19">
      <c r="R34533" s="178"/>
      <c r="S34533" s="178"/>
    </row>
    <row r="34534" spans="18:19">
      <c r="R34534" s="178"/>
      <c r="S34534" s="178"/>
    </row>
    <row r="34535" spans="18:19">
      <c r="R34535" s="178"/>
      <c r="S34535" s="178"/>
    </row>
    <row r="34536" spans="18:19">
      <c r="R34536" s="178"/>
      <c r="S34536" s="178"/>
    </row>
    <row r="34537" spans="18:19">
      <c r="R34537" s="178"/>
      <c r="S34537" s="178"/>
    </row>
    <row r="34538" spans="18:19">
      <c r="R34538" s="178"/>
      <c r="S34538" s="178"/>
    </row>
    <row r="34539" spans="18:19">
      <c r="R34539" s="178"/>
      <c r="S34539" s="178"/>
    </row>
    <row r="34540" spans="18:19">
      <c r="R34540" s="178"/>
      <c r="S34540" s="178"/>
    </row>
    <row r="34541" spans="18:19">
      <c r="R34541" s="178"/>
      <c r="S34541" s="178"/>
    </row>
    <row r="34542" spans="18:19">
      <c r="R34542" s="178"/>
      <c r="S34542" s="178"/>
    </row>
    <row r="34543" spans="18:19">
      <c r="R34543" s="178"/>
      <c r="S34543" s="178"/>
    </row>
    <row r="34544" spans="18:19">
      <c r="R34544" s="178"/>
      <c r="S34544" s="178"/>
    </row>
    <row r="34545" spans="18:19">
      <c r="R34545" s="178"/>
      <c r="S34545" s="178"/>
    </row>
    <row r="34546" spans="18:19">
      <c r="R34546" s="178"/>
      <c r="S34546" s="178"/>
    </row>
    <row r="34547" spans="18:19">
      <c r="R34547" s="178"/>
      <c r="S34547" s="178"/>
    </row>
    <row r="34548" spans="18:19">
      <c r="R34548" s="178"/>
      <c r="S34548" s="178"/>
    </row>
    <row r="34549" spans="18:19">
      <c r="R34549" s="178"/>
      <c r="S34549" s="178"/>
    </row>
    <row r="34550" spans="18:19">
      <c r="R34550" s="178"/>
      <c r="S34550" s="178"/>
    </row>
    <row r="34551" spans="18:19">
      <c r="R34551" s="178"/>
      <c r="S34551" s="178"/>
    </row>
    <row r="34552" spans="18:19">
      <c r="R34552" s="178"/>
      <c r="S34552" s="178"/>
    </row>
    <row r="34553" spans="18:19">
      <c r="R34553" s="178"/>
      <c r="S34553" s="178"/>
    </row>
    <row r="34554" spans="18:19">
      <c r="R34554" s="178"/>
      <c r="S34554" s="178"/>
    </row>
    <row r="34555" spans="18:19">
      <c r="R34555" s="178"/>
      <c r="S34555" s="178"/>
    </row>
    <row r="34556" spans="18:19">
      <c r="R34556" s="178"/>
      <c r="S34556" s="178"/>
    </row>
    <row r="34557" spans="18:19">
      <c r="R34557" s="178"/>
      <c r="S34557" s="178"/>
    </row>
    <row r="34558" spans="18:19">
      <c r="R34558" s="178"/>
      <c r="S34558" s="178"/>
    </row>
    <row r="34559" spans="18:19">
      <c r="R34559" s="178"/>
      <c r="S34559" s="178"/>
    </row>
    <row r="34560" spans="18:19">
      <c r="R34560" s="178"/>
      <c r="S34560" s="178"/>
    </row>
    <row r="34561" spans="18:19">
      <c r="R34561" s="178"/>
      <c r="S34561" s="178"/>
    </row>
    <row r="34562" spans="18:19">
      <c r="R34562" s="178"/>
      <c r="S34562" s="178"/>
    </row>
    <row r="34563" spans="18:19">
      <c r="R34563" s="178"/>
      <c r="S34563" s="178"/>
    </row>
    <row r="34564" spans="18:19">
      <c r="R34564" s="178"/>
      <c r="S34564" s="178"/>
    </row>
    <row r="34565" spans="18:19">
      <c r="R34565" s="178"/>
      <c r="S34565" s="178"/>
    </row>
    <row r="34566" spans="18:19">
      <c r="R34566" s="178"/>
      <c r="S34566" s="178"/>
    </row>
    <row r="34567" spans="18:19">
      <c r="R34567" s="178"/>
      <c r="S34567" s="178"/>
    </row>
    <row r="34568" spans="18:19">
      <c r="R34568" s="178"/>
      <c r="S34568" s="178"/>
    </row>
    <row r="34569" spans="18:19">
      <c r="R34569" s="178"/>
      <c r="S34569" s="178"/>
    </row>
    <row r="34570" spans="18:19">
      <c r="R34570" s="178"/>
      <c r="S34570" s="178"/>
    </row>
    <row r="34571" spans="18:19">
      <c r="R34571" s="178"/>
      <c r="S34571" s="178"/>
    </row>
    <row r="34572" spans="18:19">
      <c r="R34572" s="178"/>
      <c r="S34572" s="178"/>
    </row>
    <row r="34573" spans="18:19">
      <c r="R34573" s="178"/>
      <c r="S34573" s="178"/>
    </row>
    <row r="34574" spans="18:19">
      <c r="R34574" s="178"/>
      <c r="S34574" s="178"/>
    </row>
    <row r="34575" spans="18:19">
      <c r="R34575" s="178"/>
      <c r="S34575" s="178"/>
    </row>
    <row r="34576" spans="18:19">
      <c r="R34576" s="178"/>
      <c r="S34576" s="178"/>
    </row>
    <row r="34577" spans="18:19">
      <c r="R34577" s="178"/>
      <c r="S34577" s="178"/>
    </row>
    <row r="34578" spans="18:19">
      <c r="R34578" s="178"/>
      <c r="S34578" s="178"/>
    </row>
    <row r="34579" spans="18:19">
      <c r="R34579" s="178"/>
      <c r="S34579" s="178"/>
    </row>
    <row r="34580" spans="18:19">
      <c r="R34580" s="178"/>
      <c r="S34580" s="178"/>
    </row>
    <row r="34581" spans="18:19">
      <c r="R34581" s="178"/>
      <c r="S34581" s="178"/>
    </row>
    <row r="34582" spans="18:19">
      <c r="R34582" s="178"/>
      <c r="S34582" s="178"/>
    </row>
    <row r="34583" spans="18:19">
      <c r="R34583" s="178"/>
      <c r="S34583" s="178"/>
    </row>
    <row r="34584" spans="18:19">
      <c r="R34584" s="178"/>
      <c r="S34584" s="178"/>
    </row>
    <row r="34585" spans="18:19">
      <c r="R34585" s="178"/>
      <c r="S34585" s="178"/>
    </row>
    <row r="34586" spans="18:19">
      <c r="R34586" s="178"/>
      <c r="S34586" s="178"/>
    </row>
    <row r="34587" spans="18:19">
      <c r="R34587" s="178"/>
      <c r="S34587" s="178"/>
    </row>
    <row r="34588" spans="18:19">
      <c r="R34588" s="178"/>
      <c r="S34588" s="178"/>
    </row>
    <row r="34589" spans="18:19">
      <c r="R34589" s="178"/>
      <c r="S34589" s="178"/>
    </row>
    <row r="34590" spans="18:19">
      <c r="R34590" s="178"/>
      <c r="S34590" s="178"/>
    </row>
    <row r="34591" spans="18:19">
      <c r="R34591" s="178"/>
      <c r="S34591" s="178"/>
    </row>
    <row r="34592" spans="18:19">
      <c r="R34592" s="178"/>
      <c r="S34592" s="178"/>
    </row>
    <row r="34593" spans="18:19">
      <c r="R34593" s="178"/>
      <c r="S34593" s="178"/>
    </row>
    <row r="34594" spans="18:19">
      <c r="R34594" s="178"/>
      <c r="S34594" s="178"/>
    </row>
    <row r="34595" spans="18:19">
      <c r="R34595" s="178"/>
      <c r="S34595" s="178"/>
    </row>
    <row r="34596" spans="18:19">
      <c r="R34596" s="178"/>
      <c r="S34596" s="178"/>
    </row>
    <row r="34597" spans="18:19">
      <c r="R34597" s="178"/>
      <c r="S34597" s="178"/>
    </row>
    <row r="34598" spans="18:19">
      <c r="R34598" s="178"/>
      <c r="S34598" s="178"/>
    </row>
    <row r="34599" spans="18:19">
      <c r="R34599" s="178"/>
      <c r="S34599" s="178"/>
    </row>
    <row r="34600" spans="18:19">
      <c r="R34600" s="178"/>
      <c r="S34600" s="178"/>
    </row>
    <row r="34601" spans="18:19">
      <c r="R34601" s="178"/>
      <c r="S34601" s="178"/>
    </row>
    <row r="34602" spans="18:19">
      <c r="R34602" s="178"/>
      <c r="S34602" s="178"/>
    </row>
    <row r="34603" spans="18:19">
      <c r="R34603" s="178"/>
      <c r="S34603" s="178"/>
    </row>
    <row r="34604" spans="18:19">
      <c r="R34604" s="178"/>
      <c r="S34604" s="178"/>
    </row>
    <row r="34605" spans="18:19">
      <c r="R34605" s="178"/>
      <c r="S34605" s="178"/>
    </row>
    <row r="34606" spans="18:19">
      <c r="R34606" s="178"/>
      <c r="S34606" s="178"/>
    </row>
    <row r="34607" spans="18:19">
      <c r="R34607" s="178"/>
      <c r="S34607" s="178"/>
    </row>
    <row r="34608" spans="18:19">
      <c r="R34608" s="178"/>
      <c r="S34608" s="178"/>
    </row>
    <row r="34609" spans="18:19">
      <c r="R34609" s="178"/>
      <c r="S34609" s="178"/>
    </row>
    <row r="34610" spans="18:19">
      <c r="R34610" s="178"/>
      <c r="S34610" s="178"/>
    </row>
    <row r="34611" spans="18:19">
      <c r="R34611" s="178"/>
      <c r="S34611" s="178"/>
    </row>
    <row r="34612" spans="18:19">
      <c r="R34612" s="178"/>
      <c r="S34612" s="178"/>
    </row>
    <row r="34613" spans="18:19">
      <c r="R34613" s="178"/>
      <c r="S34613" s="178"/>
    </row>
    <row r="34614" spans="18:19">
      <c r="R34614" s="178"/>
      <c r="S34614" s="178"/>
    </row>
    <row r="34615" spans="18:19">
      <c r="R34615" s="178"/>
      <c r="S34615" s="178"/>
    </row>
    <row r="34616" spans="18:19">
      <c r="R34616" s="178"/>
      <c r="S34616" s="178"/>
    </row>
    <row r="34617" spans="18:19">
      <c r="R34617" s="178"/>
      <c r="S34617" s="178"/>
    </row>
    <row r="34618" spans="18:19">
      <c r="R34618" s="178"/>
      <c r="S34618" s="178"/>
    </row>
    <row r="34619" spans="18:19">
      <c r="R34619" s="178"/>
      <c r="S34619" s="178"/>
    </row>
    <row r="34620" spans="18:19">
      <c r="R34620" s="178"/>
      <c r="S34620" s="178"/>
    </row>
    <row r="34621" spans="18:19">
      <c r="R34621" s="178"/>
      <c r="S34621" s="178"/>
    </row>
    <row r="34622" spans="18:19">
      <c r="R34622" s="178"/>
      <c r="S34622" s="178"/>
    </row>
    <row r="34623" spans="18:19">
      <c r="R34623" s="178"/>
      <c r="S34623" s="178"/>
    </row>
    <row r="34624" spans="18:19">
      <c r="R34624" s="178"/>
      <c r="S34624" s="178"/>
    </row>
    <row r="34625" spans="18:19">
      <c r="R34625" s="178"/>
      <c r="S34625" s="178"/>
    </row>
    <row r="34626" spans="18:19">
      <c r="R34626" s="178"/>
      <c r="S34626" s="178"/>
    </row>
    <row r="34627" spans="18:19">
      <c r="R34627" s="178"/>
      <c r="S34627" s="178"/>
    </row>
    <row r="34628" spans="18:19">
      <c r="R34628" s="178"/>
      <c r="S34628" s="178"/>
    </row>
    <row r="34629" spans="18:19">
      <c r="R34629" s="178"/>
      <c r="S34629" s="178"/>
    </row>
    <row r="34630" spans="18:19">
      <c r="R34630" s="178"/>
      <c r="S34630" s="178"/>
    </row>
    <row r="34631" spans="18:19">
      <c r="R34631" s="178"/>
      <c r="S34631" s="178"/>
    </row>
    <row r="34632" spans="18:19">
      <c r="R34632" s="178"/>
      <c r="S34632" s="178"/>
    </row>
    <row r="34633" spans="18:19">
      <c r="R34633" s="178"/>
      <c r="S34633" s="178"/>
    </row>
    <row r="34634" spans="18:19">
      <c r="R34634" s="178"/>
      <c r="S34634" s="178"/>
    </row>
    <row r="34635" spans="18:19">
      <c r="R34635" s="178"/>
      <c r="S34635" s="178"/>
    </row>
    <row r="34636" spans="18:19">
      <c r="R34636" s="178"/>
      <c r="S34636" s="178"/>
    </row>
    <row r="34637" spans="18:19">
      <c r="R34637" s="178"/>
      <c r="S34637" s="178"/>
    </row>
    <row r="34638" spans="18:19">
      <c r="R34638" s="178"/>
      <c r="S34638" s="178"/>
    </row>
    <row r="34639" spans="18:19">
      <c r="R34639" s="178"/>
      <c r="S34639" s="178"/>
    </row>
    <row r="34640" spans="18:19">
      <c r="R34640" s="178"/>
      <c r="S34640" s="178"/>
    </row>
    <row r="34641" spans="18:19">
      <c r="R34641" s="178"/>
      <c r="S34641" s="178"/>
    </row>
    <row r="34642" spans="18:19">
      <c r="R34642" s="178"/>
      <c r="S34642" s="178"/>
    </row>
    <row r="34643" spans="18:19">
      <c r="R34643" s="178"/>
      <c r="S34643" s="178"/>
    </row>
    <row r="34644" spans="18:19">
      <c r="R34644" s="178"/>
      <c r="S34644" s="178"/>
    </row>
    <row r="34645" spans="18:19">
      <c r="R34645" s="178"/>
      <c r="S34645" s="178"/>
    </row>
    <row r="34646" spans="18:19">
      <c r="R34646" s="178"/>
      <c r="S34646" s="178"/>
    </row>
    <row r="34647" spans="18:19">
      <c r="R34647" s="178"/>
      <c r="S34647" s="178"/>
    </row>
    <row r="34648" spans="18:19">
      <c r="R34648" s="178"/>
      <c r="S34648" s="178"/>
    </row>
    <row r="34649" spans="18:19">
      <c r="R34649" s="178"/>
      <c r="S34649" s="178"/>
    </row>
    <row r="34650" spans="18:19">
      <c r="R34650" s="178"/>
      <c r="S34650" s="178"/>
    </row>
    <row r="34651" spans="18:19">
      <c r="R34651" s="178"/>
      <c r="S34651" s="178"/>
    </row>
    <row r="34652" spans="18:19">
      <c r="R34652" s="178"/>
      <c r="S34652" s="178"/>
    </row>
    <row r="34653" spans="18:19">
      <c r="R34653" s="178"/>
      <c r="S34653" s="178"/>
    </row>
    <row r="34654" spans="18:19">
      <c r="R34654" s="178"/>
      <c r="S34654" s="178"/>
    </row>
    <row r="34655" spans="18:19">
      <c r="R34655" s="178"/>
      <c r="S34655" s="178"/>
    </row>
    <row r="34656" spans="18:19">
      <c r="R34656" s="178"/>
      <c r="S34656" s="178"/>
    </row>
    <row r="34657" spans="18:19">
      <c r="R34657" s="178"/>
      <c r="S34657" s="178"/>
    </row>
    <row r="34658" spans="18:19">
      <c r="R34658" s="178"/>
      <c r="S34658" s="178"/>
    </row>
    <row r="34659" spans="18:19">
      <c r="R34659" s="178"/>
      <c r="S34659" s="178"/>
    </row>
    <row r="34660" spans="18:19">
      <c r="R34660" s="178"/>
      <c r="S34660" s="178"/>
    </row>
    <row r="34661" spans="18:19">
      <c r="R34661" s="178"/>
      <c r="S34661" s="178"/>
    </row>
    <row r="34662" spans="18:19">
      <c r="R34662" s="178"/>
      <c r="S34662" s="178"/>
    </row>
    <row r="34663" spans="18:19">
      <c r="R34663" s="178"/>
      <c r="S34663" s="178"/>
    </row>
    <row r="34664" spans="18:19">
      <c r="R34664" s="178"/>
      <c r="S34664" s="178"/>
    </row>
    <row r="34665" spans="18:19">
      <c r="R34665" s="178"/>
      <c r="S34665" s="178"/>
    </row>
    <row r="34666" spans="18:19">
      <c r="R34666" s="178"/>
      <c r="S34666" s="178"/>
    </row>
    <row r="34667" spans="18:19">
      <c r="R34667" s="178"/>
      <c r="S34667" s="178"/>
    </row>
    <row r="34668" spans="18:19">
      <c r="R34668" s="178"/>
      <c r="S34668" s="178"/>
    </row>
    <row r="34669" spans="18:19">
      <c r="R34669" s="178"/>
      <c r="S34669" s="178"/>
    </row>
    <row r="34670" spans="18:19">
      <c r="R34670" s="178"/>
      <c r="S34670" s="178"/>
    </row>
    <row r="34671" spans="18:19">
      <c r="R34671" s="178"/>
      <c r="S34671" s="178"/>
    </row>
    <row r="34672" spans="18:19">
      <c r="R34672" s="178"/>
      <c r="S34672" s="178"/>
    </row>
    <row r="34673" spans="18:19">
      <c r="R34673" s="178"/>
      <c r="S34673" s="178"/>
    </row>
    <row r="34674" spans="18:19">
      <c r="R34674" s="178"/>
      <c r="S34674" s="178"/>
    </row>
    <row r="34675" spans="18:19">
      <c r="R34675" s="178"/>
      <c r="S34675" s="178"/>
    </row>
    <row r="34676" spans="18:19">
      <c r="R34676" s="178"/>
      <c r="S34676" s="178"/>
    </row>
    <row r="34677" spans="18:19">
      <c r="R34677" s="178"/>
      <c r="S34677" s="178"/>
    </row>
    <row r="34678" spans="18:19">
      <c r="R34678" s="178"/>
      <c r="S34678" s="178"/>
    </row>
    <row r="34679" spans="18:19">
      <c r="R34679" s="178"/>
      <c r="S34679" s="178"/>
    </row>
    <row r="34680" spans="18:19">
      <c r="R34680" s="178"/>
      <c r="S34680" s="178"/>
    </row>
    <row r="34681" spans="18:19">
      <c r="R34681" s="178"/>
      <c r="S34681" s="178"/>
    </row>
    <row r="34682" spans="18:19">
      <c r="R34682" s="178"/>
      <c r="S34682" s="178"/>
    </row>
    <row r="34683" spans="18:19">
      <c r="R34683" s="178"/>
      <c r="S34683" s="178"/>
    </row>
    <row r="34684" spans="18:19">
      <c r="R34684" s="178"/>
      <c r="S34684" s="178"/>
    </row>
    <row r="34685" spans="18:19">
      <c r="R34685" s="178"/>
      <c r="S34685" s="178"/>
    </row>
    <row r="34686" spans="18:19">
      <c r="R34686" s="178"/>
      <c r="S34686" s="178"/>
    </row>
    <row r="34687" spans="18:19">
      <c r="R34687" s="178"/>
      <c r="S34687" s="178"/>
    </row>
    <row r="34688" spans="18:19">
      <c r="R34688" s="178"/>
      <c r="S34688" s="178"/>
    </row>
    <row r="34689" spans="18:19">
      <c r="R34689" s="178"/>
      <c r="S34689" s="178"/>
    </row>
    <row r="34690" spans="18:19">
      <c r="R34690" s="178"/>
      <c r="S34690" s="178"/>
    </row>
    <row r="34691" spans="18:19">
      <c r="R34691" s="178"/>
      <c r="S34691" s="178"/>
    </row>
    <row r="34692" spans="18:19">
      <c r="R34692" s="178"/>
      <c r="S34692" s="178"/>
    </row>
    <row r="34693" spans="18:19">
      <c r="R34693" s="178"/>
      <c r="S34693" s="178"/>
    </row>
    <row r="34694" spans="18:19">
      <c r="R34694" s="178"/>
      <c r="S34694" s="178"/>
    </row>
    <row r="34695" spans="18:19">
      <c r="R34695" s="178"/>
      <c r="S34695" s="178"/>
    </row>
    <row r="34696" spans="18:19">
      <c r="R34696" s="178"/>
      <c r="S34696" s="178"/>
    </row>
    <row r="34697" spans="18:19">
      <c r="R34697" s="178"/>
      <c r="S34697" s="178"/>
    </row>
    <row r="34698" spans="18:19">
      <c r="R34698" s="178"/>
      <c r="S34698" s="178"/>
    </row>
    <row r="34699" spans="18:19">
      <c r="R34699" s="178"/>
      <c r="S34699" s="178"/>
    </row>
    <row r="34700" spans="18:19">
      <c r="R34700" s="178"/>
      <c r="S34700" s="178"/>
    </row>
    <row r="34701" spans="18:19">
      <c r="R34701" s="178"/>
      <c r="S34701" s="178"/>
    </row>
    <row r="34702" spans="18:19">
      <c r="R34702" s="178"/>
      <c r="S34702" s="178"/>
    </row>
    <row r="34703" spans="18:19">
      <c r="R34703" s="178"/>
      <c r="S34703" s="178"/>
    </row>
    <row r="34704" spans="18:19">
      <c r="R34704" s="178"/>
      <c r="S34704" s="178"/>
    </row>
    <row r="34705" spans="18:19">
      <c r="R34705" s="178"/>
      <c r="S34705" s="178"/>
    </row>
    <row r="34706" spans="18:19">
      <c r="R34706" s="178"/>
      <c r="S34706" s="178"/>
    </row>
    <row r="34707" spans="18:19">
      <c r="R34707" s="178"/>
      <c r="S34707" s="178"/>
    </row>
    <row r="34708" spans="18:19">
      <c r="R34708" s="178"/>
      <c r="S34708" s="178"/>
    </row>
    <row r="34709" spans="18:19">
      <c r="R34709" s="178"/>
      <c r="S34709" s="178"/>
    </row>
    <row r="34710" spans="18:19">
      <c r="R34710" s="178"/>
      <c r="S34710" s="178"/>
    </row>
    <row r="34711" spans="18:19">
      <c r="R34711" s="178"/>
      <c r="S34711" s="178"/>
    </row>
    <row r="34712" spans="18:19">
      <c r="R34712" s="178"/>
      <c r="S34712" s="178"/>
    </row>
    <row r="34713" spans="18:19">
      <c r="R34713" s="178"/>
      <c r="S34713" s="178"/>
    </row>
    <row r="34714" spans="18:19">
      <c r="R34714" s="178"/>
      <c r="S34714" s="178"/>
    </row>
    <row r="34715" spans="18:19">
      <c r="R34715" s="178"/>
      <c r="S34715" s="178"/>
    </row>
    <row r="34716" spans="18:19">
      <c r="R34716" s="178"/>
      <c r="S34716" s="178"/>
    </row>
    <row r="34717" spans="18:19">
      <c r="R34717" s="178"/>
      <c r="S34717" s="178"/>
    </row>
    <row r="34718" spans="18:19">
      <c r="R34718" s="178"/>
      <c r="S34718" s="178"/>
    </row>
    <row r="34719" spans="18:19">
      <c r="R34719" s="178"/>
      <c r="S34719" s="178"/>
    </row>
    <row r="34720" spans="18:19">
      <c r="R34720" s="178"/>
      <c r="S34720" s="178"/>
    </row>
    <row r="34721" spans="18:19">
      <c r="R34721" s="178"/>
      <c r="S34721" s="178"/>
    </row>
    <row r="34722" spans="18:19">
      <c r="R34722" s="178"/>
      <c r="S34722" s="178"/>
    </row>
    <row r="34723" spans="18:19">
      <c r="R34723" s="178"/>
      <c r="S34723" s="178"/>
    </row>
    <row r="34724" spans="18:19">
      <c r="R34724" s="178"/>
      <c r="S34724" s="178"/>
    </row>
    <row r="34725" spans="18:19">
      <c r="R34725" s="178"/>
      <c r="S34725" s="178"/>
    </row>
    <row r="34726" spans="18:19">
      <c r="R34726" s="178"/>
      <c r="S34726" s="178"/>
    </row>
    <row r="34727" spans="18:19">
      <c r="R34727" s="178"/>
      <c r="S34727" s="178"/>
    </row>
    <row r="34728" spans="18:19">
      <c r="R34728" s="178"/>
      <c r="S34728" s="178"/>
    </row>
    <row r="34729" spans="18:19">
      <c r="R34729" s="178"/>
      <c r="S34729" s="178"/>
    </row>
    <row r="34730" spans="18:19">
      <c r="R34730" s="178"/>
      <c r="S34730" s="178"/>
    </row>
    <row r="34731" spans="18:19">
      <c r="R34731" s="178"/>
      <c r="S34731" s="178"/>
    </row>
    <row r="34732" spans="18:19">
      <c r="R34732" s="178"/>
      <c r="S34732" s="178"/>
    </row>
    <row r="34733" spans="18:19">
      <c r="R34733" s="178"/>
      <c r="S34733" s="178"/>
    </row>
    <row r="34734" spans="18:19">
      <c r="R34734" s="178"/>
      <c r="S34734" s="178"/>
    </row>
    <row r="34735" spans="18:19">
      <c r="R34735" s="178"/>
      <c r="S34735" s="178"/>
    </row>
    <row r="34736" spans="18:19">
      <c r="R34736" s="178"/>
      <c r="S34736" s="178"/>
    </row>
    <row r="34737" spans="18:19">
      <c r="R34737" s="178"/>
      <c r="S34737" s="178"/>
    </row>
    <row r="34738" spans="18:19">
      <c r="R34738" s="178"/>
      <c r="S34738" s="178"/>
    </row>
    <row r="34739" spans="18:19">
      <c r="R34739" s="178"/>
      <c r="S34739" s="178"/>
    </row>
    <row r="34740" spans="18:19">
      <c r="R34740" s="178"/>
      <c r="S34740" s="178"/>
    </row>
    <row r="34741" spans="18:19">
      <c r="R34741" s="178"/>
      <c r="S34741" s="178"/>
    </row>
    <row r="34742" spans="18:19">
      <c r="R34742" s="178"/>
      <c r="S34742" s="178"/>
    </row>
    <row r="34743" spans="18:19">
      <c r="R34743" s="178"/>
      <c r="S34743" s="178"/>
    </row>
    <row r="34744" spans="18:19">
      <c r="R34744" s="178"/>
      <c r="S34744" s="178"/>
    </row>
    <row r="34745" spans="18:19">
      <c r="R34745" s="178"/>
      <c r="S34745" s="178"/>
    </row>
    <row r="34746" spans="18:19">
      <c r="R34746" s="178"/>
      <c r="S34746" s="178"/>
    </row>
    <row r="34747" spans="18:19">
      <c r="R34747" s="178"/>
      <c r="S34747" s="178"/>
    </row>
    <row r="34748" spans="18:19">
      <c r="R34748" s="178"/>
      <c r="S34748" s="178"/>
    </row>
    <row r="34749" spans="18:19">
      <c r="R34749" s="178"/>
      <c r="S34749" s="178"/>
    </row>
    <row r="34750" spans="18:19">
      <c r="R34750" s="178"/>
      <c r="S34750" s="178"/>
    </row>
    <row r="34751" spans="18:19">
      <c r="R34751" s="178"/>
      <c r="S34751" s="178"/>
    </row>
    <row r="34752" spans="18:19">
      <c r="R34752" s="178"/>
      <c r="S34752" s="178"/>
    </row>
    <row r="34753" spans="18:19">
      <c r="R34753" s="178"/>
      <c r="S34753" s="178"/>
    </row>
    <row r="34754" spans="18:19">
      <c r="R34754" s="178"/>
      <c r="S34754" s="178"/>
    </row>
    <row r="34755" spans="18:19">
      <c r="R34755" s="178"/>
      <c r="S34755" s="178"/>
    </row>
    <row r="34756" spans="18:19">
      <c r="R34756" s="178"/>
      <c r="S34756" s="178"/>
    </row>
    <row r="34757" spans="18:19">
      <c r="R34757" s="178"/>
      <c r="S34757" s="178"/>
    </row>
    <row r="34758" spans="18:19">
      <c r="R34758" s="178"/>
      <c r="S34758" s="178"/>
    </row>
    <row r="34759" spans="18:19">
      <c r="R34759" s="178"/>
      <c r="S34759" s="178"/>
    </row>
    <row r="34760" spans="18:19">
      <c r="R34760" s="178"/>
      <c r="S34760" s="178"/>
    </row>
    <row r="34761" spans="18:19">
      <c r="R34761" s="178"/>
      <c r="S34761" s="178"/>
    </row>
    <row r="34762" spans="18:19">
      <c r="R34762" s="178"/>
      <c r="S34762" s="178"/>
    </row>
    <row r="34763" spans="18:19">
      <c r="R34763" s="178"/>
      <c r="S34763" s="178"/>
    </row>
    <row r="34764" spans="18:19">
      <c r="R34764" s="178"/>
      <c r="S34764" s="178"/>
    </row>
    <row r="34765" spans="18:19">
      <c r="R34765" s="178"/>
      <c r="S34765" s="178"/>
    </row>
    <row r="34766" spans="18:19">
      <c r="R34766" s="178"/>
      <c r="S34766" s="178"/>
    </row>
    <row r="34767" spans="18:19">
      <c r="R34767" s="178"/>
      <c r="S34767" s="178"/>
    </row>
    <row r="34768" spans="18:19">
      <c r="R34768" s="178"/>
      <c r="S34768" s="178"/>
    </row>
    <row r="34769" spans="18:19">
      <c r="R34769" s="178"/>
      <c r="S34769" s="178"/>
    </row>
    <row r="34770" spans="18:19">
      <c r="R34770" s="178"/>
      <c r="S34770" s="178"/>
    </row>
    <row r="34771" spans="18:19">
      <c r="R34771" s="178"/>
      <c r="S34771" s="178"/>
    </row>
    <row r="34772" spans="18:19">
      <c r="R34772" s="178"/>
      <c r="S34772" s="178"/>
    </row>
    <row r="34773" spans="18:19">
      <c r="R34773" s="178"/>
      <c r="S34773" s="178"/>
    </row>
    <row r="34774" spans="18:19">
      <c r="R34774" s="178"/>
      <c r="S34774" s="178"/>
    </row>
    <row r="34775" spans="18:19">
      <c r="R34775" s="178"/>
      <c r="S34775" s="178"/>
    </row>
    <row r="34776" spans="18:19">
      <c r="R34776" s="178"/>
      <c r="S34776" s="178"/>
    </row>
    <row r="34777" spans="18:19">
      <c r="R34777" s="178"/>
      <c r="S34777" s="178"/>
    </row>
    <row r="34778" spans="18:19">
      <c r="R34778" s="178"/>
      <c r="S34778" s="178"/>
    </row>
    <row r="34779" spans="18:19">
      <c r="R34779" s="178"/>
      <c r="S34779" s="178"/>
    </row>
    <row r="34780" spans="18:19">
      <c r="R34780" s="178"/>
      <c r="S34780" s="178"/>
    </row>
    <row r="34781" spans="18:19">
      <c r="R34781" s="178"/>
      <c r="S34781" s="178"/>
    </row>
    <row r="34782" spans="18:19">
      <c r="R34782" s="178"/>
      <c r="S34782" s="178"/>
    </row>
    <row r="34783" spans="18:19">
      <c r="R34783" s="178"/>
      <c r="S34783" s="178"/>
    </row>
    <row r="34784" spans="18:19">
      <c r="R34784" s="178"/>
      <c r="S34784" s="178"/>
    </row>
    <row r="34785" spans="18:19">
      <c r="R34785" s="178"/>
      <c r="S34785" s="178"/>
    </row>
    <row r="34786" spans="18:19">
      <c r="R34786" s="178"/>
      <c r="S34786" s="178"/>
    </row>
    <row r="34787" spans="18:19">
      <c r="R34787" s="178"/>
      <c r="S34787" s="178"/>
    </row>
    <row r="34788" spans="18:19">
      <c r="R34788" s="178"/>
      <c r="S34788" s="178"/>
    </row>
    <row r="34789" spans="18:19">
      <c r="R34789" s="178"/>
      <c r="S34789" s="178"/>
    </row>
    <row r="34790" spans="18:19">
      <c r="R34790" s="178"/>
      <c r="S34790" s="178"/>
    </row>
    <row r="34791" spans="18:19">
      <c r="R34791" s="178"/>
      <c r="S34791" s="178"/>
    </row>
    <row r="34792" spans="18:19">
      <c r="R34792" s="178"/>
      <c r="S34792" s="178"/>
    </row>
    <row r="34793" spans="18:19">
      <c r="R34793" s="178"/>
      <c r="S34793" s="178"/>
    </row>
    <row r="34794" spans="18:19">
      <c r="R34794" s="178"/>
      <c r="S34794" s="178"/>
    </row>
    <row r="34795" spans="18:19">
      <c r="R34795" s="178"/>
      <c r="S34795" s="178"/>
    </row>
    <row r="34796" spans="18:19">
      <c r="R34796" s="178"/>
      <c r="S34796" s="178"/>
    </row>
    <row r="34797" spans="18:19">
      <c r="R34797" s="178"/>
      <c r="S34797" s="178"/>
    </row>
    <row r="34798" spans="18:19">
      <c r="R34798" s="178"/>
      <c r="S34798" s="178"/>
    </row>
    <row r="34799" spans="18:19">
      <c r="R34799" s="178"/>
      <c r="S34799" s="178"/>
    </row>
    <row r="34800" spans="18:19">
      <c r="R34800" s="178"/>
      <c r="S34800" s="178"/>
    </row>
    <row r="34801" spans="18:19">
      <c r="R34801" s="178"/>
      <c r="S34801" s="178"/>
    </row>
    <row r="34802" spans="18:19">
      <c r="R34802" s="178"/>
      <c r="S34802" s="178"/>
    </row>
    <row r="34803" spans="18:19">
      <c r="R34803" s="178"/>
      <c r="S34803" s="178"/>
    </row>
    <row r="34804" spans="18:19">
      <c r="R34804" s="178"/>
      <c r="S34804" s="178"/>
    </row>
    <row r="34805" spans="18:19">
      <c r="R34805" s="178"/>
      <c r="S34805" s="178"/>
    </row>
    <row r="34806" spans="18:19">
      <c r="R34806" s="178"/>
      <c r="S34806" s="178"/>
    </row>
    <row r="34807" spans="18:19">
      <c r="R34807" s="178"/>
      <c r="S34807" s="178"/>
    </row>
    <row r="34808" spans="18:19">
      <c r="R34808" s="178"/>
      <c r="S34808" s="178"/>
    </row>
    <row r="34809" spans="18:19">
      <c r="R34809" s="178"/>
      <c r="S34809" s="178"/>
    </row>
    <row r="34810" spans="18:19">
      <c r="R34810" s="178"/>
      <c r="S34810" s="178"/>
    </row>
    <row r="34811" spans="18:19">
      <c r="R34811" s="178"/>
      <c r="S34811" s="178"/>
    </row>
    <row r="34812" spans="18:19">
      <c r="R34812" s="178"/>
      <c r="S34812" s="178"/>
    </row>
    <row r="34813" spans="18:19">
      <c r="R34813" s="178"/>
      <c r="S34813" s="178"/>
    </row>
    <row r="34814" spans="18:19">
      <c r="R34814" s="178"/>
      <c r="S34814" s="178"/>
    </row>
    <row r="34815" spans="18:19">
      <c r="R34815" s="178"/>
      <c r="S34815" s="178"/>
    </row>
    <row r="34816" spans="18:19">
      <c r="R34816" s="178"/>
      <c r="S34816" s="178"/>
    </row>
    <row r="34817" spans="18:19">
      <c r="R34817" s="178"/>
      <c r="S34817" s="178"/>
    </row>
    <row r="34818" spans="18:19">
      <c r="R34818" s="178"/>
      <c r="S34818" s="178"/>
    </row>
    <row r="34819" spans="18:19">
      <c r="R34819" s="178"/>
      <c r="S34819" s="178"/>
    </row>
    <row r="34820" spans="18:19">
      <c r="R34820" s="178"/>
      <c r="S34820" s="178"/>
    </row>
    <row r="34821" spans="18:19">
      <c r="R34821" s="178"/>
      <c r="S34821" s="178"/>
    </row>
    <row r="34822" spans="18:19">
      <c r="R34822" s="178"/>
      <c r="S34822" s="178"/>
    </row>
    <row r="34823" spans="18:19">
      <c r="R34823" s="178"/>
      <c r="S34823" s="178"/>
    </row>
    <row r="34824" spans="18:19">
      <c r="R34824" s="178"/>
      <c r="S34824" s="178"/>
    </row>
    <row r="34825" spans="18:19">
      <c r="R34825" s="178"/>
      <c r="S34825" s="178"/>
    </row>
    <row r="34826" spans="18:19">
      <c r="R34826" s="178"/>
      <c r="S34826" s="178"/>
    </row>
    <row r="34827" spans="18:19">
      <c r="R34827" s="178"/>
      <c r="S34827" s="178"/>
    </row>
    <row r="34828" spans="18:19">
      <c r="R34828" s="178"/>
      <c r="S34828" s="178"/>
    </row>
    <row r="34829" spans="18:19">
      <c r="R34829" s="178"/>
      <c r="S34829" s="178"/>
    </row>
    <row r="34830" spans="18:19">
      <c r="R34830" s="178"/>
      <c r="S34830" s="178"/>
    </row>
    <row r="34831" spans="18:19">
      <c r="R34831" s="178"/>
      <c r="S34831" s="178"/>
    </row>
    <row r="34832" spans="18:19">
      <c r="R34832" s="178"/>
      <c r="S34832" s="178"/>
    </row>
    <row r="34833" spans="18:19">
      <c r="R34833" s="178"/>
      <c r="S34833" s="178"/>
    </row>
    <row r="34834" spans="18:19">
      <c r="R34834" s="178"/>
      <c r="S34834" s="178"/>
    </row>
    <row r="34835" spans="18:19">
      <c r="R34835" s="178"/>
      <c r="S34835" s="178"/>
    </row>
    <row r="34836" spans="18:19">
      <c r="R34836" s="178"/>
      <c r="S34836" s="178"/>
    </row>
    <row r="34837" spans="18:19">
      <c r="R34837" s="178"/>
      <c r="S34837" s="178"/>
    </row>
    <row r="34838" spans="18:19">
      <c r="R34838" s="178"/>
      <c r="S34838" s="178"/>
    </row>
    <row r="34839" spans="18:19">
      <c r="R34839" s="178"/>
      <c r="S34839" s="178"/>
    </row>
    <row r="34840" spans="18:19">
      <c r="R34840" s="178"/>
      <c r="S34840" s="178"/>
    </row>
    <row r="34841" spans="18:19">
      <c r="R34841" s="178"/>
      <c r="S34841" s="178"/>
    </row>
    <row r="34842" spans="18:19">
      <c r="R34842" s="178"/>
      <c r="S34842" s="178"/>
    </row>
    <row r="34843" spans="18:19">
      <c r="R34843" s="178"/>
      <c r="S34843" s="178"/>
    </row>
    <row r="34844" spans="18:19">
      <c r="R34844" s="178"/>
      <c r="S34844" s="178"/>
    </row>
    <row r="34845" spans="18:19">
      <c r="R34845" s="178"/>
      <c r="S34845" s="178"/>
    </row>
    <row r="34846" spans="18:19">
      <c r="R34846" s="178"/>
      <c r="S34846" s="178"/>
    </row>
    <row r="34847" spans="18:19">
      <c r="R34847" s="178"/>
      <c r="S34847" s="178"/>
    </row>
    <row r="34848" spans="18:19">
      <c r="R34848" s="178"/>
      <c r="S34848" s="178"/>
    </row>
    <row r="34849" spans="18:19">
      <c r="R34849" s="178"/>
      <c r="S34849" s="178"/>
    </row>
    <row r="34850" spans="18:19">
      <c r="R34850" s="178"/>
      <c r="S34850" s="178"/>
    </row>
    <row r="34851" spans="18:19">
      <c r="R34851" s="178"/>
      <c r="S34851" s="178"/>
    </row>
    <row r="34852" spans="18:19">
      <c r="R34852" s="178"/>
      <c r="S34852" s="178"/>
    </row>
    <row r="34853" spans="18:19">
      <c r="R34853" s="178"/>
      <c r="S34853" s="178"/>
    </row>
    <row r="34854" spans="18:19">
      <c r="R34854" s="178"/>
      <c r="S34854" s="178"/>
    </row>
    <row r="34855" spans="18:19">
      <c r="R34855" s="178"/>
      <c r="S34855" s="178"/>
    </row>
    <row r="34856" spans="18:19">
      <c r="R34856" s="178"/>
      <c r="S34856" s="178"/>
    </row>
    <row r="34857" spans="18:19">
      <c r="R34857" s="178"/>
      <c r="S34857" s="178"/>
    </row>
    <row r="34858" spans="18:19">
      <c r="R34858" s="178"/>
      <c r="S34858" s="178"/>
    </row>
    <row r="34859" spans="18:19">
      <c r="R34859" s="178"/>
      <c r="S34859" s="178"/>
    </row>
    <row r="34860" spans="18:19">
      <c r="R34860" s="178"/>
      <c r="S34860" s="178"/>
    </row>
    <row r="34861" spans="18:19">
      <c r="R34861" s="178"/>
      <c r="S34861" s="178"/>
    </row>
    <row r="34862" spans="18:19">
      <c r="R34862" s="178"/>
      <c r="S34862" s="178"/>
    </row>
    <row r="34863" spans="18:19">
      <c r="R34863" s="178"/>
      <c r="S34863" s="178"/>
    </row>
    <row r="34864" spans="18:19">
      <c r="R34864" s="178"/>
      <c r="S34864" s="178"/>
    </row>
    <row r="34865" spans="18:19">
      <c r="R34865" s="178"/>
      <c r="S34865" s="178"/>
    </row>
    <row r="34866" spans="18:19">
      <c r="R34866" s="178"/>
      <c r="S34866" s="178"/>
    </row>
    <row r="34867" spans="18:19">
      <c r="R34867" s="178"/>
      <c r="S34867" s="178"/>
    </row>
    <row r="34868" spans="18:19">
      <c r="R34868" s="178"/>
      <c r="S34868" s="178"/>
    </row>
    <row r="34869" spans="18:19">
      <c r="R34869" s="178"/>
      <c r="S34869" s="178"/>
    </row>
    <row r="34870" spans="18:19">
      <c r="R34870" s="178"/>
      <c r="S34870" s="178"/>
    </row>
    <row r="34871" spans="18:19">
      <c r="R34871" s="178"/>
      <c r="S34871" s="178"/>
    </row>
    <row r="34872" spans="18:19">
      <c r="R34872" s="178"/>
      <c r="S34872" s="178"/>
    </row>
    <row r="34873" spans="18:19">
      <c r="R34873" s="178"/>
      <c r="S34873" s="178"/>
    </row>
    <row r="34874" spans="18:19">
      <c r="R34874" s="178"/>
      <c r="S34874" s="178"/>
    </row>
    <row r="34875" spans="18:19">
      <c r="R34875" s="178"/>
      <c r="S34875" s="178"/>
    </row>
    <row r="34876" spans="18:19">
      <c r="R34876" s="178"/>
      <c r="S34876" s="178"/>
    </row>
    <row r="34877" spans="18:19">
      <c r="R34877" s="178"/>
      <c r="S34877" s="178"/>
    </row>
    <row r="34878" spans="18:19">
      <c r="R34878" s="178"/>
      <c r="S34878" s="178"/>
    </row>
    <row r="34879" spans="18:19">
      <c r="R34879" s="178"/>
      <c r="S34879" s="178"/>
    </row>
    <row r="34880" spans="18:19">
      <c r="R34880" s="178"/>
      <c r="S34880" s="178"/>
    </row>
    <row r="34881" spans="18:19">
      <c r="R34881" s="178"/>
      <c r="S34881" s="178"/>
    </row>
    <row r="34882" spans="18:19">
      <c r="R34882" s="178"/>
      <c r="S34882" s="178"/>
    </row>
    <row r="34883" spans="18:19">
      <c r="R34883" s="178"/>
      <c r="S34883" s="178"/>
    </row>
    <row r="34884" spans="18:19">
      <c r="R34884" s="178"/>
      <c r="S34884" s="178"/>
    </row>
    <row r="34885" spans="18:19">
      <c r="R34885" s="178"/>
      <c r="S34885" s="178"/>
    </row>
    <row r="34886" spans="18:19">
      <c r="R34886" s="178"/>
      <c r="S34886" s="178"/>
    </row>
    <row r="34887" spans="18:19">
      <c r="R34887" s="178"/>
      <c r="S34887" s="178"/>
    </row>
    <row r="34888" spans="18:19">
      <c r="R34888" s="178"/>
      <c r="S34888" s="178"/>
    </row>
    <row r="34889" spans="18:19">
      <c r="R34889" s="178"/>
      <c r="S34889" s="178"/>
    </row>
    <row r="34890" spans="18:19">
      <c r="R34890" s="178"/>
      <c r="S34890" s="178"/>
    </row>
    <row r="34891" spans="18:19">
      <c r="R34891" s="178"/>
      <c r="S34891" s="178"/>
    </row>
    <row r="34892" spans="18:19">
      <c r="R34892" s="178"/>
      <c r="S34892" s="178"/>
    </row>
    <row r="34893" spans="18:19">
      <c r="R34893" s="178"/>
      <c r="S34893" s="178"/>
    </row>
    <row r="34894" spans="18:19">
      <c r="R34894" s="178"/>
      <c r="S34894" s="178"/>
    </row>
    <row r="34895" spans="18:19">
      <c r="R34895" s="178"/>
      <c r="S34895" s="178"/>
    </row>
    <row r="34896" spans="18:19">
      <c r="R34896" s="178"/>
      <c r="S34896" s="178"/>
    </row>
    <row r="34897" spans="18:19">
      <c r="R34897" s="178"/>
      <c r="S34897" s="178"/>
    </row>
    <row r="34898" spans="18:19">
      <c r="R34898" s="178"/>
      <c r="S34898" s="178"/>
    </row>
    <row r="34899" spans="18:19">
      <c r="R34899" s="178"/>
      <c r="S34899" s="178"/>
    </row>
    <row r="34900" spans="18:19">
      <c r="R34900" s="178"/>
      <c r="S34900" s="178"/>
    </row>
    <row r="34901" spans="18:19">
      <c r="R34901" s="178"/>
      <c r="S34901" s="178"/>
    </row>
    <row r="34902" spans="18:19">
      <c r="R34902" s="178"/>
      <c r="S34902" s="178"/>
    </row>
    <row r="34903" spans="18:19">
      <c r="R34903" s="178"/>
      <c r="S34903" s="178"/>
    </row>
    <row r="34904" spans="18:19">
      <c r="R34904" s="178"/>
      <c r="S34904" s="178"/>
    </row>
    <row r="34905" spans="18:19">
      <c r="R34905" s="178"/>
      <c r="S34905" s="178"/>
    </row>
    <row r="34906" spans="18:19">
      <c r="R34906" s="178"/>
      <c r="S34906" s="178"/>
    </row>
    <row r="34907" spans="18:19">
      <c r="R34907" s="178"/>
      <c r="S34907" s="178"/>
    </row>
    <row r="34908" spans="18:19">
      <c r="R34908" s="178"/>
      <c r="S34908" s="178"/>
    </row>
    <row r="34909" spans="18:19">
      <c r="R34909" s="178"/>
      <c r="S34909" s="178"/>
    </row>
    <row r="34910" spans="18:19">
      <c r="R34910" s="178"/>
      <c r="S34910" s="178"/>
    </row>
    <row r="34911" spans="18:19">
      <c r="R34911" s="178"/>
      <c r="S34911" s="178"/>
    </row>
    <row r="34912" spans="18:19">
      <c r="R34912" s="178"/>
      <c r="S34912" s="178"/>
    </row>
    <row r="34913" spans="18:19">
      <c r="R34913" s="178"/>
      <c r="S34913" s="178"/>
    </row>
    <row r="34914" spans="18:19">
      <c r="R34914" s="178"/>
      <c r="S34914" s="178"/>
    </row>
    <row r="34915" spans="18:19">
      <c r="R34915" s="178"/>
      <c r="S34915" s="178"/>
    </row>
    <row r="34916" spans="18:19">
      <c r="R34916" s="178"/>
      <c r="S34916" s="178"/>
    </row>
    <row r="34917" spans="18:19">
      <c r="R34917" s="178"/>
      <c r="S34917" s="178"/>
    </row>
    <row r="34918" spans="18:19">
      <c r="R34918" s="178"/>
      <c r="S34918" s="178"/>
    </row>
    <row r="34919" spans="18:19">
      <c r="R34919" s="178"/>
      <c r="S34919" s="178"/>
    </row>
    <row r="34920" spans="18:19">
      <c r="R34920" s="178"/>
      <c r="S34920" s="178"/>
    </row>
    <row r="34921" spans="18:19">
      <c r="R34921" s="178"/>
      <c r="S34921" s="178"/>
    </row>
    <row r="34922" spans="18:19">
      <c r="R34922" s="178"/>
      <c r="S34922" s="178"/>
    </row>
    <row r="34923" spans="18:19">
      <c r="R34923" s="178"/>
      <c r="S34923" s="178"/>
    </row>
    <row r="34924" spans="18:19">
      <c r="R34924" s="178"/>
      <c r="S34924" s="178"/>
    </row>
    <row r="34925" spans="18:19">
      <c r="R34925" s="178"/>
      <c r="S34925" s="178"/>
    </row>
    <row r="34926" spans="18:19">
      <c r="R34926" s="178"/>
      <c r="S34926" s="178"/>
    </row>
    <row r="34927" spans="18:19">
      <c r="R34927" s="178"/>
      <c r="S34927" s="178"/>
    </row>
    <row r="34928" spans="18:19">
      <c r="R34928" s="178"/>
      <c r="S34928" s="178"/>
    </row>
    <row r="34929" spans="18:19">
      <c r="R34929" s="178"/>
      <c r="S34929" s="178"/>
    </row>
    <row r="34930" spans="18:19">
      <c r="R34930" s="178"/>
      <c r="S34930" s="178"/>
    </row>
    <row r="34931" spans="18:19">
      <c r="R34931" s="178"/>
      <c r="S34931" s="178"/>
    </row>
    <row r="34932" spans="18:19">
      <c r="R34932" s="178"/>
      <c r="S34932" s="178"/>
    </row>
    <row r="34933" spans="18:19">
      <c r="R34933" s="178"/>
      <c r="S34933" s="178"/>
    </row>
    <row r="34934" spans="18:19">
      <c r="R34934" s="178"/>
      <c r="S34934" s="178"/>
    </row>
    <row r="34935" spans="18:19">
      <c r="R34935" s="178"/>
      <c r="S34935" s="178"/>
    </row>
    <row r="34936" spans="18:19">
      <c r="R34936" s="178"/>
      <c r="S34936" s="178"/>
    </row>
    <row r="34937" spans="18:19">
      <c r="R34937" s="178"/>
      <c r="S34937" s="178"/>
    </row>
    <row r="34938" spans="18:19">
      <c r="R34938" s="178"/>
      <c r="S34938" s="178"/>
    </row>
    <row r="34939" spans="18:19">
      <c r="R34939" s="178"/>
      <c r="S34939" s="178"/>
    </row>
    <row r="34940" spans="18:19">
      <c r="R34940" s="178"/>
      <c r="S34940" s="178"/>
    </row>
    <row r="34941" spans="18:19">
      <c r="R34941" s="178"/>
      <c r="S34941" s="178"/>
    </row>
    <row r="34942" spans="18:19">
      <c r="R34942" s="178"/>
      <c r="S34942" s="178"/>
    </row>
    <row r="34943" spans="18:19">
      <c r="R34943" s="178"/>
      <c r="S34943" s="178"/>
    </row>
    <row r="34944" spans="18:19">
      <c r="R34944" s="178"/>
      <c r="S34944" s="178"/>
    </row>
    <row r="34945" spans="18:19">
      <c r="R34945" s="178"/>
      <c r="S34945" s="178"/>
    </row>
    <row r="34946" spans="18:19">
      <c r="R34946" s="178"/>
      <c r="S34946" s="178"/>
    </row>
    <row r="34947" spans="18:19">
      <c r="R34947" s="178"/>
      <c r="S34947" s="178"/>
    </row>
    <row r="34948" spans="18:19">
      <c r="R34948" s="178"/>
      <c r="S34948" s="178"/>
    </row>
    <row r="34949" spans="18:19">
      <c r="R34949" s="178"/>
      <c r="S34949" s="178"/>
    </row>
    <row r="34950" spans="18:19">
      <c r="R34950" s="178"/>
      <c r="S34950" s="178"/>
    </row>
    <row r="34951" spans="18:19">
      <c r="R34951" s="178"/>
      <c r="S34951" s="178"/>
    </row>
    <row r="34952" spans="18:19">
      <c r="R34952" s="178"/>
      <c r="S34952" s="178"/>
    </row>
    <row r="34953" spans="18:19">
      <c r="R34953" s="178"/>
      <c r="S34953" s="178"/>
    </row>
    <row r="34954" spans="18:19">
      <c r="R34954" s="178"/>
      <c r="S34954" s="178"/>
    </row>
    <row r="34955" spans="18:19">
      <c r="R34955" s="178"/>
      <c r="S34955" s="178"/>
    </row>
    <row r="34956" spans="18:19">
      <c r="R34956" s="178"/>
      <c r="S34956" s="178"/>
    </row>
    <row r="34957" spans="18:19">
      <c r="R34957" s="178"/>
      <c r="S34957" s="178"/>
    </row>
    <row r="34958" spans="18:19">
      <c r="R34958" s="178"/>
      <c r="S34958" s="178"/>
    </row>
    <row r="34959" spans="18:19">
      <c r="R34959" s="178"/>
      <c r="S34959" s="178"/>
    </row>
    <row r="34960" spans="18:19">
      <c r="R34960" s="178"/>
      <c r="S34960" s="178"/>
    </row>
    <row r="34961" spans="18:19">
      <c r="R34961" s="178"/>
      <c r="S34961" s="178"/>
    </row>
    <row r="34962" spans="18:19">
      <c r="R34962" s="178"/>
      <c r="S34962" s="178"/>
    </row>
    <row r="34963" spans="18:19">
      <c r="R34963" s="178"/>
      <c r="S34963" s="178"/>
    </row>
    <row r="34964" spans="18:19">
      <c r="R34964" s="178"/>
      <c r="S34964" s="178"/>
    </row>
    <row r="34965" spans="18:19">
      <c r="R34965" s="178"/>
      <c r="S34965" s="178"/>
    </row>
    <row r="34966" spans="18:19">
      <c r="R34966" s="178"/>
      <c r="S34966" s="178"/>
    </row>
    <row r="34967" spans="18:19">
      <c r="R34967" s="178"/>
      <c r="S34967" s="178"/>
    </row>
    <row r="34968" spans="18:19">
      <c r="R34968" s="178"/>
      <c r="S34968" s="178"/>
    </row>
    <row r="34969" spans="18:19">
      <c r="R34969" s="178"/>
      <c r="S34969" s="178"/>
    </row>
    <row r="34970" spans="18:19">
      <c r="R34970" s="178"/>
      <c r="S34970" s="178"/>
    </row>
    <row r="34971" spans="18:19">
      <c r="R34971" s="178"/>
      <c r="S34971" s="178"/>
    </row>
    <row r="34972" spans="18:19">
      <c r="R34972" s="178"/>
      <c r="S34972" s="178"/>
    </row>
    <row r="34973" spans="18:19">
      <c r="R34973" s="178"/>
      <c r="S34973" s="178"/>
    </row>
    <row r="34974" spans="18:19">
      <c r="R34974" s="178"/>
      <c r="S34974" s="178"/>
    </row>
    <row r="34975" spans="18:19">
      <c r="R34975" s="178"/>
      <c r="S34975" s="178"/>
    </row>
    <row r="34976" spans="18:19">
      <c r="R34976" s="178"/>
      <c r="S34976" s="178"/>
    </row>
    <row r="34977" spans="18:19">
      <c r="R34977" s="178"/>
      <c r="S34977" s="178"/>
    </row>
    <row r="34978" spans="18:19">
      <c r="R34978" s="178"/>
      <c r="S34978" s="178"/>
    </row>
    <row r="34979" spans="18:19">
      <c r="R34979" s="178"/>
      <c r="S34979" s="178"/>
    </row>
    <row r="34980" spans="18:19">
      <c r="R34980" s="178"/>
      <c r="S34980" s="178"/>
    </row>
    <row r="34981" spans="18:19">
      <c r="R34981" s="178"/>
      <c r="S34981" s="178"/>
    </row>
    <row r="34982" spans="18:19">
      <c r="R34982" s="178"/>
      <c r="S34982" s="178"/>
    </row>
    <row r="34983" spans="18:19">
      <c r="R34983" s="178"/>
      <c r="S34983" s="178"/>
    </row>
    <row r="34984" spans="18:19">
      <c r="R34984" s="178"/>
      <c r="S34984" s="178"/>
    </row>
    <row r="34985" spans="18:19">
      <c r="R34985" s="178"/>
      <c r="S34985" s="178"/>
    </row>
    <row r="34986" spans="18:19">
      <c r="R34986" s="178"/>
      <c r="S34986" s="178"/>
    </row>
    <row r="34987" spans="18:19">
      <c r="R34987" s="178"/>
      <c r="S34987" s="178"/>
    </row>
    <row r="34988" spans="18:19">
      <c r="R34988" s="178"/>
      <c r="S34988" s="178"/>
    </row>
    <row r="34989" spans="18:19">
      <c r="R34989" s="178"/>
      <c r="S34989" s="178"/>
    </row>
    <row r="34990" spans="18:19">
      <c r="R34990" s="178"/>
      <c r="S34990" s="178"/>
    </row>
    <row r="34991" spans="18:19">
      <c r="R34991" s="178"/>
      <c r="S34991" s="178"/>
    </row>
    <row r="34992" spans="18:19">
      <c r="R34992" s="178"/>
      <c r="S34992" s="178"/>
    </row>
    <row r="34993" spans="18:19">
      <c r="R34993" s="178"/>
      <c r="S34993" s="178"/>
    </row>
    <row r="34994" spans="18:19">
      <c r="R34994" s="178"/>
      <c r="S34994" s="178"/>
    </row>
    <row r="34995" spans="18:19">
      <c r="R34995" s="178"/>
      <c r="S34995" s="178"/>
    </row>
    <row r="34996" spans="18:19">
      <c r="R34996" s="178"/>
      <c r="S34996" s="178"/>
    </row>
    <row r="34997" spans="18:19">
      <c r="R34997" s="178"/>
      <c r="S34997" s="178"/>
    </row>
    <row r="34998" spans="18:19">
      <c r="R34998" s="178"/>
      <c r="S34998" s="178"/>
    </row>
    <row r="34999" spans="18:19">
      <c r="R34999" s="178"/>
      <c r="S34999" s="178"/>
    </row>
    <row r="35000" spans="18:19">
      <c r="R35000" s="178"/>
      <c r="S35000" s="178"/>
    </row>
    <row r="35001" spans="18:19">
      <c r="R35001" s="178"/>
      <c r="S35001" s="178"/>
    </row>
    <row r="35002" spans="18:19">
      <c r="R35002" s="178"/>
      <c r="S35002" s="178"/>
    </row>
    <row r="35003" spans="18:19">
      <c r="R35003" s="178"/>
      <c r="S35003" s="178"/>
    </row>
    <row r="35004" spans="18:19">
      <c r="R35004" s="178"/>
      <c r="S35004" s="178"/>
    </row>
    <row r="35005" spans="18:19">
      <c r="R35005" s="178"/>
      <c r="S35005" s="178"/>
    </row>
    <row r="35006" spans="18:19">
      <c r="R35006" s="178"/>
      <c r="S35006" s="178"/>
    </row>
    <row r="35007" spans="18:19">
      <c r="R35007" s="178"/>
      <c r="S35007" s="178"/>
    </row>
    <row r="35008" spans="18:19">
      <c r="R35008" s="178"/>
      <c r="S35008" s="178"/>
    </row>
    <row r="35009" spans="18:19">
      <c r="R35009" s="178"/>
      <c r="S35009" s="178"/>
    </row>
    <row r="35010" spans="18:19">
      <c r="R35010" s="178"/>
      <c r="S35010" s="178"/>
    </row>
    <row r="35011" spans="18:19">
      <c r="R35011" s="178"/>
      <c r="S35011" s="178"/>
    </row>
    <row r="35012" spans="18:19">
      <c r="R35012" s="178"/>
      <c r="S35012" s="178"/>
    </row>
    <row r="35013" spans="18:19">
      <c r="R35013" s="178"/>
      <c r="S35013" s="178"/>
    </row>
    <row r="35014" spans="18:19">
      <c r="R35014" s="178"/>
      <c r="S35014" s="178"/>
    </row>
    <row r="35015" spans="18:19">
      <c r="R35015" s="178"/>
      <c r="S35015" s="178"/>
    </row>
    <row r="35016" spans="18:19">
      <c r="R35016" s="178"/>
      <c r="S35016" s="178"/>
    </row>
    <row r="35017" spans="18:19">
      <c r="R35017" s="178"/>
      <c r="S35017" s="178"/>
    </row>
    <row r="35018" spans="18:19">
      <c r="R35018" s="178"/>
      <c r="S35018" s="178"/>
    </row>
    <row r="35019" spans="18:19">
      <c r="R35019" s="178"/>
      <c r="S35019" s="178"/>
    </row>
    <row r="35020" spans="18:19">
      <c r="R35020" s="178"/>
      <c r="S35020" s="178"/>
    </row>
    <row r="35021" spans="18:19">
      <c r="R35021" s="178"/>
      <c r="S35021" s="178"/>
    </row>
    <row r="35022" spans="18:19">
      <c r="R35022" s="178"/>
      <c r="S35022" s="178"/>
    </row>
    <row r="35023" spans="18:19">
      <c r="R35023" s="178"/>
      <c r="S35023" s="178"/>
    </row>
    <row r="35024" spans="18:19">
      <c r="R35024" s="178"/>
      <c r="S35024" s="178"/>
    </row>
    <row r="35025" spans="18:19">
      <c r="R35025" s="178"/>
      <c r="S35025" s="178"/>
    </row>
    <row r="35026" spans="18:19">
      <c r="R35026" s="178"/>
      <c r="S35026" s="178"/>
    </row>
    <row r="35027" spans="18:19">
      <c r="R35027" s="178"/>
      <c r="S35027" s="178"/>
    </row>
    <row r="35028" spans="18:19">
      <c r="R35028" s="178"/>
      <c r="S35028" s="178"/>
    </row>
    <row r="35029" spans="18:19">
      <c r="R35029" s="178"/>
      <c r="S35029" s="178"/>
    </row>
    <row r="35030" spans="18:19">
      <c r="R35030" s="178"/>
      <c r="S35030" s="178"/>
    </row>
    <row r="35031" spans="18:19">
      <c r="R35031" s="178"/>
      <c r="S35031" s="178"/>
    </row>
    <row r="35032" spans="18:19">
      <c r="R35032" s="178"/>
      <c r="S35032" s="178"/>
    </row>
    <row r="35033" spans="18:19">
      <c r="R35033" s="178"/>
      <c r="S35033" s="178"/>
    </row>
    <row r="35034" spans="18:19">
      <c r="R35034" s="178"/>
      <c r="S35034" s="178"/>
    </row>
    <row r="35035" spans="18:19">
      <c r="R35035" s="178"/>
      <c r="S35035" s="178"/>
    </row>
    <row r="35036" spans="18:19">
      <c r="R35036" s="178"/>
      <c r="S35036" s="178"/>
    </row>
    <row r="35037" spans="18:19">
      <c r="R35037" s="178"/>
      <c r="S35037" s="178"/>
    </row>
    <row r="35038" spans="18:19">
      <c r="R35038" s="178"/>
      <c r="S35038" s="178"/>
    </row>
    <row r="35039" spans="18:19">
      <c r="R35039" s="178"/>
      <c r="S35039" s="178"/>
    </row>
    <row r="35040" spans="18:19">
      <c r="R35040" s="178"/>
      <c r="S35040" s="178"/>
    </row>
    <row r="35041" spans="18:19">
      <c r="R35041" s="178"/>
      <c r="S35041" s="178"/>
    </row>
    <row r="35042" spans="18:19">
      <c r="R35042" s="178"/>
      <c r="S35042" s="178"/>
    </row>
    <row r="35043" spans="18:19">
      <c r="R35043" s="178"/>
      <c r="S35043" s="178"/>
    </row>
    <row r="35044" spans="18:19">
      <c r="R35044" s="178"/>
      <c r="S35044" s="178"/>
    </row>
    <row r="35045" spans="18:19">
      <c r="R35045" s="178"/>
      <c r="S35045" s="178"/>
    </row>
    <row r="35046" spans="18:19">
      <c r="R35046" s="178"/>
      <c r="S35046" s="178"/>
    </row>
    <row r="35047" spans="18:19">
      <c r="R35047" s="178"/>
      <c r="S35047" s="178"/>
    </row>
    <row r="35048" spans="18:19">
      <c r="R35048" s="178"/>
      <c r="S35048" s="178"/>
    </row>
    <row r="35049" spans="18:19">
      <c r="R35049" s="178"/>
      <c r="S35049" s="178"/>
    </row>
    <row r="35050" spans="18:19">
      <c r="R35050" s="178"/>
      <c r="S35050" s="178"/>
    </row>
    <row r="35051" spans="18:19">
      <c r="R35051" s="178"/>
      <c r="S35051" s="178"/>
    </row>
    <row r="35052" spans="18:19">
      <c r="R35052" s="178"/>
      <c r="S35052" s="178"/>
    </row>
    <row r="35053" spans="18:19">
      <c r="R35053" s="178"/>
      <c r="S35053" s="178"/>
    </row>
    <row r="35054" spans="18:19">
      <c r="R35054" s="178"/>
      <c r="S35054" s="178"/>
    </row>
    <row r="35055" spans="18:19">
      <c r="R35055" s="178"/>
      <c r="S35055" s="178"/>
    </row>
    <row r="35056" spans="18:19">
      <c r="R35056" s="178"/>
      <c r="S35056" s="178"/>
    </row>
    <row r="35057" spans="18:19">
      <c r="R35057" s="178"/>
      <c r="S35057" s="178"/>
    </row>
    <row r="35058" spans="18:19">
      <c r="R35058" s="178"/>
      <c r="S35058" s="178"/>
    </row>
    <row r="35059" spans="18:19">
      <c r="R35059" s="178"/>
      <c r="S35059" s="178"/>
    </row>
    <row r="35060" spans="18:19">
      <c r="R35060" s="178"/>
      <c r="S35060" s="178"/>
    </row>
    <row r="35061" spans="18:19">
      <c r="R35061" s="178"/>
      <c r="S35061" s="178"/>
    </row>
    <row r="35062" spans="18:19">
      <c r="R35062" s="178"/>
      <c r="S35062" s="178"/>
    </row>
    <row r="35063" spans="18:19">
      <c r="R35063" s="178"/>
      <c r="S35063" s="178"/>
    </row>
    <row r="35064" spans="18:19">
      <c r="R35064" s="178"/>
      <c r="S35064" s="178"/>
    </row>
    <row r="35065" spans="18:19">
      <c r="R35065" s="178"/>
      <c r="S35065" s="178"/>
    </row>
    <row r="35066" spans="18:19">
      <c r="R35066" s="178"/>
      <c r="S35066" s="178"/>
    </row>
    <row r="35067" spans="18:19">
      <c r="R35067" s="178"/>
      <c r="S35067" s="178"/>
    </row>
    <row r="35068" spans="18:19">
      <c r="R35068" s="178"/>
      <c r="S35068" s="178"/>
    </row>
    <row r="35069" spans="18:19">
      <c r="R35069" s="178"/>
      <c r="S35069" s="178"/>
    </row>
    <row r="35070" spans="18:19">
      <c r="R35070" s="178"/>
      <c r="S35070" s="178"/>
    </row>
    <row r="35071" spans="18:19">
      <c r="R35071" s="178"/>
      <c r="S35071" s="178"/>
    </row>
    <row r="35072" spans="18:19">
      <c r="R35072" s="178"/>
      <c r="S35072" s="178"/>
    </row>
    <row r="35073" spans="18:19">
      <c r="R35073" s="178"/>
      <c r="S35073" s="178"/>
    </row>
    <row r="35074" spans="18:19">
      <c r="R35074" s="178"/>
      <c r="S35074" s="178"/>
    </row>
    <row r="35075" spans="18:19">
      <c r="R35075" s="178"/>
      <c r="S35075" s="178"/>
    </row>
    <row r="35076" spans="18:19">
      <c r="R35076" s="178"/>
      <c r="S35076" s="178"/>
    </row>
    <row r="35077" spans="18:19">
      <c r="R35077" s="178"/>
      <c r="S35077" s="178"/>
    </row>
    <row r="35078" spans="18:19">
      <c r="R35078" s="178"/>
      <c r="S35078" s="178"/>
    </row>
    <row r="35079" spans="18:19">
      <c r="R35079" s="178"/>
      <c r="S35079" s="178"/>
    </row>
    <row r="35080" spans="18:19">
      <c r="R35080" s="178"/>
      <c r="S35080" s="178"/>
    </row>
    <row r="35081" spans="18:19">
      <c r="R35081" s="178"/>
      <c r="S35081" s="178"/>
    </row>
    <row r="35082" spans="18:19">
      <c r="R35082" s="178"/>
      <c r="S35082" s="178"/>
    </row>
    <row r="35083" spans="18:19">
      <c r="R35083" s="178"/>
      <c r="S35083" s="178"/>
    </row>
    <row r="35084" spans="18:19">
      <c r="R35084" s="178"/>
      <c r="S35084" s="178"/>
    </row>
    <row r="35085" spans="18:19">
      <c r="R35085" s="178"/>
      <c r="S35085" s="178"/>
    </row>
    <row r="35086" spans="18:19">
      <c r="R35086" s="178"/>
      <c r="S35086" s="178"/>
    </row>
    <row r="35087" spans="18:19">
      <c r="R35087" s="178"/>
      <c r="S35087" s="178"/>
    </row>
    <row r="35088" spans="18:19">
      <c r="R35088" s="178"/>
      <c r="S35088" s="178"/>
    </row>
    <row r="35089" spans="18:19">
      <c r="R35089" s="178"/>
      <c r="S35089" s="178"/>
    </row>
    <row r="35090" spans="18:19">
      <c r="R35090" s="178"/>
      <c r="S35090" s="178"/>
    </row>
    <row r="35091" spans="18:19">
      <c r="R35091" s="178"/>
      <c r="S35091" s="178"/>
    </row>
    <row r="35092" spans="18:19">
      <c r="R35092" s="178"/>
      <c r="S35092" s="178"/>
    </row>
    <row r="35093" spans="18:19">
      <c r="R35093" s="178"/>
      <c r="S35093" s="178"/>
    </row>
    <row r="35094" spans="18:19">
      <c r="R35094" s="178"/>
      <c r="S35094" s="178"/>
    </row>
    <row r="35095" spans="18:19">
      <c r="R35095" s="178"/>
      <c r="S35095" s="178"/>
    </row>
    <row r="35096" spans="18:19">
      <c r="R35096" s="178"/>
      <c r="S35096" s="178"/>
    </row>
    <row r="35097" spans="18:19">
      <c r="R35097" s="178"/>
      <c r="S35097" s="178"/>
    </row>
    <row r="35098" spans="18:19">
      <c r="R35098" s="178"/>
      <c r="S35098" s="178"/>
    </row>
    <row r="35099" spans="18:19">
      <c r="R35099" s="178"/>
      <c r="S35099" s="178"/>
    </row>
    <row r="35100" spans="18:19">
      <c r="R35100" s="178"/>
      <c r="S35100" s="178"/>
    </row>
    <row r="35101" spans="18:19">
      <c r="R35101" s="178"/>
      <c r="S35101" s="178"/>
    </row>
    <row r="35102" spans="18:19">
      <c r="R35102" s="178"/>
      <c r="S35102" s="178"/>
    </row>
    <row r="35103" spans="18:19">
      <c r="R35103" s="178"/>
      <c r="S35103" s="178"/>
    </row>
    <row r="35104" spans="18:19">
      <c r="R35104" s="178"/>
      <c r="S35104" s="178"/>
    </row>
    <row r="35105" spans="18:19">
      <c r="R35105" s="178"/>
      <c r="S35105" s="178"/>
    </row>
    <row r="35106" spans="18:19">
      <c r="R35106" s="178"/>
      <c r="S35106" s="178"/>
    </row>
    <row r="35107" spans="18:19">
      <c r="R35107" s="178"/>
      <c r="S35107" s="178"/>
    </row>
    <row r="35108" spans="18:19">
      <c r="R35108" s="178"/>
      <c r="S35108" s="178"/>
    </row>
    <row r="35109" spans="18:19">
      <c r="R35109" s="178"/>
      <c r="S35109" s="178"/>
    </row>
    <row r="35110" spans="18:19">
      <c r="R35110" s="178"/>
      <c r="S35110" s="178"/>
    </row>
    <row r="35111" spans="18:19">
      <c r="R35111" s="178"/>
      <c r="S35111" s="178"/>
    </row>
    <row r="35112" spans="18:19">
      <c r="R35112" s="178"/>
      <c r="S35112" s="178"/>
    </row>
    <row r="35113" spans="18:19">
      <c r="R35113" s="178"/>
      <c r="S35113" s="178"/>
    </row>
    <row r="35114" spans="18:19">
      <c r="R35114" s="178"/>
      <c r="S35114" s="178"/>
    </row>
    <row r="35115" spans="18:19">
      <c r="R35115" s="178"/>
      <c r="S35115" s="178"/>
    </row>
    <row r="35116" spans="18:19">
      <c r="R35116" s="178"/>
      <c r="S35116" s="178"/>
    </row>
    <row r="35117" spans="18:19">
      <c r="R35117" s="178"/>
      <c r="S35117" s="178"/>
    </row>
    <row r="35118" spans="18:19">
      <c r="R35118" s="178"/>
      <c r="S35118" s="178"/>
    </row>
    <row r="35119" spans="18:19">
      <c r="R35119" s="178"/>
      <c r="S35119" s="178"/>
    </row>
    <row r="35120" spans="18:19">
      <c r="R35120" s="178"/>
      <c r="S35120" s="178"/>
    </row>
    <row r="35121" spans="18:19">
      <c r="R35121" s="178"/>
      <c r="S35121" s="178"/>
    </row>
    <row r="35122" spans="18:19">
      <c r="R35122" s="178"/>
      <c r="S35122" s="178"/>
    </row>
    <row r="35123" spans="18:19">
      <c r="R35123" s="178"/>
      <c r="S35123" s="178"/>
    </row>
    <row r="35124" spans="18:19">
      <c r="R35124" s="178"/>
      <c r="S35124" s="178"/>
    </row>
    <row r="35125" spans="18:19">
      <c r="R35125" s="178"/>
      <c r="S35125" s="178"/>
    </row>
    <row r="35126" spans="18:19">
      <c r="R35126" s="178"/>
      <c r="S35126" s="178"/>
    </row>
    <row r="35127" spans="18:19">
      <c r="R35127" s="178"/>
      <c r="S35127" s="178"/>
    </row>
    <row r="35128" spans="18:19">
      <c r="R35128" s="178"/>
      <c r="S35128" s="178"/>
    </row>
    <row r="35129" spans="18:19">
      <c r="R35129" s="178"/>
      <c r="S35129" s="178"/>
    </row>
    <row r="35130" spans="18:19">
      <c r="R35130" s="178"/>
      <c r="S35130" s="178"/>
    </row>
    <row r="35131" spans="18:19">
      <c r="R35131" s="178"/>
      <c r="S35131" s="178"/>
    </row>
    <row r="35132" spans="18:19">
      <c r="R35132" s="178"/>
      <c r="S35132" s="178"/>
    </row>
    <row r="35133" spans="18:19">
      <c r="R35133" s="178"/>
      <c r="S35133" s="178"/>
    </row>
    <row r="35134" spans="18:19">
      <c r="R35134" s="178"/>
      <c r="S35134" s="178"/>
    </row>
    <row r="35135" spans="18:19">
      <c r="R35135" s="178"/>
      <c r="S35135" s="178"/>
    </row>
    <row r="35136" spans="18:19">
      <c r="R35136" s="178"/>
      <c r="S35136" s="178"/>
    </row>
    <row r="35137" spans="18:19">
      <c r="R35137" s="178"/>
      <c r="S35137" s="178"/>
    </row>
    <row r="35138" spans="18:19">
      <c r="R35138" s="178"/>
      <c r="S35138" s="178"/>
    </row>
    <row r="35139" spans="18:19">
      <c r="R35139" s="178"/>
      <c r="S35139" s="178"/>
    </row>
    <row r="35140" spans="18:19">
      <c r="R35140" s="178"/>
      <c r="S35140" s="178"/>
    </row>
    <row r="35141" spans="18:19">
      <c r="R35141" s="178"/>
      <c r="S35141" s="178"/>
    </row>
    <row r="35142" spans="18:19">
      <c r="R35142" s="178"/>
      <c r="S35142" s="178"/>
    </row>
    <row r="35143" spans="18:19">
      <c r="R35143" s="178"/>
      <c r="S35143" s="178"/>
    </row>
    <row r="35144" spans="18:19">
      <c r="R35144" s="178"/>
      <c r="S35144" s="178"/>
    </row>
    <row r="35145" spans="18:19">
      <c r="R35145" s="178"/>
      <c r="S35145" s="178"/>
    </row>
    <row r="35146" spans="18:19">
      <c r="R35146" s="178"/>
      <c r="S35146" s="178"/>
    </row>
    <row r="35147" spans="18:19">
      <c r="R35147" s="178"/>
      <c r="S35147" s="178"/>
    </row>
    <row r="35148" spans="18:19">
      <c r="R35148" s="178"/>
      <c r="S35148" s="178"/>
    </row>
    <row r="35149" spans="18:19">
      <c r="R35149" s="178"/>
      <c r="S35149" s="178"/>
    </row>
    <row r="35150" spans="18:19">
      <c r="R35150" s="178"/>
      <c r="S35150" s="178"/>
    </row>
    <row r="35151" spans="18:19">
      <c r="R35151" s="178"/>
      <c r="S35151" s="178"/>
    </row>
    <row r="35152" spans="18:19">
      <c r="R35152" s="178"/>
      <c r="S35152" s="178"/>
    </row>
    <row r="35153" spans="18:19">
      <c r="R35153" s="178"/>
      <c r="S35153" s="178"/>
    </row>
    <row r="35154" spans="18:19">
      <c r="R35154" s="178"/>
      <c r="S35154" s="178"/>
    </row>
    <row r="35155" spans="18:19">
      <c r="R35155" s="178"/>
      <c r="S35155" s="178"/>
    </row>
    <row r="35156" spans="18:19">
      <c r="R35156" s="178"/>
      <c r="S35156" s="178"/>
    </row>
    <row r="35157" spans="18:19">
      <c r="R35157" s="178"/>
      <c r="S35157" s="178"/>
    </row>
    <row r="35158" spans="18:19">
      <c r="R35158" s="178"/>
      <c r="S35158" s="178"/>
    </row>
    <row r="35159" spans="18:19">
      <c r="R35159" s="178"/>
      <c r="S35159" s="178"/>
    </row>
    <row r="35160" spans="18:19">
      <c r="R35160" s="178"/>
      <c r="S35160" s="178"/>
    </row>
    <row r="35161" spans="18:19">
      <c r="R35161" s="178"/>
      <c r="S35161" s="178"/>
    </row>
    <row r="35162" spans="18:19">
      <c r="R35162" s="178"/>
      <c r="S35162" s="178"/>
    </row>
    <row r="35163" spans="18:19">
      <c r="R35163" s="178"/>
      <c r="S35163" s="178"/>
    </row>
    <row r="35164" spans="18:19">
      <c r="R35164" s="178"/>
      <c r="S35164" s="178"/>
    </row>
    <row r="35165" spans="18:19">
      <c r="R35165" s="178"/>
      <c r="S35165" s="178"/>
    </row>
    <row r="35166" spans="18:19">
      <c r="R35166" s="178"/>
      <c r="S35166" s="178"/>
    </row>
    <row r="35167" spans="18:19">
      <c r="R35167" s="178"/>
      <c r="S35167" s="178"/>
    </row>
    <row r="35168" spans="18:19">
      <c r="R35168" s="178"/>
      <c r="S35168" s="178"/>
    </row>
    <row r="35169" spans="18:19">
      <c r="R35169" s="178"/>
      <c r="S35169" s="178"/>
    </row>
    <row r="35170" spans="18:19">
      <c r="R35170" s="178"/>
      <c r="S35170" s="178"/>
    </row>
    <row r="35171" spans="18:19">
      <c r="R35171" s="178"/>
      <c r="S35171" s="178"/>
    </row>
    <row r="35172" spans="18:19">
      <c r="R35172" s="178"/>
      <c r="S35172" s="178"/>
    </row>
    <row r="35173" spans="18:19">
      <c r="R35173" s="178"/>
      <c r="S35173" s="178"/>
    </row>
    <row r="35174" spans="18:19">
      <c r="R35174" s="178"/>
      <c r="S35174" s="178"/>
    </row>
    <row r="35175" spans="18:19">
      <c r="R35175" s="178"/>
      <c r="S35175" s="178"/>
    </row>
    <row r="35176" spans="18:19">
      <c r="R35176" s="178"/>
      <c r="S35176" s="178"/>
    </row>
    <row r="35177" spans="18:19">
      <c r="R35177" s="178"/>
      <c r="S35177" s="178"/>
    </row>
    <row r="35178" spans="18:19">
      <c r="R35178" s="178"/>
      <c r="S35178" s="178"/>
    </row>
    <row r="35179" spans="18:19">
      <c r="R35179" s="178"/>
      <c r="S35179" s="178"/>
    </row>
    <row r="35180" spans="18:19">
      <c r="R35180" s="178"/>
      <c r="S35180" s="178"/>
    </row>
    <row r="35181" spans="18:19">
      <c r="R35181" s="178"/>
      <c r="S35181" s="178"/>
    </row>
    <row r="35182" spans="18:19">
      <c r="R35182" s="178"/>
      <c r="S35182" s="178"/>
    </row>
    <row r="35183" spans="18:19">
      <c r="R35183" s="178"/>
      <c r="S35183" s="178"/>
    </row>
    <row r="35184" spans="18:19">
      <c r="R35184" s="178"/>
      <c r="S35184" s="178"/>
    </row>
    <row r="35185" spans="18:19">
      <c r="R35185" s="178"/>
      <c r="S35185" s="178"/>
    </row>
    <row r="35186" spans="18:19">
      <c r="R35186" s="178"/>
      <c r="S35186" s="178"/>
    </row>
    <row r="35187" spans="18:19">
      <c r="R35187" s="178"/>
      <c r="S35187" s="178"/>
    </row>
    <row r="35188" spans="18:19">
      <c r="R35188" s="178"/>
      <c r="S35188" s="178"/>
    </row>
    <row r="35189" spans="18:19">
      <c r="R35189" s="178"/>
      <c r="S35189" s="178"/>
    </row>
    <row r="35190" spans="18:19">
      <c r="R35190" s="178"/>
      <c r="S35190" s="178"/>
    </row>
    <row r="35191" spans="18:19">
      <c r="R35191" s="178"/>
      <c r="S35191" s="178"/>
    </row>
    <row r="35192" spans="18:19">
      <c r="R35192" s="178"/>
      <c r="S35192" s="178"/>
    </row>
    <row r="35193" spans="18:19">
      <c r="R35193" s="178"/>
      <c r="S35193" s="178"/>
    </row>
    <row r="35194" spans="18:19">
      <c r="R35194" s="178"/>
      <c r="S35194" s="178"/>
    </row>
    <row r="35195" spans="18:19">
      <c r="R35195" s="178"/>
      <c r="S35195" s="178"/>
    </row>
    <row r="35196" spans="18:19">
      <c r="R35196" s="178"/>
      <c r="S35196" s="178"/>
    </row>
    <row r="35197" spans="18:19">
      <c r="R35197" s="178"/>
      <c r="S35197" s="178"/>
    </row>
    <row r="35198" spans="18:19">
      <c r="R35198" s="178"/>
      <c r="S35198" s="178"/>
    </row>
    <row r="35199" spans="18:19">
      <c r="R35199" s="178"/>
      <c r="S35199" s="178"/>
    </row>
    <row r="35200" spans="18:19">
      <c r="R35200" s="178"/>
      <c r="S35200" s="178"/>
    </row>
    <row r="35201" spans="18:19">
      <c r="R35201" s="178"/>
      <c r="S35201" s="178"/>
    </row>
    <row r="35202" spans="18:19">
      <c r="R35202" s="178"/>
      <c r="S35202" s="178"/>
    </row>
    <row r="35203" spans="18:19">
      <c r="R35203" s="178"/>
      <c r="S35203" s="178"/>
    </row>
    <row r="35204" spans="18:19">
      <c r="R35204" s="178"/>
      <c r="S35204" s="178"/>
    </row>
    <row r="35205" spans="18:19">
      <c r="R35205" s="178"/>
      <c r="S35205" s="178"/>
    </row>
    <row r="35206" spans="18:19">
      <c r="R35206" s="178"/>
      <c r="S35206" s="178"/>
    </row>
    <row r="35207" spans="18:19">
      <c r="R35207" s="178"/>
      <c r="S35207" s="178"/>
    </row>
    <row r="35208" spans="18:19">
      <c r="R35208" s="178"/>
      <c r="S35208" s="178"/>
    </row>
    <row r="35209" spans="18:19">
      <c r="R35209" s="178"/>
      <c r="S35209" s="178"/>
    </row>
    <row r="35210" spans="18:19">
      <c r="R35210" s="178"/>
      <c r="S35210" s="178"/>
    </row>
    <row r="35211" spans="18:19">
      <c r="R35211" s="178"/>
      <c r="S35211" s="178"/>
    </row>
    <row r="35212" spans="18:19">
      <c r="R35212" s="178"/>
      <c r="S35212" s="178"/>
    </row>
    <row r="35213" spans="18:19">
      <c r="R35213" s="178"/>
      <c r="S35213" s="178"/>
    </row>
    <row r="35214" spans="18:19">
      <c r="R35214" s="178"/>
      <c r="S35214" s="178"/>
    </row>
    <row r="35215" spans="18:19">
      <c r="R35215" s="178"/>
      <c r="S35215" s="178"/>
    </row>
    <row r="35216" spans="18:19">
      <c r="R35216" s="178"/>
      <c r="S35216" s="178"/>
    </row>
    <row r="35217" spans="18:19">
      <c r="R35217" s="178"/>
      <c r="S35217" s="178"/>
    </row>
    <row r="35218" spans="18:19">
      <c r="R35218" s="178"/>
      <c r="S35218" s="178"/>
    </row>
    <row r="35219" spans="18:19">
      <c r="R35219" s="178"/>
      <c r="S35219" s="178"/>
    </row>
    <row r="35220" spans="18:19">
      <c r="R35220" s="178"/>
      <c r="S35220" s="178"/>
    </row>
    <row r="35221" spans="18:19">
      <c r="R35221" s="178"/>
      <c r="S35221" s="178"/>
    </row>
    <row r="35222" spans="18:19">
      <c r="R35222" s="178"/>
      <c r="S35222" s="178"/>
    </row>
    <row r="35223" spans="18:19">
      <c r="R35223" s="178"/>
      <c r="S35223" s="178"/>
    </row>
    <row r="35224" spans="18:19">
      <c r="R35224" s="178"/>
      <c r="S35224" s="178"/>
    </row>
    <row r="35225" spans="18:19">
      <c r="R35225" s="178"/>
      <c r="S35225" s="178"/>
    </row>
    <row r="35226" spans="18:19">
      <c r="R35226" s="178"/>
      <c r="S35226" s="178"/>
    </row>
    <row r="35227" spans="18:19">
      <c r="R35227" s="178"/>
      <c r="S35227" s="178"/>
    </row>
    <row r="35228" spans="18:19">
      <c r="R35228" s="178"/>
      <c r="S35228" s="178"/>
    </row>
    <row r="35229" spans="18:19">
      <c r="R35229" s="178"/>
      <c r="S35229" s="178"/>
    </row>
    <row r="35230" spans="18:19">
      <c r="R35230" s="178"/>
      <c r="S35230" s="178"/>
    </row>
    <row r="35231" spans="18:19">
      <c r="R35231" s="178"/>
      <c r="S35231" s="178"/>
    </row>
    <row r="35232" spans="18:19">
      <c r="R35232" s="178"/>
      <c r="S35232" s="178"/>
    </row>
    <row r="35233" spans="18:19">
      <c r="R35233" s="178"/>
      <c r="S35233" s="178"/>
    </row>
    <row r="35234" spans="18:19">
      <c r="R35234" s="178"/>
      <c r="S35234" s="178"/>
    </row>
    <row r="35235" spans="18:19">
      <c r="R35235" s="178"/>
      <c r="S35235" s="178"/>
    </row>
    <row r="35236" spans="18:19">
      <c r="R35236" s="178"/>
      <c r="S35236" s="178"/>
    </row>
    <row r="35237" spans="18:19">
      <c r="R35237" s="178"/>
      <c r="S35237" s="178"/>
    </row>
    <row r="35238" spans="18:19">
      <c r="R35238" s="178"/>
      <c r="S35238" s="178"/>
    </row>
    <row r="35239" spans="18:19">
      <c r="R35239" s="178"/>
      <c r="S35239" s="178"/>
    </row>
    <row r="35240" spans="18:19">
      <c r="R35240" s="178"/>
      <c r="S35240" s="178"/>
    </row>
    <row r="35241" spans="18:19">
      <c r="R35241" s="178"/>
      <c r="S35241" s="178"/>
    </row>
    <row r="35242" spans="18:19">
      <c r="R35242" s="178"/>
      <c r="S35242" s="178"/>
    </row>
    <row r="35243" spans="18:19">
      <c r="R35243" s="178"/>
      <c r="S35243" s="178"/>
    </row>
    <row r="35244" spans="18:19">
      <c r="R35244" s="178"/>
      <c r="S35244" s="178"/>
    </row>
    <row r="35245" spans="18:19">
      <c r="R35245" s="178"/>
      <c r="S35245" s="178"/>
    </row>
    <row r="35246" spans="18:19">
      <c r="R35246" s="178"/>
      <c r="S35246" s="178"/>
    </row>
    <row r="35247" spans="18:19">
      <c r="R35247" s="178"/>
      <c r="S35247" s="178"/>
    </row>
    <row r="35248" spans="18:19">
      <c r="R35248" s="178"/>
      <c r="S35248" s="178"/>
    </row>
    <row r="35249" spans="18:19">
      <c r="R35249" s="178"/>
      <c r="S35249" s="178"/>
    </row>
    <row r="35250" spans="18:19">
      <c r="R35250" s="178"/>
      <c r="S35250" s="178"/>
    </row>
    <row r="35251" spans="18:19">
      <c r="R35251" s="178"/>
      <c r="S35251" s="178"/>
    </row>
    <row r="35252" spans="18:19">
      <c r="R35252" s="178"/>
      <c r="S35252" s="178"/>
    </row>
    <row r="35253" spans="18:19">
      <c r="R35253" s="178"/>
      <c r="S35253" s="178"/>
    </row>
    <row r="35254" spans="18:19">
      <c r="R35254" s="178"/>
      <c r="S35254" s="178"/>
    </row>
    <row r="35255" spans="18:19">
      <c r="R35255" s="178"/>
      <c r="S35255" s="178"/>
    </row>
    <row r="35256" spans="18:19">
      <c r="R35256" s="178"/>
      <c r="S35256" s="178"/>
    </row>
    <row r="35257" spans="18:19">
      <c r="R35257" s="178"/>
      <c r="S35257" s="178"/>
    </row>
    <row r="35258" spans="18:19">
      <c r="R35258" s="178"/>
      <c r="S35258" s="178"/>
    </row>
    <row r="35259" spans="18:19">
      <c r="R35259" s="178"/>
      <c r="S35259" s="178"/>
    </row>
    <row r="35260" spans="18:19">
      <c r="R35260" s="178"/>
      <c r="S35260" s="178"/>
    </row>
    <row r="35261" spans="18:19">
      <c r="R35261" s="178"/>
      <c r="S35261" s="178"/>
    </row>
    <row r="35262" spans="18:19">
      <c r="R35262" s="178"/>
      <c r="S35262" s="178"/>
    </row>
    <row r="35263" spans="18:19">
      <c r="R35263" s="178"/>
      <c r="S35263" s="178"/>
    </row>
    <row r="35264" spans="18:19">
      <c r="R35264" s="178"/>
      <c r="S35264" s="178"/>
    </row>
    <row r="35265" spans="18:19">
      <c r="R35265" s="178"/>
      <c r="S35265" s="178"/>
    </row>
    <row r="35266" spans="18:19">
      <c r="R35266" s="178"/>
      <c r="S35266" s="178"/>
    </row>
    <row r="35267" spans="18:19">
      <c r="R35267" s="178"/>
      <c r="S35267" s="178"/>
    </row>
    <row r="35268" spans="18:19">
      <c r="R35268" s="178"/>
      <c r="S35268" s="178"/>
    </row>
    <row r="35269" spans="18:19">
      <c r="R35269" s="178"/>
      <c r="S35269" s="178"/>
    </row>
    <row r="35270" spans="18:19">
      <c r="R35270" s="178"/>
      <c r="S35270" s="178"/>
    </row>
    <row r="35271" spans="18:19">
      <c r="R35271" s="178"/>
      <c r="S35271" s="178"/>
    </row>
    <row r="35272" spans="18:19">
      <c r="R35272" s="178"/>
      <c r="S35272" s="178"/>
    </row>
    <row r="35273" spans="18:19">
      <c r="R35273" s="178"/>
      <c r="S35273" s="178"/>
    </row>
    <row r="35274" spans="18:19">
      <c r="R35274" s="178"/>
      <c r="S35274" s="178"/>
    </row>
    <row r="35275" spans="18:19">
      <c r="R35275" s="178"/>
      <c r="S35275" s="178"/>
    </row>
    <row r="35276" spans="18:19">
      <c r="R35276" s="178"/>
      <c r="S35276" s="178"/>
    </row>
    <row r="35277" spans="18:19">
      <c r="R35277" s="178"/>
      <c r="S35277" s="178"/>
    </row>
    <row r="35278" spans="18:19">
      <c r="R35278" s="178"/>
      <c r="S35278" s="178"/>
    </row>
    <row r="35279" spans="18:19">
      <c r="R35279" s="178"/>
      <c r="S35279" s="178"/>
    </row>
    <row r="35280" spans="18:19">
      <c r="R35280" s="178"/>
      <c r="S35280" s="178"/>
    </row>
    <row r="35281" spans="18:19">
      <c r="R35281" s="178"/>
      <c r="S35281" s="178"/>
    </row>
    <row r="35282" spans="18:19">
      <c r="R35282" s="178"/>
      <c r="S35282" s="178"/>
    </row>
    <row r="35283" spans="18:19">
      <c r="R35283" s="178"/>
      <c r="S35283" s="178"/>
    </row>
    <row r="35284" spans="18:19">
      <c r="R35284" s="178"/>
      <c r="S35284" s="178"/>
    </row>
    <row r="35285" spans="18:19">
      <c r="R35285" s="178"/>
      <c r="S35285" s="178"/>
    </row>
    <row r="35286" spans="18:19">
      <c r="R35286" s="178"/>
      <c r="S35286" s="178"/>
    </row>
    <row r="35287" spans="18:19">
      <c r="R35287" s="178"/>
      <c r="S35287" s="178"/>
    </row>
    <row r="35288" spans="18:19">
      <c r="R35288" s="178"/>
      <c r="S35288" s="178"/>
    </row>
    <row r="35289" spans="18:19">
      <c r="R35289" s="178"/>
      <c r="S35289" s="178"/>
    </row>
    <row r="35290" spans="18:19">
      <c r="R35290" s="178"/>
      <c r="S35290" s="178"/>
    </row>
    <row r="35291" spans="18:19">
      <c r="R35291" s="178"/>
      <c r="S35291" s="178"/>
    </row>
    <row r="35292" spans="18:19">
      <c r="R35292" s="178"/>
      <c r="S35292" s="178"/>
    </row>
    <row r="35293" spans="18:19">
      <c r="R35293" s="178"/>
      <c r="S35293" s="178"/>
    </row>
    <row r="35294" spans="18:19">
      <c r="R35294" s="178"/>
      <c r="S35294" s="178"/>
    </row>
    <row r="35295" spans="18:19">
      <c r="R35295" s="178"/>
      <c r="S35295" s="178"/>
    </row>
    <row r="35296" spans="18:19">
      <c r="R35296" s="178"/>
      <c r="S35296" s="178"/>
    </row>
    <row r="35297" spans="18:19">
      <c r="R35297" s="178"/>
      <c r="S35297" s="178"/>
    </row>
    <row r="35298" spans="18:19">
      <c r="R35298" s="178"/>
      <c r="S35298" s="178"/>
    </row>
    <row r="35299" spans="18:19">
      <c r="R35299" s="178"/>
      <c r="S35299" s="178"/>
    </row>
    <row r="35300" spans="18:19">
      <c r="R35300" s="178"/>
      <c r="S35300" s="178"/>
    </row>
    <row r="35301" spans="18:19">
      <c r="R35301" s="178"/>
      <c r="S35301" s="178"/>
    </row>
    <row r="35302" spans="18:19">
      <c r="R35302" s="178"/>
      <c r="S35302" s="178"/>
    </row>
    <row r="35303" spans="18:19">
      <c r="R35303" s="178"/>
      <c r="S35303" s="178"/>
    </row>
    <row r="35304" spans="18:19">
      <c r="R35304" s="178"/>
      <c r="S35304" s="178"/>
    </row>
    <row r="35305" spans="18:19">
      <c r="R35305" s="178"/>
      <c r="S35305" s="178"/>
    </row>
    <row r="35306" spans="18:19">
      <c r="R35306" s="178"/>
      <c r="S35306" s="178"/>
    </row>
    <row r="35307" spans="18:19">
      <c r="R35307" s="178"/>
      <c r="S35307" s="178"/>
    </row>
    <row r="35308" spans="18:19">
      <c r="R35308" s="178"/>
      <c r="S35308" s="178"/>
    </row>
    <row r="35309" spans="18:19">
      <c r="R35309" s="178"/>
      <c r="S35309" s="178"/>
    </row>
    <row r="35310" spans="18:19">
      <c r="R35310" s="178"/>
      <c r="S35310" s="178"/>
    </row>
    <row r="35311" spans="18:19">
      <c r="R35311" s="178"/>
      <c r="S35311" s="178"/>
    </row>
    <row r="35312" spans="18:19">
      <c r="R35312" s="178"/>
      <c r="S35312" s="178"/>
    </row>
    <row r="35313" spans="18:19">
      <c r="R35313" s="178"/>
      <c r="S35313" s="178"/>
    </row>
    <row r="35314" spans="18:19">
      <c r="R35314" s="178"/>
      <c r="S35314" s="178"/>
    </row>
    <row r="35315" spans="18:19">
      <c r="R35315" s="178"/>
      <c r="S35315" s="178"/>
    </row>
    <row r="35316" spans="18:19">
      <c r="R35316" s="178"/>
      <c r="S35316" s="178"/>
    </row>
    <row r="35317" spans="18:19">
      <c r="R35317" s="178"/>
      <c r="S35317" s="178"/>
    </row>
    <row r="35318" spans="18:19">
      <c r="R35318" s="178"/>
      <c r="S35318" s="178"/>
    </row>
    <row r="35319" spans="18:19">
      <c r="R35319" s="178"/>
      <c r="S35319" s="178"/>
    </row>
    <row r="35320" spans="18:19">
      <c r="R35320" s="178"/>
      <c r="S35320" s="178"/>
    </row>
    <row r="35321" spans="18:19">
      <c r="R35321" s="178"/>
      <c r="S35321" s="178"/>
    </row>
    <row r="35322" spans="18:19">
      <c r="R35322" s="178"/>
      <c r="S35322" s="178"/>
    </row>
    <row r="35323" spans="18:19">
      <c r="R35323" s="178"/>
      <c r="S35323" s="178"/>
    </row>
    <row r="35324" spans="18:19">
      <c r="R35324" s="178"/>
      <c r="S35324" s="178"/>
    </row>
    <row r="35325" spans="18:19">
      <c r="R35325" s="178"/>
      <c r="S35325" s="178"/>
    </row>
    <row r="35326" spans="18:19">
      <c r="R35326" s="178"/>
      <c r="S35326" s="178"/>
    </row>
    <row r="35327" spans="18:19">
      <c r="R35327" s="178"/>
      <c r="S35327" s="178"/>
    </row>
    <row r="35328" spans="18:19">
      <c r="R35328" s="178"/>
      <c r="S35328" s="178"/>
    </row>
    <row r="35329" spans="18:19">
      <c r="R35329" s="178"/>
      <c r="S35329" s="178"/>
    </row>
    <row r="35330" spans="18:19">
      <c r="R35330" s="178"/>
      <c r="S35330" s="178"/>
    </row>
    <row r="35331" spans="18:19">
      <c r="R35331" s="178"/>
      <c r="S35331" s="178"/>
    </row>
    <row r="35332" spans="18:19">
      <c r="R35332" s="178"/>
      <c r="S35332" s="178"/>
    </row>
    <row r="35333" spans="18:19">
      <c r="R35333" s="178"/>
      <c r="S35333" s="178"/>
    </row>
    <row r="35334" spans="18:19">
      <c r="R35334" s="178"/>
      <c r="S35334" s="178"/>
    </row>
    <row r="35335" spans="18:19">
      <c r="R35335" s="178"/>
      <c r="S35335" s="178"/>
    </row>
    <row r="35336" spans="18:19">
      <c r="R35336" s="178"/>
      <c r="S35336" s="178"/>
    </row>
    <row r="35337" spans="18:19">
      <c r="R35337" s="178"/>
      <c r="S35337" s="178"/>
    </row>
    <row r="35338" spans="18:19">
      <c r="R35338" s="178"/>
      <c r="S35338" s="178"/>
    </row>
    <row r="35339" spans="18:19">
      <c r="R35339" s="178"/>
      <c r="S35339" s="178"/>
    </row>
    <row r="35340" spans="18:19">
      <c r="R35340" s="178"/>
      <c r="S35340" s="178"/>
    </row>
    <row r="35341" spans="18:19">
      <c r="R35341" s="178"/>
      <c r="S35341" s="178"/>
    </row>
    <row r="35342" spans="18:19">
      <c r="R35342" s="178"/>
      <c r="S35342" s="178"/>
    </row>
    <row r="35343" spans="18:19">
      <c r="R35343" s="178"/>
      <c r="S35343" s="178"/>
    </row>
    <row r="35344" spans="18:19">
      <c r="R35344" s="178"/>
      <c r="S35344" s="178"/>
    </row>
    <row r="35345" spans="18:19">
      <c r="R35345" s="178"/>
      <c r="S35345" s="178"/>
    </row>
    <row r="35346" spans="18:19">
      <c r="R35346" s="178"/>
      <c r="S35346" s="178"/>
    </row>
    <row r="35347" spans="18:19">
      <c r="R35347" s="178"/>
      <c r="S35347" s="178"/>
    </row>
    <row r="35348" spans="18:19">
      <c r="R35348" s="178"/>
      <c r="S35348" s="178"/>
    </row>
    <row r="35349" spans="18:19">
      <c r="R35349" s="178"/>
      <c r="S35349" s="178"/>
    </row>
    <row r="35350" spans="18:19">
      <c r="R35350" s="178"/>
      <c r="S35350" s="178"/>
    </row>
    <row r="35351" spans="18:19">
      <c r="R35351" s="178"/>
      <c r="S35351" s="178"/>
    </row>
    <row r="35352" spans="18:19">
      <c r="R35352" s="178"/>
      <c r="S35352" s="178"/>
    </row>
    <row r="35353" spans="18:19">
      <c r="R35353" s="178"/>
      <c r="S35353" s="178"/>
    </row>
    <row r="35354" spans="18:19">
      <c r="R35354" s="178"/>
      <c r="S35354" s="178"/>
    </row>
    <row r="35355" spans="18:19">
      <c r="R35355" s="178"/>
      <c r="S35355" s="178"/>
    </row>
    <row r="35356" spans="18:19">
      <c r="R35356" s="178"/>
      <c r="S35356" s="178"/>
    </row>
    <row r="35357" spans="18:19">
      <c r="R35357" s="178"/>
      <c r="S35357" s="178"/>
    </row>
    <row r="35358" spans="18:19">
      <c r="R35358" s="178"/>
      <c r="S35358" s="178"/>
    </row>
    <row r="35359" spans="18:19">
      <c r="R35359" s="178"/>
      <c r="S35359" s="178"/>
    </row>
    <row r="35360" spans="18:19">
      <c r="R35360" s="178"/>
      <c r="S35360" s="178"/>
    </row>
    <row r="35361" spans="18:19">
      <c r="R35361" s="178"/>
      <c r="S35361" s="178"/>
    </row>
    <row r="35362" spans="18:19">
      <c r="R35362" s="178"/>
      <c r="S35362" s="178"/>
    </row>
    <row r="35363" spans="18:19">
      <c r="R35363" s="178"/>
      <c r="S35363" s="178"/>
    </row>
    <row r="35364" spans="18:19">
      <c r="R35364" s="178"/>
      <c r="S35364" s="178"/>
    </row>
    <row r="35365" spans="18:19">
      <c r="R35365" s="178"/>
      <c r="S35365" s="178"/>
    </row>
    <row r="35366" spans="18:19">
      <c r="R35366" s="178"/>
      <c r="S35366" s="178"/>
    </row>
    <row r="35367" spans="18:19">
      <c r="R35367" s="178"/>
      <c r="S35367" s="178"/>
    </row>
    <row r="35368" spans="18:19">
      <c r="R35368" s="178"/>
      <c r="S35368" s="178"/>
    </row>
    <row r="35369" spans="18:19">
      <c r="R35369" s="178"/>
      <c r="S35369" s="178"/>
    </row>
    <row r="35370" spans="18:19">
      <c r="R35370" s="178"/>
      <c r="S35370" s="178"/>
    </row>
    <row r="35371" spans="18:19">
      <c r="R35371" s="178"/>
      <c r="S35371" s="178"/>
    </row>
    <row r="35372" spans="18:19">
      <c r="R35372" s="178"/>
      <c r="S35372" s="178"/>
    </row>
    <row r="35373" spans="18:19">
      <c r="R35373" s="178"/>
      <c r="S35373" s="178"/>
    </row>
    <row r="35374" spans="18:19">
      <c r="R35374" s="178"/>
      <c r="S35374" s="178"/>
    </row>
    <row r="35375" spans="18:19">
      <c r="R35375" s="178"/>
      <c r="S35375" s="178"/>
    </row>
    <row r="35376" spans="18:19">
      <c r="R35376" s="178"/>
      <c r="S35376" s="178"/>
    </row>
    <row r="35377" spans="18:19">
      <c r="R35377" s="178"/>
      <c r="S35377" s="178"/>
    </row>
    <row r="35378" spans="18:19">
      <c r="R35378" s="178"/>
      <c r="S35378" s="178"/>
    </row>
    <row r="35379" spans="18:19">
      <c r="R35379" s="178"/>
      <c r="S35379" s="178"/>
    </row>
    <row r="35380" spans="18:19">
      <c r="R35380" s="178"/>
      <c r="S35380" s="178"/>
    </row>
    <row r="35381" spans="18:19">
      <c r="R35381" s="178"/>
      <c r="S35381" s="178"/>
    </row>
    <row r="35382" spans="18:19">
      <c r="R35382" s="178"/>
      <c r="S35382" s="178"/>
    </row>
    <row r="35383" spans="18:19">
      <c r="R35383" s="178"/>
      <c r="S35383" s="178"/>
    </row>
    <row r="35384" spans="18:19">
      <c r="R35384" s="178"/>
      <c r="S35384" s="178"/>
    </row>
    <row r="35385" spans="18:19">
      <c r="R35385" s="178"/>
      <c r="S35385" s="178"/>
    </row>
    <row r="35386" spans="18:19">
      <c r="R35386" s="178"/>
      <c r="S35386" s="178"/>
    </row>
    <row r="35387" spans="18:19">
      <c r="R35387" s="178"/>
      <c r="S35387" s="178"/>
    </row>
    <row r="35388" spans="18:19">
      <c r="R35388" s="178"/>
      <c r="S35388" s="178"/>
    </row>
    <row r="35389" spans="18:19">
      <c r="R35389" s="178"/>
      <c r="S35389" s="178"/>
    </row>
    <row r="35390" spans="18:19">
      <c r="R35390" s="178"/>
      <c r="S35390" s="178"/>
    </row>
    <row r="35391" spans="18:19">
      <c r="R35391" s="178"/>
      <c r="S35391" s="178"/>
    </row>
    <row r="35392" spans="18:19">
      <c r="R35392" s="178"/>
      <c r="S35392" s="178"/>
    </row>
    <row r="35393" spans="18:19">
      <c r="R35393" s="178"/>
      <c r="S35393" s="178"/>
    </row>
    <row r="35394" spans="18:19">
      <c r="R35394" s="178"/>
      <c r="S35394" s="178"/>
    </row>
    <row r="35395" spans="18:19">
      <c r="R35395" s="178"/>
      <c r="S35395" s="178"/>
    </row>
    <row r="35396" spans="18:19">
      <c r="R35396" s="178"/>
      <c r="S35396" s="178"/>
    </row>
    <row r="35397" spans="18:19">
      <c r="R35397" s="178"/>
      <c r="S35397" s="178"/>
    </row>
    <row r="35398" spans="18:19">
      <c r="R35398" s="178"/>
      <c r="S35398" s="178"/>
    </row>
    <row r="35399" spans="18:19">
      <c r="R35399" s="178"/>
      <c r="S35399" s="178"/>
    </row>
    <row r="35400" spans="18:19">
      <c r="R35400" s="178"/>
      <c r="S35400" s="178"/>
    </row>
    <row r="35401" spans="18:19">
      <c r="R35401" s="178"/>
      <c r="S35401" s="178"/>
    </row>
    <row r="35402" spans="18:19">
      <c r="R35402" s="178"/>
      <c r="S35402" s="178"/>
    </row>
    <row r="35403" spans="18:19">
      <c r="R35403" s="178"/>
      <c r="S35403" s="178"/>
    </row>
    <row r="35404" spans="18:19">
      <c r="R35404" s="178"/>
      <c r="S35404" s="178"/>
    </row>
    <row r="35405" spans="18:19">
      <c r="R35405" s="178"/>
      <c r="S35405" s="178"/>
    </row>
    <row r="35406" spans="18:19">
      <c r="R35406" s="178"/>
      <c r="S35406" s="178"/>
    </row>
    <row r="35407" spans="18:19">
      <c r="R35407" s="178"/>
      <c r="S35407" s="178"/>
    </row>
    <row r="35408" spans="18:19">
      <c r="R35408" s="178"/>
      <c r="S35408" s="178"/>
    </row>
    <row r="35409" spans="18:19">
      <c r="R35409" s="178"/>
      <c r="S35409" s="178"/>
    </row>
    <row r="35410" spans="18:19">
      <c r="R35410" s="178"/>
      <c r="S35410" s="178"/>
    </row>
    <row r="35411" spans="18:19">
      <c r="R35411" s="178"/>
      <c r="S35411" s="178"/>
    </row>
    <row r="35412" spans="18:19">
      <c r="R35412" s="178"/>
      <c r="S35412" s="178"/>
    </row>
    <row r="35413" spans="18:19">
      <c r="R35413" s="178"/>
      <c r="S35413" s="178"/>
    </row>
    <row r="35414" spans="18:19">
      <c r="R35414" s="178"/>
      <c r="S35414" s="178"/>
    </row>
    <row r="35415" spans="18:19">
      <c r="R35415" s="178"/>
      <c r="S35415" s="178"/>
    </row>
    <row r="35416" spans="18:19">
      <c r="R35416" s="178"/>
      <c r="S35416" s="178"/>
    </row>
    <row r="35417" spans="18:19">
      <c r="R35417" s="178"/>
      <c r="S35417" s="178"/>
    </row>
    <row r="35418" spans="18:19">
      <c r="R35418" s="178"/>
      <c r="S35418" s="178"/>
    </row>
    <row r="35419" spans="18:19">
      <c r="R35419" s="178"/>
      <c r="S35419" s="178"/>
    </row>
    <row r="35420" spans="18:19">
      <c r="R35420" s="178"/>
      <c r="S35420" s="178"/>
    </row>
    <row r="35421" spans="18:19">
      <c r="R35421" s="178"/>
      <c r="S35421" s="178"/>
    </row>
    <row r="35422" spans="18:19">
      <c r="R35422" s="178"/>
      <c r="S35422" s="178"/>
    </row>
    <row r="35423" spans="18:19">
      <c r="R35423" s="178"/>
      <c r="S35423" s="178"/>
    </row>
    <row r="35424" spans="18:19">
      <c r="R35424" s="178"/>
      <c r="S35424" s="178"/>
    </row>
    <row r="35425" spans="18:19">
      <c r="R35425" s="178"/>
      <c r="S35425" s="178"/>
    </row>
    <row r="35426" spans="18:19">
      <c r="R35426" s="178"/>
      <c r="S35426" s="178"/>
    </row>
    <row r="35427" spans="18:19">
      <c r="R35427" s="178"/>
      <c r="S35427" s="178"/>
    </row>
    <row r="35428" spans="18:19">
      <c r="R35428" s="178"/>
      <c r="S35428" s="178"/>
    </row>
    <row r="35429" spans="18:19">
      <c r="R35429" s="178"/>
      <c r="S35429" s="178"/>
    </row>
    <row r="35430" spans="18:19">
      <c r="R35430" s="178"/>
      <c r="S35430" s="178"/>
    </row>
    <row r="35431" spans="18:19">
      <c r="R35431" s="178"/>
      <c r="S35431" s="178"/>
    </row>
    <row r="35432" spans="18:19">
      <c r="R35432" s="178"/>
      <c r="S35432" s="178"/>
    </row>
    <row r="35433" spans="18:19">
      <c r="R35433" s="178"/>
      <c r="S35433" s="178"/>
    </row>
    <row r="35434" spans="18:19">
      <c r="R35434" s="178"/>
      <c r="S35434" s="178"/>
    </row>
    <row r="35435" spans="18:19">
      <c r="R35435" s="178"/>
      <c r="S35435" s="178"/>
    </row>
    <row r="35436" spans="18:19">
      <c r="R35436" s="178"/>
      <c r="S35436" s="178"/>
    </row>
    <row r="35437" spans="18:19">
      <c r="R35437" s="178"/>
      <c r="S35437" s="178"/>
    </row>
    <row r="35438" spans="18:19">
      <c r="R35438" s="178"/>
      <c r="S35438" s="178"/>
    </row>
    <row r="35439" spans="18:19">
      <c r="R35439" s="178"/>
      <c r="S35439" s="178"/>
    </row>
    <row r="35440" spans="18:19">
      <c r="R35440" s="178"/>
      <c r="S35440" s="178"/>
    </row>
    <row r="35441" spans="18:19">
      <c r="R35441" s="178"/>
      <c r="S35441" s="178"/>
    </row>
    <row r="35442" spans="18:19">
      <c r="R35442" s="178"/>
      <c r="S35442" s="178"/>
    </row>
    <row r="35443" spans="18:19">
      <c r="R35443" s="178"/>
      <c r="S35443" s="178"/>
    </row>
    <row r="35444" spans="18:19">
      <c r="R35444" s="178"/>
      <c r="S35444" s="178"/>
    </row>
    <row r="35445" spans="18:19">
      <c r="R35445" s="178"/>
      <c r="S35445" s="178"/>
    </row>
    <row r="35446" spans="18:19">
      <c r="R35446" s="178"/>
      <c r="S35446" s="178"/>
    </row>
    <row r="35447" spans="18:19">
      <c r="R35447" s="178"/>
      <c r="S35447" s="178"/>
    </row>
    <row r="35448" spans="18:19">
      <c r="R35448" s="178"/>
      <c r="S35448" s="178"/>
    </row>
    <row r="35449" spans="18:19">
      <c r="R35449" s="178"/>
      <c r="S35449" s="178"/>
    </row>
    <row r="35450" spans="18:19">
      <c r="R35450" s="178"/>
      <c r="S35450" s="178"/>
    </row>
    <row r="35451" spans="18:19">
      <c r="R35451" s="178"/>
      <c r="S35451" s="178"/>
    </row>
    <row r="35452" spans="18:19">
      <c r="R35452" s="178"/>
      <c r="S35452" s="178"/>
    </row>
    <row r="35453" spans="18:19">
      <c r="R35453" s="178"/>
      <c r="S35453" s="178"/>
    </row>
    <row r="35454" spans="18:19">
      <c r="R35454" s="178"/>
      <c r="S35454" s="178"/>
    </row>
    <row r="35455" spans="18:19">
      <c r="R35455" s="178"/>
      <c r="S35455" s="178"/>
    </row>
    <row r="35456" spans="18:19">
      <c r="R35456" s="178"/>
      <c r="S35456" s="178"/>
    </row>
    <row r="35457" spans="18:19">
      <c r="R35457" s="178"/>
      <c r="S35457" s="178"/>
    </row>
    <row r="35458" spans="18:19">
      <c r="R35458" s="178"/>
      <c r="S35458" s="178"/>
    </row>
    <row r="35459" spans="18:19">
      <c r="R35459" s="178"/>
      <c r="S35459" s="178"/>
    </row>
    <row r="35460" spans="18:19">
      <c r="R35460" s="178"/>
      <c r="S35460" s="178"/>
    </row>
    <row r="35461" spans="18:19">
      <c r="R35461" s="178"/>
      <c r="S35461" s="178"/>
    </row>
    <row r="35462" spans="18:19">
      <c r="R35462" s="178"/>
      <c r="S35462" s="178"/>
    </row>
    <row r="35463" spans="18:19">
      <c r="R35463" s="178"/>
      <c r="S35463" s="178"/>
    </row>
    <row r="35464" spans="18:19">
      <c r="R35464" s="178"/>
      <c r="S35464" s="178"/>
    </row>
    <row r="35465" spans="18:19">
      <c r="R35465" s="178"/>
      <c r="S35465" s="178"/>
    </row>
    <row r="35466" spans="18:19">
      <c r="R35466" s="178"/>
      <c r="S35466" s="178"/>
    </row>
    <row r="35467" spans="18:19">
      <c r="R35467" s="178"/>
      <c r="S35467" s="178"/>
    </row>
    <row r="35468" spans="18:19">
      <c r="R35468" s="178"/>
      <c r="S35468" s="178"/>
    </row>
    <row r="35469" spans="18:19">
      <c r="R35469" s="178"/>
      <c r="S35469" s="178"/>
    </row>
    <row r="35470" spans="18:19">
      <c r="R35470" s="178"/>
      <c r="S35470" s="178"/>
    </row>
    <row r="35471" spans="18:19">
      <c r="R35471" s="178"/>
      <c r="S35471" s="178"/>
    </row>
    <row r="35472" spans="18:19">
      <c r="R35472" s="178"/>
      <c r="S35472" s="178"/>
    </row>
    <row r="35473" spans="18:19">
      <c r="R35473" s="178"/>
      <c r="S35473" s="178"/>
    </row>
    <row r="35474" spans="18:19">
      <c r="R35474" s="178"/>
      <c r="S35474" s="178"/>
    </row>
    <row r="35475" spans="18:19">
      <c r="R35475" s="178"/>
      <c r="S35475" s="178"/>
    </row>
    <row r="35476" spans="18:19">
      <c r="R35476" s="178"/>
      <c r="S35476" s="178"/>
    </row>
    <row r="35477" spans="18:19">
      <c r="R35477" s="178"/>
      <c r="S35477" s="178"/>
    </row>
    <row r="35478" spans="18:19">
      <c r="R35478" s="178"/>
      <c r="S35478" s="178"/>
    </row>
    <row r="35479" spans="18:19">
      <c r="R35479" s="178"/>
      <c r="S35479" s="178"/>
    </row>
    <row r="35480" spans="18:19">
      <c r="R35480" s="178"/>
      <c r="S35480" s="178"/>
    </row>
    <row r="35481" spans="18:19">
      <c r="R35481" s="178"/>
      <c r="S35481" s="178"/>
    </row>
    <row r="35482" spans="18:19">
      <c r="R35482" s="178"/>
      <c r="S35482" s="178"/>
    </row>
    <row r="35483" spans="18:19">
      <c r="R35483" s="178"/>
      <c r="S35483" s="178"/>
    </row>
    <row r="35484" spans="18:19">
      <c r="R35484" s="178"/>
      <c r="S35484" s="178"/>
    </row>
    <row r="35485" spans="18:19">
      <c r="R35485" s="178"/>
      <c r="S35485" s="178"/>
    </row>
    <row r="35486" spans="18:19">
      <c r="R35486" s="178"/>
      <c r="S35486" s="178"/>
    </row>
    <row r="35487" spans="18:19">
      <c r="R35487" s="178"/>
      <c r="S35487" s="178"/>
    </row>
    <row r="35488" spans="18:19">
      <c r="R35488" s="178"/>
      <c r="S35488" s="178"/>
    </row>
    <row r="35489" spans="18:19">
      <c r="R35489" s="178"/>
      <c r="S35489" s="178"/>
    </row>
    <row r="35490" spans="18:19">
      <c r="R35490" s="178"/>
      <c r="S35490" s="178"/>
    </row>
    <row r="35491" spans="18:19">
      <c r="R35491" s="178"/>
      <c r="S35491" s="178"/>
    </row>
    <row r="35492" spans="18:19">
      <c r="R35492" s="178"/>
      <c r="S35492" s="178"/>
    </row>
    <row r="35493" spans="18:19">
      <c r="R35493" s="178"/>
      <c r="S35493" s="178"/>
    </row>
    <row r="35494" spans="18:19">
      <c r="R35494" s="178"/>
      <c r="S35494" s="178"/>
    </row>
    <row r="35495" spans="18:19">
      <c r="R35495" s="178"/>
      <c r="S35495" s="178"/>
    </row>
    <row r="35496" spans="18:19">
      <c r="R35496" s="178"/>
      <c r="S35496" s="178"/>
    </row>
    <row r="35497" spans="18:19">
      <c r="R35497" s="178"/>
      <c r="S35497" s="178"/>
    </row>
    <row r="35498" spans="18:19">
      <c r="R35498" s="178"/>
      <c r="S35498" s="178"/>
    </row>
    <row r="35499" spans="18:19">
      <c r="R35499" s="178"/>
      <c r="S35499" s="178"/>
    </row>
    <row r="35500" spans="18:19">
      <c r="R35500" s="178"/>
      <c r="S35500" s="178"/>
    </row>
    <row r="35501" spans="18:19">
      <c r="R35501" s="178"/>
      <c r="S35501" s="178"/>
    </row>
    <row r="35502" spans="18:19">
      <c r="R35502" s="178"/>
      <c r="S35502" s="178"/>
    </row>
    <row r="35503" spans="18:19">
      <c r="R35503" s="178"/>
      <c r="S35503" s="178"/>
    </row>
    <row r="35504" spans="18:19">
      <c r="R35504" s="178"/>
      <c r="S35504" s="178"/>
    </row>
    <row r="35505" spans="18:19">
      <c r="R35505" s="178"/>
      <c r="S35505" s="178"/>
    </row>
    <row r="35506" spans="18:19">
      <c r="R35506" s="178"/>
      <c r="S35506" s="178"/>
    </row>
    <row r="35507" spans="18:19">
      <c r="R35507" s="178"/>
      <c r="S35507" s="178"/>
    </row>
    <row r="35508" spans="18:19">
      <c r="R35508" s="178"/>
      <c r="S35508" s="178"/>
    </row>
    <row r="35509" spans="18:19">
      <c r="R35509" s="178"/>
      <c r="S35509" s="178"/>
    </row>
    <row r="35510" spans="18:19">
      <c r="R35510" s="178"/>
      <c r="S35510" s="178"/>
    </row>
    <row r="35511" spans="18:19">
      <c r="R35511" s="178"/>
      <c r="S35511" s="178"/>
    </row>
    <row r="35512" spans="18:19">
      <c r="R35512" s="178"/>
      <c r="S35512" s="178"/>
    </row>
    <row r="35513" spans="18:19">
      <c r="R35513" s="178"/>
      <c r="S35513" s="178"/>
    </row>
    <row r="35514" spans="18:19">
      <c r="R35514" s="178"/>
      <c r="S35514" s="178"/>
    </row>
    <row r="35515" spans="18:19">
      <c r="R35515" s="178"/>
      <c r="S35515" s="178"/>
    </row>
    <row r="35516" spans="18:19">
      <c r="R35516" s="178"/>
      <c r="S35516" s="178"/>
    </row>
    <row r="35517" spans="18:19">
      <c r="R35517" s="178"/>
      <c r="S35517" s="178"/>
    </row>
    <row r="35518" spans="18:19">
      <c r="R35518" s="178"/>
      <c r="S35518" s="178"/>
    </row>
    <row r="35519" spans="18:19">
      <c r="R35519" s="178"/>
      <c r="S35519" s="178"/>
    </row>
    <row r="35520" spans="18:19">
      <c r="R35520" s="178"/>
      <c r="S35520" s="178"/>
    </row>
    <row r="35521" spans="18:19">
      <c r="R35521" s="178"/>
      <c r="S35521" s="178"/>
    </row>
    <row r="35522" spans="18:19">
      <c r="R35522" s="178"/>
      <c r="S35522" s="178"/>
    </row>
    <row r="35523" spans="18:19">
      <c r="R35523" s="178"/>
      <c r="S35523" s="178"/>
    </row>
    <row r="35524" spans="18:19">
      <c r="R35524" s="178"/>
      <c r="S35524" s="178"/>
    </row>
    <row r="35525" spans="18:19">
      <c r="R35525" s="178"/>
      <c r="S35525" s="178"/>
    </row>
    <row r="35526" spans="18:19">
      <c r="R35526" s="178"/>
      <c r="S35526" s="178"/>
    </row>
    <row r="35527" spans="18:19">
      <c r="R35527" s="178"/>
      <c r="S35527" s="178"/>
    </row>
    <row r="35528" spans="18:19">
      <c r="R35528" s="178"/>
      <c r="S35528" s="178"/>
    </row>
    <row r="35529" spans="18:19">
      <c r="R35529" s="178"/>
      <c r="S35529" s="178"/>
    </row>
    <row r="35530" spans="18:19">
      <c r="R35530" s="178"/>
      <c r="S35530" s="178"/>
    </row>
    <row r="35531" spans="18:19">
      <c r="R35531" s="178"/>
      <c r="S35531" s="178"/>
    </row>
    <row r="35532" spans="18:19">
      <c r="R35532" s="178"/>
      <c r="S35532" s="178"/>
    </row>
    <row r="35533" spans="18:19">
      <c r="R35533" s="178"/>
      <c r="S35533" s="178"/>
    </row>
    <row r="35534" spans="18:19">
      <c r="R35534" s="178"/>
      <c r="S35534" s="178"/>
    </row>
    <row r="35535" spans="18:19">
      <c r="R35535" s="178"/>
      <c r="S35535" s="178"/>
    </row>
    <row r="35536" spans="18:19">
      <c r="R35536" s="178"/>
      <c r="S35536" s="178"/>
    </row>
    <row r="35537" spans="18:19">
      <c r="R35537" s="178"/>
      <c r="S35537" s="178"/>
    </row>
    <row r="35538" spans="18:19">
      <c r="R35538" s="178"/>
      <c r="S35538" s="178"/>
    </row>
    <row r="35539" spans="18:19">
      <c r="R35539" s="178"/>
      <c r="S35539" s="178"/>
    </row>
    <row r="35540" spans="18:19">
      <c r="R35540" s="178"/>
      <c r="S35540" s="178"/>
    </row>
    <row r="35541" spans="18:19">
      <c r="R35541" s="178"/>
      <c r="S35541" s="178"/>
    </row>
    <row r="35542" spans="18:19">
      <c r="R35542" s="178"/>
      <c r="S35542" s="178"/>
    </row>
    <row r="35543" spans="18:19">
      <c r="R35543" s="178"/>
      <c r="S35543" s="178"/>
    </row>
    <row r="35544" spans="18:19">
      <c r="R35544" s="178"/>
      <c r="S35544" s="178"/>
    </row>
    <row r="35545" spans="18:19">
      <c r="R35545" s="178"/>
      <c r="S35545" s="178"/>
    </row>
    <row r="35546" spans="18:19">
      <c r="R35546" s="178"/>
      <c r="S35546" s="178"/>
    </row>
    <row r="35547" spans="18:19">
      <c r="R35547" s="178"/>
      <c r="S35547" s="178"/>
    </row>
    <row r="35548" spans="18:19">
      <c r="R35548" s="178"/>
      <c r="S35548" s="178"/>
    </row>
    <row r="35549" spans="18:19">
      <c r="R35549" s="178"/>
      <c r="S35549" s="178"/>
    </row>
    <row r="35550" spans="18:19">
      <c r="R35550" s="178"/>
      <c r="S35550" s="178"/>
    </row>
    <row r="35551" spans="18:19">
      <c r="R35551" s="178"/>
      <c r="S35551" s="178"/>
    </row>
    <row r="35552" spans="18:19">
      <c r="R35552" s="178"/>
      <c r="S35552" s="178"/>
    </row>
    <row r="35553" spans="18:19">
      <c r="R35553" s="178"/>
      <c r="S35553" s="178"/>
    </row>
    <row r="35554" spans="18:19">
      <c r="R35554" s="178"/>
      <c r="S35554" s="178"/>
    </row>
    <row r="35555" spans="18:19">
      <c r="R35555" s="178"/>
      <c r="S35555" s="178"/>
    </row>
    <row r="35556" spans="18:19">
      <c r="R35556" s="178"/>
      <c r="S35556" s="178"/>
    </row>
    <row r="35557" spans="18:19">
      <c r="R35557" s="178"/>
      <c r="S35557" s="178"/>
    </row>
    <row r="35558" spans="18:19">
      <c r="R35558" s="178"/>
      <c r="S35558" s="178"/>
    </row>
    <row r="35559" spans="18:19">
      <c r="R35559" s="178"/>
      <c r="S35559" s="178"/>
    </row>
    <row r="35560" spans="18:19">
      <c r="R35560" s="178"/>
      <c r="S35560" s="178"/>
    </row>
    <row r="35561" spans="18:19">
      <c r="R35561" s="178"/>
      <c r="S35561" s="178"/>
    </row>
    <row r="35562" spans="18:19">
      <c r="R35562" s="178"/>
      <c r="S35562" s="178"/>
    </row>
    <row r="35563" spans="18:19">
      <c r="R35563" s="178"/>
      <c r="S35563" s="178"/>
    </row>
    <row r="35564" spans="18:19">
      <c r="R35564" s="178"/>
      <c r="S35564" s="178"/>
    </row>
    <row r="35565" spans="18:19">
      <c r="R35565" s="178"/>
      <c r="S35565" s="178"/>
    </row>
    <row r="35566" spans="18:19">
      <c r="R35566" s="178"/>
      <c r="S35566" s="178"/>
    </row>
    <row r="35567" spans="18:19">
      <c r="R35567" s="178"/>
      <c r="S35567" s="178"/>
    </row>
    <row r="35568" spans="18:19">
      <c r="R35568" s="178"/>
      <c r="S35568" s="178"/>
    </row>
    <row r="35569" spans="18:19">
      <c r="R35569" s="178"/>
      <c r="S35569" s="178"/>
    </row>
    <row r="35570" spans="18:19">
      <c r="R35570" s="178"/>
      <c r="S35570" s="178"/>
    </row>
    <row r="35571" spans="18:19">
      <c r="R35571" s="178"/>
      <c r="S35571" s="178"/>
    </row>
    <row r="35572" spans="18:19">
      <c r="R35572" s="178"/>
      <c r="S35572" s="178"/>
    </row>
    <row r="35573" spans="18:19">
      <c r="R35573" s="178"/>
      <c r="S35573" s="178"/>
    </row>
    <row r="35574" spans="18:19">
      <c r="R35574" s="178"/>
      <c r="S35574" s="178"/>
    </row>
    <row r="35575" spans="18:19">
      <c r="R35575" s="178"/>
      <c r="S35575" s="178"/>
    </row>
    <row r="35576" spans="18:19">
      <c r="R35576" s="178"/>
      <c r="S35576" s="178"/>
    </row>
    <row r="35577" spans="18:19">
      <c r="R35577" s="178"/>
      <c r="S35577" s="178"/>
    </row>
    <row r="35578" spans="18:19">
      <c r="R35578" s="178"/>
      <c r="S35578" s="178"/>
    </row>
    <row r="35579" spans="18:19">
      <c r="R35579" s="178"/>
      <c r="S35579" s="178"/>
    </row>
    <row r="35580" spans="18:19">
      <c r="R35580" s="178"/>
      <c r="S35580" s="178"/>
    </row>
    <row r="35581" spans="18:19">
      <c r="R35581" s="178"/>
      <c r="S35581" s="178"/>
    </row>
    <row r="35582" spans="18:19">
      <c r="R35582" s="178"/>
      <c r="S35582" s="178"/>
    </row>
    <row r="35583" spans="18:19">
      <c r="R35583" s="178"/>
      <c r="S35583" s="178"/>
    </row>
    <row r="35584" spans="18:19">
      <c r="R35584" s="178"/>
      <c r="S35584" s="178"/>
    </row>
    <row r="35585" spans="18:19">
      <c r="R35585" s="178"/>
      <c r="S35585" s="178"/>
    </row>
    <row r="35586" spans="18:19">
      <c r="R35586" s="178"/>
      <c r="S35586" s="178"/>
    </row>
    <row r="35587" spans="18:19">
      <c r="R35587" s="178"/>
      <c r="S35587" s="178"/>
    </row>
    <row r="35588" spans="18:19">
      <c r="R35588" s="178"/>
      <c r="S35588" s="178"/>
    </row>
    <row r="35589" spans="18:19">
      <c r="R35589" s="178"/>
      <c r="S35589" s="178"/>
    </row>
    <row r="35590" spans="18:19">
      <c r="R35590" s="178"/>
      <c r="S35590" s="178"/>
    </row>
    <row r="35591" spans="18:19">
      <c r="R35591" s="178"/>
      <c r="S35591" s="178"/>
    </row>
    <row r="35592" spans="18:19">
      <c r="R35592" s="178"/>
      <c r="S35592" s="178"/>
    </row>
    <row r="35593" spans="18:19">
      <c r="R35593" s="178"/>
      <c r="S35593" s="178"/>
    </row>
    <row r="35594" spans="18:19">
      <c r="R35594" s="178"/>
      <c r="S35594" s="178"/>
    </row>
    <row r="35595" spans="18:19">
      <c r="R35595" s="178"/>
      <c r="S35595" s="178"/>
    </row>
    <row r="35596" spans="18:19">
      <c r="R35596" s="178"/>
      <c r="S35596" s="178"/>
    </row>
    <row r="35597" spans="18:19">
      <c r="R35597" s="178"/>
      <c r="S35597" s="178"/>
    </row>
    <row r="35598" spans="18:19">
      <c r="R35598" s="178"/>
      <c r="S35598" s="178"/>
    </row>
    <row r="35599" spans="18:19">
      <c r="R35599" s="178"/>
      <c r="S35599" s="178"/>
    </row>
    <row r="35600" spans="18:19">
      <c r="R35600" s="178"/>
      <c r="S35600" s="178"/>
    </row>
    <row r="35601" spans="18:19">
      <c r="R35601" s="178"/>
      <c r="S35601" s="178"/>
    </row>
    <row r="35602" spans="18:19">
      <c r="R35602" s="178"/>
      <c r="S35602" s="178"/>
    </row>
    <row r="35603" spans="18:19">
      <c r="R35603" s="178"/>
      <c r="S35603" s="178"/>
    </row>
    <row r="35604" spans="18:19">
      <c r="R35604" s="178"/>
      <c r="S35604" s="178"/>
    </row>
    <row r="35605" spans="18:19">
      <c r="R35605" s="178"/>
      <c r="S35605" s="178"/>
    </row>
    <row r="35606" spans="18:19">
      <c r="R35606" s="178"/>
      <c r="S35606" s="178"/>
    </row>
    <row r="35607" spans="18:19">
      <c r="R35607" s="178"/>
      <c r="S35607" s="178"/>
    </row>
    <row r="35608" spans="18:19">
      <c r="R35608" s="178"/>
      <c r="S35608" s="178"/>
    </row>
    <row r="35609" spans="18:19">
      <c r="R35609" s="178"/>
      <c r="S35609" s="178"/>
    </row>
    <row r="35610" spans="18:19">
      <c r="R35610" s="178"/>
      <c r="S35610" s="178"/>
    </row>
    <row r="35611" spans="18:19">
      <c r="R35611" s="178"/>
      <c r="S35611" s="178"/>
    </row>
    <row r="35612" spans="18:19">
      <c r="R35612" s="178"/>
      <c r="S35612" s="178"/>
    </row>
    <row r="35613" spans="18:19">
      <c r="R35613" s="178"/>
      <c r="S35613" s="178"/>
    </row>
    <row r="35614" spans="18:19">
      <c r="R35614" s="178"/>
      <c r="S35614" s="178"/>
    </row>
    <row r="35615" spans="18:19">
      <c r="R35615" s="178"/>
      <c r="S35615" s="178"/>
    </row>
    <row r="35616" spans="18:19">
      <c r="R35616" s="178"/>
      <c r="S35616" s="178"/>
    </row>
    <row r="35617" spans="18:19">
      <c r="R35617" s="178"/>
      <c r="S35617" s="178"/>
    </row>
    <row r="35618" spans="18:19">
      <c r="R35618" s="178"/>
      <c r="S35618" s="178"/>
    </row>
    <row r="35619" spans="18:19">
      <c r="R35619" s="178"/>
      <c r="S35619" s="178"/>
    </row>
    <row r="35620" spans="18:19">
      <c r="R35620" s="178"/>
      <c r="S35620" s="178"/>
    </row>
    <row r="35621" spans="18:19">
      <c r="R35621" s="178"/>
      <c r="S35621" s="178"/>
    </row>
    <row r="35622" spans="18:19">
      <c r="R35622" s="178"/>
      <c r="S35622" s="178"/>
    </row>
    <row r="35623" spans="18:19">
      <c r="R35623" s="178"/>
      <c r="S35623" s="178"/>
    </row>
    <row r="35624" spans="18:19">
      <c r="R35624" s="178"/>
      <c r="S35624" s="178"/>
    </row>
    <row r="35625" spans="18:19">
      <c r="R35625" s="178"/>
      <c r="S35625" s="178"/>
    </row>
    <row r="35626" spans="18:19">
      <c r="R35626" s="178"/>
      <c r="S35626" s="178"/>
    </row>
    <row r="35627" spans="18:19">
      <c r="R35627" s="178"/>
      <c r="S35627" s="178"/>
    </row>
    <row r="35628" spans="18:19">
      <c r="R35628" s="178"/>
      <c r="S35628" s="178"/>
    </row>
    <row r="35629" spans="18:19">
      <c r="R35629" s="178"/>
      <c r="S35629" s="178"/>
    </row>
    <row r="35630" spans="18:19">
      <c r="R35630" s="178"/>
      <c r="S35630" s="178"/>
    </row>
    <row r="35631" spans="18:19">
      <c r="R35631" s="178"/>
      <c r="S35631" s="178"/>
    </row>
    <row r="35632" spans="18:19">
      <c r="R35632" s="178"/>
      <c r="S35632" s="178"/>
    </row>
    <row r="35633" spans="18:19">
      <c r="R35633" s="178"/>
      <c r="S35633" s="178"/>
    </row>
    <row r="35634" spans="18:19">
      <c r="R35634" s="178"/>
      <c r="S35634" s="178"/>
    </row>
    <row r="35635" spans="18:19">
      <c r="R35635" s="178"/>
      <c r="S35635" s="178"/>
    </row>
    <row r="35636" spans="18:19">
      <c r="R35636" s="178"/>
      <c r="S35636" s="178"/>
    </row>
    <row r="35637" spans="18:19">
      <c r="R35637" s="178"/>
      <c r="S35637" s="178"/>
    </row>
    <row r="35638" spans="18:19">
      <c r="R35638" s="178"/>
      <c r="S35638" s="178"/>
    </row>
    <row r="35639" spans="18:19">
      <c r="R35639" s="178"/>
      <c r="S35639" s="178"/>
    </row>
    <row r="35640" spans="18:19">
      <c r="R35640" s="178"/>
      <c r="S35640" s="178"/>
    </row>
    <row r="35641" spans="18:19">
      <c r="R35641" s="178"/>
      <c r="S35641" s="178"/>
    </row>
    <row r="35642" spans="18:19">
      <c r="R35642" s="178"/>
      <c r="S35642" s="178"/>
    </row>
    <row r="35643" spans="18:19">
      <c r="R35643" s="178"/>
      <c r="S35643" s="178"/>
    </row>
    <row r="35644" spans="18:19">
      <c r="R35644" s="178"/>
      <c r="S35644" s="178"/>
    </row>
    <row r="35645" spans="18:19">
      <c r="R35645" s="178"/>
      <c r="S35645" s="178"/>
    </row>
    <row r="35646" spans="18:19">
      <c r="R35646" s="178"/>
      <c r="S35646" s="178"/>
    </row>
    <row r="35647" spans="18:19">
      <c r="R35647" s="178"/>
      <c r="S35647" s="178"/>
    </row>
    <row r="35648" spans="18:19">
      <c r="R35648" s="178"/>
      <c r="S35648" s="178"/>
    </row>
    <row r="35649" spans="18:19">
      <c r="R35649" s="178"/>
      <c r="S35649" s="178"/>
    </row>
    <row r="35650" spans="18:19">
      <c r="R35650" s="178"/>
      <c r="S35650" s="178"/>
    </row>
    <row r="35651" spans="18:19">
      <c r="R35651" s="178"/>
      <c r="S35651" s="178"/>
    </row>
    <row r="35652" spans="18:19">
      <c r="R35652" s="178"/>
      <c r="S35652" s="178"/>
    </row>
    <row r="35653" spans="18:19">
      <c r="R35653" s="178"/>
      <c r="S35653" s="178"/>
    </row>
    <row r="35654" spans="18:19">
      <c r="R35654" s="178"/>
      <c r="S35654" s="178"/>
    </row>
    <row r="35655" spans="18:19">
      <c r="R35655" s="178"/>
      <c r="S35655" s="178"/>
    </row>
    <row r="35656" spans="18:19">
      <c r="R35656" s="178"/>
      <c r="S35656" s="178"/>
    </row>
    <row r="35657" spans="18:19">
      <c r="R35657" s="178"/>
      <c r="S35657" s="178"/>
    </row>
    <row r="35658" spans="18:19">
      <c r="R35658" s="178"/>
      <c r="S35658" s="178"/>
    </row>
    <row r="35659" spans="18:19">
      <c r="R35659" s="178"/>
      <c r="S35659" s="178"/>
    </row>
    <row r="35660" spans="18:19">
      <c r="R35660" s="178"/>
      <c r="S35660" s="178"/>
    </row>
    <row r="35661" spans="18:19">
      <c r="R35661" s="178"/>
      <c r="S35661" s="178"/>
    </row>
    <row r="35662" spans="18:19">
      <c r="R35662" s="178"/>
      <c r="S35662" s="178"/>
    </row>
    <row r="35663" spans="18:19">
      <c r="R35663" s="178"/>
      <c r="S35663" s="178"/>
    </row>
    <row r="35664" spans="18:19">
      <c r="R35664" s="178"/>
      <c r="S35664" s="178"/>
    </row>
    <row r="35665" spans="18:19">
      <c r="R35665" s="178"/>
      <c r="S35665" s="178"/>
    </row>
    <row r="35666" spans="18:19">
      <c r="R35666" s="178"/>
      <c r="S35666" s="178"/>
    </row>
    <row r="35667" spans="18:19">
      <c r="R35667" s="178"/>
      <c r="S35667" s="178"/>
    </row>
    <row r="35668" spans="18:19">
      <c r="R35668" s="178"/>
      <c r="S35668" s="178"/>
    </row>
    <row r="35669" spans="18:19">
      <c r="R35669" s="178"/>
      <c r="S35669" s="178"/>
    </row>
    <row r="35670" spans="18:19">
      <c r="R35670" s="178"/>
      <c r="S35670" s="178"/>
    </row>
    <row r="35671" spans="18:19">
      <c r="R35671" s="178"/>
      <c r="S35671" s="178"/>
    </row>
    <row r="35672" spans="18:19">
      <c r="R35672" s="178"/>
      <c r="S35672" s="178"/>
    </row>
    <row r="35673" spans="18:19">
      <c r="R35673" s="178"/>
      <c r="S35673" s="178"/>
    </row>
    <row r="35674" spans="18:19">
      <c r="R35674" s="178"/>
      <c r="S35674" s="178"/>
    </row>
    <row r="35675" spans="18:19">
      <c r="R35675" s="178"/>
      <c r="S35675" s="178"/>
    </row>
    <row r="35676" spans="18:19">
      <c r="R35676" s="178"/>
      <c r="S35676" s="178"/>
    </row>
    <row r="35677" spans="18:19">
      <c r="R35677" s="178"/>
      <c r="S35677" s="178"/>
    </row>
    <row r="35678" spans="18:19">
      <c r="R35678" s="178"/>
      <c r="S35678" s="178"/>
    </row>
    <row r="35679" spans="18:19">
      <c r="R35679" s="178"/>
      <c r="S35679" s="178"/>
    </row>
    <row r="35680" spans="18:19">
      <c r="R35680" s="178"/>
      <c r="S35680" s="178"/>
    </row>
    <row r="35681" spans="18:19">
      <c r="R35681" s="178"/>
      <c r="S35681" s="178"/>
    </row>
    <row r="35682" spans="18:19">
      <c r="R35682" s="178"/>
      <c r="S35682" s="178"/>
    </row>
    <row r="35683" spans="18:19">
      <c r="R35683" s="178"/>
      <c r="S35683" s="178"/>
    </row>
    <row r="35684" spans="18:19">
      <c r="R35684" s="178"/>
      <c r="S35684" s="178"/>
    </row>
    <row r="35685" spans="18:19">
      <c r="R35685" s="178"/>
      <c r="S35685" s="178"/>
    </row>
    <row r="35686" spans="18:19">
      <c r="R35686" s="178"/>
      <c r="S35686" s="178"/>
    </row>
    <row r="35687" spans="18:19">
      <c r="R35687" s="178"/>
      <c r="S35687" s="178"/>
    </row>
    <row r="35688" spans="18:19">
      <c r="R35688" s="178"/>
      <c r="S35688" s="178"/>
    </row>
    <row r="35689" spans="18:19">
      <c r="R35689" s="178"/>
      <c r="S35689" s="178"/>
    </row>
    <row r="35690" spans="18:19">
      <c r="R35690" s="178"/>
      <c r="S35690" s="178"/>
    </row>
    <row r="35691" spans="18:19">
      <c r="R35691" s="178"/>
      <c r="S35691" s="178"/>
    </row>
    <row r="35692" spans="18:19">
      <c r="R35692" s="178"/>
      <c r="S35692" s="178"/>
    </row>
    <row r="35693" spans="18:19">
      <c r="R35693" s="178"/>
      <c r="S35693" s="178"/>
    </row>
    <row r="35694" spans="18:19">
      <c r="R35694" s="178"/>
      <c r="S35694" s="178"/>
    </row>
    <row r="35695" spans="18:19">
      <c r="R35695" s="178"/>
      <c r="S35695" s="178"/>
    </row>
    <row r="35696" spans="18:19">
      <c r="R35696" s="178"/>
      <c r="S35696" s="178"/>
    </row>
    <row r="35697" spans="18:19">
      <c r="R35697" s="178"/>
      <c r="S35697" s="178"/>
    </row>
    <row r="35698" spans="18:19">
      <c r="R35698" s="178"/>
      <c r="S35698" s="178"/>
    </row>
    <row r="35699" spans="18:19">
      <c r="R35699" s="178"/>
      <c r="S35699" s="178"/>
    </row>
    <row r="35700" spans="18:19">
      <c r="R35700" s="178"/>
      <c r="S35700" s="178"/>
    </row>
    <row r="35701" spans="18:19">
      <c r="R35701" s="178"/>
      <c r="S35701" s="178"/>
    </row>
    <row r="35702" spans="18:19">
      <c r="R35702" s="178"/>
      <c r="S35702" s="178"/>
    </row>
    <row r="35703" spans="18:19">
      <c r="R35703" s="178"/>
      <c r="S35703" s="178"/>
    </row>
    <row r="35704" spans="18:19">
      <c r="R35704" s="178"/>
      <c r="S35704" s="178"/>
    </row>
    <row r="35705" spans="18:19">
      <c r="R35705" s="178"/>
      <c r="S35705" s="178"/>
    </row>
    <row r="35706" spans="18:19">
      <c r="R35706" s="178"/>
      <c r="S35706" s="178"/>
    </row>
    <row r="35707" spans="18:19">
      <c r="R35707" s="178"/>
      <c r="S35707" s="178"/>
    </row>
    <row r="35708" spans="18:19">
      <c r="R35708" s="178"/>
      <c r="S35708" s="178"/>
    </row>
    <row r="35709" spans="18:19">
      <c r="R35709" s="178"/>
      <c r="S35709" s="178"/>
    </row>
    <row r="35710" spans="18:19">
      <c r="R35710" s="178"/>
      <c r="S35710" s="178"/>
    </row>
    <row r="35711" spans="18:19">
      <c r="R35711" s="178"/>
      <c r="S35711" s="178"/>
    </row>
    <row r="35712" spans="18:19">
      <c r="R35712" s="178"/>
      <c r="S35712" s="178"/>
    </row>
    <row r="35713" spans="18:19">
      <c r="R35713" s="178"/>
      <c r="S35713" s="178"/>
    </row>
    <row r="35714" spans="18:19">
      <c r="R35714" s="178"/>
      <c r="S35714" s="178"/>
    </row>
    <row r="35715" spans="18:19">
      <c r="R35715" s="178"/>
      <c r="S35715" s="178"/>
    </row>
    <row r="35716" spans="18:19">
      <c r="R35716" s="178"/>
      <c r="S35716" s="178"/>
    </row>
    <row r="35717" spans="18:19">
      <c r="R35717" s="178"/>
      <c r="S35717" s="178"/>
    </row>
    <row r="35718" spans="18:19">
      <c r="R35718" s="178"/>
      <c r="S35718" s="178"/>
    </row>
    <row r="35719" spans="18:19">
      <c r="R35719" s="178"/>
      <c r="S35719" s="178"/>
    </row>
    <row r="35720" spans="18:19">
      <c r="R35720" s="178"/>
      <c r="S35720" s="178"/>
    </row>
    <row r="35721" spans="18:19">
      <c r="R35721" s="178"/>
      <c r="S35721" s="178"/>
    </row>
    <row r="35722" spans="18:19">
      <c r="R35722" s="178"/>
      <c r="S35722" s="178"/>
    </row>
    <row r="35723" spans="18:19">
      <c r="R35723" s="178"/>
      <c r="S35723" s="178"/>
    </row>
    <row r="35724" spans="18:19">
      <c r="R35724" s="178"/>
      <c r="S35724" s="178"/>
    </row>
    <row r="35725" spans="18:19">
      <c r="R35725" s="178"/>
      <c r="S35725" s="178"/>
    </row>
    <row r="35726" spans="18:19">
      <c r="R35726" s="178"/>
      <c r="S35726" s="178"/>
    </row>
    <row r="35727" spans="18:19">
      <c r="R35727" s="178"/>
      <c r="S35727" s="178"/>
    </row>
    <row r="35728" spans="18:19">
      <c r="R35728" s="178"/>
      <c r="S35728" s="178"/>
    </row>
    <row r="35729" spans="18:19">
      <c r="R35729" s="178"/>
      <c r="S35729" s="178"/>
    </row>
    <row r="35730" spans="18:19">
      <c r="R35730" s="178"/>
      <c r="S35730" s="178"/>
    </row>
    <row r="35731" spans="18:19">
      <c r="R35731" s="178"/>
      <c r="S35731" s="178"/>
    </row>
    <row r="35732" spans="18:19">
      <c r="R35732" s="178"/>
      <c r="S35732" s="178"/>
    </row>
    <row r="35733" spans="18:19">
      <c r="R35733" s="178"/>
      <c r="S35733" s="178"/>
    </row>
    <row r="35734" spans="18:19">
      <c r="R35734" s="178"/>
      <c r="S35734" s="178"/>
    </row>
    <row r="35735" spans="18:19">
      <c r="R35735" s="178"/>
      <c r="S35735" s="178"/>
    </row>
    <row r="35736" spans="18:19">
      <c r="R35736" s="178"/>
      <c r="S35736" s="178"/>
    </row>
    <row r="35737" spans="18:19">
      <c r="R35737" s="178"/>
      <c r="S35737" s="178"/>
    </row>
    <row r="35738" spans="18:19">
      <c r="R35738" s="178"/>
      <c r="S35738" s="178"/>
    </row>
    <row r="35739" spans="18:19">
      <c r="R35739" s="178"/>
      <c r="S35739" s="178"/>
    </row>
    <row r="35740" spans="18:19">
      <c r="R35740" s="178"/>
      <c r="S35740" s="178"/>
    </row>
    <row r="35741" spans="18:19">
      <c r="R35741" s="178"/>
      <c r="S35741" s="178"/>
    </row>
    <row r="35742" spans="18:19">
      <c r="R35742" s="178"/>
      <c r="S35742" s="178"/>
    </row>
    <row r="35743" spans="18:19">
      <c r="R35743" s="178"/>
      <c r="S35743" s="178"/>
    </row>
    <row r="35744" spans="18:19">
      <c r="R35744" s="178"/>
      <c r="S35744" s="178"/>
    </row>
    <row r="35745" spans="18:19">
      <c r="R35745" s="178"/>
      <c r="S35745" s="178"/>
    </row>
    <row r="35746" spans="18:19">
      <c r="R35746" s="178"/>
      <c r="S35746" s="178"/>
    </row>
    <row r="35747" spans="18:19">
      <c r="R35747" s="178"/>
      <c r="S35747" s="178"/>
    </row>
    <row r="35748" spans="18:19">
      <c r="R35748" s="178"/>
      <c r="S35748" s="178"/>
    </row>
    <row r="35749" spans="18:19">
      <c r="R35749" s="178"/>
      <c r="S35749" s="178"/>
    </row>
    <row r="35750" spans="18:19">
      <c r="R35750" s="178"/>
      <c r="S35750" s="178"/>
    </row>
    <row r="35751" spans="18:19">
      <c r="R35751" s="178"/>
      <c r="S35751" s="178"/>
    </row>
    <row r="35752" spans="18:19">
      <c r="R35752" s="178"/>
      <c r="S35752" s="178"/>
    </row>
    <row r="35753" spans="18:19">
      <c r="R35753" s="178"/>
      <c r="S35753" s="178"/>
    </row>
    <row r="35754" spans="18:19">
      <c r="R35754" s="178"/>
      <c r="S35754" s="178"/>
    </row>
    <row r="35755" spans="18:19">
      <c r="R35755" s="178"/>
      <c r="S35755" s="178"/>
    </row>
    <row r="35756" spans="18:19">
      <c r="R35756" s="178"/>
      <c r="S35756" s="178"/>
    </row>
    <row r="35757" spans="18:19">
      <c r="R35757" s="178"/>
      <c r="S35757" s="178"/>
    </row>
    <row r="35758" spans="18:19">
      <c r="R35758" s="178"/>
      <c r="S35758" s="178"/>
    </row>
    <row r="35759" spans="18:19">
      <c r="R35759" s="178"/>
      <c r="S35759" s="178"/>
    </row>
    <row r="35760" spans="18:19">
      <c r="R35760" s="178"/>
      <c r="S35760" s="178"/>
    </row>
    <row r="35761" spans="18:19">
      <c r="R35761" s="178"/>
      <c r="S35761" s="178"/>
    </row>
    <row r="35762" spans="18:19">
      <c r="R35762" s="178"/>
      <c r="S35762" s="178"/>
    </row>
    <row r="35763" spans="18:19">
      <c r="R35763" s="178"/>
      <c r="S35763" s="178"/>
    </row>
    <row r="35764" spans="18:19">
      <c r="R35764" s="178"/>
      <c r="S35764" s="178"/>
    </row>
    <row r="35765" spans="18:19">
      <c r="R35765" s="178"/>
      <c r="S35765" s="178"/>
    </row>
    <row r="35766" spans="18:19">
      <c r="R35766" s="178"/>
      <c r="S35766" s="178"/>
    </row>
    <row r="35767" spans="18:19">
      <c r="R35767" s="178"/>
      <c r="S35767" s="178"/>
    </row>
    <row r="35768" spans="18:19">
      <c r="R35768" s="178"/>
      <c r="S35768" s="178"/>
    </row>
    <row r="35769" spans="18:19">
      <c r="R35769" s="178"/>
      <c r="S35769" s="178"/>
    </row>
    <row r="35770" spans="18:19">
      <c r="R35770" s="178"/>
      <c r="S35770" s="178"/>
    </row>
    <row r="35771" spans="18:19">
      <c r="R35771" s="178"/>
      <c r="S35771" s="178"/>
    </row>
    <row r="35772" spans="18:19">
      <c r="R35772" s="178"/>
      <c r="S35772" s="178"/>
    </row>
    <row r="35773" spans="18:19">
      <c r="R35773" s="178"/>
      <c r="S35773" s="178"/>
    </row>
    <row r="35774" spans="18:19">
      <c r="R35774" s="178"/>
      <c r="S35774" s="178"/>
    </row>
    <row r="35775" spans="18:19">
      <c r="R35775" s="178"/>
      <c r="S35775" s="178"/>
    </row>
    <row r="35776" spans="18:19">
      <c r="R35776" s="178"/>
      <c r="S35776" s="178"/>
    </row>
    <row r="35777" spans="18:19">
      <c r="R35777" s="178"/>
      <c r="S35777" s="178"/>
    </row>
    <row r="35778" spans="18:19">
      <c r="R35778" s="178"/>
      <c r="S35778" s="178"/>
    </row>
    <row r="35779" spans="18:19">
      <c r="R35779" s="178"/>
      <c r="S35779" s="178"/>
    </row>
    <row r="35780" spans="18:19">
      <c r="R35780" s="178"/>
      <c r="S35780" s="178"/>
    </row>
    <row r="35781" spans="18:19">
      <c r="R35781" s="178"/>
      <c r="S35781" s="178"/>
    </row>
    <row r="35782" spans="18:19">
      <c r="R35782" s="178"/>
      <c r="S35782" s="178"/>
    </row>
    <row r="35783" spans="18:19">
      <c r="R35783" s="178"/>
      <c r="S35783" s="178"/>
    </row>
    <row r="35784" spans="18:19">
      <c r="R35784" s="178"/>
      <c r="S35784" s="178"/>
    </row>
    <row r="35785" spans="18:19">
      <c r="R35785" s="178"/>
      <c r="S35785" s="178"/>
    </row>
    <row r="35786" spans="18:19">
      <c r="R35786" s="178"/>
      <c r="S35786" s="178"/>
    </row>
    <row r="35787" spans="18:19">
      <c r="R35787" s="178"/>
      <c r="S35787" s="178"/>
    </row>
    <row r="35788" spans="18:19">
      <c r="R35788" s="178"/>
      <c r="S35788" s="178"/>
    </row>
    <row r="35789" spans="18:19">
      <c r="R35789" s="178"/>
      <c r="S35789" s="178"/>
    </row>
    <row r="35790" spans="18:19">
      <c r="R35790" s="178"/>
      <c r="S35790" s="178"/>
    </row>
    <row r="35791" spans="18:19">
      <c r="R35791" s="178"/>
      <c r="S35791" s="178"/>
    </row>
    <row r="35792" spans="18:19">
      <c r="R35792" s="178"/>
      <c r="S35792" s="178"/>
    </row>
    <row r="35793" spans="18:19">
      <c r="R35793" s="178"/>
      <c r="S35793" s="178"/>
    </row>
    <row r="35794" spans="18:19">
      <c r="R35794" s="178"/>
      <c r="S35794" s="178"/>
    </row>
    <row r="35795" spans="18:19">
      <c r="R35795" s="178"/>
      <c r="S35795" s="178"/>
    </row>
    <row r="35796" spans="18:19">
      <c r="R35796" s="178"/>
      <c r="S35796" s="178"/>
    </row>
    <row r="35797" spans="18:19">
      <c r="R35797" s="178"/>
      <c r="S35797" s="178"/>
    </row>
    <row r="35798" spans="18:19">
      <c r="R35798" s="178"/>
      <c r="S35798" s="178"/>
    </row>
    <row r="35799" spans="18:19">
      <c r="R35799" s="178"/>
      <c r="S35799" s="178"/>
    </row>
    <row r="35800" spans="18:19">
      <c r="R35800" s="178"/>
      <c r="S35800" s="178"/>
    </row>
    <row r="35801" spans="18:19">
      <c r="R35801" s="178"/>
      <c r="S35801" s="178"/>
    </row>
    <row r="35802" spans="18:19">
      <c r="R35802" s="178"/>
      <c r="S35802" s="178"/>
    </row>
    <row r="35803" spans="18:19">
      <c r="R35803" s="178"/>
      <c r="S35803" s="178"/>
    </row>
    <row r="35804" spans="18:19">
      <c r="R35804" s="178"/>
      <c r="S35804" s="178"/>
    </row>
    <row r="35805" spans="18:19">
      <c r="R35805" s="178"/>
      <c r="S35805" s="178"/>
    </row>
    <row r="35806" spans="18:19">
      <c r="R35806" s="178"/>
      <c r="S35806" s="178"/>
    </row>
    <row r="35807" spans="18:19">
      <c r="R35807" s="178"/>
      <c r="S35807" s="178"/>
    </row>
    <row r="35808" spans="18:19">
      <c r="R35808" s="178"/>
      <c r="S35808" s="178"/>
    </row>
    <row r="35809" spans="18:19">
      <c r="R35809" s="178"/>
      <c r="S35809" s="178"/>
    </row>
    <row r="35810" spans="18:19">
      <c r="R35810" s="178"/>
      <c r="S35810" s="178"/>
    </row>
    <row r="35811" spans="18:19">
      <c r="R35811" s="178"/>
      <c r="S35811" s="178"/>
    </row>
    <row r="35812" spans="18:19">
      <c r="R35812" s="178"/>
      <c r="S35812" s="178"/>
    </row>
    <row r="35813" spans="18:19">
      <c r="R35813" s="178"/>
      <c r="S35813" s="178"/>
    </row>
    <row r="35814" spans="18:19">
      <c r="R35814" s="178"/>
      <c r="S35814" s="178"/>
    </row>
    <row r="35815" spans="18:19">
      <c r="R35815" s="178"/>
      <c r="S35815" s="178"/>
    </row>
    <row r="35816" spans="18:19">
      <c r="R35816" s="178"/>
      <c r="S35816" s="178"/>
    </row>
    <row r="35817" spans="18:19">
      <c r="R35817" s="178"/>
      <c r="S35817" s="178"/>
    </row>
    <row r="35818" spans="18:19">
      <c r="R35818" s="178"/>
      <c r="S35818" s="178"/>
    </row>
    <row r="35819" spans="18:19">
      <c r="R35819" s="178"/>
      <c r="S35819" s="178"/>
    </row>
    <row r="35820" spans="18:19">
      <c r="R35820" s="178"/>
      <c r="S35820" s="178"/>
    </row>
    <row r="35821" spans="18:19">
      <c r="R35821" s="178"/>
      <c r="S35821" s="178"/>
    </row>
    <row r="35822" spans="18:19">
      <c r="R35822" s="178"/>
      <c r="S35822" s="178"/>
    </row>
    <row r="35823" spans="18:19">
      <c r="R35823" s="178"/>
      <c r="S35823" s="178"/>
    </row>
    <row r="35824" spans="18:19">
      <c r="R35824" s="178"/>
      <c r="S35824" s="178"/>
    </row>
    <row r="35825" spans="18:19">
      <c r="R35825" s="178"/>
      <c r="S35825" s="178"/>
    </row>
    <row r="35826" spans="18:19">
      <c r="R35826" s="178"/>
      <c r="S35826" s="178"/>
    </row>
    <row r="35827" spans="18:19">
      <c r="R35827" s="178"/>
      <c r="S35827" s="178"/>
    </row>
    <row r="35828" spans="18:19">
      <c r="R35828" s="178"/>
      <c r="S35828" s="178"/>
    </row>
    <row r="35829" spans="18:19">
      <c r="R35829" s="178"/>
      <c r="S35829" s="178"/>
    </row>
    <row r="35830" spans="18:19">
      <c r="R35830" s="178"/>
      <c r="S35830" s="178"/>
    </row>
    <row r="35831" spans="18:19">
      <c r="R35831" s="178"/>
      <c r="S35831" s="178"/>
    </row>
    <row r="35832" spans="18:19">
      <c r="R35832" s="178"/>
      <c r="S35832" s="178"/>
    </row>
    <row r="35833" spans="18:19">
      <c r="R35833" s="178"/>
      <c r="S35833" s="178"/>
    </row>
    <row r="35834" spans="18:19">
      <c r="R35834" s="178"/>
      <c r="S35834" s="178"/>
    </row>
    <row r="35835" spans="18:19">
      <c r="R35835" s="178"/>
      <c r="S35835" s="178"/>
    </row>
    <row r="35836" spans="18:19">
      <c r="R35836" s="178"/>
      <c r="S35836" s="178"/>
    </row>
    <row r="35837" spans="18:19">
      <c r="R35837" s="178"/>
      <c r="S35837" s="178"/>
    </row>
    <row r="35838" spans="18:19">
      <c r="R35838" s="178"/>
      <c r="S35838" s="178"/>
    </row>
    <row r="35839" spans="18:19">
      <c r="R35839" s="178"/>
      <c r="S35839" s="178"/>
    </row>
    <row r="35840" spans="18:19">
      <c r="R35840" s="178"/>
      <c r="S35840" s="178"/>
    </row>
    <row r="35841" spans="18:19">
      <c r="R35841" s="178"/>
      <c r="S35841" s="178"/>
    </row>
    <row r="35842" spans="18:19">
      <c r="R35842" s="178"/>
      <c r="S35842" s="178"/>
    </row>
    <row r="35843" spans="18:19">
      <c r="R35843" s="178"/>
      <c r="S35843" s="178"/>
    </row>
    <row r="35844" spans="18:19">
      <c r="R35844" s="178"/>
      <c r="S35844" s="178"/>
    </row>
    <row r="35845" spans="18:19">
      <c r="R35845" s="178"/>
      <c r="S35845" s="178"/>
    </row>
    <row r="35846" spans="18:19">
      <c r="R35846" s="178"/>
      <c r="S35846" s="178"/>
    </row>
    <row r="35847" spans="18:19">
      <c r="R35847" s="178"/>
      <c r="S35847" s="178"/>
    </row>
    <row r="35848" spans="18:19">
      <c r="R35848" s="178"/>
      <c r="S35848" s="178"/>
    </row>
    <row r="35849" spans="18:19">
      <c r="R35849" s="178"/>
      <c r="S35849" s="178"/>
    </row>
    <row r="35850" spans="18:19">
      <c r="R35850" s="178"/>
      <c r="S35850" s="178"/>
    </row>
    <row r="35851" spans="18:19">
      <c r="R35851" s="178"/>
      <c r="S35851" s="178"/>
    </row>
    <row r="35852" spans="18:19">
      <c r="R35852" s="178"/>
      <c r="S35852" s="178"/>
    </row>
    <row r="35853" spans="18:19">
      <c r="R35853" s="178"/>
      <c r="S35853" s="178"/>
    </row>
    <row r="35854" spans="18:19">
      <c r="R35854" s="178"/>
      <c r="S35854" s="178"/>
    </row>
    <row r="35855" spans="18:19">
      <c r="R35855" s="178"/>
      <c r="S35855" s="178"/>
    </row>
    <row r="35856" spans="18:19">
      <c r="R35856" s="178"/>
      <c r="S35856" s="178"/>
    </row>
    <row r="35857" spans="18:19">
      <c r="R35857" s="178"/>
      <c r="S35857" s="178"/>
    </row>
    <row r="35858" spans="18:19">
      <c r="R35858" s="178"/>
      <c r="S35858" s="178"/>
    </row>
    <row r="35859" spans="18:19">
      <c r="R35859" s="178"/>
      <c r="S35859" s="178"/>
    </row>
    <row r="35860" spans="18:19">
      <c r="R35860" s="178"/>
      <c r="S35860" s="178"/>
    </row>
    <row r="35861" spans="18:19">
      <c r="R35861" s="178"/>
      <c r="S35861" s="178"/>
    </row>
    <row r="35862" spans="18:19">
      <c r="R35862" s="178"/>
      <c r="S35862" s="178"/>
    </row>
    <row r="35863" spans="18:19">
      <c r="R35863" s="178"/>
      <c r="S35863" s="178"/>
    </row>
    <row r="35864" spans="18:19">
      <c r="R35864" s="178"/>
      <c r="S35864" s="178"/>
    </row>
    <row r="35865" spans="18:19">
      <c r="R35865" s="178"/>
      <c r="S35865" s="178"/>
    </row>
    <row r="35866" spans="18:19">
      <c r="R35866" s="178"/>
      <c r="S35866" s="178"/>
    </row>
    <row r="35867" spans="18:19">
      <c r="R35867" s="178"/>
      <c r="S35867" s="178"/>
    </row>
    <row r="35868" spans="18:19">
      <c r="R35868" s="178"/>
      <c r="S35868" s="178"/>
    </row>
    <row r="35869" spans="18:19">
      <c r="R35869" s="178"/>
      <c r="S35869" s="178"/>
    </row>
    <row r="35870" spans="18:19">
      <c r="R35870" s="178"/>
      <c r="S35870" s="178"/>
    </row>
    <row r="35871" spans="18:19">
      <c r="R35871" s="178"/>
      <c r="S35871" s="178"/>
    </row>
    <row r="35872" spans="18:19">
      <c r="R35872" s="178"/>
      <c r="S35872" s="178"/>
    </row>
    <row r="35873" spans="18:19">
      <c r="R35873" s="178"/>
      <c r="S35873" s="178"/>
    </row>
    <row r="35874" spans="18:19">
      <c r="R35874" s="178"/>
      <c r="S35874" s="178"/>
    </row>
    <row r="35875" spans="18:19">
      <c r="R35875" s="178"/>
      <c r="S35875" s="178"/>
    </row>
    <row r="35876" spans="18:19">
      <c r="R35876" s="178"/>
      <c r="S35876" s="178"/>
    </row>
    <row r="35877" spans="18:19">
      <c r="R35877" s="178"/>
      <c r="S35877" s="178"/>
    </row>
    <row r="35878" spans="18:19">
      <c r="R35878" s="178"/>
      <c r="S35878" s="178"/>
    </row>
    <row r="35879" spans="18:19">
      <c r="R35879" s="178"/>
      <c r="S35879" s="178"/>
    </row>
    <row r="35880" spans="18:19">
      <c r="R35880" s="178"/>
      <c r="S35880" s="178"/>
    </row>
    <row r="35881" spans="18:19">
      <c r="R35881" s="178"/>
      <c r="S35881" s="178"/>
    </row>
    <row r="35882" spans="18:19">
      <c r="R35882" s="178"/>
      <c r="S35882" s="178"/>
    </row>
    <row r="35883" spans="18:19">
      <c r="R35883" s="178"/>
      <c r="S35883" s="178"/>
    </row>
    <row r="35884" spans="18:19">
      <c r="R35884" s="178"/>
      <c r="S35884" s="178"/>
    </row>
    <row r="35885" spans="18:19">
      <c r="R35885" s="178"/>
      <c r="S35885" s="178"/>
    </row>
    <row r="35886" spans="18:19">
      <c r="R35886" s="178"/>
      <c r="S35886" s="178"/>
    </row>
    <row r="35887" spans="18:19">
      <c r="R35887" s="178"/>
      <c r="S35887" s="178"/>
    </row>
    <row r="35888" spans="18:19">
      <c r="R35888" s="178"/>
      <c r="S35888" s="178"/>
    </row>
    <row r="35889" spans="18:19">
      <c r="R35889" s="178"/>
      <c r="S35889" s="178"/>
    </row>
    <row r="35890" spans="18:19">
      <c r="R35890" s="178"/>
      <c r="S35890" s="178"/>
    </row>
    <row r="35891" spans="18:19">
      <c r="R35891" s="178"/>
      <c r="S35891" s="178"/>
    </row>
    <row r="35892" spans="18:19">
      <c r="R35892" s="178"/>
      <c r="S35892" s="178"/>
    </row>
    <row r="35893" spans="18:19">
      <c r="R35893" s="178"/>
      <c r="S35893" s="178"/>
    </row>
    <row r="35894" spans="18:19">
      <c r="R35894" s="178"/>
      <c r="S35894" s="178"/>
    </row>
    <row r="35895" spans="18:19">
      <c r="R35895" s="178"/>
      <c r="S35895" s="178"/>
    </row>
    <row r="35896" spans="18:19">
      <c r="R35896" s="178"/>
      <c r="S35896" s="178"/>
    </row>
    <row r="35897" spans="18:19">
      <c r="R35897" s="178"/>
      <c r="S35897" s="178"/>
    </row>
    <row r="35898" spans="18:19">
      <c r="R35898" s="178"/>
      <c r="S35898" s="178"/>
    </row>
    <row r="35899" spans="18:19">
      <c r="R35899" s="178"/>
      <c r="S35899" s="178"/>
    </row>
    <row r="35900" spans="18:19">
      <c r="R35900" s="178"/>
      <c r="S35900" s="178"/>
    </row>
    <row r="35901" spans="18:19">
      <c r="R35901" s="178"/>
      <c r="S35901" s="178"/>
    </row>
    <row r="35902" spans="18:19">
      <c r="R35902" s="178"/>
      <c r="S35902" s="178"/>
    </row>
    <row r="35903" spans="18:19">
      <c r="R35903" s="178"/>
      <c r="S35903" s="178"/>
    </row>
    <row r="35904" spans="18:19">
      <c r="R35904" s="178"/>
      <c r="S35904" s="178"/>
    </row>
    <row r="35905" spans="18:19">
      <c r="R35905" s="178"/>
      <c r="S35905" s="178"/>
    </row>
    <row r="35906" spans="18:19">
      <c r="R35906" s="178"/>
      <c r="S35906" s="178"/>
    </row>
    <row r="35907" spans="18:19">
      <c r="R35907" s="178"/>
      <c r="S35907" s="178"/>
    </row>
    <row r="35908" spans="18:19">
      <c r="R35908" s="178"/>
      <c r="S35908" s="178"/>
    </row>
    <row r="35909" spans="18:19">
      <c r="R35909" s="178"/>
      <c r="S35909" s="178"/>
    </row>
    <row r="35910" spans="18:19">
      <c r="R35910" s="178"/>
      <c r="S35910" s="178"/>
    </row>
    <row r="35911" spans="18:19">
      <c r="R35911" s="178"/>
      <c r="S35911" s="178"/>
    </row>
    <row r="35912" spans="18:19">
      <c r="R35912" s="178"/>
      <c r="S35912" s="178"/>
    </row>
    <row r="35913" spans="18:19">
      <c r="R35913" s="178"/>
      <c r="S35913" s="178"/>
    </row>
    <row r="35914" spans="18:19">
      <c r="R35914" s="178"/>
      <c r="S35914" s="178"/>
    </row>
    <row r="35915" spans="18:19">
      <c r="R35915" s="178"/>
      <c r="S35915" s="178"/>
    </row>
    <row r="35916" spans="18:19">
      <c r="R35916" s="178"/>
      <c r="S35916" s="178"/>
    </row>
    <row r="35917" spans="18:19">
      <c r="R35917" s="178"/>
      <c r="S35917" s="178"/>
    </row>
    <row r="35918" spans="18:19">
      <c r="R35918" s="178"/>
      <c r="S35918" s="178"/>
    </row>
    <row r="35919" spans="18:19">
      <c r="R35919" s="178"/>
      <c r="S35919" s="178"/>
    </row>
    <row r="35920" spans="18:19">
      <c r="R35920" s="178"/>
      <c r="S35920" s="178"/>
    </row>
    <row r="35921" spans="18:19">
      <c r="R35921" s="178"/>
      <c r="S35921" s="178"/>
    </row>
    <row r="35922" spans="18:19">
      <c r="R35922" s="178"/>
      <c r="S35922" s="178"/>
    </row>
    <row r="35923" spans="18:19">
      <c r="R35923" s="178"/>
      <c r="S35923" s="178"/>
    </row>
    <row r="35924" spans="18:19">
      <c r="R35924" s="178"/>
      <c r="S35924" s="178"/>
    </row>
    <row r="35925" spans="18:19">
      <c r="R35925" s="178"/>
      <c r="S35925" s="178"/>
    </row>
    <row r="35926" spans="18:19">
      <c r="R35926" s="178"/>
      <c r="S35926" s="178"/>
    </row>
    <row r="35927" spans="18:19">
      <c r="R35927" s="178"/>
      <c r="S35927" s="178"/>
    </row>
    <row r="35928" spans="18:19">
      <c r="R35928" s="178"/>
      <c r="S35928" s="178"/>
    </row>
    <row r="35929" spans="18:19">
      <c r="R35929" s="178"/>
      <c r="S35929" s="178"/>
    </row>
    <row r="35930" spans="18:19">
      <c r="R35930" s="178"/>
      <c r="S35930" s="178"/>
    </row>
    <row r="35931" spans="18:19">
      <c r="R35931" s="178"/>
      <c r="S35931" s="178"/>
    </row>
    <row r="35932" spans="18:19">
      <c r="R35932" s="178"/>
      <c r="S35932" s="178"/>
    </row>
    <row r="35933" spans="18:19">
      <c r="R35933" s="178"/>
      <c r="S35933" s="178"/>
    </row>
    <row r="35934" spans="18:19">
      <c r="R35934" s="178"/>
      <c r="S35934" s="178"/>
    </row>
    <row r="35935" spans="18:19">
      <c r="R35935" s="178"/>
      <c r="S35935" s="178"/>
    </row>
    <row r="35936" spans="18:19">
      <c r="R35936" s="178"/>
      <c r="S35936" s="178"/>
    </row>
    <row r="35937" spans="18:19">
      <c r="R35937" s="178"/>
      <c r="S35937" s="178"/>
    </row>
    <row r="35938" spans="18:19">
      <c r="R35938" s="178"/>
      <c r="S35938" s="178"/>
    </row>
    <row r="35939" spans="18:19">
      <c r="R35939" s="178"/>
      <c r="S35939" s="178"/>
    </row>
    <row r="35940" spans="18:19">
      <c r="R35940" s="178"/>
      <c r="S35940" s="178"/>
    </row>
    <row r="35941" spans="18:19">
      <c r="R35941" s="178"/>
      <c r="S35941" s="178"/>
    </row>
    <row r="35942" spans="18:19">
      <c r="R35942" s="178"/>
      <c r="S35942" s="178"/>
    </row>
    <row r="35943" spans="18:19">
      <c r="R35943" s="178"/>
      <c r="S35943" s="178"/>
    </row>
    <row r="35944" spans="18:19">
      <c r="R35944" s="178"/>
      <c r="S35944" s="178"/>
    </row>
    <row r="35945" spans="18:19">
      <c r="R35945" s="178"/>
      <c r="S35945" s="178"/>
    </row>
    <row r="35946" spans="18:19">
      <c r="R35946" s="178"/>
      <c r="S35946" s="178"/>
    </row>
    <row r="35947" spans="18:19">
      <c r="R35947" s="178"/>
      <c r="S35947" s="178"/>
    </row>
    <row r="35948" spans="18:19">
      <c r="R35948" s="178"/>
      <c r="S35948" s="178"/>
    </row>
    <row r="35949" spans="18:19">
      <c r="R35949" s="178"/>
      <c r="S35949" s="178"/>
    </row>
    <row r="35950" spans="18:19">
      <c r="R35950" s="178"/>
      <c r="S35950" s="178"/>
    </row>
    <row r="35951" spans="18:19">
      <c r="R35951" s="178"/>
      <c r="S35951" s="178"/>
    </row>
    <row r="35952" spans="18:19">
      <c r="R35952" s="178"/>
      <c r="S35952" s="178"/>
    </row>
    <row r="35953" spans="18:19">
      <c r="R35953" s="178"/>
      <c r="S35953" s="178"/>
    </row>
    <row r="35954" spans="18:19">
      <c r="R35954" s="178"/>
      <c r="S35954" s="178"/>
    </row>
    <row r="35955" spans="18:19">
      <c r="R35955" s="178"/>
      <c r="S35955" s="178"/>
    </row>
    <row r="35956" spans="18:19">
      <c r="R35956" s="178"/>
      <c r="S35956" s="178"/>
    </row>
    <row r="35957" spans="18:19">
      <c r="R35957" s="178"/>
      <c r="S35957" s="178"/>
    </row>
    <row r="35958" spans="18:19">
      <c r="R35958" s="178"/>
      <c r="S35958" s="178"/>
    </row>
    <row r="35959" spans="18:19">
      <c r="R35959" s="178"/>
      <c r="S35959" s="178"/>
    </row>
    <row r="35960" spans="18:19">
      <c r="R35960" s="178"/>
      <c r="S35960" s="178"/>
    </row>
    <row r="35961" spans="18:19">
      <c r="R35961" s="178"/>
      <c r="S35961" s="178"/>
    </row>
    <row r="35962" spans="18:19">
      <c r="R35962" s="178"/>
      <c r="S35962" s="178"/>
    </row>
    <row r="35963" spans="18:19">
      <c r="R35963" s="178"/>
      <c r="S35963" s="178"/>
    </row>
    <row r="35964" spans="18:19">
      <c r="R35964" s="178"/>
      <c r="S35964" s="178"/>
    </row>
    <row r="35965" spans="18:19">
      <c r="R35965" s="178"/>
      <c r="S35965" s="178"/>
    </row>
    <row r="35966" spans="18:19">
      <c r="R35966" s="178"/>
      <c r="S35966" s="178"/>
    </row>
    <row r="35967" spans="18:19">
      <c r="R35967" s="178"/>
      <c r="S35967" s="178"/>
    </row>
    <row r="35968" spans="18:19">
      <c r="R35968" s="178"/>
      <c r="S35968" s="178"/>
    </row>
    <row r="35969" spans="18:19">
      <c r="R35969" s="178"/>
      <c r="S35969" s="178"/>
    </row>
    <row r="35970" spans="18:19">
      <c r="R35970" s="178"/>
      <c r="S35970" s="178"/>
    </row>
    <row r="35971" spans="18:19">
      <c r="R35971" s="178"/>
      <c r="S35971" s="178"/>
    </row>
    <row r="35972" spans="18:19">
      <c r="R35972" s="178"/>
      <c r="S35972" s="178"/>
    </row>
    <row r="35973" spans="18:19">
      <c r="R35973" s="178"/>
      <c r="S35973" s="178"/>
    </row>
    <row r="35974" spans="18:19">
      <c r="R35974" s="178"/>
      <c r="S35974" s="178"/>
    </row>
    <row r="35975" spans="18:19">
      <c r="R35975" s="178"/>
      <c r="S35975" s="178"/>
    </row>
    <row r="35976" spans="18:19">
      <c r="R35976" s="178"/>
      <c r="S35976" s="178"/>
    </row>
    <row r="35977" spans="18:19">
      <c r="R35977" s="178"/>
      <c r="S35977" s="178"/>
    </row>
    <row r="35978" spans="18:19">
      <c r="R35978" s="178"/>
      <c r="S35978" s="178"/>
    </row>
    <row r="35979" spans="18:19">
      <c r="R35979" s="178"/>
      <c r="S35979" s="178"/>
    </row>
    <row r="35980" spans="18:19">
      <c r="R35980" s="178"/>
      <c r="S35980" s="178"/>
    </row>
    <row r="35981" spans="18:19">
      <c r="R35981" s="178"/>
      <c r="S35981" s="178"/>
    </row>
    <row r="35982" spans="18:19">
      <c r="R35982" s="178"/>
      <c r="S35982" s="178"/>
    </row>
    <row r="35983" spans="18:19">
      <c r="R35983" s="178"/>
      <c r="S35983" s="178"/>
    </row>
    <row r="35984" spans="18:19">
      <c r="R35984" s="178"/>
      <c r="S35984" s="178"/>
    </row>
    <row r="35985" spans="18:19">
      <c r="R35985" s="178"/>
      <c r="S35985" s="178"/>
    </row>
    <row r="35986" spans="18:19">
      <c r="R35986" s="178"/>
      <c r="S35986" s="178"/>
    </row>
    <row r="35987" spans="18:19">
      <c r="R35987" s="178"/>
      <c r="S35987" s="178"/>
    </row>
    <row r="35988" spans="18:19">
      <c r="R35988" s="178"/>
      <c r="S35988" s="178"/>
    </row>
    <row r="35989" spans="18:19">
      <c r="R35989" s="178"/>
      <c r="S35989" s="178"/>
    </row>
    <row r="35990" spans="18:19">
      <c r="R35990" s="178"/>
      <c r="S35990" s="178"/>
    </row>
    <row r="35991" spans="18:19">
      <c r="R35991" s="178"/>
      <c r="S35991" s="178"/>
    </row>
    <row r="35992" spans="18:19">
      <c r="R35992" s="178"/>
      <c r="S35992" s="178"/>
    </row>
    <row r="35993" spans="18:19">
      <c r="R35993" s="178"/>
      <c r="S35993" s="178"/>
    </row>
    <row r="35994" spans="18:19">
      <c r="R35994" s="178"/>
      <c r="S35994" s="178"/>
    </row>
    <row r="35995" spans="18:19">
      <c r="R35995" s="178"/>
      <c r="S35995" s="178"/>
    </row>
    <row r="35996" spans="18:19">
      <c r="R35996" s="178"/>
      <c r="S35996" s="178"/>
    </row>
    <row r="35997" spans="18:19">
      <c r="R35997" s="178"/>
      <c r="S35997" s="178"/>
    </row>
    <row r="35998" spans="18:19">
      <c r="R35998" s="178"/>
      <c r="S35998" s="178"/>
    </row>
    <row r="35999" spans="18:19">
      <c r="R35999" s="178"/>
      <c r="S35999" s="178"/>
    </row>
    <row r="36000" spans="18:19">
      <c r="R36000" s="178"/>
      <c r="S36000" s="178"/>
    </row>
    <row r="36001" spans="18:19">
      <c r="R36001" s="178"/>
      <c r="S36001" s="178"/>
    </row>
    <row r="36002" spans="18:19">
      <c r="R36002" s="178"/>
      <c r="S36002" s="178"/>
    </row>
    <row r="36003" spans="18:19">
      <c r="R36003" s="178"/>
      <c r="S36003" s="178"/>
    </row>
    <row r="36004" spans="18:19">
      <c r="R36004" s="178"/>
      <c r="S36004" s="178"/>
    </row>
    <row r="36005" spans="18:19">
      <c r="R36005" s="178"/>
      <c r="S36005" s="178"/>
    </row>
    <row r="36006" spans="18:19">
      <c r="R36006" s="178"/>
      <c r="S36006" s="178"/>
    </row>
    <row r="36007" spans="18:19">
      <c r="R36007" s="178"/>
      <c r="S36007" s="178"/>
    </row>
    <row r="36008" spans="18:19">
      <c r="R36008" s="178"/>
      <c r="S36008" s="178"/>
    </row>
    <row r="36009" spans="18:19">
      <c r="R36009" s="178"/>
      <c r="S36009" s="178"/>
    </row>
    <row r="36010" spans="18:19">
      <c r="R36010" s="178"/>
      <c r="S36010" s="178"/>
    </row>
    <row r="36011" spans="18:19">
      <c r="R36011" s="178"/>
      <c r="S36011" s="178"/>
    </row>
    <row r="36012" spans="18:19">
      <c r="R36012" s="178"/>
      <c r="S36012" s="178"/>
    </row>
    <row r="36013" spans="18:19">
      <c r="R36013" s="178"/>
      <c r="S36013" s="178"/>
    </row>
    <row r="36014" spans="18:19">
      <c r="R36014" s="178"/>
      <c r="S36014" s="178"/>
    </row>
    <row r="36015" spans="18:19">
      <c r="R36015" s="178"/>
      <c r="S36015" s="178"/>
    </row>
    <row r="36016" spans="18:19">
      <c r="R36016" s="178"/>
      <c r="S36016" s="178"/>
    </row>
    <row r="36017" spans="18:19">
      <c r="R36017" s="178"/>
      <c r="S36017" s="178"/>
    </row>
    <row r="36018" spans="18:19">
      <c r="R36018" s="178"/>
      <c r="S36018" s="178"/>
    </row>
    <row r="36019" spans="18:19">
      <c r="R36019" s="178"/>
      <c r="S36019" s="178"/>
    </row>
    <row r="36020" spans="18:19">
      <c r="R36020" s="178"/>
      <c r="S36020" s="178"/>
    </row>
    <row r="36021" spans="18:19">
      <c r="R36021" s="178"/>
      <c r="S36021" s="178"/>
    </row>
    <row r="36022" spans="18:19">
      <c r="R36022" s="178"/>
      <c r="S36022" s="178"/>
    </row>
    <row r="36023" spans="18:19">
      <c r="R36023" s="178"/>
      <c r="S36023" s="178"/>
    </row>
    <row r="36024" spans="18:19">
      <c r="R36024" s="178"/>
      <c r="S36024" s="178"/>
    </row>
    <row r="36025" spans="18:19">
      <c r="R36025" s="178"/>
      <c r="S36025" s="178"/>
    </row>
    <row r="36026" spans="18:19">
      <c r="R36026" s="178"/>
      <c r="S36026" s="178"/>
    </row>
    <row r="36027" spans="18:19">
      <c r="R36027" s="178"/>
      <c r="S36027" s="178"/>
    </row>
    <row r="36028" spans="18:19">
      <c r="R36028" s="178"/>
      <c r="S36028" s="178"/>
    </row>
    <row r="36029" spans="18:19">
      <c r="R36029" s="178"/>
      <c r="S36029" s="178"/>
    </row>
    <row r="36030" spans="18:19">
      <c r="R36030" s="178"/>
      <c r="S36030" s="178"/>
    </row>
    <row r="36031" spans="18:19">
      <c r="R36031" s="178"/>
      <c r="S36031" s="178"/>
    </row>
    <row r="36032" spans="18:19">
      <c r="R36032" s="178"/>
      <c r="S36032" s="178"/>
    </row>
    <row r="36033" spans="18:19">
      <c r="R36033" s="178"/>
      <c r="S36033" s="178"/>
    </row>
    <row r="36034" spans="18:19">
      <c r="R36034" s="178"/>
      <c r="S36034" s="178"/>
    </row>
    <row r="36035" spans="18:19">
      <c r="R36035" s="178"/>
      <c r="S36035" s="178"/>
    </row>
    <row r="36036" spans="18:19">
      <c r="R36036" s="178"/>
      <c r="S36036" s="178"/>
    </row>
    <row r="36037" spans="18:19">
      <c r="R36037" s="178"/>
      <c r="S36037" s="178"/>
    </row>
    <row r="36038" spans="18:19">
      <c r="R36038" s="178"/>
      <c r="S36038" s="178"/>
    </row>
    <row r="36039" spans="18:19">
      <c r="R36039" s="178"/>
      <c r="S36039" s="178"/>
    </row>
    <row r="36040" spans="18:19">
      <c r="R36040" s="178"/>
      <c r="S36040" s="178"/>
    </row>
    <row r="36041" spans="18:19">
      <c r="R36041" s="178"/>
      <c r="S36041" s="178"/>
    </row>
    <row r="36042" spans="18:19">
      <c r="R36042" s="178"/>
      <c r="S36042" s="178"/>
    </row>
    <row r="36043" spans="18:19">
      <c r="R36043" s="178"/>
      <c r="S36043" s="178"/>
    </row>
    <row r="36044" spans="18:19">
      <c r="R36044" s="178"/>
      <c r="S36044" s="178"/>
    </row>
    <row r="36045" spans="18:19">
      <c r="R36045" s="178"/>
      <c r="S36045" s="178"/>
    </row>
    <row r="36046" spans="18:19">
      <c r="R36046" s="178"/>
      <c r="S36046" s="178"/>
    </row>
    <row r="36047" spans="18:19">
      <c r="R36047" s="178"/>
      <c r="S36047" s="178"/>
    </row>
    <row r="36048" spans="18:19">
      <c r="R36048" s="178"/>
      <c r="S36048" s="178"/>
    </row>
    <row r="36049" spans="18:19">
      <c r="R36049" s="178"/>
      <c r="S36049" s="178"/>
    </row>
    <row r="36050" spans="18:19">
      <c r="R36050" s="178"/>
      <c r="S36050" s="178"/>
    </row>
    <row r="36051" spans="18:19">
      <c r="R36051" s="178"/>
      <c r="S36051" s="178"/>
    </row>
    <row r="36052" spans="18:19">
      <c r="R36052" s="178"/>
      <c r="S36052" s="178"/>
    </row>
    <row r="36053" spans="18:19">
      <c r="R36053" s="178"/>
      <c r="S36053" s="178"/>
    </row>
    <row r="36054" spans="18:19">
      <c r="R36054" s="178"/>
      <c r="S36054" s="178"/>
    </row>
    <row r="36055" spans="18:19">
      <c r="R36055" s="178"/>
      <c r="S36055" s="178"/>
    </row>
    <row r="36056" spans="18:19">
      <c r="R36056" s="178"/>
      <c r="S36056" s="178"/>
    </row>
    <row r="36057" spans="18:19">
      <c r="R36057" s="178"/>
      <c r="S36057" s="178"/>
    </row>
    <row r="36058" spans="18:19">
      <c r="R36058" s="178"/>
      <c r="S36058" s="178"/>
    </row>
    <row r="36059" spans="18:19">
      <c r="R36059" s="178"/>
      <c r="S36059" s="178"/>
    </row>
    <row r="36060" spans="18:19">
      <c r="R36060" s="178"/>
      <c r="S36060" s="178"/>
    </row>
    <row r="36061" spans="18:19">
      <c r="R36061" s="178"/>
      <c r="S36061" s="178"/>
    </row>
    <row r="36062" spans="18:19">
      <c r="R36062" s="178"/>
      <c r="S36062" s="178"/>
    </row>
    <row r="36063" spans="18:19">
      <c r="R36063" s="178"/>
      <c r="S36063" s="178"/>
    </row>
    <row r="36064" spans="18:19">
      <c r="R36064" s="178"/>
      <c r="S36064" s="178"/>
    </row>
    <row r="36065" spans="18:19">
      <c r="R36065" s="178"/>
      <c r="S36065" s="178"/>
    </row>
    <row r="36066" spans="18:19">
      <c r="R36066" s="178"/>
      <c r="S36066" s="178"/>
    </row>
    <row r="36067" spans="18:19">
      <c r="R36067" s="178"/>
      <c r="S36067" s="178"/>
    </row>
    <row r="36068" spans="18:19">
      <c r="R36068" s="178"/>
      <c r="S36068" s="178"/>
    </row>
    <row r="36069" spans="18:19">
      <c r="R36069" s="178"/>
      <c r="S36069" s="178"/>
    </row>
    <row r="36070" spans="18:19">
      <c r="R36070" s="178"/>
      <c r="S36070" s="178"/>
    </row>
    <row r="36071" spans="18:19">
      <c r="R36071" s="178"/>
      <c r="S36071" s="178"/>
    </row>
    <row r="36072" spans="18:19">
      <c r="R36072" s="178"/>
      <c r="S36072" s="178"/>
    </row>
    <row r="36073" spans="18:19">
      <c r="R36073" s="178"/>
      <c r="S36073" s="178"/>
    </row>
    <row r="36074" spans="18:19">
      <c r="R36074" s="178"/>
      <c r="S36074" s="178"/>
    </row>
    <row r="36075" spans="18:19">
      <c r="R36075" s="178"/>
      <c r="S36075" s="178"/>
    </row>
    <row r="36076" spans="18:19">
      <c r="R36076" s="178"/>
      <c r="S36076" s="178"/>
    </row>
    <row r="36077" spans="18:19">
      <c r="R36077" s="178"/>
      <c r="S36077" s="178"/>
    </row>
    <row r="36078" spans="18:19">
      <c r="R36078" s="178"/>
      <c r="S36078" s="178"/>
    </row>
    <row r="36079" spans="18:19">
      <c r="R36079" s="178"/>
      <c r="S36079" s="178"/>
    </row>
    <row r="36080" spans="18:19">
      <c r="R36080" s="178"/>
      <c r="S36080" s="178"/>
    </row>
    <row r="36081" spans="18:19">
      <c r="R36081" s="178"/>
      <c r="S36081" s="178"/>
    </row>
    <row r="36082" spans="18:19">
      <c r="R36082" s="178"/>
      <c r="S36082" s="178"/>
    </row>
    <row r="36083" spans="18:19">
      <c r="R36083" s="178"/>
      <c r="S36083" s="178"/>
    </row>
    <row r="36084" spans="18:19">
      <c r="R36084" s="178"/>
      <c r="S36084" s="178"/>
    </row>
    <row r="36085" spans="18:19">
      <c r="R36085" s="178"/>
      <c r="S36085" s="178"/>
    </row>
    <row r="36086" spans="18:19">
      <c r="R36086" s="178"/>
      <c r="S36086" s="178"/>
    </row>
    <row r="36087" spans="18:19">
      <c r="R36087" s="178"/>
      <c r="S36087" s="178"/>
    </row>
    <row r="36088" spans="18:19">
      <c r="R36088" s="178"/>
      <c r="S36088" s="178"/>
    </row>
    <row r="36089" spans="18:19">
      <c r="R36089" s="178"/>
      <c r="S36089" s="178"/>
    </row>
    <row r="36090" spans="18:19">
      <c r="R36090" s="178"/>
      <c r="S36090" s="178"/>
    </row>
    <row r="36091" spans="18:19">
      <c r="R36091" s="178"/>
      <c r="S36091" s="178"/>
    </row>
    <row r="36092" spans="18:19">
      <c r="R36092" s="178"/>
      <c r="S36092" s="178"/>
    </row>
    <row r="36093" spans="18:19">
      <c r="R36093" s="178"/>
      <c r="S36093" s="178"/>
    </row>
    <row r="36094" spans="18:19">
      <c r="R36094" s="178"/>
      <c r="S36094" s="178"/>
    </row>
    <row r="36095" spans="18:19">
      <c r="R36095" s="178"/>
      <c r="S36095" s="178"/>
    </row>
    <row r="36096" spans="18:19">
      <c r="R36096" s="178"/>
      <c r="S36096" s="178"/>
    </row>
    <row r="36097" spans="18:19">
      <c r="R36097" s="178"/>
      <c r="S36097" s="178"/>
    </row>
    <row r="36098" spans="18:19">
      <c r="R36098" s="178"/>
      <c r="S36098" s="178"/>
    </row>
    <row r="36099" spans="18:19">
      <c r="R36099" s="178"/>
      <c r="S36099" s="178"/>
    </row>
    <row r="36100" spans="18:19">
      <c r="R36100" s="178"/>
      <c r="S36100" s="178"/>
    </row>
    <row r="36101" spans="18:19">
      <c r="R36101" s="178"/>
      <c r="S36101" s="178"/>
    </row>
    <row r="36102" spans="18:19">
      <c r="R36102" s="178"/>
      <c r="S36102" s="178"/>
    </row>
    <row r="36103" spans="18:19">
      <c r="R36103" s="178"/>
      <c r="S36103" s="178"/>
    </row>
    <row r="36104" spans="18:19">
      <c r="R36104" s="178"/>
      <c r="S36104" s="178"/>
    </row>
    <row r="36105" spans="18:19">
      <c r="R36105" s="178"/>
      <c r="S36105" s="178"/>
    </row>
    <row r="36106" spans="18:19">
      <c r="R36106" s="178"/>
      <c r="S36106" s="178"/>
    </row>
    <row r="36107" spans="18:19">
      <c r="R36107" s="178"/>
      <c r="S36107" s="178"/>
    </row>
    <row r="36108" spans="18:19">
      <c r="R36108" s="178"/>
      <c r="S36108" s="178"/>
    </row>
    <row r="36109" spans="18:19">
      <c r="R36109" s="178"/>
      <c r="S36109" s="178"/>
    </row>
    <row r="36110" spans="18:19">
      <c r="R36110" s="178"/>
      <c r="S36110" s="178"/>
    </row>
    <row r="36111" spans="18:19">
      <c r="R36111" s="178"/>
      <c r="S36111" s="178"/>
    </row>
    <row r="36112" spans="18:19">
      <c r="R36112" s="178"/>
      <c r="S36112" s="178"/>
    </row>
    <row r="36113" spans="18:19">
      <c r="R36113" s="178"/>
      <c r="S36113" s="178"/>
    </row>
    <row r="36114" spans="18:19">
      <c r="R36114" s="178"/>
      <c r="S36114" s="178"/>
    </row>
    <row r="36115" spans="18:19">
      <c r="R36115" s="178"/>
      <c r="S36115" s="178"/>
    </row>
    <row r="36116" spans="18:19">
      <c r="R36116" s="178"/>
      <c r="S36116" s="178"/>
    </row>
    <row r="36117" spans="18:19">
      <c r="R36117" s="178"/>
      <c r="S36117" s="178"/>
    </row>
    <row r="36118" spans="18:19">
      <c r="R36118" s="178"/>
      <c r="S36118" s="178"/>
    </row>
    <row r="36119" spans="18:19">
      <c r="R36119" s="178"/>
      <c r="S36119" s="178"/>
    </row>
    <row r="36120" spans="18:19">
      <c r="R36120" s="178"/>
      <c r="S36120" s="178"/>
    </row>
    <row r="36121" spans="18:19">
      <c r="R36121" s="178"/>
      <c r="S36121" s="178"/>
    </row>
    <row r="36122" spans="18:19">
      <c r="R36122" s="178"/>
      <c r="S36122" s="178"/>
    </row>
    <row r="36123" spans="18:19">
      <c r="R36123" s="178"/>
      <c r="S36123" s="178"/>
    </row>
    <row r="36124" spans="18:19">
      <c r="R36124" s="178"/>
      <c r="S36124" s="178"/>
    </row>
    <row r="36125" spans="18:19">
      <c r="R36125" s="178"/>
      <c r="S36125" s="178"/>
    </row>
    <row r="36126" spans="18:19">
      <c r="R36126" s="178"/>
      <c r="S36126" s="178"/>
    </row>
    <row r="36127" spans="18:19">
      <c r="R36127" s="178"/>
      <c r="S36127" s="178"/>
    </row>
    <row r="36128" spans="18:19">
      <c r="R36128" s="178"/>
      <c r="S36128" s="178"/>
    </row>
    <row r="36129" spans="18:19">
      <c r="R36129" s="178"/>
      <c r="S36129" s="178"/>
    </row>
    <row r="36130" spans="18:19">
      <c r="R36130" s="178"/>
      <c r="S36130" s="178"/>
    </row>
    <row r="36131" spans="18:19">
      <c r="R36131" s="178"/>
      <c r="S36131" s="178"/>
    </row>
    <row r="36132" spans="18:19">
      <c r="R36132" s="178"/>
      <c r="S36132" s="178"/>
    </row>
    <row r="36133" spans="18:19">
      <c r="R36133" s="178"/>
      <c r="S36133" s="178"/>
    </row>
    <row r="36134" spans="18:19">
      <c r="R36134" s="178"/>
      <c r="S36134" s="178"/>
    </row>
    <row r="36135" spans="18:19">
      <c r="R36135" s="178"/>
      <c r="S36135" s="178"/>
    </row>
    <row r="36136" spans="18:19">
      <c r="R36136" s="178"/>
      <c r="S36136" s="178"/>
    </row>
    <row r="36137" spans="18:19">
      <c r="R36137" s="178"/>
      <c r="S36137" s="178"/>
    </row>
    <row r="36138" spans="18:19">
      <c r="R36138" s="178"/>
      <c r="S36138" s="178"/>
    </row>
    <row r="36139" spans="18:19">
      <c r="R36139" s="178"/>
      <c r="S36139" s="178"/>
    </row>
    <row r="36140" spans="18:19">
      <c r="R36140" s="178"/>
      <c r="S36140" s="178"/>
    </row>
    <row r="36141" spans="18:19">
      <c r="R36141" s="178"/>
      <c r="S36141" s="178"/>
    </row>
    <row r="36142" spans="18:19">
      <c r="R36142" s="178"/>
      <c r="S36142" s="178"/>
    </row>
    <row r="36143" spans="18:19">
      <c r="R36143" s="178"/>
      <c r="S36143" s="178"/>
    </row>
    <row r="36144" spans="18:19">
      <c r="R36144" s="178"/>
      <c r="S36144" s="178"/>
    </row>
    <row r="36145" spans="18:19">
      <c r="R36145" s="178"/>
      <c r="S36145" s="178"/>
    </row>
    <row r="36146" spans="18:19">
      <c r="R36146" s="178"/>
      <c r="S36146" s="178"/>
    </row>
    <row r="36147" spans="18:19">
      <c r="R36147" s="178"/>
      <c r="S36147" s="178"/>
    </row>
    <row r="36148" spans="18:19">
      <c r="R36148" s="178"/>
      <c r="S36148" s="178"/>
    </row>
    <row r="36149" spans="18:19">
      <c r="R36149" s="178"/>
      <c r="S36149" s="178"/>
    </row>
    <row r="36150" spans="18:19">
      <c r="R36150" s="178"/>
      <c r="S36150" s="178"/>
    </row>
    <row r="36151" spans="18:19">
      <c r="R36151" s="178"/>
      <c r="S36151" s="178"/>
    </row>
    <row r="36152" spans="18:19">
      <c r="R36152" s="178"/>
      <c r="S36152" s="178"/>
    </row>
    <row r="36153" spans="18:19">
      <c r="R36153" s="178"/>
      <c r="S36153" s="178"/>
    </row>
    <row r="36154" spans="18:19">
      <c r="R36154" s="178"/>
      <c r="S36154" s="178"/>
    </row>
    <row r="36155" spans="18:19">
      <c r="R36155" s="178"/>
      <c r="S36155" s="178"/>
    </row>
    <row r="36156" spans="18:19">
      <c r="R36156" s="178"/>
      <c r="S36156" s="178"/>
    </row>
    <row r="36157" spans="18:19">
      <c r="R36157" s="178"/>
      <c r="S36157" s="178"/>
    </row>
    <row r="36158" spans="18:19">
      <c r="R36158" s="178"/>
      <c r="S36158" s="178"/>
    </row>
    <row r="36159" spans="18:19">
      <c r="R36159" s="178"/>
      <c r="S36159" s="178"/>
    </row>
    <row r="36160" spans="18:19">
      <c r="R36160" s="178"/>
      <c r="S36160" s="178"/>
    </row>
    <row r="36161" spans="18:19">
      <c r="R36161" s="178"/>
      <c r="S36161" s="178"/>
    </row>
    <row r="36162" spans="18:19">
      <c r="R36162" s="178"/>
      <c r="S36162" s="178"/>
    </row>
    <row r="36163" spans="18:19">
      <c r="R36163" s="178"/>
      <c r="S36163" s="178"/>
    </row>
    <row r="36164" spans="18:19">
      <c r="R36164" s="178"/>
      <c r="S36164" s="178"/>
    </row>
    <row r="36165" spans="18:19">
      <c r="R36165" s="178"/>
      <c r="S36165" s="178"/>
    </row>
    <row r="36166" spans="18:19">
      <c r="R36166" s="178"/>
      <c r="S36166" s="178"/>
    </row>
    <row r="36167" spans="18:19">
      <c r="R36167" s="178"/>
      <c r="S36167" s="178"/>
    </row>
    <row r="36168" spans="18:19">
      <c r="R36168" s="178"/>
      <c r="S36168" s="178"/>
    </row>
    <row r="36169" spans="18:19">
      <c r="R36169" s="178"/>
      <c r="S36169" s="178"/>
    </row>
    <row r="36170" spans="18:19">
      <c r="R36170" s="178"/>
      <c r="S36170" s="178"/>
    </row>
    <row r="36171" spans="18:19">
      <c r="R36171" s="178"/>
      <c r="S36171" s="178"/>
    </row>
    <row r="36172" spans="18:19">
      <c r="R36172" s="178"/>
      <c r="S36172" s="178"/>
    </row>
    <row r="36173" spans="18:19">
      <c r="R36173" s="178"/>
      <c r="S36173" s="178"/>
    </row>
    <row r="36174" spans="18:19">
      <c r="R36174" s="178"/>
      <c r="S36174" s="178"/>
    </row>
    <row r="36175" spans="18:19">
      <c r="R36175" s="178"/>
      <c r="S36175" s="178"/>
    </row>
    <row r="36176" spans="18:19">
      <c r="R36176" s="178"/>
      <c r="S36176" s="178"/>
    </row>
    <row r="36177" spans="18:19">
      <c r="R36177" s="178"/>
      <c r="S36177" s="178"/>
    </row>
    <row r="36178" spans="18:19">
      <c r="R36178" s="178"/>
      <c r="S36178" s="178"/>
    </row>
    <row r="36179" spans="18:19">
      <c r="R36179" s="178"/>
      <c r="S36179" s="178"/>
    </row>
    <row r="36180" spans="18:19">
      <c r="R36180" s="178"/>
      <c r="S36180" s="178"/>
    </row>
    <row r="36181" spans="18:19">
      <c r="R36181" s="178"/>
      <c r="S36181" s="178"/>
    </row>
    <row r="36182" spans="18:19">
      <c r="R36182" s="178"/>
      <c r="S36182" s="178"/>
    </row>
    <row r="36183" spans="18:19">
      <c r="R36183" s="178"/>
      <c r="S36183" s="178"/>
    </row>
    <row r="36184" spans="18:19">
      <c r="R36184" s="178"/>
      <c r="S36184" s="178"/>
    </row>
    <row r="36185" spans="18:19">
      <c r="R36185" s="178"/>
      <c r="S36185" s="178"/>
    </row>
    <row r="36186" spans="18:19">
      <c r="R36186" s="178"/>
      <c r="S36186" s="178"/>
    </row>
    <row r="36187" spans="18:19">
      <c r="R36187" s="178"/>
      <c r="S36187" s="178"/>
    </row>
    <row r="36188" spans="18:19">
      <c r="R36188" s="178"/>
      <c r="S36188" s="178"/>
    </row>
    <row r="36189" spans="18:19">
      <c r="R36189" s="178"/>
      <c r="S36189" s="178"/>
    </row>
    <row r="36190" spans="18:19">
      <c r="R36190" s="178"/>
      <c r="S36190" s="178"/>
    </row>
    <row r="36191" spans="18:19">
      <c r="R36191" s="178"/>
      <c r="S36191" s="178"/>
    </row>
    <row r="36192" spans="18:19">
      <c r="R36192" s="178"/>
      <c r="S36192" s="178"/>
    </row>
    <row r="36193" spans="18:19">
      <c r="R36193" s="178"/>
      <c r="S36193" s="178"/>
    </row>
    <row r="36194" spans="18:19">
      <c r="R36194" s="178"/>
      <c r="S36194" s="178"/>
    </row>
    <row r="36195" spans="18:19">
      <c r="R36195" s="178"/>
      <c r="S36195" s="178"/>
    </row>
    <row r="36196" spans="18:19">
      <c r="R36196" s="178"/>
      <c r="S36196" s="178"/>
    </row>
    <row r="36197" spans="18:19">
      <c r="R36197" s="178"/>
      <c r="S36197" s="178"/>
    </row>
    <row r="36198" spans="18:19">
      <c r="R36198" s="178"/>
      <c r="S36198" s="178"/>
    </row>
    <row r="36199" spans="18:19">
      <c r="R36199" s="178"/>
      <c r="S36199" s="178"/>
    </row>
    <row r="36200" spans="18:19">
      <c r="R36200" s="178"/>
      <c r="S36200" s="178"/>
    </row>
    <row r="36201" spans="18:19">
      <c r="R36201" s="178"/>
      <c r="S36201" s="178"/>
    </row>
    <row r="36202" spans="18:19">
      <c r="R36202" s="178"/>
      <c r="S36202" s="178"/>
    </row>
    <row r="36203" spans="18:19">
      <c r="R36203" s="178"/>
      <c r="S36203" s="178"/>
    </row>
    <row r="36204" spans="18:19">
      <c r="R36204" s="178"/>
      <c r="S36204" s="178"/>
    </row>
    <row r="36205" spans="18:19">
      <c r="R36205" s="178"/>
      <c r="S36205" s="178"/>
    </row>
    <row r="36206" spans="18:19">
      <c r="R36206" s="178"/>
      <c r="S36206" s="178"/>
    </row>
    <row r="36207" spans="18:19">
      <c r="R36207" s="178"/>
      <c r="S36207" s="178"/>
    </row>
    <row r="36208" spans="18:19">
      <c r="R36208" s="178"/>
      <c r="S36208" s="178"/>
    </row>
    <row r="36209" spans="18:19">
      <c r="R36209" s="178"/>
      <c r="S36209" s="178"/>
    </row>
    <row r="36210" spans="18:19">
      <c r="R36210" s="178"/>
      <c r="S36210" s="178"/>
    </row>
    <row r="36211" spans="18:19">
      <c r="R36211" s="178"/>
      <c r="S36211" s="178"/>
    </row>
    <row r="36212" spans="18:19">
      <c r="R36212" s="178"/>
      <c r="S36212" s="178"/>
    </row>
    <row r="36213" spans="18:19">
      <c r="R36213" s="178"/>
      <c r="S36213" s="178"/>
    </row>
    <row r="36214" spans="18:19">
      <c r="R36214" s="178"/>
      <c r="S36214" s="178"/>
    </row>
    <row r="36215" spans="18:19">
      <c r="R36215" s="178"/>
      <c r="S36215" s="178"/>
    </row>
    <row r="36216" spans="18:19">
      <c r="R36216" s="178"/>
      <c r="S36216" s="178"/>
    </row>
    <row r="36217" spans="18:19">
      <c r="R36217" s="178"/>
      <c r="S36217" s="178"/>
    </row>
    <row r="36218" spans="18:19">
      <c r="R36218" s="178"/>
      <c r="S36218" s="178"/>
    </row>
    <row r="36219" spans="18:19">
      <c r="R36219" s="178"/>
      <c r="S36219" s="178"/>
    </row>
    <row r="36220" spans="18:19">
      <c r="R36220" s="178"/>
      <c r="S36220" s="178"/>
    </row>
    <row r="36221" spans="18:19">
      <c r="R36221" s="178"/>
      <c r="S36221" s="178"/>
    </row>
    <row r="36222" spans="18:19">
      <c r="R36222" s="178"/>
      <c r="S36222" s="178"/>
    </row>
    <row r="36223" spans="18:19">
      <c r="R36223" s="178"/>
      <c r="S36223" s="178"/>
    </row>
    <row r="36224" spans="18:19">
      <c r="R36224" s="178"/>
      <c r="S36224" s="178"/>
    </row>
    <row r="36225" spans="18:19">
      <c r="R36225" s="178"/>
      <c r="S36225" s="178"/>
    </row>
    <row r="36226" spans="18:19">
      <c r="R36226" s="178"/>
      <c r="S36226" s="178"/>
    </row>
    <row r="36227" spans="18:19">
      <c r="R36227" s="178"/>
      <c r="S36227" s="178"/>
    </row>
    <row r="36228" spans="18:19">
      <c r="R36228" s="178"/>
      <c r="S36228" s="178"/>
    </row>
    <row r="36229" spans="18:19">
      <c r="R36229" s="178"/>
      <c r="S36229" s="178"/>
    </row>
    <row r="36230" spans="18:19">
      <c r="R36230" s="178"/>
      <c r="S36230" s="178"/>
    </row>
    <row r="36231" spans="18:19">
      <c r="R36231" s="178"/>
      <c r="S36231" s="178"/>
    </row>
    <row r="36232" spans="18:19">
      <c r="R36232" s="178"/>
      <c r="S36232" s="178"/>
    </row>
    <row r="36233" spans="18:19">
      <c r="R36233" s="178"/>
      <c r="S36233" s="178"/>
    </row>
    <row r="36234" spans="18:19">
      <c r="R36234" s="178"/>
      <c r="S36234" s="178"/>
    </row>
    <row r="36235" spans="18:19">
      <c r="R36235" s="178"/>
      <c r="S36235" s="178"/>
    </row>
    <row r="36236" spans="18:19">
      <c r="R36236" s="178"/>
      <c r="S36236" s="178"/>
    </row>
    <row r="36237" spans="18:19">
      <c r="R36237" s="178"/>
      <c r="S36237" s="178"/>
    </row>
    <row r="36238" spans="18:19">
      <c r="R36238" s="178"/>
      <c r="S36238" s="178"/>
    </row>
    <row r="36239" spans="18:19">
      <c r="R36239" s="178"/>
      <c r="S36239" s="178"/>
    </row>
    <row r="36240" spans="18:19">
      <c r="R36240" s="178"/>
      <c r="S36240" s="178"/>
    </row>
    <row r="36241" spans="18:19">
      <c r="R36241" s="178"/>
      <c r="S36241" s="178"/>
    </row>
    <row r="36242" spans="18:19">
      <c r="R36242" s="178"/>
      <c r="S36242" s="178"/>
    </row>
    <row r="36243" spans="18:19">
      <c r="R36243" s="178"/>
      <c r="S36243" s="178"/>
    </row>
    <row r="36244" spans="18:19">
      <c r="R36244" s="178"/>
      <c r="S36244" s="178"/>
    </row>
    <row r="36245" spans="18:19">
      <c r="R36245" s="178"/>
      <c r="S36245" s="178"/>
    </row>
    <row r="36246" spans="18:19">
      <c r="R36246" s="178"/>
      <c r="S36246" s="178"/>
    </row>
    <row r="36247" spans="18:19">
      <c r="R36247" s="178"/>
      <c r="S36247" s="178"/>
    </row>
    <row r="36248" spans="18:19">
      <c r="R36248" s="178"/>
      <c r="S36248" s="178"/>
    </row>
    <row r="36249" spans="18:19">
      <c r="R36249" s="178"/>
      <c r="S36249" s="178"/>
    </row>
    <row r="36250" spans="18:19">
      <c r="R36250" s="178"/>
      <c r="S36250" s="178"/>
    </row>
    <row r="36251" spans="18:19">
      <c r="R36251" s="178"/>
      <c r="S36251" s="178"/>
    </row>
    <row r="36252" spans="18:19">
      <c r="R36252" s="178"/>
      <c r="S36252" s="178"/>
    </row>
    <row r="36253" spans="18:19">
      <c r="R36253" s="178"/>
      <c r="S36253" s="178"/>
    </row>
    <row r="36254" spans="18:19">
      <c r="R36254" s="178"/>
      <c r="S36254" s="178"/>
    </row>
    <row r="36255" spans="18:19">
      <c r="R36255" s="178"/>
      <c r="S36255" s="178"/>
    </row>
    <row r="36256" spans="18:19">
      <c r="R36256" s="178"/>
      <c r="S36256" s="178"/>
    </row>
    <row r="36257" spans="18:19">
      <c r="R36257" s="178"/>
      <c r="S36257" s="178"/>
    </row>
    <row r="36258" spans="18:19">
      <c r="R36258" s="178"/>
      <c r="S36258" s="178"/>
    </row>
    <row r="36259" spans="18:19">
      <c r="R36259" s="178"/>
      <c r="S36259" s="178"/>
    </row>
    <row r="36260" spans="18:19">
      <c r="R36260" s="178"/>
      <c r="S36260" s="178"/>
    </row>
    <row r="36261" spans="18:19">
      <c r="R36261" s="178"/>
      <c r="S36261" s="178"/>
    </row>
    <row r="36262" spans="18:19">
      <c r="R36262" s="178"/>
      <c r="S36262" s="178"/>
    </row>
    <row r="36263" spans="18:19">
      <c r="R36263" s="178"/>
      <c r="S36263" s="178"/>
    </row>
    <row r="36264" spans="18:19">
      <c r="R36264" s="178"/>
      <c r="S36264" s="178"/>
    </row>
    <row r="36265" spans="18:19">
      <c r="R36265" s="178"/>
      <c r="S36265" s="178"/>
    </row>
    <row r="36266" spans="18:19">
      <c r="R36266" s="178"/>
      <c r="S36266" s="178"/>
    </row>
    <row r="36267" spans="18:19">
      <c r="R36267" s="178"/>
      <c r="S36267" s="178"/>
    </row>
    <row r="36268" spans="18:19">
      <c r="R36268" s="178"/>
      <c r="S36268" s="178"/>
    </row>
    <row r="36269" spans="18:19">
      <c r="R36269" s="178"/>
      <c r="S36269" s="178"/>
    </row>
    <row r="36270" spans="18:19">
      <c r="R36270" s="178"/>
      <c r="S36270" s="178"/>
    </row>
    <row r="36271" spans="18:19">
      <c r="R36271" s="178"/>
      <c r="S36271" s="178"/>
    </row>
    <row r="36272" spans="18:19">
      <c r="R36272" s="178"/>
      <c r="S36272" s="178"/>
    </row>
    <row r="36273" spans="18:19">
      <c r="R36273" s="178"/>
      <c r="S36273" s="178"/>
    </row>
    <row r="36274" spans="18:19">
      <c r="R36274" s="178"/>
      <c r="S36274" s="178"/>
    </row>
    <row r="36275" spans="18:19">
      <c r="R36275" s="178"/>
      <c r="S36275" s="178"/>
    </row>
    <row r="36276" spans="18:19">
      <c r="R36276" s="178"/>
      <c r="S36276" s="178"/>
    </row>
    <row r="36277" spans="18:19">
      <c r="R36277" s="178"/>
      <c r="S36277" s="178"/>
    </row>
    <row r="36278" spans="18:19">
      <c r="R36278" s="178"/>
      <c r="S36278" s="178"/>
    </row>
    <row r="36279" spans="18:19">
      <c r="R36279" s="178"/>
      <c r="S36279" s="178"/>
    </row>
    <row r="36280" spans="18:19">
      <c r="R36280" s="178"/>
      <c r="S36280" s="178"/>
    </row>
    <row r="36281" spans="18:19">
      <c r="R36281" s="178"/>
      <c r="S36281" s="178"/>
    </row>
    <row r="36282" spans="18:19">
      <c r="R36282" s="178"/>
      <c r="S36282" s="178"/>
    </row>
    <row r="36283" spans="18:19">
      <c r="R36283" s="178"/>
      <c r="S36283" s="178"/>
    </row>
    <row r="36284" spans="18:19">
      <c r="R36284" s="178"/>
      <c r="S36284" s="178"/>
    </row>
    <row r="36285" spans="18:19">
      <c r="R36285" s="178"/>
      <c r="S36285" s="178"/>
    </row>
    <row r="36286" spans="18:19">
      <c r="R36286" s="178"/>
      <c r="S36286" s="178"/>
    </row>
    <row r="36287" spans="18:19">
      <c r="R36287" s="178"/>
      <c r="S36287" s="178"/>
    </row>
    <row r="36288" spans="18:19">
      <c r="R36288" s="178"/>
      <c r="S36288" s="178"/>
    </row>
    <row r="36289" spans="18:19">
      <c r="R36289" s="178"/>
      <c r="S36289" s="178"/>
    </row>
    <row r="36290" spans="18:19">
      <c r="R36290" s="178"/>
      <c r="S36290" s="178"/>
    </row>
    <row r="36291" spans="18:19">
      <c r="R36291" s="178"/>
      <c r="S36291" s="178"/>
    </row>
    <row r="36292" spans="18:19">
      <c r="R36292" s="178"/>
      <c r="S36292" s="178"/>
    </row>
    <row r="36293" spans="18:19">
      <c r="R36293" s="178"/>
      <c r="S36293" s="178"/>
    </row>
    <row r="36294" spans="18:19">
      <c r="R36294" s="178"/>
      <c r="S36294" s="178"/>
    </row>
    <row r="36295" spans="18:19">
      <c r="R36295" s="178"/>
      <c r="S36295" s="178"/>
    </row>
    <row r="36296" spans="18:19">
      <c r="R36296" s="178"/>
      <c r="S36296" s="178"/>
    </row>
    <row r="36297" spans="18:19">
      <c r="R36297" s="178"/>
      <c r="S36297" s="178"/>
    </row>
    <row r="36298" spans="18:19">
      <c r="R36298" s="178"/>
      <c r="S36298" s="178"/>
    </row>
    <row r="36299" spans="18:19">
      <c r="R36299" s="178"/>
      <c r="S36299" s="178"/>
    </row>
    <row r="36300" spans="18:19">
      <c r="R36300" s="178"/>
      <c r="S36300" s="178"/>
    </row>
    <row r="36301" spans="18:19">
      <c r="R36301" s="178"/>
      <c r="S36301" s="178"/>
    </row>
    <row r="36302" spans="18:19">
      <c r="R36302" s="178"/>
      <c r="S36302" s="178"/>
    </row>
    <row r="36303" spans="18:19">
      <c r="R36303" s="178"/>
      <c r="S36303" s="178"/>
    </row>
    <row r="36304" spans="18:19">
      <c r="R36304" s="178"/>
      <c r="S36304" s="178"/>
    </row>
    <row r="36305" spans="18:19">
      <c r="R36305" s="178"/>
      <c r="S36305" s="178"/>
    </row>
    <row r="36306" spans="18:19">
      <c r="R36306" s="178"/>
      <c r="S36306" s="178"/>
    </row>
    <row r="36307" spans="18:19">
      <c r="R36307" s="178"/>
      <c r="S36307" s="178"/>
    </row>
    <row r="36308" spans="18:19">
      <c r="R36308" s="178"/>
      <c r="S36308" s="178"/>
    </row>
    <row r="36309" spans="18:19">
      <c r="R36309" s="178"/>
      <c r="S36309" s="178"/>
    </row>
    <row r="36310" spans="18:19">
      <c r="R36310" s="178"/>
      <c r="S36310" s="178"/>
    </row>
    <row r="36311" spans="18:19">
      <c r="R36311" s="178"/>
      <c r="S36311" s="178"/>
    </row>
    <row r="36312" spans="18:19">
      <c r="R36312" s="178"/>
      <c r="S36312" s="178"/>
    </row>
    <row r="36313" spans="18:19">
      <c r="R36313" s="178"/>
      <c r="S36313" s="178"/>
    </row>
    <row r="36314" spans="18:19">
      <c r="R36314" s="178"/>
      <c r="S36314" s="178"/>
    </row>
    <row r="36315" spans="18:19">
      <c r="R36315" s="178"/>
      <c r="S36315" s="178"/>
    </row>
    <row r="36316" spans="18:19">
      <c r="R36316" s="178"/>
      <c r="S36316" s="178"/>
    </row>
    <row r="36317" spans="18:19">
      <c r="R36317" s="178"/>
      <c r="S36317" s="178"/>
    </row>
    <row r="36318" spans="18:19">
      <c r="R36318" s="178"/>
      <c r="S36318" s="178"/>
    </row>
    <row r="36319" spans="18:19">
      <c r="R36319" s="178"/>
      <c r="S36319" s="178"/>
    </row>
    <row r="36320" spans="18:19">
      <c r="R36320" s="178"/>
      <c r="S36320" s="178"/>
    </row>
    <row r="36321" spans="18:19">
      <c r="R36321" s="178"/>
      <c r="S36321" s="178"/>
    </row>
    <row r="36322" spans="18:19">
      <c r="R36322" s="178"/>
      <c r="S36322" s="178"/>
    </row>
    <row r="36323" spans="18:19">
      <c r="R36323" s="178"/>
      <c r="S36323" s="178"/>
    </row>
    <row r="36324" spans="18:19">
      <c r="R36324" s="178"/>
      <c r="S36324" s="178"/>
    </row>
    <row r="36325" spans="18:19">
      <c r="R36325" s="178"/>
      <c r="S36325" s="178"/>
    </row>
    <row r="36326" spans="18:19">
      <c r="R36326" s="178"/>
      <c r="S36326" s="178"/>
    </row>
    <row r="36327" spans="18:19">
      <c r="R36327" s="178"/>
      <c r="S36327" s="178"/>
    </row>
    <row r="36328" spans="18:19">
      <c r="R36328" s="178"/>
      <c r="S36328" s="178"/>
    </row>
    <row r="36329" spans="18:19">
      <c r="R36329" s="178"/>
      <c r="S36329" s="178"/>
    </row>
    <row r="36330" spans="18:19">
      <c r="R36330" s="178"/>
      <c r="S36330" s="178"/>
    </row>
    <row r="36331" spans="18:19">
      <c r="R36331" s="178"/>
      <c r="S36331" s="178"/>
    </row>
    <row r="36332" spans="18:19">
      <c r="R36332" s="178"/>
      <c r="S36332" s="178"/>
    </row>
    <row r="36333" spans="18:19">
      <c r="R36333" s="178"/>
      <c r="S36333" s="178"/>
    </row>
    <row r="36334" spans="18:19">
      <c r="R36334" s="178"/>
      <c r="S36334" s="178"/>
    </row>
    <row r="36335" spans="18:19">
      <c r="R36335" s="178"/>
      <c r="S36335" s="178"/>
    </row>
    <row r="36336" spans="18:19">
      <c r="R36336" s="178"/>
      <c r="S36336" s="178"/>
    </row>
    <row r="36337" spans="18:19">
      <c r="R36337" s="178"/>
      <c r="S36337" s="178"/>
    </row>
    <row r="36338" spans="18:19">
      <c r="R36338" s="178"/>
      <c r="S36338" s="178"/>
    </row>
    <row r="36339" spans="18:19">
      <c r="R36339" s="178"/>
      <c r="S36339" s="178"/>
    </row>
    <row r="36340" spans="18:19">
      <c r="R36340" s="178"/>
      <c r="S36340" s="178"/>
    </row>
    <row r="36341" spans="18:19">
      <c r="R36341" s="178"/>
      <c r="S36341" s="178"/>
    </row>
    <row r="36342" spans="18:19">
      <c r="R36342" s="178"/>
      <c r="S36342" s="178"/>
    </row>
    <row r="36343" spans="18:19">
      <c r="R36343" s="178"/>
      <c r="S36343" s="178"/>
    </row>
    <row r="36344" spans="18:19">
      <c r="R36344" s="178"/>
      <c r="S36344" s="178"/>
    </row>
    <row r="36345" spans="18:19">
      <c r="R36345" s="178"/>
      <c r="S36345" s="178"/>
    </row>
    <row r="36346" spans="18:19">
      <c r="R36346" s="178"/>
      <c r="S36346" s="178"/>
    </row>
    <row r="36347" spans="18:19">
      <c r="R36347" s="178"/>
      <c r="S36347" s="178"/>
    </row>
    <row r="36348" spans="18:19">
      <c r="R36348" s="178"/>
      <c r="S36348" s="178"/>
    </row>
    <row r="36349" spans="18:19">
      <c r="R36349" s="178"/>
      <c r="S36349" s="178"/>
    </row>
    <row r="36350" spans="18:19">
      <c r="R36350" s="178"/>
      <c r="S36350" s="178"/>
    </row>
    <row r="36351" spans="18:19">
      <c r="R36351" s="178"/>
      <c r="S36351" s="178"/>
    </row>
    <row r="36352" spans="18:19">
      <c r="R36352" s="178"/>
      <c r="S36352" s="178"/>
    </row>
    <row r="36353" spans="18:19">
      <c r="R36353" s="178"/>
      <c r="S36353" s="178"/>
    </row>
    <row r="36354" spans="18:19">
      <c r="R36354" s="178"/>
      <c r="S36354" s="178"/>
    </row>
    <row r="36355" spans="18:19">
      <c r="R36355" s="178"/>
      <c r="S36355" s="178"/>
    </row>
    <row r="36356" spans="18:19">
      <c r="R36356" s="178"/>
      <c r="S36356" s="178"/>
    </row>
    <row r="36357" spans="18:19">
      <c r="R36357" s="178"/>
      <c r="S36357" s="178"/>
    </row>
    <row r="36358" spans="18:19">
      <c r="R36358" s="178"/>
      <c r="S36358" s="178"/>
    </row>
    <row r="36359" spans="18:19">
      <c r="R36359" s="178"/>
      <c r="S36359" s="178"/>
    </row>
    <row r="36360" spans="18:19">
      <c r="R36360" s="178"/>
      <c r="S36360" s="178"/>
    </row>
    <row r="36361" spans="18:19">
      <c r="R36361" s="178"/>
      <c r="S36361" s="178"/>
    </row>
    <row r="36362" spans="18:19">
      <c r="R36362" s="178"/>
      <c r="S36362" s="178"/>
    </row>
    <row r="36363" spans="18:19">
      <c r="R36363" s="178"/>
      <c r="S36363" s="178"/>
    </row>
    <row r="36364" spans="18:19">
      <c r="R36364" s="178"/>
      <c r="S36364" s="178"/>
    </row>
    <row r="36365" spans="18:19">
      <c r="R36365" s="178"/>
      <c r="S36365" s="178"/>
    </row>
    <row r="36366" spans="18:19">
      <c r="R36366" s="178"/>
      <c r="S36366" s="178"/>
    </row>
    <row r="36367" spans="18:19">
      <c r="R36367" s="178"/>
      <c r="S36367" s="178"/>
    </row>
    <row r="36368" spans="18:19">
      <c r="R36368" s="178"/>
      <c r="S36368" s="178"/>
    </row>
    <row r="36369" spans="18:19">
      <c r="R36369" s="178"/>
      <c r="S36369" s="178"/>
    </row>
    <row r="36370" spans="18:19">
      <c r="R36370" s="178"/>
      <c r="S36370" s="178"/>
    </row>
    <row r="36371" spans="18:19">
      <c r="R36371" s="178"/>
      <c r="S36371" s="178"/>
    </row>
    <row r="36372" spans="18:19">
      <c r="R36372" s="178"/>
      <c r="S36372" s="178"/>
    </row>
    <row r="36373" spans="18:19">
      <c r="R36373" s="178"/>
      <c r="S36373" s="178"/>
    </row>
    <row r="36374" spans="18:19">
      <c r="R36374" s="178"/>
      <c r="S36374" s="178"/>
    </row>
    <row r="36375" spans="18:19">
      <c r="R36375" s="178"/>
      <c r="S36375" s="178"/>
    </row>
    <row r="36376" spans="18:19">
      <c r="R36376" s="178"/>
      <c r="S36376" s="178"/>
    </row>
    <row r="36377" spans="18:19">
      <c r="R36377" s="178"/>
      <c r="S36377" s="178"/>
    </row>
    <row r="36378" spans="18:19">
      <c r="R36378" s="178"/>
      <c r="S36378" s="178"/>
    </row>
    <row r="36379" spans="18:19">
      <c r="R36379" s="178"/>
      <c r="S36379" s="178"/>
    </row>
    <row r="36380" spans="18:19">
      <c r="R36380" s="178"/>
      <c r="S36380" s="178"/>
    </row>
    <row r="36381" spans="18:19">
      <c r="R36381" s="178"/>
      <c r="S36381" s="178"/>
    </row>
    <row r="36382" spans="18:19">
      <c r="R36382" s="178"/>
      <c r="S36382" s="178"/>
    </row>
    <row r="36383" spans="18:19">
      <c r="R36383" s="178"/>
      <c r="S36383" s="178"/>
    </row>
    <row r="36384" spans="18:19">
      <c r="R36384" s="178"/>
      <c r="S36384" s="178"/>
    </row>
    <row r="36385" spans="18:19">
      <c r="R36385" s="178"/>
      <c r="S36385" s="178"/>
    </row>
    <row r="36386" spans="18:19">
      <c r="R36386" s="178"/>
      <c r="S36386" s="178"/>
    </row>
    <row r="36387" spans="18:19">
      <c r="R36387" s="178"/>
      <c r="S36387" s="178"/>
    </row>
    <row r="36388" spans="18:19">
      <c r="R36388" s="178"/>
      <c r="S36388" s="178"/>
    </row>
    <row r="36389" spans="18:19">
      <c r="R36389" s="178"/>
      <c r="S36389" s="178"/>
    </row>
    <row r="36390" spans="18:19">
      <c r="R36390" s="178"/>
      <c r="S36390" s="178"/>
    </row>
    <row r="36391" spans="18:19">
      <c r="R36391" s="178"/>
      <c r="S36391" s="178"/>
    </row>
    <row r="36392" spans="18:19">
      <c r="R36392" s="178"/>
      <c r="S36392" s="178"/>
    </row>
    <row r="36393" spans="18:19">
      <c r="R36393" s="178"/>
      <c r="S36393" s="178"/>
    </row>
    <row r="36394" spans="18:19">
      <c r="R36394" s="178"/>
      <c r="S36394" s="178"/>
    </row>
    <row r="36395" spans="18:19">
      <c r="R36395" s="178"/>
      <c r="S36395" s="178"/>
    </row>
    <row r="36396" spans="18:19">
      <c r="R36396" s="178"/>
      <c r="S36396" s="178"/>
    </row>
    <row r="36397" spans="18:19">
      <c r="R36397" s="178"/>
      <c r="S36397" s="178"/>
    </row>
    <row r="36398" spans="18:19">
      <c r="R36398" s="178"/>
      <c r="S36398" s="178"/>
    </row>
    <row r="36399" spans="18:19">
      <c r="R36399" s="178"/>
      <c r="S36399" s="178"/>
    </row>
    <row r="36400" spans="18:19">
      <c r="R36400" s="178"/>
      <c r="S36400" s="178"/>
    </row>
    <row r="36401" spans="18:19">
      <c r="R36401" s="178"/>
      <c r="S36401" s="178"/>
    </row>
    <row r="36402" spans="18:19">
      <c r="R36402" s="178"/>
      <c r="S36402" s="178"/>
    </row>
    <row r="36403" spans="18:19">
      <c r="R36403" s="178"/>
      <c r="S36403" s="178"/>
    </row>
    <row r="36404" spans="18:19">
      <c r="R36404" s="178"/>
      <c r="S36404" s="178"/>
    </row>
    <row r="36405" spans="18:19">
      <c r="R36405" s="178"/>
      <c r="S36405" s="178"/>
    </row>
    <row r="36406" spans="18:19">
      <c r="R36406" s="178"/>
      <c r="S36406" s="178"/>
    </row>
    <row r="36407" spans="18:19">
      <c r="R36407" s="178"/>
      <c r="S36407" s="178"/>
    </row>
    <row r="36408" spans="18:19">
      <c r="R36408" s="178"/>
      <c r="S36408" s="178"/>
    </row>
    <row r="36409" spans="18:19">
      <c r="R36409" s="178"/>
      <c r="S36409" s="178"/>
    </row>
    <row r="36410" spans="18:19">
      <c r="R36410" s="178"/>
      <c r="S36410" s="178"/>
    </row>
    <row r="36411" spans="18:19">
      <c r="R36411" s="178"/>
      <c r="S36411" s="178"/>
    </row>
    <row r="36412" spans="18:19">
      <c r="R36412" s="178"/>
      <c r="S36412" s="178"/>
    </row>
    <row r="36413" spans="18:19">
      <c r="R36413" s="178"/>
      <c r="S36413" s="178"/>
    </row>
    <row r="36414" spans="18:19">
      <c r="R36414" s="178"/>
      <c r="S36414" s="178"/>
    </row>
    <row r="36415" spans="18:19">
      <c r="R36415" s="178"/>
      <c r="S36415" s="178"/>
    </row>
    <row r="36416" spans="18:19">
      <c r="R36416" s="178"/>
      <c r="S36416" s="178"/>
    </row>
    <row r="36417" spans="18:19">
      <c r="R36417" s="178"/>
      <c r="S36417" s="178"/>
    </row>
    <row r="36418" spans="18:19">
      <c r="R36418" s="178"/>
      <c r="S36418" s="178"/>
    </row>
    <row r="36419" spans="18:19">
      <c r="R36419" s="178"/>
      <c r="S36419" s="178"/>
    </row>
    <row r="36420" spans="18:19">
      <c r="R36420" s="178"/>
      <c r="S36420" s="178"/>
    </row>
    <row r="36421" spans="18:19">
      <c r="R36421" s="178"/>
      <c r="S36421" s="178"/>
    </row>
    <row r="36422" spans="18:19">
      <c r="R36422" s="178"/>
      <c r="S36422" s="178"/>
    </row>
    <row r="36423" spans="18:19">
      <c r="R36423" s="178"/>
      <c r="S36423" s="178"/>
    </row>
    <row r="36424" spans="18:19">
      <c r="R36424" s="178"/>
      <c r="S36424" s="178"/>
    </row>
    <row r="36425" spans="18:19">
      <c r="R36425" s="178"/>
      <c r="S36425" s="178"/>
    </row>
    <row r="36426" spans="18:19">
      <c r="R36426" s="178"/>
      <c r="S36426" s="178"/>
    </row>
    <row r="36427" spans="18:19">
      <c r="R36427" s="178"/>
      <c r="S36427" s="178"/>
    </row>
    <row r="36428" spans="18:19">
      <c r="R36428" s="178"/>
      <c r="S36428" s="178"/>
    </row>
    <row r="36429" spans="18:19">
      <c r="R36429" s="178"/>
      <c r="S36429" s="178"/>
    </row>
    <row r="36430" spans="18:19">
      <c r="R36430" s="178"/>
      <c r="S36430" s="178"/>
    </row>
    <row r="36431" spans="18:19">
      <c r="R36431" s="178"/>
      <c r="S36431" s="178"/>
    </row>
    <row r="36432" spans="18:19">
      <c r="R36432" s="178"/>
      <c r="S36432" s="178"/>
    </row>
    <row r="36433" spans="18:19">
      <c r="R36433" s="178"/>
      <c r="S36433" s="178"/>
    </row>
    <row r="36434" spans="18:19">
      <c r="R36434" s="178"/>
      <c r="S36434" s="178"/>
    </row>
    <row r="36435" spans="18:19">
      <c r="R36435" s="178"/>
      <c r="S36435" s="178"/>
    </row>
    <row r="36436" spans="18:19">
      <c r="R36436" s="178"/>
      <c r="S36436" s="178"/>
    </row>
    <row r="36437" spans="18:19">
      <c r="R36437" s="178"/>
      <c r="S36437" s="178"/>
    </row>
    <row r="36438" spans="18:19">
      <c r="R36438" s="178"/>
      <c r="S36438" s="178"/>
    </row>
    <row r="36439" spans="18:19">
      <c r="R36439" s="178"/>
      <c r="S36439" s="178"/>
    </row>
    <row r="36440" spans="18:19">
      <c r="R36440" s="178"/>
      <c r="S36440" s="178"/>
    </row>
    <row r="36441" spans="18:19">
      <c r="R36441" s="178"/>
      <c r="S36441" s="178"/>
    </row>
    <row r="36442" spans="18:19">
      <c r="R36442" s="178"/>
      <c r="S36442" s="178"/>
    </row>
    <row r="36443" spans="18:19">
      <c r="R36443" s="178"/>
      <c r="S36443" s="178"/>
    </row>
    <row r="36444" spans="18:19">
      <c r="R36444" s="178"/>
      <c r="S36444" s="178"/>
    </row>
    <row r="36445" spans="18:19">
      <c r="R36445" s="178"/>
      <c r="S36445" s="178"/>
    </row>
    <row r="36446" spans="18:19">
      <c r="R36446" s="178"/>
      <c r="S36446" s="178"/>
    </row>
    <row r="36447" spans="18:19">
      <c r="R36447" s="178"/>
      <c r="S36447" s="178"/>
    </row>
    <row r="36448" spans="18:19">
      <c r="R36448" s="178"/>
      <c r="S36448" s="178"/>
    </row>
    <row r="36449" spans="18:19">
      <c r="R36449" s="178"/>
      <c r="S36449" s="178"/>
    </row>
    <row r="36450" spans="18:19">
      <c r="R36450" s="178"/>
      <c r="S36450" s="178"/>
    </row>
    <row r="36451" spans="18:19">
      <c r="R36451" s="178"/>
      <c r="S36451" s="178"/>
    </row>
    <row r="36452" spans="18:19">
      <c r="R36452" s="178"/>
      <c r="S36452" s="178"/>
    </row>
    <row r="36453" spans="18:19">
      <c r="R36453" s="178"/>
      <c r="S36453" s="178"/>
    </row>
    <row r="36454" spans="18:19">
      <c r="R36454" s="178"/>
      <c r="S36454" s="178"/>
    </row>
    <row r="36455" spans="18:19">
      <c r="R36455" s="178"/>
      <c r="S36455" s="178"/>
    </row>
    <row r="36456" spans="18:19">
      <c r="R36456" s="178"/>
      <c r="S36456" s="178"/>
    </row>
    <row r="36457" spans="18:19">
      <c r="R36457" s="178"/>
      <c r="S36457" s="178"/>
    </row>
    <row r="36458" spans="18:19">
      <c r="R36458" s="178"/>
      <c r="S36458" s="178"/>
    </row>
    <row r="36459" spans="18:19">
      <c r="R36459" s="178"/>
      <c r="S36459" s="178"/>
    </row>
    <row r="36460" spans="18:19">
      <c r="R36460" s="178"/>
      <c r="S36460" s="178"/>
    </row>
    <row r="36461" spans="18:19">
      <c r="R36461" s="178"/>
      <c r="S36461" s="178"/>
    </row>
    <row r="36462" spans="18:19">
      <c r="R36462" s="178"/>
      <c r="S36462" s="178"/>
    </row>
    <row r="36463" spans="18:19">
      <c r="R36463" s="178"/>
      <c r="S36463" s="178"/>
    </row>
    <row r="36464" spans="18:19">
      <c r="R36464" s="178"/>
      <c r="S36464" s="178"/>
    </row>
    <row r="36465" spans="18:19">
      <c r="R36465" s="178"/>
      <c r="S36465" s="178"/>
    </row>
    <row r="36466" spans="18:19">
      <c r="R36466" s="178"/>
      <c r="S36466" s="178"/>
    </row>
    <row r="36467" spans="18:19">
      <c r="R36467" s="178"/>
      <c r="S36467" s="178"/>
    </row>
    <row r="36468" spans="18:19">
      <c r="R36468" s="178"/>
      <c r="S36468" s="178"/>
    </row>
    <row r="36469" spans="18:19">
      <c r="R36469" s="178"/>
      <c r="S36469" s="178"/>
    </row>
    <row r="36470" spans="18:19">
      <c r="R36470" s="178"/>
      <c r="S36470" s="178"/>
    </row>
    <row r="36471" spans="18:19">
      <c r="R36471" s="178"/>
      <c r="S36471" s="178"/>
    </row>
    <row r="36472" spans="18:19">
      <c r="R36472" s="178"/>
      <c r="S36472" s="178"/>
    </row>
    <row r="36473" spans="18:19">
      <c r="R36473" s="178"/>
      <c r="S36473" s="178"/>
    </row>
    <row r="36474" spans="18:19">
      <c r="R36474" s="178"/>
      <c r="S36474" s="178"/>
    </row>
    <row r="36475" spans="18:19">
      <c r="R36475" s="178"/>
      <c r="S36475" s="178"/>
    </row>
    <row r="36476" spans="18:19">
      <c r="R36476" s="178"/>
      <c r="S36476" s="178"/>
    </row>
    <row r="36477" spans="18:19">
      <c r="R36477" s="178"/>
      <c r="S36477" s="178"/>
    </row>
    <row r="36478" spans="18:19">
      <c r="R36478" s="178"/>
      <c r="S36478" s="178"/>
    </row>
    <row r="36479" spans="18:19">
      <c r="R36479" s="178"/>
      <c r="S36479" s="178"/>
    </row>
    <row r="36480" spans="18:19">
      <c r="R36480" s="178"/>
      <c r="S36480" s="178"/>
    </row>
    <row r="36481" spans="18:19">
      <c r="R36481" s="178"/>
      <c r="S36481" s="178"/>
    </row>
    <row r="36482" spans="18:19">
      <c r="R36482" s="178"/>
      <c r="S36482" s="178"/>
    </row>
    <row r="36483" spans="18:19">
      <c r="R36483" s="178"/>
      <c r="S36483" s="178"/>
    </row>
    <row r="36484" spans="18:19">
      <c r="R36484" s="178"/>
      <c r="S36484" s="178"/>
    </row>
    <row r="36485" spans="18:19">
      <c r="R36485" s="178"/>
      <c r="S36485" s="178"/>
    </row>
    <row r="36486" spans="18:19">
      <c r="R36486" s="178"/>
      <c r="S36486" s="178"/>
    </row>
    <row r="36487" spans="18:19">
      <c r="R36487" s="178"/>
      <c r="S36487" s="178"/>
    </row>
    <row r="36488" spans="18:19">
      <c r="R36488" s="178"/>
      <c r="S36488" s="178"/>
    </row>
    <row r="36489" spans="18:19">
      <c r="R36489" s="178"/>
      <c r="S36489" s="178"/>
    </row>
    <row r="36490" spans="18:19">
      <c r="R36490" s="178"/>
      <c r="S36490" s="178"/>
    </row>
    <row r="36491" spans="18:19">
      <c r="R36491" s="178"/>
      <c r="S36491" s="178"/>
    </row>
    <row r="36492" spans="18:19">
      <c r="R36492" s="178"/>
      <c r="S36492" s="178"/>
    </row>
    <row r="36493" spans="18:19">
      <c r="R36493" s="178"/>
      <c r="S36493" s="178"/>
    </row>
    <row r="36494" spans="18:19">
      <c r="R36494" s="178"/>
      <c r="S36494" s="178"/>
    </row>
    <row r="36495" spans="18:19">
      <c r="R36495" s="178"/>
      <c r="S36495" s="178"/>
    </row>
    <row r="36496" spans="18:19">
      <c r="R36496" s="178"/>
      <c r="S36496" s="178"/>
    </row>
    <row r="36497" spans="18:19">
      <c r="R36497" s="178"/>
      <c r="S36497" s="178"/>
    </row>
    <row r="36498" spans="18:19">
      <c r="R36498" s="178"/>
      <c r="S36498" s="178"/>
    </row>
    <row r="36499" spans="18:19">
      <c r="R36499" s="178"/>
      <c r="S36499" s="178"/>
    </row>
    <row r="36500" spans="18:19">
      <c r="R36500" s="178"/>
      <c r="S36500" s="178"/>
    </row>
    <row r="36501" spans="18:19">
      <c r="R36501" s="178"/>
      <c r="S36501" s="178"/>
    </row>
    <row r="36502" spans="18:19">
      <c r="R36502" s="178"/>
      <c r="S36502" s="178"/>
    </row>
    <row r="36503" spans="18:19">
      <c r="R36503" s="178"/>
      <c r="S36503" s="178"/>
    </row>
    <row r="36504" spans="18:19">
      <c r="R36504" s="178"/>
      <c r="S36504" s="178"/>
    </row>
    <row r="36505" spans="18:19">
      <c r="R36505" s="178"/>
      <c r="S36505" s="178"/>
    </row>
    <row r="36506" spans="18:19">
      <c r="R36506" s="178"/>
      <c r="S36506" s="178"/>
    </row>
    <row r="36507" spans="18:19">
      <c r="R36507" s="178"/>
      <c r="S36507" s="178"/>
    </row>
    <row r="36508" spans="18:19">
      <c r="R36508" s="178"/>
      <c r="S36508" s="178"/>
    </row>
    <row r="36509" spans="18:19">
      <c r="R36509" s="178"/>
      <c r="S36509" s="178"/>
    </row>
    <row r="36510" spans="18:19">
      <c r="R36510" s="178"/>
      <c r="S36510" s="178"/>
    </row>
    <row r="36511" spans="18:19">
      <c r="R36511" s="178"/>
      <c r="S36511" s="178"/>
    </row>
    <row r="36512" spans="18:19">
      <c r="R36512" s="178"/>
      <c r="S36512" s="178"/>
    </row>
    <row r="36513" spans="18:19">
      <c r="R36513" s="178"/>
      <c r="S36513" s="178"/>
    </row>
    <row r="36514" spans="18:19">
      <c r="R36514" s="178"/>
      <c r="S36514" s="178"/>
    </row>
    <row r="36515" spans="18:19">
      <c r="R36515" s="178"/>
      <c r="S36515" s="178"/>
    </row>
    <row r="36516" spans="18:19">
      <c r="R36516" s="178"/>
      <c r="S36516" s="178"/>
    </row>
    <row r="36517" spans="18:19">
      <c r="R36517" s="178"/>
      <c r="S36517" s="178"/>
    </row>
    <row r="36518" spans="18:19">
      <c r="R36518" s="178"/>
      <c r="S36518" s="178"/>
    </row>
    <row r="36519" spans="18:19">
      <c r="R36519" s="178"/>
      <c r="S36519" s="178"/>
    </row>
    <row r="36520" spans="18:19">
      <c r="R36520" s="178"/>
      <c r="S36520" s="178"/>
    </row>
    <row r="36521" spans="18:19">
      <c r="R36521" s="178"/>
      <c r="S36521" s="178"/>
    </row>
    <row r="36522" spans="18:19">
      <c r="R36522" s="178"/>
      <c r="S36522" s="178"/>
    </row>
    <row r="36523" spans="18:19">
      <c r="R36523" s="178"/>
      <c r="S36523" s="178"/>
    </row>
    <row r="36524" spans="18:19">
      <c r="R36524" s="178"/>
      <c r="S36524" s="178"/>
    </row>
    <row r="36525" spans="18:19">
      <c r="R36525" s="178"/>
      <c r="S36525" s="178"/>
    </row>
    <row r="36526" spans="18:19">
      <c r="R36526" s="178"/>
      <c r="S36526" s="178"/>
    </row>
    <row r="36527" spans="18:19">
      <c r="R36527" s="178"/>
      <c r="S36527" s="178"/>
    </row>
    <row r="36528" spans="18:19">
      <c r="R36528" s="178"/>
      <c r="S36528" s="178"/>
    </row>
    <row r="36529" spans="18:19">
      <c r="R36529" s="178"/>
      <c r="S36529" s="178"/>
    </row>
    <row r="36530" spans="18:19">
      <c r="R36530" s="178"/>
      <c r="S36530" s="178"/>
    </row>
    <row r="36531" spans="18:19">
      <c r="R36531" s="178"/>
      <c r="S36531" s="178"/>
    </row>
    <row r="36532" spans="18:19">
      <c r="R36532" s="178"/>
      <c r="S36532" s="178"/>
    </row>
    <row r="36533" spans="18:19">
      <c r="R36533" s="178"/>
      <c r="S36533" s="178"/>
    </row>
    <row r="36534" spans="18:19">
      <c r="R36534" s="178"/>
      <c r="S36534" s="178"/>
    </row>
    <row r="36535" spans="18:19">
      <c r="R36535" s="178"/>
      <c r="S36535" s="178"/>
    </row>
    <row r="36536" spans="18:19">
      <c r="R36536" s="178"/>
      <c r="S36536" s="178"/>
    </row>
    <row r="36537" spans="18:19">
      <c r="R36537" s="178"/>
      <c r="S36537" s="178"/>
    </row>
    <row r="36538" spans="18:19">
      <c r="R36538" s="178"/>
      <c r="S36538" s="178"/>
    </row>
    <row r="36539" spans="18:19">
      <c r="R36539" s="178"/>
      <c r="S36539" s="178"/>
    </row>
    <row r="36540" spans="18:19">
      <c r="R36540" s="178"/>
      <c r="S36540" s="178"/>
    </row>
    <row r="36541" spans="18:19">
      <c r="R36541" s="178"/>
      <c r="S36541" s="178"/>
    </row>
    <row r="36542" spans="18:19">
      <c r="R36542" s="178"/>
      <c r="S36542" s="178"/>
    </row>
    <row r="36543" spans="18:19">
      <c r="R36543" s="178"/>
      <c r="S36543" s="178"/>
    </row>
    <row r="36544" spans="18:19">
      <c r="R36544" s="178"/>
      <c r="S36544" s="178"/>
    </row>
    <row r="36545" spans="18:19">
      <c r="R36545" s="178"/>
      <c r="S36545" s="178"/>
    </row>
    <row r="36546" spans="18:19">
      <c r="R36546" s="178"/>
      <c r="S36546" s="178"/>
    </row>
    <row r="36547" spans="18:19">
      <c r="R36547" s="178"/>
      <c r="S36547" s="178"/>
    </row>
    <row r="36548" spans="18:19">
      <c r="R36548" s="178"/>
      <c r="S36548" s="178"/>
    </row>
    <row r="36549" spans="18:19">
      <c r="R36549" s="178"/>
      <c r="S36549" s="178"/>
    </row>
    <row r="36550" spans="18:19">
      <c r="R36550" s="178"/>
      <c r="S36550" s="178"/>
    </row>
    <row r="36551" spans="18:19">
      <c r="R36551" s="178"/>
      <c r="S36551" s="178"/>
    </row>
    <row r="36552" spans="18:19">
      <c r="R36552" s="178"/>
      <c r="S36552" s="178"/>
    </row>
    <row r="36553" spans="18:19">
      <c r="R36553" s="178"/>
      <c r="S36553" s="178"/>
    </row>
    <row r="36554" spans="18:19">
      <c r="R36554" s="178"/>
      <c r="S36554" s="178"/>
    </row>
    <row r="36555" spans="18:19">
      <c r="R36555" s="178"/>
      <c r="S36555" s="178"/>
    </row>
    <row r="36556" spans="18:19">
      <c r="R36556" s="178"/>
      <c r="S36556" s="178"/>
    </row>
    <row r="36557" spans="18:19">
      <c r="R36557" s="178"/>
      <c r="S36557" s="178"/>
    </row>
    <row r="36558" spans="18:19">
      <c r="R36558" s="178"/>
      <c r="S36558" s="178"/>
    </row>
    <row r="36559" spans="18:19">
      <c r="R36559" s="178"/>
      <c r="S36559" s="178"/>
    </row>
    <row r="36560" spans="18:19">
      <c r="R36560" s="178"/>
      <c r="S36560" s="178"/>
    </row>
    <row r="36561" spans="18:19">
      <c r="R36561" s="178"/>
      <c r="S36561" s="178"/>
    </row>
    <row r="36562" spans="18:19">
      <c r="R36562" s="178"/>
      <c r="S36562" s="178"/>
    </row>
    <row r="36563" spans="18:19">
      <c r="R36563" s="178"/>
      <c r="S36563" s="178"/>
    </row>
    <row r="36564" spans="18:19">
      <c r="R36564" s="178"/>
      <c r="S36564" s="178"/>
    </row>
    <row r="36565" spans="18:19">
      <c r="R36565" s="178"/>
      <c r="S36565" s="178"/>
    </row>
    <row r="36566" spans="18:19">
      <c r="R36566" s="178"/>
      <c r="S36566" s="178"/>
    </row>
    <row r="36567" spans="18:19">
      <c r="R36567" s="178"/>
      <c r="S36567" s="178"/>
    </row>
    <row r="36568" spans="18:19">
      <c r="R36568" s="178"/>
      <c r="S36568" s="178"/>
    </row>
    <row r="36569" spans="18:19">
      <c r="R36569" s="178"/>
      <c r="S36569" s="178"/>
    </row>
    <row r="36570" spans="18:19">
      <c r="R36570" s="178"/>
      <c r="S36570" s="178"/>
    </row>
    <row r="36571" spans="18:19">
      <c r="R36571" s="178"/>
      <c r="S36571" s="178"/>
    </row>
    <row r="36572" spans="18:19">
      <c r="R36572" s="178"/>
      <c r="S36572" s="178"/>
    </row>
    <row r="36573" spans="18:19">
      <c r="R36573" s="178"/>
      <c r="S36573" s="178"/>
    </row>
    <row r="36574" spans="18:19">
      <c r="R36574" s="178"/>
      <c r="S36574" s="178"/>
    </row>
    <row r="36575" spans="18:19">
      <c r="R36575" s="178"/>
      <c r="S36575" s="178"/>
    </row>
    <row r="36576" spans="18:19">
      <c r="R36576" s="178"/>
      <c r="S36576" s="178"/>
    </row>
    <row r="36577" spans="18:19">
      <c r="R36577" s="178"/>
      <c r="S36577" s="178"/>
    </row>
    <row r="36578" spans="18:19">
      <c r="R36578" s="178"/>
      <c r="S36578" s="178"/>
    </row>
    <row r="36579" spans="18:19">
      <c r="R36579" s="178"/>
      <c r="S36579" s="178"/>
    </row>
    <row r="36580" spans="18:19">
      <c r="R36580" s="178"/>
      <c r="S36580" s="178"/>
    </row>
    <row r="36581" spans="18:19">
      <c r="R36581" s="178"/>
      <c r="S36581" s="178"/>
    </row>
    <row r="36582" spans="18:19">
      <c r="R36582" s="178"/>
      <c r="S36582" s="178"/>
    </row>
    <row r="36583" spans="18:19">
      <c r="R36583" s="178"/>
      <c r="S36583" s="178"/>
    </row>
    <row r="36584" spans="18:19">
      <c r="R36584" s="178"/>
      <c r="S36584" s="178"/>
    </row>
    <row r="36585" spans="18:19">
      <c r="R36585" s="178"/>
      <c r="S36585" s="178"/>
    </row>
    <row r="36586" spans="18:19">
      <c r="R36586" s="178"/>
      <c r="S36586" s="178"/>
    </row>
    <row r="36587" spans="18:19">
      <c r="R36587" s="178"/>
      <c r="S36587" s="178"/>
    </row>
    <row r="36588" spans="18:19">
      <c r="R36588" s="178"/>
      <c r="S36588" s="178"/>
    </row>
    <row r="36589" spans="18:19">
      <c r="R36589" s="178"/>
      <c r="S36589" s="178"/>
    </row>
    <row r="36590" spans="18:19">
      <c r="R36590" s="178"/>
      <c r="S36590" s="178"/>
    </row>
    <row r="36591" spans="18:19">
      <c r="R36591" s="178"/>
      <c r="S36591" s="178"/>
    </row>
    <row r="36592" spans="18:19">
      <c r="R36592" s="178"/>
      <c r="S36592" s="178"/>
    </row>
    <row r="36593" spans="18:19">
      <c r="R36593" s="178"/>
      <c r="S36593" s="178"/>
    </row>
    <row r="36594" spans="18:19">
      <c r="R36594" s="178"/>
      <c r="S36594" s="178"/>
    </row>
    <row r="36595" spans="18:19">
      <c r="R36595" s="178"/>
      <c r="S36595" s="178"/>
    </row>
    <row r="36596" spans="18:19">
      <c r="R36596" s="178"/>
      <c r="S36596" s="178"/>
    </row>
    <row r="36597" spans="18:19">
      <c r="R36597" s="178"/>
      <c r="S36597" s="178"/>
    </row>
    <row r="36598" spans="18:19">
      <c r="R36598" s="178"/>
      <c r="S36598" s="178"/>
    </row>
    <row r="36599" spans="18:19">
      <c r="R36599" s="178"/>
      <c r="S36599" s="178"/>
    </row>
    <row r="36600" spans="18:19">
      <c r="R36600" s="178"/>
      <c r="S36600" s="178"/>
    </row>
    <row r="36601" spans="18:19">
      <c r="R36601" s="178"/>
      <c r="S36601" s="178"/>
    </row>
    <row r="36602" spans="18:19">
      <c r="R36602" s="178"/>
      <c r="S36602" s="178"/>
    </row>
    <row r="36603" spans="18:19">
      <c r="R36603" s="178"/>
      <c r="S36603" s="178"/>
    </row>
    <row r="36604" spans="18:19">
      <c r="R36604" s="178"/>
      <c r="S36604" s="178"/>
    </row>
    <row r="36605" spans="18:19">
      <c r="R36605" s="178"/>
      <c r="S36605" s="178"/>
    </row>
    <row r="36606" spans="18:19">
      <c r="R36606" s="178"/>
      <c r="S36606" s="178"/>
    </row>
    <row r="36607" spans="18:19">
      <c r="R36607" s="178"/>
      <c r="S36607" s="178"/>
    </row>
    <row r="36608" spans="18:19">
      <c r="R36608" s="178"/>
      <c r="S36608" s="178"/>
    </row>
    <row r="36609" spans="18:19">
      <c r="R36609" s="178"/>
      <c r="S36609" s="178"/>
    </row>
    <row r="36610" spans="18:19">
      <c r="R36610" s="178"/>
      <c r="S36610" s="178"/>
    </row>
    <row r="36611" spans="18:19">
      <c r="R36611" s="178"/>
      <c r="S36611" s="178"/>
    </row>
    <row r="36612" spans="18:19">
      <c r="R36612" s="178"/>
      <c r="S36612" s="178"/>
    </row>
    <row r="36613" spans="18:19">
      <c r="R36613" s="178"/>
      <c r="S36613" s="178"/>
    </row>
    <row r="36614" spans="18:19">
      <c r="R36614" s="178"/>
      <c r="S36614" s="178"/>
    </row>
    <row r="36615" spans="18:19">
      <c r="R36615" s="178"/>
      <c r="S36615" s="178"/>
    </row>
    <row r="36616" spans="18:19">
      <c r="R36616" s="178"/>
      <c r="S36616" s="178"/>
    </row>
    <row r="36617" spans="18:19">
      <c r="R36617" s="178"/>
      <c r="S36617" s="178"/>
    </row>
    <row r="36618" spans="18:19">
      <c r="R36618" s="178"/>
      <c r="S36618" s="178"/>
    </row>
    <row r="36619" spans="18:19">
      <c r="R36619" s="178"/>
      <c r="S36619" s="178"/>
    </row>
    <row r="36620" spans="18:19">
      <c r="R36620" s="178"/>
      <c r="S36620" s="178"/>
    </row>
    <row r="36621" spans="18:19">
      <c r="R36621" s="178"/>
      <c r="S36621" s="178"/>
    </row>
    <row r="36622" spans="18:19">
      <c r="R36622" s="178"/>
      <c r="S36622" s="178"/>
    </row>
    <row r="36623" spans="18:19">
      <c r="R36623" s="178"/>
      <c r="S36623" s="178"/>
    </row>
    <row r="36624" spans="18:19">
      <c r="R36624" s="178"/>
      <c r="S36624" s="178"/>
    </row>
    <row r="36625" spans="18:19">
      <c r="R36625" s="178"/>
      <c r="S36625" s="178"/>
    </row>
    <row r="36626" spans="18:19">
      <c r="R36626" s="178"/>
      <c r="S36626" s="178"/>
    </row>
    <row r="36627" spans="18:19">
      <c r="R36627" s="178"/>
      <c r="S36627" s="178"/>
    </row>
    <row r="36628" spans="18:19">
      <c r="R36628" s="178"/>
      <c r="S36628" s="178"/>
    </row>
    <row r="36629" spans="18:19">
      <c r="R36629" s="178"/>
      <c r="S36629" s="178"/>
    </row>
    <row r="36630" spans="18:19">
      <c r="R36630" s="178"/>
      <c r="S36630" s="178"/>
    </row>
    <row r="36631" spans="18:19">
      <c r="R36631" s="178"/>
      <c r="S36631" s="178"/>
    </row>
    <row r="36632" spans="18:19">
      <c r="R36632" s="178"/>
      <c r="S36632" s="178"/>
    </row>
    <row r="36633" spans="18:19">
      <c r="R36633" s="178"/>
      <c r="S36633" s="178"/>
    </row>
    <row r="36634" spans="18:19">
      <c r="R36634" s="178"/>
      <c r="S36634" s="178"/>
    </row>
    <row r="36635" spans="18:19">
      <c r="R36635" s="178"/>
      <c r="S36635" s="178"/>
    </row>
    <row r="36636" spans="18:19">
      <c r="R36636" s="178"/>
      <c r="S36636" s="178"/>
    </row>
    <row r="36637" spans="18:19">
      <c r="R36637" s="178"/>
      <c r="S36637" s="178"/>
    </row>
    <row r="36638" spans="18:19">
      <c r="R36638" s="178"/>
      <c r="S36638" s="178"/>
    </row>
    <row r="36639" spans="18:19">
      <c r="R36639" s="178"/>
      <c r="S36639" s="178"/>
    </row>
    <row r="36640" spans="18:19">
      <c r="R36640" s="178"/>
      <c r="S36640" s="178"/>
    </row>
    <row r="36641" spans="18:19">
      <c r="R36641" s="178"/>
      <c r="S36641" s="178"/>
    </row>
    <row r="36642" spans="18:19">
      <c r="R36642" s="178"/>
      <c r="S36642" s="178"/>
    </row>
    <row r="36643" spans="18:19">
      <c r="R36643" s="178"/>
      <c r="S36643" s="178"/>
    </row>
    <row r="36644" spans="18:19">
      <c r="R36644" s="178"/>
      <c r="S36644" s="178"/>
    </row>
    <row r="36645" spans="18:19">
      <c r="R36645" s="178"/>
      <c r="S36645" s="178"/>
    </row>
    <row r="36646" spans="18:19">
      <c r="R36646" s="178"/>
      <c r="S36646" s="178"/>
    </row>
    <row r="36647" spans="18:19">
      <c r="R36647" s="178"/>
      <c r="S36647" s="178"/>
    </row>
    <row r="36648" spans="18:19">
      <c r="R36648" s="178"/>
      <c r="S36648" s="178"/>
    </row>
    <row r="36649" spans="18:19">
      <c r="R36649" s="178"/>
      <c r="S36649" s="178"/>
    </row>
    <row r="36650" spans="18:19">
      <c r="R36650" s="178"/>
      <c r="S36650" s="178"/>
    </row>
    <row r="36651" spans="18:19">
      <c r="R36651" s="178"/>
      <c r="S36651" s="178"/>
    </row>
    <row r="36652" spans="18:19">
      <c r="R36652" s="178"/>
      <c r="S36652" s="178"/>
    </row>
    <row r="36653" spans="18:19">
      <c r="R36653" s="178"/>
      <c r="S36653" s="178"/>
    </row>
    <row r="36654" spans="18:19">
      <c r="R36654" s="178"/>
      <c r="S36654" s="178"/>
    </row>
    <row r="36655" spans="18:19">
      <c r="R36655" s="178"/>
      <c r="S36655" s="178"/>
    </row>
    <row r="36656" spans="18:19">
      <c r="R36656" s="178"/>
      <c r="S36656" s="178"/>
    </row>
    <row r="36657" spans="18:19">
      <c r="R36657" s="178"/>
      <c r="S36657" s="178"/>
    </row>
    <row r="36658" spans="18:19">
      <c r="R36658" s="178"/>
      <c r="S36658" s="178"/>
    </row>
    <row r="36659" spans="18:19">
      <c r="R36659" s="178"/>
      <c r="S36659" s="178"/>
    </row>
    <row r="36660" spans="18:19">
      <c r="R36660" s="178"/>
      <c r="S36660" s="178"/>
    </row>
    <row r="36661" spans="18:19">
      <c r="R36661" s="178"/>
      <c r="S36661" s="178"/>
    </row>
    <row r="36662" spans="18:19">
      <c r="R36662" s="178"/>
      <c r="S36662" s="178"/>
    </row>
    <row r="36663" spans="18:19">
      <c r="R36663" s="178"/>
      <c r="S36663" s="178"/>
    </row>
    <row r="36664" spans="18:19">
      <c r="R36664" s="178"/>
      <c r="S36664" s="178"/>
    </row>
    <row r="36665" spans="18:19">
      <c r="R36665" s="178"/>
      <c r="S36665" s="178"/>
    </row>
    <row r="36666" spans="18:19">
      <c r="R36666" s="178"/>
      <c r="S36666" s="178"/>
    </row>
    <row r="36667" spans="18:19">
      <c r="R36667" s="178"/>
      <c r="S36667" s="178"/>
    </row>
    <row r="36668" spans="18:19">
      <c r="R36668" s="178"/>
      <c r="S36668" s="178"/>
    </row>
    <row r="36669" spans="18:19">
      <c r="R36669" s="178"/>
      <c r="S36669" s="178"/>
    </row>
    <row r="36670" spans="18:19">
      <c r="R36670" s="178"/>
      <c r="S36670" s="178"/>
    </row>
    <row r="36671" spans="18:19">
      <c r="R36671" s="178"/>
      <c r="S36671" s="178"/>
    </row>
    <row r="36672" spans="18:19">
      <c r="R36672" s="178"/>
      <c r="S36672" s="178"/>
    </row>
    <row r="36673" spans="18:19">
      <c r="R36673" s="178"/>
      <c r="S36673" s="178"/>
    </row>
    <row r="36674" spans="18:19">
      <c r="R36674" s="178"/>
      <c r="S36674" s="178"/>
    </row>
    <row r="36675" spans="18:19">
      <c r="R36675" s="178"/>
      <c r="S36675" s="178"/>
    </row>
    <row r="36676" spans="18:19">
      <c r="R36676" s="178"/>
      <c r="S36676" s="178"/>
    </row>
    <row r="36677" spans="18:19">
      <c r="R36677" s="178"/>
      <c r="S36677" s="178"/>
    </row>
    <row r="36678" spans="18:19">
      <c r="R36678" s="178"/>
      <c r="S36678" s="178"/>
    </row>
    <row r="36679" spans="18:19">
      <c r="R36679" s="178"/>
      <c r="S36679" s="178"/>
    </row>
    <row r="36680" spans="18:19">
      <c r="R36680" s="178"/>
      <c r="S36680" s="178"/>
    </row>
    <row r="36681" spans="18:19">
      <c r="R36681" s="178"/>
      <c r="S36681" s="178"/>
    </row>
    <row r="36682" spans="18:19">
      <c r="R36682" s="178"/>
      <c r="S36682" s="178"/>
    </row>
    <row r="36683" spans="18:19">
      <c r="R36683" s="178"/>
      <c r="S36683" s="178"/>
    </row>
    <row r="36684" spans="18:19">
      <c r="R36684" s="178"/>
      <c r="S36684" s="178"/>
    </row>
    <row r="36685" spans="18:19">
      <c r="R36685" s="178"/>
      <c r="S36685" s="178"/>
    </row>
    <row r="36686" spans="18:19">
      <c r="R36686" s="178"/>
      <c r="S36686" s="178"/>
    </row>
    <row r="36687" spans="18:19">
      <c r="R36687" s="178"/>
      <c r="S36687" s="178"/>
    </row>
    <row r="36688" spans="18:19">
      <c r="R36688" s="178"/>
      <c r="S36688" s="178"/>
    </row>
    <row r="36689" spans="18:19">
      <c r="R36689" s="178"/>
      <c r="S36689" s="178"/>
    </row>
    <row r="36690" spans="18:19">
      <c r="R36690" s="178"/>
      <c r="S36690" s="178"/>
    </row>
    <row r="36691" spans="18:19">
      <c r="R36691" s="178"/>
      <c r="S36691" s="178"/>
    </row>
    <row r="36692" spans="18:19">
      <c r="R36692" s="178"/>
      <c r="S36692" s="178"/>
    </row>
    <row r="36693" spans="18:19">
      <c r="R36693" s="178"/>
      <c r="S36693" s="178"/>
    </row>
    <row r="36694" spans="18:19">
      <c r="R36694" s="178"/>
      <c r="S36694" s="178"/>
    </row>
    <row r="36695" spans="18:19">
      <c r="R36695" s="178"/>
      <c r="S36695" s="178"/>
    </row>
    <row r="36696" spans="18:19">
      <c r="R36696" s="178"/>
      <c r="S36696" s="178"/>
    </row>
    <row r="36697" spans="18:19">
      <c r="R36697" s="178"/>
      <c r="S36697" s="178"/>
    </row>
    <row r="36698" spans="18:19">
      <c r="R36698" s="178"/>
      <c r="S36698" s="178"/>
    </row>
    <row r="36699" spans="18:19">
      <c r="R36699" s="178"/>
      <c r="S36699" s="178"/>
    </row>
    <row r="36700" spans="18:19">
      <c r="R36700" s="178"/>
      <c r="S36700" s="178"/>
    </row>
    <row r="36701" spans="18:19">
      <c r="R36701" s="178"/>
      <c r="S36701" s="178"/>
    </row>
    <row r="36702" spans="18:19">
      <c r="R36702" s="178"/>
      <c r="S36702" s="178"/>
    </row>
    <row r="36703" spans="18:19">
      <c r="R36703" s="178"/>
      <c r="S36703" s="178"/>
    </row>
    <row r="36704" spans="18:19">
      <c r="R36704" s="178"/>
      <c r="S36704" s="178"/>
    </row>
    <row r="36705" spans="18:19">
      <c r="R36705" s="178"/>
      <c r="S36705" s="178"/>
    </row>
    <row r="36706" spans="18:19">
      <c r="R36706" s="178"/>
      <c r="S36706" s="178"/>
    </row>
    <row r="36707" spans="18:19">
      <c r="R36707" s="178"/>
      <c r="S36707" s="178"/>
    </row>
    <row r="36708" spans="18:19">
      <c r="R36708" s="178"/>
      <c r="S36708" s="178"/>
    </row>
    <row r="36709" spans="18:19">
      <c r="R36709" s="178"/>
      <c r="S36709" s="178"/>
    </row>
    <row r="36710" spans="18:19">
      <c r="R36710" s="178"/>
      <c r="S36710" s="178"/>
    </row>
    <row r="36711" spans="18:19">
      <c r="R36711" s="178"/>
      <c r="S36711" s="178"/>
    </row>
    <row r="36712" spans="18:19">
      <c r="R36712" s="178"/>
      <c r="S36712" s="178"/>
    </row>
    <row r="36713" spans="18:19">
      <c r="R36713" s="178"/>
      <c r="S36713" s="178"/>
    </row>
    <row r="36714" spans="18:19">
      <c r="R36714" s="178"/>
      <c r="S36714" s="178"/>
    </row>
    <row r="36715" spans="18:19">
      <c r="R36715" s="178"/>
      <c r="S36715" s="178"/>
    </row>
    <row r="36716" spans="18:19">
      <c r="R36716" s="178"/>
      <c r="S36716" s="178"/>
    </row>
    <row r="36717" spans="18:19">
      <c r="R36717" s="178"/>
      <c r="S36717" s="178"/>
    </row>
    <row r="36718" spans="18:19">
      <c r="R36718" s="178"/>
      <c r="S36718" s="178"/>
    </row>
    <row r="36719" spans="18:19">
      <c r="R36719" s="178"/>
      <c r="S36719" s="178"/>
    </row>
    <row r="36720" spans="18:19">
      <c r="R36720" s="178"/>
      <c r="S36720" s="178"/>
    </row>
    <row r="36721" spans="18:19">
      <c r="R36721" s="178"/>
      <c r="S36721" s="178"/>
    </row>
    <row r="36722" spans="18:19">
      <c r="R36722" s="178"/>
      <c r="S36722" s="178"/>
    </row>
    <row r="36723" spans="18:19">
      <c r="R36723" s="178"/>
      <c r="S36723" s="178"/>
    </row>
    <row r="36724" spans="18:19">
      <c r="R36724" s="178"/>
      <c r="S36724" s="178"/>
    </row>
    <row r="36725" spans="18:19">
      <c r="R36725" s="178"/>
      <c r="S36725" s="178"/>
    </row>
    <row r="36726" spans="18:19">
      <c r="R36726" s="178"/>
      <c r="S36726" s="178"/>
    </row>
    <row r="36727" spans="18:19">
      <c r="R36727" s="178"/>
      <c r="S36727" s="178"/>
    </row>
    <row r="36728" spans="18:19">
      <c r="R36728" s="178"/>
      <c r="S36728" s="178"/>
    </row>
    <row r="36729" spans="18:19">
      <c r="R36729" s="178"/>
      <c r="S36729" s="178"/>
    </row>
    <row r="36730" spans="18:19">
      <c r="R36730" s="178"/>
      <c r="S36730" s="178"/>
    </row>
    <row r="36731" spans="18:19">
      <c r="R36731" s="178"/>
      <c r="S36731" s="178"/>
    </row>
    <row r="36732" spans="18:19">
      <c r="R36732" s="178"/>
      <c r="S36732" s="178"/>
    </row>
    <row r="36733" spans="18:19">
      <c r="R36733" s="178"/>
      <c r="S36733" s="178"/>
    </row>
    <row r="36734" spans="18:19">
      <c r="R36734" s="178"/>
      <c r="S36734" s="178"/>
    </row>
    <row r="36735" spans="18:19">
      <c r="R36735" s="178"/>
      <c r="S36735" s="178"/>
    </row>
    <row r="36736" spans="18:19">
      <c r="R36736" s="178"/>
      <c r="S36736" s="178"/>
    </row>
    <row r="36737" spans="18:19">
      <c r="R36737" s="178"/>
      <c r="S36737" s="178"/>
    </row>
    <row r="36738" spans="18:19">
      <c r="R36738" s="178"/>
      <c r="S36738" s="178"/>
    </row>
    <row r="36739" spans="18:19">
      <c r="R36739" s="178"/>
      <c r="S36739" s="178"/>
    </row>
    <row r="36740" spans="18:19">
      <c r="R36740" s="178"/>
      <c r="S36740" s="178"/>
    </row>
    <row r="36741" spans="18:19">
      <c r="R36741" s="178"/>
      <c r="S36741" s="178"/>
    </row>
    <row r="36742" spans="18:19">
      <c r="R36742" s="178"/>
      <c r="S36742" s="178"/>
    </row>
    <row r="36743" spans="18:19">
      <c r="R36743" s="178"/>
      <c r="S36743" s="178"/>
    </row>
    <row r="36744" spans="18:19">
      <c r="R36744" s="178"/>
      <c r="S36744" s="178"/>
    </row>
    <row r="36745" spans="18:19">
      <c r="R36745" s="178"/>
      <c r="S36745" s="178"/>
    </row>
    <row r="36746" spans="18:19">
      <c r="R36746" s="178"/>
      <c r="S36746" s="178"/>
    </row>
    <row r="36747" spans="18:19">
      <c r="R36747" s="178"/>
      <c r="S36747" s="178"/>
    </row>
    <row r="36748" spans="18:19">
      <c r="R36748" s="178"/>
      <c r="S36748" s="178"/>
    </row>
    <row r="36749" spans="18:19">
      <c r="R36749" s="178"/>
      <c r="S36749" s="178"/>
    </row>
    <row r="36750" spans="18:19">
      <c r="R36750" s="178"/>
      <c r="S36750" s="178"/>
    </row>
    <row r="36751" spans="18:19">
      <c r="R36751" s="178"/>
      <c r="S36751" s="178"/>
    </row>
    <row r="36752" spans="18:19">
      <c r="R36752" s="178"/>
      <c r="S36752" s="178"/>
    </row>
    <row r="36753" spans="18:19">
      <c r="R36753" s="178"/>
      <c r="S36753" s="178"/>
    </row>
    <row r="36754" spans="18:19">
      <c r="R36754" s="178"/>
      <c r="S36754" s="178"/>
    </row>
    <row r="36755" spans="18:19">
      <c r="R36755" s="178"/>
      <c r="S36755" s="178"/>
    </row>
    <row r="36756" spans="18:19">
      <c r="R36756" s="178"/>
      <c r="S36756" s="178"/>
    </row>
    <row r="36757" spans="18:19">
      <c r="R36757" s="178"/>
      <c r="S36757" s="178"/>
    </row>
    <row r="36758" spans="18:19">
      <c r="R36758" s="178"/>
      <c r="S36758" s="178"/>
    </row>
    <row r="36759" spans="18:19">
      <c r="R36759" s="178"/>
      <c r="S36759" s="178"/>
    </row>
    <row r="36760" spans="18:19">
      <c r="R36760" s="178"/>
      <c r="S36760" s="178"/>
    </row>
    <row r="36761" spans="18:19">
      <c r="R36761" s="178"/>
      <c r="S36761" s="178"/>
    </row>
    <row r="36762" spans="18:19">
      <c r="R36762" s="178"/>
      <c r="S36762" s="178"/>
    </row>
    <row r="36763" spans="18:19">
      <c r="R36763" s="178"/>
      <c r="S36763" s="178"/>
    </row>
    <row r="36764" spans="18:19">
      <c r="R36764" s="178"/>
      <c r="S36764" s="178"/>
    </row>
    <row r="36765" spans="18:19">
      <c r="R36765" s="178"/>
      <c r="S36765" s="178"/>
    </row>
    <row r="36766" spans="18:19">
      <c r="R36766" s="178"/>
      <c r="S36766" s="178"/>
    </row>
    <row r="36767" spans="18:19">
      <c r="R36767" s="178"/>
      <c r="S36767" s="178"/>
    </row>
    <row r="36768" spans="18:19">
      <c r="R36768" s="178"/>
      <c r="S36768" s="178"/>
    </row>
    <row r="36769" spans="18:19">
      <c r="R36769" s="178"/>
      <c r="S36769" s="178"/>
    </row>
    <row r="36770" spans="18:19">
      <c r="R36770" s="178"/>
      <c r="S36770" s="178"/>
    </row>
    <row r="36771" spans="18:19">
      <c r="R36771" s="178"/>
      <c r="S36771" s="178"/>
    </row>
    <row r="36772" spans="18:19">
      <c r="R36772" s="178"/>
      <c r="S36772" s="178"/>
    </row>
    <row r="36773" spans="18:19">
      <c r="R36773" s="178"/>
      <c r="S36773" s="178"/>
    </row>
    <row r="36774" spans="18:19">
      <c r="R36774" s="178"/>
      <c r="S36774" s="178"/>
    </row>
    <row r="36775" spans="18:19">
      <c r="R36775" s="178"/>
      <c r="S36775" s="178"/>
    </row>
    <row r="36776" spans="18:19">
      <c r="R36776" s="178"/>
      <c r="S36776" s="178"/>
    </row>
    <row r="36777" spans="18:19">
      <c r="R36777" s="178"/>
      <c r="S36777" s="178"/>
    </row>
    <row r="36778" spans="18:19">
      <c r="R36778" s="178"/>
      <c r="S36778" s="178"/>
    </row>
    <row r="36779" spans="18:19">
      <c r="R36779" s="178"/>
      <c r="S36779" s="178"/>
    </row>
    <row r="36780" spans="18:19">
      <c r="R36780" s="178"/>
      <c r="S36780" s="178"/>
    </row>
    <row r="36781" spans="18:19">
      <c r="R36781" s="178"/>
      <c r="S36781" s="178"/>
    </row>
    <row r="36782" spans="18:19">
      <c r="R36782" s="178"/>
      <c r="S36782" s="178"/>
    </row>
    <row r="36783" spans="18:19">
      <c r="R36783" s="178"/>
      <c r="S36783" s="178"/>
    </row>
    <row r="36784" spans="18:19">
      <c r="R36784" s="178"/>
      <c r="S36784" s="178"/>
    </row>
    <row r="36785" spans="18:19">
      <c r="R36785" s="178"/>
      <c r="S36785" s="178"/>
    </row>
    <row r="36786" spans="18:19">
      <c r="R36786" s="178"/>
      <c r="S36786" s="178"/>
    </row>
    <row r="36787" spans="18:19">
      <c r="R36787" s="178"/>
      <c r="S36787" s="178"/>
    </row>
    <row r="36788" spans="18:19">
      <c r="R36788" s="178"/>
      <c r="S36788" s="178"/>
    </row>
    <row r="36789" spans="18:19">
      <c r="R36789" s="178"/>
      <c r="S36789" s="178"/>
    </row>
    <row r="36790" spans="18:19">
      <c r="R36790" s="178"/>
      <c r="S36790" s="178"/>
    </row>
    <row r="36791" spans="18:19">
      <c r="R36791" s="178"/>
      <c r="S36791" s="178"/>
    </row>
    <row r="36792" spans="18:19">
      <c r="R36792" s="178"/>
      <c r="S36792" s="178"/>
    </row>
    <row r="36793" spans="18:19">
      <c r="R36793" s="178"/>
      <c r="S36793" s="178"/>
    </row>
    <row r="36794" spans="18:19">
      <c r="R36794" s="178"/>
      <c r="S36794" s="178"/>
    </row>
    <row r="36795" spans="18:19">
      <c r="R36795" s="178"/>
      <c r="S36795" s="178"/>
    </row>
    <row r="36796" spans="18:19">
      <c r="R36796" s="178"/>
      <c r="S36796" s="178"/>
    </row>
    <row r="36797" spans="18:19">
      <c r="R36797" s="178"/>
      <c r="S36797" s="178"/>
    </row>
    <row r="36798" spans="18:19">
      <c r="R36798" s="178"/>
      <c r="S36798" s="178"/>
    </row>
    <row r="36799" spans="18:19">
      <c r="R36799" s="178"/>
      <c r="S36799" s="178"/>
    </row>
    <row r="36800" spans="18:19">
      <c r="R36800" s="178"/>
      <c r="S36800" s="178"/>
    </row>
    <row r="36801" spans="18:19">
      <c r="R36801" s="178"/>
      <c r="S36801" s="178"/>
    </row>
    <row r="36802" spans="18:19">
      <c r="R36802" s="178"/>
      <c r="S36802" s="178"/>
    </row>
    <row r="36803" spans="18:19">
      <c r="R36803" s="178"/>
      <c r="S36803" s="178"/>
    </row>
    <row r="36804" spans="18:19">
      <c r="R36804" s="178"/>
      <c r="S36804" s="178"/>
    </row>
    <row r="36805" spans="18:19">
      <c r="R36805" s="178"/>
      <c r="S36805" s="178"/>
    </row>
    <row r="36806" spans="18:19">
      <c r="R36806" s="178"/>
      <c r="S36806" s="178"/>
    </row>
    <row r="36807" spans="18:19">
      <c r="R36807" s="178"/>
      <c r="S36807" s="178"/>
    </row>
    <row r="36808" spans="18:19">
      <c r="R36808" s="178"/>
      <c r="S36808" s="178"/>
    </row>
    <row r="36809" spans="18:19">
      <c r="R36809" s="178"/>
      <c r="S36809" s="178"/>
    </row>
    <row r="36810" spans="18:19">
      <c r="R36810" s="178"/>
      <c r="S36810" s="178"/>
    </row>
    <row r="36811" spans="18:19">
      <c r="R36811" s="178"/>
      <c r="S36811" s="178"/>
    </row>
    <row r="36812" spans="18:19">
      <c r="R36812" s="178"/>
      <c r="S36812" s="178"/>
    </row>
    <row r="36813" spans="18:19">
      <c r="R36813" s="178"/>
      <c r="S36813" s="178"/>
    </row>
    <row r="36814" spans="18:19">
      <c r="R36814" s="178"/>
      <c r="S36814" s="178"/>
    </row>
    <row r="36815" spans="18:19">
      <c r="R36815" s="178"/>
      <c r="S36815" s="178"/>
    </row>
    <row r="36816" spans="18:19">
      <c r="R36816" s="178"/>
      <c r="S36816" s="178"/>
    </row>
    <row r="36817" spans="18:19">
      <c r="R36817" s="178"/>
      <c r="S36817" s="178"/>
    </row>
    <row r="36818" spans="18:19">
      <c r="R36818" s="178"/>
      <c r="S36818" s="178"/>
    </row>
    <row r="36819" spans="18:19">
      <c r="R36819" s="178"/>
      <c r="S36819" s="178"/>
    </row>
    <row r="36820" spans="18:19">
      <c r="R36820" s="178"/>
      <c r="S36820" s="178"/>
    </row>
    <row r="36821" spans="18:19">
      <c r="R36821" s="178"/>
      <c r="S36821" s="178"/>
    </row>
    <row r="36822" spans="18:19">
      <c r="R36822" s="178"/>
      <c r="S36822" s="178"/>
    </row>
    <row r="36823" spans="18:19">
      <c r="R36823" s="178"/>
      <c r="S36823" s="178"/>
    </row>
    <row r="36824" spans="18:19">
      <c r="R36824" s="178"/>
      <c r="S36824" s="178"/>
    </row>
    <row r="36825" spans="18:19">
      <c r="R36825" s="178"/>
      <c r="S36825" s="178"/>
    </row>
    <row r="36826" spans="18:19">
      <c r="R36826" s="178"/>
      <c r="S36826" s="178"/>
    </row>
    <row r="36827" spans="18:19">
      <c r="R36827" s="178"/>
      <c r="S36827" s="178"/>
    </row>
    <row r="36828" spans="18:19">
      <c r="R36828" s="178"/>
      <c r="S36828" s="178"/>
    </row>
    <row r="36829" spans="18:19">
      <c r="R36829" s="178"/>
      <c r="S36829" s="178"/>
    </row>
    <row r="36830" spans="18:19">
      <c r="R36830" s="178"/>
      <c r="S36830" s="178"/>
    </row>
    <row r="36831" spans="18:19">
      <c r="R36831" s="178"/>
      <c r="S36831" s="178"/>
    </row>
    <row r="36832" spans="18:19">
      <c r="R36832" s="178"/>
      <c r="S36832" s="178"/>
    </row>
    <row r="36833" spans="18:19">
      <c r="R36833" s="178"/>
      <c r="S36833" s="178"/>
    </row>
    <row r="36834" spans="18:19">
      <c r="R36834" s="178"/>
      <c r="S36834" s="178"/>
    </row>
    <row r="36835" spans="18:19">
      <c r="R36835" s="178"/>
      <c r="S36835" s="178"/>
    </row>
    <row r="36836" spans="18:19">
      <c r="R36836" s="178"/>
      <c r="S36836" s="178"/>
    </row>
    <row r="36837" spans="18:19">
      <c r="R36837" s="178"/>
      <c r="S36837" s="178"/>
    </row>
    <row r="36838" spans="18:19">
      <c r="R36838" s="178"/>
      <c r="S36838" s="178"/>
    </row>
    <row r="36839" spans="18:19">
      <c r="R36839" s="178"/>
      <c r="S36839" s="178"/>
    </row>
    <row r="36840" spans="18:19">
      <c r="R36840" s="178"/>
      <c r="S36840" s="178"/>
    </row>
    <row r="36841" spans="18:19">
      <c r="R36841" s="178"/>
      <c r="S36841" s="178"/>
    </row>
    <row r="36842" spans="18:19">
      <c r="R36842" s="178"/>
      <c r="S36842" s="178"/>
    </row>
    <row r="36843" spans="18:19">
      <c r="R36843" s="178"/>
      <c r="S36843" s="178"/>
    </row>
    <row r="36844" spans="18:19">
      <c r="R36844" s="178"/>
      <c r="S36844" s="178"/>
    </row>
    <row r="36845" spans="18:19">
      <c r="R36845" s="178"/>
      <c r="S36845" s="178"/>
    </row>
    <row r="36846" spans="18:19">
      <c r="R36846" s="178"/>
      <c r="S36846" s="178"/>
    </row>
    <row r="36847" spans="18:19">
      <c r="R36847" s="178"/>
      <c r="S36847" s="178"/>
    </row>
    <row r="36848" spans="18:19">
      <c r="R36848" s="178"/>
      <c r="S36848" s="178"/>
    </row>
    <row r="36849" spans="18:19">
      <c r="R36849" s="178"/>
      <c r="S36849" s="178"/>
    </row>
    <row r="36850" spans="18:19">
      <c r="R36850" s="178"/>
      <c r="S36850" s="178"/>
    </row>
    <row r="36851" spans="18:19">
      <c r="R36851" s="178"/>
      <c r="S36851" s="178"/>
    </row>
    <row r="36852" spans="18:19">
      <c r="R36852" s="178"/>
      <c r="S36852" s="178"/>
    </row>
    <row r="36853" spans="18:19">
      <c r="R36853" s="178"/>
      <c r="S36853" s="178"/>
    </row>
    <row r="36854" spans="18:19">
      <c r="R36854" s="178"/>
      <c r="S36854" s="178"/>
    </row>
    <row r="36855" spans="18:19">
      <c r="R36855" s="178"/>
      <c r="S36855" s="178"/>
    </row>
    <row r="36856" spans="18:19">
      <c r="R36856" s="178"/>
      <c r="S36856" s="178"/>
    </row>
    <row r="36857" spans="18:19">
      <c r="R36857" s="178"/>
      <c r="S36857" s="178"/>
    </row>
    <row r="36858" spans="18:19">
      <c r="R36858" s="178"/>
      <c r="S36858" s="178"/>
    </row>
    <row r="36859" spans="18:19">
      <c r="R36859" s="178"/>
      <c r="S36859" s="178"/>
    </row>
    <row r="36860" spans="18:19">
      <c r="R36860" s="178"/>
      <c r="S36860" s="178"/>
    </row>
    <row r="36861" spans="18:19">
      <c r="R36861" s="178"/>
      <c r="S36861" s="178"/>
    </row>
    <row r="36862" spans="18:19">
      <c r="R36862" s="178"/>
      <c r="S36862" s="178"/>
    </row>
    <row r="36863" spans="18:19">
      <c r="R36863" s="178"/>
      <c r="S36863" s="178"/>
    </row>
    <row r="36864" spans="18:19">
      <c r="R36864" s="178"/>
      <c r="S36864" s="178"/>
    </row>
    <row r="36865" spans="18:19">
      <c r="R36865" s="178"/>
      <c r="S36865" s="178"/>
    </row>
    <row r="36866" spans="18:19">
      <c r="R36866" s="178"/>
      <c r="S36866" s="178"/>
    </row>
    <row r="36867" spans="18:19">
      <c r="R36867" s="178"/>
      <c r="S36867" s="178"/>
    </row>
    <row r="36868" spans="18:19">
      <c r="R36868" s="178"/>
      <c r="S36868" s="178"/>
    </row>
    <row r="36869" spans="18:19">
      <c r="R36869" s="178"/>
      <c r="S36869" s="178"/>
    </row>
    <row r="36870" spans="18:19">
      <c r="R36870" s="178"/>
      <c r="S36870" s="178"/>
    </row>
    <row r="36871" spans="18:19">
      <c r="R36871" s="178"/>
      <c r="S36871" s="178"/>
    </row>
    <row r="36872" spans="18:19">
      <c r="R36872" s="178"/>
      <c r="S36872" s="178"/>
    </row>
    <row r="36873" spans="18:19">
      <c r="R36873" s="178"/>
      <c r="S36873" s="178"/>
    </row>
    <row r="36874" spans="18:19">
      <c r="R36874" s="178"/>
      <c r="S36874" s="178"/>
    </row>
    <row r="36875" spans="18:19">
      <c r="R36875" s="178"/>
      <c r="S36875" s="178"/>
    </row>
    <row r="36876" spans="18:19">
      <c r="R36876" s="178"/>
      <c r="S36876" s="178"/>
    </row>
    <row r="36877" spans="18:19">
      <c r="R36877" s="178"/>
      <c r="S36877" s="178"/>
    </row>
    <row r="36878" spans="18:19">
      <c r="R36878" s="178"/>
      <c r="S36878" s="178"/>
    </row>
    <row r="36879" spans="18:19">
      <c r="R36879" s="178"/>
      <c r="S36879" s="178"/>
    </row>
    <row r="36880" spans="18:19">
      <c r="R36880" s="178"/>
      <c r="S36880" s="178"/>
    </row>
    <row r="36881" spans="18:19">
      <c r="R36881" s="178"/>
      <c r="S36881" s="178"/>
    </row>
    <row r="36882" spans="18:19">
      <c r="R36882" s="178"/>
      <c r="S36882" s="178"/>
    </row>
    <row r="36883" spans="18:19">
      <c r="R36883" s="178"/>
      <c r="S36883" s="178"/>
    </row>
    <row r="36884" spans="18:19">
      <c r="R36884" s="178"/>
      <c r="S36884" s="178"/>
    </row>
    <row r="36885" spans="18:19">
      <c r="R36885" s="178"/>
      <c r="S36885" s="178"/>
    </row>
    <row r="36886" spans="18:19">
      <c r="R36886" s="178"/>
      <c r="S36886" s="178"/>
    </row>
    <row r="36887" spans="18:19">
      <c r="R36887" s="178"/>
      <c r="S36887" s="178"/>
    </row>
    <row r="36888" spans="18:19">
      <c r="R36888" s="178"/>
      <c r="S36888" s="178"/>
    </row>
    <row r="36889" spans="18:19">
      <c r="R36889" s="178"/>
      <c r="S36889" s="178"/>
    </row>
    <row r="36890" spans="18:19">
      <c r="R36890" s="178"/>
      <c r="S36890" s="178"/>
    </row>
    <row r="36891" spans="18:19">
      <c r="R36891" s="178"/>
      <c r="S36891" s="178"/>
    </row>
    <row r="36892" spans="18:19">
      <c r="R36892" s="178"/>
      <c r="S36892" s="178"/>
    </row>
    <row r="36893" spans="18:19">
      <c r="R36893" s="178"/>
      <c r="S36893" s="178"/>
    </row>
    <row r="36894" spans="18:19">
      <c r="R36894" s="178"/>
      <c r="S36894" s="178"/>
    </row>
    <row r="36895" spans="18:19">
      <c r="R36895" s="178"/>
      <c r="S36895" s="178"/>
    </row>
    <row r="36896" spans="18:19">
      <c r="R36896" s="178"/>
      <c r="S36896" s="178"/>
    </row>
    <row r="36897" spans="18:19">
      <c r="R36897" s="178"/>
      <c r="S36897" s="178"/>
    </row>
    <row r="36898" spans="18:19">
      <c r="R36898" s="178"/>
      <c r="S36898" s="178"/>
    </row>
    <row r="36899" spans="18:19">
      <c r="R36899" s="178"/>
      <c r="S36899" s="178"/>
    </row>
    <row r="36900" spans="18:19">
      <c r="R36900" s="178"/>
      <c r="S36900" s="178"/>
    </row>
    <row r="36901" spans="18:19">
      <c r="R36901" s="178"/>
      <c r="S36901" s="178"/>
    </row>
    <row r="36902" spans="18:19">
      <c r="R36902" s="178"/>
      <c r="S36902" s="178"/>
    </row>
    <row r="36903" spans="18:19">
      <c r="R36903" s="178"/>
      <c r="S36903" s="178"/>
    </row>
    <row r="36904" spans="18:19">
      <c r="R36904" s="178"/>
      <c r="S36904" s="178"/>
    </row>
    <row r="36905" spans="18:19">
      <c r="R36905" s="178"/>
      <c r="S36905" s="178"/>
    </row>
    <row r="36906" spans="18:19">
      <c r="R36906" s="178"/>
      <c r="S36906" s="178"/>
    </row>
    <row r="36907" spans="18:19">
      <c r="R36907" s="178"/>
      <c r="S36907" s="178"/>
    </row>
    <row r="36908" spans="18:19">
      <c r="R36908" s="178"/>
      <c r="S36908" s="178"/>
    </row>
    <row r="36909" spans="18:19">
      <c r="R36909" s="178"/>
      <c r="S36909" s="178"/>
    </row>
    <row r="36910" spans="18:19">
      <c r="R36910" s="178"/>
      <c r="S36910" s="178"/>
    </row>
    <row r="36911" spans="18:19">
      <c r="R36911" s="178"/>
      <c r="S36911" s="178"/>
    </row>
    <row r="36912" spans="18:19">
      <c r="R36912" s="178"/>
      <c r="S36912" s="178"/>
    </row>
    <row r="36913" spans="18:19">
      <c r="R36913" s="178"/>
      <c r="S36913" s="178"/>
    </row>
    <row r="36914" spans="18:19">
      <c r="R36914" s="178"/>
      <c r="S36914" s="178"/>
    </row>
    <row r="36915" spans="18:19">
      <c r="R36915" s="178"/>
      <c r="S36915" s="178"/>
    </row>
    <row r="36916" spans="18:19">
      <c r="R36916" s="178"/>
      <c r="S36916" s="178"/>
    </row>
    <row r="36917" spans="18:19">
      <c r="R36917" s="178"/>
      <c r="S36917" s="178"/>
    </row>
    <row r="36918" spans="18:19">
      <c r="R36918" s="178"/>
      <c r="S36918" s="178"/>
    </row>
    <row r="36919" spans="18:19">
      <c r="R36919" s="178"/>
      <c r="S36919" s="178"/>
    </row>
    <row r="36920" spans="18:19">
      <c r="R36920" s="178"/>
      <c r="S36920" s="178"/>
    </row>
    <row r="36921" spans="18:19">
      <c r="R36921" s="178"/>
      <c r="S36921" s="178"/>
    </row>
    <row r="36922" spans="18:19">
      <c r="R36922" s="178"/>
      <c r="S36922" s="178"/>
    </row>
    <row r="36923" spans="18:19">
      <c r="R36923" s="178"/>
      <c r="S36923" s="178"/>
    </row>
    <row r="36924" spans="18:19">
      <c r="R36924" s="178"/>
      <c r="S36924" s="178"/>
    </row>
    <row r="36925" spans="18:19">
      <c r="R36925" s="178"/>
      <c r="S36925" s="178"/>
    </row>
    <row r="36926" spans="18:19">
      <c r="R36926" s="178"/>
      <c r="S36926" s="178"/>
    </row>
    <row r="36927" spans="18:19">
      <c r="R36927" s="178"/>
      <c r="S36927" s="178"/>
    </row>
    <row r="36928" spans="18:19">
      <c r="R36928" s="178"/>
      <c r="S36928" s="178"/>
    </row>
    <row r="36929" spans="18:19">
      <c r="R36929" s="178"/>
      <c r="S36929" s="178"/>
    </row>
    <row r="36930" spans="18:19">
      <c r="R36930" s="178"/>
      <c r="S36930" s="178"/>
    </row>
    <row r="36931" spans="18:19">
      <c r="R36931" s="178"/>
      <c r="S36931" s="178"/>
    </row>
    <row r="36932" spans="18:19">
      <c r="R36932" s="178"/>
      <c r="S36932" s="178"/>
    </row>
    <row r="36933" spans="18:19">
      <c r="R36933" s="178"/>
      <c r="S36933" s="178"/>
    </row>
    <row r="36934" spans="18:19">
      <c r="R36934" s="178"/>
      <c r="S36934" s="178"/>
    </row>
    <row r="36935" spans="18:19">
      <c r="R36935" s="178"/>
      <c r="S36935" s="178"/>
    </row>
    <row r="36936" spans="18:19">
      <c r="R36936" s="178"/>
      <c r="S36936" s="178"/>
    </row>
    <row r="36937" spans="18:19">
      <c r="R36937" s="178"/>
      <c r="S36937" s="178"/>
    </row>
    <row r="36938" spans="18:19">
      <c r="R36938" s="178"/>
      <c r="S36938" s="178"/>
    </row>
    <row r="36939" spans="18:19">
      <c r="R36939" s="178"/>
      <c r="S36939" s="178"/>
    </row>
    <row r="36940" spans="18:19">
      <c r="R36940" s="178"/>
      <c r="S36940" s="178"/>
    </row>
    <row r="36941" spans="18:19">
      <c r="R36941" s="178"/>
      <c r="S36941" s="178"/>
    </row>
    <row r="36942" spans="18:19">
      <c r="R36942" s="178"/>
      <c r="S36942" s="178"/>
    </row>
    <row r="36943" spans="18:19">
      <c r="R36943" s="178"/>
      <c r="S36943" s="178"/>
    </row>
    <row r="36944" spans="18:19">
      <c r="R36944" s="178"/>
      <c r="S36944" s="178"/>
    </row>
    <row r="36945" spans="18:19">
      <c r="R36945" s="178"/>
      <c r="S36945" s="178"/>
    </row>
    <row r="36946" spans="18:19">
      <c r="R36946" s="178"/>
      <c r="S36946" s="178"/>
    </row>
    <row r="36947" spans="18:19">
      <c r="R36947" s="178"/>
      <c r="S36947" s="178"/>
    </row>
    <row r="36948" spans="18:19">
      <c r="R36948" s="178"/>
      <c r="S36948" s="178"/>
    </row>
    <row r="36949" spans="18:19">
      <c r="R36949" s="178"/>
      <c r="S36949" s="178"/>
    </row>
    <row r="36950" spans="18:19">
      <c r="R36950" s="178"/>
      <c r="S36950" s="178"/>
    </row>
    <row r="36951" spans="18:19">
      <c r="R36951" s="178"/>
      <c r="S36951" s="178"/>
    </row>
    <row r="36952" spans="18:19">
      <c r="R36952" s="178"/>
      <c r="S36952" s="178"/>
    </row>
    <row r="36953" spans="18:19">
      <c r="R36953" s="178"/>
      <c r="S36953" s="178"/>
    </row>
    <row r="36954" spans="18:19">
      <c r="R36954" s="178"/>
      <c r="S36954" s="178"/>
    </row>
    <row r="36955" spans="18:19">
      <c r="R36955" s="178"/>
      <c r="S36955" s="178"/>
    </row>
    <row r="36956" spans="18:19">
      <c r="R36956" s="178"/>
      <c r="S36956" s="178"/>
    </row>
    <row r="36957" spans="18:19">
      <c r="R36957" s="178"/>
      <c r="S36957" s="178"/>
    </row>
    <row r="36958" spans="18:19">
      <c r="R36958" s="178"/>
      <c r="S36958" s="178"/>
    </row>
    <row r="36959" spans="18:19">
      <c r="R36959" s="178"/>
      <c r="S36959" s="178"/>
    </row>
    <row r="36960" spans="18:19">
      <c r="R36960" s="178"/>
      <c r="S36960" s="178"/>
    </row>
    <row r="36961" spans="18:19">
      <c r="R36961" s="178"/>
      <c r="S36961" s="178"/>
    </row>
    <row r="36962" spans="18:19">
      <c r="R36962" s="178"/>
      <c r="S36962" s="178"/>
    </row>
    <row r="36963" spans="18:19">
      <c r="R36963" s="178"/>
      <c r="S36963" s="178"/>
    </row>
    <row r="36964" spans="18:19">
      <c r="R36964" s="178"/>
      <c r="S36964" s="178"/>
    </row>
    <row r="36965" spans="18:19">
      <c r="R36965" s="178"/>
      <c r="S36965" s="178"/>
    </row>
    <row r="36966" spans="18:19">
      <c r="R36966" s="178"/>
      <c r="S36966" s="178"/>
    </row>
    <row r="36967" spans="18:19">
      <c r="R36967" s="178"/>
      <c r="S36967" s="178"/>
    </row>
    <row r="36968" spans="18:19">
      <c r="R36968" s="178"/>
      <c r="S36968" s="178"/>
    </row>
    <row r="36969" spans="18:19">
      <c r="R36969" s="178"/>
      <c r="S36969" s="178"/>
    </row>
    <row r="36970" spans="18:19">
      <c r="R36970" s="178"/>
      <c r="S36970" s="178"/>
    </row>
    <row r="36971" spans="18:19">
      <c r="R36971" s="178"/>
      <c r="S36971" s="178"/>
    </row>
    <row r="36972" spans="18:19">
      <c r="R36972" s="178"/>
      <c r="S36972" s="178"/>
    </row>
    <row r="36973" spans="18:19">
      <c r="R36973" s="178"/>
      <c r="S36973" s="178"/>
    </row>
    <row r="36974" spans="18:19">
      <c r="R36974" s="178"/>
      <c r="S36974" s="178"/>
    </row>
    <row r="36975" spans="18:19">
      <c r="R36975" s="178"/>
      <c r="S36975" s="178"/>
    </row>
    <row r="36976" spans="18:19">
      <c r="R36976" s="178"/>
      <c r="S36976" s="178"/>
    </row>
    <row r="36977" spans="18:19">
      <c r="R36977" s="178"/>
      <c r="S36977" s="178"/>
    </row>
    <row r="36978" spans="18:19">
      <c r="R36978" s="178"/>
      <c r="S36978" s="178"/>
    </row>
    <row r="36979" spans="18:19">
      <c r="R36979" s="178"/>
      <c r="S36979" s="178"/>
    </row>
    <row r="36980" spans="18:19">
      <c r="R36980" s="178"/>
      <c r="S36980" s="178"/>
    </row>
    <row r="36981" spans="18:19">
      <c r="R36981" s="178"/>
      <c r="S36981" s="178"/>
    </row>
    <row r="36982" spans="18:19">
      <c r="R36982" s="178"/>
      <c r="S36982" s="178"/>
    </row>
    <row r="36983" spans="18:19">
      <c r="R36983" s="178"/>
      <c r="S36983" s="178"/>
    </row>
    <row r="36984" spans="18:19">
      <c r="R36984" s="178"/>
      <c r="S36984" s="178"/>
    </row>
    <row r="36985" spans="18:19">
      <c r="R36985" s="178"/>
      <c r="S36985" s="178"/>
    </row>
    <row r="36986" spans="18:19">
      <c r="R36986" s="178"/>
      <c r="S36986" s="178"/>
    </row>
    <row r="36987" spans="18:19">
      <c r="R36987" s="178"/>
      <c r="S36987" s="178"/>
    </row>
    <row r="36988" spans="18:19">
      <c r="R36988" s="178"/>
      <c r="S36988" s="178"/>
    </row>
    <row r="36989" spans="18:19">
      <c r="R36989" s="178"/>
      <c r="S36989" s="178"/>
    </row>
    <row r="36990" spans="18:19">
      <c r="R36990" s="178"/>
      <c r="S36990" s="178"/>
    </row>
    <row r="36991" spans="18:19">
      <c r="R36991" s="178"/>
      <c r="S36991" s="178"/>
    </row>
    <row r="36992" spans="18:19">
      <c r="R36992" s="178"/>
      <c r="S36992" s="178"/>
    </row>
    <row r="36993" spans="18:19">
      <c r="R36993" s="178"/>
      <c r="S36993" s="178"/>
    </row>
    <row r="36994" spans="18:19">
      <c r="R36994" s="178"/>
      <c r="S36994" s="178"/>
    </row>
    <row r="36995" spans="18:19">
      <c r="R36995" s="178"/>
      <c r="S36995" s="178"/>
    </row>
    <row r="36996" spans="18:19">
      <c r="R36996" s="178"/>
      <c r="S36996" s="178"/>
    </row>
    <row r="36997" spans="18:19">
      <c r="R36997" s="178"/>
      <c r="S36997" s="178"/>
    </row>
    <row r="36998" spans="18:19">
      <c r="R36998" s="178"/>
      <c r="S36998" s="178"/>
    </row>
    <row r="36999" spans="18:19">
      <c r="R36999" s="178"/>
      <c r="S36999" s="178"/>
    </row>
    <row r="37000" spans="18:19">
      <c r="R37000" s="178"/>
      <c r="S37000" s="178"/>
    </row>
    <row r="37001" spans="18:19">
      <c r="R37001" s="178"/>
      <c r="S37001" s="178"/>
    </row>
    <row r="37002" spans="18:19">
      <c r="R37002" s="178"/>
      <c r="S37002" s="178"/>
    </row>
    <row r="37003" spans="18:19">
      <c r="R37003" s="178"/>
      <c r="S37003" s="178"/>
    </row>
    <row r="37004" spans="18:19">
      <c r="R37004" s="178"/>
      <c r="S37004" s="178"/>
    </row>
    <row r="37005" spans="18:19">
      <c r="R37005" s="178"/>
      <c r="S37005" s="178"/>
    </row>
    <row r="37006" spans="18:19">
      <c r="R37006" s="178"/>
      <c r="S37006" s="178"/>
    </row>
    <row r="37007" spans="18:19">
      <c r="R37007" s="178"/>
      <c r="S37007" s="178"/>
    </row>
    <row r="37008" spans="18:19">
      <c r="R37008" s="178"/>
      <c r="S37008" s="178"/>
    </row>
    <row r="37009" spans="18:19">
      <c r="R37009" s="178"/>
      <c r="S37009" s="178"/>
    </row>
    <row r="37010" spans="18:19">
      <c r="R37010" s="178"/>
      <c r="S37010" s="178"/>
    </row>
    <row r="37011" spans="18:19">
      <c r="R37011" s="178"/>
      <c r="S37011" s="178"/>
    </row>
    <row r="37012" spans="18:19">
      <c r="R37012" s="178"/>
      <c r="S37012" s="178"/>
    </row>
    <row r="37013" spans="18:19">
      <c r="R37013" s="178"/>
      <c r="S37013" s="178"/>
    </row>
    <row r="37014" spans="18:19">
      <c r="R37014" s="178"/>
      <c r="S37014" s="178"/>
    </row>
    <row r="37015" spans="18:19">
      <c r="R37015" s="178"/>
      <c r="S37015" s="178"/>
    </row>
    <row r="37016" spans="18:19">
      <c r="R37016" s="178"/>
      <c r="S37016" s="178"/>
    </row>
    <row r="37017" spans="18:19">
      <c r="R37017" s="178"/>
      <c r="S37017" s="178"/>
    </row>
    <row r="37018" spans="18:19">
      <c r="R37018" s="178"/>
      <c r="S37018" s="178"/>
    </row>
    <row r="37019" spans="18:19">
      <c r="R37019" s="178"/>
      <c r="S37019" s="178"/>
    </row>
    <row r="37020" spans="18:19">
      <c r="R37020" s="178"/>
      <c r="S37020" s="178"/>
    </row>
    <row r="37021" spans="18:19">
      <c r="R37021" s="178"/>
      <c r="S37021" s="178"/>
    </row>
    <row r="37022" spans="18:19">
      <c r="R37022" s="178"/>
      <c r="S37022" s="178"/>
    </row>
    <row r="37023" spans="18:19">
      <c r="R37023" s="178"/>
      <c r="S37023" s="178"/>
    </row>
    <row r="37024" spans="18:19">
      <c r="R37024" s="178"/>
      <c r="S37024" s="178"/>
    </row>
    <row r="37025" spans="18:19">
      <c r="R37025" s="178"/>
      <c r="S37025" s="178"/>
    </row>
    <row r="37026" spans="18:19">
      <c r="R37026" s="178"/>
      <c r="S37026" s="178"/>
    </row>
    <row r="37027" spans="18:19">
      <c r="R37027" s="178"/>
      <c r="S37027" s="178"/>
    </row>
    <row r="37028" spans="18:19">
      <c r="R37028" s="178"/>
      <c r="S37028" s="178"/>
    </row>
    <row r="37029" spans="18:19">
      <c r="R37029" s="178"/>
      <c r="S37029" s="178"/>
    </row>
    <row r="37030" spans="18:19">
      <c r="R37030" s="178"/>
      <c r="S37030" s="178"/>
    </row>
    <row r="37031" spans="18:19">
      <c r="R37031" s="178"/>
      <c r="S37031" s="178"/>
    </row>
    <row r="37032" spans="18:19">
      <c r="R37032" s="178"/>
      <c r="S37032" s="178"/>
    </row>
    <row r="37033" spans="18:19">
      <c r="R37033" s="178"/>
      <c r="S37033" s="178"/>
    </row>
    <row r="37034" spans="18:19">
      <c r="R37034" s="178"/>
      <c r="S37034" s="178"/>
    </row>
    <row r="37035" spans="18:19">
      <c r="R37035" s="178"/>
      <c r="S37035" s="178"/>
    </row>
    <row r="37036" spans="18:19">
      <c r="R37036" s="178"/>
      <c r="S37036" s="178"/>
    </row>
    <row r="37037" spans="18:19">
      <c r="R37037" s="178"/>
      <c r="S37037" s="178"/>
    </row>
    <row r="37038" spans="18:19">
      <c r="R37038" s="178"/>
      <c r="S37038" s="178"/>
    </row>
    <row r="37039" spans="18:19">
      <c r="R37039" s="178"/>
      <c r="S37039" s="178"/>
    </row>
    <row r="37040" spans="18:19">
      <c r="R37040" s="178"/>
      <c r="S37040" s="178"/>
    </row>
    <row r="37041" spans="18:19">
      <c r="R37041" s="178"/>
      <c r="S37041" s="178"/>
    </row>
    <row r="37042" spans="18:19">
      <c r="R37042" s="178"/>
      <c r="S37042" s="178"/>
    </row>
    <row r="37043" spans="18:19">
      <c r="R37043" s="178"/>
      <c r="S37043" s="178"/>
    </row>
    <row r="37044" spans="18:19">
      <c r="R37044" s="178"/>
      <c r="S37044" s="178"/>
    </row>
    <row r="37045" spans="18:19">
      <c r="R37045" s="178"/>
      <c r="S37045" s="178"/>
    </row>
    <row r="37046" spans="18:19">
      <c r="R37046" s="178"/>
      <c r="S37046" s="178"/>
    </row>
    <row r="37047" spans="18:19">
      <c r="R37047" s="178"/>
      <c r="S37047" s="178"/>
    </row>
    <row r="37048" spans="18:19">
      <c r="R37048" s="178"/>
      <c r="S37048" s="178"/>
    </row>
    <row r="37049" spans="18:19">
      <c r="R37049" s="178"/>
      <c r="S37049" s="178"/>
    </row>
    <row r="37050" spans="18:19">
      <c r="R37050" s="178"/>
      <c r="S37050" s="178"/>
    </row>
    <row r="37051" spans="18:19">
      <c r="R37051" s="178"/>
      <c r="S37051" s="178"/>
    </row>
    <row r="37052" spans="18:19">
      <c r="R37052" s="178"/>
      <c r="S37052" s="178"/>
    </row>
    <row r="37053" spans="18:19">
      <c r="R37053" s="178"/>
      <c r="S37053" s="178"/>
    </row>
    <row r="37054" spans="18:19">
      <c r="R37054" s="178"/>
      <c r="S37054" s="178"/>
    </row>
    <row r="37055" spans="18:19">
      <c r="R37055" s="178"/>
      <c r="S37055" s="178"/>
    </row>
    <row r="37056" spans="18:19">
      <c r="R37056" s="178"/>
      <c r="S37056" s="178"/>
    </row>
    <row r="37057" spans="18:19">
      <c r="R37057" s="178"/>
      <c r="S37057" s="178"/>
    </row>
    <row r="37058" spans="18:19">
      <c r="R37058" s="178"/>
      <c r="S37058" s="178"/>
    </row>
    <row r="37059" spans="18:19">
      <c r="R37059" s="178"/>
      <c r="S37059" s="178"/>
    </row>
    <row r="37060" spans="18:19">
      <c r="R37060" s="178"/>
      <c r="S37060" s="178"/>
    </row>
    <row r="37061" spans="18:19">
      <c r="R37061" s="178"/>
      <c r="S37061" s="178"/>
    </row>
    <row r="37062" spans="18:19">
      <c r="R37062" s="178"/>
      <c r="S37062" s="178"/>
    </row>
    <row r="37063" spans="18:19">
      <c r="R37063" s="178"/>
      <c r="S37063" s="178"/>
    </row>
    <row r="37064" spans="18:19">
      <c r="R37064" s="178"/>
      <c r="S37064" s="178"/>
    </row>
    <row r="37065" spans="18:19">
      <c r="R37065" s="178"/>
      <c r="S37065" s="178"/>
    </row>
    <row r="37066" spans="18:19">
      <c r="R37066" s="178"/>
      <c r="S37066" s="178"/>
    </row>
    <row r="37067" spans="18:19">
      <c r="R37067" s="178"/>
      <c r="S37067" s="178"/>
    </row>
    <row r="37068" spans="18:19">
      <c r="R37068" s="178"/>
      <c r="S37068" s="178"/>
    </row>
    <row r="37069" spans="18:19">
      <c r="R37069" s="178"/>
      <c r="S37069" s="178"/>
    </row>
    <row r="37070" spans="18:19">
      <c r="R37070" s="178"/>
      <c r="S37070" s="178"/>
    </row>
    <row r="37071" spans="18:19">
      <c r="R37071" s="178"/>
      <c r="S37071" s="178"/>
    </row>
    <row r="37072" spans="18:19">
      <c r="R37072" s="178"/>
      <c r="S37072" s="178"/>
    </row>
    <row r="37073" spans="18:19">
      <c r="R37073" s="178"/>
      <c r="S37073" s="178"/>
    </row>
    <row r="37074" spans="18:19">
      <c r="R37074" s="178"/>
      <c r="S37074" s="178"/>
    </row>
    <row r="37075" spans="18:19">
      <c r="R37075" s="178"/>
      <c r="S37075" s="178"/>
    </row>
    <row r="37076" spans="18:19">
      <c r="R37076" s="178"/>
      <c r="S37076" s="178"/>
    </row>
    <row r="37077" spans="18:19">
      <c r="R37077" s="178"/>
      <c r="S37077" s="178"/>
    </row>
    <row r="37078" spans="18:19">
      <c r="R37078" s="178"/>
      <c r="S37078" s="178"/>
    </row>
    <row r="37079" spans="18:19">
      <c r="R37079" s="178"/>
      <c r="S37079" s="178"/>
    </row>
    <row r="37080" spans="18:19">
      <c r="R37080" s="178"/>
      <c r="S37080" s="178"/>
    </row>
    <row r="37081" spans="18:19">
      <c r="R37081" s="178"/>
      <c r="S37081" s="178"/>
    </row>
    <row r="37082" spans="18:19">
      <c r="R37082" s="178"/>
      <c r="S37082" s="178"/>
    </row>
    <row r="37083" spans="18:19">
      <c r="R37083" s="178"/>
      <c r="S37083" s="178"/>
    </row>
    <row r="37084" spans="18:19">
      <c r="R37084" s="178"/>
      <c r="S37084" s="178"/>
    </row>
    <row r="37085" spans="18:19">
      <c r="R37085" s="178"/>
      <c r="S37085" s="178"/>
    </row>
    <row r="37086" spans="18:19">
      <c r="R37086" s="178"/>
      <c r="S37086" s="178"/>
    </row>
    <row r="37087" spans="18:19">
      <c r="R37087" s="178"/>
      <c r="S37087" s="178"/>
    </row>
    <row r="37088" spans="18:19">
      <c r="R37088" s="178"/>
      <c r="S37088" s="178"/>
    </row>
    <row r="37089" spans="18:19">
      <c r="R37089" s="178"/>
      <c r="S37089" s="178"/>
    </row>
    <row r="37090" spans="18:19">
      <c r="R37090" s="178"/>
      <c r="S37090" s="178"/>
    </row>
    <row r="37091" spans="18:19">
      <c r="R37091" s="178"/>
      <c r="S37091" s="178"/>
    </row>
    <row r="37092" spans="18:19">
      <c r="R37092" s="178"/>
      <c r="S37092" s="178"/>
    </row>
    <row r="37093" spans="18:19">
      <c r="R37093" s="178"/>
      <c r="S37093" s="178"/>
    </row>
    <row r="37094" spans="18:19">
      <c r="R37094" s="178"/>
      <c r="S37094" s="178"/>
    </row>
    <row r="37095" spans="18:19">
      <c r="R37095" s="178"/>
      <c r="S37095" s="178"/>
    </row>
    <row r="37096" spans="18:19">
      <c r="R37096" s="178"/>
      <c r="S37096" s="178"/>
    </row>
    <row r="37097" spans="18:19">
      <c r="R37097" s="178"/>
      <c r="S37097" s="178"/>
    </row>
    <row r="37098" spans="18:19">
      <c r="R37098" s="178"/>
      <c r="S37098" s="178"/>
    </row>
    <row r="37099" spans="18:19">
      <c r="R37099" s="178"/>
      <c r="S37099" s="178"/>
    </row>
    <row r="37100" spans="18:19">
      <c r="R37100" s="178"/>
      <c r="S37100" s="178"/>
    </row>
    <row r="37101" spans="18:19">
      <c r="R37101" s="178"/>
      <c r="S37101" s="178"/>
    </row>
    <row r="37102" spans="18:19">
      <c r="R37102" s="178"/>
      <c r="S37102" s="178"/>
    </row>
    <row r="37103" spans="18:19">
      <c r="R37103" s="178"/>
      <c r="S37103" s="178"/>
    </row>
    <row r="37104" spans="18:19">
      <c r="R37104" s="178"/>
      <c r="S37104" s="178"/>
    </row>
    <row r="37105" spans="18:19">
      <c r="R37105" s="178"/>
      <c r="S37105" s="178"/>
    </row>
    <row r="37106" spans="18:19">
      <c r="R37106" s="178"/>
      <c r="S37106" s="178"/>
    </row>
    <row r="37107" spans="18:19">
      <c r="R37107" s="178"/>
      <c r="S37107" s="178"/>
    </row>
    <row r="37108" spans="18:19">
      <c r="R37108" s="178"/>
      <c r="S37108" s="178"/>
    </row>
    <row r="37109" spans="18:19">
      <c r="R37109" s="178"/>
      <c r="S37109" s="178"/>
    </row>
    <row r="37110" spans="18:19">
      <c r="R37110" s="178"/>
      <c r="S37110" s="178"/>
    </row>
    <row r="37111" spans="18:19">
      <c r="R37111" s="178"/>
      <c r="S37111" s="178"/>
    </row>
    <row r="37112" spans="18:19">
      <c r="R37112" s="178"/>
      <c r="S37112" s="178"/>
    </row>
    <row r="37113" spans="18:19">
      <c r="R37113" s="178"/>
      <c r="S37113" s="178"/>
    </row>
    <row r="37114" spans="18:19">
      <c r="R37114" s="178"/>
      <c r="S37114" s="178"/>
    </row>
    <row r="37115" spans="18:19">
      <c r="R37115" s="178"/>
      <c r="S37115" s="178"/>
    </row>
    <row r="37116" spans="18:19">
      <c r="R37116" s="178"/>
      <c r="S37116" s="178"/>
    </row>
    <row r="37117" spans="18:19">
      <c r="R37117" s="178"/>
      <c r="S37117" s="178"/>
    </row>
    <row r="37118" spans="18:19">
      <c r="R37118" s="178"/>
      <c r="S37118" s="178"/>
    </row>
    <row r="37119" spans="18:19">
      <c r="R37119" s="178"/>
      <c r="S37119" s="178"/>
    </row>
    <row r="37120" spans="18:19">
      <c r="R37120" s="178"/>
      <c r="S37120" s="178"/>
    </row>
    <row r="37121" spans="18:19">
      <c r="R37121" s="178"/>
      <c r="S37121" s="178"/>
    </row>
    <row r="37122" spans="18:19">
      <c r="R37122" s="178"/>
      <c r="S37122" s="178"/>
    </row>
    <row r="37123" spans="18:19">
      <c r="R37123" s="178"/>
      <c r="S37123" s="178"/>
    </row>
    <row r="37124" spans="18:19">
      <c r="R37124" s="178"/>
      <c r="S37124" s="178"/>
    </row>
    <row r="37125" spans="18:19">
      <c r="R37125" s="178"/>
      <c r="S37125" s="178"/>
    </row>
    <row r="37126" spans="18:19">
      <c r="R37126" s="178"/>
      <c r="S37126" s="178"/>
    </row>
    <row r="37127" spans="18:19">
      <c r="R37127" s="178"/>
      <c r="S37127" s="178"/>
    </row>
    <row r="37128" spans="18:19">
      <c r="R37128" s="178"/>
      <c r="S37128" s="178"/>
    </row>
    <row r="37129" spans="18:19">
      <c r="R37129" s="178"/>
      <c r="S37129" s="178"/>
    </row>
    <row r="37130" spans="18:19">
      <c r="R37130" s="178"/>
      <c r="S37130" s="178"/>
    </row>
    <row r="37131" spans="18:19">
      <c r="R37131" s="178"/>
      <c r="S37131" s="178"/>
    </row>
    <row r="37132" spans="18:19">
      <c r="R37132" s="178"/>
      <c r="S37132" s="178"/>
    </row>
    <row r="37133" spans="18:19">
      <c r="R37133" s="178"/>
      <c r="S37133" s="178"/>
    </row>
    <row r="37134" spans="18:19">
      <c r="R37134" s="178"/>
      <c r="S37134" s="178"/>
    </row>
    <row r="37135" spans="18:19">
      <c r="R37135" s="178"/>
      <c r="S37135" s="178"/>
    </row>
    <row r="37136" spans="18:19">
      <c r="R37136" s="178"/>
      <c r="S37136" s="178"/>
    </row>
    <row r="37137" spans="18:19">
      <c r="R37137" s="178"/>
      <c r="S37137" s="178"/>
    </row>
    <row r="37138" spans="18:19">
      <c r="R37138" s="178"/>
      <c r="S37138" s="178"/>
    </row>
    <row r="37139" spans="18:19">
      <c r="R37139" s="178"/>
      <c r="S37139" s="178"/>
    </row>
    <row r="37140" spans="18:19">
      <c r="R37140" s="178"/>
      <c r="S37140" s="178"/>
    </row>
    <row r="37141" spans="18:19">
      <c r="R37141" s="178"/>
      <c r="S37141" s="178"/>
    </row>
    <row r="37142" spans="18:19">
      <c r="R37142" s="178"/>
      <c r="S37142" s="178"/>
    </row>
    <row r="37143" spans="18:19">
      <c r="R37143" s="178"/>
      <c r="S37143" s="178"/>
    </row>
    <row r="37144" spans="18:19">
      <c r="R37144" s="178"/>
      <c r="S37144" s="178"/>
    </row>
    <row r="37145" spans="18:19">
      <c r="R37145" s="178"/>
      <c r="S37145" s="178"/>
    </row>
    <row r="37146" spans="18:19">
      <c r="R37146" s="178"/>
      <c r="S37146" s="178"/>
    </row>
    <row r="37147" spans="18:19">
      <c r="R37147" s="178"/>
      <c r="S37147" s="178"/>
    </row>
    <row r="37148" spans="18:19">
      <c r="R37148" s="178"/>
      <c r="S37148" s="178"/>
    </row>
    <row r="37149" spans="18:19">
      <c r="R37149" s="178"/>
      <c r="S37149" s="178"/>
    </row>
    <row r="37150" spans="18:19">
      <c r="R37150" s="178"/>
      <c r="S37150" s="178"/>
    </row>
    <row r="37151" spans="18:19">
      <c r="R37151" s="178"/>
      <c r="S37151" s="178"/>
    </row>
    <row r="37152" spans="18:19">
      <c r="R37152" s="178"/>
      <c r="S37152" s="178"/>
    </row>
    <row r="37153" spans="18:19">
      <c r="R37153" s="178"/>
      <c r="S37153" s="178"/>
    </row>
    <row r="37154" spans="18:19">
      <c r="R37154" s="178"/>
      <c r="S37154" s="178"/>
    </row>
    <row r="37155" spans="18:19">
      <c r="R37155" s="178"/>
      <c r="S37155" s="178"/>
    </row>
    <row r="37156" spans="18:19">
      <c r="R37156" s="178"/>
      <c r="S37156" s="178"/>
    </row>
    <row r="37157" spans="18:19">
      <c r="R37157" s="178"/>
      <c r="S37157" s="178"/>
    </row>
    <row r="37158" spans="18:19">
      <c r="R37158" s="178"/>
      <c r="S37158" s="178"/>
    </row>
    <row r="37159" spans="18:19">
      <c r="R37159" s="178"/>
      <c r="S37159" s="178"/>
    </row>
    <row r="37160" spans="18:19">
      <c r="R37160" s="178"/>
      <c r="S37160" s="178"/>
    </row>
    <row r="37161" spans="18:19">
      <c r="R37161" s="178"/>
      <c r="S37161" s="178"/>
    </row>
    <row r="37162" spans="18:19">
      <c r="R37162" s="178"/>
      <c r="S37162" s="178"/>
    </row>
    <row r="37163" spans="18:19">
      <c r="R37163" s="178"/>
      <c r="S37163" s="178"/>
    </row>
    <row r="37164" spans="18:19">
      <c r="R37164" s="178"/>
      <c r="S37164" s="178"/>
    </row>
    <row r="37165" spans="18:19">
      <c r="R37165" s="178"/>
      <c r="S37165" s="178"/>
    </row>
    <row r="37166" spans="18:19">
      <c r="R37166" s="178"/>
      <c r="S37166" s="178"/>
    </row>
    <row r="37167" spans="18:19">
      <c r="R37167" s="178"/>
      <c r="S37167" s="178"/>
    </row>
    <row r="37168" spans="18:19">
      <c r="R37168" s="178"/>
      <c r="S37168" s="178"/>
    </row>
    <row r="37169" spans="18:19">
      <c r="R37169" s="178"/>
      <c r="S37169" s="178"/>
    </row>
    <row r="37170" spans="18:19">
      <c r="R37170" s="178"/>
      <c r="S37170" s="178"/>
    </row>
    <row r="37171" spans="18:19">
      <c r="R37171" s="178"/>
      <c r="S37171" s="178"/>
    </row>
    <row r="37172" spans="18:19">
      <c r="R37172" s="178"/>
      <c r="S37172" s="178"/>
    </row>
    <row r="37173" spans="18:19">
      <c r="R37173" s="178"/>
      <c r="S37173" s="178"/>
    </row>
    <row r="37174" spans="18:19">
      <c r="R37174" s="178"/>
      <c r="S37174" s="178"/>
    </row>
    <row r="37175" spans="18:19">
      <c r="R37175" s="178"/>
      <c r="S37175" s="178"/>
    </row>
    <row r="37176" spans="18:19">
      <c r="R37176" s="178"/>
      <c r="S37176" s="178"/>
    </row>
    <row r="37177" spans="18:19">
      <c r="R37177" s="178"/>
      <c r="S37177" s="178"/>
    </row>
    <row r="37178" spans="18:19">
      <c r="R37178" s="178"/>
      <c r="S37178" s="178"/>
    </row>
    <row r="37179" spans="18:19">
      <c r="R37179" s="178"/>
      <c r="S37179" s="178"/>
    </row>
    <row r="37180" spans="18:19">
      <c r="R37180" s="178"/>
      <c r="S37180" s="178"/>
    </row>
    <row r="37181" spans="18:19">
      <c r="R37181" s="178"/>
      <c r="S37181" s="178"/>
    </row>
    <row r="37182" spans="18:19">
      <c r="R37182" s="178"/>
      <c r="S37182" s="178"/>
    </row>
    <row r="37183" spans="18:19">
      <c r="R37183" s="178"/>
      <c r="S37183" s="178"/>
    </row>
    <row r="37184" spans="18:19">
      <c r="R37184" s="178"/>
      <c r="S37184" s="178"/>
    </row>
    <row r="37185" spans="18:19">
      <c r="R37185" s="178"/>
      <c r="S37185" s="178"/>
    </row>
    <row r="37186" spans="18:19">
      <c r="R37186" s="178"/>
      <c r="S37186" s="178"/>
    </row>
    <row r="37187" spans="18:19">
      <c r="R37187" s="178"/>
      <c r="S37187" s="178"/>
    </row>
    <row r="37188" spans="18:19">
      <c r="R37188" s="178"/>
      <c r="S37188" s="178"/>
    </row>
    <row r="37189" spans="18:19">
      <c r="R37189" s="178"/>
      <c r="S37189" s="178"/>
    </row>
    <row r="37190" spans="18:19">
      <c r="R37190" s="178"/>
      <c r="S37190" s="178"/>
    </row>
    <row r="37191" spans="18:19">
      <c r="R37191" s="178"/>
      <c r="S37191" s="178"/>
    </row>
    <row r="37192" spans="18:19">
      <c r="R37192" s="178"/>
      <c r="S37192" s="178"/>
    </row>
    <row r="37193" spans="18:19">
      <c r="R37193" s="178"/>
      <c r="S37193" s="178"/>
    </row>
    <row r="37194" spans="18:19">
      <c r="R37194" s="178"/>
      <c r="S37194" s="178"/>
    </row>
    <row r="37195" spans="18:19">
      <c r="R37195" s="178"/>
      <c r="S37195" s="178"/>
    </row>
    <row r="37196" spans="18:19">
      <c r="R37196" s="178"/>
      <c r="S37196" s="178"/>
    </row>
    <row r="37197" spans="18:19">
      <c r="R37197" s="178"/>
      <c r="S37197" s="178"/>
    </row>
    <row r="37198" spans="18:19">
      <c r="R37198" s="178"/>
      <c r="S37198" s="178"/>
    </row>
    <row r="37199" spans="18:19">
      <c r="R37199" s="178"/>
      <c r="S37199" s="178"/>
    </row>
    <row r="37200" spans="18:19">
      <c r="R37200" s="178"/>
      <c r="S37200" s="178"/>
    </row>
    <row r="37201" spans="18:19">
      <c r="R37201" s="178"/>
      <c r="S37201" s="178"/>
    </row>
    <row r="37202" spans="18:19">
      <c r="R37202" s="178"/>
      <c r="S37202" s="178"/>
    </row>
    <row r="37203" spans="18:19">
      <c r="R37203" s="178"/>
      <c r="S37203" s="178"/>
    </row>
    <row r="37204" spans="18:19">
      <c r="R37204" s="178"/>
      <c r="S37204" s="178"/>
    </row>
    <row r="37205" spans="18:19">
      <c r="R37205" s="178"/>
      <c r="S37205" s="178"/>
    </row>
    <row r="37206" spans="18:19">
      <c r="R37206" s="178"/>
      <c r="S37206" s="178"/>
    </row>
    <row r="37207" spans="18:19">
      <c r="R37207" s="178"/>
      <c r="S37207" s="178"/>
    </row>
    <row r="37208" spans="18:19">
      <c r="R37208" s="178"/>
      <c r="S37208" s="178"/>
    </row>
    <row r="37209" spans="18:19">
      <c r="R37209" s="178"/>
      <c r="S37209" s="178"/>
    </row>
    <row r="37210" spans="18:19">
      <c r="R37210" s="178"/>
      <c r="S37210" s="178"/>
    </row>
    <row r="37211" spans="18:19">
      <c r="R37211" s="178"/>
      <c r="S37211" s="178"/>
    </row>
    <row r="37212" spans="18:19">
      <c r="R37212" s="178"/>
      <c r="S37212" s="178"/>
    </row>
    <row r="37213" spans="18:19">
      <c r="R37213" s="178"/>
      <c r="S37213" s="178"/>
    </row>
    <row r="37214" spans="18:19">
      <c r="R37214" s="178"/>
      <c r="S37214" s="178"/>
    </row>
    <row r="37215" spans="18:19">
      <c r="R37215" s="178"/>
      <c r="S37215" s="178"/>
    </row>
    <row r="37216" spans="18:19">
      <c r="R37216" s="178"/>
      <c r="S37216" s="178"/>
    </row>
    <row r="37217" spans="18:19">
      <c r="R37217" s="178"/>
      <c r="S37217" s="178"/>
    </row>
    <row r="37218" spans="18:19">
      <c r="R37218" s="178"/>
      <c r="S37218" s="178"/>
    </row>
    <row r="37219" spans="18:19">
      <c r="R37219" s="178"/>
      <c r="S37219" s="178"/>
    </row>
    <row r="37220" spans="18:19">
      <c r="R37220" s="178"/>
      <c r="S37220" s="178"/>
    </row>
    <row r="37221" spans="18:19">
      <c r="R37221" s="178"/>
      <c r="S37221" s="178"/>
    </row>
    <row r="37222" spans="18:19">
      <c r="R37222" s="178"/>
      <c r="S37222" s="178"/>
    </row>
    <row r="37223" spans="18:19">
      <c r="R37223" s="178"/>
      <c r="S37223" s="178"/>
    </row>
    <row r="37224" spans="18:19">
      <c r="R37224" s="178"/>
      <c r="S37224" s="178"/>
    </row>
    <row r="37225" spans="18:19">
      <c r="R37225" s="178"/>
      <c r="S37225" s="178"/>
    </row>
    <row r="37226" spans="18:19">
      <c r="R37226" s="178"/>
      <c r="S37226" s="178"/>
    </row>
    <row r="37227" spans="18:19">
      <c r="R37227" s="178"/>
      <c r="S37227" s="178"/>
    </row>
    <row r="37228" spans="18:19">
      <c r="R37228" s="178"/>
      <c r="S37228" s="178"/>
    </row>
    <row r="37229" spans="18:19">
      <c r="R37229" s="178"/>
      <c r="S37229" s="178"/>
    </row>
    <row r="37230" spans="18:19">
      <c r="R37230" s="178"/>
      <c r="S37230" s="178"/>
    </row>
    <row r="37231" spans="18:19">
      <c r="R37231" s="178"/>
      <c r="S37231" s="178"/>
    </row>
    <row r="37232" spans="18:19">
      <c r="R37232" s="178"/>
      <c r="S37232" s="178"/>
    </row>
    <row r="37233" spans="18:19">
      <c r="R37233" s="178"/>
      <c r="S37233" s="178"/>
    </row>
    <row r="37234" spans="18:19">
      <c r="R37234" s="178"/>
      <c r="S37234" s="178"/>
    </row>
    <row r="37235" spans="18:19">
      <c r="R37235" s="178"/>
      <c r="S37235" s="178"/>
    </row>
    <row r="37236" spans="18:19">
      <c r="R37236" s="178"/>
      <c r="S37236" s="178"/>
    </row>
    <row r="37237" spans="18:19">
      <c r="R37237" s="178"/>
      <c r="S37237" s="178"/>
    </row>
    <row r="37238" spans="18:19">
      <c r="R37238" s="178"/>
      <c r="S37238" s="178"/>
    </row>
    <row r="37239" spans="18:19">
      <c r="R37239" s="178"/>
      <c r="S37239" s="178"/>
    </row>
    <row r="37240" spans="18:19">
      <c r="R37240" s="178"/>
      <c r="S37240" s="178"/>
    </row>
    <row r="37241" spans="18:19">
      <c r="R37241" s="178"/>
      <c r="S37241" s="178"/>
    </row>
    <row r="37242" spans="18:19">
      <c r="R37242" s="178"/>
      <c r="S37242" s="178"/>
    </row>
    <row r="37243" spans="18:19">
      <c r="R37243" s="178"/>
      <c r="S37243" s="178"/>
    </row>
    <row r="37244" spans="18:19">
      <c r="R37244" s="178"/>
      <c r="S37244" s="178"/>
    </row>
    <row r="37245" spans="18:19">
      <c r="R37245" s="178"/>
      <c r="S37245" s="178"/>
    </row>
    <row r="37246" spans="18:19">
      <c r="R37246" s="178"/>
      <c r="S37246" s="178"/>
    </row>
    <row r="37247" spans="18:19">
      <c r="R37247" s="178"/>
      <c r="S37247" s="178"/>
    </row>
    <row r="37248" spans="18:19">
      <c r="R37248" s="178"/>
      <c r="S37248" s="178"/>
    </row>
    <row r="37249" spans="18:19">
      <c r="R37249" s="178"/>
      <c r="S37249" s="178"/>
    </row>
    <row r="37250" spans="18:19">
      <c r="R37250" s="178"/>
      <c r="S37250" s="178"/>
    </row>
    <row r="37251" spans="18:19">
      <c r="R37251" s="178"/>
      <c r="S37251" s="178"/>
    </row>
    <row r="37252" spans="18:19">
      <c r="R37252" s="178"/>
      <c r="S37252" s="178"/>
    </row>
    <row r="37253" spans="18:19">
      <c r="R37253" s="178"/>
      <c r="S37253" s="178"/>
    </row>
    <row r="37254" spans="18:19">
      <c r="R37254" s="178"/>
      <c r="S37254" s="178"/>
    </row>
    <row r="37255" spans="18:19">
      <c r="R37255" s="178"/>
      <c r="S37255" s="178"/>
    </row>
    <row r="37256" spans="18:19">
      <c r="R37256" s="178"/>
      <c r="S37256" s="178"/>
    </row>
    <row r="37257" spans="18:19">
      <c r="R37257" s="178"/>
      <c r="S37257" s="178"/>
    </row>
    <row r="37258" spans="18:19">
      <c r="R37258" s="178"/>
      <c r="S37258" s="178"/>
    </row>
    <row r="37259" spans="18:19">
      <c r="R37259" s="178"/>
      <c r="S37259" s="178"/>
    </row>
    <row r="37260" spans="18:19">
      <c r="R37260" s="178"/>
      <c r="S37260" s="178"/>
    </row>
    <row r="37261" spans="18:19">
      <c r="R37261" s="178"/>
      <c r="S37261" s="178"/>
    </row>
    <row r="37262" spans="18:19">
      <c r="R37262" s="178"/>
      <c r="S37262" s="178"/>
    </row>
    <row r="37263" spans="18:19">
      <c r="R37263" s="178"/>
      <c r="S37263" s="178"/>
    </row>
    <row r="37264" spans="18:19">
      <c r="R37264" s="178"/>
      <c r="S37264" s="178"/>
    </row>
    <row r="37265" spans="18:19">
      <c r="R37265" s="178"/>
      <c r="S37265" s="178"/>
    </row>
    <row r="37266" spans="18:19">
      <c r="R37266" s="178"/>
      <c r="S37266" s="178"/>
    </row>
    <row r="37267" spans="18:19">
      <c r="R37267" s="178"/>
      <c r="S37267" s="178"/>
    </row>
    <row r="37268" spans="18:19">
      <c r="R37268" s="178"/>
      <c r="S37268" s="178"/>
    </row>
    <row r="37269" spans="18:19">
      <c r="R37269" s="178"/>
      <c r="S37269" s="178"/>
    </row>
    <row r="37270" spans="18:19">
      <c r="R37270" s="178"/>
      <c r="S37270" s="178"/>
    </row>
    <row r="37271" spans="18:19">
      <c r="R37271" s="178"/>
      <c r="S37271" s="178"/>
    </row>
    <row r="37272" spans="18:19">
      <c r="R37272" s="178"/>
      <c r="S37272" s="178"/>
    </row>
    <row r="37273" spans="18:19">
      <c r="R37273" s="178"/>
      <c r="S37273" s="178"/>
    </row>
    <row r="37274" spans="18:19">
      <c r="R37274" s="178"/>
      <c r="S37274" s="178"/>
    </row>
    <row r="37275" spans="18:19">
      <c r="R37275" s="178"/>
      <c r="S37275" s="178"/>
    </row>
    <row r="37276" spans="18:19">
      <c r="R37276" s="178"/>
      <c r="S37276" s="178"/>
    </row>
    <row r="37277" spans="18:19">
      <c r="R37277" s="178"/>
      <c r="S37277" s="178"/>
    </row>
    <row r="37278" spans="18:19">
      <c r="R37278" s="178"/>
      <c r="S37278" s="178"/>
    </row>
    <row r="37279" spans="18:19">
      <c r="R37279" s="178"/>
      <c r="S37279" s="178"/>
    </row>
    <row r="37280" spans="18:19">
      <c r="R37280" s="178"/>
      <c r="S37280" s="178"/>
    </row>
    <row r="37281" spans="18:19">
      <c r="R37281" s="178"/>
      <c r="S37281" s="178"/>
    </row>
    <row r="37282" spans="18:19">
      <c r="R37282" s="178"/>
      <c r="S37282" s="178"/>
    </row>
    <row r="37283" spans="18:19">
      <c r="R37283" s="178"/>
      <c r="S37283" s="178"/>
    </row>
    <row r="37284" spans="18:19">
      <c r="R37284" s="178"/>
      <c r="S37284" s="178"/>
    </row>
    <row r="37285" spans="18:19">
      <c r="R37285" s="178"/>
      <c r="S37285" s="178"/>
    </row>
    <row r="37286" spans="18:19">
      <c r="R37286" s="178"/>
      <c r="S37286" s="178"/>
    </row>
    <row r="37287" spans="18:19">
      <c r="R37287" s="178"/>
      <c r="S37287" s="178"/>
    </row>
    <row r="37288" spans="18:19">
      <c r="R37288" s="178"/>
      <c r="S37288" s="178"/>
    </row>
    <row r="37289" spans="18:19">
      <c r="R37289" s="178"/>
      <c r="S37289" s="178"/>
    </row>
    <row r="37290" spans="18:19">
      <c r="R37290" s="178"/>
      <c r="S37290" s="178"/>
    </row>
    <row r="37291" spans="18:19">
      <c r="R37291" s="178"/>
      <c r="S37291" s="178"/>
    </row>
    <row r="37292" spans="18:19">
      <c r="R37292" s="178"/>
      <c r="S37292" s="178"/>
    </row>
    <row r="37293" spans="18:19">
      <c r="R37293" s="178"/>
      <c r="S37293" s="178"/>
    </row>
    <row r="37294" spans="18:19">
      <c r="R37294" s="178"/>
      <c r="S37294" s="178"/>
    </row>
    <row r="37295" spans="18:19">
      <c r="R37295" s="178"/>
      <c r="S37295" s="178"/>
    </row>
    <row r="37296" spans="18:19">
      <c r="R37296" s="178"/>
      <c r="S37296" s="178"/>
    </row>
    <row r="37297" spans="18:19">
      <c r="R37297" s="178"/>
      <c r="S37297" s="178"/>
    </row>
    <row r="37298" spans="18:19">
      <c r="R37298" s="178"/>
      <c r="S37298" s="178"/>
    </row>
    <row r="37299" spans="18:19">
      <c r="R37299" s="178"/>
      <c r="S37299" s="178"/>
    </row>
    <row r="37300" spans="18:19">
      <c r="R37300" s="178"/>
      <c r="S37300" s="178"/>
    </row>
    <row r="37301" spans="18:19">
      <c r="R37301" s="178"/>
      <c r="S37301" s="178"/>
    </row>
    <row r="37302" spans="18:19">
      <c r="R37302" s="178"/>
      <c r="S37302" s="178"/>
    </row>
    <row r="37303" spans="18:19">
      <c r="R37303" s="178"/>
      <c r="S37303" s="178"/>
    </row>
    <row r="37304" spans="18:19">
      <c r="R37304" s="178"/>
      <c r="S37304" s="178"/>
    </row>
    <row r="37305" spans="18:19">
      <c r="R37305" s="178"/>
      <c r="S37305" s="178"/>
    </row>
    <row r="37306" spans="18:19">
      <c r="R37306" s="178"/>
      <c r="S37306" s="178"/>
    </row>
    <row r="37307" spans="18:19">
      <c r="R37307" s="178"/>
      <c r="S37307" s="178"/>
    </row>
    <row r="37308" spans="18:19">
      <c r="R37308" s="178"/>
      <c r="S37308" s="178"/>
    </row>
    <row r="37309" spans="18:19">
      <c r="R37309" s="178"/>
      <c r="S37309" s="178"/>
    </row>
    <row r="37310" spans="18:19">
      <c r="R37310" s="178"/>
      <c r="S37310" s="178"/>
    </row>
    <row r="37311" spans="18:19">
      <c r="R37311" s="178"/>
      <c r="S37311" s="178"/>
    </row>
    <row r="37312" spans="18:19">
      <c r="R37312" s="178"/>
      <c r="S37312" s="178"/>
    </row>
    <row r="37313" spans="18:19">
      <c r="R37313" s="178"/>
      <c r="S37313" s="178"/>
    </row>
    <row r="37314" spans="18:19">
      <c r="R37314" s="178"/>
      <c r="S37314" s="178"/>
    </row>
    <row r="37315" spans="18:19">
      <c r="R37315" s="178"/>
      <c r="S37315" s="178"/>
    </row>
    <row r="37316" spans="18:19">
      <c r="R37316" s="178"/>
      <c r="S37316" s="178"/>
    </row>
    <row r="37317" spans="18:19">
      <c r="R37317" s="178"/>
      <c r="S37317" s="178"/>
    </row>
    <row r="37318" spans="18:19">
      <c r="R37318" s="178"/>
      <c r="S37318" s="178"/>
    </row>
    <row r="37319" spans="18:19">
      <c r="R37319" s="178"/>
      <c r="S37319" s="178"/>
    </row>
    <row r="37320" spans="18:19">
      <c r="R37320" s="178"/>
      <c r="S37320" s="178"/>
    </row>
    <row r="37321" spans="18:19">
      <c r="R37321" s="178"/>
      <c r="S37321" s="178"/>
    </row>
    <row r="37322" spans="18:19">
      <c r="R37322" s="178"/>
      <c r="S37322" s="178"/>
    </row>
    <row r="37323" spans="18:19">
      <c r="R37323" s="178"/>
      <c r="S37323" s="178"/>
    </row>
    <row r="37324" spans="18:19">
      <c r="R37324" s="178"/>
      <c r="S37324" s="178"/>
    </row>
    <row r="37325" spans="18:19">
      <c r="R37325" s="178"/>
      <c r="S37325" s="178"/>
    </row>
    <row r="37326" spans="18:19">
      <c r="R37326" s="178"/>
      <c r="S37326" s="178"/>
    </row>
    <row r="37327" spans="18:19">
      <c r="R37327" s="178"/>
      <c r="S37327" s="178"/>
    </row>
    <row r="37328" spans="18:19">
      <c r="R37328" s="178"/>
      <c r="S37328" s="178"/>
    </row>
    <row r="37329" spans="18:19">
      <c r="R37329" s="178"/>
      <c r="S37329" s="178"/>
    </row>
    <row r="37330" spans="18:19">
      <c r="R37330" s="178"/>
      <c r="S37330" s="178"/>
    </row>
    <row r="37331" spans="18:19">
      <c r="R37331" s="178"/>
      <c r="S37331" s="178"/>
    </row>
    <row r="37332" spans="18:19">
      <c r="R37332" s="178"/>
      <c r="S37332" s="178"/>
    </row>
    <row r="37333" spans="18:19">
      <c r="R37333" s="178"/>
      <c r="S37333" s="178"/>
    </row>
    <row r="37334" spans="18:19">
      <c r="R37334" s="178"/>
      <c r="S37334" s="178"/>
    </row>
    <row r="37335" spans="18:19">
      <c r="R37335" s="178"/>
      <c r="S37335" s="178"/>
    </row>
    <row r="37336" spans="18:19">
      <c r="R37336" s="178"/>
      <c r="S37336" s="178"/>
    </row>
    <row r="37337" spans="18:19">
      <c r="R37337" s="178"/>
      <c r="S37337" s="178"/>
    </row>
    <row r="37338" spans="18:19">
      <c r="R37338" s="178"/>
      <c r="S37338" s="178"/>
    </row>
    <row r="37339" spans="18:19">
      <c r="R37339" s="178"/>
      <c r="S37339" s="178"/>
    </row>
    <row r="37340" spans="18:19">
      <c r="R37340" s="178"/>
      <c r="S37340" s="178"/>
    </row>
    <row r="37341" spans="18:19">
      <c r="R37341" s="178"/>
      <c r="S37341" s="178"/>
    </row>
    <row r="37342" spans="18:19">
      <c r="R37342" s="178"/>
      <c r="S37342" s="178"/>
    </row>
    <row r="37343" spans="18:19">
      <c r="R37343" s="178"/>
      <c r="S37343" s="178"/>
    </row>
    <row r="37344" spans="18:19">
      <c r="R37344" s="178"/>
      <c r="S37344" s="178"/>
    </row>
    <row r="37345" spans="18:19">
      <c r="R37345" s="178"/>
      <c r="S37345" s="178"/>
    </row>
    <row r="37346" spans="18:19">
      <c r="R37346" s="178"/>
      <c r="S37346" s="178"/>
    </row>
    <row r="37347" spans="18:19">
      <c r="R37347" s="178"/>
      <c r="S37347" s="178"/>
    </row>
    <row r="37348" spans="18:19">
      <c r="R37348" s="178"/>
      <c r="S37348" s="178"/>
    </row>
    <row r="37349" spans="18:19">
      <c r="R37349" s="178"/>
      <c r="S37349" s="178"/>
    </row>
    <row r="37350" spans="18:19">
      <c r="R37350" s="178"/>
      <c r="S37350" s="178"/>
    </row>
    <row r="37351" spans="18:19">
      <c r="R37351" s="178"/>
      <c r="S37351" s="178"/>
    </row>
    <row r="37352" spans="18:19">
      <c r="R37352" s="178"/>
      <c r="S37352" s="178"/>
    </row>
    <row r="37353" spans="18:19">
      <c r="R37353" s="178"/>
      <c r="S37353" s="178"/>
    </row>
    <row r="37354" spans="18:19">
      <c r="R37354" s="178"/>
      <c r="S37354" s="178"/>
    </row>
    <row r="37355" spans="18:19">
      <c r="R37355" s="178"/>
      <c r="S37355" s="178"/>
    </row>
    <row r="37356" spans="18:19">
      <c r="R37356" s="178"/>
      <c r="S37356" s="178"/>
    </row>
    <row r="37357" spans="18:19">
      <c r="R37357" s="178"/>
      <c r="S37357" s="178"/>
    </row>
    <row r="37358" spans="18:19">
      <c r="R37358" s="178"/>
      <c r="S37358" s="178"/>
    </row>
    <row r="37359" spans="18:19">
      <c r="R37359" s="178"/>
      <c r="S37359" s="178"/>
    </row>
    <row r="37360" spans="18:19">
      <c r="R37360" s="178"/>
      <c r="S37360" s="178"/>
    </row>
    <row r="37361" spans="18:19">
      <c r="R37361" s="178"/>
      <c r="S37361" s="178"/>
    </row>
    <row r="37362" spans="18:19">
      <c r="R37362" s="178"/>
      <c r="S37362" s="178"/>
    </row>
    <row r="37363" spans="18:19">
      <c r="R37363" s="178"/>
      <c r="S37363" s="178"/>
    </row>
    <row r="37364" spans="18:19">
      <c r="R37364" s="178"/>
      <c r="S37364" s="178"/>
    </row>
    <row r="37365" spans="18:19">
      <c r="R37365" s="178"/>
      <c r="S37365" s="178"/>
    </row>
    <row r="37366" spans="18:19">
      <c r="R37366" s="178"/>
      <c r="S37366" s="178"/>
    </row>
    <row r="37367" spans="18:19">
      <c r="R37367" s="178"/>
      <c r="S37367" s="178"/>
    </row>
    <row r="37368" spans="18:19">
      <c r="R37368" s="178"/>
      <c r="S37368" s="178"/>
    </row>
    <row r="37369" spans="18:19">
      <c r="R37369" s="178"/>
      <c r="S37369" s="178"/>
    </row>
    <row r="37370" spans="18:19">
      <c r="R37370" s="178"/>
      <c r="S37370" s="178"/>
    </row>
    <row r="37371" spans="18:19">
      <c r="R37371" s="178"/>
      <c r="S37371" s="178"/>
    </row>
    <row r="37372" spans="18:19">
      <c r="R37372" s="178"/>
      <c r="S37372" s="178"/>
    </row>
    <row r="37373" spans="18:19">
      <c r="R37373" s="178"/>
      <c r="S37373" s="178"/>
    </row>
    <row r="37374" spans="18:19">
      <c r="R37374" s="178"/>
      <c r="S37374" s="178"/>
    </row>
    <row r="37375" spans="18:19">
      <c r="R37375" s="178"/>
      <c r="S37375" s="178"/>
    </row>
    <row r="37376" spans="18:19">
      <c r="R37376" s="178"/>
      <c r="S37376" s="178"/>
    </row>
    <row r="37377" spans="18:19">
      <c r="R37377" s="178"/>
      <c r="S37377" s="178"/>
    </row>
    <row r="37378" spans="18:19">
      <c r="R37378" s="178"/>
      <c r="S37378" s="178"/>
    </row>
    <row r="37379" spans="18:19">
      <c r="R37379" s="178"/>
      <c r="S37379" s="178"/>
    </row>
    <row r="37380" spans="18:19">
      <c r="R37380" s="178"/>
      <c r="S37380" s="178"/>
    </row>
    <row r="37381" spans="18:19">
      <c r="R37381" s="178"/>
      <c r="S37381" s="178"/>
    </row>
    <row r="37382" spans="18:19">
      <c r="R37382" s="178"/>
      <c r="S37382" s="178"/>
    </row>
    <row r="37383" spans="18:19">
      <c r="R37383" s="178"/>
      <c r="S37383" s="178"/>
    </row>
    <row r="37384" spans="18:19">
      <c r="R37384" s="178"/>
      <c r="S37384" s="178"/>
    </row>
    <row r="37385" spans="18:19">
      <c r="R37385" s="178"/>
      <c r="S37385" s="178"/>
    </row>
    <row r="37386" spans="18:19">
      <c r="R37386" s="178"/>
      <c r="S37386" s="178"/>
    </row>
    <row r="37387" spans="18:19">
      <c r="R37387" s="178"/>
      <c r="S37387" s="178"/>
    </row>
    <row r="37388" spans="18:19">
      <c r="R37388" s="178"/>
      <c r="S37388" s="178"/>
    </row>
    <row r="37389" spans="18:19">
      <c r="R37389" s="178"/>
      <c r="S37389" s="178"/>
    </row>
    <row r="37390" spans="18:19">
      <c r="R37390" s="178"/>
      <c r="S37390" s="178"/>
    </row>
    <row r="37391" spans="18:19">
      <c r="R37391" s="178"/>
      <c r="S37391" s="178"/>
    </row>
    <row r="37392" spans="18:19">
      <c r="R37392" s="178"/>
      <c r="S37392" s="178"/>
    </row>
    <row r="37393" spans="18:19">
      <c r="R37393" s="178"/>
      <c r="S37393" s="178"/>
    </row>
    <row r="37394" spans="18:19">
      <c r="R37394" s="178"/>
      <c r="S37394" s="178"/>
    </row>
    <row r="37395" spans="18:19">
      <c r="R37395" s="178"/>
      <c r="S37395" s="178"/>
    </row>
    <row r="37396" spans="18:19">
      <c r="R37396" s="178"/>
      <c r="S37396" s="178"/>
    </row>
    <row r="37397" spans="18:19">
      <c r="R37397" s="178"/>
      <c r="S37397" s="178"/>
    </row>
    <row r="37398" spans="18:19">
      <c r="R37398" s="178"/>
      <c r="S37398" s="178"/>
    </row>
    <row r="37399" spans="18:19">
      <c r="R37399" s="178"/>
      <c r="S37399" s="178"/>
    </row>
    <row r="37400" spans="18:19">
      <c r="R37400" s="178"/>
      <c r="S37400" s="178"/>
    </row>
    <row r="37401" spans="18:19">
      <c r="R37401" s="178"/>
      <c r="S37401" s="178"/>
    </row>
    <row r="37402" spans="18:19">
      <c r="R37402" s="178"/>
      <c r="S37402" s="178"/>
    </row>
    <row r="37403" spans="18:19">
      <c r="R37403" s="178"/>
      <c r="S37403" s="178"/>
    </row>
    <row r="37404" spans="18:19">
      <c r="R37404" s="178"/>
      <c r="S37404" s="178"/>
    </row>
    <row r="37405" spans="18:19">
      <c r="R37405" s="178"/>
      <c r="S37405" s="178"/>
    </row>
    <row r="37406" spans="18:19">
      <c r="R37406" s="178"/>
      <c r="S37406" s="178"/>
    </row>
    <row r="37407" spans="18:19">
      <c r="R37407" s="178"/>
      <c r="S37407" s="178"/>
    </row>
    <row r="37408" spans="18:19">
      <c r="R37408" s="178"/>
      <c r="S37408" s="178"/>
    </row>
    <row r="37409" spans="18:19">
      <c r="R37409" s="178"/>
      <c r="S37409" s="178"/>
    </row>
    <row r="37410" spans="18:19">
      <c r="R37410" s="178"/>
      <c r="S37410" s="178"/>
    </row>
    <row r="37411" spans="18:19">
      <c r="R37411" s="178"/>
      <c r="S37411" s="178"/>
    </row>
    <row r="37412" spans="18:19">
      <c r="R37412" s="178"/>
      <c r="S37412" s="178"/>
    </row>
    <row r="37413" spans="18:19">
      <c r="R37413" s="178"/>
      <c r="S37413" s="178"/>
    </row>
    <row r="37414" spans="18:19">
      <c r="R37414" s="178"/>
      <c r="S37414" s="178"/>
    </row>
    <row r="37415" spans="18:19">
      <c r="R37415" s="178"/>
      <c r="S37415" s="178"/>
    </row>
    <row r="37416" spans="18:19">
      <c r="R37416" s="178"/>
      <c r="S37416" s="178"/>
    </row>
    <row r="37417" spans="18:19">
      <c r="R37417" s="178"/>
      <c r="S37417" s="178"/>
    </row>
    <row r="37418" spans="18:19">
      <c r="R37418" s="178"/>
      <c r="S37418" s="178"/>
    </row>
    <row r="37419" spans="18:19">
      <c r="R37419" s="178"/>
      <c r="S37419" s="178"/>
    </row>
    <row r="37420" spans="18:19">
      <c r="R37420" s="178"/>
      <c r="S37420" s="178"/>
    </row>
    <row r="37421" spans="18:19">
      <c r="R37421" s="178"/>
      <c r="S37421" s="178"/>
    </row>
    <row r="37422" spans="18:19">
      <c r="R37422" s="178"/>
      <c r="S37422" s="178"/>
    </row>
    <row r="37423" spans="18:19">
      <c r="R37423" s="178"/>
      <c r="S37423" s="178"/>
    </row>
    <row r="37424" spans="18:19">
      <c r="R37424" s="178"/>
      <c r="S37424" s="178"/>
    </row>
    <row r="37425" spans="18:19">
      <c r="R37425" s="178"/>
      <c r="S37425" s="178"/>
    </row>
    <row r="37426" spans="18:19">
      <c r="R37426" s="178"/>
      <c r="S37426" s="178"/>
    </row>
    <row r="37427" spans="18:19">
      <c r="R37427" s="178"/>
      <c r="S37427" s="178"/>
    </row>
    <row r="37428" spans="18:19">
      <c r="R37428" s="178"/>
      <c r="S37428" s="178"/>
    </row>
    <row r="37429" spans="18:19">
      <c r="R37429" s="178"/>
      <c r="S37429" s="178"/>
    </row>
    <row r="37430" spans="18:19">
      <c r="R37430" s="178"/>
      <c r="S37430" s="178"/>
    </row>
    <row r="37431" spans="18:19">
      <c r="R37431" s="178"/>
      <c r="S37431" s="178"/>
    </row>
    <row r="37432" spans="18:19">
      <c r="R37432" s="178"/>
      <c r="S37432" s="178"/>
    </row>
    <row r="37433" spans="18:19">
      <c r="R37433" s="178"/>
      <c r="S37433" s="178"/>
    </row>
    <row r="37434" spans="18:19">
      <c r="R37434" s="178"/>
      <c r="S37434" s="178"/>
    </row>
    <row r="37435" spans="18:19">
      <c r="R37435" s="178"/>
      <c r="S37435" s="178"/>
    </row>
    <row r="37436" spans="18:19">
      <c r="R37436" s="178"/>
      <c r="S37436" s="178"/>
    </row>
    <row r="37437" spans="18:19">
      <c r="R37437" s="178"/>
      <c r="S37437" s="178"/>
    </row>
    <row r="37438" spans="18:19">
      <c r="R37438" s="178"/>
      <c r="S37438" s="178"/>
    </row>
    <row r="37439" spans="18:19">
      <c r="R37439" s="178"/>
      <c r="S37439" s="178"/>
    </row>
    <row r="37440" spans="18:19">
      <c r="R37440" s="178"/>
      <c r="S37440" s="178"/>
    </row>
    <row r="37441" spans="18:19">
      <c r="R37441" s="178"/>
      <c r="S37441" s="178"/>
    </row>
    <row r="37442" spans="18:19">
      <c r="R37442" s="178"/>
      <c r="S37442" s="178"/>
    </row>
    <row r="37443" spans="18:19">
      <c r="R37443" s="178"/>
      <c r="S37443" s="178"/>
    </row>
    <row r="37444" spans="18:19">
      <c r="R37444" s="178"/>
      <c r="S37444" s="178"/>
    </row>
    <row r="37445" spans="18:19">
      <c r="R37445" s="178"/>
      <c r="S37445" s="178"/>
    </row>
    <row r="37446" spans="18:19">
      <c r="R37446" s="178"/>
      <c r="S37446" s="178"/>
    </row>
    <row r="37447" spans="18:19">
      <c r="R37447" s="178"/>
      <c r="S37447" s="178"/>
    </row>
    <row r="37448" spans="18:19">
      <c r="R37448" s="178"/>
      <c r="S37448" s="178"/>
    </row>
    <row r="37449" spans="18:19">
      <c r="R37449" s="178"/>
      <c r="S37449" s="178"/>
    </row>
    <row r="37450" spans="18:19">
      <c r="R37450" s="178"/>
      <c r="S37450" s="178"/>
    </row>
    <row r="37451" spans="18:19">
      <c r="R37451" s="178"/>
      <c r="S37451" s="178"/>
    </row>
    <row r="37452" spans="18:19">
      <c r="R37452" s="178"/>
      <c r="S37452" s="178"/>
    </row>
    <row r="37453" spans="18:19">
      <c r="R37453" s="178"/>
      <c r="S37453" s="178"/>
    </row>
    <row r="37454" spans="18:19">
      <c r="R37454" s="178"/>
      <c r="S37454" s="178"/>
    </row>
    <row r="37455" spans="18:19">
      <c r="R37455" s="178"/>
      <c r="S37455" s="178"/>
    </row>
    <row r="37456" spans="18:19">
      <c r="R37456" s="178"/>
      <c r="S37456" s="178"/>
    </row>
    <row r="37457" spans="18:19">
      <c r="R37457" s="178"/>
      <c r="S37457" s="178"/>
    </row>
    <row r="37458" spans="18:19">
      <c r="R37458" s="178"/>
      <c r="S37458" s="178"/>
    </row>
    <row r="37459" spans="18:19">
      <c r="R37459" s="178"/>
      <c r="S37459" s="178"/>
    </row>
    <row r="37460" spans="18:19">
      <c r="R37460" s="178"/>
      <c r="S37460" s="178"/>
    </row>
    <row r="37461" spans="18:19">
      <c r="R37461" s="178"/>
      <c r="S37461" s="178"/>
    </row>
    <row r="37462" spans="18:19">
      <c r="R37462" s="178"/>
      <c r="S37462" s="178"/>
    </row>
    <row r="37463" spans="18:19">
      <c r="R37463" s="178"/>
      <c r="S37463" s="178"/>
    </row>
    <row r="37464" spans="18:19">
      <c r="R37464" s="178"/>
      <c r="S37464" s="178"/>
    </row>
    <row r="37465" spans="18:19">
      <c r="R37465" s="178"/>
      <c r="S37465" s="178"/>
    </row>
    <row r="37466" spans="18:19">
      <c r="R37466" s="178"/>
      <c r="S37466" s="178"/>
    </row>
    <row r="37467" spans="18:19">
      <c r="R37467" s="178"/>
      <c r="S37467" s="178"/>
    </row>
    <row r="37468" spans="18:19">
      <c r="R37468" s="178"/>
      <c r="S37468" s="178"/>
    </row>
    <row r="37469" spans="18:19">
      <c r="R37469" s="178"/>
      <c r="S37469" s="178"/>
    </row>
    <row r="37470" spans="18:19">
      <c r="R37470" s="178"/>
      <c r="S37470" s="178"/>
    </row>
    <row r="37471" spans="18:19">
      <c r="R37471" s="178"/>
      <c r="S37471" s="178"/>
    </row>
    <row r="37472" spans="18:19">
      <c r="R37472" s="178"/>
      <c r="S37472" s="178"/>
    </row>
    <row r="37473" spans="18:19">
      <c r="R37473" s="178"/>
      <c r="S37473" s="178"/>
    </row>
    <row r="37474" spans="18:19">
      <c r="R37474" s="178"/>
      <c r="S37474" s="178"/>
    </row>
    <row r="37475" spans="18:19">
      <c r="R37475" s="178"/>
      <c r="S37475" s="178"/>
    </row>
    <row r="37476" spans="18:19">
      <c r="R37476" s="178"/>
      <c r="S37476" s="178"/>
    </row>
    <row r="37477" spans="18:19">
      <c r="R37477" s="178"/>
      <c r="S37477" s="178"/>
    </row>
    <row r="37478" spans="18:19">
      <c r="R37478" s="178"/>
      <c r="S37478" s="178"/>
    </row>
    <row r="37479" spans="18:19">
      <c r="R37479" s="178"/>
      <c r="S37479" s="178"/>
    </row>
    <row r="37480" spans="18:19">
      <c r="R37480" s="178"/>
      <c r="S37480" s="178"/>
    </row>
    <row r="37481" spans="18:19">
      <c r="R37481" s="178"/>
      <c r="S37481" s="178"/>
    </row>
    <row r="37482" spans="18:19">
      <c r="R37482" s="178"/>
      <c r="S37482" s="178"/>
    </row>
    <row r="37483" spans="18:19">
      <c r="R37483" s="178"/>
      <c r="S37483" s="178"/>
    </row>
    <row r="37484" spans="18:19">
      <c r="R37484" s="178"/>
      <c r="S37484" s="178"/>
    </row>
    <row r="37485" spans="18:19">
      <c r="R37485" s="178"/>
      <c r="S37485" s="178"/>
    </row>
    <row r="37486" spans="18:19">
      <c r="R37486" s="178"/>
      <c r="S37486" s="178"/>
    </row>
    <row r="37487" spans="18:19">
      <c r="R37487" s="178"/>
      <c r="S37487" s="178"/>
    </row>
    <row r="37488" spans="18:19">
      <c r="R37488" s="178"/>
      <c r="S37488" s="178"/>
    </row>
    <row r="37489" spans="18:19">
      <c r="R37489" s="178"/>
      <c r="S37489" s="178"/>
    </row>
    <row r="37490" spans="18:19">
      <c r="R37490" s="178"/>
      <c r="S37490" s="178"/>
    </row>
    <row r="37491" spans="18:19">
      <c r="R37491" s="178"/>
      <c r="S37491" s="178"/>
    </row>
    <row r="37492" spans="18:19">
      <c r="R37492" s="178"/>
      <c r="S37492" s="178"/>
    </row>
    <row r="37493" spans="18:19">
      <c r="R37493" s="178"/>
      <c r="S37493" s="178"/>
    </row>
    <row r="37494" spans="18:19">
      <c r="R37494" s="178"/>
      <c r="S37494" s="178"/>
    </row>
    <row r="37495" spans="18:19">
      <c r="R37495" s="178"/>
      <c r="S37495" s="178"/>
    </row>
    <row r="37496" spans="18:19">
      <c r="R37496" s="178"/>
      <c r="S37496" s="178"/>
    </row>
    <row r="37497" spans="18:19">
      <c r="R37497" s="178"/>
      <c r="S37497" s="178"/>
    </row>
    <row r="37498" spans="18:19">
      <c r="R37498" s="178"/>
      <c r="S37498" s="178"/>
    </row>
    <row r="37499" spans="18:19">
      <c r="R37499" s="178"/>
      <c r="S37499" s="178"/>
    </row>
    <row r="37500" spans="18:19">
      <c r="R37500" s="178"/>
      <c r="S37500" s="178"/>
    </row>
    <row r="37501" spans="18:19">
      <c r="R37501" s="178"/>
      <c r="S37501" s="178"/>
    </row>
    <row r="37502" spans="18:19">
      <c r="R37502" s="178"/>
      <c r="S37502" s="178"/>
    </row>
    <row r="37503" spans="18:19">
      <c r="R37503" s="178"/>
      <c r="S37503" s="178"/>
    </row>
    <row r="37504" spans="18:19">
      <c r="R37504" s="178"/>
      <c r="S37504" s="178"/>
    </row>
    <row r="37505" spans="18:19">
      <c r="R37505" s="178"/>
      <c r="S37505" s="178"/>
    </row>
    <row r="37506" spans="18:19">
      <c r="R37506" s="178"/>
      <c r="S37506" s="178"/>
    </row>
    <row r="37507" spans="18:19">
      <c r="R37507" s="178"/>
      <c r="S37507" s="178"/>
    </row>
    <row r="37508" spans="18:19">
      <c r="R37508" s="178"/>
      <c r="S37508" s="178"/>
    </row>
    <row r="37509" spans="18:19">
      <c r="R37509" s="178"/>
      <c r="S37509" s="178"/>
    </row>
    <row r="37510" spans="18:19">
      <c r="R37510" s="178"/>
      <c r="S37510" s="178"/>
    </row>
    <row r="37511" spans="18:19">
      <c r="R37511" s="178"/>
      <c r="S37511" s="178"/>
    </row>
    <row r="37512" spans="18:19">
      <c r="R37512" s="178"/>
      <c r="S37512" s="178"/>
    </row>
    <row r="37513" spans="18:19">
      <c r="R37513" s="178"/>
      <c r="S37513" s="178"/>
    </row>
    <row r="37514" spans="18:19">
      <c r="R37514" s="178"/>
      <c r="S37514" s="178"/>
    </row>
    <row r="37515" spans="18:19">
      <c r="R37515" s="178"/>
      <c r="S37515" s="178"/>
    </row>
    <row r="37516" spans="18:19">
      <c r="R37516" s="178"/>
      <c r="S37516" s="178"/>
    </row>
    <row r="37517" spans="18:19">
      <c r="R37517" s="178"/>
      <c r="S37517" s="178"/>
    </row>
    <row r="37518" spans="18:19">
      <c r="R37518" s="178"/>
      <c r="S37518" s="178"/>
    </row>
    <row r="37519" spans="18:19">
      <c r="R37519" s="178"/>
      <c r="S37519" s="178"/>
    </row>
    <row r="37520" spans="18:19">
      <c r="R37520" s="178"/>
      <c r="S37520" s="178"/>
    </row>
    <row r="37521" spans="18:19">
      <c r="R37521" s="178"/>
      <c r="S37521" s="178"/>
    </row>
    <row r="37522" spans="18:19">
      <c r="R37522" s="178"/>
      <c r="S37522" s="178"/>
    </row>
    <row r="37523" spans="18:19">
      <c r="R37523" s="178"/>
      <c r="S37523" s="178"/>
    </row>
    <row r="37524" spans="18:19">
      <c r="R37524" s="178"/>
      <c r="S37524" s="178"/>
    </row>
    <row r="37525" spans="18:19">
      <c r="R37525" s="178"/>
      <c r="S37525" s="178"/>
    </row>
    <row r="37526" spans="18:19">
      <c r="R37526" s="178"/>
      <c r="S37526" s="178"/>
    </row>
    <row r="37527" spans="18:19">
      <c r="R37527" s="178"/>
      <c r="S37527" s="178"/>
    </row>
    <row r="37528" spans="18:19">
      <c r="R37528" s="178"/>
      <c r="S37528" s="178"/>
    </row>
    <row r="37529" spans="18:19">
      <c r="R37529" s="178"/>
      <c r="S37529" s="178"/>
    </row>
    <row r="37530" spans="18:19">
      <c r="R37530" s="178"/>
      <c r="S37530" s="178"/>
    </row>
    <row r="37531" spans="18:19">
      <c r="R37531" s="178"/>
      <c r="S37531" s="178"/>
    </row>
    <row r="37532" spans="18:19">
      <c r="R37532" s="178"/>
      <c r="S37532" s="178"/>
    </row>
    <row r="37533" spans="18:19">
      <c r="R37533" s="178"/>
      <c r="S37533" s="178"/>
    </row>
    <row r="37534" spans="18:19">
      <c r="R37534" s="178"/>
      <c r="S37534" s="178"/>
    </row>
    <row r="37535" spans="18:19">
      <c r="R37535" s="178"/>
      <c r="S37535" s="178"/>
    </row>
    <row r="37536" spans="18:19">
      <c r="R37536" s="178"/>
      <c r="S37536" s="178"/>
    </row>
    <row r="37537" spans="18:19">
      <c r="R37537" s="178"/>
      <c r="S37537" s="178"/>
    </row>
    <row r="37538" spans="18:19">
      <c r="R37538" s="178"/>
      <c r="S37538" s="178"/>
    </row>
    <row r="37539" spans="18:19">
      <c r="R37539" s="178"/>
      <c r="S37539" s="178"/>
    </row>
    <row r="37540" spans="18:19">
      <c r="R37540" s="178"/>
      <c r="S37540" s="178"/>
    </row>
    <row r="37541" spans="18:19">
      <c r="R37541" s="178"/>
      <c r="S37541" s="178"/>
    </row>
    <row r="37542" spans="18:19">
      <c r="R37542" s="178"/>
      <c r="S37542" s="178"/>
    </row>
    <row r="37543" spans="18:19">
      <c r="R37543" s="178"/>
      <c r="S37543" s="178"/>
    </row>
    <row r="37544" spans="18:19">
      <c r="R37544" s="178"/>
      <c r="S37544" s="178"/>
    </row>
    <row r="37545" spans="18:19">
      <c r="R37545" s="178"/>
      <c r="S37545" s="178"/>
    </row>
    <row r="37546" spans="18:19">
      <c r="R37546" s="178"/>
      <c r="S37546" s="178"/>
    </row>
    <row r="37547" spans="18:19">
      <c r="R37547" s="178"/>
      <c r="S37547" s="178"/>
    </row>
    <row r="37548" spans="18:19">
      <c r="R37548" s="178"/>
      <c r="S37548" s="178"/>
    </row>
    <row r="37549" spans="18:19">
      <c r="R37549" s="178"/>
      <c r="S37549" s="178"/>
    </row>
    <row r="37550" spans="18:19">
      <c r="R37550" s="178"/>
      <c r="S37550" s="178"/>
    </row>
    <row r="37551" spans="18:19">
      <c r="R37551" s="178"/>
      <c r="S37551" s="178"/>
    </row>
    <row r="37552" spans="18:19">
      <c r="R37552" s="178"/>
      <c r="S37552" s="178"/>
    </row>
    <row r="37553" spans="18:19">
      <c r="R37553" s="178"/>
      <c r="S37553" s="178"/>
    </row>
    <row r="37554" spans="18:19">
      <c r="R37554" s="178"/>
      <c r="S37554" s="178"/>
    </row>
    <row r="37555" spans="18:19">
      <c r="R37555" s="178"/>
      <c r="S37555" s="178"/>
    </row>
    <row r="37556" spans="18:19">
      <c r="R37556" s="178"/>
      <c r="S37556" s="178"/>
    </row>
    <row r="37557" spans="18:19">
      <c r="R37557" s="178"/>
      <c r="S37557" s="178"/>
    </row>
    <row r="37558" spans="18:19">
      <c r="R37558" s="178"/>
      <c r="S37558" s="178"/>
    </row>
    <row r="37559" spans="18:19">
      <c r="R37559" s="178"/>
      <c r="S37559" s="178"/>
    </row>
    <row r="37560" spans="18:19">
      <c r="R37560" s="178"/>
      <c r="S37560" s="178"/>
    </row>
    <row r="37561" spans="18:19">
      <c r="R37561" s="178"/>
      <c r="S37561" s="178"/>
    </row>
    <row r="37562" spans="18:19">
      <c r="R37562" s="178"/>
      <c r="S37562" s="178"/>
    </row>
    <row r="37563" spans="18:19">
      <c r="R37563" s="178"/>
      <c r="S37563" s="178"/>
    </row>
    <row r="37564" spans="18:19">
      <c r="R37564" s="178"/>
      <c r="S37564" s="178"/>
    </row>
    <row r="37565" spans="18:19">
      <c r="R37565" s="178"/>
      <c r="S37565" s="178"/>
    </row>
    <row r="37566" spans="18:19">
      <c r="R37566" s="178"/>
      <c r="S37566" s="178"/>
    </row>
    <row r="37567" spans="18:19">
      <c r="R37567" s="178"/>
      <c r="S37567" s="178"/>
    </row>
    <row r="37568" spans="18:19">
      <c r="R37568" s="178"/>
      <c r="S37568" s="178"/>
    </row>
    <row r="37569" spans="18:19">
      <c r="R37569" s="178"/>
      <c r="S37569" s="178"/>
    </row>
    <row r="37570" spans="18:19">
      <c r="R37570" s="178"/>
      <c r="S37570" s="178"/>
    </row>
    <row r="37571" spans="18:19">
      <c r="R37571" s="178"/>
      <c r="S37571" s="178"/>
    </row>
    <row r="37572" spans="18:19">
      <c r="R37572" s="178"/>
      <c r="S37572" s="178"/>
    </row>
    <row r="37573" spans="18:19">
      <c r="R37573" s="178"/>
      <c r="S37573" s="178"/>
    </row>
    <row r="37574" spans="18:19">
      <c r="R37574" s="178"/>
      <c r="S37574" s="178"/>
    </row>
    <row r="37575" spans="18:19">
      <c r="R37575" s="178"/>
      <c r="S37575" s="178"/>
    </row>
    <row r="37576" spans="18:19">
      <c r="R37576" s="178"/>
      <c r="S37576" s="178"/>
    </row>
    <row r="37577" spans="18:19">
      <c r="R37577" s="178"/>
      <c r="S37577" s="178"/>
    </row>
    <row r="37578" spans="18:19">
      <c r="R37578" s="178"/>
      <c r="S37578" s="178"/>
    </row>
    <row r="37579" spans="18:19">
      <c r="R37579" s="178"/>
      <c r="S37579" s="178"/>
    </row>
    <row r="37580" spans="18:19">
      <c r="R37580" s="178"/>
      <c r="S37580" s="178"/>
    </row>
    <row r="37581" spans="18:19">
      <c r="R37581" s="178"/>
      <c r="S37581" s="178"/>
    </row>
    <row r="37582" spans="18:19">
      <c r="R37582" s="178"/>
      <c r="S37582" s="178"/>
    </row>
    <row r="37583" spans="18:19">
      <c r="R37583" s="178"/>
      <c r="S37583" s="178"/>
    </row>
    <row r="37584" spans="18:19">
      <c r="R37584" s="178"/>
      <c r="S37584" s="178"/>
    </row>
    <row r="37585" spans="18:19">
      <c r="R37585" s="178"/>
      <c r="S37585" s="178"/>
    </row>
    <row r="37586" spans="18:19">
      <c r="R37586" s="178"/>
      <c r="S37586" s="178"/>
    </row>
    <row r="37587" spans="18:19">
      <c r="R37587" s="178"/>
      <c r="S37587" s="178"/>
    </row>
    <row r="37588" spans="18:19">
      <c r="R37588" s="178"/>
      <c r="S37588" s="178"/>
    </row>
    <row r="37589" spans="18:19">
      <c r="R37589" s="178"/>
      <c r="S37589" s="178"/>
    </row>
    <row r="37590" spans="18:19">
      <c r="R37590" s="178"/>
      <c r="S37590" s="178"/>
    </row>
    <row r="37591" spans="18:19">
      <c r="R37591" s="178"/>
      <c r="S37591" s="178"/>
    </row>
    <row r="37592" spans="18:19">
      <c r="R37592" s="178"/>
      <c r="S37592" s="178"/>
    </row>
    <row r="37593" spans="18:19">
      <c r="R37593" s="178"/>
      <c r="S37593" s="178"/>
    </row>
    <row r="37594" spans="18:19">
      <c r="R37594" s="178"/>
      <c r="S37594" s="178"/>
    </row>
    <row r="37595" spans="18:19">
      <c r="R37595" s="178"/>
      <c r="S37595" s="178"/>
    </row>
    <row r="37596" spans="18:19">
      <c r="R37596" s="178"/>
      <c r="S37596" s="178"/>
    </row>
    <row r="37597" spans="18:19">
      <c r="R37597" s="178"/>
      <c r="S37597" s="178"/>
    </row>
    <row r="37598" spans="18:19">
      <c r="R37598" s="178"/>
      <c r="S37598" s="178"/>
    </row>
    <row r="37599" spans="18:19">
      <c r="R37599" s="178"/>
      <c r="S37599" s="178"/>
    </row>
    <row r="37600" spans="18:19">
      <c r="R37600" s="178"/>
      <c r="S37600" s="178"/>
    </row>
    <row r="37601" spans="18:19">
      <c r="R37601" s="178"/>
      <c r="S37601" s="178"/>
    </row>
    <row r="37602" spans="18:19">
      <c r="R37602" s="178"/>
      <c r="S37602" s="178"/>
    </row>
    <row r="37603" spans="18:19">
      <c r="R37603" s="178"/>
      <c r="S37603" s="178"/>
    </row>
    <row r="37604" spans="18:19">
      <c r="R37604" s="178"/>
      <c r="S37604" s="178"/>
    </row>
    <row r="37605" spans="18:19">
      <c r="R37605" s="178"/>
      <c r="S37605" s="178"/>
    </row>
    <row r="37606" spans="18:19">
      <c r="R37606" s="178"/>
      <c r="S37606" s="178"/>
    </row>
    <row r="37607" spans="18:19">
      <c r="R37607" s="178"/>
      <c r="S37607" s="178"/>
    </row>
    <row r="37608" spans="18:19">
      <c r="R37608" s="178"/>
      <c r="S37608" s="178"/>
    </row>
    <row r="37609" spans="18:19">
      <c r="R37609" s="178"/>
      <c r="S37609" s="178"/>
    </row>
    <row r="37610" spans="18:19">
      <c r="R37610" s="178"/>
      <c r="S37610" s="178"/>
    </row>
    <row r="37611" spans="18:19">
      <c r="R37611" s="178"/>
      <c r="S37611" s="178"/>
    </row>
    <row r="37612" spans="18:19">
      <c r="R37612" s="178"/>
      <c r="S37612" s="178"/>
    </row>
    <row r="37613" spans="18:19">
      <c r="R37613" s="178"/>
      <c r="S37613" s="178"/>
    </row>
    <row r="37614" spans="18:19">
      <c r="R37614" s="178"/>
      <c r="S37614" s="178"/>
    </row>
    <row r="37615" spans="18:19">
      <c r="R37615" s="178"/>
      <c r="S37615" s="178"/>
    </row>
    <row r="37616" spans="18:19">
      <c r="R37616" s="178"/>
      <c r="S37616" s="178"/>
    </row>
    <row r="37617" spans="18:19">
      <c r="R37617" s="178"/>
      <c r="S37617" s="178"/>
    </row>
    <row r="37618" spans="18:19">
      <c r="R37618" s="178"/>
      <c r="S37618" s="178"/>
    </row>
    <row r="37619" spans="18:19">
      <c r="R37619" s="178"/>
      <c r="S37619" s="178"/>
    </row>
    <row r="37620" spans="18:19">
      <c r="R37620" s="178"/>
      <c r="S37620" s="178"/>
    </row>
    <row r="37621" spans="18:19">
      <c r="R37621" s="178"/>
      <c r="S37621" s="178"/>
    </row>
    <row r="37622" spans="18:19">
      <c r="R37622" s="178"/>
      <c r="S37622" s="178"/>
    </row>
    <row r="37623" spans="18:19">
      <c r="R37623" s="178"/>
      <c r="S37623" s="178"/>
    </row>
    <row r="37624" spans="18:19">
      <c r="R37624" s="178"/>
      <c r="S37624" s="178"/>
    </row>
    <row r="37625" spans="18:19">
      <c r="R37625" s="178"/>
      <c r="S37625" s="178"/>
    </row>
    <row r="37626" spans="18:19">
      <c r="R37626" s="178"/>
      <c r="S37626" s="178"/>
    </row>
    <row r="37627" spans="18:19">
      <c r="R37627" s="178"/>
      <c r="S37627" s="178"/>
    </row>
    <row r="37628" spans="18:19">
      <c r="R37628" s="178"/>
      <c r="S37628" s="178"/>
    </row>
    <row r="37629" spans="18:19">
      <c r="R37629" s="178"/>
      <c r="S37629" s="178"/>
    </row>
    <row r="37630" spans="18:19">
      <c r="R37630" s="178"/>
      <c r="S37630" s="178"/>
    </row>
    <row r="37631" spans="18:19">
      <c r="R37631" s="178"/>
      <c r="S37631" s="178"/>
    </row>
    <row r="37632" spans="18:19">
      <c r="R37632" s="178"/>
      <c r="S37632" s="178"/>
    </row>
    <row r="37633" spans="18:19">
      <c r="R37633" s="178"/>
      <c r="S37633" s="178"/>
    </row>
    <row r="37634" spans="18:19">
      <c r="R37634" s="178"/>
      <c r="S37634" s="178"/>
    </row>
    <row r="37635" spans="18:19">
      <c r="R37635" s="178"/>
      <c r="S37635" s="178"/>
    </row>
    <row r="37636" spans="18:19">
      <c r="R37636" s="178"/>
      <c r="S37636" s="178"/>
    </row>
    <row r="37637" spans="18:19">
      <c r="R37637" s="178"/>
      <c r="S37637" s="178"/>
    </row>
    <row r="37638" spans="18:19">
      <c r="R37638" s="178"/>
      <c r="S37638" s="178"/>
    </row>
    <row r="37639" spans="18:19">
      <c r="R37639" s="178"/>
      <c r="S37639" s="178"/>
    </row>
    <row r="37640" spans="18:19">
      <c r="R37640" s="178"/>
      <c r="S37640" s="178"/>
    </row>
    <row r="37641" spans="18:19">
      <c r="R37641" s="178"/>
      <c r="S37641" s="178"/>
    </row>
    <row r="37642" spans="18:19">
      <c r="R37642" s="178"/>
      <c r="S37642" s="178"/>
    </row>
    <row r="37643" spans="18:19">
      <c r="R37643" s="178"/>
      <c r="S37643" s="178"/>
    </row>
    <row r="37644" spans="18:19">
      <c r="R37644" s="178"/>
      <c r="S37644" s="178"/>
    </row>
    <row r="37645" spans="18:19">
      <c r="R37645" s="178"/>
      <c r="S37645" s="178"/>
    </row>
    <row r="37646" spans="18:19">
      <c r="R37646" s="178"/>
      <c r="S37646" s="178"/>
    </row>
    <row r="37647" spans="18:19">
      <c r="R37647" s="178"/>
      <c r="S37647" s="178"/>
    </row>
    <row r="37648" spans="18:19">
      <c r="R37648" s="178"/>
      <c r="S37648" s="178"/>
    </row>
    <row r="37649" spans="18:19">
      <c r="R37649" s="178"/>
      <c r="S37649" s="178"/>
    </row>
    <row r="37650" spans="18:19">
      <c r="R37650" s="178"/>
      <c r="S37650" s="178"/>
    </row>
    <row r="37651" spans="18:19">
      <c r="R37651" s="178"/>
      <c r="S37651" s="178"/>
    </row>
    <row r="37652" spans="18:19">
      <c r="R37652" s="178"/>
      <c r="S37652" s="178"/>
    </row>
    <row r="37653" spans="18:19">
      <c r="R37653" s="178"/>
      <c r="S37653" s="178"/>
    </row>
    <row r="37654" spans="18:19">
      <c r="R37654" s="178"/>
      <c r="S37654" s="178"/>
    </row>
    <row r="37655" spans="18:19">
      <c r="R37655" s="178"/>
      <c r="S37655" s="178"/>
    </row>
    <row r="37656" spans="18:19">
      <c r="R37656" s="178"/>
      <c r="S37656" s="178"/>
    </row>
    <row r="37657" spans="18:19">
      <c r="R37657" s="178"/>
      <c r="S37657" s="178"/>
    </row>
    <row r="37658" spans="18:19">
      <c r="R37658" s="178"/>
      <c r="S37658" s="178"/>
    </row>
    <row r="37659" spans="18:19">
      <c r="R37659" s="178"/>
      <c r="S37659" s="178"/>
    </row>
    <row r="37660" spans="18:19">
      <c r="R37660" s="178"/>
      <c r="S37660" s="178"/>
    </row>
    <row r="37661" spans="18:19">
      <c r="R37661" s="178"/>
      <c r="S37661" s="178"/>
    </row>
    <row r="37662" spans="18:19">
      <c r="R37662" s="178"/>
      <c r="S37662" s="178"/>
    </row>
    <row r="37663" spans="18:19">
      <c r="R37663" s="178"/>
      <c r="S37663" s="178"/>
    </row>
    <row r="37664" spans="18:19">
      <c r="R37664" s="178"/>
      <c r="S37664" s="178"/>
    </row>
    <row r="37665" spans="18:19">
      <c r="R37665" s="178"/>
      <c r="S37665" s="178"/>
    </row>
    <row r="37666" spans="18:19">
      <c r="R37666" s="178"/>
      <c r="S37666" s="178"/>
    </row>
    <row r="37667" spans="18:19">
      <c r="R37667" s="178"/>
      <c r="S37667" s="178"/>
    </row>
    <row r="37668" spans="18:19">
      <c r="R37668" s="178"/>
      <c r="S37668" s="178"/>
    </row>
    <row r="37669" spans="18:19">
      <c r="R37669" s="178"/>
      <c r="S37669" s="178"/>
    </row>
    <row r="37670" spans="18:19">
      <c r="R37670" s="178"/>
      <c r="S37670" s="178"/>
    </row>
    <row r="37671" spans="18:19">
      <c r="R37671" s="178"/>
      <c r="S37671" s="178"/>
    </row>
    <row r="37672" spans="18:19">
      <c r="R37672" s="178"/>
      <c r="S37672" s="178"/>
    </row>
    <row r="37673" spans="18:19">
      <c r="R37673" s="178"/>
      <c r="S37673" s="178"/>
    </row>
    <row r="37674" spans="18:19">
      <c r="R37674" s="178"/>
      <c r="S37674" s="178"/>
    </row>
    <row r="37675" spans="18:19">
      <c r="R37675" s="178"/>
      <c r="S37675" s="178"/>
    </row>
    <row r="37676" spans="18:19">
      <c r="R37676" s="178"/>
      <c r="S37676" s="178"/>
    </row>
    <row r="37677" spans="18:19">
      <c r="R37677" s="178"/>
      <c r="S37677" s="178"/>
    </row>
    <row r="37678" spans="18:19">
      <c r="R37678" s="178"/>
      <c r="S37678" s="178"/>
    </row>
    <row r="37679" spans="18:19">
      <c r="R37679" s="178"/>
      <c r="S37679" s="178"/>
    </row>
    <row r="37680" spans="18:19">
      <c r="R37680" s="178"/>
      <c r="S37680" s="178"/>
    </row>
    <row r="37681" spans="18:19">
      <c r="R37681" s="178"/>
      <c r="S37681" s="178"/>
    </row>
    <row r="37682" spans="18:19">
      <c r="R37682" s="178"/>
      <c r="S37682" s="178"/>
    </row>
    <row r="37683" spans="18:19">
      <c r="R37683" s="178"/>
      <c r="S37683" s="178"/>
    </row>
    <row r="37684" spans="18:19">
      <c r="R37684" s="178"/>
      <c r="S37684" s="178"/>
    </row>
    <row r="37685" spans="18:19">
      <c r="R37685" s="178"/>
      <c r="S37685" s="178"/>
    </row>
    <row r="37686" spans="18:19">
      <c r="R37686" s="178"/>
      <c r="S37686" s="178"/>
    </row>
    <row r="37687" spans="18:19">
      <c r="R37687" s="178"/>
      <c r="S37687" s="178"/>
    </row>
    <row r="37688" spans="18:19">
      <c r="R37688" s="178"/>
      <c r="S37688" s="178"/>
    </row>
    <row r="37689" spans="18:19">
      <c r="R37689" s="178"/>
      <c r="S37689" s="178"/>
    </row>
    <row r="37690" spans="18:19">
      <c r="R37690" s="178"/>
      <c r="S37690" s="178"/>
    </row>
    <row r="37691" spans="18:19">
      <c r="R37691" s="178"/>
      <c r="S37691" s="178"/>
    </row>
    <row r="37692" spans="18:19">
      <c r="R37692" s="178"/>
      <c r="S37692" s="178"/>
    </row>
    <row r="37693" spans="18:19">
      <c r="R37693" s="178"/>
      <c r="S37693" s="178"/>
    </row>
    <row r="37694" spans="18:19">
      <c r="R37694" s="178"/>
      <c r="S37694" s="178"/>
    </row>
    <row r="37695" spans="18:19">
      <c r="R37695" s="178"/>
      <c r="S37695" s="178"/>
    </row>
    <row r="37696" spans="18:19">
      <c r="R37696" s="178"/>
      <c r="S37696" s="178"/>
    </row>
    <row r="37697" spans="18:19">
      <c r="R37697" s="178"/>
      <c r="S37697" s="178"/>
    </row>
    <row r="37698" spans="18:19">
      <c r="R37698" s="178"/>
      <c r="S37698" s="178"/>
    </row>
    <row r="37699" spans="18:19">
      <c r="R37699" s="178"/>
      <c r="S37699" s="178"/>
    </row>
    <row r="37700" spans="18:19">
      <c r="R37700" s="178"/>
      <c r="S37700" s="178"/>
    </row>
    <row r="37701" spans="18:19">
      <c r="R37701" s="178"/>
      <c r="S37701" s="178"/>
    </row>
    <row r="37702" spans="18:19">
      <c r="R37702" s="178"/>
      <c r="S37702" s="178"/>
    </row>
    <row r="37703" spans="18:19">
      <c r="R37703" s="178"/>
      <c r="S37703" s="178"/>
    </row>
    <row r="37704" spans="18:19">
      <c r="R37704" s="178"/>
      <c r="S37704" s="178"/>
    </row>
    <row r="37705" spans="18:19">
      <c r="R37705" s="178"/>
      <c r="S37705" s="178"/>
    </row>
    <row r="37706" spans="18:19">
      <c r="R37706" s="178"/>
      <c r="S37706" s="178"/>
    </row>
    <row r="37707" spans="18:19">
      <c r="R37707" s="178"/>
      <c r="S37707" s="178"/>
    </row>
    <row r="37708" spans="18:19">
      <c r="R37708" s="178"/>
      <c r="S37708" s="178"/>
    </row>
    <row r="37709" spans="18:19">
      <c r="R37709" s="178"/>
      <c r="S37709" s="178"/>
    </row>
    <row r="37710" spans="18:19">
      <c r="R37710" s="178"/>
      <c r="S37710" s="178"/>
    </row>
    <row r="37711" spans="18:19">
      <c r="R37711" s="178"/>
      <c r="S37711" s="178"/>
    </row>
    <row r="37712" spans="18:19">
      <c r="R37712" s="178"/>
      <c r="S37712" s="178"/>
    </row>
    <row r="37713" spans="18:19">
      <c r="R37713" s="178"/>
      <c r="S37713" s="178"/>
    </row>
    <row r="37714" spans="18:19">
      <c r="R37714" s="178"/>
      <c r="S37714" s="178"/>
    </row>
    <row r="37715" spans="18:19">
      <c r="R37715" s="178"/>
      <c r="S37715" s="178"/>
    </row>
    <row r="37716" spans="18:19">
      <c r="R37716" s="178"/>
      <c r="S37716" s="178"/>
    </row>
    <row r="37717" spans="18:19">
      <c r="R37717" s="178"/>
      <c r="S37717" s="178"/>
    </row>
    <row r="37718" spans="18:19">
      <c r="R37718" s="178"/>
      <c r="S37718" s="178"/>
    </row>
    <row r="37719" spans="18:19">
      <c r="R37719" s="178"/>
      <c r="S37719" s="178"/>
    </row>
    <row r="37720" spans="18:19">
      <c r="R37720" s="178"/>
      <c r="S37720" s="178"/>
    </row>
    <row r="37721" spans="18:19">
      <c r="R37721" s="178"/>
      <c r="S37721" s="178"/>
    </row>
    <row r="37722" spans="18:19">
      <c r="R37722" s="178"/>
      <c r="S37722" s="178"/>
    </row>
    <row r="37723" spans="18:19">
      <c r="R37723" s="178"/>
      <c r="S37723" s="178"/>
    </row>
    <row r="37724" spans="18:19">
      <c r="R37724" s="178"/>
      <c r="S37724" s="178"/>
    </row>
    <row r="37725" spans="18:19">
      <c r="R37725" s="178"/>
      <c r="S37725" s="178"/>
    </row>
    <row r="37726" spans="18:19">
      <c r="R37726" s="178"/>
      <c r="S37726" s="178"/>
    </row>
    <row r="37727" spans="18:19">
      <c r="R37727" s="178"/>
      <c r="S37727" s="178"/>
    </row>
    <row r="37728" spans="18:19">
      <c r="R37728" s="178"/>
      <c r="S37728" s="178"/>
    </row>
    <row r="37729" spans="18:19">
      <c r="R37729" s="178"/>
      <c r="S37729" s="178"/>
    </row>
    <row r="37730" spans="18:19">
      <c r="R37730" s="178"/>
      <c r="S37730" s="178"/>
    </row>
    <row r="37731" spans="18:19">
      <c r="R37731" s="178"/>
      <c r="S37731" s="178"/>
    </row>
    <row r="37732" spans="18:19">
      <c r="R37732" s="178"/>
      <c r="S37732" s="178"/>
    </row>
    <row r="37733" spans="18:19">
      <c r="R37733" s="178"/>
      <c r="S37733" s="178"/>
    </row>
    <row r="37734" spans="18:19">
      <c r="R37734" s="178"/>
      <c r="S37734" s="178"/>
    </row>
    <row r="37735" spans="18:19">
      <c r="R37735" s="178"/>
      <c r="S37735" s="178"/>
    </row>
    <row r="37736" spans="18:19">
      <c r="R37736" s="178"/>
      <c r="S37736" s="178"/>
    </row>
    <row r="37737" spans="18:19">
      <c r="R37737" s="178"/>
      <c r="S37737" s="178"/>
    </row>
    <row r="37738" spans="18:19">
      <c r="R37738" s="178"/>
      <c r="S37738" s="178"/>
    </row>
    <row r="37739" spans="18:19">
      <c r="R37739" s="178"/>
      <c r="S37739" s="178"/>
    </row>
    <row r="37740" spans="18:19">
      <c r="R37740" s="178"/>
      <c r="S37740" s="178"/>
    </row>
    <row r="37741" spans="18:19">
      <c r="R37741" s="178"/>
      <c r="S37741" s="178"/>
    </row>
    <row r="37742" spans="18:19">
      <c r="R37742" s="178"/>
      <c r="S37742" s="178"/>
    </row>
    <row r="37743" spans="18:19">
      <c r="R37743" s="178"/>
      <c r="S37743" s="178"/>
    </row>
    <row r="37744" spans="18:19">
      <c r="R37744" s="178"/>
      <c r="S37744" s="178"/>
    </row>
    <row r="37745" spans="18:19">
      <c r="R37745" s="178"/>
      <c r="S37745" s="178"/>
    </row>
    <row r="37746" spans="18:19">
      <c r="R37746" s="178"/>
      <c r="S37746" s="178"/>
    </row>
    <row r="37747" spans="18:19">
      <c r="R37747" s="178"/>
      <c r="S37747" s="178"/>
    </row>
    <row r="37748" spans="18:19">
      <c r="R37748" s="178"/>
      <c r="S37748" s="178"/>
    </row>
    <row r="37749" spans="18:19">
      <c r="R37749" s="178"/>
      <c r="S37749" s="178"/>
    </row>
    <row r="37750" spans="18:19">
      <c r="R37750" s="178"/>
      <c r="S37750" s="178"/>
    </row>
    <row r="37751" spans="18:19">
      <c r="R37751" s="178"/>
      <c r="S37751" s="178"/>
    </row>
    <row r="37752" spans="18:19">
      <c r="R37752" s="178"/>
      <c r="S37752" s="178"/>
    </row>
    <row r="37753" spans="18:19">
      <c r="R37753" s="178"/>
      <c r="S37753" s="178"/>
    </row>
    <row r="37754" spans="18:19">
      <c r="R37754" s="178"/>
      <c r="S37754" s="178"/>
    </row>
    <row r="37755" spans="18:19">
      <c r="R37755" s="178"/>
      <c r="S37755" s="178"/>
    </row>
    <row r="37756" spans="18:19">
      <c r="R37756" s="178"/>
      <c r="S37756" s="178"/>
    </row>
    <row r="37757" spans="18:19">
      <c r="R37757" s="178"/>
      <c r="S37757" s="178"/>
    </row>
    <row r="37758" spans="18:19">
      <c r="R37758" s="178"/>
      <c r="S37758" s="178"/>
    </row>
    <row r="37759" spans="18:19">
      <c r="R37759" s="178"/>
      <c r="S37759" s="178"/>
    </row>
    <row r="37760" spans="18:19">
      <c r="R37760" s="178"/>
      <c r="S37760" s="178"/>
    </row>
    <row r="37761" spans="18:19">
      <c r="R37761" s="178"/>
      <c r="S37761" s="178"/>
    </row>
    <row r="37762" spans="18:19">
      <c r="R37762" s="178"/>
      <c r="S37762" s="178"/>
    </row>
    <row r="37763" spans="18:19">
      <c r="R37763" s="178"/>
      <c r="S37763" s="178"/>
    </row>
    <row r="37764" spans="18:19">
      <c r="R37764" s="178"/>
      <c r="S37764" s="178"/>
    </row>
    <row r="37765" spans="18:19">
      <c r="R37765" s="178"/>
      <c r="S37765" s="178"/>
    </row>
    <row r="37766" spans="18:19">
      <c r="R37766" s="178"/>
      <c r="S37766" s="178"/>
    </row>
    <row r="37767" spans="18:19">
      <c r="R37767" s="178"/>
      <c r="S37767" s="178"/>
    </row>
    <row r="37768" spans="18:19">
      <c r="R37768" s="178"/>
      <c r="S37768" s="178"/>
    </row>
    <row r="37769" spans="18:19">
      <c r="R37769" s="178"/>
      <c r="S37769" s="178"/>
    </row>
    <row r="37770" spans="18:19">
      <c r="R37770" s="178"/>
      <c r="S37770" s="178"/>
    </row>
    <row r="37771" spans="18:19">
      <c r="R37771" s="178"/>
      <c r="S37771" s="178"/>
    </row>
    <row r="37772" spans="18:19">
      <c r="R37772" s="178"/>
      <c r="S37772" s="178"/>
    </row>
    <row r="37773" spans="18:19">
      <c r="R37773" s="178"/>
      <c r="S37773" s="178"/>
    </row>
    <row r="37774" spans="18:19">
      <c r="R37774" s="178"/>
      <c r="S37774" s="178"/>
    </row>
    <row r="37775" spans="18:19">
      <c r="R37775" s="178"/>
      <c r="S37775" s="178"/>
    </row>
    <row r="37776" spans="18:19">
      <c r="R37776" s="178"/>
      <c r="S37776" s="178"/>
    </row>
    <row r="37777" spans="18:19">
      <c r="R37777" s="178"/>
      <c r="S37777" s="178"/>
    </row>
    <row r="37778" spans="18:19">
      <c r="R37778" s="178"/>
      <c r="S37778" s="178"/>
    </row>
    <row r="37779" spans="18:19">
      <c r="R37779" s="178"/>
      <c r="S37779" s="178"/>
    </row>
    <row r="37780" spans="18:19">
      <c r="R37780" s="178"/>
      <c r="S37780" s="178"/>
    </row>
    <row r="37781" spans="18:19">
      <c r="R37781" s="178"/>
      <c r="S37781" s="178"/>
    </row>
    <row r="37782" spans="18:19">
      <c r="R37782" s="178"/>
      <c r="S37782" s="178"/>
    </row>
    <row r="37783" spans="18:19">
      <c r="R37783" s="178"/>
      <c r="S37783" s="178"/>
    </row>
    <row r="37784" spans="18:19">
      <c r="R37784" s="178"/>
      <c r="S37784" s="178"/>
    </row>
    <row r="37785" spans="18:19">
      <c r="R37785" s="178"/>
      <c r="S37785" s="178"/>
    </row>
    <row r="37786" spans="18:19">
      <c r="R37786" s="178"/>
      <c r="S37786" s="178"/>
    </row>
    <row r="37787" spans="18:19">
      <c r="R37787" s="178"/>
      <c r="S37787" s="178"/>
    </row>
    <row r="37788" spans="18:19">
      <c r="R37788" s="178"/>
      <c r="S37788" s="178"/>
    </row>
    <row r="37789" spans="18:19">
      <c r="R37789" s="178"/>
      <c r="S37789" s="178"/>
    </row>
    <row r="37790" spans="18:19">
      <c r="R37790" s="178"/>
      <c r="S37790" s="178"/>
    </row>
    <row r="37791" spans="18:19">
      <c r="R37791" s="178"/>
      <c r="S37791" s="178"/>
    </row>
    <row r="37792" spans="18:19">
      <c r="R37792" s="178"/>
      <c r="S37792" s="178"/>
    </row>
    <row r="37793" spans="18:19">
      <c r="R37793" s="178"/>
      <c r="S37793" s="178"/>
    </row>
    <row r="37794" spans="18:19">
      <c r="R37794" s="178"/>
      <c r="S37794" s="178"/>
    </row>
    <row r="37795" spans="18:19">
      <c r="R37795" s="178"/>
      <c r="S37795" s="178"/>
    </row>
    <row r="37796" spans="18:19">
      <c r="R37796" s="178"/>
      <c r="S37796" s="178"/>
    </row>
    <row r="37797" spans="18:19">
      <c r="R37797" s="178"/>
      <c r="S37797" s="178"/>
    </row>
    <row r="37798" spans="18:19">
      <c r="R37798" s="178"/>
      <c r="S37798" s="178"/>
    </row>
    <row r="37799" spans="18:19">
      <c r="R37799" s="178"/>
      <c r="S37799" s="178"/>
    </row>
    <row r="37800" spans="18:19">
      <c r="R37800" s="178"/>
      <c r="S37800" s="178"/>
    </row>
    <row r="37801" spans="18:19">
      <c r="R37801" s="178"/>
      <c r="S37801" s="178"/>
    </row>
    <row r="37802" spans="18:19">
      <c r="R37802" s="178"/>
      <c r="S37802" s="178"/>
    </row>
    <row r="37803" spans="18:19">
      <c r="R37803" s="178"/>
      <c r="S37803" s="178"/>
    </row>
    <row r="37804" spans="18:19">
      <c r="R37804" s="178"/>
      <c r="S37804" s="178"/>
    </row>
    <row r="37805" spans="18:19">
      <c r="R37805" s="178"/>
      <c r="S37805" s="178"/>
    </row>
    <row r="37806" spans="18:19">
      <c r="R37806" s="178"/>
      <c r="S37806" s="178"/>
    </row>
    <row r="37807" spans="18:19">
      <c r="R37807" s="178"/>
      <c r="S37807" s="178"/>
    </row>
    <row r="37808" spans="18:19">
      <c r="R37808" s="178"/>
      <c r="S37808" s="178"/>
    </row>
    <row r="37809" spans="18:19">
      <c r="R37809" s="178"/>
      <c r="S37809" s="178"/>
    </row>
    <row r="37810" spans="18:19">
      <c r="R37810" s="178"/>
      <c r="S37810" s="178"/>
    </row>
    <row r="37811" spans="18:19">
      <c r="R37811" s="178"/>
      <c r="S37811" s="178"/>
    </row>
    <row r="37812" spans="18:19">
      <c r="R37812" s="178"/>
      <c r="S37812" s="178"/>
    </row>
    <row r="37813" spans="18:19">
      <c r="R37813" s="178"/>
      <c r="S37813" s="178"/>
    </row>
    <row r="37814" spans="18:19">
      <c r="R37814" s="178"/>
      <c r="S37814" s="178"/>
    </row>
    <row r="37815" spans="18:19">
      <c r="R37815" s="178"/>
      <c r="S37815" s="178"/>
    </row>
    <row r="37816" spans="18:19">
      <c r="R37816" s="178"/>
      <c r="S37816" s="178"/>
    </row>
    <row r="37817" spans="18:19">
      <c r="R37817" s="178"/>
      <c r="S37817" s="178"/>
    </row>
    <row r="37818" spans="18:19">
      <c r="R37818" s="178"/>
      <c r="S37818" s="178"/>
    </row>
    <row r="37819" spans="18:19">
      <c r="R37819" s="178"/>
      <c r="S37819" s="178"/>
    </row>
    <row r="37820" spans="18:19">
      <c r="R37820" s="178"/>
      <c r="S37820" s="178"/>
    </row>
    <row r="37821" spans="18:19">
      <c r="R37821" s="178"/>
      <c r="S37821" s="178"/>
    </row>
    <row r="37822" spans="18:19">
      <c r="R37822" s="178"/>
      <c r="S37822" s="178"/>
    </row>
    <row r="37823" spans="18:19">
      <c r="R37823" s="178"/>
      <c r="S37823" s="178"/>
    </row>
    <row r="37824" spans="18:19">
      <c r="R37824" s="178"/>
      <c r="S37824" s="178"/>
    </row>
    <row r="37825" spans="18:19">
      <c r="R37825" s="178"/>
      <c r="S37825" s="178"/>
    </row>
    <row r="37826" spans="18:19">
      <c r="R37826" s="178"/>
      <c r="S37826" s="178"/>
    </row>
    <row r="37827" spans="18:19">
      <c r="R37827" s="178"/>
      <c r="S37827" s="178"/>
    </row>
    <row r="37828" spans="18:19">
      <c r="R37828" s="178"/>
      <c r="S37828" s="178"/>
    </row>
    <row r="37829" spans="18:19">
      <c r="R37829" s="178"/>
      <c r="S37829" s="178"/>
    </row>
    <row r="37830" spans="18:19">
      <c r="R37830" s="178"/>
      <c r="S37830" s="178"/>
    </row>
    <row r="37831" spans="18:19">
      <c r="R37831" s="178"/>
      <c r="S37831" s="178"/>
    </row>
    <row r="37832" spans="18:19">
      <c r="R37832" s="178"/>
      <c r="S37832" s="178"/>
    </row>
    <row r="37833" spans="18:19">
      <c r="R37833" s="178"/>
      <c r="S37833" s="178"/>
    </row>
    <row r="37834" spans="18:19">
      <c r="R37834" s="178"/>
      <c r="S37834" s="178"/>
    </row>
    <row r="37835" spans="18:19">
      <c r="R37835" s="178"/>
      <c r="S37835" s="178"/>
    </row>
    <row r="37836" spans="18:19">
      <c r="R37836" s="178"/>
      <c r="S37836" s="178"/>
    </row>
    <row r="37837" spans="18:19">
      <c r="R37837" s="178"/>
      <c r="S37837" s="178"/>
    </row>
    <row r="37838" spans="18:19">
      <c r="R37838" s="178"/>
      <c r="S37838" s="178"/>
    </row>
    <row r="37839" spans="18:19">
      <c r="R37839" s="178"/>
      <c r="S37839" s="178"/>
    </row>
    <row r="37840" spans="18:19">
      <c r="R37840" s="178"/>
      <c r="S37840" s="178"/>
    </row>
    <row r="37841" spans="18:19">
      <c r="R37841" s="178"/>
      <c r="S37841" s="178"/>
    </row>
    <row r="37842" spans="18:19">
      <c r="R37842" s="178"/>
      <c r="S37842" s="178"/>
    </row>
    <row r="37843" spans="18:19">
      <c r="R37843" s="178"/>
      <c r="S37843" s="178"/>
    </row>
    <row r="37844" spans="18:19">
      <c r="R37844" s="178"/>
      <c r="S37844" s="178"/>
    </row>
    <row r="37845" spans="18:19">
      <c r="R37845" s="178"/>
      <c r="S37845" s="178"/>
    </row>
    <row r="37846" spans="18:19">
      <c r="R37846" s="178"/>
      <c r="S37846" s="178"/>
    </row>
    <row r="37847" spans="18:19">
      <c r="R37847" s="178"/>
      <c r="S37847" s="178"/>
    </row>
    <row r="37848" spans="18:19">
      <c r="R37848" s="178"/>
      <c r="S37848" s="178"/>
    </row>
    <row r="37849" spans="18:19">
      <c r="R37849" s="178"/>
      <c r="S37849" s="178"/>
    </row>
    <row r="37850" spans="18:19">
      <c r="R37850" s="178"/>
      <c r="S37850" s="178"/>
    </row>
    <row r="37851" spans="18:19">
      <c r="R37851" s="178"/>
      <c r="S37851" s="178"/>
    </row>
    <row r="37852" spans="18:19">
      <c r="R37852" s="178"/>
      <c r="S37852" s="178"/>
    </row>
    <row r="37853" spans="18:19">
      <c r="R37853" s="178"/>
      <c r="S37853" s="178"/>
    </row>
    <row r="37854" spans="18:19">
      <c r="R37854" s="178"/>
      <c r="S37854" s="178"/>
    </row>
    <row r="37855" spans="18:19">
      <c r="R37855" s="178"/>
      <c r="S37855" s="178"/>
    </row>
    <row r="37856" spans="18:19">
      <c r="R37856" s="178"/>
      <c r="S37856" s="178"/>
    </row>
    <row r="37857" spans="18:19">
      <c r="R37857" s="178"/>
      <c r="S37857" s="178"/>
    </row>
    <row r="37858" spans="18:19">
      <c r="R37858" s="178"/>
      <c r="S37858" s="178"/>
    </row>
    <row r="37859" spans="18:19">
      <c r="R37859" s="178"/>
      <c r="S37859" s="178"/>
    </row>
    <row r="37860" spans="18:19">
      <c r="R37860" s="178"/>
      <c r="S37860" s="178"/>
    </row>
    <row r="37861" spans="18:19">
      <c r="R37861" s="178"/>
      <c r="S37861" s="178"/>
    </row>
    <row r="37862" spans="18:19">
      <c r="R37862" s="178"/>
      <c r="S37862" s="178"/>
    </row>
    <row r="37863" spans="18:19">
      <c r="R37863" s="178"/>
      <c r="S37863" s="178"/>
    </row>
    <row r="37864" spans="18:19">
      <c r="R37864" s="178"/>
      <c r="S37864" s="178"/>
    </row>
    <row r="37865" spans="18:19">
      <c r="R37865" s="178"/>
      <c r="S37865" s="178"/>
    </row>
    <row r="37866" spans="18:19">
      <c r="R37866" s="178"/>
      <c r="S37866" s="178"/>
    </row>
    <row r="37867" spans="18:19">
      <c r="R37867" s="178"/>
      <c r="S37867" s="178"/>
    </row>
    <row r="37868" spans="18:19">
      <c r="R37868" s="178"/>
      <c r="S37868" s="178"/>
    </row>
    <row r="37869" spans="18:19">
      <c r="R37869" s="178"/>
      <c r="S37869" s="178"/>
    </row>
    <row r="37870" spans="18:19">
      <c r="R37870" s="178"/>
      <c r="S37870" s="178"/>
    </row>
    <row r="37871" spans="18:19">
      <c r="R37871" s="178"/>
      <c r="S37871" s="178"/>
    </row>
    <row r="37872" spans="18:19">
      <c r="R37872" s="178"/>
      <c r="S37872" s="178"/>
    </row>
    <row r="37873" spans="18:19">
      <c r="R37873" s="178"/>
      <c r="S37873" s="178"/>
    </row>
    <row r="37874" spans="18:19">
      <c r="R37874" s="178"/>
      <c r="S37874" s="178"/>
    </row>
    <row r="37875" spans="18:19">
      <c r="R37875" s="178"/>
      <c r="S37875" s="178"/>
    </row>
    <row r="37876" spans="18:19">
      <c r="R37876" s="178"/>
      <c r="S37876" s="178"/>
    </row>
    <row r="37877" spans="18:19">
      <c r="R37877" s="178"/>
      <c r="S37877" s="178"/>
    </row>
    <row r="37878" spans="18:19">
      <c r="R37878" s="178"/>
      <c r="S37878" s="178"/>
    </row>
    <row r="37879" spans="18:19">
      <c r="R37879" s="178"/>
      <c r="S37879" s="178"/>
    </row>
    <row r="37880" spans="18:19">
      <c r="R37880" s="178"/>
      <c r="S37880" s="178"/>
    </row>
    <row r="37881" spans="18:19">
      <c r="R37881" s="178"/>
      <c r="S37881" s="178"/>
    </row>
    <row r="37882" spans="18:19">
      <c r="R37882" s="178"/>
      <c r="S37882" s="178"/>
    </row>
    <row r="37883" spans="18:19">
      <c r="R37883" s="178"/>
      <c r="S37883" s="178"/>
    </row>
    <row r="37884" spans="18:19">
      <c r="R37884" s="178"/>
      <c r="S37884" s="178"/>
    </row>
    <row r="37885" spans="18:19">
      <c r="R37885" s="178"/>
      <c r="S37885" s="178"/>
    </row>
    <row r="37886" spans="18:19">
      <c r="R37886" s="178"/>
      <c r="S37886" s="178"/>
    </row>
    <row r="37887" spans="18:19">
      <c r="R37887" s="178"/>
      <c r="S37887" s="178"/>
    </row>
    <row r="37888" spans="18:19">
      <c r="R37888" s="178"/>
      <c r="S37888" s="178"/>
    </row>
    <row r="37889" spans="18:19">
      <c r="R37889" s="178"/>
      <c r="S37889" s="178"/>
    </row>
    <row r="37890" spans="18:19">
      <c r="R37890" s="178"/>
      <c r="S37890" s="178"/>
    </row>
    <row r="37891" spans="18:19">
      <c r="R37891" s="178"/>
      <c r="S37891" s="178"/>
    </row>
    <row r="37892" spans="18:19">
      <c r="R37892" s="178"/>
      <c r="S37892" s="178"/>
    </row>
    <row r="37893" spans="18:19">
      <c r="R37893" s="178"/>
      <c r="S37893" s="178"/>
    </row>
    <row r="37894" spans="18:19">
      <c r="R37894" s="178"/>
      <c r="S37894" s="178"/>
    </row>
    <row r="37895" spans="18:19">
      <c r="R37895" s="178"/>
      <c r="S37895" s="178"/>
    </row>
    <row r="37896" spans="18:19">
      <c r="R37896" s="178"/>
      <c r="S37896" s="178"/>
    </row>
    <row r="37897" spans="18:19">
      <c r="R37897" s="178"/>
      <c r="S37897" s="178"/>
    </row>
    <row r="37898" spans="18:19">
      <c r="R37898" s="178"/>
      <c r="S37898" s="178"/>
    </row>
    <row r="37899" spans="18:19">
      <c r="R37899" s="178"/>
      <c r="S37899" s="178"/>
    </row>
    <row r="37900" spans="18:19">
      <c r="R37900" s="178"/>
      <c r="S37900" s="178"/>
    </row>
    <row r="37901" spans="18:19">
      <c r="R37901" s="178"/>
      <c r="S37901" s="178"/>
    </row>
    <row r="37902" spans="18:19">
      <c r="R37902" s="178"/>
      <c r="S37902" s="178"/>
    </row>
    <row r="37903" spans="18:19">
      <c r="R37903" s="178"/>
      <c r="S37903" s="178"/>
    </row>
    <row r="37904" spans="18:19">
      <c r="R37904" s="178"/>
      <c r="S37904" s="178"/>
    </row>
    <row r="37905" spans="18:19">
      <c r="R37905" s="178"/>
      <c r="S37905" s="178"/>
    </row>
    <row r="37906" spans="18:19">
      <c r="R37906" s="178"/>
      <c r="S37906" s="178"/>
    </row>
    <row r="37907" spans="18:19">
      <c r="R37907" s="178"/>
      <c r="S37907" s="178"/>
    </row>
    <row r="37908" spans="18:19">
      <c r="R37908" s="178"/>
      <c r="S37908" s="178"/>
    </row>
    <row r="37909" spans="18:19">
      <c r="R37909" s="178"/>
      <c r="S37909" s="178"/>
    </row>
    <row r="37910" spans="18:19">
      <c r="R37910" s="178"/>
      <c r="S37910" s="178"/>
    </row>
    <row r="37911" spans="18:19">
      <c r="R37911" s="178"/>
      <c r="S37911" s="178"/>
    </row>
    <row r="37912" spans="18:19">
      <c r="R37912" s="178"/>
      <c r="S37912" s="178"/>
    </row>
    <row r="37913" spans="18:19">
      <c r="R37913" s="178"/>
      <c r="S37913" s="178"/>
    </row>
    <row r="37914" spans="18:19">
      <c r="R37914" s="178"/>
      <c r="S37914" s="178"/>
    </row>
    <row r="37915" spans="18:19">
      <c r="R37915" s="178"/>
      <c r="S37915" s="178"/>
    </row>
    <row r="37916" spans="18:19">
      <c r="R37916" s="178"/>
      <c r="S37916" s="178"/>
    </row>
    <row r="37917" spans="18:19">
      <c r="R37917" s="178"/>
      <c r="S37917" s="178"/>
    </row>
    <row r="37918" spans="18:19">
      <c r="R37918" s="178"/>
      <c r="S37918" s="178"/>
    </row>
    <row r="37919" spans="18:19">
      <c r="R37919" s="178"/>
      <c r="S37919" s="178"/>
    </row>
    <row r="37920" spans="18:19">
      <c r="R37920" s="178"/>
      <c r="S37920" s="178"/>
    </row>
    <row r="37921" spans="18:19">
      <c r="R37921" s="178"/>
      <c r="S37921" s="178"/>
    </row>
    <row r="37922" spans="18:19">
      <c r="R37922" s="178"/>
      <c r="S37922" s="178"/>
    </row>
    <row r="37923" spans="18:19">
      <c r="R37923" s="178"/>
      <c r="S37923" s="178"/>
    </row>
    <row r="37924" spans="18:19">
      <c r="R37924" s="178"/>
      <c r="S37924" s="178"/>
    </row>
    <row r="37925" spans="18:19">
      <c r="R37925" s="178"/>
      <c r="S37925" s="178"/>
    </row>
    <row r="37926" spans="18:19">
      <c r="R37926" s="178"/>
      <c r="S37926" s="178"/>
    </row>
    <row r="37927" spans="18:19">
      <c r="R37927" s="178"/>
      <c r="S37927" s="178"/>
    </row>
    <row r="37928" spans="18:19">
      <c r="R37928" s="178"/>
      <c r="S37928" s="178"/>
    </row>
    <row r="37929" spans="18:19">
      <c r="R37929" s="178"/>
      <c r="S37929" s="178"/>
    </row>
    <row r="37930" spans="18:19">
      <c r="R37930" s="178"/>
      <c r="S37930" s="178"/>
    </row>
    <row r="37931" spans="18:19">
      <c r="R37931" s="178"/>
      <c r="S37931" s="178"/>
    </row>
    <row r="37932" spans="18:19">
      <c r="R37932" s="178"/>
      <c r="S37932" s="178"/>
    </row>
    <row r="37933" spans="18:19">
      <c r="R37933" s="178"/>
      <c r="S37933" s="178"/>
    </row>
    <row r="37934" spans="18:19">
      <c r="R37934" s="178"/>
      <c r="S37934" s="178"/>
    </row>
    <row r="37935" spans="18:19">
      <c r="R37935" s="178"/>
      <c r="S37935" s="178"/>
    </row>
    <row r="37936" spans="18:19">
      <c r="R37936" s="178"/>
      <c r="S37936" s="178"/>
    </row>
    <row r="37937" spans="18:19">
      <c r="R37937" s="178"/>
      <c r="S37937" s="178"/>
    </row>
    <row r="37938" spans="18:19">
      <c r="R37938" s="178"/>
      <c r="S37938" s="178"/>
    </row>
    <row r="37939" spans="18:19">
      <c r="R37939" s="178"/>
      <c r="S37939" s="178"/>
    </row>
    <row r="37940" spans="18:19">
      <c r="R37940" s="178"/>
      <c r="S37940" s="178"/>
    </row>
    <row r="37941" spans="18:19">
      <c r="R37941" s="178"/>
      <c r="S37941" s="178"/>
    </row>
    <row r="37942" spans="18:19">
      <c r="R37942" s="178"/>
      <c r="S37942" s="178"/>
    </row>
    <row r="37943" spans="18:19">
      <c r="R37943" s="178"/>
      <c r="S37943" s="178"/>
    </row>
    <row r="37944" spans="18:19">
      <c r="R37944" s="178"/>
      <c r="S37944" s="178"/>
    </row>
    <row r="37945" spans="18:19">
      <c r="R37945" s="178"/>
      <c r="S37945" s="178"/>
    </row>
    <row r="37946" spans="18:19">
      <c r="R37946" s="178"/>
      <c r="S37946" s="178"/>
    </row>
    <row r="37947" spans="18:19">
      <c r="R37947" s="178"/>
      <c r="S37947" s="178"/>
    </row>
    <row r="37948" spans="18:19">
      <c r="R37948" s="178"/>
      <c r="S37948" s="178"/>
    </row>
    <row r="37949" spans="18:19">
      <c r="R37949" s="178"/>
      <c r="S37949" s="178"/>
    </row>
    <row r="37950" spans="18:19">
      <c r="R37950" s="178"/>
      <c r="S37950" s="178"/>
    </row>
    <row r="37951" spans="18:19">
      <c r="R37951" s="178"/>
      <c r="S37951" s="178"/>
    </row>
    <row r="37952" spans="18:19">
      <c r="R37952" s="178"/>
      <c r="S37952" s="178"/>
    </row>
    <row r="37953" spans="18:19">
      <c r="R37953" s="178"/>
      <c r="S37953" s="178"/>
    </row>
    <row r="37954" spans="18:19">
      <c r="R37954" s="178"/>
      <c r="S37954" s="178"/>
    </row>
    <row r="37955" spans="18:19">
      <c r="R37955" s="178"/>
      <c r="S37955" s="178"/>
    </row>
    <row r="37956" spans="18:19">
      <c r="R37956" s="178"/>
      <c r="S37956" s="178"/>
    </row>
    <row r="37957" spans="18:19">
      <c r="R37957" s="178"/>
      <c r="S37957" s="178"/>
    </row>
    <row r="37958" spans="18:19">
      <c r="R37958" s="178"/>
      <c r="S37958" s="178"/>
    </row>
    <row r="37959" spans="18:19">
      <c r="R37959" s="178"/>
      <c r="S37959" s="178"/>
    </row>
    <row r="37960" spans="18:19">
      <c r="R37960" s="178"/>
      <c r="S37960" s="178"/>
    </row>
    <row r="37961" spans="18:19">
      <c r="R37961" s="178"/>
      <c r="S37961" s="178"/>
    </row>
    <row r="37962" spans="18:19">
      <c r="R37962" s="178"/>
      <c r="S37962" s="178"/>
    </row>
    <row r="37963" spans="18:19">
      <c r="R37963" s="178"/>
      <c r="S37963" s="178"/>
    </row>
    <row r="37964" spans="18:19">
      <c r="R37964" s="178"/>
      <c r="S37964" s="178"/>
    </row>
    <row r="37965" spans="18:19">
      <c r="R37965" s="178"/>
      <c r="S37965" s="178"/>
    </row>
    <row r="37966" spans="18:19">
      <c r="R37966" s="178"/>
      <c r="S37966" s="178"/>
    </row>
    <row r="37967" spans="18:19">
      <c r="R37967" s="178"/>
      <c r="S37967" s="178"/>
    </row>
    <row r="37968" spans="18:19">
      <c r="R37968" s="178"/>
      <c r="S37968" s="178"/>
    </row>
    <row r="37969" spans="18:19">
      <c r="R37969" s="178"/>
      <c r="S37969" s="178"/>
    </row>
    <row r="37970" spans="18:19">
      <c r="R37970" s="178"/>
      <c r="S37970" s="178"/>
    </row>
    <row r="37971" spans="18:19">
      <c r="R37971" s="178"/>
      <c r="S37971" s="178"/>
    </row>
    <row r="37972" spans="18:19">
      <c r="R37972" s="178"/>
      <c r="S37972" s="178"/>
    </row>
    <row r="37973" spans="18:19">
      <c r="R37973" s="178"/>
      <c r="S37973" s="178"/>
    </row>
    <row r="37974" spans="18:19">
      <c r="R37974" s="178"/>
      <c r="S37974" s="178"/>
    </row>
    <row r="37975" spans="18:19">
      <c r="R37975" s="178"/>
      <c r="S37975" s="178"/>
    </row>
    <row r="37976" spans="18:19">
      <c r="R37976" s="178"/>
      <c r="S37976" s="178"/>
    </row>
    <row r="37977" spans="18:19">
      <c r="R37977" s="178"/>
      <c r="S37977" s="178"/>
    </row>
    <row r="37978" spans="18:19">
      <c r="R37978" s="178"/>
      <c r="S37978" s="178"/>
    </row>
    <row r="37979" spans="18:19">
      <c r="R37979" s="178"/>
      <c r="S37979" s="178"/>
    </row>
    <row r="37980" spans="18:19">
      <c r="R37980" s="178"/>
      <c r="S37980" s="178"/>
    </row>
    <row r="37981" spans="18:19">
      <c r="R37981" s="178"/>
      <c r="S37981" s="178"/>
    </row>
    <row r="37982" spans="18:19">
      <c r="R37982" s="178"/>
      <c r="S37982" s="178"/>
    </row>
    <row r="37983" spans="18:19">
      <c r="R37983" s="178"/>
      <c r="S37983" s="178"/>
    </row>
    <row r="37984" spans="18:19">
      <c r="R37984" s="178"/>
      <c r="S37984" s="178"/>
    </row>
    <row r="37985" spans="18:19">
      <c r="R37985" s="178"/>
      <c r="S37985" s="178"/>
    </row>
    <row r="37986" spans="18:19">
      <c r="R37986" s="178"/>
      <c r="S37986" s="178"/>
    </row>
    <row r="37987" spans="18:19">
      <c r="R37987" s="178"/>
      <c r="S37987" s="178"/>
    </row>
    <row r="37988" spans="18:19">
      <c r="R37988" s="178"/>
      <c r="S37988" s="178"/>
    </row>
    <row r="37989" spans="18:19">
      <c r="R37989" s="178"/>
      <c r="S37989" s="178"/>
    </row>
    <row r="37990" spans="18:19">
      <c r="R37990" s="178"/>
      <c r="S37990" s="178"/>
    </row>
    <row r="37991" spans="18:19">
      <c r="R37991" s="178"/>
      <c r="S37991" s="178"/>
    </row>
    <row r="37992" spans="18:19">
      <c r="R37992" s="178"/>
      <c r="S37992" s="178"/>
    </row>
    <row r="37993" spans="18:19">
      <c r="R37993" s="178"/>
      <c r="S37993" s="178"/>
    </row>
    <row r="37994" spans="18:19">
      <c r="R37994" s="178"/>
      <c r="S37994" s="178"/>
    </row>
    <row r="37995" spans="18:19">
      <c r="R37995" s="178"/>
      <c r="S37995" s="178"/>
    </row>
    <row r="37996" spans="18:19">
      <c r="R37996" s="178"/>
      <c r="S37996" s="178"/>
    </row>
    <row r="37997" spans="18:19">
      <c r="R37997" s="178"/>
      <c r="S37997" s="178"/>
    </row>
    <row r="37998" spans="18:19">
      <c r="R37998" s="178"/>
      <c r="S37998" s="178"/>
    </row>
    <row r="37999" spans="18:19">
      <c r="R37999" s="178"/>
      <c r="S37999" s="178"/>
    </row>
    <row r="38000" spans="18:19">
      <c r="R38000" s="178"/>
      <c r="S38000" s="178"/>
    </row>
    <row r="38001" spans="18:19">
      <c r="R38001" s="178"/>
      <c r="S38001" s="178"/>
    </row>
    <row r="38002" spans="18:19">
      <c r="R38002" s="178"/>
      <c r="S38002" s="178"/>
    </row>
    <row r="38003" spans="18:19">
      <c r="R38003" s="178"/>
      <c r="S38003" s="178"/>
    </row>
    <row r="38004" spans="18:19">
      <c r="R38004" s="178"/>
      <c r="S38004" s="178"/>
    </row>
    <row r="38005" spans="18:19">
      <c r="R38005" s="178"/>
      <c r="S38005" s="178"/>
    </row>
    <row r="38006" spans="18:19">
      <c r="R38006" s="178"/>
      <c r="S38006" s="178"/>
    </row>
    <row r="38007" spans="18:19">
      <c r="R38007" s="178"/>
      <c r="S38007" s="178"/>
    </row>
    <row r="38008" spans="18:19">
      <c r="R38008" s="178"/>
      <c r="S38008" s="178"/>
    </row>
    <row r="38009" spans="18:19">
      <c r="R38009" s="178"/>
      <c r="S38009" s="178"/>
    </row>
    <row r="38010" spans="18:19">
      <c r="R38010" s="178"/>
      <c r="S38010" s="178"/>
    </row>
    <row r="38011" spans="18:19">
      <c r="R38011" s="178"/>
      <c r="S38011" s="178"/>
    </row>
    <row r="38012" spans="18:19">
      <c r="R38012" s="178"/>
      <c r="S38012" s="178"/>
    </row>
    <row r="38013" spans="18:19">
      <c r="R38013" s="178"/>
      <c r="S38013" s="178"/>
    </row>
    <row r="38014" spans="18:19">
      <c r="R38014" s="178"/>
      <c r="S38014" s="178"/>
    </row>
    <row r="38015" spans="18:19">
      <c r="R38015" s="178"/>
      <c r="S38015" s="178"/>
    </row>
    <row r="38016" spans="18:19">
      <c r="R38016" s="178"/>
      <c r="S38016" s="178"/>
    </row>
    <row r="38017" spans="18:19">
      <c r="R38017" s="178"/>
      <c r="S38017" s="178"/>
    </row>
    <row r="38018" spans="18:19">
      <c r="R38018" s="178"/>
      <c r="S38018" s="178"/>
    </row>
    <row r="38019" spans="18:19">
      <c r="R38019" s="178"/>
      <c r="S38019" s="178"/>
    </row>
    <row r="38020" spans="18:19">
      <c r="R38020" s="178"/>
      <c r="S38020" s="178"/>
    </row>
    <row r="38021" spans="18:19">
      <c r="R38021" s="178"/>
      <c r="S38021" s="178"/>
    </row>
    <row r="38022" spans="18:19">
      <c r="R38022" s="178"/>
      <c r="S38022" s="178"/>
    </row>
    <row r="38023" spans="18:19">
      <c r="R38023" s="178"/>
      <c r="S38023" s="178"/>
    </row>
    <row r="38024" spans="18:19">
      <c r="R38024" s="178"/>
      <c r="S38024" s="178"/>
    </row>
    <row r="38025" spans="18:19">
      <c r="R38025" s="178"/>
      <c r="S38025" s="178"/>
    </row>
    <row r="38026" spans="18:19">
      <c r="R38026" s="178"/>
      <c r="S38026" s="178"/>
    </row>
    <row r="38027" spans="18:19">
      <c r="R38027" s="178"/>
      <c r="S38027" s="178"/>
    </row>
    <row r="38028" spans="18:19">
      <c r="R38028" s="178"/>
      <c r="S38028" s="178"/>
    </row>
    <row r="38029" spans="18:19">
      <c r="R38029" s="178"/>
      <c r="S38029" s="178"/>
    </row>
    <row r="38030" spans="18:19">
      <c r="R38030" s="178"/>
      <c r="S38030" s="178"/>
    </row>
    <row r="38031" spans="18:19">
      <c r="R38031" s="178"/>
      <c r="S38031" s="178"/>
    </row>
    <row r="38032" spans="18:19">
      <c r="R38032" s="178"/>
      <c r="S38032" s="178"/>
    </row>
    <row r="38033" spans="18:19">
      <c r="R38033" s="178"/>
      <c r="S38033" s="178"/>
    </row>
    <row r="38034" spans="18:19">
      <c r="R38034" s="178"/>
      <c r="S38034" s="178"/>
    </row>
    <row r="38035" spans="18:19">
      <c r="R38035" s="178"/>
      <c r="S38035" s="178"/>
    </row>
    <row r="38036" spans="18:19">
      <c r="R38036" s="178"/>
      <c r="S38036" s="178"/>
    </row>
    <row r="38037" spans="18:19">
      <c r="R38037" s="178"/>
      <c r="S38037" s="178"/>
    </row>
    <row r="38038" spans="18:19">
      <c r="R38038" s="178"/>
      <c r="S38038" s="178"/>
    </row>
    <row r="38039" spans="18:19">
      <c r="R38039" s="178"/>
      <c r="S38039" s="178"/>
    </row>
    <row r="38040" spans="18:19">
      <c r="R38040" s="178"/>
      <c r="S38040" s="178"/>
    </row>
    <row r="38041" spans="18:19">
      <c r="R38041" s="178"/>
      <c r="S38041" s="178"/>
    </row>
    <row r="38042" spans="18:19">
      <c r="R38042" s="178"/>
      <c r="S38042" s="178"/>
    </row>
    <row r="38043" spans="18:19">
      <c r="R38043" s="178"/>
      <c r="S38043" s="178"/>
    </row>
    <row r="38044" spans="18:19">
      <c r="R38044" s="178"/>
      <c r="S38044" s="178"/>
    </row>
    <row r="38045" spans="18:19">
      <c r="R38045" s="178"/>
      <c r="S38045" s="178"/>
    </row>
    <row r="38046" spans="18:19">
      <c r="R38046" s="178"/>
      <c r="S38046" s="178"/>
    </row>
    <row r="38047" spans="18:19">
      <c r="R38047" s="178"/>
      <c r="S38047" s="178"/>
    </row>
    <row r="38048" spans="18:19">
      <c r="R38048" s="178"/>
      <c r="S38048" s="178"/>
    </row>
    <row r="38049" spans="18:19">
      <c r="R38049" s="178"/>
      <c r="S38049" s="178"/>
    </row>
    <row r="38050" spans="18:19">
      <c r="R38050" s="178"/>
      <c r="S38050" s="178"/>
    </row>
    <row r="38051" spans="18:19">
      <c r="R38051" s="178"/>
      <c r="S38051" s="178"/>
    </row>
    <row r="38052" spans="18:19">
      <c r="R38052" s="178"/>
      <c r="S38052" s="178"/>
    </row>
    <row r="38053" spans="18:19">
      <c r="R38053" s="178"/>
      <c r="S38053" s="178"/>
    </row>
    <row r="38054" spans="18:19">
      <c r="R38054" s="178"/>
      <c r="S38054" s="178"/>
    </row>
    <row r="38055" spans="18:19">
      <c r="R38055" s="178"/>
      <c r="S38055" s="178"/>
    </row>
    <row r="38056" spans="18:19">
      <c r="R38056" s="178"/>
      <c r="S38056" s="178"/>
    </row>
    <row r="38057" spans="18:19">
      <c r="R38057" s="178"/>
      <c r="S38057" s="178"/>
    </row>
    <row r="38058" spans="18:19">
      <c r="R38058" s="178"/>
      <c r="S38058" s="178"/>
    </row>
    <row r="38059" spans="18:19">
      <c r="R38059" s="178"/>
      <c r="S38059" s="178"/>
    </row>
    <row r="38060" spans="18:19">
      <c r="R38060" s="178"/>
      <c r="S38060" s="178"/>
    </row>
    <row r="38061" spans="18:19">
      <c r="R38061" s="178"/>
      <c r="S38061" s="178"/>
    </row>
    <row r="38062" spans="18:19">
      <c r="R38062" s="178"/>
      <c r="S38062" s="178"/>
    </row>
    <row r="38063" spans="18:19">
      <c r="R38063" s="178"/>
      <c r="S38063" s="178"/>
    </row>
    <row r="38064" spans="18:19">
      <c r="R38064" s="178"/>
      <c r="S38064" s="178"/>
    </row>
    <row r="38065" spans="18:19">
      <c r="R38065" s="178"/>
      <c r="S38065" s="178"/>
    </row>
    <row r="38066" spans="18:19">
      <c r="R38066" s="178"/>
      <c r="S38066" s="178"/>
    </row>
    <row r="38067" spans="18:19">
      <c r="R38067" s="178"/>
      <c r="S38067" s="178"/>
    </row>
    <row r="38068" spans="18:19">
      <c r="R38068" s="178"/>
      <c r="S38068" s="178"/>
    </row>
    <row r="38069" spans="18:19">
      <c r="R38069" s="178"/>
      <c r="S38069" s="178"/>
    </row>
    <row r="38070" spans="18:19">
      <c r="R38070" s="178"/>
      <c r="S38070" s="178"/>
    </row>
    <row r="38071" spans="18:19">
      <c r="R38071" s="178"/>
      <c r="S38071" s="178"/>
    </row>
    <row r="38072" spans="18:19">
      <c r="R38072" s="178"/>
      <c r="S38072" s="178"/>
    </row>
    <row r="38073" spans="18:19">
      <c r="R38073" s="178"/>
      <c r="S38073" s="178"/>
    </row>
    <row r="38074" spans="18:19">
      <c r="R38074" s="178"/>
      <c r="S38074" s="178"/>
    </row>
    <row r="38075" spans="18:19">
      <c r="R38075" s="178"/>
      <c r="S38075" s="178"/>
    </row>
    <row r="38076" spans="18:19">
      <c r="R38076" s="178"/>
      <c r="S38076" s="178"/>
    </row>
    <row r="38077" spans="18:19">
      <c r="R38077" s="178"/>
      <c r="S38077" s="178"/>
    </row>
    <row r="38078" spans="18:19">
      <c r="R38078" s="178"/>
      <c r="S38078" s="178"/>
    </row>
    <row r="38079" spans="18:19">
      <c r="R38079" s="178"/>
      <c r="S38079" s="178"/>
    </row>
    <row r="38080" spans="18:19">
      <c r="R38080" s="178"/>
      <c r="S38080" s="178"/>
    </row>
    <row r="38081" spans="18:19">
      <c r="R38081" s="178"/>
      <c r="S38081" s="178"/>
    </row>
    <row r="38082" spans="18:19">
      <c r="R38082" s="178"/>
      <c r="S38082" s="178"/>
    </row>
    <row r="38083" spans="18:19">
      <c r="R38083" s="178"/>
      <c r="S38083" s="178"/>
    </row>
    <row r="38084" spans="18:19">
      <c r="R38084" s="178"/>
      <c r="S38084" s="178"/>
    </row>
    <row r="38085" spans="18:19">
      <c r="R38085" s="178"/>
      <c r="S38085" s="178"/>
    </row>
    <row r="38086" spans="18:19">
      <c r="R38086" s="178"/>
      <c r="S38086" s="178"/>
    </row>
    <row r="38087" spans="18:19">
      <c r="R38087" s="178"/>
      <c r="S38087" s="178"/>
    </row>
    <row r="38088" spans="18:19">
      <c r="R38088" s="178"/>
      <c r="S38088" s="178"/>
    </row>
    <row r="38089" spans="18:19">
      <c r="R38089" s="178"/>
      <c r="S38089" s="178"/>
    </row>
    <row r="38090" spans="18:19">
      <c r="R38090" s="178"/>
      <c r="S38090" s="178"/>
    </row>
    <row r="38091" spans="18:19">
      <c r="R38091" s="178"/>
      <c r="S38091" s="178"/>
    </row>
    <row r="38092" spans="18:19">
      <c r="R38092" s="178"/>
      <c r="S38092" s="178"/>
    </row>
    <row r="38093" spans="18:19">
      <c r="R38093" s="178"/>
      <c r="S38093" s="178"/>
    </row>
    <row r="38094" spans="18:19">
      <c r="R38094" s="178"/>
      <c r="S38094" s="178"/>
    </row>
    <row r="38095" spans="18:19">
      <c r="R38095" s="178"/>
      <c r="S38095" s="178"/>
    </row>
    <row r="38096" spans="18:19">
      <c r="R38096" s="178"/>
      <c r="S38096" s="178"/>
    </row>
    <row r="38097" spans="18:19">
      <c r="R38097" s="178"/>
      <c r="S38097" s="178"/>
    </row>
    <row r="38098" spans="18:19">
      <c r="R38098" s="178"/>
      <c r="S38098" s="178"/>
    </row>
    <row r="38099" spans="18:19">
      <c r="R38099" s="178"/>
      <c r="S38099" s="178"/>
    </row>
    <row r="38100" spans="18:19">
      <c r="R38100" s="178"/>
      <c r="S38100" s="178"/>
    </row>
    <row r="38101" spans="18:19">
      <c r="R38101" s="178"/>
      <c r="S38101" s="178"/>
    </row>
    <row r="38102" spans="18:19">
      <c r="R38102" s="178"/>
      <c r="S38102" s="178"/>
    </row>
    <row r="38103" spans="18:19">
      <c r="R38103" s="178"/>
      <c r="S38103" s="178"/>
    </row>
    <row r="38104" spans="18:19">
      <c r="R38104" s="178"/>
      <c r="S38104" s="178"/>
    </row>
    <row r="38105" spans="18:19">
      <c r="R38105" s="178"/>
      <c r="S38105" s="178"/>
    </row>
    <row r="38106" spans="18:19">
      <c r="R38106" s="178"/>
      <c r="S38106" s="178"/>
    </row>
    <row r="38107" spans="18:19">
      <c r="R38107" s="178"/>
      <c r="S38107" s="178"/>
    </row>
    <row r="38108" spans="18:19">
      <c r="R38108" s="178"/>
      <c r="S38108" s="178"/>
    </row>
    <row r="38109" spans="18:19">
      <c r="R38109" s="178"/>
      <c r="S38109" s="178"/>
    </row>
    <row r="38110" spans="18:19">
      <c r="R38110" s="178"/>
      <c r="S38110" s="178"/>
    </row>
    <row r="38111" spans="18:19">
      <c r="R38111" s="178"/>
      <c r="S38111" s="178"/>
    </row>
    <row r="38112" spans="18:19">
      <c r="R38112" s="178"/>
      <c r="S38112" s="178"/>
    </row>
    <row r="38113" spans="18:19">
      <c r="R38113" s="178"/>
      <c r="S38113" s="178"/>
    </row>
    <row r="38114" spans="18:19">
      <c r="R38114" s="178"/>
      <c r="S38114" s="178"/>
    </row>
    <row r="38115" spans="18:19">
      <c r="R38115" s="178"/>
      <c r="S38115" s="178"/>
    </row>
    <row r="38116" spans="18:19">
      <c r="R38116" s="178"/>
      <c r="S38116" s="178"/>
    </row>
    <row r="38117" spans="18:19">
      <c r="R38117" s="178"/>
      <c r="S38117" s="178"/>
    </row>
    <row r="38118" spans="18:19">
      <c r="R38118" s="178"/>
      <c r="S38118" s="178"/>
    </row>
    <row r="38119" spans="18:19">
      <c r="R38119" s="178"/>
      <c r="S38119" s="178"/>
    </row>
    <row r="38120" spans="18:19">
      <c r="R38120" s="178"/>
      <c r="S38120" s="178"/>
    </row>
    <row r="38121" spans="18:19">
      <c r="R38121" s="178"/>
      <c r="S38121" s="178"/>
    </row>
    <row r="38122" spans="18:19">
      <c r="R38122" s="178"/>
      <c r="S38122" s="178"/>
    </row>
    <row r="38123" spans="18:19">
      <c r="R38123" s="178"/>
      <c r="S38123" s="178"/>
    </row>
    <row r="38124" spans="18:19">
      <c r="R38124" s="178"/>
      <c r="S38124" s="178"/>
    </row>
    <row r="38125" spans="18:19">
      <c r="R38125" s="178"/>
      <c r="S38125" s="178"/>
    </row>
    <row r="38126" spans="18:19">
      <c r="R38126" s="178"/>
      <c r="S38126" s="178"/>
    </row>
    <row r="38127" spans="18:19">
      <c r="R38127" s="178"/>
      <c r="S38127" s="178"/>
    </row>
    <row r="38128" spans="18:19">
      <c r="R38128" s="178"/>
      <c r="S38128" s="178"/>
    </row>
    <row r="38129" spans="18:19">
      <c r="R38129" s="178"/>
      <c r="S38129" s="178"/>
    </row>
    <row r="38130" spans="18:19">
      <c r="R38130" s="178"/>
      <c r="S38130" s="178"/>
    </row>
    <row r="38131" spans="18:19">
      <c r="R38131" s="178"/>
      <c r="S38131" s="178"/>
    </row>
    <row r="38132" spans="18:19">
      <c r="R38132" s="178"/>
      <c r="S38132" s="178"/>
    </row>
    <row r="38133" spans="18:19">
      <c r="R38133" s="178"/>
      <c r="S38133" s="178"/>
    </row>
    <row r="38134" spans="18:19">
      <c r="R38134" s="178"/>
      <c r="S38134" s="178"/>
    </row>
    <row r="38135" spans="18:19">
      <c r="R38135" s="178"/>
      <c r="S38135" s="178"/>
    </row>
    <row r="38136" spans="18:19">
      <c r="R38136" s="178"/>
      <c r="S38136" s="178"/>
    </row>
    <row r="38137" spans="18:19">
      <c r="R38137" s="178"/>
      <c r="S38137" s="178"/>
    </row>
    <row r="38138" spans="18:19">
      <c r="R38138" s="178"/>
      <c r="S38138" s="178"/>
    </row>
    <row r="38139" spans="18:19">
      <c r="R38139" s="178"/>
      <c r="S38139" s="178"/>
    </row>
    <row r="38140" spans="18:19">
      <c r="R38140" s="178"/>
      <c r="S38140" s="178"/>
    </row>
    <row r="38141" spans="18:19">
      <c r="R38141" s="178"/>
      <c r="S38141" s="178"/>
    </row>
    <row r="38142" spans="18:19">
      <c r="R38142" s="178"/>
      <c r="S38142" s="178"/>
    </row>
    <row r="38143" spans="18:19">
      <c r="R38143" s="178"/>
      <c r="S38143" s="178"/>
    </row>
    <row r="38144" spans="18:19">
      <c r="R38144" s="178"/>
      <c r="S38144" s="178"/>
    </row>
    <row r="38145" spans="18:19">
      <c r="R38145" s="178"/>
      <c r="S38145" s="178"/>
    </row>
    <row r="38146" spans="18:19">
      <c r="R38146" s="178"/>
      <c r="S38146" s="178"/>
    </row>
    <row r="38147" spans="18:19">
      <c r="R38147" s="178"/>
      <c r="S38147" s="178"/>
    </row>
    <row r="38148" spans="18:19">
      <c r="R38148" s="178"/>
      <c r="S38148" s="178"/>
    </row>
    <row r="38149" spans="18:19">
      <c r="R38149" s="178"/>
      <c r="S38149" s="178"/>
    </row>
    <row r="38150" spans="18:19">
      <c r="R38150" s="178"/>
      <c r="S38150" s="178"/>
    </row>
    <row r="38151" spans="18:19">
      <c r="R38151" s="178"/>
      <c r="S38151" s="178"/>
    </row>
    <row r="38152" spans="18:19">
      <c r="R38152" s="178"/>
      <c r="S38152" s="178"/>
    </row>
    <row r="38153" spans="18:19">
      <c r="R38153" s="178"/>
      <c r="S38153" s="178"/>
    </row>
    <row r="38154" spans="18:19">
      <c r="R38154" s="178"/>
      <c r="S38154" s="178"/>
    </row>
    <row r="38155" spans="18:19">
      <c r="R38155" s="178"/>
      <c r="S38155" s="178"/>
    </row>
    <row r="38156" spans="18:19">
      <c r="R38156" s="178"/>
      <c r="S38156" s="178"/>
    </row>
    <row r="38157" spans="18:19">
      <c r="R38157" s="178"/>
      <c r="S38157" s="178"/>
    </row>
    <row r="38158" spans="18:19">
      <c r="R38158" s="178"/>
      <c r="S38158" s="178"/>
    </row>
    <row r="38159" spans="18:19">
      <c r="R38159" s="178"/>
      <c r="S38159" s="178"/>
    </row>
    <row r="38160" spans="18:19">
      <c r="R38160" s="178"/>
      <c r="S38160" s="178"/>
    </row>
    <row r="38161" spans="18:19">
      <c r="R38161" s="178"/>
      <c r="S38161" s="178"/>
    </row>
    <row r="38162" spans="18:19">
      <c r="R38162" s="178"/>
      <c r="S38162" s="178"/>
    </row>
    <row r="38163" spans="18:19">
      <c r="R38163" s="178"/>
      <c r="S38163" s="178"/>
    </row>
    <row r="38164" spans="18:19">
      <c r="R38164" s="178"/>
      <c r="S38164" s="178"/>
    </row>
    <row r="38165" spans="18:19">
      <c r="R38165" s="178"/>
      <c r="S38165" s="178"/>
    </row>
    <row r="38166" spans="18:19">
      <c r="R38166" s="178"/>
      <c r="S38166" s="178"/>
    </row>
    <row r="38167" spans="18:19">
      <c r="R38167" s="178"/>
      <c r="S38167" s="178"/>
    </row>
    <row r="38168" spans="18:19">
      <c r="R38168" s="178"/>
      <c r="S38168" s="178"/>
    </row>
    <row r="38169" spans="18:19">
      <c r="R38169" s="178"/>
      <c r="S38169" s="178"/>
    </row>
    <row r="38170" spans="18:19">
      <c r="R38170" s="178"/>
      <c r="S38170" s="178"/>
    </row>
    <row r="38171" spans="18:19">
      <c r="R38171" s="178"/>
      <c r="S38171" s="178"/>
    </row>
    <row r="38172" spans="18:19">
      <c r="R38172" s="178"/>
      <c r="S38172" s="178"/>
    </row>
    <row r="38173" spans="18:19">
      <c r="R38173" s="178"/>
      <c r="S38173" s="178"/>
    </row>
    <row r="38174" spans="18:19">
      <c r="R38174" s="178"/>
      <c r="S38174" s="178"/>
    </row>
    <row r="38175" spans="18:19">
      <c r="R38175" s="178"/>
      <c r="S38175" s="178"/>
    </row>
    <row r="38176" spans="18:19">
      <c r="R38176" s="178"/>
      <c r="S38176" s="178"/>
    </row>
    <row r="38177" spans="18:19">
      <c r="R38177" s="178"/>
      <c r="S38177" s="178"/>
    </row>
    <row r="38178" spans="18:19">
      <c r="R38178" s="178"/>
      <c r="S38178" s="178"/>
    </row>
    <row r="38179" spans="18:19">
      <c r="R38179" s="178"/>
      <c r="S38179" s="178"/>
    </row>
    <row r="38180" spans="18:19">
      <c r="R38180" s="178"/>
      <c r="S38180" s="178"/>
    </row>
    <row r="38181" spans="18:19">
      <c r="R38181" s="178"/>
      <c r="S38181" s="178"/>
    </row>
    <row r="38182" spans="18:19">
      <c r="R38182" s="178"/>
      <c r="S38182" s="178"/>
    </row>
    <row r="38183" spans="18:19">
      <c r="R38183" s="178"/>
      <c r="S38183" s="178"/>
    </row>
    <row r="38184" spans="18:19">
      <c r="R38184" s="178"/>
      <c r="S38184" s="178"/>
    </row>
    <row r="38185" spans="18:19">
      <c r="R38185" s="178"/>
      <c r="S38185" s="178"/>
    </row>
    <row r="38186" spans="18:19">
      <c r="R38186" s="178"/>
      <c r="S38186" s="178"/>
    </row>
    <row r="38187" spans="18:19">
      <c r="R38187" s="178"/>
      <c r="S38187" s="178"/>
    </row>
    <row r="38188" spans="18:19">
      <c r="R38188" s="178"/>
      <c r="S38188" s="178"/>
    </row>
    <row r="38189" spans="18:19">
      <c r="R38189" s="178"/>
      <c r="S38189" s="178"/>
    </row>
    <row r="38190" spans="18:19">
      <c r="R38190" s="178"/>
      <c r="S38190" s="178"/>
    </row>
    <row r="38191" spans="18:19">
      <c r="R38191" s="178"/>
      <c r="S38191" s="178"/>
    </row>
    <row r="38192" spans="18:19">
      <c r="R38192" s="178"/>
      <c r="S38192" s="178"/>
    </row>
    <row r="38193" spans="18:19">
      <c r="R38193" s="178"/>
      <c r="S38193" s="178"/>
    </row>
    <row r="38194" spans="18:19">
      <c r="R38194" s="178"/>
      <c r="S38194" s="178"/>
    </row>
    <row r="38195" spans="18:19">
      <c r="R38195" s="178"/>
      <c r="S38195" s="178"/>
    </row>
    <row r="38196" spans="18:19">
      <c r="R38196" s="178"/>
      <c r="S38196" s="178"/>
    </row>
    <row r="38197" spans="18:19">
      <c r="R38197" s="178"/>
      <c r="S38197" s="178"/>
    </row>
    <row r="38198" spans="18:19">
      <c r="R38198" s="178"/>
      <c r="S38198" s="178"/>
    </row>
    <row r="38199" spans="18:19">
      <c r="R38199" s="178"/>
      <c r="S38199" s="178"/>
    </row>
    <row r="38200" spans="18:19">
      <c r="R38200" s="178"/>
      <c r="S38200" s="178"/>
    </row>
    <row r="38201" spans="18:19">
      <c r="R38201" s="178"/>
      <c r="S38201" s="178"/>
    </row>
    <row r="38202" spans="18:19">
      <c r="R38202" s="178"/>
      <c r="S38202" s="178"/>
    </row>
    <row r="38203" spans="18:19">
      <c r="R38203" s="178"/>
      <c r="S38203" s="178"/>
    </row>
    <row r="38204" spans="18:19">
      <c r="R38204" s="178"/>
      <c r="S38204" s="178"/>
    </row>
    <row r="38205" spans="18:19">
      <c r="R38205" s="178"/>
      <c r="S38205" s="178"/>
    </row>
    <row r="38206" spans="18:19">
      <c r="R38206" s="178"/>
      <c r="S38206" s="178"/>
    </row>
    <row r="38207" spans="18:19">
      <c r="R38207" s="178"/>
      <c r="S38207" s="178"/>
    </row>
    <row r="38208" spans="18:19">
      <c r="R38208" s="178"/>
      <c r="S38208" s="178"/>
    </row>
    <row r="38209" spans="18:19">
      <c r="R38209" s="178"/>
      <c r="S38209" s="178"/>
    </row>
    <row r="38210" spans="18:19">
      <c r="R38210" s="178"/>
      <c r="S38210" s="178"/>
    </row>
    <row r="38211" spans="18:19">
      <c r="R38211" s="178"/>
      <c r="S38211" s="178"/>
    </row>
    <row r="38212" spans="18:19">
      <c r="R38212" s="178"/>
      <c r="S38212" s="178"/>
    </row>
    <row r="38213" spans="18:19">
      <c r="R38213" s="178"/>
      <c r="S38213" s="178"/>
    </row>
    <row r="38214" spans="18:19">
      <c r="R38214" s="178"/>
      <c r="S38214" s="178"/>
    </row>
    <row r="38215" spans="18:19">
      <c r="R38215" s="178"/>
      <c r="S38215" s="178"/>
    </row>
    <row r="38216" spans="18:19">
      <c r="R38216" s="178"/>
      <c r="S38216" s="178"/>
    </row>
    <row r="38217" spans="18:19">
      <c r="R38217" s="178"/>
      <c r="S38217" s="178"/>
    </row>
    <row r="38218" spans="18:19">
      <c r="R38218" s="178"/>
      <c r="S38218" s="178"/>
    </row>
    <row r="38219" spans="18:19">
      <c r="R38219" s="178"/>
      <c r="S38219" s="178"/>
    </row>
    <row r="38220" spans="18:19">
      <c r="R38220" s="178"/>
      <c r="S38220" s="178"/>
    </row>
    <row r="38221" spans="18:19">
      <c r="R38221" s="178"/>
      <c r="S38221" s="178"/>
    </row>
    <row r="38222" spans="18:19">
      <c r="R38222" s="178"/>
      <c r="S38222" s="178"/>
    </row>
    <row r="38223" spans="18:19">
      <c r="R38223" s="178"/>
      <c r="S38223" s="178"/>
    </row>
    <row r="38224" spans="18:19">
      <c r="R38224" s="178"/>
      <c r="S38224" s="178"/>
    </row>
    <row r="38225" spans="18:19">
      <c r="R38225" s="178"/>
      <c r="S38225" s="178"/>
    </row>
    <row r="38226" spans="18:19">
      <c r="R38226" s="178"/>
      <c r="S38226" s="178"/>
    </row>
    <row r="38227" spans="18:19">
      <c r="R38227" s="178"/>
      <c r="S38227" s="178"/>
    </row>
    <row r="38228" spans="18:19">
      <c r="R38228" s="178"/>
      <c r="S38228" s="178"/>
    </row>
    <row r="38229" spans="18:19">
      <c r="R38229" s="178"/>
      <c r="S38229" s="178"/>
    </row>
    <row r="38230" spans="18:19">
      <c r="R38230" s="178"/>
      <c r="S38230" s="178"/>
    </row>
    <row r="38231" spans="18:19">
      <c r="R38231" s="178"/>
      <c r="S38231" s="178"/>
    </row>
    <row r="38232" spans="18:19">
      <c r="R38232" s="178"/>
      <c r="S38232" s="178"/>
    </row>
    <row r="38233" spans="18:19">
      <c r="R38233" s="178"/>
      <c r="S38233" s="178"/>
    </row>
    <row r="38234" spans="18:19">
      <c r="R38234" s="178"/>
      <c r="S38234" s="178"/>
    </row>
    <row r="38235" spans="18:19">
      <c r="R38235" s="178"/>
      <c r="S38235" s="178"/>
    </row>
    <row r="38236" spans="18:19">
      <c r="R38236" s="178"/>
      <c r="S38236" s="178"/>
    </row>
    <row r="38237" spans="18:19">
      <c r="R38237" s="178"/>
      <c r="S38237" s="178"/>
    </row>
    <row r="38238" spans="18:19">
      <c r="R38238" s="178"/>
      <c r="S38238" s="178"/>
    </row>
    <row r="38239" spans="18:19">
      <c r="R38239" s="178"/>
      <c r="S38239" s="178"/>
    </row>
    <row r="38240" spans="18:19">
      <c r="R38240" s="178"/>
      <c r="S38240" s="178"/>
    </row>
    <row r="38241" spans="18:19">
      <c r="R38241" s="178"/>
      <c r="S38241" s="178"/>
    </row>
    <row r="38242" spans="18:19">
      <c r="R38242" s="178"/>
      <c r="S38242" s="178"/>
    </row>
    <row r="38243" spans="18:19">
      <c r="R38243" s="178"/>
      <c r="S38243" s="178"/>
    </row>
    <row r="38244" spans="18:19">
      <c r="R38244" s="178"/>
      <c r="S38244" s="178"/>
    </row>
    <row r="38245" spans="18:19">
      <c r="R38245" s="178"/>
      <c r="S38245" s="178"/>
    </row>
    <row r="38246" spans="18:19">
      <c r="R38246" s="178"/>
      <c r="S38246" s="178"/>
    </row>
    <row r="38247" spans="18:19">
      <c r="R38247" s="178"/>
      <c r="S38247" s="178"/>
    </row>
    <row r="38248" spans="18:19">
      <c r="R38248" s="178"/>
      <c r="S38248" s="178"/>
    </row>
    <row r="38249" spans="18:19">
      <c r="R38249" s="178"/>
      <c r="S38249" s="178"/>
    </row>
    <row r="38250" spans="18:19">
      <c r="R38250" s="178"/>
      <c r="S38250" s="178"/>
    </row>
    <row r="38251" spans="18:19">
      <c r="R38251" s="178"/>
      <c r="S38251" s="178"/>
    </row>
    <row r="38252" spans="18:19">
      <c r="R38252" s="178"/>
      <c r="S38252" s="178"/>
    </row>
    <row r="38253" spans="18:19">
      <c r="R38253" s="178"/>
      <c r="S38253" s="178"/>
    </row>
    <row r="38254" spans="18:19">
      <c r="R38254" s="178"/>
      <c r="S38254" s="178"/>
    </row>
    <row r="38255" spans="18:19">
      <c r="R38255" s="178"/>
      <c r="S38255" s="178"/>
    </row>
    <row r="38256" spans="18:19">
      <c r="R38256" s="178"/>
      <c r="S38256" s="178"/>
    </row>
    <row r="38257" spans="18:19">
      <c r="R38257" s="178"/>
      <c r="S38257" s="178"/>
    </row>
    <row r="38258" spans="18:19">
      <c r="R38258" s="178"/>
      <c r="S38258" s="178"/>
    </row>
    <row r="38259" spans="18:19">
      <c r="R38259" s="178"/>
      <c r="S38259" s="178"/>
    </row>
    <row r="38260" spans="18:19">
      <c r="R38260" s="178"/>
      <c r="S38260" s="178"/>
    </row>
    <row r="38261" spans="18:19">
      <c r="R38261" s="178"/>
      <c r="S38261" s="178"/>
    </row>
    <row r="38262" spans="18:19">
      <c r="R38262" s="178"/>
      <c r="S38262" s="178"/>
    </row>
    <row r="38263" spans="18:19">
      <c r="R38263" s="178"/>
      <c r="S38263" s="178"/>
    </row>
    <row r="38264" spans="18:19">
      <c r="R38264" s="178"/>
      <c r="S38264" s="178"/>
    </row>
    <row r="38265" spans="18:19">
      <c r="R38265" s="178"/>
      <c r="S38265" s="178"/>
    </row>
    <row r="38266" spans="18:19">
      <c r="R38266" s="178"/>
      <c r="S38266" s="178"/>
    </row>
    <row r="38267" spans="18:19">
      <c r="R38267" s="178"/>
      <c r="S38267" s="178"/>
    </row>
    <row r="38268" spans="18:19">
      <c r="R38268" s="178"/>
      <c r="S38268" s="178"/>
    </row>
    <row r="38269" spans="18:19">
      <c r="R38269" s="178"/>
      <c r="S38269" s="178"/>
    </row>
    <row r="38270" spans="18:19">
      <c r="R38270" s="178"/>
      <c r="S38270" s="178"/>
    </row>
    <row r="38271" spans="18:19">
      <c r="R38271" s="178"/>
      <c r="S38271" s="178"/>
    </row>
    <row r="38272" spans="18:19">
      <c r="R38272" s="178"/>
      <c r="S38272" s="178"/>
    </row>
    <row r="38273" spans="18:19">
      <c r="R38273" s="178"/>
      <c r="S38273" s="178"/>
    </row>
    <row r="38274" spans="18:19">
      <c r="R38274" s="178"/>
      <c r="S38274" s="178"/>
    </row>
    <row r="38275" spans="18:19">
      <c r="R38275" s="178"/>
      <c r="S38275" s="178"/>
    </row>
    <row r="38276" spans="18:19">
      <c r="R38276" s="178"/>
      <c r="S38276" s="178"/>
    </row>
    <row r="38277" spans="18:19">
      <c r="R38277" s="178"/>
      <c r="S38277" s="178"/>
    </row>
    <row r="38278" spans="18:19">
      <c r="R38278" s="178"/>
      <c r="S38278" s="178"/>
    </row>
    <row r="38279" spans="18:19">
      <c r="R38279" s="178"/>
      <c r="S38279" s="178"/>
    </row>
    <row r="38280" spans="18:19">
      <c r="R38280" s="178"/>
      <c r="S38280" s="178"/>
    </row>
    <row r="38281" spans="18:19">
      <c r="R38281" s="178"/>
      <c r="S38281" s="178"/>
    </row>
    <row r="38282" spans="18:19">
      <c r="R38282" s="178"/>
      <c r="S38282" s="178"/>
    </row>
    <row r="38283" spans="18:19">
      <c r="R38283" s="178"/>
      <c r="S38283" s="178"/>
    </row>
    <row r="38284" spans="18:19">
      <c r="R38284" s="178"/>
      <c r="S38284" s="178"/>
    </row>
    <row r="38285" spans="18:19">
      <c r="R38285" s="178"/>
      <c r="S38285" s="178"/>
    </row>
    <row r="38286" spans="18:19">
      <c r="R38286" s="178"/>
      <c r="S38286" s="178"/>
    </row>
    <row r="38287" spans="18:19">
      <c r="R38287" s="178"/>
      <c r="S38287" s="178"/>
    </row>
    <row r="38288" spans="18:19">
      <c r="R38288" s="178"/>
      <c r="S38288" s="178"/>
    </row>
    <row r="38289" spans="18:19">
      <c r="R38289" s="178"/>
      <c r="S38289" s="178"/>
    </row>
    <row r="38290" spans="18:19">
      <c r="R38290" s="178"/>
      <c r="S38290" s="178"/>
    </row>
    <row r="38291" spans="18:19">
      <c r="R38291" s="178"/>
      <c r="S38291" s="178"/>
    </row>
    <row r="38292" spans="18:19">
      <c r="R38292" s="178"/>
      <c r="S38292" s="178"/>
    </row>
    <row r="38293" spans="18:19">
      <c r="R38293" s="178"/>
      <c r="S38293" s="178"/>
    </row>
    <row r="38294" spans="18:19">
      <c r="R38294" s="178"/>
      <c r="S38294" s="178"/>
    </row>
    <row r="38295" spans="18:19">
      <c r="R38295" s="178"/>
      <c r="S38295" s="178"/>
    </row>
    <row r="38296" spans="18:19">
      <c r="R38296" s="178"/>
      <c r="S38296" s="178"/>
    </row>
    <row r="38297" spans="18:19">
      <c r="R38297" s="178"/>
      <c r="S38297" s="178"/>
    </row>
    <row r="38298" spans="18:19">
      <c r="R38298" s="178"/>
      <c r="S38298" s="178"/>
    </row>
    <row r="38299" spans="18:19">
      <c r="R38299" s="178"/>
      <c r="S38299" s="178"/>
    </row>
    <row r="38300" spans="18:19">
      <c r="R38300" s="178"/>
      <c r="S38300" s="178"/>
    </row>
    <row r="38301" spans="18:19">
      <c r="R38301" s="178"/>
      <c r="S38301" s="178"/>
    </row>
    <row r="38302" spans="18:19">
      <c r="R38302" s="178"/>
      <c r="S38302" s="178"/>
    </row>
    <row r="38303" spans="18:19">
      <c r="R38303" s="178"/>
      <c r="S38303" s="178"/>
    </row>
    <row r="38304" spans="18:19">
      <c r="R38304" s="178"/>
      <c r="S38304" s="178"/>
    </row>
    <row r="38305" spans="18:19">
      <c r="R38305" s="178"/>
      <c r="S38305" s="178"/>
    </row>
    <row r="38306" spans="18:19">
      <c r="R38306" s="178"/>
      <c r="S38306" s="178"/>
    </row>
    <row r="38307" spans="18:19">
      <c r="R38307" s="178"/>
      <c r="S38307" s="178"/>
    </row>
    <row r="38308" spans="18:19">
      <c r="R38308" s="178"/>
      <c r="S38308" s="178"/>
    </row>
    <row r="38309" spans="18:19">
      <c r="R38309" s="178"/>
      <c r="S38309" s="178"/>
    </row>
    <row r="38310" spans="18:19">
      <c r="R38310" s="178"/>
      <c r="S38310" s="178"/>
    </row>
    <row r="38311" spans="18:19">
      <c r="R38311" s="178"/>
      <c r="S38311" s="178"/>
    </row>
    <row r="38312" spans="18:19">
      <c r="R38312" s="178"/>
      <c r="S38312" s="178"/>
    </row>
    <row r="38313" spans="18:19">
      <c r="R38313" s="178"/>
      <c r="S38313" s="178"/>
    </row>
    <row r="38314" spans="18:19">
      <c r="R38314" s="178"/>
      <c r="S38314" s="178"/>
    </row>
    <row r="38315" spans="18:19">
      <c r="R38315" s="178"/>
      <c r="S38315" s="178"/>
    </row>
    <row r="38316" spans="18:19">
      <c r="R38316" s="178"/>
      <c r="S38316" s="178"/>
    </row>
    <row r="38317" spans="18:19">
      <c r="R38317" s="178"/>
      <c r="S38317" s="178"/>
    </row>
    <row r="38318" spans="18:19">
      <c r="R38318" s="178"/>
      <c r="S38318" s="178"/>
    </row>
    <row r="38319" spans="18:19">
      <c r="R38319" s="178"/>
      <c r="S38319" s="178"/>
    </row>
    <row r="38320" spans="18:19">
      <c r="R38320" s="178"/>
      <c r="S38320" s="178"/>
    </row>
    <row r="38321" spans="18:19">
      <c r="R38321" s="178"/>
      <c r="S38321" s="178"/>
    </row>
    <row r="38322" spans="18:19">
      <c r="R38322" s="178"/>
      <c r="S38322" s="178"/>
    </row>
    <row r="38323" spans="18:19">
      <c r="R38323" s="178"/>
      <c r="S38323" s="178"/>
    </row>
    <row r="38324" spans="18:19">
      <c r="R38324" s="178"/>
      <c r="S38324" s="178"/>
    </row>
    <row r="38325" spans="18:19">
      <c r="R38325" s="178"/>
      <c r="S38325" s="178"/>
    </row>
    <row r="38326" spans="18:19">
      <c r="R38326" s="178"/>
      <c r="S38326" s="178"/>
    </row>
    <row r="38327" spans="18:19">
      <c r="R38327" s="178"/>
      <c r="S38327" s="178"/>
    </row>
    <row r="38328" spans="18:19">
      <c r="R38328" s="178"/>
      <c r="S38328" s="178"/>
    </row>
    <row r="38329" spans="18:19">
      <c r="R38329" s="178"/>
      <c r="S38329" s="178"/>
    </row>
    <row r="38330" spans="18:19">
      <c r="R38330" s="178"/>
      <c r="S38330" s="178"/>
    </row>
    <row r="38331" spans="18:19">
      <c r="R38331" s="178"/>
      <c r="S38331" s="178"/>
    </row>
    <row r="38332" spans="18:19">
      <c r="R38332" s="178"/>
      <c r="S38332" s="178"/>
    </row>
    <row r="38333" spans="18:19">
      <c r="R38333" s="178"/>
      <c r="S38333" s="178"/>
    </row>
    <row r="38334" spans="18:19">
      <c r="R38334" s="178"/>
      <c r="S38334" s="178"/>
    </row>
    <row r="38335" spans="18:19">
      <c r="R38335" s="178"/>
      <c r="S38335" s="178"/>
    </row>
    <row r="38336" spans="18:19">
      <c r="R38336" s="178"/>
      <c r="S38336" s="178"/>
    </row>
    <row r="38337" spans="18:19">
      <c r="R38337" s="178"/>
      <c r="S38337" s="178"/>
    </row>
    <row r="38338" spans="18:19">
      <c r="R38338" s="178"/>
      <c r="S38338" s="178"/>
    </row>
    <row r="38339" spans="18:19">
      <c r="R38339" s="178"/>
      <c r="S38339" s="178"/>
    </row>
    <row r="38340" spans="18:19">
      <c r="R38340" s="178"/>
      <c r="S38340" s="178"/>
    </row>
    <row r="38341" spans="18:19">
      <c r="R38341" s="178"/>
      <c r="S38341" s="178"/>
    </row>
    <row r="38342" spans="18:19">
      <c r="R38342" s="178"/>
      <c r="S38342" s="178"/>
    </row>
    <row r="38343" spans="18:19">
      <c r="R38343" s="178"/>
      <c r="S38343" s="178"/>
    </row>
    <row r="38344" spans="18:19">
      <c r="R38344" s="178"/>
      <c r="S38344" s="178"/>
    </row>
    <row r="38345" spans="18:19">
      <c r="R38345" s="178"/>
      <c r="S38345" s="178"/>
    </row>
    <row r="38346" spans="18:19">
      <c r="R38346" s="178"/>
      <c r="S38346" s="178"/>
    </row>
    <row r="38347" spans="18:19">
      <c r="R38347" s="178"/>
      <c r="S38347" s="178"/>
    </row>
    <row r="38348" spans="18:19">
      <c r="R38348" s="178"/>
      <c r="S38348" s="178"/>
    </row>
    <row r="38349" spans="18:19">
      <c r="R38349" s="178"/>
      <c r="S38349" s="178"/>
    </row>
    <row r="38350" spans="18:19">
      <c r="R38350" s="178"/>
      <c r="S38350" s="178"/>
    </row>
    <row r="38351" spans="18:19">
      <c r="R38351" s="178"/>
      <c r="S38351" s="178"/>
    </row>
    <row r="38352" spans="18:19">
      <c r="R38352" s="178"/>
      <c r="S38352" s="178"/>
    </row>
    <row r="38353" spans="18:19">
      <c r="R38353" s="178"/>
      <c r="S38353" s="178"/>
    </row>
    <row r="38354" spans="18:19">
      <c r="R38354" s="178"/>
      <c r="S38354" s="178"/>
    </row>
    <row r="38355" spans="18:19">
      <c r="R38355" s="178"/>
      <c r="S38355" s="178"/>
    </row>
    <row r="38356" spans="18:19">
      <c r="R38356" s="178"/>
      <c r="S38356" s="178"/>
    </row>
    <row r="38357" spans="18:19">
      <c r="R38357" s="178"/>
      <c r="S38357" s="178"/>
    </row>
    <row r="38358" spans="18:19">
      <c r="R38358" s="178"/>
      <c r="S38358" s="178"/>
    </row>
    <row r="38359" spans="18:19">
      <c r="R38359" s="178"/>
      <c r="S38359" s="178"/>
    </row>
    <row r="38360" spans="18:19">
      <c r="R38360" s="178"/>
      <c r="S38360" s="178"/>
    </row>
    <row r="38361" spans="18:19">
      <c r="R38361" s="178"/>
      <c r="S38361" s="178"/>
    </row>
    <row r="38362" spans="18:19">
      <c r="R38362" s="178"/>
      <c r="S38362" s="178"/>
    </row>
    <row r="38363" spans="18:19">
      <c r="R38363" s="178"/>
      <c r="S38363" s="178"/>
    </row>
    <row r="38364" spans="18:19">
      <c r="R38364" s="178"/>
      <c r="S38364" s="178"/>
    </row>
    <row r="38365" spans="18:19">
      <c r="R38365" s="178"/>
      <c r="S38365" s="178"/>
    </row>
    <row r="38366" spans="18:19">
      <c r="R38366" s="178"/>
      <c r="S38366" s="178"/>
    </row>
    <row r="38367" spans="18:19">
      <c r="R38367" s="178"/>
      <c r="S38367" s="178"/>
    </row>
    <row r="38368" spans="18:19">
      <c r="R38368" s="178"/>
      <c r="S38368" s="178"/>
    </row>
    <row r="38369" spans="18:19">
      <c r="R38369" s="178"/>
      <c r="S38369" s="178"/>
    </row>
    <row r="38370" spans="18:19">
      <c r="R38370" s="178"/>
      <c r="S38370" s="178"/>
    </row>
    <row r="38371" spans="18:19">
      <c r="R38371" s="178"/>
      <c r="S38371" s="178"/>
    </row>
    <row r="38372" spans="18:19">
      <c r="R38372" s="178"/>
      <c r="S38372" s="178"/>
    </row>
    <row r="38373" spans="18:19">
      <c r="R38373" s="178"/>
      <c r="S38373" s="178"/>
    </row>
    <row r="38374" spans="18:19">
      <c r="R38374" s="178"/>
      <c r="S38374" s="178"/>
    </row>
    <row r="38375" spans="18:19">
      <c r="R38375" s="178"/>
      <c r="S38375" s="178"/>
    </row>
    <row r="38376" spans="18:19">
      <c r="R38376" s="178"/>
      <c r="S38376" s="178"/>
    </row>
    <row r="38377" spans="18:19">
      <c r="R38377" s="178"/>
      <c r="S38377" s="178"/>
    </row>
    <row r="38378" spans="18:19">
      <c r="R38378" s="178"/>
      <c r="S38378" s="178"/>
    </row>
    <row r="38379" spans="18:19">
      <c r="R38379" s="178"/>
      <c r="S38379" s="178"/>
    </row>
    <row r="38380" spans="18:19">
      <c r="R38380" s="178"/>
      <c r="S38380" s="178"/>
    </row>
    <row r="38381" spans="18:19">
      <c r="R38381" s="178"/>
      <c r="S38381" s="178"/>
    </row>
    <row r="38382" spans="18:19">
      <c r="R38382" s="178"/>
      <c r="S38382" s="178"/>
    </row>
    <row r="38383" spans="18:19">
      <c r="R38383" s="178"/>
      <c r="S38383" s="178"/>
    </row>
    <row r="38384" spans="18:19">
      <c r="R38384" s="178"/>
      <c r="S38384" s="178"/>
    </row>
    <row r="38385" spans="18:19">
      <c r="R38385" s="178"/>
      <c r="S38385" s="178"/>
    </row>
    <row r="38386" spans="18:19">
      <c r="R38386" s="178"/>
      <c r="S38386" s="178"/>
    </row>
    <row r="38387" spans="18:19">
      <c r="R38387" s="178"/>
      <c r="S38387" s="178"/>
    </row>
    <row r="38388" spans="18:19">
      <c r="R38388" s="178"/>
      <c r="S38388" s="178"/>
    </row>
    <row r="38389" spans="18:19">
      <c r="R38389" s="178"/>
      <c r="S38389" s="178"/>
    </row>
    <row r="38390" spans="18:19">
      <c r="R38390" s="178"/>
      <c r="S38390" s="178"/>
    </row>
    <row r="38391" spans="18:19">
      <c r="R38391" s="178"/>
      <c r="S38391" s="178"/>
    </row>
    <row r="38392" spans="18:19">
      <c r="R38392" s="178"/>
      <c r="S38392" s="178"/>
    </row>
    <row r="38393" spans="18:19">
      <c r="R38393" s="178"/>
      <c r="S38393" s="178"/>
    </row>
    <row r="38394" spans="18:19">
      <c r="R38394" s="178"/>
      <c r="S38394" s="178"/>
    </row>
    <row r="38395" spans="18:19">
      <c r="R38395" s="178"/>
      <c r="S38395" s="178"/>
    </row>
    <row r="38396" spans="18:19">
      <c r="R38396" s="178"/>
      <c r="S38396" s="178"/>
    </row>
    <row r="38397" spans="18:19">
      <c r="R38397" s="178"/>
      <c r="S38397" s="178"/>
    </row>
    <row r="38398" spans="18:19">
      <c r="R38398" s="178"/>
      <c r="S38398" s="178"/>
    </row>
    <row r="38399" spans="18:19">
      <c r="R38399" s="178"/>
      <c r="S38399" s="178"/>
    </row>
    <row r="38400" spans="18:19">
      <c r="R38400" s="178"/>
      <c r="S38400" s="178"/>
    </row>
    <row r="38401" spans="18:19">
      <c r="R38401" s="178"/>
      <c r="S38401" s="178"/>
    </row>
    <row r="38402" spans="18:19">
      <c r="R38402" s="178"/>
      <c r="S38402" s="178"/>
    </row>
    <row r="38403" spans="18:19">
      <c r="R38403" s="178"/>
      <c r="S38403" s="178"/>
    </row>
    <row r="38404" spans="18:19">
      <c r="R38404" s="178"/>
      <c r="S38404" s="178"/>
    </row>
    <row r="38405" spans="18:19">
      <c r="R38405" s="178"/>
      <c r="S38405" s="178"/>
    </row>
    <row r="38406" spans="18:19">
      <c r="R38406" s="178"/>
      <c r="S38406" s="178"/>
    </row>
    <row r="38407" spans="18:19">
      <c r="R38407" s="178"/>
      <c r="S38407" s="178"/>
    </row>
    <row r="38408" spans="18:19">
      <c r="R38408" s="178"/>
      <c r="S38408" s="178"/>
    </row>
    <row r="38409" spans="18:19">
      <c r="R38409" s="178"/>
      <c r="S38409" s="178"/>
    </row>
    <row r="38410" spans="18:19">
      <c r="R38410" s="178"/>
      <c r="S38410" s="178"/>
    </row>
    <row r="38411" spans="18:19">
      <c r="R38411" s="178"/>
      <c r="S38411" s="178"/>
    </row>
    <row r="38412" spans="18:19">
      <c r="R38412" s="178"/>
      <c r="S38412" s="178"/>
    </row>
    <row r="38413" spans="18:19">
      <c r="R38413" s="178"/>
      <c r="S38413" s="178"/>
    </row>
    <row r="38414" spans="18:19">
      <c r="R38414" s="178"/>
      <c r="S38414" s="178"/>
    </row>
    <row r="38415" spans="18:19">
      <c r="R38415" s="178"/>
      <c r="S38415" s="178"/>
    </row>
    <row r="38416" spans="18:19">
      <c r="R38416" s="178"/>
      <c r="S38416" s="178"/>
    </row>
    <row r="38417" spans="18:19">
      <c r="R38417" s="178"/>
      <c r="S38417" s="178"/>
    </row>
    <row r="38418" spans="18:19">
      <c r="R38418" s="178"/>
      <c r="S38418" s="178"/>
    </row>
    <row r="38419" spans="18:19">
      <c r="R38419" s="178"/>
      <c r="S38419" s="178"/>
    </row>
    <row r="38420" spans="18:19">
      <c r="R38420" s="178"/>
      <c r="S38420" s="178"/>
    </row>
    <row r="38421" spans="18:19">
      <c r="R38421" s="178"/>
      <c r="S38421" s="178"/>
    </row>
    <row r="38422" spans="18:19">
      <c r="R38422" s="178"/>
      <c r="S38422" s="178"/>
    </row>
    <row r="38423" spans="18:19">
      <c r="R38423" s="178"/>
      <c r="S38423" s="178"/>
    </row>
    <row r="38424" spans="18:19">
      <c r="R38424" s="178"/>
      <c r="S38424" s="178"/>
    </row>
    <row r="38425" spans="18:19">
      <c r="R38425" s="178"/>
      <c r="S38425" s="178"/>
    </row>
    <row r="38426" spans="18:19">
      <c r="R38426" s="178"/>
      <c r="S38426" s="178"/>
    </row>
    <row r="38427" spans="18:19">
      <c r="R38427" s="178"/>
      <c r="S38427" s="178"/>
    </row>
    <row r="38428" spans="18:19">
      <c r="R38428" s="178"/>
      <c r="S38428" s="178"/>
    </row>
    <row r="38429" spans="18:19">
      <c r="R38429" s="178"/>
      <c r="S38429" s="178"/>
    </row>
    <row r="38430" spans="18:19">
      <c r="R38430" s="178"/>
      <c r="S38430" s="178"/>
    </row>
    <row r="38431" spans="18:19">
      <c r="R38431" s="178"/>
      <c r="S38431" s="178"/>
    </row>
    <row r="38432" spans="18:19">
      <c r="R38432" s="178"/>
      <c r="S38432" s="178"/>
    </row>
    <row r="38433" spans="18:19">
      <c r="R38433" s="178"/>
      <c r="S38433" s="178"/>
    </row>
    <row r="38434" spans="18:19">
      <c r="R38434" s="178"/>
      <c r="S38434" s="178"/>
    </row>
    <row r="38435" spans="18:19">
      <c r="R38435" s="178"/>
      <c r="S38435" s="178"/>
    </row>
    <row r="38436" spans="18:19">
      <c r="R38436" s="178"/>
      <c r="S38436" s="178"/>
    </row>
    <row r="38437" spans="18:19">
      <c r="R38437" s="178"/>
      <c r="S38437" s="178"/>
    </row>
    <row r="38438" spans="18:19">
      <c r="R38438" s="178"/>
      <c r="S38438" s="178"/>
    </row>
    <row r="38439" spans="18:19">
      <c r="R38439" s="178"/>
      <c r="S38439" s="178"/>
    </row>
    <row r="38440" spans="18:19">
      <c r="R38440" s="178"/>
      <c r="S38440" s="178"/>
    </row>
    <row r="38441" spans="18:19">
      <c r="R38441" s="178"/>
      <c r="S38441" s="178"/>
    </row>
    <row r="38442" spans="18:19">
      <c r="R38442" s="178"/>
      <c r="S38442" s="178"/>
    </row>
    <row r="38443" spans="18:19">
      <c r="R38443" s="178"/>
      <c r="S38443" s="178"/>
    </row>
    <row r="38444" spans="18:19">
      <c r="R38444" s="178"/>
      <c r="S38444" s="178"/>
    </row>
    <row r="38445" spans="18:19">
      <c r="R38445" s="178"/>
      <c r="S38445" s="178"/>
    </row>
    <row r="38446" spans="18:19">
      <c r="R38446" s="178"/>
      <c r="S38446" s="178"/>
    </row>
    <row r="38447" spans="18:19">
      <c r="R38447" s="178"/>
      <c r="S38447" s="178"/>
    </row>
    <row r="38448" spans="18:19">
      <c r="R38448" s="178"/>
      <c r="S38448" s="178"/>
    </row>
    <row r="38449" spans="18:19">
      <c r="R38449" s="178"/>
      <c r="S38449" s="178"/>
    </row>
    <row r="38450" spans="18:19">
      <c r="R38450" s="178"/>
      <c r="S38450" s="178"/>
    </row>
    <row r="38451" spans="18:19">
      <c r="R38451" s="178"/>
      <c r="S38451" s="178"/>
    </row>
    <row r="38452" spans="18:19">
      <c r="R38452" s="178"/>
      <c r="S38452" s="178"/>
    </row>
    <row r="38453" spans="18:19">
      <c r="R38453" s="178"/>
      <c r="S38453" s="178"/>
    </row>
    <row r="38454" spans="18:19">
      <c r="R38454" s="178"/>
      <c r="S38454" s="178"/>
    </row>
    <row r="38455" spans="18:19">
      <c r="R38455" s="178"/>
      <c r="S38455" s="178"/>
    </row>
    <row r="38456" spans="18:19">
      <c r="R38456" s="178"/>
      <c r="S38456" s="178"/>
    </row>
    <row r="38457" spans="18:19">
      <c r="R38457" s="178"/>
      <c r="S38457" s="178"/>
    </row>
    <row r="38458" spans="18:19">
      <c r="R38458" s="178"/>
      <c r="S38458" s="178"/>
    </row>
    <row r="38459" spans="18:19">
      <c r="R38459" s="178"/>
      <c r="S38459" s="178"/>
    </row>
    <row r="38460" spans="18:19">
      <c r="R38460" s="178"/>
      <c r="S38460" s="178"/>
    </row>
    <row r="38461" spans="18:19">
      <c r="R38461" s="178"/>
      <c r="S38461" s="178"/>
    </row>
    <row r="38462" spans="18:19">
      <c r="R38462" s="178"/>
      <c r="S38462" s="178"/>
    </row>
    <row r="38463" spans="18:19">
      <c r="R38463" s="178"/>
      <c r="S38463" s="178"/>
    </row>
    <row r="38464" spans="18:19">
      <c r="R38464" s="178"/>
      <c r="S38464" s="178"/>
    </row>
    <row r="38465" spans="18:19">
      <c r="R38465" s="178"/>
      <c r="S38465" s="178"/>
    </row>
    <row r="38466" spans="18:19">
      <c r="R38466" s="178"/>
      <c r="S38466" s="178"/>
    </row>
    <row r="38467" spans="18:19">
      <c r="R38467" s="178"/>
      <c r="S38467" s="178"/>
    </row>
    <row r="38468" spans="18:19">
      <c r="R38468" s="178"/>
      <c r="S38468" s="178"/>
    </row>
    <row r="38469" spans="18:19">
      <c r="R38469" s="178"/>
      <c r="S38469" s="178"/>
    </row>
    <row r="38470" spans="18:19">
      <c r="R38470" s="178"/>
      <c r="S38470" s="178"/>
    </row>
    <row r="38471" spans="18:19">
      <c r="R38471" s="178"/>
      <c r="S38471" s="178"/>
    </row>
    <row r="38472" spans="18:19">
      <c r="R38472" s="178"/>
      <c r="S38472" s="178"/>
    </row>
    <row r="38473" spans="18:19">
      <c r="R38473" s="178"/>
      <c r="S38473" s="178"/>
    </row>
    <row r="38474" spans="18:19">
      <c r="R38474" s="178"/>
      <c r="S38474" s="178"/>
    </row>
    <row r="38475" spans="18:19">
      <c r="R38475" s="178"/>
      <c r="S38475" s="178"/>
    </row>
    <row r="38476" spans="18:19">
      <c r="R38476" s="178"/>
      <c r="S38476" s="178"/>
    </row>
    <row r="38477" spans="18:19">
      <c r="R38477" s="178"/>
      <c r="S38477" s="178"/>
    </row>
    <row r="38478" spans="18:19">
      <c r="R38478" s="178"/>
      <c r="S38478" s="178"/>
    </row>
    <row r="38479" spans="18:19">
      <c r="R38479" s="178"/>
      <c r="S38479" s="178"/>
    </row>
    <row r="38480" spans="18:19">
      <c r="R38480" s="178"/>
      <c r="S38480" s="178"/>
    </row>
    <row r="38481" spans="18:19">
      <c r="R38481" s="178"/>
      <c r="S38481" s="178"/>
    </row>
    <row r="38482" spans="18:19">
      <c r="R38482" s="178"/>
      <c r="S38482" s="178"/>
    </row>
    <row r="38483" spans="18:19">
      <c r="R38483" s="178"/>
      <c r="S38483" s="178"/>
    </row>
    <row r="38484" spans="18:19">
      <c r="R38484" s="178"/>
      <c r="S38484" s="178"/>
    </row>
    <row r="38485" spans="18:19">
      <c r="R38485" s="178"/>
      <c r="S38485" s="178"/>
    </row>
    <row r="38486" spans="18:19">
      <c r="R38486" s="178"/>
      <c r="S38486" s="178"/>
    </row>
    <row r="38487" spans="18:19">
      <c r="R38487" s="178"/>
      <c r="S38487" s="178"/>
    </row>
    <row r="38488" spans="18:19">
      <c r="R38488" s="178"/>
      <c r="S38488" s="178"/>
    </row>
    <row r="38489" spans="18:19">
      <c r="R38489" s="178"/>
      <c r="S38489" s="178"/>
    </row>
    <row r="38490" spans="18:19">
      <c r="R38490" s="178"/>
      <c r="S38490" s="178"/>
    </row>
    <row r="38491" spans="18:19">
      <c r="R38491" s="178"/>
      <c r="S38491" s="178"/>
    </row>
    <row r="38492" spans="18:19">
      <c r="R38492" s="178"/>
      <c r="S38492" s="178"/>
    </row>
    <row r="38493" spans="18:19">
      <c r="R38493" s="178"/>
      <c r="S38493" s="178"/>
    </row>
    <row r="38494" spans="18:19">
      <c r="R38494" s="178"/>
      <c r="S38494" s="178"/>
    </row>
    <row r="38495" spans="18:19">
      <c r="R38495" s="178"/>
      <c r="S38495" s="178"/>
    </row>
    <row r="38496" spans="18:19">
      <c r="R38496" s="178"/>
      <c r="S38496" s="178"/>
    </row>
    <row r="38497" spans="18:19">
      <c r="R38497" s="178"/>
      <c r="S38497" s="178"/>
    </row>
    <row r="38498" spans="18:19">
      <c r="R38498" s="178"/>
      <c r="S38498" s="178"/>
    </row>
    <row r="38499" spans="18:19">
      <c r="R38499" s="178"/>
      <c r="S38499" s="178"/>
    </row>
    <row r="38500" spans="18:19">
      <c r="R38500" s="178"/>
      <c r="S38500" s="178"/>
    </row>
    <row r="38501" spans="18:19">
      <c r="R38501" s="178"/>
      <c r="S38501" s="178"/>
    </row>
    <row r="38502" spans="18:19">
      <c r="R38502" s="178"/>
      <c r="S38502" s="178"/>
    </row>
    <row r="38503" spans="18:19">
      <c r="R38503" s="178"/>
      <c r="S38503" s="178"/>
    </row>
    <row r="38504" spans="18:19">
      <c r="R38504" s="178"/>
      <c r="S38504" s="178"/>
    </row>
    <row r="38505" spans="18:19">
      <c r="R38505" s="178"/>
      <c r="S38505" s="178"/>
    </row>
    <row r="38506" spans="18:19">
      <c r="R38506" s="178"/>
      <c r="S38506" s="178"/>
    </row>
    <row r="38507" spans="18:19">
      <c r="R38507" s="178"/>
      <c r="S38507" s="178"/>
    </row>
    <row r="38508" spans="18:19">
      <c r="R38508" s="178"/>
      <c r="S38508" s="178"/>
    </row>
    <row r="38509" spans="18:19">
      <c r="R38509" s="178"/>
      <c r="S38509" s="178"/>
    </row>
    <row r="38510" spans="18:19">
      <c r="R38510" s="178"/>
      <c r="S38510" s="178"/>
    </row>
    <row r="38511" spans="18:19">
      <c r="R38511" s="178"/>
      <c r="S38511" s="178"/>
    </row>
    <row r="38512" spans="18:19">
      <c r="R38512" s="178"/>
      <c r="S38512" s="178"/>
    </row>
    <row r="38513" spans="18:19">
      <c r="R38513" s="178"/>
      <c r="S38513" s="178"/>
    </row>
    <row r="38514" spans="18:19">
      <c r="R38514" s="178"/>
      <c r="S38514" s="178"/>
    </row>
    <row r="38515" spans="18:19">
      <c r="R38515" s="178"/>
      <c r="S38515" s="178"/>
    </row>
    <row r="38516" spans="18:19">
      <c r="R38516" s="178"/>
      <c r="S38516" s="178"/>
    </row>
    <row r="38517" spans="18:19">
      <c r="R38517" s="178"/>
      <c r="S38517" s="178"/>
    </row>
    <row r="38518" spans="18:19">
      <c r="R38518" s="178"/>
      <c r="S38518" s="178"/>
    </row>
    <row r="38519" spans="18:19">
      <c r="R38519" s="178"/>
      <c r="S38519" s="178"/>
    </row>
    <row r="38520" spans="18:19">
      <c r="R38520" s="178"/>
      <c r="S38520" s="178"/>
    </row>
    <row r="38521" spans="18:19">
      <c r="R38521" s="178"/>
      <c r="S38521" s="178"/>
    </row>
    <row r="38522" spans="18:19">
      <c r="R38522" s="178"/>
      <c r="S38522" s="178"/>
    </row>
    <row r="38523" spans="18:19">
      <c r="R38523" s="178"/>
      <c r="S38523" s="178"/>
    </row>
    <row r="38524" spans="18:19">
      <c r="R38524" s="178"/>
      <c r="S38524" s="178"/>
    </row>
    <row r="38525" spans="18:19">
      <c r="R38525" s="178"/>
      <c r="S38525" s="178"/>
    </row>
    <row r="38526" spans="18:19">
      <c r="R38526" s="178"/>
      <c r="S38526" s="178"/>
    </row>
    <row r="38527" spans="18:19">
      <c r="R38527" s="178"/>
      <c r="S38527" s="178"/>
    </row>
    <row r="38528" spans="18:19">
      <c r="R38528" s="178"/>
      <c r="S38528" s="178"/>
    </row>
    <row r="38529" spans="18:19">
      <c r="R38529" s="178"/>
      <c r="S38529" s="178"/>
    </row>
    <row r="38530" spans="18:19">
      <c r="R38530" s="178"/>
      <c r="S38530" s="178"/>
    </row>
    <row r="38531" spans="18:19">
      <c r="R38531" s="178"/>
      <c r="S38531" s="178"/>
    </row>
    <row r="38532" spans="18:19">
      <c r="R38532" s="178"/>
      <c r="S38532" s="178"/>
    </row>
    <row r="38533" spans="18:19">
      <c r="R38533" s="178"/>
      <c r="S38533" s="178"/>
    </row>
    <row r="38534" spans="18:19">
      <c r="R38534" s="178"/>
      <c r="S38534" s="178"/>
    </row>
    <row r="38535" spans="18:19">
      <c r="R38535" s="178"/>
      <c r="S38535" s="178"/>
    </row>
    <row r="38536" spans="18:19">
      <c r="R38536" s="178"/>
      <c r="S38536" s="178"/>
    </row>
    <row r="38537" spans="18:19">
      <c r="R38537" s="178"/>
      <c r="S38537" s="178"/>
    </row>
    <row r="38538" spans="18:19">
      <c r="R38538" s="178"/>
      <c r="S38538" s="178"/>
    </row>
    <row r="38539" spans="18:19">
      <c r="R38539" s="178"/>
      <c r="S38539" s="178"/>
    </row>
    <row r="38540" spans="18:19">
      <c r="R38540" s="178"/>
      <c r="S38540" s="178"/>
    </row>
    <row r="38541" spans="18:19">
      <c r="R38541" s="178"/>
      <c r="S38541" s="178"/>
    </row>
    <row r="38542" spans="18:19">
      <c r="R38542" s="178"/>
      <c r="S38542" s="178"/>
    </row>
    <row r="38543" spans="18:19">
      <c r="R38543" s="178"/>
      <c r="S38543" s="178"/>
    </row>
    <row r="38544" spans="18:19">
      <c r="R38544" s="178"/>
      <c r="S38544" s="178"/>
    </row>
    <row r="38545" spans="18:19">
      <c r="R38545" s="178"/>
      <c r="S38545" s="178"/>
    </row>
    <row r="38546" spans="18:19">
      <c r="R38546" s="178"/>
      <c r="S38546" s="178"/>
    </row>
    <row r="38547" spans="18:19">
      <c r="R38547" s="178"/>
      <c r="S38547" s="178"/>
    </row>
    <row r="38548" spans="18:19">
      <c r="R38548" s="178"/>
      <c r="S38548" s="178"/>
    </row>
    <row r="38549" spans="18:19">
      <c r="R38549" s="178"/>
      <c r="S38549" s="178"/>
    </row>
    <row r="38550" spans="18:19">
      <c r="R38550" s="178"/>
      <c r="S38550" s="178"/>
    </row>
    <row r="38551" spans="18:19">
      <c r="R38551" s="178"/>
      <c r="S38551" s="178"/>
    </row>
    <row r="38552" spans="18:19">
      <c r="R38552" s="178"/>
      <c r="S38552" s="178"/>
    </row>
    <row r="38553" spans="18:19">
      <c r="R38553" s="178"/>
      <c r="S38553" s="178"/>
    </row>
    <row r="38554" spans="18:19">
      <c r="R38554" s="178"/>
      <c r="S38554" s="178"/>
    </row>
    <row r="38555" spans="18:19">
      <c r="R38555" s="178"/>
      <c r="S38555" s="178"/>
    </row>
    <row r="38556" spans="18:19">
      <c r="R38556" s="178"/>
      <c r="S38556" s="178"/>
    </row>
    <row r="38557" spans="18:19">
      <c r="R38557" s="178"/>
      <c r="S38557" s="178"/>
    </row>
    <row r="38558" spans="18:19">
      <c r="R38558" s="178"/>
      <c r="S38558" s="178"/>
    </row>
    <row r="38559" spans="18:19">
      <c r="R38559" s="178"/>
      <c r="S38559" s="178"/>
    </row>
    <row r="38560" spans="18:19">
      <c r="R38560" s="178"/>
      <c r="S38560" s="178"/>
    </row>
    <row r="38561" spans="18:19">
      <c r="R38561" s="178"/>
      <c r="S38561" s="178"/>
    </row>
    <row r="38562" spans="18:19">
      <c r="R38562" s="178"/>
      <c r="S38562" s="178"/>
    </row>
    <row r="38563" spans="18:19">
      <c r="R38563" s="178"/>
      <c r="S38563" s="178"/>
    </row>
    <row r="38564" spans="18:19">
      <c r="R38564" s="178"/>
      <c r="S38564" s="178"/>
    </row>
    <row r="38565" spans="18:19">
      <c r="R38565" s="178"/>
      <c r="S38565" s="178"/>
    </row>
    <row r="38566" spans="18:19">
      <c r="R38566" s="178"/>
      <c r="S38566" s="178"/>
    </row>
    <row r="38567" spans="18:19">
      <c r="R38567" s="178"/>
      <c r="S38567" s="178"/>
    </row>
    <row r="38568" spans="18:19">
      <c r="R38568" s="178"/>
      <c r="S38568" s="178"/>
    </row>
    <row r="38569" spans="18:19">
      <c r="R38569" s="178"/>
      <c r="S38569" s="178"/>
    </row>
    <row r="38570" spans="18:19">
      <c r="R38570" s="178"/>
      <c r="S38570" s="178"/>
    </row>
    <row r="38571" spans="18:19">
      <c r="R38571" s="178"/>
      <c r="S38571" s="178"/>
    </row>
    <row r="38572" spans="18:19">
      <c r="R38572" s="178"/>
      <c r="S38572" s="178"/>
    </row>
    <row r="38573" spans="18:19">
      <c r="R38573" s="178"/>
      <c r="S38573" s="178"/>
    </row>
    <row r="38574" spans="18:19">
      <c r="R38574" s="178"/>
      <c r="S38574" s="178"/>
    </row>
    <row r="38575" spans="18:19">
      <c r="R38575" s="178"/>
      <c r="S38575" s="178"/>
    </row>
    <row r="38576" spans="18:19">
      <c r="R38576" s="178"/>
      <c r="S38576" s="178"/>
    </row>
    <row r="38577" spans="18:19">
      <c r="R38577" s="178"/>
      <c r="S38577" s="178"/>
    </row>
    <row r="38578" spans="18:19">
      <c r="R38578" s="178"/>
      <c r="S38578" s="178"/>
    </row>
    <row r="38579" spans="18:19">
      <c r="R38579" s="178"/>
      <c r="S38579" s="178"/>
    </row>
    <row r="38580" spans="18:19">
      <c r="R38580" s="178"/>
      <c r="S38580" s="178"/>
    </row>
    <row r="38581" spans="18:19">
      <c r="R38581" s="178"/>
      <c r="S38581" s="178"/>
    </row>
    <row r="38582" spans="18:19">
      <c r="R38582" s="178"/>
      <c r="S38582" s="178"/>
    </row>
    <row r="38583" spans="18:19">
      <c r="R38583" s="178"/>
      <c r="S38583" s="178"/>
    </row>
    <row r="38584" spans="18:19">
      <c r="R38584" s="178"/>
      <c r="S38584" s="178"/>
    </row>
    <row r="38585" spans="18:19">
      <c r="R38585" s="178"/>
      <c r="S38585" s="178"/>
    </row>
    <row r="38586" spans="18:19">
      <c r="R38586" s="178"/>
      <c r="S38586" s="178"/>
    </row>
    <row r="38587" spans="18:19">
      <c r="R38587" s="178"/>
      <c r="S38587" s="178"/>
    </row>
    <row r="38588" spans="18:19">
      <c r="R38588" s="178"/>
      <c r="S38588" s="178"/>
    </row>
    <row r="38589" spans="18:19">
      <c r="R38589" s="178"/>
      <c r="S38589" s="178"/>
    </row>
    <row r="38590" spans="18:19">
      <c r="R38590" s="178"/>
      <c r="S38590" s="178"/>
    </row>
    <row r="38591" spans="18:19">
      <c r="R38591" s="178"/>
      <c r="S38591" s="178"/>
    </row>
    <row r="38592" spans="18:19">
      <c r="R38592" s="178"/>
      <c r="S38592" s="178"/>
    </row>
    <row r="38593" spans="18:19">
      <c r="R38593" s="178"/>
      <c r="S38593" s="178"/>
    </row>
    <row r="38594" spans="18:19">
      <c r="R38594" s="178"/>
      <c r="S38594" s="178"/>
    </row>
    <row r="38595" spans="18:19">
      <c r="R38595" s="178"/>
      <c r="S38595" s="178"/>
    </row>
    <row r="38596" spans="18:19">
      <c r="R38596" s="178"/>
      <c r="S38596" s="178"/>
    </row>
    <row r="38597" spans="18:19">
      <c r="R38597" s="178"/>
      <c r="S38597" s="178"/>
    </row>
    <row r="38598" spans="18:19">
      <c r="R38598" s="178"/>
      <c r="S38598" s="178"/>
    </row>
    <row r="38599" spans="18:19">
      <c r="R38599" s="178"/>
      <c r="S38599" s="178"/>
    </row>
    <row r="38600" spans="18:19">
      <c r="R38600" s="178"/>
      <c r="S38600" s="178"/>
    </row>
    <row r="38601" spans="18:19">
      <c r="R38601" s="178"/>
      <c r="S38601" s="178"/>
    </row>
    <row r="38602" spans="18:19">
      <c r="R38602" s="178"/>
      <c r="S38602" s="178"/>
    </row>
    <row r="38603" spans="18:19">
      <c r="R38603" s="178"/>
      <c r="S38603" s="178"/>
    </row>
    <row r="38604" spans="18:19">
      <c r="R38604" s="178"/>
      <c r="S38604" s="178"/>
    </row>
    <row r="38605" spans="18:19">
      <c r="R38605" s="178"/>
      <c r="S38605" s="178"/>
    </row>
    <row r="38606" spans="18:19">
      <c r="R38606" s="178"/>
      <c r="S38606" s="178"/>
    </row>
    <row r="38607" spans="18:19">
      <c r="R38607" s="178"/>
      <c r="S38607" s="178"/>
    </row>
    <row r="38608" spans="18:19">
      <c r="R38608" s="178"/>
      <c r="S38608" s="178"/>
    </row>
    <row r="38609" spans="18:19">
      <c r="R38609" s="178"/>
      <c r="S38609" s="178"/>
    </row>
    <row r="38610" spans="18:19">
      <c r="R38610" s="178"/>
      <c r="S38610" s="178"/>
    </row>
    <row r="38611" spans="18:19">
      <c r="R38611" s="178"/>
      <c r="S38611" s="178"/>
    </row>
    <row r="38612" spans="18:19">
      <c r="R38612" s="178"/>
      <c r="S38612" s="178"/>
    </row>
    <row r="38613" spans="18:19">
      <c r="R38613" s="178"/>
      <c r="S38613" s="178"/>
    </row>
    <row r="38614" spans="18:19">
      <c r="R38614" s="178"/>
      <c r="S38614" s="178"/>
    </row>
    <row r="38615" spans="18:19">
      <c r="R38615" s="178"/>
      <c r="S38615" s="178"/>
    </row>
    <row r="38616" spans="18:19">
      <c r="R38616" s="178"/>
      <c r="S38616" s="178"/>
    </row>
    <row r="38617" spans="18:19">
      <c r="R38617" s="178"/>
      <c r="S38617" s="178"/>
    </row>
    <row r="38618" spans="18:19">
      <c r="R38618" s="178"/>
      <c r="S38618" s="178"/>
    </row>
    <row r="38619" spans="18:19">
      <c r="R38619" s="178"/>
      <c r="S38619" s="178"/>
    </row>
    <row r="38620" spans="18:19">
      <c r="R38620" s="178"/>
      <c r="S38620" s="178"/>
    </row>
    <row r="38621" spans="18:19">
      <c r="R38621" s="178"/>
      <c r="S38621" s="178"/>
    </row>
    <row r="38622" spans="18:19">
      <c r="R38622" s="178"/>
      <c r="S38622" s="178"/>
    </row>
    <row r="38623" spans="18:19">
      <c r="R38623" s="178"/>
      <c r="S38623" s="178"/>
    </row>
    <row r="38624" spans="18:19">
      <c r="R38624" s="178"/>
      <c r="S38624" s="178"/>
    </row>
    <row r="38625" spans="18:19">
      <c r="R38625" s="178"/>
      <c r="S38625" s="178"/>
    </row>
    <row r="38626" spans="18:19">
      <c r="R38626" s="178"/>
      <c r="S38626" s="178"/>
    </row>
    <row r="38627" spans="18:19">
      <c r="R38627" s="178"/>
      <c r="S38627" s="178"/>
    </row>
    <row r="38628" spans="18:19">
      <c r="R38628" s="178"/>
      <c r="S38628" s="178"/>
    </row>
    <row r="38629" spans="18:19">
      <c r="R38629" s="178"/>
      <c r="S38629" s="178"/>
    </row>
    <row r="38630" spans="18:19">
      <c r="R38630" s="178"/>
      <c r="S38630" s="178"/>
    </row>
    <row r="38631" spans="18:19">
      <c r="R38631" s="178"/>
      <c r="S38631" s="178"/>
    </row>
    <row r="38632" spans="18:19">
      <c r="R38632" s="178"/>
      <c r="S38632" s="178"/>
    </row>
    <row r="38633" spans="18:19">
      <c r="R38633" s="178"/>
      <c r="S38633" s="178"/>
    </row>
    <row r="38634" spans="18:19">
      <c r="R38634" s="178"/>
      <c r="S38634" s="178"/>
    </row>
    <row r="38635" spans="18:19">
      <c r="R38635" s="178"/>
      <c r="S38635" s="178"/>
    </row>
    <row r="38636" spans="18:19">
      <c r="R38636" s="178"/>
      <c r="S38636" s="178"/>
    </row>
    <row r="38637" spans="18:19">
      <c r="R38637" s="178"/>
      <c r="S38637" s="178"/>
    </row>
    <row r="38638" spans="18:19">
      <c r="R38638" s="178"/>
      <c r="S38638" s="178"/>
    </row>
    <row r="38639" spans="18:19">
      <c r="R38639" s="178"/>
      <c r="S38639" s="178"/>
    </row>
    <row r="38640" spans="18:19">
      <c r="R38640" s="178"/>
      <c r="S38640" s="178"/>
    </row>
    <row r="38641" spans="18:19">
      <c r="R38641" s="178"/>
      <c r="S38641" s="178"/>
    </row>
    <row r="38642" spans="18:19">
      <c r="R38642" s="178"/>
      <c r="S38642" s="178"/>
    </row>
    <row r="38643" spans="18:19">
      <c r="R38643" s="178"/>
      <c r="S38643" s="178"/>
    </row>
    <row r="38644" spans="18:19">
      <c r="R38644" s="178"/>
      <c r="S38644" s="178"/>
    </row>
    <row r="38645" spans="18:19">
      <c r="R38645" s="178"/>
      <c r="S38645" s="178"/>
    </row>
    <row r="38646" spans="18:19">
      <c r="R38646" s="178"/>
      <c r="S38646" s="178"/>
    </row>
    <row r="38647" spans="18:19">
      <c r="R38647" s="178"/>
      <c r="S38647" s="178"/>
    </row>
    <row r="38648" spans="18:19">
      <c r="R38648" s="178"/>
      <c r="S38648" s="178"/>
    </row>
    <row r="38649" spans="18:19">
      <c r="R38649" s="178"/>
      <c r="S38649" s="178"/>
    </row>
    <row r="38650" spans="18:19">
      <c r="R38650" s="178"/>
      <c r="S38650" s="178"/>
    </row>
    <row r="38651" spans="18:19">
      <c r="R38651" s="178"/>
      <c r="S38651" s="178"/>
    </row>
    <row r="38652" spans="18:19">
      <c r="R38652" s="178"/>
      <c r="S38652" s="178"/>
    </row>
    <row r="38653" spans="18:19">
      <c r="R38653" s="178"/>
      <c r="S38653" s="178"/>
    </row>
    <row r="38654" spans="18:19">
      <c r="R38654" s="178"/>
      <c r="S38654" s="178"/>
    </row>
    <row r="38655" spans="18:19">
      <c r="R38655" s="178"/>
      <c r="S38655" s="178"/>
    </row>
    <row r="38656" spans="18:19">
      <c r="R38656" s="178"/>
      <c r="S38656" s="178"/>
    </row>
    <row r="38657" spans="18:19">
      <c r="R38657" s="178"/>
      <c r="S38657" s="178"/>
    </row>
    <row r="38658" spans="18:19">
      <c r="R38658" s="178"/>
      <c r="S38658" s="178"/>
    </row>
    <row r="38659" spans="18:19">
      <c r="R38659" s="178"/>
      <c r="S38659" s="178"/>
    </row>
    <row r="38660" spans="18:19">
      <c r="R38660" s="178"/>
      <c r="S38660" s="178"/>
    </row>
    <row r="38661" spans="18:19">
      <c r="R38661" s="178"/>
      <c r="S38661" s="178"/>
    </row>
    <row r="38662" spans="18:19">
      <c r="R38662" s="178"/>
      <c r="S38662" s="178"/>
    </row>
    <row r="38663" spans="18:19">
      <c r="R38663" s="178"/>
      <c r="S38663" s="178"/>
    </row>
    <row r="38664" spans="18:19">
      <c r="R38664" s="178"/>
      <c r="S38664" s="178"/>
    </row>
    <row r="38665" spans="18:19">
      <c r="R38665" s="178"/>
      <c r="S38665" s="178"/>
    </row>
    <row r="38666" spans="18:19">
      <c r="R38666" s="178"/>
      <c r="S38666" s="178"/>
    </row>
    <row r="38667" spans="18:19">
      <c r="R38667" s="178"/>
      <c r="S38667" s="178"/>
    </row>
    <row r="38668" spans="18:19">
      <c r="R38668" s="178"/>
      <c r="S38668" s="178"/>
    </row>
    <row r="38669" spans="18:19">
      <c r="R38669" s="178"/>
      <c r="S38669" s="178"/>
    </row>
    <row r="38670" spans="18:19">
      <c r="R38670" s="178"/>
      <c r="S38670" s="178"/>
    </row>
    <row r="38671" spans="18:19">
      <c r="R38671" s="178"/>
      <c r="S38671" s="178"/>
    </row>
    <row r="38672" spans="18:19">
      <c r="R38672" s="178"/>
      <c r="S38672" s="178"/>
    </row>
    <row r="38673" spans="18:19">
      <c r="R38673" s="178"/>
      <c r="S38673" s="178"/>
    </row>
    <row r="38674" spans="18:19">
      <c r="R38674" s="178"/>
      <c r="S38674" s="178"/>
    </row>
    <row r="38675" spans="18:19">
      <c r="R38675" s="178"/>
      <c r="S38675" s="178"/>
    </row>
    <row r="38676" spans="18:19">
      <c r="R38676" s="178"/>
      <c r="S38676" s="178"/>
    </row>
    <row r="38677" spans="18:19">
      <c r="R38677" s="178"/>
      <c r="S38677" s="178"/>
    </row>
    <row r="38678" spans="18:19">
      <c r="R38678" s="178"/>
      <c r="S38678" s="178"/>
    </row>
    <row r="38679" spans="18:19">
      <c r="R38679" s="178"/>
      <c r="S38679" s="178"/>
    </row>
    <row r="38680" spans="18:19">
      <c r="R38680" s="178"/>
      <c r="S38680" s="178"/>
    </row>
    <row r="38681" spans="18:19">
      <c r="R38681" s="178"/>
      <c r="S38681" s="178"/>
    </row>
    <row r="38682" spans="18:19">
      <c r="R38682" s="178"/>
      <c r="S38682" s="178"/>
    </row>
    <row r="38683" spans="18:19">
      <c r="R38683" s="178"/>
      <c r="S38683" s="178"/>
    </row>
    <row r="38684" spans="18:19">
      <c r="R38684" s="178"/>
      <c r="S38684" s="178"/>
    </row>
    <row r="38685" spans="18:19">
      <c r="R38685" s="178"/>
      <c r="S38685" s="178"/>
    </row>
    <row r="38686" spans="18:19">
      <c r="R38686" s="178"/>
      <c r="S38686" s="178"/>
    </row>
    <row r="38687" spans="18:19">
      <c r="R38687" s="178"/>
      <c r="S38687" s="178"/>
    </row>
    <row r="38688" spans="18:19">
      <c r="R38688" s="178"/>
      <c r="S38688" s="178"/>
    </row>
    <row r="38689" spans="18:19">
      <c r="R38689" s="178"/>
      <c r="S38689" s="178"/>
    </row>
    <row r="38690" spans="18:19">
      <c r="R38690" s="178"/>
      <c r="S38690" s="178"/>
    </row>
    <row r="38691" spans="18:19">
      <c r="R38691" s="178"/>
      <c r="S38691" s="178"/>
    </row>
    <row r="38692" spans="18:19">
      <c r="R38692" s="178"/>
      <c r="S38692" s="178"/>
    </row>
    <row r="38693" spans="18:19">
      <c r="R38693" s="178"/>
      <c r="S38693" s="178"/>
    </row>
    <row r="38694" spans="18:19">
      <c r="R38694" s="178"/>
      <c r="S38694" s="178"/>
    </row>
    <row r="38695" spans="18:19">
      <c r="R38695" s="178"/>
      <c r="S38695" s="178"/>
    </row>
    <row r="38696" spans="18:19">
      <c r="R38696" s="178"/>
      <c r="S38696" s="178"/>
    </row>
    <row r="38697" spans="18:19">
      <c r="R38697" s="178"/>
      <c r="S38697" s="178"/>
    </row>
    <row r="38698" spans="18:19">
      <c r="R38698" s="178"/>
      <c r="S38698" s="178"/>
    </row>
    <row r="38699" spans="18:19">
      <c r="R38699" s="178"/>
      <c r="S38699" s="178"/>
    </row>
    <row r="38700" spans="18:19">
      <c r="R38700" s="178"/>
      <c r="S38700" s="178"/>
    </row>
    <row r="38701" spans="18:19">
      <c r="R38701" s="178"/>
      <c r="S38701" s="178"/>
    </row>
    <row r="38702" spans="18:19">
      <c r="R38702" s="178"/>
      <c r="S38702" s="178"/>
    </row>
    <row r="38703" spans="18:19">
      <c r="R38703" s="178"/>
      <c r="S38703" s="178"/>
    </row>
    <row r="38704" spans="18:19">
      <c r="R38704" s="178"/>
      <c r="S38704" s="178"/>
    </row>
    <row r="38705" spans="18:19">
      <c r="R38705" s="178"/>
      <c r="S38705" s="178"/>
    </row>
    <row r="38706" spans="18:19">
      <c r="R38706" s="178"/>
      <c r="S38706" s="178"/>
    </row>
    <row r="38707" spans="18:19">
      <c r="R38707" s="178"/>
      <c r="S38707" s="178"/>
    </row>
    <row r="38708" spans="18:19">
      <c r="R38708" s="178"/>
      <c r="S38708" s="178"/>
    </row>
    <row r="38709" spans="18:19">
      <c r="R38709" s="178"/>
      <c r="S38709" s="178"/>
    </row>
    <row r="38710" spans="18:19">
      <c r="R38710" s="178"/>
      <c r="S38710" s="178"/>
    </row>
    <row r="38711" spans="18:19">
      <c r="R38711" s="178"/>
      <c r="S38711" s="178"/>
    </row>
    <row r="38712" spans="18:19">
      <c r="R38712" s="178"/>
      <c r="S38712" s="178"/>
    </row>
    <row r="38713" spans="18:19">
      <c r="R38713" s="178"/>
      <c r="S38713" s="178"/>
    </row>
    <row r="38714" spans="18:19">
      <c r="R38714" s="178"/>
      <c r="S38714" s="178"/>
    </row>
    <row r="38715" spans="18:19">
      <c r="R38715" s="178"/>
      <c r="S38715" s="178"/>
    </row>
    <row r="38716" spans="18:19">
      <c r="R38716" s="178"/>
      <c r="S38716" s="178"/>
    </row>
    <row r="38717" spans="18:19">
      <c r="R38717" s="178"/>
      <c r="S38717" s="178"/>
    </row>
    <row r="38718" spans="18:19">
      <c r="R38718" s="178"/>
      <c r="S38718" s="178"/>
    </row>
    <row r="38719" spans="18:19">
      <c r="R38719" s="178"/>
      <c r="S38719" s="178"/>
    </row>
    <row r="38720" spans="18:19">
      <c r="R38720" s="178"/>
      <c r="S38720" s="178"/>
    </row>
    <row r="38721" spans="18:19">
      <c r="R38721" s="178"/>
      <c r="S38721" s="178"/>
    </row>
    <row r="38722" spans="18:19">
      <c r="R38722" s="178"/>
      <c r="S38722" s="178"/>
    </row>
    <row r="38723" spans="18:19">
      <c r="R38723" s="178"/>
      <c r="S38723" s="178"/>
    </row>
    <row r="38724" spans="18:19">
      <c r="R38724" s="178"/>
      <c r="S38724" s="178"/>
    </row>
    <row r="38725" spans="18:19">
      <c r="R38725" s="178"/>
      <c r="S38725" s="178"/>
    </row>
    <row r="38726" spans="18:19">
      <c r="R38726" s="178"/>
      <c r="S38726" s="178"/>
    </row>
    <row r="38727" spans="18:19">
      <c r="R38727" s="178"/>
      <c r="S38727" s="178"/>
    </row>
    <row r="38728" spans="18:19">
      <c r="R38728" s="178"/>
      <c r="S38728" s="178"/>
    </row>
    <row r="38729" spans="18:19">
      <c r="R38729" s="178"/>
      <c r="S38729" s="178"/>
    </row>
    <row r="38730" spans="18:19">
      <c r="R38730" s="178"/>
      <c r="S38730" s="178"/>
    </row>
    <row r="38731" spans="18:19">
      <c r="R38731" s="178"/>
      <c r="S38731" s="178"/>
    </row>
    <row r="38732" spans="18:19">
      <c r="R38732" s="178"/>
      <c r="S38732" s="178"/>
    </row>
    <row r="38733" spans="18:19">
      <c r="R38733" s="178"/>
      <c r="S38733" s="178"/>
    </row>
    <row r="38734" spans="18:19">
      <c r="R38734" s="178"/>
      <c r="S38734" s="178"/>
    </row>
    <row r="38735" spans="18:19">
      <c r="R38735" s="178"/>
      <c r="S38735" s="178"/>
    </row>
    <row r="38736" spans="18:19">
      <c r="R38736" s="178"/>
      <c r="S38736" s="178"/>
    </row>
    <row r="38737" spans="18:19">
      <c r="R38737" s="178"/>
      <c r="S38737" s="178"/>
    </row>
    <row r="38738" spans="18:19">
      <c r="R38738" s="178"/>
      <c r="S38738" s="178"/>
    </row>
    <row r="38739" spans="18:19">
      <c r="R38739" s="178"/>
      <c r="S38739" s="178"/>
    </row>
    <row r="38740" spans="18:19">
      <c r="R38740" s="178"/>
      <c r="S38740" s="178"/>
    </row>
    <row r="38741" spans="18:19">
      <c r="R38741" s="178"/>
      <c r="S38741" s="178"/>
    </row>
    <row r="38742" spans="18:19">
      <c r="R38742" s="178"/>
      <c r="S38742" s="178"/>
    </row>
    <row r="38743" spans="18:19">
      <c r="R38743" s="178"/>
      <c r="S38743" s="178"/>
    </row>
    <row r="38744" spans="18:19">
      <c r="R38744" s="178"/>
      <c r="S38744" s="178"/>
    </row>
    <row r="38745" spans="18:19">
      <c r="R38745" s="178"/>
      <c r="S38745" s="178"/>
    </row>
    <row r="38746" spans="18:19">
      <c r="R38746" s="178"/>
      <c r="S38746" s="178"/>
    </row>
    <row r="38747" spans="18:19">
      <c r="R38747" s="178"/>
      <c r="S38747" s="178"/>
    </row>
    <row r="38748" spans="18:19">
      <c r="R38748" s="178"/>
      <c r="S38748" s="178"/>
    </row>
    <row r="38749" spans="18:19">
      <c r="R38749" s="178"/>
      <c r="S38749" s="178"/>
    </row>
    <row r="38750" spans="18:19">
      <c r="R38750" s="178"/>
      <c r="S38750" s="178"/>
    </row>
    <row r="38751" spans="18:19">
      <c r="R38751" s="178"/>
      <c r="S38751" s="178"/>
    </row>
    <row r="38752" spans="18:19">
      <c r="R38752" s="178"/>
      <c r="S38752" s="178"/>
    </row>
    <row r="38753" spans="18:19">
      <c r="R38753" s="178"/>
      <c r="S38753" s="178"/>
    </row>
    <row r="38754" spans="18:19">
      <c r="R38754" s="178"/>
      <c r="S38754" s="178"/>
    </row>
    <row r="38755" spans="18:19">
      <c r="R38755" s="178"/>
      <c r="S38755" s="178"/>
    </row>
    <row r="38756" spans="18:19">
      <c r="R38756" s="178"/>
      <c r="S38756" s="178"/>
    </row>
    <row r="38757" spans="18:19">
      <c r="R38757" s="178"/>
      <c r="S38757" s="178"/>
    </row>
    <row r="38758" spans="18:19">
      <c r="R38758" s="178"/>
      <c r="S38758" s="178"/>
    </row>
    <row r="38759" spans="18:19">
      <c r="R38759" s="178"/>
      <c r="S38759" s="178"/>
    </row>
    <row r="38760" spans="18:19">
      <c r="R38760" s="178"/>
      <c r="S38760" s="178"/>
    </row>
    <row r="38761" spans="18:19">
      <c r="R38761" s="178"/>
      <c r="S38761" s="178"/>
    </row>
    <row r="38762" spans="18:19">
      <c r="R38762" s="178"/>
      <c r="S38762" s="178"/>
    </row>
    <row r="38763" spans="18:19">
      <c r="R38763" s="178"/>
      <c r="S38763" s="178"/>
    </row>
    <row r="38764" spans="18:19">
      <c r="R38764" s="178"/>
      <c r="S38764" s="178"/>
    </row>
    <row r="38765" spans="18:19">
      <c r="R38765" s="178"/>
      <c r="S38765" s="178"/>
    </row>
    <row r="38766" spans="18:19">
      <c r="R38766" s="178"/>
      <c r="S38766" s="178"/>
    </row>
    <row r="38767" spans="18:19">
      <c r="R38767" s="178"/>
      <c r="S38767" s="178"/>
    </row>
    <row r="38768" spans="18:19">
      <c r="R38768" s="178"/>
      <c r="S38768" s="178"/>
    </row>
    <row r="38769" spans="18:19">
      <c r="R38769" s="178"/>
      <c r="S38769" s="178"/>
    </row>
    <row r="38770" spans="18:19">
      <c r="R38770" s="178"/>
      <c r="S38770" s="178"/>
    </row>
    <row r="38771" spans="18:19">
      <c r="R38771" s="178"/>
      <c r="S38771" s="178"/>
    </row>
    <row r="38772" spans="18:19">
      <c r="R38772" s="178"/>
      <c r="S38772" s="178"/>
    </row>
    <row r="38773" spans="18:19">
      <c r="R38773" s="178"/>
      <c r="S38773" s="178"/>
    </row>
    <row r="38774" spans="18:19">
      <c r="R38774" s="178"/>
      <c r="S38774" s="178"/>
    </row>
    <row r="38775" spans="18:19">
      <c r="R38775" s="178"/>
      <c r="S38775" s="178"/>
    </row>
    <row r="38776" spans="18:19">
      <c r="R38776" s="178"/>
      <c r="S38776" s="178"/>
    </row>
    <row r="38777" spans="18:19">
      <c r="R38777" s="178"/>
      <c r="S38777" s="178"/>
    </row>
    <row r="38778" spans="18:19">
      <c r="R38778" s="178"/>
      <c r="S38778" s="178"/>
    </row>
    <row r="38779" spans="18:19">
      <c r="R38779" s="178"/>
      <c r="S38779" s="178"/>
    </row>
    <row r="38780" spans="18:19">
      <c r="R38780" s="178"/>
      <c r="S38780" s="178"/>
    </row>
    <row r="38781" spans="18:19">
      <c r="R38781" s="178"/>
      <c r="S38781" s="178"/>
    </row>
    <row r="38782" spans="18:19">
      <c r="R38782" s="178"/>
      <c r="S38782" s="178"/>
    </row>
    <row r="38783" spans="18:19">
      <c r="R38783" s="178"/>
      <c r="S38783" s="178"/>
    </row>
    <row r="38784" spans="18:19">
      <c r="R38784" s="178"/>
      <c r="S38784" s="178"/>
    </row>
    <row r="38785" spans="18:19">
      <c r="R38785" s="178"/>
      <c r="S38785" s="178"/>
    </row>
    <row r="38786" spans="18:19">
      <c r="R38786" s="178"/>
      <c r="S38786" s="178"/>
    </row>
    <row r="38787" spans="18:19">
      <c r="R38787" s="178"/>
      <c r="S38787" s="178"/>
    </row>
    <row r="38788" spans="18:19">
      <c r="R38788" s="178"/>
      <c r="S38788" s="178"/>
    </row>
    <row r="38789" spans="18:19">
      <c r="R38789" s="178"/>
      <c r="S38789" s="178"/>
    </row>
    <row r="38790" spans="18:19">
      <c r="R38790" s="178"/>
      <c r="S38790" s="178"/>
    </row>
    <row r="38791" spans="18:19">
      <c r="R38791" s="178"/>
      <c r="S38791" s="178"/>
    </row>
    <row r="38792" spans="18:19">
      <c r="R38792" s="178"/>
      <c r="S38792" s="178"/>
    </row>
    <row r="38793" spans="18:19">
      <c r="R38793" s="178"/>
      <c r="S38793" s="178"/>
    </row>
    <row r="38794" spans="18:19">
      <c r="R38794" s="178"/>
      <c r="S38794" s="178"/>
    </row>
    <row r="38795" spans="18:19">
      <c r="R38795" s="178"/>
      <c r="S38795" s="178"/>
    </row>
    <row r="38796" spans="18:19">
      <c r="R38796" s="178"/>
      <c r="S38796" s="178"/>
    </row>
    <row r="38797" spans="18:19">
      <c r="R38797" s="178"/>
      <c r="S38797" s="178"/>
    </row>
    <row r="38798" spans="18:19">
      <c r="R38798" s="178"/>
      <c r="S38798" s="178"/>
    </row>
    <row r="38799" spans="18:19">
      <c r="R38799" s="178"/>
      <c r="S38799" s="178"/>
    </row>
    <row r="38800" spans="18:19">
      <c r="R38800" s="178"/>
      <c r="S38800" s="178"/>
    </row>
    <row r="38801" spans="18:19">
      <c r="R38801" s="178"/>
      <c r="S38801" s="178"/>
    </row>
    <row r="38802" spans="18:19">
      <c r="R38802" s="178"/>
      <c r="S38802" s="178"/>
    </row>
    <row r="38803" spans="18:19">
      <c r="R38803" s="178"/>
      <c r="S38803" s="178"/>
    </row>
    <row r="38804" spans="18:19">
      <c r="R38804" s="178"/>
      <c r="S38804" s="178"/>
    </row>
    <row r="38805" spans="18:19">
      <c r="R38805" s="178"/>
      <c r="S38805" s="178"/>
    </row>
    <row r="38806" spans="18:19">
      <c r="R38806" s="178"/>
      <c r="S38806" s="178"/>
    </row>
    <row r="38807" spans="18:19">
      <c r="R38807" s="178"/>
      <c r="S38807" s="178"/>
    </row>
    <row r="38808" spans="18:19">
      <c r="R38808" s="178"/>
      <c r="S38808" s="178"/>
    </row>
    <row r="38809" spans="18:19">
      <c r="R38809" s="178"/>
      <c r="S38809" s="178"/>
    </row>
    <row r="38810" spans="18:19">
      <c r="R38810" s="178"/>
      <c r="S38810" s="178"/>
    </row>
    <row r="38811" spans="18:19">
      <c r="R38811" s="178"/>
      <c r="S38811" s="178"/>
    </row>
    <row r="38812" spans="18:19">
      <c r="R38812" s="178"/>
      <c r="S38812" s="178"/>
    </row>
    <row r="38813" spans="18:19">
      <c r="R38813" s="178"/>
      <c r="S38813" s="178"/>
    </row>
    <row r="38814" spans="18:19">
      <c r="R38814" s="178"/>
      <c r="S38814" s="178"/>
    </row>
    <row r="38815" spans="18:19">
      <c r="R38815" s="178"/>
      <c r="S38815" s="178"/>
    </row>
    <row r="38816" spans="18:19">
      <c r="R38816" s="178"/>
      <c r="S38816" s="178"/>
    </row>
    <row r="38817" spans="18:19">
      <c r="R38817" s="178"/>
      <c r="S38817" s="178"/>
    </row>
    <row r="38818" spans="18:19">
      <c r="R38818" s="178"/>
      <c r="S38818" s="178"/>
    </row>
    <row r="38819" spans="18:19">
      <c r="R38819" s="178"/>
      <c r="S38819" s="178"/>
    </row>
    <row r="38820" spans="18:19">
      <c r="R38820" s="178"/>
      <c r="S38820" s="178"/>
    </row>
    <row r="38821" spans="18:19">
      <c r="R38821" s="178"/>
      <c r="S38821" s="178"/>
    </row>
    <row r="38822" spans="18:19">
      <c r="R38822" s="178"/>
      <c r="S38822" s="178"/>
    </row>
    <row r="38823" spans="18:19">
      <c r="R38823" s="178"/>
      <c r="S38823" s="178"/>
    </row>
    <row r="38824" spans="18:19">
      <c r="R38824" s="178"/>
      <c r="S38824" s="178"/>
    </row>
    <row r="38825" spans="18:19">
      <c r="R38825" s="178"/>
      <c r="S38825" s="178"/>
    </row>
    <row r="38826" spans="18:19">
      <c r="R38826" s="178"/>
      <c r="S38826" s="178"/>
    </row>
    <row r="38827" spans="18:19">
      <c r="R38827" s="178"/>
      <c r="S38827" s="178"/>
    </row>
    <row r="38828" spans="18:19">
      <c r="R38828" s="178"/>
      <c r="S38828" s="178"/>
    </row>
    <row r="38829" spans="18:19">
      <c r="R38829" s="178"/>
      <c r="S38829" s="178"/>
    </row>
    <row r="38830" spans="18:19">
      <c r="R38830" s="178"/>
      <c r="S38830" s="178"/>
    </row>
    <row r="38831" spans="18:19">
      <c r="R38831" s="178"/>
      <c r="S38831" s="178"/>
    </row>
    <row r="38832" spans="18:19">
      <c r="R38832" s="178"/>
      <c r="S38832" s="178"/>
    </row>
    <row r="38833" spans="18:19">
      <c r="R38833" s="178"/>
      <c r="S38833" s="178"/>
    </row>
    <row r="38834" spans="18:19">
      <c r="R38834" s="178"/>
      <c r="S38834" s="178"/>
    </row>
    <row r="38835" spans="18:19">
      <c r="R38835" s="178"/>
      <c r="S38835" s="178"/>
    </row>
    <row r="38836" spans="18:19">
      <c r="R38836" s="178"/>
      <c r="S38836" s="178"/>
    </row>
    <row r="38837" spans="18:19">
      <c r="R38837" s="178"/>
      <c r="S38837" s="178"/>
    </row>
    <row r="38838" spans="18:19">
      <c r="R38838" s="178"/>
      <c r="S38838" s="178"/>
    </row>
    <row r="38839" spans="18:19">
      <c r="R38839" s="178"/>
      <c r="S38839" s="178"/>
    </row>
    <row r="38840" spans="18:19">
      <c r="R38840" s="178"/>
      <c r="S38840" s="178"/>
    </row>
    <row r="38841" spans="18:19">
      <c r="R38841" s="178"/>
      <c r="S38841" s="178"/>
    </row>
    <row r="38842" spans="18:19">
      <c r="R38842" s="178"/>
      <c r="S38842" s="178"/>
    </row>
    <row r="38843" spans="18:19">
      <c r="R38843" s="178"/>
      <c r="S38843" s="178"/>
    </row>
    <row r="38844" spans="18:19">
      <c r="R38844" s="178"/>
      <c r="S38844" s="178"/>
    </row>
    <row r="38845" spans="18:19">
      <c r="R38845" s="178"/>
      <c r="S38845" s="178"/>
    </row>
    <row r="38846" spans="18:19">
      <c r="R38846" s="178"/>
      <c r="S38846" s="178"/>
    </row>
    <row r="38847" spans="18:19">
      <c r="R38847" s="178"/>
      <c r="S38847" s="178"/>
    </row>
    <row r="38848" spans="18:19">
      <c r="R38848" s="178"/>
      <c r="S38848" s="178"/>
    </row>
    <row r="38849" spans="18:19">
      <c r="R38849" s="178"/>
      <c r="S38849" s="178"/>
    </row>
    <row r="38850" spans="18:19">
      <c r="R38850" s="178"/>
      <c r="S38850" s="178"/>
    </row>
    <row r="38851" spans="18:19">
      <c r="R38851" s="178"/>
      <c r="S38851" s="178"/>
    </row>
    <row r="38852" spans="18:19">
      <c r="R38852" s="178"/>
      <c r="S38852" s="178"/>
    </row>
    <row r="38853" spans="18:19">
      <c r="R38853" s="178"/>
      <c r="S38853" s="178"/>
    </row>
    <row r="38854" spans="18:19">
      <c r="R38854" s="178"/>
      <c r="S38854" s="178"/>
    </row>
    <row r="38855" spans="18:19">
      <c r="R38855" s="178"/>
      <c r="S38855" s="178"/>
    </row>
    <row r="38856" spans="18:19">
      <c r="R38856" s="178"/>
      <c r="S38856" s="178"/>
    </row>
    <row r="38857" spans="18:19">
      <c r="R38857" s="178"/>
      <c r="S38857" s="178"/>
    </row>
    <row r="38858" spans="18:19">
      <c r="R38858" s="178"/>
      <c r="S38858" s="178"/>
    </row>
    <row r="38859" spans="18:19">
      <c r="R38859" s="178"/>
      <c r="S38859" s="178"/>
    </row>
    <row r="38860" spans="18:19">
      <c r="R38860" s="178"/>
      <c r="S38860" s="178"/>
    </row>
    <row r="38861" spans="18:19">
      <c r="R38861" s="178"/>
      <c r="S38861" s="178"/>
    </row>
    <row r="38862" spans="18:19">
      <c r="R38862" s="178"/>
      <c r="S38862" s="178"/>
    </row>
    <row r="38863" spans="18:19">
      <c r="R38863" s="178"/>
      <c r="S38863" s="178"/>
    </row>
    <row r="38864" spans="18:19">
      <c r="R38864" s="178"/>
      <c r="S38864" s="178"/>
    </row>
    <row r="38865" spans="18:19">
      <c r="R38865" s="178"/>
      <c r="S38865" s="178"/>
    </row>
    <row r="38866" spans="18:19">
      <c r="R38866" s="178"/>
      <c r="S38866" s="178"/>
    </row>
    <row r="38867" spans="18:19">
      <c r="R38867" s="178"/>
      <c r="S38867" s="178"/>
    </row>
    <row r="38868" spans="18:19">
      <c r="R38868" s="178"/>
      <c r="S38868" s="178"/>
    </row>
    <row r="38869" spans="18:19">
      <c r="R38869" s="178"/>
      <c r="S38869" s="178"/>
    </row>
    <row r="38870" spans="18:19">
      <c r="R38870" s="178"/>
      <c r="S38870" s="178"/>
    </row>
    <row r="38871" spans="18:19">
      <c r="R38871" s="178"/>
      <c r="S38871" s="178"/>
    </row>
    <row r="38872" spans="18:19">
      <c r="R38872" s="178"/>
      <c r="S38872" s="178"/>
    </row>
    <row r="38873" spans="18:19">
      <c r="R38873" s="178"/>
      <c r="S38873" s="178"/>
    </row>
    <row r="38874" spans="18:19">
      <c r="R38874" s="178"/>
      <c r="S38874" s="178"/>
    </row>
    <row r="38875" spans="18:19">
      <c r="R38875" s="178"/>
      <c r="S38875" s="178"/>
    </row>
    <row r="38876" spans="18:19">
      <c r="R38876" s="178"/>
      <c r="S38876" s="178"/>
    </row>
    <row r="38877" spans="18:19">
      <c r="R38877" s="178"/>
      <c r="S38877" s="178"/>
    </row>
    <row r="38878" spans="18:19">
      <c r="R38878" s="178"/>
      <c r="S38878" s="178"/>
    </row>
    <row r="38879" spans="18:19">
      <c r="R38879" s="178"/>
      <c r="S38879" s="178"/>
    </row>
    <row r="38880" spans="18:19">
      <c r="R38880" s="178"/>
      <c r="S38880" s="178"/>
    </row>
    <row r="38881" spans="18:19">
      <c r="R38881" s="178"/>
      <c r="S38881" s="178"/>
    </row>
    <row r="38882" spans="18:19">
      <c r="R38882" s="178"/>
      <c r="S38882" s="178"/>
    </row>
    <row r="38883" spans="18:19">
      <c r="R38883" s="178"/>
      <c r="S38883" s="178"/>
    </row>
    <row r="38884" spans="18:19">
      <c r="R38884" s="178"/>
      <c r="S38884" s="178"/>
    </row>
    <row r="38885" spans="18:19">
      <c r="R38885" s="178"/>
      <c r="S38885" s="178"/>
    </row>
    <row r="38886" spans="18:19">
      <c r="R38886" s="178"/>
      <c r="S38886" s="178"/>
    </row>
    <row r="38887" spans="18:19">
      <c r="R38887" s="178"/>
      <c r="S38887" s="178"/>
    </row>
    <row r="38888" spans="18:19">
      <c r="R38888" s="178"/>
      <c r="S38888" s="178"/>
    </row>
    <row r="38889" spans="18:19">
      <c r="R38889" s="178"/>
      <c r="S38889" s="178"/>
    </row>
    <row r="38890" spans="18:19">
      <c r="R38890" s="178"/>
      <c r="S38890" s="178"/>
    </row>
    <row r="38891" spans="18:19">
      <c r="R38891" s="178"/>
      <c r="S38891" s="178"/>
    </row>
    <row r="38892" spans="18:19">
      <c r="R38892" s="178"/>
      <c r="S38892" s="178"/>
    </row>
    <row r="38893" spans="18:19">
      <c r="R38893" s="178"/>
      <c r="S38893" s="178"/>
    </row>
    <row r="38894" spans="18:19">
      <c r="R38894" s="178"/>
      <c r="S38894" s="178"/>
    </row>
    <row r="38895" spans="18:19">
      <c r="R38895" s="178"/>
      <c r="S38895" s="178"/>
    </row>
    <row r="38896" spans="18:19">
      <c r="R38896" s="178"/>
      <c r="S38896" s="178"/>
    </row>
    <row r="38897" spans="18:19">
      <c r="R38897" s="178"/>
      <c r="S38897" s="178"/>
    </row>
    <row r="38898" spans="18:19">
      <c r="R38898" s="178"/>
      <c r="S38898" s="178"/>
    </row>
    <row r="38899" spans="18:19">
      <c r="R38899" s="178"/>
      <c r="S38899" s="178"/>
    </row>
    <row r="38900" spans="18:19">
      <c r="R38900" s="178"/>
      <c r="S38900" s="178"/>
    </row>
    <row r="38901" spans="18:19">
      <c r="R38901" s="178"/>
      <c r="S38901" s="178"/>
    </row>
    <row r="38902" spans="18:19">
      <c r="R38902" s="178"/>
      <c r="S38902" s="178"/>
    </row>
    <row r="38903" spans="18:19">
      <c r="R38903" s="178"/>
      <c r="S38903" s="178"/>
    </row>
    <row r="38904" spans="18:19">
      <c r="R38904" s="178"/>
      <c r="S38904" s="178"/>
    </row>
    <row r="38905" spans="18:19">
      <c r="R38905" s="178"/>
      <c r="S38905" s="178"/>
    </row>
    <row r="38906" spans="18:19">
      <c r="R38906" s="178"/>
      <c r="S38906" s="178"/>
    </row>
    <row r="38907" spans="18:19">
      <c r="R38907" s="178"/>
      <c r="S38907" s="178"/>
    </row>
    <row r="38908" spans="18:19">
      <c r="R38908" s="178"/>
      <c r="S38908" s="178"/>
    </row>
    <row r="38909" spans="18:19">
      <c r="R38909" s="178"/>
      <c r="S38909" s="178"/>
    </row>
    <row r="38910" spans="18:19">
      <c r="R38910" s="178"/>
      <c r="S38910" s="178"/>
    </row>
    <row r="38911" spans="18:19">
      <c r="R38911" s="178"/>
      <c r="S38911" s="178"/>
    </row>
    <row r="38912" spans="18:19">
      <c r="R38912" s="178"/>
      <c r="S38912" s="178"/>
    </row>
    <row r="38913" spans="18:19">
      <c r="R38913" s="178"/>
      <c r="S38913" s="178"/>
    </row>
    <row r="38914" spans="18:19">
      <c r="R38914" s="178"/>
      <c r="S38914" s="178"/>
    </row>
    <row r="38915" spans="18:19">
      <c r="R38915" s="178"/>
      <c r="S38915" s="178"/>
    </row>
    <row r="38916" spans="18:19">
      <c r="R38916" s="178"/>
      <c r="S38916" s="178"/>
    </row>
    <row r="38917" spans="18:19">
      <c r="R38917" s="178"/>
      <c r="S38917" s="178"/>
    </row>
    <row r="38918" spans="18:19">
      <c r="R38918" s="178"/>
      <c r="S38918" s="178"/>
    </row>
    <row r="38919" spans="18:19">
      <c r="R38919" s="178"/>
      <c r="S38919" s="178"/>
    </row>
    <row r="38920" spans="18:19">
      <c r="R38920" s="178"/>
      <c r="S38920" s="178"/>
    </row>
    <row r="38921" spans="18:19">
      <c r="R38921" s="178"/>
      <c r="S38921" s="178"/>
    </row>
    <row r="38922" spans="18:19">
      <c r="R38922" s="178"/>
      <c r="S38922" s="178"/>
    </row>
    <row r="38923" spans="18:19">
      <c r="R38923" s="178"/>
      <c r="S38923" s="178"/>
    </row>
    <row r="38924" spans="18:19">
      <c r="R38924" s="178"/>
      <c r="S38924" s="178"/>
    </row>
    <row r="38925" spans="18:19">
      <c r="R38925" s="178"/>
      <c r="S38925" s="178"/>
    </row>
    <row r="38926" spans="18:19">
      <c r="R38926" s="178"/>
      <c r="S38926" s="178"/>
    </row>
    <row r="38927" spans="18:19">
      <c r="R38927" s="178"/>
      <c r="S38927" s="178"/>
    </row>
    <row r="38928" spans="18:19">
      <c r="R38928" s="178"/>
      <c r="S38928" s="178"/>
    </row>
    <row r="38929" spans="18:19">
      <c r="R38929" s="178"/>
      <c r="S38929" s="178"/>
    </row>
    <row r="38930" spans="18:19">
      <c r="R38930" s="178"/>
      <c r="S38930" s="178"/>
    </row>
    <row r="38931" spans="18:19">
      <c r="R38931" s="178"/>
      <c r="S38931" s="178"/>
    </row>
    <row r="38932" spans="18:19">
      <c r="R38932" s="178"/>
      <c r="S38932" s="178"/>
    </row>
    <row r="38933" spans="18:19">
      <c r="R38933" s="178"/>
      <c r="S38933" s="178"/>
    </row>
    <row r="38934" spans="18:19">
      <c r="R38934" s="178"/>
      <c r="S38934" s="178"/>
    </row>
    <row r="38935" spans="18:19">
      <c r="R38935" s="178"/>
      <c r="S38935" s="178"/>
    </row>
    <row r="38936" spans="18:19">
      <c r="R38936" s="178"/>
      <c r="S38936" s="178"/>
    </row>
    <row r="38937" spans="18:19">
      <c r="R38937" s="178"/>
      <c r="S38937" s="178"/>
    </row>
    <row r="38938" spans="18:19">
      <c r="R38938" s="178"/>
      <c r="S38938" s="178"/>
    </row>
    <row r="38939" spans="18:19">
      <c r="R38939" s="178"/>
      <c r="S38939" s="178"/>
    </row>
    <row r="38940" spans="18:19">
      <c r="R38940" s="178"/>
      <c r="S38940" s="178"/>
    </row>
    <row r="38941" spans="18:19">
      <c r="R38941" s="178"/>
      <c r="S38941" s="178"/>
    </row>
    <row r="38942" spans="18:19">
      <c r="R38942" s="178"/>
      <c r="S38942" s="178"/>
    </row>
    <row r="38943" spans="18:19">
      <c r="R38943" s="178"/>
      <c r="S38943" s="178"/>
    </row>
    <row r="38944" spans="18:19">
      <c r="R38944" s="178"/>
      <c r="S38944" s="178"/>
    </row>
    <row r="38945" spans="18:19">
      <c r="R38945" s="178"/>
      <c r="S38945" s="178"/>
    </row>
    <row r="38946" spans="18:19">
      <c r="R38946" s="178"/>
      <c r="S38946" s="178"/>
    </row>
    <row r="38947" spans="18:19">
      <c r="R38947" s="178"/>
      <c r="S38947" s="178"/>
    </row>
    <row r="38948" spans="18:19">
      <c r="R38948" s="178"/>
      <c r="S38948" s="178"/>
    </row>
    <row r="38949" spans="18:19">
      <c r="R38949" s="178"/>
      <c r="S38949" s="178"/>
    </row>
    <row r="38950" spans="18:19">
      <c r="R38950" s="178"/>
      <c r="S38950" s="178"/>
    </row>
    <row r="38951" spans="18:19">
      <c r="R38951" s="178"/>
      <c r="S38951" s="178"/>
    </row>
    <row r="38952" spans="18:19">
      <c r="R38952" s="178"/>
      <c r="S38952" s="178"/>
    </row>
    <row r="38953" spans="18:19">
      <c r="R38953" s="178"/>
      <c r="S38953" s="178"/>
    </row>
    <row r="38954" spans="18:19">
      <c r="R38954" s="178"/>
      <c r="S38954" s="178"/>
    </row>
    <row r="38955" spans="18:19">
      <c r="R38955" s="178"/>
      <c r="S38955" s="178"/>
    </row>
    <row r="38956" spans="18:19">
      <c r="R38956" s="178"/>
      <c r="S38956" s="178"/>
    </row>
    <row r="38957" spans="18:19">
      <c r="R38957" s="178"/>
      <c r="S38957" s="178"/>
    </row>
    <row r="38958" spans="18:19">
      <c r="R38958" s="178"/>
      <c r="S38958" s="178"/>
    </row>
    <row r="38959" spans="18:19">
      <c r="R38959" s="178"/>
      <c r="S38959" s="178"/>
    </row>
    <row r="38960" spans="18:19">
      <c r="R38960" s="178"/>
      <c r="S38960" s="178"/>
    </row>
    <row r="38961" spans="18:19">
      <c r="R38961" s="178"/>
      <c r="S38961" s="178"/>
    </row>
    <row r="38962" spans="18:19">
      <c r="R38962" s="178"/>
      <c r="S38962" s="178"/>
    </row>
    <row r="38963" spans="18:19">
      <c r="R38963" s="178"/>
      <c r="S38963" s="178"/>
    </row>
    <row r="38964" spans="18:19">
      <c r="R38964" s="178"/>
      <c r="S38964" s="178"/>
    </row>
    <row r="38965" spans="18:19">
      <c r="R38965" s="178"/>
      <c r="S38965" s="178"/>
    </row>
    <row r="38966" spans="18:19">
      <c r="R38966" s="178"/>
      <c r="S38966" s="178"/>
    </row>
    <row r="38967" spans="18:19">
      <c r="R38967" s="178"/>
      <c r="S38967" s="178"/>
    </row>
    <row r="38968" spans="18:19">
      <c r="R38968" s="178"/>
      <c r="S38968" s="178"/>
    </row>
    <row r="38969" spans="18:19">
      <c r="R38969" s="178"/>
      <c r="S38969" s="178"/>
    </row>
    <row r="38970" spans="18:19">
      <c r="R38970" s="178"/>
      <c r="S38970" s="178"/>
    </row>
    <row r="38971" spans="18:19">
      <c r="R38971" s="178"/>
      <c r="S38971" s="178"/>
    </row>
    <row r="38972" spans="18:19">
      <c r="R38972" s="178"/>
      <c r="S38972" s="178"/>
    </row>
    <row r="38973" spans="18:19">
      <c r="R38973" s="178"/>
      <c r="S38973" s="178"/>
    </row>
    <row r="38974" spans="18:19">
      <c r="R38974" s="178"/>
      <c r="S38974" s="178"/>
    </row>
    <row r="38975" spans="18:19">
      <c r="R38975" s="178"/>
      <c r="S38975" s="178"/>
    </row>
    <row r="38976" spans="18:19">
      <c r="R38976" s="178"/>
      <c r="S38976" s="178"/>
    </row>
    <row r="38977" spans="18:19">
      <c r="R38977" s="178"/>
      <c r="S38977" s="178"/>
    </row>
    <row r="38978" spans="18:19">
      <c r="R38978" s="178"/>
      <c r="S38978" s="178"/>
    </row>
    <row r="38979" spans="18:19">
      <c r="R38979" s="178"/>
      <c r="S38979" s="178"/>
    </row>
    <row r="38980" spans="18:19">
      <c r="R38980" s="178"/>
      <c r="S38980" s="178"/>
    </row>
    <row r="38981" spans="18:19">
      <c r="R38981" s="178"/>
      <c r="S38981" s="178"/>
    </row>
    <row r="38982" spans="18:19">
      <c r="R38982" s="178"/>
      <c r="S38982" s="178"/>
    </row>
    <row r="38983" spans="18:19">
      <c r="R38983" s="178"/>
      <c r="S38983" s="178"/>
    </row>
    <row r="38984" spans="18:19">
      <c r="R38984" s="178"/>
      <c r="S38984" s="178"/>
    </row>
    <row r="38985" spans="18:19">
      <c r="R38985" s="178"/>
      <c r="S38985" s="178"/>
    </row>
    <row r="38986" spans="18:19">
      <c r="R38986" s="178"/>
      <c r="S38986" s="178"/>
    </row>
    <row r="38987" spans="18:19">
      <c r="R38987" s="178"/>
      <c r="S38987" s="178"/>
    </row>
    <row r="38988" spans="18:19">
      <c r="R38988" s="178"/>
      <c r="S38988" s="178"/>
    </row>
    <row r="38989" spans="18:19">
      <c r="R38989" s="178"/>
      <c r="S38989" s="178"/>
    </row>
    <row r="38990" spans="18:19">
      <c r="R38990" s="178"/>
      <c r="S38990" s="178"/>
    </row>
    <row r="38991" spans="18:19">
      <c r="R38991" s="178"/>
      <c r="S38991" s="178"/>
    </row>
    <row r="38992" spans="18:19">
      <c r="R38992" s="178"/>
      <c r="S38992" s="178"/>
    </row>
    <row r="38993" spans="18:19">
      <c r="R38993" s="178"/>
      <c r="S38993" s="178"/>
    </row>
    <row r="38994" spans="18:19">
      <c r="R38994" s="178"/>
      <c r="S38994" s="178"/>
    </row>
    <row r="38995" spans="18:19">
      <c r="R38995" s="178"/>
      <c r="S38995" s="178"/>
    </row>
    <row r="38996" spans="18:19">
      <c r="R38996" s="178"/>
      <c r="S38996" s="178"/>
    </row>
    <row r="38997" spans="18:19">
      <c r="R38997" s="178"/>
      <c r="S38997" s="178"/>
    </row>
    <row r="38998" spans="18:19">
      <c r="R38998" s="178"/>
      <c r="S38998" s="178"/>
    </row>
    <row r="38999" spans="18:19">
      <c r="R38999" s="178"/>
      <c r="S38999" s="178"/>
    </row>
    <row r="39000" spans="18:19">
      <c r="R39000" s="178"/>
      <c r="S39000" s="178"/>
    </row>
    <row r="39001" spans="18:19">
      <c r="R39001" s="178"/>
      <c r="S39001" s="178"/>
    </row>
    <row r="39002" spans="18:19">
      <c r="R39002" s="178"/>
      <c r="S39002" s="178"/>
    </row>
    <row r="39003" spans="18:19">
      <c r="R39003" s="178"/>
      <c r="S39003" s="178"/>
    </row>
    <row r="39004" spans="18:19">
      <c r="R39004" s="178"/>
      <c r="S39004" s="178"/>
    </row>
    <row r="39005" spans="18:19">
      <c r="R39005" s="178"/>
      <c r="S39005" s="178"/>
    </row>
    <row r="39006" spans="18:19">
      <c r="R39006" s="178"/>
      <c r="S39006" s="178"/>
    </row>
    <row r="39007" spans="18:19">
      <c r="R39007" s="178"/>
      <c r="S39007" s="178"/>
    </row>
    <row r="39008" spans="18:19">
      <c r="R39008" s="178"/>
      <c r="S39008" s="178"/>
    </row>
    <row r="39009" spans="18:19">
      <c r="R39009" s="178"/>
      <c r="S39009" s="178"/>
    </row>
    <row r="39010" spans="18:19">
      <c r="R39010" s="178"/>
      <c r="S39010" s="178"/>
    </row>
    <row r="39011" spans="18:19">
      <c r="R39011" s="178"/>
      <c r="S39011" s="178"/>
    </row>
    <row r="39012" spans="18:19">
      <c r="R39012" s="178"/>
      <c r="S39012" s="178"/>
    </row>
    <row r="39013" spans="18:19">
      <c r="R39013" s="178"/>
      <c r="S39013" s="178"/>
    </row>
    <row r="39014" spans="18:19">
      <c r="R39014" s="178"/>
      <c r="S39014" s="178"/>
    </row>
    <row r="39015" spans="18:19">
      <c r="R39015" s="178"/>
      <c r="S39015" s="178"/>
    </row>
    <row r="39016" spans="18:19">
      <c r="R39016" s="178"/>
      <c r="S39016" s="178"/>
    </row>
    <row r="39017" spans="18:19">
      <c r="R39017" s="178"/>
      <c r="S39017" s="178"/>
    </row>
    <row r="39018" spans="18:19">
      <c r="R39018" s="178"/>
      <c r="S39018" s="178"/>
    </row>
    <row r="39019" spans="18:19">
      <c r="R39019" s="178"/>
      <c r="S39019" s="178"/>
    </row>
    <row r="39020" spans="18:19">
      <c r="R39020" s="178"/>
      <c r="S39020" s="178"/>
    </row>
    <row r="39021" spans="18:19">
      <c r="R39021" s="178"/>
      <c r="S39021" s="178"/>
    </row>
    <row r="39022" spans="18:19">
      <c r="R39022" s="178"/>
      <c r="S39022" s="178"/>
    </row>
    <row r="39023" spans="18:19">
      <c r="R39023" s="178"/>
      <c r="S39023" s="178"/>
    </row>
    <row r="39024" spans="18:19">
      <c r="R39024" s="178"/>
      <c r="S39024" s="178"/>
    </row>
    <row r="39025" spans="18:19">
      <c r="R39025" s="178"/>
      <c r="S39025" s="178"/>
    </row>
    <row r="39026" spans="18:19">
      <c r="R39026" s="178"/>
      <c r="S39026" s="178"/>
    </row>
    <row r="39027" spans="18:19">
      <c r="R39027" s="178"/>
      <c r="S39027" s="178"/>
    </row>
    <row r="39028" spans="18:19">
      <c r="R39028" s="178"/>
      <c r="S39028" s="178"/>
    </row>
    <row r="39029" spans="18:19">
      <c r="R39029" s="178"/>
      <c r="S39029" s="178"/>
    </row>
    <row r="39030" spans="18:19">
      <c r="R39030" s="178"/>
      <c r="S39030" s="178"/>
    </row>
    <row r="39031" spans="18:19">
      <c r="R39031" s="178"/>
      <c r="S39031" s="178"/>
    </row>
    <row r="39032" spans="18:19">
      <c r="R39032" s="178"/>
      <c r="S39032" s="178"/>
    </row>
    <row r="39033" spans="18:19">
      <c r="R39033" s="178"/>
      <c r="S39033" s="178"/>
    </row>
    <row r="39034" spans="18:19">
      <c r="R39034" s="178"/>
      <c r="S39034" s="178"/>
    </row>
    <row r="39035" spans="18:19">
      <c r="R39035" s="178"/>
      <c r="S39035" s="178"/>
    </row>
    <row r="39036" spans="18:19">
      <c r="R39036" s="178"/>
      <c r="S39036" s="178"/>
    </row>
    <row r="39037" spans="18:19">
      <c r="R39037" s="178"/>
      <c r="S39037" s="178"/>
    </row>
    <row r="39038" spans="18:19">
      <c r="R39038" s="178"/>
      <c r="S39038" s="178"/>
    </row>
    <row r="39039" spans="18:19">
      <c r="R39039" s="178"/>
      <c r="S39039" s="178"/>
    </row>
    <row r="39040" spans="18:19">
      <c r="R39040" s="178"/>
      <c r="S39040" s="178"/>
    </row>
    <row r="39041" spans="18:19">
      <c r="R39041" s="178"/>
      <c r="S39041" s="178"/>
    </row>
    <row r="39042" spans="18:19">
      <c r="R39042" s="178"/>
      <c r="S39042" s="178"/>
    </row>
    <row r="39043" spans="18:19">
      <c r="R39043" s="178"/>
      <c r="S39043" s="178"/>
    </row>
    <row r="39044" spans="18:19">
      <c r="R39044" s="178"/>
      <c r="S39044" s="178"/>
    </row>
    <row r="39045" spans="18:19">
      <c r="R39045" s="178"/>
      <c r="S39045" s="178"/>
    </row>
    <row r="39046" spans="18:19">
      <c r="R39046" s="178"/>
      <c r="S39046" s="178"/>
    </row>
    <row r="39047" spans="18:19">
      <c r="R39047" s="178"/>
      <c r="S39047" s="178"/>
    </row>
    <row r="39048" spans="18:19">
      <c r="R39048" s="178"/>
      <c r="S39048" s="178"/>
    </row>
    <row r="39049" spans="18:19">
      <c r="R39049" s="178"/>
      <c r="S39049" s="178"/>
    </row>
    <row r="39050" spans="18:19">
      <c r="R39050" s="178"/>
      <c r="S39050" s="178"/>
    </row>
    <row r="39051" spans="18:19">
      <c r="R39051" s="178"/>
      <c r="S39051" s="178"/>
    </row>
    <row r="39052" spans="18:19">
      <c r="R39052" s="178"/>
      <c r="S39052" s="178"/>
    </row>
    <row r="39053" spans="18:19">
      <c r="R39053" s="178"/>
      <c r="S39053" s="178"/>
    </row>
    <row r="39054" spans="18:19">
      <c r="R39054" s="178"/>
      <c r="S39054" s="178"/>
    </row>
    <row r="39055" spans="18:19">
      <c r="R39055" s="178"/>
      <c r="S39055" s="178"/>
    </row>
    <row r="39056" spans="18:19">
      <c r="R39056" s="178"/>
      <c r="S39056" s="178"/>
    </row>
    <row r="39057" spans="18:19">
      <c r="R39057" s="178"/>
      <c r="S39057" s="178"/>
    </row>
    <row r="39058" spans="18:19">
      <c r="R39058" s="178"/>
      <c r="S39058" s="178"/>
    </row>
    <row r="39059" spans="18:19">
      <c r="R39059" s="178"/>
      <c r="S39059" s="178"/>
    </row>
    <row r="39060" spans="18:19">
      <c r="R39060" s="178"/>
      <c r="S39060" s="178"/>
    </row>
    <row r="39061" spans="18:19">
      <c r="R39061" s="178"/>
      <c r="S39061" s="178"/>
    </row>
    <row r="39062" spans="18:19">
      <c r="R39062" s="178"/>
      <c r="S39062" s="178"/>
    </row>
    <row r="39063" spans="18:19">
      <c r="R39063" s="178"/>
      <c r="S39063" s="178"/>
    </row>
    <row r="39064" spans="18:19">
      <c r="R39064" s="178"/>
      <c r="S39064" s="178"/>
    </row>
    <row r="39065" spans="18:19">
      <c r="R39065" s="178"/>
      <c r="S39065" s="178"/>
    </row>
    <row r="39066" spans="18:19">
      <c r="R39066" s="178"/>
      <c r="S39066" s="178"/>
    </row>
    <row r="39067" spans="18:19">
      <c r="R39067" s="178"/>
      <c r="S39067" s="178"/>
    </row>
    <row r="39068" spans="18:19">
      <c r="R39068" s="178"/>
      <c r="S39068" s="178"/>
    </row>
    <row r="39069" spans="18:19">
      <c r="R39069" s="178"/>
      <c r="S39069" s="178"/>
    </row>
    <row r="39070" spans="18:19">
      <c r="R39070" s="178"/>
      <c r="S39070" s="178"/>
    </row>
    <row r="39071" spans="18:19">
      <c r="R39071" s="178"/>
      <c r="S39071" s="178"/>
    </row>
    <row r="39072" spans="18:19">
      <c r="R39072" s="178"/>
      <c r="S39072" s="178"/>
    </row>
    <row r="39073" spans="18:19">
      <c r="R39073" s="178"/>
      <c r="S39073" s="178"/>
    </row>
    <row r="39074" spans="18:19">
      <c r="R39074" s="178"/>
      <c r="S39074" s="178"/>
    </row>
    <row r="39075" spans="18:19">
      <c r="R39075" s="178"/>
      <c r="S39075" s="178"/>
    </row>
    <row r="39076" spans="18:19">
      <c r="R39076" s="178"/>
      <c r="S39076" s="178"/>
    </row>
    <row r="39077" spans="18:19">
      <c r="R39077" s="178"/>
      <c r="S39077" s="178"/>
    </row>
    <row r="39078" spans="18:19">
      <c r="R39078" s="178"/>
      <c r="S39078" s="178"/>
    </row>
    <row r="39079" spans="18:19">
      <c r="R39079" s="178"/>
      <c r="S39079" s="178"/>
    </row>
    <row r="39080" spans="18:19">
      <c r="R39080" s="178"/>
      <c r="S39080" s="178"/>
    </row>
    <row r="39081" spans="18:19">
      <c r="R39081" s="178"/>
      <c r="S39081" s="178"/>
    </row>
    <row r="39082" spans="18:19">
      <c r="R39082" s="178"/>
      <c r="S39082" s="178"/>
    </row>
    <row r="39083" spans="18:19">
      <c r="R39083" s="178"/>
      <c r="S39083" s="178"/>
    </row>
    <row r="39084" spans="18:19">
      <c r="R39084" s="178"/>
      <c r="S39084" s="178"/>
    </row>
    <row r="39085" spans="18:19">
      <c r="R39085" s="178"/>
      <c r="S39085" s="178"/>
    </row>
    <row r="39086" spans="18:19">
      <c r="R39086" s="178"/>
      <c r="S39086" s="178"/>
    </row>
    <row r="39087" spans="18:19">
      <c r="R39087" s="178"/>
      <c r="S39087" s="178"/>
    </row>
    <row r="39088" spans="18:19">
      <c r="R39088" s="178"/>
      <c r="S39088" s="178"/>
    </row>
    <row r="39089" spans="18:19">
      <c r="R39089" s="178"/>
      <c r="S39089" s="178"/>
    </row>
    <row r="39090" spans="18:19">
      <c r="R39090" s="178"/>
      <c r="S39090" s="178"/>
    </row>
    <row r="39091" spans="18:19">
      <c r="R39091" s="178"/>
      <c r="S39091" s="178"/>
    </row>
    <row r="39092" spans="18:19">
      <c r="R39092" s="178"/>
      <c r="S39092" s="178"/>
    </row>
    <row r="39093" spans="18:19">
      <c r="R39093" s="178"/>
      <c r="S39093" s="178"/>
    </row>
    <row r="39094" spans="18:19">
      <c r="R39094" s="178"/>
      <c r="S39094" s="178"/>
    </row>
    <row r="39095" spans="18:19">
      <c r="R39095" s="178"/>
      <c r="S39095" s="178"/>
    </row>
    <row r="39096" spans="18:19">
      <c r="R39096" s="178"/>
      <c r="S39096" s="178"/>
    </row>
    <row r="39097" spans="18:19">
      <c r="R39097" s="178"/>
      <c r="S39097" s="178"/>
    </row>
    <row r="39098" spans="18:19">
      <c r="R39098" s="178"/>
      <c r="S39098" s="178"/>
    </row>
    <row r="39099" spans="18:19">
      <c r="R39099" s="178"/>
      <c r="S39099" s="178"/>
    </row>
    <row r="39100" spans="18:19">
      <c r="R39100" s="178"/>
      <c r="S39100" s="178"/>
    </row>
    <row r="39101" spans="18:19">
      <c r="R39101" s="178"/>
      <c r="S39101" s="178"/>
    </row>
    <row r="39102" spans="18:19">
      <c r="R39102" s="178"/>
      <c r="S39102" s="178"/>
    </row>
    <row r="39103" spans="18:19">
      <c r="R39103" s="178"/>
      <c r="S39103" s="178"/>
    </row>
    <row r="39104" spans="18:19">
      <c r="R39104" s="178"/>
      <c r="S39104" s="178"/>
    </row>
    <row r="39105" spans="18:19">
      <c r="R39105" s="178"/>
      <c r="S39105" s="178"/>
    </row>
    <row r="39106" spans="18:19">
      <c r="R39106" s="178"/>
      <c r="S39106" s="178"/>
    </row>
    <row r="39107" spans="18:19">
      <c r="R39107" s="178"/>
      <c r="S39107" s="178"/>
    </row>
    <row r="39108" spans="18:19">
      <c r="R39108" s="178"/>
      <c r="S39108" s="178"/>
    </row>
    <row r="39109" spans="18:19">
      <c r="R39109" s="178"/>
      <c r="S39109" s="178"/>
    </row>
    <row r="39110" spans="18:19">
      <c r="R39110" s="178"/>
      <c r="S39110" s="178"/>
    </row>
    <row r="39111" spans="18:19">
      <c r="R39111" s="178"/>
      <c r="S39111" s="178"/>
    </row>
    <row r="39112" spans="18:19">
      <c r="R39112" s="178"/>
      <c r="S39112" s="178"/>
    </row>
    <row r="39113" spans="18:19">
      <c r="R39113" s="178"/>
      <c r="S39113" s="178"/>
    </row>
    <row r="39114" spans="18:19">
      <c r="R39114" s="178"/>
      <c r="S39114" s="178"/>
    </row>
    <row r="39115" spans="18:19">
      <c r="R39115" s="178"/>
      <c r="S39115" s="178"/>
    </row>
    <row r="39116" spans="18:19">
      <c r="R39116" s="178"/>
      <c r="S39116" s="178"/>
    </row>
    <row r="39117" spans="18:19">
      <c r="R39117" s="178"/>
      <c r="S39117" s="178"/>
    </row>
    <row r="39118" spans="18:19">
      <c r="R39118" s="178"/>
      <c r="S39118" s="178"/>
    </row>
    <row r="39119" spans="18:19">
      <c r="R39119" s="178"/>
      <c r="S39119" s="178"/>
    </row>
    <row r="39120" spans="18:19">
      <c r="R39120" s="178"/>
      <c r="S39120" s="178"/>
    </row>
    <row r="39121" spans="18:19">
      <c r="R39121" s="178"/>
      <c r="S39121" s="178"/>
    </row>
    <row r="39122" spans="18:19">
      <c r="R39122" s="178"/>
      <c r="S39122" s="178"/>
    </row>
    <row r="39123" spans="18:19">
      <c r="R39123" s="178"/>
      <c r="S39123" s="178"/>
    </row>
    <row r="39124" spans="18:19">
      <c r="R39124" s="178"/>
      <c r="S39124" s="178"/>
    </row>
    <row r="39125" spans="18:19">
      <c r="R39125" s="178"/>
      <c r="S39125" s="178"/>
    </row>
    <row r="39126" spans="18:19">
      <c r="R39126" s="178"/>
      <c r="S39126" s="178"/>
    </row>
    <row r="39127" spans="18:19">
      <c r="R39127" s="178"/>
      <c r="S39127" s="178"/>
    </row>
    <row r="39128" spans="18:19">
      <c r="R39128" s="178"/>
      <c r="S39128" s="178"/>
    </row>
    <row r="39129" spans="18:19">
      <c r="R39129" s="178"/>
      <c r="S39129" s="178"/>
    </row>
    <row r="39130" spans="18:19">
      <c r="R39130" s="178"/>
      <c r="S39130" s="178"/>
    </row>
    <row r="39131" spans="18:19">
      <c r="R39131" s="178"/>
      <c r="S39131" s="178"/>
    </row>
    <row r="39132" spans="18:19">
      <c r="R39132" s="178"/>
      <c r="S39132" s="178"/>
    </row>
    <row r="39133" spans="18:19">
      <c r="R39133" s="178"/>
      <c r="S39133" s="178"/>
    </row>
    <row r="39134" spans="18:19">
      <c r="R39134" s="178"/>
      <c r="S39134" s="178"/>
    </row>
    <row r="39135" spans="18:19">
      <c r="R39135" s="178"/>
      <c r="S39135" s="178"/>
    </row>
    <row r="39136" spans="18:19">
      <c r="R39136" s="178"/>
      <c r="S39136" s="178"/>
    </row>
    <row r="39137" spans="18:19">
      <c r="R39137" s="178"/>
      <c r="S39137" s="178"/>
    </row>
    <row r="39138" spans="18:19">
      <c r="R39138" s="178"/>
      <c r="S39138" s="178"/>
    </row>
    <row r="39139" spans="18:19">
      <c r="R39139" s="178"/>
      <c r="S39139" s="178"/>
    </row>
    <row r="39140" spans="18:19">
      <c r="R39140" s="178"/>
      <c r="S39140" s="178"/>
    </row>
    <row r="39141" spans="18:19">
      <c r="R39141" s="178"/>
      <c r="S39141" s="178"/>
    </row>
    <row r="39142" spans="18:19">
      <c r="R39142" s="178"/>
      <c r="S39142" s="178"/>
    </row>
    <row r="39143" spans="18:19">
      <c r="R39143" s="178"/>
      <c r="S39143" s="178"/>
    </row>
    <row r="39144" spans="18:19">
      <c r="R39144" s="178"/>
      <c r="S39144" s="178"/>
    </row>
    <row r="39145" spans="18:19">
      <c r="R39145" s="178"/>
      <c r="S39145" s="178"/>
    </row>
    <row r="39146" spans="18:19">
      <c r="R39146" s="178"/>
      <c r="S39146" s="178"/>
    </row>
    <row r="39147" spans="18:19">
      <c r="R39147" s="178"/>
      <c r="S39147" s="178"/>
    </row>
    <row r="39148" spans="18:19">
      <c r="R39148" s="178"/>
      <c r="S39148" s="178"/>
    </row>
    <row r="39149" spans="18:19">
      <c r="R39149" s="178"/>
      <c r="S39149" s="178"/>
    </row>
    <row r="39150" spans="18:19">
      <c r="R39150" s="178"/>
      <c r="S39150" s="178"/>
    </row>
    <row r="39151" spans="18:19">
      <c r="R39151" s="178"/>
      <c r="S39151" s="178"/>
    </row>
    <row r="39152" spans="18:19">
      <c r="R39152" s="178"/>
      <c r="S39152" s="178"/>
    </row>
    <row r="39153" spans="18:19">
      <c r="R39153" s="178"/>
      <c r="S39153" s="178"/>
    </row>
    <row r="39154" spans="18:19">
      <c r="R39154" s="178"/>
      <c r="S39154" s="178"/>
    </row>
    <row r="39155" spans="18:19">
      <c r="R39155" s="178"/>
      <c r="S39155" s="178"/>
    </row>
    <row r="39156" spans="18:19">
      <c r="R39156" s="178"/>
      <c r="S39156" s="178"/>
    </row>
    <row r="39157" spans="18:19">
      <c r="R39157" s="178"/>
      <c r="S39157" s="178"/>
    </row>
    <row r="39158" spans="18:19">
      <c r="R39158" s="178"/>
      <c r="S39158" s="178"/>
    </row>
    <row r="39159" spans="18:19">
      <c r="R39159" s="178"/>
      <c r="S39159" s="178"/>
    </row>
    <row r="39160" spans="18:19">
      <c r="R39160" s="178"/>
      <c r="S39160" s="178"/>
    </row>
    <row r="39161" spans="18:19">
      <c r="R39161" s="178"/>
      <c r="S39161" s="178"/>
    </row>
    <row r="39162" spans="18:19">
      <c r="R39162" s="178"/>
      <c r="S39162" s="178"/>
    </row>
    <row r="39163" spans="18:19">
      <c r="R39163" s="178"/>
      <c r="S39163" s="178"/>
    </row>
    <row r="39164" spans="18:19">
      <c r="R39164" s="178"/>
      <c r="S39164" s="178"/>
    </row>
    <row r="39165" spans="18:19">
      <c r="R39165" s="178"/>
      <c r="S39165" s="178"/>
    </row>
    <row r="39166" spans="18:19">
      <c r="R39166" s="178"/>
      <c r="S39166" s="178"/>
    </row>
    <row r="39167" spans="18:19">
      <c r="R39167" s="178"/>
      <c r="S39167" s="178"/>
    </row>
    <row r="39168" spans="18:19">
      <c r="R39168" s="178"/>
      <c r="S39168" s="178"/>
    </row>
    <row r="39169" spans="18:19">
      <c r="R39169" s="178"/>
      <c r="S39169" s="178"/>
    </row>
    <row r="39170" spans="18:19">
      <c r="R39170" s="178"/>
      <c r="S39170" s="178"/>
    </row>
    <row r="39171" spans="18:19">
      <c r="R39171" s="178"/>
      <c r="S39171" s="178"/>
    </row>
    <row r="39172" spans="18:19">
      <c r="R39172" s="178"/>
      <c r="S39172" s="178"/>
    </row>
    <row r="39173" spans="18:19">
      <c r="R39173" s="178"/>
      <c r="S39173" s="178"/>
    </row>
    <row r="39174" spans="18:19">
      <c r="R39174" s="178"/>
      <c r="S39174" s="178"/>
    </row>
    <row r="39175" spans="18:19">
      <c r="R39175" s="178"/>
      <c r="S39175" s="178"/>
    </row>
    <row r="39176" spans="18:19">
      <c r="R39176" s="178"/>
      <c r="S39176" s="178"/>
    </row>
    <row r="39177" spans="18:19">
      <c r="R39177" s="178"/>
      <c r="S39177" s="178"/>
    </row>
    <row r="39178" spans="18:19">
      <c r="R39178" s="178"/>
      <c r="S39178" s="178"/>
    </row>
    <row r="39179" spans="18:19">
      <c r="R39179" s="178"/>
      <c r="S39179" s="178"/>
    </row>
    <row r="39180" spans="18:19">
      <c r="R39180" s="178"/>
      <c r="S39180" s="178"/>
    </row>
    <row r="39181" spans="18:19">
      <c r="R39181" s="178"/>
      <c r="S39181" s="178"/>
    </row>
    <row r="39182" spans="18:19">
      <c r="R39182" s="178"/>
      <c r="S39182" s="178"/>
    </row>
    <row r="39183" spans="18:19">
      <c r="R39183" s="178"/>
      <c r="S39183" s="178"/>
    </row>
    <row r="39184" spans="18:19">
      <c r="R39184" s="178"/>
      <c r="S39184" s="178"/>
    </row>
    <row r="39185" spans="18:19">
      <c r="R39185" s="178"/>
      <c r="S39185" s="178"/>
    </row>
    <row r="39186" spans="18:19">
      <c r="R39186" s="178"/>
      <c r="S39186" s="178"/>
    </row>
    <row r="39187" spans="18:19">
      <c r="R39187" s="178"/>
      <c r="S39187" s="178"/>
    </row>
    <row r="39188" spans="18:19">
      <c r="R39188" s="178"/>
      <c r="S39188" s="178"/>
    </row>
    <row r="39189" spans="18:19">
      <c r="R39189" s="178"/>
      <c r="S39189" s="178"/>
    </row>
    <row r="39190" spans="18:19">
      <c r="R39190" s="178"/>
      <c r="S39190" s="178"/>
    </row>
    <row r="39191" spans="18:19">
      <c r="R39191" s="178"/>
      <c r="S39191" s="178"/>
    </row>
    <row r="39192" spans="18:19">
      <c r="R39192" s="178"/>
      <c r="S39192" s="178"/>
    </row>
    <row r="39193" spans="18:19">
      <c r="R39193" s="178"/>
      <c r="S39193" s="178"/>
    </row>
    <row r="39194" spans="18:19">
      <c r="R39194" s="178"/>
      <c r="S39194" s="178"/>
    </row>
    <row r="39195" spans="18:19">
      <c r="R39195" s="178"/>
      <c r="S39195" s="178"/>
    </row>
    <row r="39196" spans="18:19">
      <c r="R39196" s="178"/>
      <c r="S39196" s="178"/>
    </row>
    <row r="39197" spans="18:19">
      <c r="R39197" s="178"/>
      <c r="S39197" s="178"/>
    </row>
    <row r="39198" spans="18:19">
      <c r="R39198" s="178"/>
      <c r="S39198" s="178"/>
    </row>
    <row r="39199" spans="18:19">
      <c r="R39199" s="178"/>
      <c r="S39199" s="178"/>
    </row>
    <row r="39200" spans="18:19">
      <c r="R39200" s="178"/>
      <c r="S39200" s="178"/>
    </row>
    <row r="39201" spans="18:19">
      <c r="R39201" s="178"/>
      <c r="S39201" s="178"/>
    </row>
    <row r="39202" spans="18:19">
      <c r="R39202" s="178"/>
      <c r="S39202" s="178"/>
    </row>
    <row r="39203" spans="18:19">
      <c r="R39203" s="178"/>
      <c r="S39203" s="178"/>
    </row>
    <row r="39204" spans="18:19">
      <c r="R39204" s="178"/>
      <c r="S39204" s="178"/>
    </row>
    <row r="39205" spans="18:19">
      <c r="R39205" s="178"/>
      <c r="S39205" s="178"/>
    </row>
    <row r="39206" spans="18:19">
      <c r="R39206" s="178"/>
      <c r="S39206" s="178"/>
    </row>
    <row r="39207" spans="18:19">
      <c r="R39207" s="178"/>
      <c r="S39207" s="178"/>
    </row>
    <row r="39208" spans="18:19">
      <c r="R39208" s="178"/>
      <c r="S39208" s="178"/>
    </row>
    <row r="39209" spans="18:19">
      <c r="R39209" s="178"/>
      <c r="S39209" s="178"/>
    </row>
    <row r="39210" spans="18:19">
      <c r="R39210" s="178"/>
      <c r="S39210" s="178"/>
    </row>
    <row r="39211" spans="18:19">
      <c r="R39211" s="178"/>
      <c r="S39211" s="178"/>
    </row>
    <row r="39212" spans="18:19">
      <c r="R39212" s="178"/>
      <c r="S39212" s="178"/>
    </row>
    <row r="39213" spans="18:19">
      <c r="R39213" s="178"/>
      <c r="S39213" s="178"/>
    </row>
    <row r="39214" spans="18:19">
      <c r="R39214" s="178"/>
      <c r="S39214" s="178"/>
    </row>
    <row r="39215" spans="18:19">
      <c r="R39215" s="178"/>
      <c r="S39215" s="178"/>
    </row>
    <row r="39216" spans="18:19">
      <c r="R39216" s="178"/>
      <c r="S39216" s="178"/>
    </row>
    <row r="39217" spans="18:19">
      <c r="R39217" s="178"/>
      <c r="S39217" s="178"/>
    </row>
    <row r="39218" spans="18:19">
      <c r="R39218" s="178"/>
      <c r="S39218" s="178"/>
    </row>
    <row r="39219" spans="18:19">
      <c r="R39219" s="178"/>
      <c r="S39219" s="178"/>
    </row>
    <row r="39220" spans="18:19">
      <c r="R39220" s="178"/>
      <c r="S39220" s="178"/>
    </row>
    <row r="39221" spans="18:19">
      <c r="R39221" s="178"/>
      <c r="S39221" s="178"/>
    </row>
    <row r="39222" spans="18:19">
      <c r="R39222" s="178"/>
      <c r="S39222" s="178"/>
    </row>
    <row r="39223" spans="18:19">
      <c r="R39223" s="178"/>
      <c r="S39223" s="178"/>
    </row>
    <row r="39224" spans="18:19">
      <c r="R39224" s="178"/>
      <c r="S39224" s="178"/>
    </row>
    <row r="39225" spans="18:19">
      <c r="R39225" s="178"/>
      <c r="S39225" s="178"/>
    </row>
    <row r="39226" spans="18:19">
      <c r="R39226" s="178"/>
      <c r="S39226" s="178"/>
    </row>
    <row r="39227" spans="18:19">
      <c r="R39227" s="178"/>
      <c r="S39227" s="178"/>
    </row>
    <row r="39228" spans="18:19">
      <c r="R39228" s="178"/>
      <c r="S39228" s="178"/>
    </row>
    <row r="39229" spans="18:19">
      <c r="R39229" s="178"/>
      <c r="S39229" s="178"/>
    </row>
    <row r="39230" spans="18:19">
      <c r="R39230" s="178"/>
      <c r="S39230" s="178"/>
    </row>
    <row r="39231" spans="18:19">
      <c r="R39231" s="178"/>
      <c r="S39231" s="178"/>
    </row>
    <row r="39232" spans="18:19">
      <c r="R39232" s="178"/>
      <c r="S39232" s="178"/>
    </row>
    <row r="39233" spans="18:19">
      <c r="R39233" s="178"/>
      <c r="S39233" s="178"/>
    </row>
    <row r="39234" spans="18:19">
      <c r="R39234" s="178"/>
      <c r="S39234" s="178"/>
    </row>
    <row r="39235" spans="18:19">
      <c r="R39235" s="178"/>
      <c r="S39235" s="178"/>
    </row>
    <row r="39236" spans="18:19">
      <c r="R39236" s="178"/>
      <c r="S39236" s="178"/>
    </row>
    <row r="39237" spans="18:19">
      <c r="R39237" s="178"/>
      <c r="S39237" s="178"/>
    </row>
    <row r="39238" spans="18:19">
      <c r="R39238" s="178"/>
      <c r="S39238" s="178"/>
    </row>
    <row r="39239" spans="18:19">
      <c r="R39239" s="178"/>
      <c r="S39239" s="178"/>
    </row>
    <row r="39240" spans="18:19">
      <c r="R39240" s="178"/>
      <c r="S39240" s="178"/>
    </row>
    <row r="39241" spans="18:19">
      <c r="R39241" s="178"/>
      <c r="S39241" s="178"/>
    </row>
    <row r="39242" spans="18:19">
      <c r="R39242" s="178"/>
      <c r="S39242" s="178"/>
    </row>
    <row r="39243" spans="18:19">
      <c r="R39243" s="178"/>
      <c r="S39243" s="178"/>
    </row>
    <row r="39244" spans="18:19">
      <c r="R39244" s="178"/>
      <c r="S39244" s="178"/>
    </row>
    <row r="39245" spans="18:19">
      <c r="R39245" s="178"/>
      <c r="S39245" s="178"/>
    </row>
    <row r="39246" spans="18:19">
      <c r="R39246" s="178"/>
      <c r="S39246" s="178"/>
    </row>
    <row r="39247" spans="18:19">
      <c r="R39247" s="178"/>
      <c r="S39247" s="178"/>
    </row>
    <row r="39248" spans="18:19">
      <c r="R39248" s="178"/>
      <c r="S39248" s="178"/>
    </row>
    <row r="39249" spans="18:19">
      <c r="R39249" s="178"/>
      <c r="S39249" s="178"/>
    </row>
    <row r="39250" spans="18:19">
      <c r="R39250" s="178"/>
      <c r="S39250" s="178"/>
    </row>
    <row r="39251" spans="18:19">
      <c r="R39251" s="178"/>
      <c r="S39251" s="178"/>
    </row>
    <row r="39252" spans="18:19">
      <c r="R39252" s="178"/>
      <c r="S39252" s="178"/>
    </row>
    <row r="39253" spans="18:19">
      <c r="R39253" s="178"/>
      <c r="S39253" s="178"/>
    </row>
    <row r="39254" spans="18:19">
      <c r="R39254" s="178"/>
      <c r="S39254" s="178"/>
    </row>
    <row r="39255" spans="18:19">
      <c r="R39255" s="178"/>
      <c r="S39255" s="178"/>
    </row>
    <row r="39256" spans="18:19">
      <c r="R39256" s="178"/>
      <c r="S39256" s="178"/>
    </row>
    <row r="39257" spans="18:19">
      <c r="R39257" s="178"/>
      <c r="S39257" s="178"/>
    </row>
    <row r="39258" spans="18:19">
      <c r="R39258" s="178"/>
      <c r="S39258" s="178"/>
    </row>
    <row r="39259" spans="18:19">
      <c r="R39259" s="178"/>
      <c r="S39259" s="178"/>
    </row>
    <row r="39260" spans="18:19">
      <c r="R39260" s="178"/>
      <c r="S39260" s="178"/>
    </row>
    <row r="39261" spans="18:19">
      <c r="R39261" s="178"/>
      <c r="S39261" s="178"/>
    </row>
    <row r="39262" spans="18:19">
      <c r="R39262" s="178"/>
      <c r="S39262" s="178"/>
    </row>
    <row r="39263" spans="18:19">
      <c r="R39263" s="178"/>
      <c r="S39263" s="178"/>
    </row>
    <row r="39264" spans="18:19">
      <c r="R39264" s="178"/>
      <c r="S39264" s="178"/>
    </row>
    <row r="39265" spans="18:19">
      <c r="R39265" s="178"/>
      <c r="S39265" s="178"/>
    </row>
    <row r="39266" spans="18:19">
      <c r="R39266" s="178"/>
      <c r="S39266" s="178"/>
    </row>
    <row r="39267" spans="18:19">
      <c r="R39267" s="178"/>
      <c r="S39267" s="178"/>
    </row>
    <row r="39268" spans="18:19">
      <c r="R39268" s="178"/>
      <c r="S39268" s="178"/>
    </row>
    <row r="39269" spans="18:19">
      <c r="R39269" s="178"/>
      <c r="S39269" s="178"/>
    </row>
    <row r="39270" spans="18:19">
      <c r="R39270" s="178"/>
      <c r="S39270" s="178"/>
    </row>
    <row r="39271" spans="18:19">
      <c r="R39271" s="178"/>
      <c r="S39271" s="178"/>
    </row>
    <row r="39272" spans="18:19">
      <c r="R39272" s="178"/>
      <c r="S39272" s="178"/>
    </row>
    <row r="39273" spans="18:19">
      <c r="R39273" s="178"/>
      <c r="S39273" s="178"/>
    </row>
    <row r="39274" spans="18:19">
      <c r="R39274" s="178"/>
      <c r="S39274" s="178"/>
    </row>
    <row r="39275" spans="18:19">
      <c r="R39275" s="178"/>
      <c r="S39275" s="178"/>
    </row>
    <row r="39276" spans="18:19">
      <c r="R39276" s="178"/>
      <c r="S39276" s="178"/>
    </row>
    <row r="39277" spans="18:19">
      <c r="R39277" s="178"/>
      <c r="S39277" s="178"/>
    </row>
    <row r="39278" spans="18:19">
      <c r="R39278" s="178"/>
      <c r="S39278" s="178"/>
    </row>
    <row r="39279" spans="18:19">
      <c r="R39279" s="178"/>
      <c r="S39279" s="178"/>
    </row>
    <row r="39280" spans="18:19">
      <c r="R39280" s="178"/>
      <c r="S39280" s="178"/>
    </row>
    <row r="39281" spans="18:19">
      <c r="R39281" s="178"/>
      <c r="S39281" s="178"/>
    </row>
    <row r="39282" spans="18:19">
      <c r="R39282" s="178"/>
      <c r="S39282" s="178"/>
    </row>
    <row r="39283" spans="18:19">
      <c r="R39283" s="178"/>
      <c r="S39283" s="178"/>
    </row>
    <row r="39284" spans="18:19">
      <c r="R39284" s="178"/>
      <c r="S39284" s="178"/>
    </row>
    <row r="39285" spans="18:19">
      <c r="R39285" s="178"/>
      <c r="S39285" s="178"/>
    </row>
    <row r="39286" spans="18:19">
      <c r="R39286" s="178"/>
      <c r="S39286" s="178"/>
    </row>
    <row r="39287" spans="18:19">
      <c r="R39287" s="178"/>
      <c r="S39287" s="178"/>
    </row>
    <row r="39288" spans="18:19">
      <c r="R39288" s="178"/>
      <c r="S39288" s="178"/>
    </row>
    <row r="39289" spans="18:19">
      <c r="R39289" s="178"/>
      <c r="S39289" s="178"/>
    </row>
    <row r="39290" spans="18:19">
      <c r="R39290" s="178"/>
      <c r="S39290" s="178"/>
    </row>
    <row r="39291" spans="18:19">
      <c r="R39291" s="178"/>
      <c r="S39291" s="178"/>
    </row>
    <row r="39292" spans="18:19">
      <c r="R39292" s="178"/>
      <c r="S39292" s="178"/>
    </row>
    <row r="39293" spans="18:19">
      <c r="R39293" s="178"/>
      <c r="S39293" s="178"/>
    </row>
    <row r="39294" spans="18:19">
      <c r="R39294" s="178"/>
      <c r="S39294" s="178"/>
    </row>
    <row r="39295" spans="18:19">
      <c r="R39295" s="178"/>
      <c r="S39295" s="178"/>
    </row>
    <row r="39296" spans="18:19">
      <c r="R39296" s="178"/>
      <c r="S39296" s="178"/>
    </row>
    <row r="39297" spans="18:19">
      <c r="R39297" s="178"/>
      <c r="S39297" s="178"/>
    </row>
    <row r="39298" spans="18:19">
      <c r="R39298" s="178"/>
      <c r="S39298" s="178"/>
    </row>
    <row r="39299" spans="18:19">
      <c r="R39299" s="178"/>
      <c r="S39299" s="178"/>
    </row>
    <row r="39300" spans="18:19">
      <c r="R39300" s="178"/>
      <c r="S39300" s="178"/>
    </row>
    <row r="39301" spans="18:19">
      <c r="R39301" s="178"/>
      <c r="S39301" s="178"/>
    </row>
    <row r="39302" spans="18:19">
      <c r="R39302" s="178"/>
      <c r="S39302" s="178"/>
    </row>
    <row r="39303" spans="18:19">
      <c r="R39303" s="178"/>
      <c r="S39303" s="178"/>
    </row>
    <row r="39304" spans="18:19">
      <c r="R39304" s="178"/>
      <c r="S39304" s="178"/>
    </row>
    <row r="39305" spans="18:19">
      <c r="R39305" s="178"/>
      <c r="S39305" s="178"/>
    </row>
    <row r="39306" spans="18:19">
      <c r="R39306" s="178"/>
      <c r="S39306" s="178"/>
    </row>
    <row r="39307" spans="18:19">
      <c r="R39307" s="178"/>
      <c r="S39307" s="178"/>
    </row>
    <row r="39308" spans="18:19">
      <c r="R39308" s="178"/>
      <c r="S39308" s="178"/>
    </row>
    <row r="39309" spans="18:19">
      <c r="R39309" s="178"/>
      <c r="S39309" s="178"/>
    </row>
    <row r="39310" spans="18:19">
      <c r="R39310" s="178"/>
      <c r="S39310" s="178"/>
    </row>
    <row r="39311" spans="18:19">
      <c r="R39311" s="178"/>
      <c r="S39311" s="178"/>
    </row>
    <row r="39312" spans="18:19">
      <c r="R39312" s="178"/>
      <c r="S39312" s="178"/>
    </row>
    <row r="39313" spans="18:19">
      <c r="R39313" s="178"/>
      <c r="S39313" s="178"/>
    </row>
    <row r="39314" spans="18:19">
      <c r="R39314" s="178"/>
      <c r="S39314" s="178"/>
    </row>
    <row r="39315" spans="18:19">
      <c r="R39315" s="178"/>
      <c r="S39315" s="178"/>
    </row>
    <row r="39316" spans="18:19">
      <c r="R39316" s="178"/>
      <c r="S39316" s="178"/>
    </row>
    <row r="39317" spans="18:19">
      <c r="R39317" s="178"/>
      <c r="S39317" s="178"/>
    </row>
    <row r="39318" spans="18:19">
      <c r="R39318" s="178"/>
      <c r="S39318" s="178"/>
    </row>
    <row r="39319" spans="18:19">
      <c r="R39319" s="178"/>
      <c r="S39319" s="178"/>
    </row>
    <row r="39320" spans="18:19">
      <c r="R39320" s="178"/>
      <c r="S39320" s="178"/>
    </row>
    <row r="39321" spans="18:19">
      <c r="R39321" s="178"/>
      <c r="S39321" s="178"/>
    </row>
    <row r="39322" spans="18:19">
      <c r="R39322" s="178"/>
      <c r="S39322" s="178"/>
    </row>
    <row r="39323" spans="18:19">
      <c r="R39323" s="178"/>
      <c r="S39323" s="178"/>
    </row>
    <row r="39324" spans="18:19">
      <c r="R39324" s="178"/>
      <c r="S39324" s="178"/>
    </row>
    <row r="39325" spans="18:19">
      <c r="R39325" s="178"/>
      <c r="S39325" s="178"/>
    </row>
    <row r="39326" spans="18:19">
      <c r="R39326" s="178"/>
      <c r="S39326" s="178"/>
    </row>
    <row r="39327" spans="18:19">
      <c r="R39327" s="178"/>
      <c r="S39327" s="178"/>
    </row>
    <row r="39328" spans="18:19">
      <c r="R39328" s="178"/>
      <c r="S39328" s="178"/>
    </row>
    <row r="39329" spans="18:19">
      <c r="R39329" s="178"/>
      <c r="S39329" s="178"/>
    </row>
    <row r="39330" spans="18:19">
      <c r="R39330" s="178"/>
      <c r="S39330" s="178"/>
    </row>
    <row r="39331" spans="18:19">
      <c r="R39331" s="178"/>
      <c r="S39331" s="178"/>
    </row>
    <row r="39332" spans="18:19">
      <c r="R39332" s="178"/>
      <c r="S39332" s="178"/>
    </row>
    <row r="39333" spans="18:19">
      <c r="R39333" s="178"/>
      <c r="S39333" s="178"/>
    </row>
    <row r="39334" spans="18:19">
      <c r="R39334" s="178"/>
      <c r="S39334" s="178"/>
    </row>
    <row r="39335" spans="18:19">
      <c r="R39335" s="178"/>
      <c r="S39335" s="178"/>
    </row>
    <row r="39336" spans="18:19">
      <c r="R39336" s="178"/>
      <c r="S39336" s="178"/>
    </row>
    <row r="39337" spans="18:19">
      <c r="R39337" s="178"/>
      <c r="S39337" s="178"/>
    </row>
    <row r="39338" spans="18:19">
      <c r="R39338" s="178"/>
      <c r="S39338" s="178"/>
    </row>
    <row r="39339" spans="18:19">
      <c r="R39339" s="178"/>
      <c r="S39339" s="178"/>
    </row>
    <row r="39340" spans="18:19">
      <c r="R39340" s="178"/>
      <c r="S39340" s="178"/>
    </row>
    <row r="39341" spans="18:19">
      <c r="R39341" s="178"/>
      <c r="S39341" s="178"/>
    </row>
    <row r="39342" spans="18:19">
      <c r="R39342" s="178"/>
      <c r="S39342" s="178"/>
    </row>
    <row r="39343" spans="18:19">
      <c r="R39343" s="178"/>
      <c r="S39343" s="178"/>
    </row>
    <row r="39344" spans="18:19">
      <c r="R39344" s="178"/>
      <c r="S39344" s="178"/>
    </row>
    <row r="39345" spans="18:19">
      <c r="R39345" s="178"/>
      <c r="S39345" s="178"/>
    </row>
    <row r="39346" spans="18:19">
      <c r="R39346" s="178"/>
      <c r="S39346" s="178"/>
    </row>
    <row r="39347" spans="18:19">
      <c r="R39347" s="178"/>
      <c r="S39347" s="178"/>
    </row>
    <row r="39348" spans="18:19">
      <c r="R39348" s="178"/>
      <c r="S39348" s="178"/>
    </row>
    <row r="39349" spans="18:19">
      <c r="R39349" s="178"/>
      <c r="S39349" s="178"/>
    </row>
    <row r="39350" spans="18:19">
      <c r="R39350" s="178"/>
      <c r="S39350" s="178"/>
    </row>
    <row r="39351" spans="18:19">
      <c r="R39351" s="178"/>
      <c r="S39351" s="178"/>
    </row>
    <row r="39352" spans="18:19">
      <c r="R39352" s="178"/>
      <c r="S39352" s="178"/>
    </row>
    <row r="39353" spans="18:19">
      <c r="R39353" s="178"/>
      <c r="S39353" s="178"/>
    </row>
    <row r="39354" spans="18:19">
      <c r="R39354" s="178"/>
      <c r="S39354" s="178"/>
    </row>
    <row r="39355" spans="18:19">
      <c r="R39355" s="178"/>
      <c r="S39355" s="178"/>
    </row>
    <row r="39356" spans="18:19">
      <c r="R39356" s="178"/>
      <c r="S39356" s="178"/>
    </row>
    <row r="39357" spans="18:19">
      <c r="R39357" s="178"/>
      <c r="S39357" s="178"/>
    </row>
    <row r="39358" spans="18:19">
      <c r="R39358" s="178"/>
      <c r="S39358" s="178"/>
    </row>
    <row r="39359" spans="18:19">
      <c r="R39359" s="178"/>
      <c r="S39359" s="178"/>
    </row>
    <row r="39360" spans="18:19">
      <c r="R39360" s="178"/>
      <c r="S39360" s="178"/>
    </row>
    <row r="39361" spans="18:19">
      <c r="R39361" s="178"/>
      <c r="S39361" s="178"/>
    </row>
    <row r="39362" spans="18:19">
      <c r="R39362" s="178"/>
      <c r="S39362" s="178"/>
    </row>
    <row r="39363" spans="18:19">
      <c r="R39363" s="178"/>
      <c r="S39363" s="178"/>
    </row>
    <row r="39364" spans="18:19">
      <c r="R39364" s="178"/>
      <c r="S39364" s="178"/>
    </row>
    <row r="39365" spans="18:19">
      <c r="R39365" s="178"/>
      <c r="S39365" s="178"/>
    </row>
    <row r="39366" spans="18:19">
      <c r="R39366" s="178"/>
      <c r="S39366" s="178"/>
    </row>
    <row r="39367" spans="18:19">
      <c r="R39367" s="178"/>
      <c r="S39367" s="178"/>
    </row>
    <row r="39368" spans="18:19">
      <c r="R39368" s="178"/>
      <c r="S39368" s="178"/>
    </row>
    <row r="39369" spans="18:19">
      <c r="R39369" s="178"/>
      <c r="S39369" s="178"/>
    </row>
    <row r="39370" spans="18:19">
      <c r="R39370" s="178"/>
      <c r="S39370" s="178"/>
    </row>
    <row r="39371" spans="18:19">
      <c r="R39371" s="178"/>
      <c r="S39371" s="178"/>
    </row>
    <row r="39372" spans="18:19">
      <c r="R39372" s="178"/>
      <c r="S39372" s="178"/>
    </row>
    <row r="39373" spans="18:19">
      <c r="R39373" s="178"/>
      <c r="S39373" s="178"/>
    </row>
    <row r="39374" spans="18:19">
      <c r="R39374" s="178"/>
      <c r="S39374" s="178"/>
    </row>
    <row r="39375" spans="18:19">
      <c r="R39375" s="178"/>
      <c r="S39375" s="178"/>
    </row>
    <row r="39376" spans="18:19">
      <c r="R39376" s="178"/>
      <c r="S39376" s="178"/>
    </row>
    <row r="39377" spans="18:19">
      <c r="R39377" s="178"/>
      <c r="S39377" s="178"/>
    </row>
    <row r="39378" spans="18:19">
      <c r="R39378" s="178"/>
      <c r="S39378" s="178"/>
    </row>
    <row r="39379" spans="18:19">
      <c r="R39379" s="178"/>
      <c r="S39379" s="178"/>
    </row>
    <row r="39380" spans="18:19">
      <c r="R39380" s="178"/>
      <c r="S39380" s="178"/>
    </row>
    <row r="39381" spans="18:19">
      <c r="R39381" s="178"/>
      <c r="S39381" s="178"/>
    </row>
    <row r="39382" spans="18:19">
      <c r="R39382" s="178"/>
      <c r="S39382" s="178"/>
    </row>
    <row r="39383" spans="18:19">
      <c r="R39383" s="178"/>
      <c r="S39383" s="178"/>
    </row>
    <row r="39384" spans="18:19">
      <c r="R39384" s="178"/>
      <c r="S39384" s="178"/>
    </row>
    <row r="39385" spans="18:19">
      <c r="R39385" s="178"/>
      <c r="S39385" s="178"/>
    </row>
    <row r="39386" spans="18:19">
      <c r="R39386" s="178"/>
      <c r="S39386" s="178"/>
    </row>
    <row r="39387" spans="18:19">
      <c r="R39387" s="178"/>
      <c r="S39387" s="178"/>
    </row>
    <row r="39388" spans="18:19">
      <c r="R39388" s="178"/>
      <c r="S39388" s="178"/>
    </row>
    <row r="39389" spans="18:19">
      <c r="R39389" s="178"/>
      <c r="S39389" s="178"/>
    </row>
    <row r="39390" spans="18:19">
      <c r="R39390" s="178"/>
      <c r="S39390" s="178"/>
    </row>
    <row r="39391" spans="18:19">
      <c r="R39391" s="178"/>
      <c r="S39391" s="178"/>
    </row>
    <row r="39392" spans="18:19">
      <c r="R39392" s="178"/>
      <c r="S39392" s="178"/>
    </row>
    <row r="39393" spans="18:19">
      <c r="R39393" s="178"/>
      <c r="S39393" s="178"/>
    </row>
    <row r="39394" spans="18:19">
      <c r="R39394" s="178"/>
      <c r="S39394" s="178"/>
    </row>
    <row r="39395" spans="18:19">
      <c r="R39395" s="178"/>
      <c r="S39395" s="178"/>
    </row>
    <row r="39396" spans="18:19">
      <c r="R39396" s="178"/>
      <c r="S39396" s="178"/>
    </row>
    <row r="39397" spans="18:19">
      <c r="R39397" s="178"/>
      <c r="S39397" s="178"/>
    </row>
    <row r="39398" spans="18:19">
      <c r="R39398" s="178"/>
      <c r="S39398" s="178"/>
    </row>
    <row r="39399" spans="18:19">
      <c r="R39399" s="178"/>
      <c r="S39399" s="178"/>
    </row>
    <row r="39400" spans="18:19">
      <c r="R39400" s="178"/>
      <c r="S39400" s="178"/>
    </row>
    <row r="39401" spans="18:19">
      <c r="R39401" s="178"/>
      <c r="S39401" s="178"/>
    </row>
    <row r="39402" spans="18:19">
      <c r="R39402" s="178"/>
      <c r="S39402" s="178"/>
    </row>
    <row r="39403" spans="18:19">
      <c r="R39403" s="178"/>
      <c r="S39403" s="178"/>
    </row>
    <row r="39404" spans="18:19">
      <c r="R39404" s="178"/>
      <c r="S39404" s="178"/>
    </row>
    <row r="39405" spans="18:19">
      <c r="R39405" s="178"/>
      <c r="S39405" s="178"/>
    </row>
    <row r="39406" spans="18:19">
      <c r="R39406" s="178"/>
      <c r="S39406" s="178"/>
    </row>
    <row r="39407" spans="18:19">
      <c r="R39407" s="178"/>
      <c r="S39407" s="178"/>
    </row>
    <row r="39408" spans="18:19">
      <c r="R39408" s="178"/>
      <c r="S39408" s="178"/>
    </row>
    <row r="39409" spans="18:19">
      <c r="R39409" s="178"/>
      <c r="S39409" s="178"/>
    </row>
    <row r="39410" spans="18:19">
      <c r="R39410" s="178"/>
      <c r="S39410" s="178"/>
    </row>
    <row r="39411" spans="18:19">
      <c r="R39411" s="178"/>
      <c r="S39411" s="178"/>
    </row>
    <row r="39412" spans="18:19">
      <c r="R39412" s="178"/>
      <c r="S39412" s="178"/>
    </row>
    <row r="39413" spans="18:19">
      <c r="R39413" s="178"/>
      <c r="S39413" s="178"/>
    </row>
    <row r="39414" spans="18:19">
      <c r="R39414" s="178"/>
      <c r="S39414" s="178"/>
    </row>
    <row r="39415" spans="18:19">
      <c r="R39415" s="178"/>
      <c r="S39415" s="178"/>
    </row>
    <row r="39416" spans="18:19">
      <c r="R39416" s="178"/>
      <c r="S39416" s="178"/>
    </row>
    <row r="39417" spans="18:19">
      <c r="R39417" s="178"/>
      <c r="S39417" s="178"/>
    </row>
    <row r="39418" spans="18:19">
      <c r="R39418" s="178"/>
      <c r="S39418" s="178"/>
    </row>
    <row r="39419" spans="18:19">
      <c r="R39419" s="178"/>
      <c r="S39419" s="178"/>
    </row>
    <row r="39420" spans="18:19">
      <c r="R39420" s="178"/>
      <c r="S39420" s="178"/>
    </row>
    <row r="39421" spans="18:19">
      <c r="R39421" s="178"/>
      <c r="S39421" s="178"/>
    </row>
    <row r="39422" spans="18:19">
      <c r="R39422" s="178"/>
      <c r="S39422" s="178"/>
    </row>
    <row r="39423" spans="18:19">
      <c r="R39423" s="178"/>
      <c r="S39423" s="178"/>
    </row>
    <row r="39424" spans="18:19">
      <c r="R39424" s="178"/>
      <c r="S39424" s="178"/>
    </row>
    <row r="39425" spans="18:19">
      <c r="R39425" s="178"/>
      <c r="S39425" s="178"/>
    </row>
    <row r="39426" spans="18:19">
      <c r="R39426" s="178"/>
      <c r="S39426" s="178"/>
    </row>
    <row r="39427" spans="18:19">
      <c r="R39427" s="178"/>
      <c r="S39427" s="178"/>
    </row>
    <row r="39428" spans="18:19">
      <c r="R39428" s="178"/>
      <c r="S39428" s="178"/>
    </row>
    <row r="39429" spans="18:19">
      <c r="R39429" s="178"/>
      <c r="S39429" s="178"/>
    </row>
    <row r="39430" spans="18:19">
      <c r="R39430" s="178"/>
      <c r="S39430" s="178"/>
    </row>
    <row r="39431" spans="18:19">
      <c r="R39431" s="178"/>
      <c r="S39431" s="178"/>
    </row>
    <row r="39432" spans="18:19">
      <c r="R39432" s="178"/>
      <c r="S39432" s="178"/>
    </row>
    <row r="39433" spans="18:19">
      <c r="R39433" s="178"/>
      <c r="S39433" s="178"/>
    </row>
    <row r="39434" spans="18:19">
      <c r="R39434" s="178"/>
      <c r="S39434" s="178"/>
    </row>
    <row r="39435" spans="18:19">
      <c r="R39435" s="178"/>
      <c r="S39435" s="178"/>
    </row>
    <row r="39436" spans="18:19">
      <c r="R39436" s="178"/>
      <c r="S39436" s="178"/>
    </row>
    <row r="39437" spans="18:19">
      <c r="R39437" s="178"/>
      <c r="S39437" s="178"/>
    </row>
    <row r="39438" spans="18:19">
      <c r="R39438" s="178"/>
      <c r="S39438" s="178"/>
    </row>
    <row r="39439" spans="18:19">
      <c r="R39439" s="178"/>
      <c r="S39439" s="178"/>
    </row>
    <row r="39440" spans="18:19">
      <c r="R39440" s="178"/>
      <c r="S39440" s="178"/>
    </row>
    <row r="39441" spans="18:19">
      <c r="R39441" s="178"/>
      <c r="S39441" s="178"/>
    </row>
    <row r="39442" spans="18:19">
      <c r="R39442" s="178"/>
      <c r="S39442" s="178"/>
    </row>
    <row r="39443" spans="18:19">
      <c r="R39443" s="178"/>
      <c r="S39443" s="178"/>
    </row>
    <row r="39444" spans="18:19">
      <c r="R39444" s="178"/>
      <c r="S39444" s="178"/>
    </row>
    <row r="39445" spans="18:19">
      <c r="R39445" s="178"/>
      <c r="S39445" s="178"/>
    </row>
    <row r="39446" spans="18:19">
      <c r="R39446" s="178"/>
      <c r="S39446" s="178"/>
    </row>
    <row r="39447" spans="18:19">
      <c r="R39447" s="178"/>
      <c r="S39447" s="178"/>
    </row>
    <row r="39448" spans="18:19">
      <c r="R39448" s="178"/>
      <c r="S39448" s="178"/>
    </row>
    <row r="39449" spans="18:19">
      <c r="R39449" s="178"/>
      <c r="S39449" s="178"/>
    </row>
    <row r="39450" spans="18:19">
      <c r="R39450" s="178"/>
      <c r="S39450" s="178"/>
    </row>
    <row r="39451" spans="18:19">
      <c r="R39451" s="178"/>
      <c r="S39451" s="178"/>
    </row>
    <row r="39452" spans="18:19">
      <c r="R39452" s="178"/>
      <c r="S39452" s="178"/>
    </row>
    <row r="39453" spans="18:19">
      <c r="R39453" s="178"/>
      <c r="S39453" s="178"/>
    </row>
    <row r="39454" spans="18:19">
      <c r="R39454" s="178"/>
      <c r="S39454" s="178"/>
    </row>
    <row r="39455" spans="18:19">
      <c r="R39455" s="178"/>
      <c r="S39455" s="178"/>
    </row>
    <row r="39456" spans="18:19">
      <c r="R39456" s="178"/>
      <c r="S39456" s="178"/>
    </row>
    <row r="39457" spans="18:19">
      <c r="R39457" s="178"/>
      <c r="S39457" s="178"/>
    </row>
    <row r="39458" spans="18:19">
      <c r="R39458" s="178"/>
      <c r="S39458" s="178"/>
    </row>
    <row r="39459" spans="18:19">
      <c r="R39459" s="178"/>
      <c r="S39459" s="178"/>
    </row>
    <row r="39460" spans="18:19">
      <c r="R39460" s="178"/>
      <c r="S39460" s="178"/>
    </row>
    <row r="39461" spans="18:19">
      <c r="R39461" s="178"/>
      <c r="S39461" s="178"/>
    </row>
    <row r="39462" spans="18:19">
      <c r="R39462" s="178"/>
      <c r="S39462" s="178"/>
    </row>
    <row r="39463" spans="18:19">
      <c r="R39463" s="178"/>
      <c r="S39463" s="178"/>
    </row>
    <row r="39464" spans="18:19">
      <c r="R39464" s="178"/>
      <c r="S39464" s="178"/>
    </row>
    <row r="39465" spans="18:19">
      <c r="R39465" s="178"/>
      <c r="S39465" s="178"/>
    </row>
    <row r="39466" spans="18:19">
      <c r="R39466" s="178"/>
      <c r="S39466" s="178"/>
    </row>
    <row r="39467" spans="18:19">
      <c r="R39467" s="178"/>
      <c r="S39467" s="178"/>
    </row>
    <row r="39468" spans="18:19">
      <c r="R39468" s="178"/>
      <c r="S39468" s="178"/>
    </row>
    <row r="39469" spans="18:19">
      <c r="R39469" s="178"/>
      <c r="S39469" s="178"/>
    </row>
    <row r="39470" spans="18:19">
      <c r="R39470" s="178"/>
      <c r="S39470" s="178"/>
    </row>
    <row r="39471" spans="18:19">
      <c r="R39471" s="178"/>
      <c r="S39471" s="178"/>
    </row>
    <row r="39472" spans="18:19">
      <c r="R39472" s="178"/>
      <c r="S39472" s="178"/>
    </row>
    <row r="39473" spans="18:19">
      <c r="R39473" s="178"/>
      <c r="S39473" s="178"/>
    </row>
    <row r="39474" spans="18:19">
      <c r="R39474" s="178"/>
      <c r="S39474" s="178"/>
    </row>
    <row r="39475" spans="18:19">
      <c r="R39475" s="178"/>
      <c r="S39475" s="178"/>
    </row>
    <row r="39476" spans="18:19">
      <c r="R39476" s="178"/>
      <c r="S39476" s="178"/>
    </row>
    <row r="39477" spans="18:19">
      <c r="R39477" s="178"/>
      <c r="S39477" s="178"/>
    </row>
    <row r="39478" spans="18:19">
      <c r="R39478" s="178"/>
      <c r="S39478" s="178"/>
    </row>
    <row r="39479" spans="18:19">
      <c r="R39479" s="178"/>
      <c r="S39479" s="178"/>
    </row>
    <row r="39480" spans="18:19">
      <c r="R39480" s="178"/>
      <c r="S39480" s="178"/>
    </row>
    <row r="39481" spans="18:19">
      <c r="R39481" s="178"/>
      <c r="S39481" s="178"/>
    </row>
    <row r="39482" spans="18:19">
      <c r="R39482" s="178"/>
      <c r="S39482" s="178"/>
    </row>
    <row r="39483" spans="18:19">
      <c r="R39483" s="178"/>
      <c r="S39483" s="178"/>
    </row>
    <row r="39484" spans="18:19">
      <c r="R39484" s="178"/>
      <c r="S39484" s="178"/>
    </row>
    <row r="39485" spans="18:19">
      <c r="R39485" s="178"/>
      <c r="S39485" s="178"/>
    </row>
    <row r="39486" spans="18:19">
      <c r="R39486" s="178"/>
      <c r="S39486" s="178"/>
    </row>
    <row r="39487" spans="18:19">
      <c r="R39487" s="178"/>
      <c r="S39487" s="178"/>
    </row>
    <row r="39488" spans="18:19">
      <c r="R39488" s="178"/>
      <c r="S39488" s="178"/>
    </row>
    <row r="39489" spans="18:19">
      <c r="R39489" s="178"/>
      <c r="S39489" s="178"/>
    </row>
    <row r="39490" spans="18:19">
      <c r="R39490" s="178"/>
      <c r="S39490" s="178"/>
    </row>
    <row r="39491" spans="18:19">
      <c r="R39491" s="178"/>
      <c r="S39491" s="178"/>
    </row>
    <row r="39492" spans="18:19">
      <c r="R39492" s="178"/>
      <c r="S39492" s="178"/>
    </row>
    <row r="39493" spans="18:19">
      <c r="R39493" s="178"/>
      <c r="S39493" s="178"/>
    </row>
    <row r="39494" spans="18:19">
      <c r="R39494" s="178"/>
      <c r="S39494" s="178"/>
    </row>
    <row r="39495" spans="18:19">
      <c r="R39495" s="178"/>
      <c r="S39495" s="178"/>
    </row>
    <row r="39496" spans="18:19">
      <c r="R39496" s="178"/>
      <c r="S39496" s="178"/>
    </row>
    <row r="39497" spans="18:19">
      <c r="R39497" s="178"/>
      <c r="S39497" s="178"/>
    </row>
    <row r="39498" spans="18:19">
      <c r="R39498" s="178"/>
      <c r="S39498" s="178"/>
    </row>
    <row r="39499" spans="18:19">
      <c r="R39499" s="178"/>
      <c r="S39499" s="178"/>
    </row>
    <row r="39500" spans="18:19">
      <c r="R39500" s="178"/>
      <c r="S39500" s="178"/>
    </row>
    <row r="39501" spans="18:19">
      <c r="R39501" s="178"/>
      <c r="S39501" s="178"/>
    </row>
    <row r="39502" spans="18:19">
      <c r="R39502" s="178"/>
      <c r="S39502" s="178"/>
    </row>
    <row r="39503" spans="18:19">
      <c r="R39503" s="178"/>
      <c r="S39503" s="178"/>
    </row>
    <row r="39504" spans="18:19">
      <c r="R39504" s="178"/>
      <c r="S39504" s="178"/>
    </row>
    <row r="39505" spans="18:19">
      <c r="R39505" s="178"/>
      <c r="S39505" s="178"/>
    </row>
    <row r="39506" spans="18:19">
      <c r="R39506" s="178"/>
      <c r="S39506" s="178"/>
    </row>
    <row r="39507" spans="18:19">
      <c r="R39507" s="178"/>
      <c r="S39507" s="178"/>
    </row>
    <row r="39508" spans="18:19">
      <c r="R39508" s="178"/>
      <c r="S39508" s="178"/>
    </row>
    <row r="39509" spans="18:19">
      <c r="R39509" s="178"/>
      <c r="S39509" s="178"/>
    </row>
    <row r="39510" spans="18:19">
      <c r="R39510" s="178"/>
      <c r="S39510" s="178"/>
    </row>
    <row r="39511" spans="18:19">
      <c r="R39511" s="178"/>
      <c r="S39511" s="178"/>
    </row>
    <row r="39512" spans="18:19">
      <c r="R39512" s="178"/>
      <c r="S39512" s="178"/>
    </row>
    <row r="39513" spans="18:19">
      <c r="R39513" s="178"/>
      <c r="S39513" s="178"/>
    </row>
    <row r="39514" spans="18:19">
      <c r="R39514" s="178"/>
      <c r="S39514" s="178"/>
    </row>
    <row r="39515" spans="18:19">
      <c r="R39515" s="178"/>
      <c r="S39515" s="178"/>
    </row>
    <row r="39516" spans="18:19">
      <c r="R39516" s="178"/>
      <c r="S39516" s="178"/>
    </row>
    <row r="39517" spans="18:19">
      <c r="R39517" s="178"/>
      <c r="S39517" s="178"/>
    </row>
    <row r="39518" spans="18:19">
      <c r="R39518" s="178"/>
      <c r="S39518" s="178"/>
    </row>
    <row r="39519" spans="18:19">
      <c r="R39519" s="178"/>
      <c r="S39519" s="178"/>
    </row>
    <row r="39520" spans="18:19">
      <c r="R39520" s="178"/>
      <c r="S39520" s="178"/>
    </row>
    <row r="39521" spans="18:19">
      <c r="R39521" s="178"/>
      <c r="S39521" s="178"/>
    </row>
    <row r="39522" spans="18:19">
      <c r="R39522" s="178"/>
      <c r="S39522" s="178"/>
    </row>
    <row r="39523" spans="18:19">
      <c r="R39523" s="178"/>
      <c r="S39523" s="178"/>
    </row>
    <row r="39524" spans="18:19">
      <c r="R39524" s="178"/>
      <c r="S39524" s="178"/>
    </row>
    <row r="39525" spans="18:19">
      <c r="R39525" s="178"/>
      <c r="S39525" s="178"/>
    </row>
    <row r="39526" spans="18:19">
      <c r="R39526" s="178"/>
      <c r="S39526" s="178"/>
    </row>
    <row r="39527" spans="18:19">
      <c r="R39527" s="178"/>
      <c r="S39527" s="178"/>
    </row>
    <row r="39528" spans="18:19">
      <c r="R39528" s="178"/>
      <c r="S39528" s="178"/>
    </row>
    <row r="39529" spans="18:19">
      <c r="R39529" s="178"/>
      <c r="S39529" s="178"/>
    </row>
    <row r="39530" spans="18:19">
      <c r="R39530" s="178"/>
      <c r="S39530" s="178"/>
    </row>
    <row r="39531" spans="18:19">
      <c r="R39531" s="178"/>
      <c r="S39531" s="178"/>
    </row>
    <row r="39532" spans="18:19">
      <c r="R39532" s="178"/>
      <c r="S39532" s="178"/>
    </row>
    <row r="39533" spans="18:19">
      <c r="R39533" s="178"/>
      <c r="S39533" s="178"/>
    </row>
    <row r="39534" spans="18:19">
      <c r="R39534" s="178"/>
      <c r="S39534" s="178"/>
    </row>
    <row r="39535" spans="18:19">
      <c r="R39535" s="178"/>
      <c r="S39535" s="178"/>
    </row>
    <row r="39536" spans="18:19">
      <c r="R39536" s="178"/>
      <c r="S39536" s="178"/>
    </row>
    <row r="39537" spans="18:19">
      <c r="R39537" s="178"/>
      <c r="S39537" s="178"/>
    </row>
    <row r="39538" spans="18:19">
      <c r="R39538" s="178"/>
      <c r="S39538" s="178"/>
    </row>
    <row r="39539" spans="18:19">
      <c r="R39539" s="178"/>
      <c r="S39539" s="178"/>
    </row>
    <row r="39540" spans="18:19">
      <c r="R39540" s="178"/>
      <c r="S39540" s="178"/>
    </row>
    <row r="39541" spans="18:19">
      <c r="R39541" s="178"/>
      <c r="S39541" s="178"/>
    </row>
    <row r="39542" spans="18:19">
      <c r="R39542" s="178"/>
      <c r="S39542" s="178"/>
    </row>
    <row r="39543" spans="18:19">
      <c r="R39543" s="178"/>
      <c r="S39543" s="178"/>
    </row>
    <row r="39544" spans="18:19">
      <c r="R39544" s="178"/>
      <c r="S39544" s="178"/>
    </row>
    <row r="39545" spans="18:19">
      <c r="R39545" s="178"/>
      <c r="S39545" s="178"/>
    </row>
    <row r="39546" spans="18:19">
      <c r="R39546" s="178"/>
      <c r="S39546" s="178"/>
    </row>
    <row r="39547" spans="18:19">
      <c r="R39547" s="178"/>
      <c r="S39547" s="178"/>
    </row>
    <row r="39548" spans="18:19">
      <c r="R39548" s="178"/>
      <c r="S39548" s="178"/>
    </row>
    <row r="39549" spans="18:19">
      <c r="R39549" s="178"/>
      <c r="S39549" s="178"/>
    </row>
    <row r="39550" spans="18:19">
      <c r="R39550" s="178"/>
      <c r="S39550" s="178"/>
    </row>
    <row r="39551" spans="18:19">
      <c r="R39551" s="178"/>
      <c r="S39551" s="178"/>
    </row>
    <row r="39552" spans="18:19">
      <c r="R39552" s="178"/>
      <c r="S39552" s="178"/>
    </row>
    <row r="39553" spans="18:19">
      <c r="R39553" s="178"/>
      <c r="S39553" s="178"/>
    </row>
    <row r="39554" spans="18:19">
      <c r="R39554" s="178"/>
      <c r="S39554" s="178"/>
    </row>
    <row r="39555" spans="18:19">
      <c r="R39555" s="178"/>
      <c r="S39555" s="178"/>
    </row>
    <row r="39556" spans="18:19">
      <c r="R39556" s="178"/>
      <c r="S39556" s="178"/>
    </row>
    <row r="39557" spans="18:19">
      <c r="R39557" s="178"/>
      <c r="S39557" s="178"/>
    </row>
    <row r="39558" spans="18:19">
      <c r="R39558" s="178"/>
      <c r="S39558" s="178"/>
    </row>
    <row r="39559" spans="18:19">
      <c r="R39559" s="178"/>
      <c r="S39559" s="178"/>
    </row>
    <row r="39560" spans="18:19">
      <c r="R39560" s="178"/>
      <c r="S39560" s="178"/>
    </row>
    <row r="39561" spans="18:19">
      <c r="R39561" s="178"/>
      <c r="S39561" s="178"/>
    </row>
    <row r="39562" spans="18:19">
      <c r="R39562" s="178"/>
      <c r="S39562" s="178"/>
    </row>
    <row r="39563" spans="18:19">
      <c r="R39563" s="178"/>
      <c r="S39563" s="178"/>
    </row>
    <row r="39564" spans="18:19">
      <c r="R39564" s="178"/>
      <c r="S39564" s="178"/>
    </row>
    <row r="39565" spans="18:19">
      <c r="R39565" s="178"/>
      <c r="S39565" s="178"/>
    </row>
    <row r="39566" spans="18:19">
      <c r="R39566" s="178"/>
      <c r="S39566" s="178"/>
    </row>
    <row r="39567" spans="18:19">
      <c r="R39567" s="178"/>
      <c r="S39567" s="178"/>
    </row>
    <row r="39568" spans="18:19">
      <c r="R39568" s="178"/>
      <c r="S39568" s="178"/>
    </row>
    <row r="39569" spans="18:19">
      <c r="R39569" s="178"/>
      <c r="S39569" s="178"/>
    </row>
    <row r="39570" spans="18:19">
      <c r="R39570" s="178"/>
      <c r="S39570" s="178"/>
    </row>
    <row r="39571" spans="18:19">
      <c r="R39571" s="178"/>
      <c r="S39571" s="178"/>
    </row>
    <row r="39572" spans="18:19">
      <c r="R39572" s="178"/>
      <c r="S39572" s="178"/>
    </row>
    <row r="39573" spans="18:19">
      <c r="R39573" s="178"/>
      <c r="S39573" s="178"/>
    </row>
    <row r="39574" spans="18:19">
      <c r="R39574" s="178"/>
      <c r="S39574" s="178"/>
    </row>
    <row r="39575" spans="18:19">
      <c r="R39575" s="178"/>
      <c r="S39575" s="178"/>
    </row>
    <row r="39576" spans="18:19">
      <c r="R39576" s="178"/>
      <c r="S39576" s="178"/>
    </row>
    <row r="39577" spans="18:19">
      <c r="R39577" s="178"/>
      <c r="S39577" s="178"/>
    </row>
    <row r="39578" spans="18:19">
      <c r="R39578" s="178"/>
      <c r="S39578" s="178"/>
    </row>
    <row r="39579" spans="18:19">
      <c r="R39579" s="178"/>
      <c r="S39579" s="178"/>
    </row>
    <row r="39580" spans="18:19">
      <c r="R39580" s="178"/>
      <c r="S39580" s="178"/>
    </row>
    <row r="39581" spans="18:19">
      <c r="R39581" s="178"/>
      <c r="S39581" s="178"/>
    </row>
    <row r="39582" spans="18:19">
      <c r="R39582" s="178"/>
      <c r="S39582" s="178"/>
    </row>
    <row r="39583" spans="18:19">
      <c r="R39583" s="178"/>
      <c r="S39583" s="178"/>
    </row>
    <row r="39584" spans="18:19">
      <c r="R39584" s="178"/>
      <c r="S39584" s="178"/>
    </row>
    <row r="39585" spans="18:19">
      <c r="R39585" s="178"/>
      <c r="S39585" s="178"/>
    </row>
    <row r="39586" spans="18:19">
      <c r="R39586" s="178"/>
      <c r="S39586" s="178"/>
    </row>
    <row r="39587" spans="18:19">
      <c r="R39587" s="178"/>
      <c r="S39587" s="178"/>
    </row>
    <row r="39588" spans="18:19">
      <c r="R39588" s="178"/>
      <c r="S39588" s="178"/>
    </row>
    <row r="39589" spans="18:19">
      <c r="R39589" s="178"/>
      <c r="S39589" s="178"/>
    </row>
    <row r="39590" spans="18:19">
      <c r="R39590" s="178"/>
      <c r="S39590" s="178"/>
    </row>
    <row r="39591" spans="18:19">
      <c r="R39591" s="178"/>
      <c r="S39591" s="178"/>
    </row>
    <row r="39592" spans="18:19">
      <c r="R39592" s="178"/>
      <c r="S39592" s="178"/>
    </row>
    <row r="39593" spans="18:19">
      <c r="R39593" s="178"/>
      <c r="S39593" s="178"/>
    </row>
    <row r="39594" spans="18:19">
      <c r="R39594" s="178"/>
      <c r="S39594" s="178"/>
    </row>
    <row r="39595" spans="18:19">
      <c r="R39595" s="178"/>
      <c r="S39595" s="178"/>
    </row>
    <row r="39596" spans="18:19">
      <c r="R39596" s="178"/>
      <c r="S39596" s="178"/>
    </row>
    <row r="39597" spans="18:19">
      <c r="R39597" s="178"/>
      <c r="S39597" s="178"/>
    </row>
    <row r="39598" spans="18:19">
      <c r="R39598" s="178"/>
      <c r="S39598" s="178"/>
    </row>
    <row r="39599" spans="18:19">
      <c r="R39599" s="178"/>
      <c r="S39599" s="178"/>
    </row>
    <row r="39600" spans="18:19">
      <c r="R39600" s="178"/>
      <c r="S39600" s="178"/>
    </row>
    <row r="39601" spans="18:19">
      <c r="R39601" s="178"/>
      <c r="S39601" s="178"/>
    </row>
    <row r="39602" spans="18:19">
      <c r="R39602" s="178"/>
      <c r="S39602" s="178"/>
    </row>
    <row r="39603" spans="18:19">
      <c r="R39603" s="178"/>
      <c r="S39603" s="178"/>
    </row>
    <row r="39604" spans="18:19">
      <c r="R39604" s="178"/>
      <c r="S39604" s="178"/>
    </row>
    <row r="39605" spans="18:19">
      <c r="R39605" s="178"/>
      <c r="S39605" s="178"/>
    </row>
    <row r="39606" spans="18:19">
      <c r="R39606" s="178"/>
      <c r="S39606" s="178"/>
    </row>
    <row r="39607" spans="18:19">
      <c r="R39607" s="178"/>
      <c r="S39607" s="178"/>
    </row>
    <row r="39608" spans="18:19">
      <c r="R39608" s="178"/>
      <c r="S39608" s="178"/>
    </row>
    <row r="39609" spans="18:19">
      <c r="R39609" s="178"/>
      <c r="S39609" s="178"/>
    </row>
    <row r="39610" spans="18:19">
      <c r="R39610" s="178"/>
      <c r="S39610" s="178"/>
    </row>
    <row r="39611" spans="18:19">
      <c r="R39611" s="178"/>
      <c r="S39611" s="178"/>
    </row>
    <row r="39612" spans="18:19">
      <c r="R39612" s="178"/>
      <c r="S39612" s="178"/>
    </row>
    <row r="39613" spans="18:19">
      <c r="R39613" s="178"/>
      <c r="S39613" s="178"/>
    </row>
    <row r="39614" spans="18:19">
      <c r="R39614" s="178"/>
      <c r="S39614" s="178"/>
    </row>
    <row r="39615" spans="18:19">
      <c r="R39615" s="178"/>
      <c r="S39615" s="178"/>
    </row>
    <row r="39616" spans="18:19">
      <c r="R39616" s="178"/>
      <c r="S39616" s="178"/>
    </row>
    <row r="39617" spans="18:19">
      <c r="R39617" s="178"/>
      <c r="S39617" s="178"/>
    </row>
    <row r="39618" spans="18:19">
      <c r="R39618" s="178"/>
      <c r="S39618" s="178"/>
    </row>
    <row r="39619" spans="18:19">
      <c r="R39619" s="178"/>
      <c r="S39619" s="178"/>
    </row>
    <row r="39620" spans="18:19">
      <c r="R39620" s="178"/>
      <c r="S39620" s="178"/>
    </row>
    <row r="39621" spans="18:19">
      <c r="R39621" s="178"/>
      <c r="S39621" s="178"/>
    </row>
    <row r="39622" spans="18:19">
      <c r="R39622" s="178"/>
      <c r="S39622" s="178"/>
    </row>
    <row r="39623" spans="18:19">
      <c r="R39623" s="178"/>
      <c r="S39623" s="178"/>
    </row>
    <row r="39624" spans="18:19">
      <c r="R39624" s="178"/>
      <c r="S39624" s="178"/>
    </row>
    <row r="39625" spans="18:19">
      <c r="R39625" s="178"/>
      <c r="S39625" s="178"/>
    </row>
    <row r="39626" spans="18:19">
      <c r="R39626" s="178"/>
      <c r="S39626" s="178"/>
    </row>
    <row r="39627" spans="18:19">
      <c r="R39627" s="178"/>
      <c r="S39627" s="178"/>
    </row>
    <row r="39628" spans="18:19">
      <c r="R39628" s="178"/>
      <c r="S39628" s="178"/>
    </row>
    <row r="39629" spans="18:19">
      <c r="R39629" s="178"/>
      <c r="S39629" s="178"/>
    </row>
    <row r="39630" spans="18:19">
      <c r="R39630" s="178"/>
      <c r="S39630" s="178"/>
    </row>
    <row r="39631" spans="18:19">
      <c r="R39631" s="178"/>
      <c r="S39631" s="178"/>
    </row>
    <row r="39632" spans="18:19">
      <c r="R39632" s="178"/>
      <c r="S39632" s="178"/>
    </row>
    <row r="39633" spans="18:19">
      <c r="R39633" s="178"/>
      <c r="S39633" s="178"/>
    </row>
    <row r="39634" spans="18:19">
      <c r="R39634" s="178"/>
      <c r="S39634" s="178"/>
    </row>
    <row r="39635" spans="18:19">
      <c r="R39635" s="178"/>
      <c r="S39635" s="178"/>
    </row>
    <row r="39636" spans="18:19">
      <c r="R39636" s="178"/>
      <c r="S39636" s="178"/>
    </row>
    <row r="39637" spans="18:19">
      <c r="R39637" s="178"/>
      <c r="S39637" s="178"/>
    </row>
    <row r="39638" spans="18:19">
      <c r="R39638" s="178"/>
      <c r="S39638" s="178"/>
    </row>
    <row r="39639" spans="18:19">
      <c r="R39639" s="178"/>
      <c r="S39639" s="178"/>
    </row>
    <row r="39640" spans="18:19">
      <c r="R39640" s="178"/>
      <c r="S39640" s="178"/>
    </row>
    <row r="39641" spans="18:19">
      <c r="R39641" s="178"/>
      <c r="S39641" s="178"/>
    </row>
    <row r="39642" spans="18:19">
      <c r="R39642" s="178"/>
      <c r="S39642" s="178"/>
    </row>
    <row r="39643" spans="18:19">
      <c r="R39643" s="178"/>
      <c r="S39643" s="178"/>
    </row>
    <row r="39644" spans="18:19">
      <c r="R39644" s="178"/>
      <c r="S39644" s="178"/>
    </row>
    <row r="39645" spans="18:19">
      <c r="R39645" s="178"/>
      <c r="S39645" s="178"/>
    </row>
    <row r="39646" spans="18:19">
      <c r="R39646" s="178"/>
      <c r="S39646" s="178"/>
    </row>
    <row r="39647" spans="18:19">
      <c r="R39647" s="178"/>
      <c r="S39647" s="178"/>
    </row>
    <row r="39648" spans="18:19">
      <c r="R39648" s="178"/>
      <c r="S39648" s="178"/>
    </row>
    <row r="39649" spans="18:19">
      <c r="R39649" s="178"/>
      <c r="S39649" s="178"/>
    </row>
    <row r="39650" spans="18:19">
      <c r="R39650" s="178"/>
      <c r="S39650" s="178"/>
    </row>
    <row r="39651" spans="18:19">
      <c r="R39651" s="178"/>
      <c r="S39651" s="178"/>
    </row>
    <row r="39652" spans="18:19">
      <c r="R39652" s="178"/>
      <c r="S39652" s="178"/>
    </row>
    <row r="39653" spans="18:19">
      <c r="R39653" s="178"/>
      <c r="S39653" s="178"/>
    </row>
    <row r="39654" spans="18:19">
      <c r="R39654" s="178"/>
      <c r="S39654" s="178"/>
    </row>
    <row r="39655" spans="18:19">
      <c r="R39655" s="178"/>
      <c r="S39655" s="178"/>
    </row>
    <row r="39656" spans="18:19">
      <c r="R39656" s="178"/>
      <c r="S39656" s="178"/>
    </row>
    <row r="39657" spans="18:19">
      <c r="R39657" s="178"/>
      <c r="S39657" s="178"/>
    </row>
    <row r="39658" spans="18:19">
      <c r="R39658" s="178"/>
      <c r="S39658" s="178"/>
    </row>
    <row r="39659" spans="18:19">
      <c r="R39659" s="178"/>
      <c r="S39659" s="178"/>
    </row>
    <row r="39660" spans="18:19">
      <c r="R39660" s="178"/>
      <c r="S39660" s="178"/>
    </row>
    <row r="39661" spans="18:19">
      <c r="R39661" s="178"/>
      <c r="S39661" s="178"/>
    </row>
    <row r="39662" spans="18:19">
      <c r="R39662" s="178"/>
      <c r="S39662" s="178"/>
    </row>
    <row r="39663" spans="18:19">
      <c r="R39663" s="178"/>
      <c r="S39663" s="178"/>
    </row>
    <row r="39664" spans="18:19">
      <c r="R39664" s="178"/>
      <c r="S39664" s="178"/>
    </row>
    <row r="39665" spans="18:19">
      <c r="R39665" s="178"/>
      <c r="S39665" s="178"/>
    </row>
    <row r="39666" spans="18:19">
      <c r="R39666" s="178"/>
      <c r="S39666" s="178"/>
    </row>
    <row r="39667" spans="18:19">
      <c r="R39667" s="178"/>
      <c r="S39667" s="178"/>
    </row>
    <row r="39668" spans="18:19">
      <c r="R39668" s="178"/>
      <c r="S39668" s="178"/>
    </row>
    <row r="39669" spans="18:19">
      <c r="R39669" s="178"/>
      <c r="S39669" s="178"/>
    </row>
    <row r="39670" spans="18:19">
      <c r="R39670" s="178"/>
      <c r="S39670" s="178"/>
    </row>
    <row r="39671" spans="18:19">
      <c r="R39671" s="178"/>
      <c r="S39671" s="178"/>
    </row>
    <row r="39672" spans="18:19">
      <c r="R39672" s="178"/>
      <c r="S39672" s="178"/>
    </row>
    <row r="39673" spans="18:19">
      <c r="R39673" s="178"/>
      <c r="S39673" s="178"/>
    </row>
    <row r="39674" spans="18:19">
      <c r="R39674" s="178"/>
      <c r="S39674" s="178"/>
    </row>
    <row r="39675" spans="18:19">
      <c r="R39675" s="178"/>
      <c r="S39675" s="178"/>
    </row>
    <row r="39676" spans="18:19">
      <c r="R39676" s="178"/>
      <c r="S39676" s="178"/>
    </row>
    <row r="39677" spans="18:19">
      <c r="R39677" s="178"/>
      <c r="S39677" s="178"/>
    </row>
    <row r="39678" spans="18:19">
      <c r="R39678" s="178"/>
      <c r="S39678" s="178"/>
    </row>
    <row r="39679" spans="18:19">
      <c r="R39679" s="178"/>
      <c r="S39679" s="178"/>
    </row>
    <row r="39680" spans="18:19">
      <c r="R39680" s="178"/>
      <c r="S39680" s="178"/>
    </row>
    <row r="39681" spans="18:19">
      <c r="R39681" s="178"/>
      <c r="S39681" s="178"/>
    </row>
    <row r="39682" spans="18:19">
      <c r="R39682" s="178"/>
      <c r="S39682" s="178"/>
    </row>
    <row r="39683" spans="18:19">
      <c r="R39683" s="178"/>
      <c r="S39683" s="178"/>
    </row>
    <row r="39684" spans="18:19">
      <c r="R39684" s="178"/>
      <c r="S39684" s="178"/>
    </row>
    <row r="39685" spans="18:19">
      <c r="R39685" s="178"/>
      <c r="S39685" s="178"/>
    </row>
    <row r="39686" spans="18:19">
      <c r="R39686" s="178"/>
      <c r="S39686" s="178"/>
    </row>
    <row r="39687" spans="18:19">
      <c r="R39687" s="178"/>
      <c r="S39687" s="178"/>
    </row>
    <row r="39688" spans="18:19">
      <c r="R39688" s="178"/>
      <c r="S39688" s="178"/>
    </row>
    <row r="39689" spans="18:19">
      <c r="R39689" s="178"/>
      <c r="S39689" s="178"/>
    </row>
    <row r="39690" spans="18:19">
      <c r="R39690" s="178"/>
      <c r="S39690" s="178"/>
    </row>
    <row r="39691" spans="18:19">
      <c r="R39691" s="178"/>
      <c r="S39691" s="178"/>
    </row>
    <row r="39692" spans="18:19">
      <c r="R39692" s="178"/>
      <c r="S39692" s="178"/>
    </row>
    <row r="39693" spans="18:19">
      <c r="R39693" s="178"/>
      <c r="S39693" s="178"/>
    </row>
    <row r="39694" spans="18:19">
      <c r="R39694" s="178"/>
      <c r="S39694" s="178"/>
    </row>
    <row r="39695" spans="18:19">
      <c r="R39695" s="178"/>
      <c r="S39695" s="178"/>
    </row>
    <row r="39696" spans="18:19">
      <c r="R39696" s="178"/>
      <c r="S39696" s="178"/>
    </row>
    <row r="39697" spans="18:19">
      <c r="R39697" s="178"/>
      <c r="S39697" s="178"/>
    </row>
    <row r="39698" spans="18:19">
      <c r="R39698" s="178"/>
      <c r="S39698" s="178"/>
    </row>
    <row r="39699" spans="18:19">
      <c r="R39699" s="178"/>
      <c r="S39699" s="178"/>
    </row>
    <row r="39700" spans="18:19">
      <c r="R39700" s="178"/>
      <c r="S39700" s="178"/>
    </row>
    <row r="39701" spans="18:19">
      <c r="R39701" s="178"/>
      <c r="S39701" s="178"/>
    </row>
    <row r="39702" spans="18:19">
      <c r="R39702" s="178"/>
      <c r="S39702" s="178"/>
    </row>
    <row r="39703" spans="18:19">
      <c r="R39703" s="178"/>
      <c r="S39703" s="178"/>
    </row>
    <row r="39704" spans="18:19">
      <c r="R39704" s="178"/>
      <c r="S39704" s="178"/>
    </row>
    <row r="39705" spans="18:19">
      <c r="R39705" s="178"/>
      <c r="S39705" s="178"/>
    </row>
    <row r="39706" spans="18:19">
      <c r="R39706" s="178"/>
      <c r="S39706" s="178"/>
    </row>
    <row r="39707" spans="18:19">
      <c r="R39707" s="178"/>
      <c r="S39707" s="178"/>
    </row>
    <row r="39708" spans="18:19">
      <c r="R39708" s="178"/>
      <c r="S39708" s="178"/>
    </row>
    <row r="39709" spans="18:19">
      <c r="R39709" s="178"/>
      <c r="S39709" s="178"/>
    </row>
    <row r="39710" spans="18:19">
      <c r="R39710" s="178"/>
      <c r="S39710" s="178"/>
    </row>
    <row r="39711" spans="18:19">
      <c r="R39711" s="178"/>
      <c r="S39711" s="178"/>
    </row>
    <row r="39712" spans="18:19">
      <c r="R39712" s="178"/>
      <c r="S39712" s="178"/>
    </row>
    <row r="39713" spans="18:19">
      <c r="R39713" s="178"/>
      <c r="S39713" s="178"/>
    </row>
    <row r="39714" spans="18:19">
      <c r="R39714" s="178"/>
      <c r="S39714" s="178"/>
    </row>
    <row r="39715" spans="18:19">
      <c r="R39715" s="178"/>
      <c r="S39715" s="178"/>
    </row>
    <row r="39716" spans="18:19">
      <c r="R39716" s="178"/>
      <c r="S39716" s="178"/>
    </row>
    <row r="39717" spans="18:19">
      <c r="R39717" s="178"/>
      <c r="S39717" s="178"/>
    </row>
    <row r="39718" spans="18:19">
      <c r="R39718" s="178"/>
      <c r="S39718" s="178"/>
    </row>
    <row r="39719" spans="18:19">
      <c r="R39719" s="178"/>
      <c r="S39719" s="178"/>
    </row>
    <row r="39720" spans="18:19">
      <c r="R39720" s="178"/>
      <c r="S39720" s="178"/>
    </row>
    <row r="39721" spans="18:19">
      <c r="R39721" s="178"/>
      <c r="S39721" s="178"/>
    </row>
    <row r="39722" spans="18:19">
      <c r="R39722" s="178"/>
      <c r="S39722" s="178"/>
    </row>
    <row r="39723" spans="18:19">
      <c r="R39723" s="178"/>
      <c r="S39723" s="178"/>
    </row>
    <row r="39724" spans="18:19">
      <c r="R39724" s="178"/>
      <c r="S39724" s="178"/>
    </row>
    <row r="39725" spans="18:19">
      <c r="R39725" s="178"/>
      <c r="S39725" s="178"/>
    </row>
    <row r="39726" spans="18:19">
      <c r="R39726" s="178"/>
      <c r="S39726" s="178"/>
    </row>
    <row r="39727" spans="18:19">
      <c r="R39727" s="178"/>
      <c r="S39727" s="178"/>
    </row>
    <row r="39728" spans="18:19">
      <c r="R39728" s="178"/>
      <c r="S39728" s="178"/>
    </row>
    <row r="39729" spans="18:19">
      <c r="R39729" s="178"/>
      <c r="S39729" s="178"/>
    </row>
    <row r="39730" spans="18:19">
      <c r="R39730" s="178"/>
      <c r="S39730" s="178"/>
    </row>
    <row r="39731" spans="18:19">
      <c r="R39731" s="178"/>
      <c r="S39731" s="178"/>
    </row>
    <row r="39732" spans="18:19">
      <c r="R39732" s="178"/>
      <c r="S39732" s="178"/>
    </row>
    <row r="39733" spans="18:19">
      <c r="R39733" s="178"/>
      <c r="S39733" s="178"/>
    </row>
    <row r="39734" spans="18:19">
      <c r="R39734" s="178"/>
      <c r="S39734" s="178"/>
    </row>
    <row r="39735" spans="18:19">
      <c r="R39735" s="178"/>
      <c r="S39735" s="178"/>
    </row>
    <row r="39736" spans="18:19">
      <c r="R39736" s="178"/>
      <c r="S39736" s="178"/>
    </row>
    <row r="39737" spans="18:19">
      <c r="R39737" s="178"/>
      <c r="S39737" s="178"/>
    </row>
    <row r="39738" spans="18:19">
      <c r="R39738" s="178"/>
      <c r="S39738" s="178"/>
    </row>
    <row r="39739" spans="18:19">
      <c r="R39739" s="178"/>
      <c r="S39739" s="178"/>
    </row>
    <row r="39740" spans="18:19">
      <c r="R39740" s="178"/>
      <c r="S39740" s="178"/>
    </row>
    <row r="39741" spans="18:19">
      <c r="R39741" s="178"/>
      <c r="S39741" s="178"/>
    </row>
    <row r="39742" spans="18:19">
      <c r="R39742" s="178"/>
      <c r="S39742" s="178"/>
    </row>
    <row r="39743" spans="18:19">
      <c r="R39743" s="178"/>
      <c r="S39743" s="178"/>
    </row>
    <row r="39744" spans="18:19">
      <c r="R39744" s="178"/>
      <c r="S39744" s="178"/>
    </row>
    <row r="39745" spans="18:19">
      <c r="R39745" s="178"/>
      <c r="S39745" s="178"/>
    </row>
    <row r="39746" spans="18:19">
      <c r="R39746" s="178"/>
      <c r="S39746" s="178"/>
    </row>
    <row r="39747" spans="18:19">
      <c r="R39747" s="178"/>
      <c r="S39747" s="178"/>
    </row>
    <row r="39748" spans="18:19">
      <c r="R39748" s="178"/>
      <c r="S39748" s="178"/>
    </row>
    <row r="39749" spans="18:19">
      <c r="R39749" s="178"/>
      <c r="S39749" s="178"/>
    </row>
    <row r="39750" spans="18:19">
      <c r="R39750" s="178"/>
      <c r="S39750" s="178"/>
    </row>
    <row r="39751" spans="18:19">
      <c r="R39751" s="178"/>
      <c r="S39751" s="178"/>
    </row>
    <row r="39752" spans="18:19">
      <c r="R39752" s="178"/>
      <c r="S39752" s="178"/>
    </row>
    <row r="39753" spans="18:19">
      <c r="R39753" s="178"/>
      <c r="S39753" s="178"/>
    </row>
    <row r="39754" spans="18:19">
      <c r="R39754" s="178"/>
      <c r="S39754" s="178"/>
    </row>
    <row r="39755" spans="18:19">
      <c r="R39755" s="178"/>
      <c r="S39755" s="178"/>
    </row>
    <row r="39756" spans="18:19">
      <c r="R39756" s="178"/>
      <c r="S39756" s="178"/>
    </row>
    <row r="39757" spans="18:19">
      <c r="R39757" s="178"/>
      <c r="S39757" s="178"/>
    </row>
    <row r="39758" spans="18:19">
      <c r="R39758" s="178"/>
      <c r="S39758" s="178"/>
    </row>
    <row r="39759" spans="18:19">
      <c r="R39759" s="178"/>
      <c r="S39759" s="178"/>
    </row>
    <row r="39760" spans="18:19">
      <c r="R39760" s="178"/>
      <c r="S39760" s="178"/>
    </row>
    <row r="39761" spans="18:19">
      <c r="R39761" s="178"/>
      <c r="S39761" s="178"/>
    </row>
    <row r="39762" spans="18:19">
      <c r="R39762" s="178"/>
      <c r="S39762" s="178"/>
    </row>
    <row r="39763" spans="18:19">
      <c r="R39763" s="178"/>
      <c r="S39763" s="178"/>
    </row>
    <row r="39764" spans="18:19">
      <c r="R39764" s="178"/>
      <c r="S39764" s="178"/>
    </row>
    <row r="39765" spans="18:19">
      <c r="R39765" s="178"/>
      <c r="S39765" s="178"/>
    </row>
    <row r="39766" spans="18:19">
      <c r="R39766" s="178"/>
      <c r="S39766" s="178"/>
    </row>
    <row r="39767" spans="18:19">
      <c r="R39767" s="178"/>
      <c r="S39767" s="178"/>
    </row>
    <row r="39768" spans="18:19">
      <c r="R39768" s="178"/>
      <c r="S39768" s="178"/>
    </row>
    <row r="39769" spans="18:19">
      <c r="R39769" s="178"/>
      <c r="S39769" s="178"/>
    </row>
    <row r="39770" spans="18:19">
      <c r="R39770" s="178"/>
      <c r="S39770" s="178"/>
    </row>
    <row r="39771" spans="18:19">
      <c r="R39771" s="178"/>
      <c r="S39771" s="178"/>
    </row>
    <row r="39772" spans="18:19">
      <c r="R39772" s="178"/>
      <c r="S39772" s="178"/>
    </row>
    <row r="39773" spans="18:19">
      <c r="R39773" s="178"/>
      <c r="S39773" s="178"/>
    </row>
    <row r="39774" spans="18:19">
      <c r="R39774" s="178"/>
      <c r="S39774" s="178"/>
    </row>
    <row r="39775" spans="18:19">
      <c r="R39775" s="178"/>
      <c r="S39775" s="178"/>
    </row>
    <row r="39776" spans="18:19">
      <c r="R39776" s="178"/>
      <c r="S39776" s="178"/>
    </row>
    <row r="39777" spans="18:19">
      <c r="R39777" s="178"/>
      <c r="S39777" s="178"/>
    </row>
    <row r="39778" spans="18:19">
      <c r="R39778" s="178"/>
      <c r="S39778" s="178"/>
    </row>
    <row r="39779" spans="18:19">
      <c r="R39779" s="178"/>
      <c r="S39779" s="178"/>
    </row>
    <row r="39780" spans="18:19">
      <c r="R39780" s="178"/>
      <c r="S39780" s="178"/>
    </row>
    <row r="39781" spans="18:19">
      <c r="R39781" s="178"/>
      <c r="S39781" s="178"/>
    </row>
    <row r="39782" spans="18:19">
      <c r="R39782" s="178"/>
      <c r="S39782" s="178"/>
    </row>
    <row r="39783" spans="18:19">
      <c r="R39783" s="178"/>
      <c r="S39783" s="178"/>
    </row>
    <row r="39784" spans="18:19">
      <c r="R39784" s="178"/>
      <c r="S39784" s="178"/>
    </row>
    <row r="39785" spans="18:19">
      <c r="R39785" s="178"/>
      <c r="S39785" s="178"/>
    </row>
    <row r="39786" spans="18:19">
      <c r="R39786" s="178"/>
      <c r="S39786" s="178"/>
    </row>
    <row r="39787" spans="18:19">
      <c r="R39787" s="178"/>
      <c r="S39787" s="178"/>
    </row>
    <row r="39788" spans="18:19">
      <c r="R39788" s="178"/>
      <c r="S39788" s="178"/>
    </row>
    <row r="39789" spans="18:19">
      <c r="R39789" s="178"/>
      <c r="S39789" s="178"/>
    </row>
    <row r="39790" spans="18:19">
      <c r="R39790" s="178"/>
      <c r="S39790" s="178"/>
    </row>
    <row r="39791" spans="18:19">
      <c r="R39791" s="178"/>
      <c r="S39791" s="178"/>
    </row>
    <row r="39792" spans="18:19">
      <c r="R39792" s="178"/>
      <c r="S39792" s="178"/>
    </row>
    <row r="39793" spans="18:19">
      <c r="R39793" s="178"/>
      <c r="S39793" s="178"/>
    </row>
    <row r="39794" spans="18:19">
      <c r="R39794" s="178"/>
      <c r="S39794" s="178"/>
    </row>
    <row r="39795" spans="18:19">
      <c r="R39795" s="178"/>
      <c r="S39795" s="178"/>
    </row>
    <row r="39796" spans="18:19">
      <c r="R39796" s="178"/>
      <c r="S39796" s="178"/>
    </row>
    <row r="39797" spans="18:19">
      <c r="R39797" s="178"/>
      <c r="S39797" s="178"/>
    </row>
    <row r="39798" spans="18:19">
      <c r="R39798" s="178"/>
      <c r="S39798" s="178"/>
    </row>
    <row r="39799" spans="18:19">
      <c r="R39799" s="178"/>
      <c r="S39799" s="178"/>
    </row>
    <row r="39800" spans="18:19">
      <c r="R39800" s="178"/>
      <c r="S39800" s="178"/>
    </row>
    <row r="39801" spans="18:19">
      <c r="R39801" s="178"/>
      <c r="S39801" s="178"/>
    </row>
    <row r="39802" spans="18:19">
      <c r="R39802" s="178"/>
      <c r="S39802" s="178"/>
    </row>
    <row r="39803" spans="18:19">
      <c r="R39803" s="178"/>
      <c r="S39803" s="178"/>
    </row>
    <row r="39804" spans="18:19">
      <c r="R39804" s="178"/>
      <c r="S39804" s="178"/>
    </row>
    <row r="39805" spans="18:19">
      <c r="R39805" s="178"/>
      <c r="S39805" s="178"/>
    </row>
    <row r="39806" spans="18:19">
      <c r="R39806" s="178"/>
      <c r="S39806" s="178"/>
    </row>
    <row r="39807" spans="18:19">
      <c r="R39807" s="178"/>
      <c r="S39807" s="178"/>
    </row>
    <row r="39808" spans="18:19">
      <c r="R39808" s="178"/>
      <c r="S39808" s="178"/>
    </row>
    <row r="39809" spans="18:19">
      <c r="R39809" s="178"/>
      <c r="S39809" s="178"/>
    </row>
    <row r="39810" spans="18:19">
      <c r="R39810" s="178"/>
      <c r="S39810" s="178"/>
    </row>
    <row r="39811" spans="18:19">
      <c r="R39811" s="178"/>
      <c r="S39811" s="178"/>
    </row>
    <row r="39812" spans="18:19">
      <c r="R39812" s="178"/>
      <c r="S39812" s="178"/>
    </row>
    <row r="39813" spans="18:19">
      <c r="R39813" s="178"/>
      <c r="S39813" s="178"/>
    </row>
    <row r="39814" spans="18:19">
      <c r="R39814" s="178"/>
      <c r="S39814" s="178"/>
    </row>
    <row r="39815" spans="18:19">
      <c r="R39815" s="178"/>
      <c r="S39815" s="178"/>
    </row>
    <row r="39816" spans="18:19">
      <c r="R39816" s="178"/>
      <c r="S39816" s="178"/>
    </row>
    <row r="39817" spans="18:19">
      <c r="R39817" s="178"/>
      <c r="S39817" s="178"/>
    </row>
    <row r="39818" spans="18:19">
      <c r="R39818" s="178"/>
      <c r="S39818" s="178"/>
    </row>
    <row r="39819" spans="18:19">
      <c r="R39819" s="178"/>
      <c r="S39819" s="178"/>
    </row>
    <row r="39820" spans="18:19">
      <c r="R39820" s="178"/>
      <c r="S39820" s="178"/>
    </row>
    <row r="39821" spans="18:19">
      <c r="R39821" s="178"/>
      <c r="S39821" s="178"/>
    </row>
    <row r="39822" spans="18:19">
      <c r="R39822" s="178"/>
      <c r="S39822" s="178"/>
    </row>
    <row r="39823" spans="18:19">
      <c r="R39823" s="178"/>
      <c r="S39823" s="178"/>
    </row>
    <row r="39824" spans="18:19">
      <c r="R39824" s="178"/>
      <c r="S39824" s="178"/>
    </row>
    <row r="39825" spans="18:19">
      <c r="R39825" s="178"/>
      <c r="S39825" s="178"/>
    </row>
    <row r="39826" spans="18:19">
      <c r="R39826" s="178"/>
      <c r="S39826" s="178"/>
    </row>
    <row r="39827" spans="18:19">
      <c r="R39827" s="178"/>
      <c r="S39827" s="178"/>
    </row>
    <row r="39828" spans="18:19">
      <c r="R39828" s="178"/>
      <c r="S39828" s="178"/>
    </row>
    <row r="39829" spans="18:19">
      <c r="R39829" s="178"/>
      <c r="S39829" s="178"/>
    </row>
    <row r="39830" spans="18:19">
      <c r="R39830" s="178"/>
      <c r="S39830" s="178"/>
    </row>
    <row r="39831" spans="18:19">
      <c r="R39831" s="178"/>
      <c r="S39831" s="178"/>
    </row>
    <row r="39832" spans="18:19">
      <c r="R39832" s="178"/>
      <c r="S39832" s="178"/>
    </row>
    <row r="39833" spans="18:19">
      <c r="R39833" s="178"/>
      <c r="S39833" s="178"/>
    </row>
    <row r="39834" spans="18:19">
      <c r="R39834" s="178"/>
      <c r="S39834" s="178"/>
    </row>
    <row r="39835" spans="18:19">
      <c r="R39835" s="178"/>
      <c r="S39835" s="178"/>
    </row>
    <row r="39836" spans="18:19">
      <c r="R39836" s="178"/>
      <c r="S39836" s="178"/>
    </row>
    <row r="39837" spans="18:19">
      <c r="R39837" s="178"/>
      <c r="S39837" s="178"/>
    </row>
    <row r="39838" spans="18:19">
      <c r="R39838" s="178"/>
      <c r="S39838" s="178"/>
    </row>
    <row r="39839" spans="18:19">
      <c r="R39839" s="178"/>
      <c r="S39839" s="178"/>
    </row>
    <row r="39840" spans="18:19">
      <c r="R39840" s="178"/>
      <c r="S39840" s="178"/>
    </row>
    <row r="39841" spans="18:19">
      <c r="R39841" s="178"/>
      <c r="S39841" s="178"/>
    </row>
    <row r="39842" spans="18:19">
      <c r="R39842" s="178"/>
      <c r="S39842" s="178"/>
    </row>
    <row r="39843" spans="18:19">
      <c r="R39843" s="178"/>
      <c r="S39843" s="178"/>
    </row>
    <row r="39844" spans="18:19">
      <c r="R39844" s="178"/>
      <c r="S39844" s="178"/>
    </row>
    <row r="39845" spans="18:19">
      <c r="R39845" s="178"/>
      <c r="S39845" s="178"/>
    </row>
    <row r="39846" spans="18:19">
      <c r="R39846" s="178"/>
      <c r="S39846" s="178"/>
    </row>
    <row r="39847" spans="18:19">
      <c r="R39847" s="178"/>
      <c r="S39847" s="178"/>
    </row>
    <row r="39848" spans="18:19">
      <c r="R39848" s="178"/>
      <c r="S39848" s="178"/>
    </row>
    <row r="39849" spans="18:19">
      <c r="R39849" s="178"/>
      <c r="S39849" s="178"/>
    </row>
    <row r="39850" spans="18:19">
      <c r="R39850" s="178"/>
      <c r="S39850" s="178"/>
    </row>
    <row r="39851" spans="18:19">
      <c r="R39851" s="178"/>
      <c r="S39851" s="178"/>
    </row>
    <row r="39852" spans="18:19">
      <c r="R39852" s="178"/>
      <c r="S39852" s="178"/>
    </row>
    <row r="39853" spans="18:19">
      <c r="R39853" s="178"/>
      <c r="S39853" s="178"/>
    </row>
    <row r="39854" spans="18:19">
      <c r="R39854" s="178"/>
      <c r="S39854" s="178"/>
    </row>
    <row r="39855" spans="18:19">
      <c r="R39855" s="178"/>
      <c r="S39855" s="178"/>
    </row>
    <row r="39856" spans="18:19">
      <c r="R39856" s="178"/>
      <c r="S39856" s="178"/>
    </row>
    <row r="39857" spans="18:19">
      <c r="R39857" s="178"/>
      <c r="S39857" s="178"/>
    </row>
    <row r="39858" spans="18:19">
      <c r="R39858" s="178"/>
      <c r="S39858" s="178"/>
    </row>
    <row r="39859" spans="18:19">
      <c r="R39859" s="178"/>
      <c r="S39859" s="178"/>
    </row>
    <row r="39860" spans="18:19">
      <c r="R39860" s="178"/>
      <c r="S39860" s="178"/>
    </row>
    <row r="39861" spans="18:19">
      <c r="R39861" s="178"/>
      <c r="S39861" s="178"/>
    </row>
    <row r="39862" spans="18:19">
      <c r="R39862" s="178"/>
      <c r="S39862" s="178"/>
    </row>
    <row r="39863" spans="18:19">
      <c r="R39863" s="178"/>
      <c r="S39863" s="178"/>
    </row>
    <row r="39864" spans="18:19">
      <c r="R39864" s="178"/>
      <c r="S39864" s="178"/>
    </row>
    <row r="39865" spans="18:19">
      <c r="R39865" s="178"/>
      <c r="S39865" s="178"/>
    </row>
    <row r="39866" spans="18:19">
      <c r="R39866" s="178"/>
      <c r="S39866" s="178"/>
    </row>
    <row r="39867" spans="18:19">
      <c r="R39867" s="178"/>
      <c r="S39867" s="178"/>
    </row>
    <row r="39868" spans="18:19">
      <c r="R39868" s="178"/>
      <c r="S39868" s="178"/>
    </row>
    <row r="39869" spans="18:19">
      <c r="R39869" s="178"/>
      <c r="S39869" s="178"/>
    </row>
    <row r="39870" spans="18:19">
      <c r="R39870" s="178"/>
      <c r="S39870" s="178"/>
    </row>
    <row r="39871" spans="18:19">
      <c r="R39871" s="178"/>
      <c r="S39871" s="178"/>
    </row>
    <row r="39872" spans="18:19">
      <c r="R39872" s="178"/>
      <c r="S39872" s="178"/>
    </row>
    <row r="39873" spans="18:19">
      <c r="R39873" s="178"/>
      <c r="S39873" s="178"/>
    </row>
    <row r="39874" spans="18:19">
      <c r="R39874" s="178"/>
      <c r="S39874" s="178"/>
    </row>
    <row r="39875" spans="18:19">
      <c r="R39875" s="178"/>
      <c r="S39875" s="178"/>
    </row>
    <row r="39876" spans="18:19">
      <c r="R39876" s="178"/>
      <c r="S39876" s="178"/>
    </row>
    <row r="39877" spans="18:19">
      <c r="R39877" s="178"/>
      <c r="S39877" s="178"/>
    </row>
    <row r="39878" spans="18:19">
      <c r="R39878" s="178"/>
      <c r="S39878" s="178"/>
    </row>
    <row r="39879" spans="18:19">
      <c r="R39879" s="178"/>
      <c r="S39879" s="178"/>
    </row>
    <row r="39880" spans="18:19">
      <c r="R39880" s="178"/>
      <c r="S39880" s="178"/>
    </row>
    <row r="39881" spans="18:19">
      <c r="R39881" s="178"/>
      <c r="S39881" s="178"/>
    </row>
    <row r="39882" spans="18:19">
      <c r="R39882" s="178"/>
      <c r="S39882" s="178"/>
    </row>
    <row r="39883" spans="18:19">
      <c r="R39883" s="178"/>
      <c r="S39883" s="178"/>
    </row>
    <row r="39884" spans="18:19">
      <c r="R39884" s="178"/>
      <c r="S39884" s="178"/>
    </row>
    <row r="39885" spans="18:19">
      <c r="R39885" s="178"/>
      <c r="S39885" s="178"/>
    </row>
    <row r="39886" spans="18:19">
      <c r="R39886" s="178"/>
      <c r="S39886" s="178"/>
    </row>
    <row r="39887" spans="18:19">
      <c r="R39887" s="178"/>
      <c r="S39887" s="178"/>
    </row>
    <row r="39888" spans="18:19">
      <c r="R39888" s="178"/>
      <c r="S39888" s="178"/>
    </row>
    <row r="39889" spans="18:19">
      <c r="R39889" s="178"/>
      <c r="S39889" s="178"/>
    </row>
    <row r="39890" spans="18:19">
      <c r="R39890" s="178"/>
      <c r="S39890" s="178"/>
    </row>
    <row r="39891" spans="18:19">
      <c r="R39891" s="178"/>
      <c r="S39891" s="178"/>
    </row>
    <row r="39892" spans="18:19">
      <c r="R39892" s="178"/>
      <c r="S39892" s="178"/>
    </row>
    <row r="39893" spans="18:19">
      <c r="R39893" s="178"/>
      <c r="S39893" s="178"/>
    </row>
    <row r="39894" spans="18:19">
      <c r="R39894" s="178"/>
      <c r="S39894" s="178"/>
    </row>
    <row r="39895" spans="18:19">
      <c r="R39895" s="178"/>
      <c r="S39895" s="178"/>
    </row>
    <row r="39896" spans="18:19">
      <c r="R39896" s="178"/>
      <c r="S39896" s="178"/>
    </row>
    <row r="39897" spans="18:19">
      <c r="R39897" s="178"/>
      <c r="S39897" s="178"/>
    </row>
    <row r="39898" spans="18:19">
      <c r="R39898" s="178"/>
      <c r="S39898" s="178"/>
    </row>
    <row r="39899" spans="18:19">
      <c r="R39899" s="178"/>
      <c r="S39899" s="178"/>
    </row>
    <row r="39900" spans="18:19">
      <c r="R39900" s="178"/>
      <c r="S39900" s="178"/>
    </row>
    <row r="39901" spans="18:19">
      <c r="R39901" s="178"/>
      <c r="S39901" s="178"/>
    </row>
    <row r="39902" spans="18:19">
      <c r="R39902" s="178"/>
      <c r="S39902" s="178"/>
    </row>
    <row r="39903" spans="18:19">
      <c r="R39903" s="178"/>
      <c r="S39903" s="178"/>
    </row>
    <row r="39904" spans="18:19">
      <c r="R39904" s="178"/>
      <c r="S39904" s="178"/>
    </row>
    <row r="39905" spans="18:19">
      <c r="R39905" s="178"/>
      <c r="S39905" s="178"/>
    </row>
    <row r="39906" spans="18:19">
      <c r="R39906" s="178"/>
      <c r="S39906" s="178"/>
    </row>
    <row r="39907" spans="18:19">
      <c r="R39907" s="178"/>
      <c r="S39907" s="178"/>
    </row>
    <row r="39908" spans="18:19">
      <c r="R39908" s="178"/>
      <c r="S39908" s="178"/>
    </row>
    <row r="39909" spans="18:19">
      <c r="R39909" s="178"/>
      <c r="S39909" s="178"/>
    </row>
    <row r="39910" spans="18:19">
      <c r="R39910" s="178"/>
      <c r="S39910" s="178"/>
    </row>
    <row r="39911" spans="18:19">
      <c r="R39911" s="178"/>
      <c r="S39911" s="178"/>
    </row>
    <row r="39912" spans="18:19">
      <c r="R39912" s="178"/>
      <c r="S39912" s="178"/>
    </row>
    <row r="39913" spans="18:19">
      <c r="R39913" s="178"/>
      <c r="S39913" s="178"/>
    </row>
    <row r="39914" spans="18:19">
      <c r="R39914" s="178"/>
      <c r="S39914" s="178"/>
    </row>
    <row r="39915" spans="18:19">
      <c r="R39915" s="178"/>
      <c r="S39915" s="178"/>
    </row>
    <row r="39916" spans="18:19">
      <c r="R39916" s="178"/>
      <c r="S39916" s="178"/>
    </row>
    <row r="39917" spans="18:19">
      <c r="R39917" s="178"/>
      <c r="S39917" s="178"/>
    </row>
    <row r="39918" spans="18:19">
      <c r="R39918" s="178"/>
      <c r="S39918" s="178"/>
    </row>
    <row r="39919" spans="18:19">
      <c r="R39919" s="178"/>
      <c r="S39919" s="178"/>
    </row>
    <row r="39920" spans="18:19">
      <c r="R39920" s="178"/>
      <c r="S39920" s="178"/>
    </row>
    <row r="39921" spans="18:19">
      <c r="R39921" s="178"/>
      <c r="S39921" s="178"/>
    </row>
    <row r="39922" spans="18:19">
      <c r="R39922" s="178"/>
      <c r="S39922" s="178"/>
    </row>
    <row r="39923" spans="18:19">
      <c r="R39923" s="178"/>
      <c r="S39923" s="178"/>
    </row>
    <row r="39924" spans="18:19">
      <c r="R39924" s="178"/>
      <c r="S39924" s="178"/>
    </row>
    <row r="39925" spans="18:19">
      <c r="R39925" s="178"/>
      <c r="S39925" s="178"/>
    </row>
    <row r="39926" spans="18:19">
      <c r="R39926" s="178"/>
      <c r="S39926" s="178"/>
    </row>
    <row r="39927" spans="18:19">
      <c r="R39927" s="178"/>
      <c r="S39927" s="178"/>
    </row>
    <row r="39928" spans="18:19">
      <c r="R39928" s="178"/>
      <c r="S39928" s="178"/>
    </row>
    <row r="39929" spans="18:19">
      <c r="R39929" s="178"/>
      <c r="S39929" s="178"/>
    </row>
    <row r="39930" spans="18:19">
      <c r="R39930" s="178"/>
      <c r="S39930" s="178"/>
    </row>
    <row r="39931" spans="18:19">
      <c r="R39931" s="178"/>
      <c r="S39931" s="178"/>
    </row>
    <row r="39932" spans="18:19">
      <c r="R39932" s="178"/>
      <c r="S39932" s="178"/>
    </row>
    <row r="39933" spans="18:19">
      <c r="R39933" s="178"/>
      <c r="S39933" s="178"/>
    </row>
    <row r="39934" spans="18:19">
      <c r="R39934" s="178"/>
      <c r="S39934" s="178"/>
    </row>
    <row r="39935" spans="18:19">
      <c r="R39935" s="178"/>
      <c r="S39935" s="178"/>
    </row>
    <row r="39936" spans="18:19">
      <c r="R39936" s="178"/>
      <c r="S39936" s="178"/>
    </row>
    <row r="39937" spans="18:19">
      <c r="R39937" s="178"/>
      <c r="S39937" s="178"/>
    </row>
    <row r="39938" spans="18:19">
      <c r="R39938" s="178"/>
      <c r="S39938" s="178"/>
    </row>
    <row r="39939" spans="18:19">
      <c r="R39939" s="178"/>
      <c r="S39939" s="178"/>
    </row>
    <row r="39940" spans="18:19">
      <c r="R39940" s="178"/>
      <c r="S39940" s="178"/>
    </row>
    <row r="39941" spans="18:19">
      <c r="R39941" s="178"/>
      <c r="S39941" s="178"/>
    </row>
    <row r="39942" spans="18:19">
      <c r="R39942" s="178"/>
      <c r="S39942" s="178"/>
    </row>
    <row r="39943" spans="18:19">
      <c r="R39943" s="178"/>
      <c r="S39943" s="178"/>
    </row>
    <row r="39944" spans="18:19">
      <c r="R39944" s="178"/>
      <c r="S39944" s="178"/>
    </row>
    <row r="39945" spans="18:19">
      <c r="R39945" s="178"/>
      <c r="S39945" s="178"/>
    </row>
    <row r="39946" spans="18:19">
      <c r="R39946" s="178"/>
      <c r="S39946" s="178"/>
    </row>
    <row r="39947" spans="18:19">
      <c r="R39947" s="178"/>
      <c r="S39947" s="178"/>
    </row>
    <row r="39948" spans="18:19">
      <c r="R39948" s="178"/>
      <c r="S39948" s="178"/>
    </row>
    <row r="39949" spans="18:19">
      <c r="R39949" s="178"/>
      <c r="S39949" s="178"/>
    </row>
    <row r="39950" spans="18:19">
      <c r="R39950" s="178"/>
      <c r="S39950" s="178"/>
    </row>
    <row r="39951" spans="18:19">
      <c r="R39951" s="178"/>
      <c r="S39951" s="178"/>
    </row>
    <row r="39952" spans="18:19">
      <c r="R39952" s="178"/>
      <c r="S39952" s="178"/>
    </row>
    <row r="39953" spans="18:19">
      <c r="R39953" s="178"/>
      <c r="S39953" s="178"/>
    </row>
    <row r="39954" spans="18:19">
      <c r="R39954" s="178"/>
      <c r="S39954" s="178"/>
    </row>
    <row r="39955" spans="18:19">
      <c r="R39955" s="178"/>
      <c r="S39955" s="178"/>
    </row>
    <row r="39956" spans="18:19">
      <c r="R39956" s="178"/>
      <c r="S39956" s="178"/>
    </row>
    <row r="39957" spans="18:19">
      <c r="R39957" s="178"/>
      <c r="S39957" s="178"/>
    </row>
    <row r="39958" spans="18:19">
      <c r="R39958" s="178"/>
      <c r="S39958" s="178"/>
    </row>
    <row r="39959" spans="18:19">
      <c r="R39959" s="178"/>
      <c r="S39959" s="178"/>
    </row>
    <row r="39960" spans="18:19">
      <c r="R39960" s="178"/>
      <c r="S39960" s="178"/>
    </row>
    <row r="39961" spans="18:19">
      <c r="R39961" s="178"/>
      <c r="S39961" s="178"/>
    </row>
    <row r="39962" spans="18:19">
      <c r="R39962" s="178"/>
      <c r="S39962" s="178"/>
    </row>
    <row r="39963" spans="18:19">
      <c r="R39963" s="178"/>
      <c r="S39963" s="178"/>
    </row>
    <row r="39964" spans="18:19">
      <c r="R39964" s="178"/>
      <c r="S39964" s="178"/>
    </row>
    <row r="39965" spans="18:19">
      <c r="R39965" s="178"/>
      <c r="S39965" s="178"/>
    </row>
    <row r="39966" spans="18:19">
      <c r="R39966" s="178"/>
      <c r="S39966" s="178"/>
    </row>
    <row r="39967" spans="18:19">
      <c r="R39967" s="178"/>
      <c r="S39967" s="178"/>
    </row>
    <row r="39968" spans="18:19">
      <c r="R39968" s="178"/>
      <c r="S39968" s="178"/>
    </row>
    <row r="39969" spans="18:19">
      <c r="R39969" s="178"/>
      <c r="S39969" s="178"/>
    </row>
    <row r="39970" spans="18:19">
      <c r="R39970" s="178"/>
      <c r="S39970" s="178"/>
    </row>
    <row r="39971" spans="18:19">
      <c r="R39971" s="178"/>
      <c r="S39971" s="178"/>
    </row>
    <row r="39972" spans="18:19">
      <c r="R39972" s="178"/>
      <c r="S39972" s="178"/>
    </row>
    <row r="39973" spans="18:19">
      <c r="R39973" s="178"/>
      <c r="S39973" s="178"/>
    </row>
    <row r="39974" spans="18:19">
      <c r="R39974" s="178"/>
      <c r="S39974" s="178"/>
    </row>
    <row r="39975" spans="18:19">
      <c r="R39975" s="178"/>
      <c r="S39975" s="178"/>
    </row>
    <row r="39976" spans="18:19">
      <c r="R39976" s="178"/>
      <c r="S39976" s="178"/>
    </row>
    <row r="39977" spans="18:19">
      <c r="R39977" s="178"/>
      <c r="S39977" s="178"/>
    </row>
    <row r="39978" spans="18:19">
      <c r="R39978" s="178"/>
      <c r="S39978" s="178"/>
    </row>
    <row r="39979" spans="18:19">
      <c r="R39979" s="178"/>
      <c r="S39979" s="178"/>
    </row>
    <row r="39980" spans="18:19">
      <c r="R39980" s="178"/>
      <c r="S39980" s="178"/>
    </row>
    <row r="39981" spans="18:19">
      <c r="R39981" s="178"/>
      <c r="S39981" s="178"/>
    </row>
    <row r="39982" spans="18:19">
      <c r="R39982" s="178"/>
      <c r="S39982" s="178"/>
    </row>
    <row r="39983" spans="18:19">
      <c r="R39983" s="178"/>
      <c r="S39983" s="178"/>
    </row>
    <row r="39984" spans="18:19">
      <c r="R39984" s="178"/>
      <c r="S39984" s="178"/>
    </row>
    <row r="39985" spans="18:19">
      <c r="R39985" s="178"/>
      <c r="S39985" s="178"/>
    </row>
    <row r="39986" spans="18:19">
      <c r="R39986" s="178"/>
      <c r="S39986" s="178"/>
    </row>
    <row r="39987" spans="18:19">
      <c r="R39987" s="178"/>
      <c r="S39987" s="178"/>
    </row>
    <row r="39988" spans="18:19">
      <c r="R39988" s="178"/>
      <c r="S39988" s="178"/>
    </row>
    <row r="39989" spans="18:19">
      <c r="R39989" s="178"/>
      <c r="S39989" s="178"/>
    </row>
    <row r="39990" spans="18:19">
      <c r="R39990" s="178"/>
      <c r="S39990" s="178"/>
    </row>
    <row r="39991" spans="18:19">
      <c r="R39991" s="178"/>
      <c r="S39991" s="178"/>
    </row>
    <row r="39992" spans="18:19">
      <c r="R39992" s="178"/>
      <c r="S39992" s="178"/>
    </row>
    <row r="39993" spans="18:19">
      <c r="R39993" s="178"/>
      <c r="S39993" s="178"/>
    </row>
    <row r="39994" spans="18:19">
      <c r="R39994" s="178"/>
      <c r="S39994" s="178"/>
    </row>
    <row r="39995" spans="18:19">
      <c r="R39995" s="178"/>
      <c r="S39995" s="178"/>
    </row>
    <row r="39996" spans="18:19">
      <c r="R39996" s="178"/>
      <c r="S39996" s="178"/>
    </row>
    <row r="39997" spans="18:19">
      <c r="R39997" s="178"/>
      <c r="S39997" s="178"/>
    </row>
    <row r="39998" spans="18:19">
      <c r="R39998" s="178"/>
      <c r="S39998" s="178"/>
    </row>
    <row r="39999" spans="18:19">
      <c r="R39999" s="178"/>
      <c r="S39999" s="178"/>
    </row>
    <row r="40000" spans="18:19">
      <c r="R40000" s="178"/>
      <c r="S40000" s="178"/>
    </row>
    <row r="40001" spans="18:19">
      <c r="R40001" s="178"/>
      <c r="S40001" s="178"/>
    </row>
    <row r="40002" spans="18:19">
      <c r="R40002" s="178"/>
      <c r="S40002" s="178"/>
    </row>
    <row r="40003" spans="18:19">
      <c r="R40003" s="178"/>
      <c r="S40003" s="178"/>
    </row>
    <row r="40004" spans="18:19">
      <c r="R40004" s="178"/>
      <c r="S40004" s="178"/>
    </row>
    <row r="40005" spans="18:19">
      <c r="R40005" s="178"/>
      <c r="S40005" s="178"/>
    </row>
    <row r="40006" spans="18:19">
      <c r="R40006" s="178"/>
      <c r="S40006" s="178"/>
    </row>
    <row r="40007" spans="18:19">
      <c r="R40007" s="178"/>
      <c r="S40007" s="178"/>
    </row>
    <row r="40008" spans="18:19">
      <c r="R40008" s="178"/>
      <c r="S40008" s="178"/>
    </row>
    <row r="40009" spans="18:19">
      <c r="R40009" s="178"/>
      <c r="S40009" s="178"/>
    </row>
    <row r="40010" spans="18:19">
      <c r="R40010" s="178"/>
      <c r="S40010" s="178"/>
    </row>
    <row r="40011" spans="18:19">
      <c r="R40011" s="178"/>
      <c r="S40011" s="178"/>
    </row>
    <row r="40012" spans="18:19">
      <c r="R40012" s="178"/>
      <c r="S40012" s="178"/>
    </row>
    <row r="40013" spans="18:19">
      <c r="R40013" s="178"/>
      <c r="S40013" s="178"/>
    </row>
    <row r="40014" spans="18:19">
      <c r="R40014" s="178"/>
      <c r="S40014" s="178"/>
    </row>
    <row r="40015" spans="18:19">
      <c r="R40015" s="178"/>
      <c r="S40015" s="178"/>
    </row>
    <row r="40016" spans="18:19">
      <c r="R40016" s="178"/>
      <c r="S40016" s="178"/>
    </row>
    <row r="40017" spans="18:19">
      <c r="R40017" s="178"/>
      <c r="S40017" s="178"/>
    </row>
    <row r="40018" spans="18:19">
      <c r="R40018" s="178"/>
      <c r="S40018" s="178"/>
    </row>
    <row r="40019" spans="18:19">
      <c r="R40019" s="178"/>
      <c r="S40019" s="178"/>
    </row>
    <row r="40020" spans="18:19">
      <c r="R40020" s="178"/>
      <c r="S40020" s="178"/>
    </row>
    <row r="40021" spans="18:19">
      <c r="R40021" s="178"/>
      <c r="S40021" s="178"/>
    </row>
    <row r="40022" spans="18:19">
      <c r="R40022" s="178"/>
      <c r="S40022" s="178"/>
    </row>
    <row r="40023" spans="18:19">
      <c r="R40023" s="178"/>
      <c r="S40023" s="178"/>
    </row>
    <row r="40024" spans="18:19">
      <c r="R40024" s="178"/>
      <c r="S40024" s="178"/>
    </row>
    <row r="40025" spans="18:19">
      <c r="R40025" s="178"/>
      <c r="S40025" s="178"/>
    </row>
    <row r="40026" spans="18:19">
      <c r="R40026" s="178"/>
      <c r="S40026" s="178"/>
    </row>
    <row r="40027" spans="18:19">
      <c r="R40027" s="178"/>
      <c r="S40027" s="178"/>
    </row>
    <row r="40028" spans="18:19">
      <c r="R40028" s="178"/>
      <c r="S40028" s="178"/>
    </row>
    <row r="40029" spans="18:19">
      <c r="R40029" s="178"/>
      <c r="S40029" s="178"/>
    </row>
    <row r="40030" spans="18:19">
      <c r="R40030" s="178"/>
      <c r="S40030" s="178"/>
    </row>
    <row r="40031" spans="18:19">
      <c r="R40031" s="178"/>
      <c r="S40031" s="178"/>
    </row>
    <row r="40032" spans="18:19">
      <c r="R40032" s="178"/>
      <c r="S40032" s="178"/>
    </row>
    <row r="40033" spans="18:19">
      <c r="R40033" s="178"/>
      <c r="S40033" s="178"/>
    </row>
    <row r="40034" spans="18:19">
      <c r="R40034" s="178"/>
      <c r="S40034" s="178"/>
    </row>
    <row r="40035" spans="18:19">
      <c r="R40035" s="178"/>
      <c r="S40035" s="178"/>
    </row>
    <row r="40036" spans="18:19">
      <c r="R40036" s="178"/>
      <c r="S40036" s="178"/>
    </row>
    <row r="40037" spans="18:19">
      <c r="R40037" s="178"/>
      <c r="S40037" s="178"/>
    </row>
    <row r="40038" spans="18:19">
      <c r="R40038" s="178"/>
      <c r="S40038" s="178"/>
    </row>
    <row r="40039" spans="18:19">
      <c r="R40039" s="178"/>
      <c r="S40039" s="178"/>
    </row>
    <row r="40040" spans="18:19">
      <c r="R40040" s="178"/>
      <c r="S40040" s="178"/>
    </row>
    <row r="40041" spans="18:19">
      <c r="R40041" s="178"/>
      <c r="S40041" s="178"/>
    </row>
    <row r="40042" spans="18:19">
      <c r="R40042" s="178"/>
      <c r="S40042" s="178"/>
    </row>
    <row r="40043" spans="18:19">
      <c r="R40043" s="178"/>
      <c r="S40043" s="178"/>
    </row>
    <row r="40044" spans="18:19">
      <c r="R40044" s="178"/>
      <c r="S40044" s="178"/>
    </row>
    <row r="40045" spans="18:19">
      <c r="R40045" s="178"/>
      <c r="S40045" s="178"/>
    </row>
    <row r="40046" spans="18:19">
      <c r="R40046" s="178"/>
      <c r="S40046" s="178"/>
    </row>
    <row r="40047" spans="18:19">
      <c r="R40047" s="178"/>
      <c r="S40047" s="178"/>
    </row>
    <row r="40048" spans="18:19">
      <c r="R40048" s="178"/>
      <c r="S40048" s="178"/>
    </row>
    <row r="40049" spans="18:19">
      <c r="R40049" s="178"/>
      <c r="S40049" s="178"/>
    </row>
    <row r="40050" spans="18:19">
      <c r="R40050" s="178"/>
      <c r="S40050" s="178"/>
    </row>
    <row r="40051" spans="18:19">
      <c r="R40051" s="178"/>
      <c r="S40051" s="178"/>
    </row>
    <row r="40052" spans="18:19">
      <c r="R40052" s="178"/>
      <c r="S40052" s="178"/>
    </row>
    <row r="40053" spans="18:19">
      <c r="R40053" s="178"/>
      <c r="S40053" s="178"/>
    </row>
    <row r="40054" spans="18:19">
      <c r="R40054" s="178"/>
      <c r="S40054" s="178"/>
    </row>
    <row r="40055" spans="18:19">
      <c r="R40055" s="178"/>
      <c r="S40055" s="178"/>
    </row>
    <row r="40056" spans="18:19">
      <c r="R40056" s="178"/>
      <c r="S40056" s="178"/>
    </row>
    <row r="40057" spans="18:19">
      <c r="R40057" s="178"/>
      <c r="S40057" s="178"/>
    </row>
    <row r="40058" spans="18:19">
      <c r="R40058" s="178"/>
      <c r="S40058" s="178"/>
    </row>
    <row r="40059" spans="18:19">
      <c r="R40059" s="178"/>
      <c r="S40059" s="178"/>
    </row>
    <row r="40060" spans="18:19">
      <c r="R40060" s="178"/>
      <c r="S40060" s="178"/>
    </row>
    <row r="40061" spans="18:19">
      <c r="R40061" s="178"/>
      <c r="S40061" s="178"/>
    </row>
    <row r="40062" spans="18:19">
      <c r="R40062" s="178"/>
      <c r="S40062" s="178"/>
    </row>
    <row r="40063" spans="18:19">
      <c r="R40063" s="178"/>
      <c r="S40063" s="178"/>
    </row>
    <row r="40064" spans="18:19">
      <c r="R40064" s="178"/>
      <c r="S40064" s="178"/>
    </row>
    <row r="40065" spans="18:19">
      <c r="R40065" s="178"/>
      <c r="S40065" s="178"/>
    </row>
    <row r="40066" spans="18:19">
      <c r="R40066" s="178"/>
      <c r="S40066" s="178"/>
    </row>
    <row r="40067" spans="18:19">
      <c r="R40067" s="178"/>
      <c r="S40067" s="178"/>
    </row>
    <row r="40068" spans="18:19">
      <c r="R40068" s="178"/>
      <c r="S40068" s="178"/>
    </row>
    <row r="40069" spans="18:19">
      <c r="R40069" s="178"/>
      <c r="S40069" s="178"/>
    </row>
    <row r="40070" spans="18:19">
      <c r="R40070" s="178"/>
      <c r="S40070" s="178"/>
    </row>
    <row r="40071" spans="18:19">
      <c r="R40071" s="178"/>
      <c r="S40071" s="178"/>
    </row>
    <row r="40072" spans="18:19">
      <c r="R40072" s="178"/>
      <c r="S40072" s="178"/>
    </row>
    <row r="40073" spans="18:19">
      <c r="R40073" s="178"/>
      <c r="S40073" s="178"/>
    </row>
    <row r="40074" spans="18:19">
      <c r="R40074" s="178"/>
      <c r="S40074" s="178"/>
    </row>
    <row r="40075" spans="18:19">
      <c r="R40075" s="178"/>
      <c r="S40075" s="178"/>
    </row>
    <row r="40076" spans="18:19">
      <c r="R40076" s="178"/>
      <c r="S40076" s="178"/>
    </row>
    <row r="40077" spans="18:19">
      <c r="R40077" s="178"/>
      <c r="S40077" s="178"/>
    </row>
    <row r="40078" spans="18:19">
      <c r="R40078" s="178"/>
      <c r="S40078" s="178"/>
    </row>
    <row r="40079" spans="18:19">
      <c r="R40079" s="178"/>
      <c r="S40079" s="178"/>
    </row>
    <row r="40080" spans="18:19">
      <c r="R40080" s="178"/>
      <c r="S40080" s="178"/>
    </row>
    <row r="40081" spans="18:19">
      <c r="R40081" s="178"/>
      <c r="S40081" s="178"/>
    </row>
    <row r="40082" spans="18:19">
      <c r="R40082" s="178"/>
      <c r="S40082" s="178"/>
    </row>
    <row r="40083" spans="18:19">
      <c r="R40083" s="178"/>
      <c r="S40083" s="178"/>
    </row>
    <row r="40084" spans="18:19">
      <c r="R40084" s="178"/>
      <c r="S40084" s="178"/>
    </row>
    <row r="40085" spans="18:19">
      <c r="R40085" s="178"/>
      <c r="S40085" s="178"/>
    </row>
    <row r="40086" spans="18:19">
      <c r="R40086" s="178"/>
      <c r="S40086" s="178"/>
    </row>
    <row r="40087" spans="18:19">
      <c r="R40087" s="178"/>
      <c r="S40087" s="178"/>
    </row>
    <row r="40088" spans="18:19">
      <c r="R40088" s="178"/>
      <c r="S40088" s="178"/>
    </row>
    <row r="40089" spans="18:19">
      <c r="R40089" s="178"/>
      <c r="S40089" s="178"/>
    </row>
    <row r="40090" spans="18:19">
      <c r="R40090" s="178"/>
      <c r="S40090" s="178"/>
    </row>
    <row r="40091" spans="18:19">
      <c r="R40091" s="178"/>
      <c r="S40091" s="178"/>
    </row>
    <row r="40092" spans="18:19">
      <c r="R40092" s="178"/>
      <c r="S40092" s="178"/>
    </row>
    <row r="40093" spans="18:19">
      <c r="R40093" s="178"/>
      <c r="S40093" s="178"/>
    </row>
    <row r="40094" spans="18:19">
      <c r="R40094" s="178"/>
      <c r="S40094" s="178"/>
    </row>
    <row r="40095" spans="18:19">
      <c r="R40095" s="178"/>
      <c r="S40095" s="178"/>
    </row>
    <row r="40096" spans="18:19">
      <c r="R40096" s="178"/>
      <c r="S40096" s="178"/>
    </row>
    <row r="40097" spans="18:19">
      <c r="R40097" s="178"/>
      <c r="S40097" s="178"/>
    </row>
    <row r="40098" spans="18:19">
      <c r="R40098" s="178"/>
      <c r="S40098" s="178"/>
    </row>
    <row r="40099" spans="18:19">
      <c r="R40099" s="178"/>
      <c r="S40099" s="178"/>
    </row>
    <row r="40100" spans="18:19">
      <c r="R40100" s="178"/>
      <c r="S40100" s="178"/>
    </row>
    <row r="40101" spans="18:19">
      <c r="R40101" s="178"/>
      <c r="S40101" s="178"/>
    </row>
    <row r="40102" spans="18:19">
      <c r="R40102" s="178"/>
      <c r="S40102" s="178"/>
    </row>
    <row r="40103" spans="18:19">
      <c r="R40103" s="178"/>
      <c r="S40103" s="178"/>
    </row>
    <row r="40104" spans="18:19">
      <c r="R40104" s="178"/>
      <c r="S40104" s="178"/>
    </row>
    <row r="40105" spans="18:19">
      <c r="R40105" s="178"/>
      <c r="S40105" s="178"/>
    </row>
    <row r="40106" spans="18:19">
      <c r="R40106" s="178"/>
      <c r="S40106" s="178"/>
    </row>
    <row r="40107" spans="18:19">
      <c r="R40107" s="178"/>
      <c r="S40107" s="178"/>
    </row>
    <row r="40108" spans="18:19">
      <c r="R40108" s="178"/>
      <c r="S40108" s="178"/>
    </row>
    <row r="40109" spans="18:19">
      <c r="R40109" s="178"/>
      <c r="S40109" s="178"/>
    </row>
    <row r="40110" spans="18:19">
      <c r="R40110" s="178"/>
      <c r="S40110" s="178"/>
    </row>
    <row r="40111" spans="18:19">
      <c r="R40111" s="178"/>
      <c r="S40111" s="178"/>
    </row>
    <row r="40112" spans="18:19">
      <c r="R40112" s="178"/>
      <c r="S40112" s="178"/>
    </row>
    <row r="40113" spans="18:19">
      <c r="R40113" s="178"/>
      <c r="S40113" s="178"/>
    </row>
    <row r="40114" spans="18:19">
      <c r="R40114" s="178"/>
      <c r="S40114" s="178"/>
    </row>
    <row r="40115" spans="18:19">
      <c r="R40115" s="178"/>
      <c r="S40115" s="178"/>
    </row>
    <row r="40116" spans="18:19">
      <c r="R40116" s="178"/>
      <c r="S40116" s="178"/>
    </row>
    <row r="40117" spans="18:19">
      <c r="R40117" s="178"/>
      <c r="S40117" s="178"/>
    </row>
    <row r="40118" spans="18:19">
      <c r="R40118" s="178"/>
      <c r="S40118" s="178"/>
    </row>
    <row r="40119" spans="18:19">
      <c r="R40119" s="178"/>
      <c r="S40119" s="178"/>
    </row>
    <row r="40120" spans="18:19">
      <c r="R40120" s="178"/>
      <c r="S40120" s="178"/>
    </row>
    <row r="40121" spans="18:19">
      <c r="R40121" s="178"/>
      <c r="S40121" s="178"/>
    </row>
    <row r="40122" spans="18:19">
      <c r="R40122" s="178"/>
      <c r="S40122" s="178"/>
    </row>
    <row r="40123" spans="18:19">
      <c r="R40123" s="178"/>
      <c r="S40123" s="178"/>
    </row>
    <row r="40124" spans="18:19">
      <c r="R40124" s="178"/>
      <c r="S40124" s="178"/>
    </row>
    <row r="40125" spans="18:19">
      <c r="R40125" s="178"/>
      <c r="S40125" s="178"/>
    </row>
    <row r="40126" spans="18:19">
      <c r="R40126" s="178"/>
      <c r="S40126" s="178"/>
    </row>
    <row r="40127" spans="18:19">
      <c r="R40127" s="178"/>
      <c r="S40127" s="178"/>
    </row>
    <row r="40128" spans="18:19">
      <c r="R40128" s="178"/>
      <c r="S40128" s="178"/>
    </row>
    <row r="40129" spans="18:19">
      <c r="R40129" s="178"/>
      <c r="S40129" s="178"/>
    </row>
    <row r="40130" spans="18:19">
      <c r="R40130" s="178"/>
      <c r="S40130" s="178"/>
    </row>
    <row r="40131" spans="18:19">
      <c r="R40131" s="178"/>
      <c r="S40131" s="178"/>
    </row>
    <row r="40132" spans="18:19">
      <c r="R40132" s="178"/>
      <c r="S40132" s="178"/>
    </row>
    <row r="40133" spans="18:19">
      <c r="R40133" s="178"/>
      <c r="S40133" s="178"/>
    </row>
    <row r="40134" spans="18:19">
      <c r="R40134" s="178"/>
      <c r="S40134" s="178"/>
    </row>
    <row r="40135" spans="18:19">
      <c r="R40135" s="178"/>
      <c r="S40135" s="178"/>
    </row>
    <row r="40136" spans="18:19">
      <c r="R40136" s="178"/>
      <c r="S40136" s="178"/>
    </row>
    <row r="40137" spans="18:19">
      <c r="R40137" s="178"/>
      <c r="S40137" s="178"/>
    </row>
    <row r="40138" spans="18:19">
      <c r="R40138" s="178"/>
      <c r="S40138" s="178"/>
    </row>
    <row r="40139" spans="18:19">
      <c r="R40139" s="178"/>
      <c r="S40139" s="178"/>
    </row>
    <row r="40140" spans="18:19">
      <c r="R40140" s="178"/>
      <c r="S40140" s="178"/>
    </row>
    <row r="40141" spans="18:19">
      <c r="R40141" s="178"/>
      <c r="S40141" s="178"/>
    </row>
    <row r="40142" spans="18:19">
      <c r="R40142" s="178"/>
      <c r="S40142" s="178"/>
    </row>
    <row r="40143" spans="18:19">
      <c r="R40143" s="178"/>
      <c r="S40143" s="178"/>
    </row>
    <row r="40144" spans="18:19">
      <c r="R40144" s="178"/>
      <c r="S40144" s="178"/>
    </row>
    <row r="40145" spans="18:19">
      <c r="R40145" s="178"/>
      <c r="S40145" s="178"/>
    </row>
    <row r="40146" spans="18:19">
      <c r="R40146" s="178"/>
      <c r="S40146" s="178"/>
    </row>
    <row r="40147" spans="18:19">
      <c r="R40147" s="178"/>
      <c r="S40147" s="178"/>
    </row>
    <row r="40148" spans="18:19">
      <c r="R40148" s="178"/>
      <c r="S40148" s="178"/>
    </row>
    <row r="40149" spans="18:19">
      <c r="R40149" s="178"/>
      <c r="S40149" s="178"/>
    </row>
    <row r="40150" spans="18:19">
      <c r="R40150" s="178"/>
      <c r="S40150" s="178"/>
    </row>
    <row r="40151" spans="18:19">
      <c r="R40151" s="178"/>
      <c r="S40151" s="178"/>
    </row>
    <row r="40152" spans="18:19">
      <c r="R40152" s="178"/>
      <c r="S40152" s="178"/>
    </row>
    <row r="40153" spans="18:19">
      <c r="R40153" s="178"/>
      <c r="S40153" s="178"/>
    </row>
    <row r="40154" spans="18:19">
      <c r="R40154" s="178"/>
      <c r="S40154" s="178"/>
    </row>
    <row r="40155" spans="18:19">
      <c r="R40155" s="178"/>
      <c r="S40155" s="178"/>
    </row>
    <row r="40156" spans="18:19">
      <c r="R40156" s="178"/>
      <c r="S40156" s="178"/>
    </row>
    <row r="40157" spans="18:19">
      <c r="R40157" s="178"/>
      <c r="S40157" s="178"/>
    </row>
    <row r="40158" spans="18:19">
      <c r="R40158" s="178"/>
      <c r="S40158" s="178"/>
    </row>
    <row r="40159" spans="18:19">
      <c r="R40159" s="178"/>
      <c r="S40159" s="178"/>
    </row>
    <row r="40160" spans="18:19">
      <c r="R40160" s="178"/>
      <c r="S40160" s="178"/>
    </row>
    <row r="40161" spans="18:19">
      <c r="R40161" s="178"/>
      <c r="S40161" s="178"/>
    </row>
    <row r="40162" spans="18:19">
      <c r="R40162" s="178"/>
      <c r="S40162" s="178"/>
    </row>
    <row r="40163" spans="18:19">
      <c r="R40163" s="178"/>
      <c r="S40163" s="178"/>
    </row>
    <row r="40164" spans="18:19">
      <c r="R40164" s="178"/>
      <c r="S40164" s="178"/>
    </row>
    <row r="40165" spans="18:19">
      <c r="R40165" s="178"/>
      <c r="S40165" s="178"/>
    </row>
    <row r="40166" spans="18:19">
      <c r="R40166" s="178"/>
      <c r="S40166" s="178"/>
    </row>
    <row r="40167" spans="18:19">
      <c r="R40167" s="178"/>
      <c r="S40167" s="178"/>
    </row>
    <row r="40168" spans="18:19">
      <c r="R40168" s="178"/>
      <c r="S40168" s="178"/>
    </row>
    <row r="40169" spans="18:19">
      <c r="R40169" s="178"/>
      <c r="S40169" s="178"/>
    </row>
    <row r="40170" spans="18:19">
      <c r="R40170" s="178"/>
      <c r="S40170" s="178"/>
    </row>
    <row r="40171" spans="18:19">
      <c r="R40171" s="178"/>
      <c r="S40171" s="178"/>
    </row>
    <row r="40172" spans="18:19">
      <c r="R40172" s="178"/>
      <c r="S40172" s="178"/>
    </row>
    <row r="40173" spans="18:19">
      <c r="R40173" s="178"/>
      <c r="S40173" s="178"/>
    </row>
    <row r="40174" spans="18:19">
      <c r="R40174" s="178"/>
      <c r="S40174" s="178"/>
    </row>
    <row r="40175" spans="18:19">
      <c r="R40175" s="178"/>
      <c r="S40175" s="178"/>
    </row>
    <row r="40176" spans="18:19">
      <c r="R40176" s="178"/>
      <c r="S40176" s="178"/>
    </row>
    <row r="40177" spans="18:19">
      <c r="R40177" s="178"/>
      <c r="S40177" s="178"/>
    </row>
    <row r="40178" spans="18:19">
      <c r="R40178" s="178"/>
      <c r="S40178" s="178"/>
    </row>
    <row r="40179" spans="18:19">
      <c r="R40179" s="178"/>
      <c r="S40179" s="178"/>
    </row>
    <row r="40180" spans="18:19">
      <c r="R40180" s="178"/>
      <c r="S40180" s="178"/>
    </row>
    <row r="40181" spans="18:19">
      <c r="R40181" s="178"/>
      <c r="S40181" s="178"/>
    </row>
    <row r="40182" spans="18:19">
      <c r="R40182" s="178"/>
      <c r="S40182" s="178"/>
    </row>
    <row r="40183" spans="18:19">
      <c r="R40183" s="178"/>
      <c r="S40183" s="178"/>
    </row>
    <row r="40184" spans="18:19">
      <c r="R40184" s="178"/>
      <c r="S40184" s="178"/>
    </row>
    <row r="40185" spans="18:19">
      <c r="R40185" s="178"/>
      <c r="S40185" s="178"/>
    </row>
    <row r="40186" spans="18:19">
      <c r="R40186" s="178"/>
      <c r="S40186" s="178"/>
    </row>
    <row r="40187" spans="18:19">
      <c r="R40187" s="178"/>
      <c r="S40187" s="178"/>
    </row>
    <row r="40188" spans="18:19">
      <c r="R40188" s="178"/>
      <c r="S40188" s="178"/>
    </row>
    <row r="40189" spans="18:19">
      <c r="R40189" s="178"/>
      <c r="S40189" s="178"/>
    </row>
    <row r="40190" spans="18:19">
      <c r="R40190" s="178"/>
      <c r="S40190" s="178"/>
    </row>
    <row r="40191" spans="18:19">
      <c r="R40191" s="178"/>
      <c r="S40191" s="178"/>
    </row>
    <row r="40192" spans="18:19">
      <c r="R40192" s="178"/>
      <c r="S40192" s="178"/>
    </row>
    <row r="40193" spans="18:19">
      <c r="R40193" s="178"/>
      <c r="S40193" s="178"/>
    </row>
    <row r="40194" spans="18:19">
      <c r="R40194" s="178"/>
      <c r="S40194" s="178"/>
    </row>
    <row r="40195" spans="18:19">
      <c r="R40195" s="178"/>
      <c r="S40195" s="178"/>
    </row>
    <row r="40196" spans="18:19">
      <c r="R40196" s="178"/>
      <c r="S40196" s="178"/>
    </row>
    <row r="40197" spans="18:19">
      <c r="R40197" s="178"/>
      <c r="S40197" s="178"/>
    </row>
    <row r="40198" spans="18:19">
      <c r="R40198" s="178"/>
      <c r="S40198" s="178"/>
    </row>
    <row r="40199" spans="18:19">
      <c r="R40199" s="178"/>
      <c r="S40199" s="178"/>
    </row>
    <row r="40200" spans="18:19">
      <c r="R40200" s="178"/>
      <c r="S40200" s="178"/>
    </row>
    <row r="40201" spans="18:19">
      <c r="R40201" s="178"/>
      <c r="S40201" s="178"/>
    </row>
    <row r="40202" spans="18:19">
      <c r="R40202" s="178"/>
      <c r="S40202" s="178"/>
    </row>
    <row r="40203" spans="18:19">
      <c r="R40203" s="178"/>
      <c r="S40203" s="178"/>
    </row>
    <row r="40204" spans="18:19">
      <c r="R40204" s="178"/>
      <c r="S40204" s="178"/>
    </row>
    <row r="40205" spans="18:19">
      <c r="R40205" s="178"/>
      <c r="S40205" s="178"/>
    </row>
    <row r="40206" spans="18:19">
      <c r="R40206" s="178"/>
      <c r="S40206" s="178"/>
    </row>
    <row r="40207" spans="18:19">
      <c r="R40207" s="178"/>
      <c r="S40207" s="178"/>
    </row>
    <row r="40208" spans="18:19">
      <c r="R40208" s="178"/>
      <c r="S40208" s="178"/>
    </row>
    <row r="40209" spans="18:19">
      <c r="R40209" s="178"/>
      <c r="S40209" s="178"/>
    </row>
    <row r="40210" spans="18:19">
      <c r="R40210" s="178"/>
      <c r="S40210" s="178"/>
    </row>
    <row r="40211" spans="18:19">
      <c r="R40211" s="178"/>
      <c r="S40211" s="178"/>
    </row>
    <row r="40212" spans="18:19">
      <c r="R40212" s="178"/>
      <c r="S40212" s="178"/>
    </row>
    <row r="40213" spans="18:19">
      <c r="R40213" s="178"/>
      <c r="S40213" s="178"/>
    </row>
    <row r="40214" spans="18:19">
      <c r="R40214" s="178"/>
      <c r="S40214" s="178"/>
    </row>
    <row r="40215" spans="18:19">
      <c r="R40215" s="178"/>
      <c r="S40215" s="178"/>
    </row>
    <row r="40216" spans="18:19">
      <c r="R40216" s="178"/>
      <c r="S40216" s="178"/>
    </row>
    <row r="40217" spans="18:19">
      <c r="R40217" s="178"/>
      <c r="S40217" s="178"/>
    </row>
    <row r="40218" spans="18:19">
      <c r="R40218" s="178"/>
      <c r="S40218" s="178"/>
    </row>
    <row r="40219" spans="18:19">
      <c r="R40219" s="178"/>
      <c r="S40219" s="178"/>
    </row>
    <row r="40220" spans="18:19">
      <c r="R40220" s="178"/>
      <c r="S40220" s="178"/>
    </row>
    <row r="40221" spans="18:19">
      <c r="R40221" s="178"/>
      <c r="S40221" s="178"/>
    </row>
    <row r="40222" spans="18:19">
      <c r="R40222" s="178"/>
      <c r="S40222" s="178"/>
    </row>
    <row r="40223" spans="18:19">
      <c r="R40223" s="178"/>
      <c r="S40223" s="178"/>
    </row>
    <row r="40224" spans="18:19">
      <c r="R40224" s="178"/>
      <c r="S40224" s="178"/>
    </row>
    <row r="40225" spans="18:19">
      <c r="R40225" s="178"/>
      <c r="S40225" s="178"/>
    </row>
    <row r="40226" spans="18:19">
      <c r="R40226" s="178"/>
      <c r="S40226" s="178"/>
    </row>
    <row r="40227" spans="18:19">
      <c r="R40227" s="178"/>
      <c r="S40227" s="178"/>
    </row>
    <row r="40228" spans="18:19">
      <c r="R40228" s="178"/>
      <c r="S40228" s="178"/>
    </row>
    <row r="40229" spans="18:19">
      <c r="R40229" s="178"/>
      <c r="S40229" s="178"/>
    </row>
    <row r="40230" spans="18:19">
      <c r="R40230" s="178"/>
      <c r="S40230" s="178"/>
    </row>
    <row r="40231" spans="18:19">
      <c r="R40231" s="178"/>
      <c r="S40231" s="178"/>
    </row>
    <row r="40232" spans="18:19">
      <c r="R40232" s="178"/>
      <c r="S40232" s="178"/>
    </row>
    <row r="40233" spans="18:19">
      <c r="R40233" s="178"/>
      <c r="S40233" s="178"/>
    </row>
    <row r="40234" spans="18:19">
      <c r="R40234" s="178"/>
      <c r="S40234" s="178"/>
    </row>
    <row r="40235" spans="18:19">
      <c r="R40235" s="178"/>
      <c r="S40235" s="178"/>
    </row>
    <row r="40236" spans="18:19">
      <c r="R40236" s="178"/>
      <c r="S40236" s="178"/>
    </row>
    <row r="40237" spans="18:19">
      <c r="R40237" s="178"/>
      <c r="S40237" s="178"/>
    </row>
    <row r="40238" spans="18:19">
      <c r="R40238" s="178"/>
      <c r="S40238" s="178"/>
    </row>
    <row r="40239" spans="18:19">
      <c r="R40239" s="178"/>
      <c r="S40239" s="178"/>
    </row>
    <row r="40240" spans="18:19">
      <c r="R40240" s="178"/>
      <c r="S40240" s="178"/>
    </row>
    <row r="40241" spans="18:19">
      <c r="R40241" s="178"/>
      <c r="S40241" s="178"/>
    </row>
    <row r="40242" spans="18:19">
      <c r="R40242" s="178"/>
      <c r="S40242" s="178"/>
    </row>
    <row r="40243" spans="18:19">
      <c r="R40243" s="178"/>
      <c r="S40243" s="178"/>
    </row>
    <row r="40244" spans="18:19">
      <c r="R40244" s="178"/>
      <c r="S40244" s="178"/>
    </row>
    <row r="40245" spans="18:19">
      <c r="R40245" s="178"/>
      <c r="S40245" s="178"/>
    </row>
    <row r="40246" spans="18:19">
      <c r="R40246" s="178"/>
      <c r="S40246" s="178"/>
    </row>
    <row r="40247" spans="18:19">
      <c r="R40247" s="178"/>
      <c r="S40247" s="178"/>
    </row>
    <row r="40248" spans="18:19">
      <c r="R40248" s="178"/>
      <c r="S40248" s="178"/>
    </row>
    <row r="40249" spans="18:19">
      <c r="R40249" s="178"/>
      <c r="S40249" s="178"/>
    </row>
    <row r="40250" spans="18:19">
      <c r="R40250" s="178"/>
      <c r="S40250" s="178"/>
    </row>
    <row r="40251" spans="18:19">
      <c r="R40251" s="178"/>
      <c r="S40251" s="178"/>
    </row>
    <row r="40252" spans="18:19">
      <c r="R40252" s="178"/>
      <c r="S40252" s="178"/>
    </row>
    <row r="40253" spans="18:19">
      <c r="R40253" s="178"/>
      <c r="S40253" s="178"/>
    </row>
    <row r="40254" spans="18:19">
      <c r="R40254" s="178"/>
      <c r="S40254" s="178"/>
    </row>
    <row r="40255" spans="18:19">
      <c r="R40255" s="178"/>
      <c r="S40255" s="178"/>
    </row>
    <row r="40256" spans="18:19">
      <c r="R40256" s="178"/>
      <c r="S40256" s="178"/>
    </row>
    <row r="40257" spans="18:19">
      <c r="R40257" s="178"/>
      <c r="S40257" s="178"/>
    </row>
    <row r="40258" spans="18:19">
      <c r="R40258" s="178"/>
      <c r="S40258" s="178"/>
    </row>
    <row r="40259" spans="18:19">
      <c r="R40259" s="178"/>
      <c r="S40259" s="178"/>
    </row>
    <row r="40260" spans="18:19">
      <c r="R40260" s="178"/>
      <c r="S40260" s="178"/>
    </row>
    <row r="40261" spans="18:19">
      <c r="R40261" s="178"/>
      <c r="S40261" s="178"/>
    </row>
    <row r="40262" spans="18:19">
      <c r="R40262" s="178"/>
      <c r="S40262" s="178"/>
    </row>
    <row r="40263" spans="18:19">
      <c r="R40263" s="178"/>
      <c r="S40263" s="178"/>
    </row>
    <row r="40264" spans="18:19">
      <c r="R40264" s="178"/>
      <c r="S40264" s="178"/>
    </row>
    <row r="40265" spans="18:19">
      <c r="R40265" s="178"/>
      <c r="S40265" s="178"/>
    </row>
    <row r="40266" spans="18:19">
      <c r="R40266" s="178"/>
      <c r="S40266" s="178"/>
    </row>
    <row r="40267" spans="18:19">
      <c r="R40267" s="178"/>
      <c r="S40267" s="178"/>
    </row>
    <row r="40268" spans="18:19">
      <c r="R40268" s="178"/>
      <c r="S40268" s="178"/>
    </row>
    <row r="40269" spans="18:19">
      <c r="R40269" s="178"/>
      <c r="S40269" s="178"/>
    </row>
    <row r="40270" spans="18:19">
      <c r="R40270" s="178"/>
      <c r="S40270" s="178"/>
    </row>
    <row r="40271" spans="18:19">
      <c r="R40271" s="178"/>
      <c r="S40271" s="178"/>
    </row>
    <row r="40272" spans="18:19">
      <c r="R40272" s="178"/>
      <c r="S40272" s="178"/>
    </row>
    <row r="40273" spans="18:19">
      <c r="R40273" s="178"/>
      <c r="S40273" s="178"/>
    </row>
    <row r="40274" spans="18:19">
      <c r="R40274" s="178"/>
      <c r="S40274" s="178"/>
    </row>
    <row r="40275" spans="18:19">
      <c r="R40275" s="178"/>
      <c r="S40275" s="178"/>
    </row>
    <row r="40276" spans="18:19">
      <c r="R40276" s="178"/>
      <c r="S40276" s="178"/>
    </row>
    <row r="40277" spans="18:19">
      <c r="R40277" s="178"/>
      <c r="S40277" s="178"/>
    </row>
    <row r="40278" spans="18:19">
      <c r="R40278" s="178"/>
      <c r="S40278" s="178"/>
    </row>
    <row r="40279" spans="18:19">
      <c r="R40279" s="178"/>
      <c r="S40279" s="178"/>
    </row>
    <row r="40280" spans="18:19">
      <c r="R40280" s="178"/>
      <c r="S40280" s="178"/>
    </row>
    <row r="40281" spans="18:19">
      <c r="R40281" s="178"/>
      <c r="S40281" s="178"/>
    </row>
    <row r="40282" spans="18:19">
      <c r="R40282" s="178"/>
      <c r="S40282" s="178"/>
    </row>
    <row r="40283" spans="18:19">
      <c r="R40283" s="178"/>
      <c r="S40283" s="178"/>
    </row>
    <row r="40284" spans="18:19">
      <c r="R40284" s="178"/>
      <c r="S40284" s="178"/>
    </row>
    <row r="40285" spans="18:19">
      <c r="R40285" s="178"/>
      <c r="S40285" s="178"/>
    </row>
    <row r="40286" spans="18:19">
      <c r="R40286" s="178"/>
      <c r="S40286" s="178"/>
    </row>
    <row r="40287" spans="18:19">
      <c r="R40287" s="178"/>
      <c r="S40287" s="178"/>
    </row>
    <row r="40288" spans="18:19">
      <c r="R40288" s="178"/>
      <c r="S40288" s="178"/>
    </row>
    <row r="40289" spans="18:19">
      <c r="R40289" s="178"/>
      <c r="S40289" s="178"/>
    </row>
    <row r="40290" spans="18:19">
      <c r="R40290" s="178"/>
      <c r="S40290" s="178"/>
    </row>
    <row r="40291" spans="18:19">
      <c r="R40291" s="178"/>
      <c r="S40291" s="178"/>
    </row>
    <row r="40292" spans="18:19">
      <c r="R40292" s="178"/>
      <c r="S40292" s="178"/>
    </row>
    <row r="40293" spans="18:19">
      <c r="R40293" s="178"/>
      <c r="S40293" s="178"/>
    </row>
    <row r="40294" spans="18:19">
      <c r="R40294" s="178"/>
      <c r="S40294" s="178"/>
    </row>
    <row r="40295" spans="18:19">
      <c r="R40295" s="178"/>
      <c r="S40295" s="178"/>
    </row>
    <row r="40296" spans="18:19">
      <c r="R40296" s="178"/>
      <c r="S40296" s="178"/>
    </row>
    <row r="40297" spans="18:19">
      <c r="R40297" s="178"/>
      <c r="S40297" s="178"/>
    </row>
    <row r="40298" spans="18:19">
      <c r="R40298" s="178"/>
      <c r="S40298" s="178"/>
    </row>
    <row r="40299" spans="18:19">
      <c r="R40299" s="178"/>
      <c r="S40299" s="178"/>
    </row>
    <row r="40300" spans="18:19">
      <c r="R40300" s="178"/>
      <c r="S40300" s="178"/>
    </row>
    <row r="40301" spans="18:19">
      <c r="R40301" s="178"/>
      <c r="S40301" s="178"/>
    </row>
    <row r="40302" spans="18:19">
      <c r="R40302" s="178"/>
      <c r="S40302" s="178"/>
    </row>
    <row r="40303" spans="18:19">
      <c r="R40303" s="178"/>
      <c r="S40303" s="178"/>
    </row>
    <row r="40304" spans="18:19">
      <c r="R40304" s="178"/>
      <c r="S40304" s="178"/>
    </row>
    <row r="40305" spans="18:19">
      <c r="R40305" s="178"/>
      <c r="S40305" s="178"/>
    </row>
    <row r="40306" spans="18:19">
      <c r="R40306" s="178"/>
      <c r="S40306" s="178"/>
    </row>
    <row r="40307" spans="18:19">
      <c r="R40307" s="178"/>
      <c r="S40307" s="178"/>
    </row>
    <row r="40308" spans="18:19">
      <c r="R40308" s="178"/>
      <c r="S40308" s="178"/>
    </row>
    <row r="40309" spans="18:19">
      <c r="R40309" s="178"/>
      <c r="S40309" s="178"/>
    </row>
    <row r="40310" spans="18:19">
      <c r="R40310" s="178"/>
      <c r="S40310" s="178"/>
    </row>
    <row r="40311" spans="18:19">
      <c r="R40311" s="178"/>
      <c r="S40311" s="178"/>
    </row>
    <row r="40312" spans="18:19">
      <c r="R40312" s="178"/>
      <c r="S40312" s="178"/>
    </row>
    <row r="40313" spans="18:19">
      <c r="R40313" s="178"/>
      <c r="S40313" s="178"/>
    </row>
    <row r="40314" spans="18:19">
      <c r="R40314" s="178"/>
      <c r="S40314" s="178"/>
    </row>
    <row r="40315" spans="18:19">
      <c r="R40315" s="178"/>
      <c r="S40315" s="178"/>
    </row>
    <row r="40316" spans="18:19">
      <c r="R40316" s="178"/>
      <c r="S40316" s="178"/>
    </row>
    <row r="40317" spans="18:19">
      <c r="R40317" s="178"/>
      <c r="S40317" s="178"/>
    </row>
    <row r="40318" spans="18:19">
      <c r="R40318" s="178"/>
      <c r="S40318" s="178"/>
    </row>
    <row r="40319" spans="18:19">
      <c r="R40319" s="178"/>
      <c r="S40319" s="178"/>
    </row>
    <row r="40320" spans="18:19">
      <c r="R40320" s="178"/>
      <c r="S40320" s="178"/>
    </row>
    <row r="40321" spans="18:19">
      <c r="R40321" s="178"/>
      <c r="S40321" s="178"/>
    </row>
    <row r="40322" spans="18:19">
      <c r="R40322" s="178"/>
      <c r="S40322" s="178"/>
    </row>
    <row r="40323" spans="18:19">
      <c r="R40323" s="178"/>
      <c r="S40323" s="178"/>
    </row>
    <row r="40324" spans="18:19">
      <c r="R40324" s="178"/>
      <c r="S40324" s="178"/>
    </row>
    <row r="40325" spans="18:19">
      <c r="R40325" s="178"/>
      <c r="S40325" s="178"/>
    </row>
    <row r="40326" spans="18:19">
      <c r="R40326" s="178"/>
      <c r="S40326" s="178"/>
    </row>
    <row r="40327" spans="18:19">
      <c r="R40327" s="178"/>
      <c r="S40327" s="178"/>
    </row>
    <row r="40328" spans="18:19">
      <c r="R40328" s="178"/>
      <c r="S40328" s="178"/>
    </row>
    <row r="40329" spans="18:19">
      <c r="R40329" s="178"/>
      <c r="S40329" s="178"/>
    </row>
    <row r="40330" spans="18:19">
      <c r="R40330" s="178"/>
      <c r="S40330" s="178"/>
    </row>
    <row r="40331" spans="18:19">
      <c r="R40331" s="178"/>
      <c r="S40331" s="178"/>
    </row>
    <row r="40332" spans="18:19">
      <c r="R40332" s="178"/>
      <c r="S40332" s="178"/>
    </row>
    <row r="40333" spans="18:19">
      <c r="R40333" s="178"/>
      <c r="S40333" s="178"/>
    </row>
    <row r="40334" spans="18:19">
      <c r="R40334" s="178"/>
      <c r="S40334" s="178"/>
    </row>
    <row r="40335" spans="18:19">
      <c r="R40335" s="178"/>
      <c r="S40335" s="178"/>
    </row>
    <row r="40336" spans="18:19">
      <c r="R40336" s="178"/>
      <c r="S40336" s="178"/>
    </row>
    <row r="40337" spans="18:19">
      <c r="R40337" s="178"/>
      <c r="S40337" s="178"/>
    </row>
    <row r="40338" spans="18:19">
      <c r="R40338" s="178"/>
      <c r="S40338" s="178"/>
    </row>
    <row r="40339" spans="18:19">
      <c r="R40339" s="178"/>
      <c r="S40339" s="178"/>
    </row>
    <row r="40340" spans="18:19">
      <c r="R40340" s="178"/>
      <c r="S40340" s="178"/>
    </row>
    <row r="40341" spans="18:19">
      <c r="R40341" s="178"/>
      <c r="S40341" s="178"/>
    </row>
    <row r="40342" spans="18:19">
      <c r="R40342" s="178"/>
      <c r="S40342" s="178"/>
    </row>
    <row r="40343" spans="18:19">
      <c r="R40343" s="178"/>
      <c r="S40343" s="178"/>
    </row>
    <row r="40344" spans="18:19">
      <c r="R40344" s="178"/>
      <c r="S40344" s="178"/>
    </row>
    <row r="40345" spans="18:19">
      <c r="R40345" s="178"/>
      <c r="S40345" s="178"/>
    </row>
    <row r="40346" spans="18:19">
      <c r="R40346" s="178"/>
      <c r="S40346" s="178"/>
    </row>
    <row r="40347" spans="18:19">
      <c r="R40347" s="178"/>
      <c r="S40347" s="178"/>
    </row>
    <row r="40348" spans="18:19">
      <c r="R40348" s="178"/>
      <c r="S40348" s="178"/>
    </row>
    <row r="40349" spans="18:19">
      <c r="R40349" s="178"/>
      <c r="S40349" s="178"/>
    </row>
    <row r="40350" spans="18:19">
      <c r="R40350" s="178"/>
      <c r="S40350" s="178"/>
    </row>
    <row r="40351" spans="18:19">
      <c r="R40351" s="178"/>
      <c r="S40351" s="178"/>
    </row>
    <row r="40352" spans="18:19">
      <c r="R40352" s="178"/>
      <c r="S40352" s="178"/>
    </row>
    <row r="40353" spans="18:19">
      <c r="R40353" s="178"/>
      <c r="S40353" s="178"/>
    </row>
    <row r="40354" spans="18:19">
      <c r="R40354" s="178"/>
      <c r="S40354" s="178"/>
    </row>
    <row r="40355" spans="18:19">
      <c r="R40355" s="178"/>
      <c r="S40355" s="178"/>
    </row>
    <row r="40356" spans="18:19">
      <c r="R40356" s="178"/>
      <c r="S40356" s="178"/>
    </row>
    <row r="40357" spans="18:19">
      <c r="R40357" s="178"/>
      <c r="S40357" s="178"/>
    </row>
    <row r="40358" spans="18:19">
      <c r="R40358" s="178"/>
      <c r="S40358" s="178"/>
    </row>
    <row r="40359" spans="18:19">
      <c r="R40359" s="178"/>
      <c r="S40359" s="178"/>
    </row>
    <row r="40360" spans="18:19">
      <c r="R40360" s="178"/>
      <c r="S40360" s="178"/>
    </row>
    <row r="40361" spans="18:19">
      <c r="R40361" s="178"/>
      <c r="S40361" s="178"/>
    </row>
    <row r="40362" spans="18:19">
      <c r="R40362" s="178"/>
      <c r="S40362" s="178"/>
    </row>
    <row r="40363" spans="18:19">
      <c r="R40363" s="178"/>
      <c r="S40363" s="178"/>
    </row>
    <row r="40364" spans="18:19">
      <c r="R40364" s="178"/>
      <c r="S40364" s="178"/>
    </row>
    <row r="40365" spans="18:19">
      <c r="R40365" s="178"/>
      <c r="S40365" s="178"/>
    </row>
    <row r="40366" spans="18:19">
      <c r="R40366" s="178"/>
      <c r="S40366" s="178"/>
    </row>
    <row r="40367" spans="18:19">
      <c r="R40367" s="178"/>
      <c r="S40367" s="178"/>
    </row>
    <row r="40368" spans="18:19">
      <c r="R40368" s="178"/>
      <c r="S40368" s="178"/>
    </row>
    <row r="40369" spans="18:19">
      <c r="R40369" s="178"/>
      <c r="S40369" s="178"/>
    </row>
    <row r="40370" spans="18:19">
      <c r="R40370" s="178"/>
      <c r="S40370" s="178"/>
    </row>
    <row r="40371" spans="18:19">
      <c r="R40371" s="178"/>
      <c r="S40371" s="178"/>
    </row>
    <row r="40372" spans="18:19">
      <c r="R40372" s="178"/>
      <c r="S40372" s="178"/>
    </row>
    <row r="40373" spans="18:19">
      <c r="R40373" s="178"/>
      <c r="S40373" s="178"/>
    </row>
    <row r="40374" spans="18:19">
      <c r="R40374" s="178"/>
      <c r="S40374" s="178"/>
    </row>
    <row r="40375" spans="18:19">
      <c r="R40375" s="178"/>
      <c r="S40375" s="178"/>
    </row>
    <row r="40376" spans="18:19">
      <c r="R40376" s="178"/>
      <c r="S40376" s="178"/>
    </row>
    <row r="40377" spans="18:19">
      <c r="R40377" s="178"/>
      <c r="S40377" s="178"/>
    </row>
    <row r="40378" spans="18:19">
      <c r="R40378" s="178"/>
      <c r="S40378" s="178"/>
    </row>
    <row r="40379" spans="18:19">
      <c r="R40379" s="178"/>
      <c r="S40379" s="178"/>
    </row>
    <row r="40380" spans="18:19">
      <c r="R40380" s="178"/>
      <c r="S40380" s="178"/>
    </row>
    <row r="40381" spans="18:19">
      <c r="R40381" s="178"/>
      <c r="S40381" s="178"/>
    </row>
    <row r="40382" spans="18:19">
      <c r="R40382" s="178"/>
      <c r="S40382" s="178"/>
    </row>
    <row r="40383" spans="18:19">
      <c r="R40383" s="178"/>
      <c r="S40383" s="178"/>
    </row>
    <row r="40384" spans="18:19">
      <c r="R40384" s="178"/>
      <c r="S40384" s="178"/>
    </row>
    <row r="40385" spans="18:19">
      <c r="R40385" s="178"/>
      <c r="S40385" s="178"/>
    </row>
    <row r="40386" spans="18:19">
      <c r="R40386" s="178"/>
      <c r="S40386" s="178"/>
    </row>
    <row r="40387" spans="18:19">
      <c r="R40387" s="178"/>
      <c r="S40387" s="178"/>
    </row>
    <row r="40388" spans="18:19">
      <c r="R40388" s="178"/>
      <c r="S40388" s="178"/>
    </row>
    <row r="40389" spans="18:19">
      <c r="R40389" s="178"/>
      <c r="S40389" s="178"/>
    </row>
    <row r="40390" spans="18:19">
      <c r="R40390" s="178"/>
      <c r="S40390" s="178"/>
    </row>
    <row r="40391" spans="18:19">
      <c r="R40391" s="178"/>
      <c r="S40391" s="178"/>
    </row>
    <row r="40392" spans="18:19">
      <c r="R40392" s="178"/>
      <c r="S40392" s="178"/>
    </row>
    <row r="40393" spans="18:19">
      <c r="R40393" s="178"/>
      <c r="S40393" s="178"/>
    </row>
    <row r="40394" spans="18:19">
      <c r="R40394" s="178"/>
      <c r="S40394" s="178"/>
    </row>
    <row r="40395" spans="18:19">
      <c r="R40395" s="178"/>
      <c r="S40395" s="178"/>
    </row>
    <row r="40396" spans="18:19">
      <c r="R40396" s="178"/>
      <c r="S40396" s="178"/>
    </row>
    <row r="40397" spans="18:19">
      <c r="R40397" s="178"/>
      <c r="S40397" s="178"/>
    </row>
    <row r="40398" spans="18:19">
      <c r="R40398" s="178"/>
      <c r="S40398" s="178"/>
    </row>
    <row r="40399" spans="18:19">
      <c r="R40399" s="178"/>
      <c r="S40399" s="178"/>
    </row>
    <row r="40400" spans="18:19">
      <c r="R40400" s="178"/>
      <c r="S40400" s="178"/>
    </row>
    <row r="40401" spans="18:19">
      <c r="R40401" s="178"/>
      <c r="S40401" s="178"/>
    </row>
    <row r="40402" spans="18:19">
      <c r="R40402" s="178"/>
      <c r="S40402" s="178"/>
    </row>
    <row r="40403" spans="18:19">
      <c r="R40403" s="178"/>
      <c r="S40403" s="178"/>
    </row>
    <row r="40404" spans="18:19">
      <c r="R40404" s="178"/>
      <c r="S40404" s="178"/>
    </row>
    <row r="40405" spans="18:19">
      <c r="R40405" s="178"/>
      <c r="S40405" s="178"/>
    </row>
    <row r="40406" spans="18:19">
      <c r="R40406" s="178"/>
      <c r="S40406" s="178"/>
    </row>
    <row r="40407" spans="18:19">
      <c r="R40407" s="178"/>
      <c r="S40407" s="178"/>
    </row>
    <row r="40408" spans="18:19">
      <c r="R40408" s="178"/>
      <c r="S40408" s="178"/>
    </row>
    <row r="40409" spans="18:19">
      <c r="R40409" s="178"/>
      <c r="S40409" s="178"/>
    </row>
    <row r="40410" spans="18:19">
      <c r="R40410" s="178"/>
      <c r="S40410" s="178"/>
    </row>
    <row r="40411" spans="18:19">
      <c r="R40411" s="178"/>
      <c r="S40411" s="178"/>
    </row>
    <row r="40412" spans="18:19">
      <c r="R40412" s="178"/>
      <c r="S40412" s="178"/>
    </row>
    <row r="40413" spans="18:19">
      <c r="R40413" s="178"/>
      <c r="S40413" s="178"/>
    </row>
    <row r="40414" spans="18:19">
      <c r="R40414" s="178"/>
      <c r="S40414" s="178"/>
    </row>
    <row r="40415" spans="18:19">
      <c r="R40415" s="178"/>
      <c r="S40415" s="178"/>
    </row>
    <row r="40416" spans="18:19">
      <c r="R40416" s="178"/>
      <c r="S40416" s="178"/>
    </row>
    <row r="40417" spans="18:19">
      <c r="R40417" s="178"/>
      <c r="S40417" s="178"/>
    </row>
    <row r="40418" spans="18:19">
      <c r="R40418" s="178"/>
      <c r="S40418" s="178"/>
    </row>
    <row r="40419" spans="18:19">
      <c r="R40419" s="178"/>
      <c r="S40419" s="178"/>
    </row>
    <row r="40420" spans="18:19">
      <c r="R40420" s="178"/>
      <c r="S40420" s="178"/>
    </row>
    <row r="40421" spans="18:19">
      <c r="R40421" s="178"/>
      <c r="S40421" s="178"/>
    </row>
    <row r="40422" spans="18:19">
      <c r="R40422" s="178"/>
      <c r="S40422" s="178"/>
    </row>
    <row r="40423" spans="18:19">
      <c r="R40423" s="178"/>
      <c r="S40423" s="178"/>
    </row>
    <row r="40424" spans="18:19">
      <c r="R40424" s="178"/>
      <c r="S40424" s="178"/>
    </row>
    <row r="40425" spans="18:19">
      <c r="R40425" s="178"/>
      <c r="S40425" s="178"/>
    </row>
    <row r="40426" spans="18:19">
      <c r="R40426" s="178"/>
      <c r="S40426" s="178"/>
    </row>
    <row r="40427" spans="18:19">
      <c r="R40427" s="178"/>
      <c r="S40427" s="178"/>
    </row>
    <row r="40428" spans="18:19">
      <c r="R40428" s="178"/>
      <c r="S40428" s="178"/>
    </row>
    <row r="40429" spans="18:19">
      <c r="R40429" s="178"/>
      <c r="S40429" s="178"/>
    </row>
    <row r="40430" spans="18:19">
      <c r="R40430" s="178"/>
      <c r="S40430" s="178"/>
    </row>
    <row r="40431" spans="18:19">
      <c r="R40431" s="178"/>
      <c r="S40431" s="178"/>
    </row>
    <row r="40432" spans="18:19">
      <c r="R40432" s="178"/>
      <c r="S40432" s="178"/>
    </row>
    <row r="40433" spans="18:19">
      <c r="R40433" s="178"/>
      <c r="S40433" s="178"/>
    </row>
    <row r="40434" spans="18:19">
      <c r="R40434" s="178"/>
      <c r="S40434" s="178"/>
    </row>
    <row r="40435" spans="18:19">
      <c r="R40435" s="178"/>
      <c r="S40435" s="178"/>
    </row>
    <row r="40436" spans="18:19">
      <c r="R40436" s="178"/>
      <c r="S40436" s="178"/>
    </row>
    <row r="40437" spans="18:19">
      <c r="R40437" s="178"/>
      <c r="S40437" s="178"/>
    </row>
    <row r="40438" spans="18:19">
      <c r="R40438" s="178"/>
      <c r="S40438" s="178"/>
    </row>
    <row r="40439" spans="18:19">
      <c r="R40439" s="178"/>
      <c r="S40439" s="178"/>
    </row>
    <row r="40440" spans="18:19">
      <c r="R40440" s="178"/>
      <c r="S40440" s="178"/>
    </row>
    <row r="40441" spans="18:19">
      <c r="R40441" s="178"/>
      <c r="S40441" s="178"/>
    </row>
    <row r="40442" spans="18:19">
      <c r="R40442" s="178"/>
      <c r="S40442" s="178"/>
    </row>
    <row r="40443" spans="18:19">
      <c r="R40443" s="178"/>
      <c r="S40443" s="178"/>
    </row>
    <row r="40444" spans="18:19">
      <c r="R40444" s="178"/>
      <c r="S40444" s="178"/>
    </row>
    <row r="40445" spans="18:19">
      <c r="R40445" s="178"/>
      <c r="S40445" s="178"/>
    </row>
    <row r="40446" spans="18:19">
      <c r="R40446" s="178"/>
      <c r="S40446" s="178"/>
    </row>
    <row r="40447" spans="18:19">
      <c r="R40447" s="178"/>
      <c r="S40447" s="178"/>
    </row>
    <row r="40448" spans="18:19">
      <c r="R40448" s="178"/>
      <c r="S40448" s="178"/>
    </row>
    <row r="40449" spans="18:19">
      <c r="R40449" s="178"/>
      <c r="S40449" s="178"/>
    </row>
    <row r="40450" spans="18:19">
      <c r="R40450" s="178"/>
      <c r="S40450" s="178"/>
    </row>
    <row r="40451" spans="18:19">
      <c r="R40451" s="178"/>
      <c r="S40451" s="178"/>
    </row>
    <row r="40452" spans="18:19">
      <c r="R40452" s="178"/>
      <c r="S40452" s="178"/>
    </row>
    <row r="40453" spans="18:19">
      <c r="R40453" s="178"/>
      <c r="S40453" s="178"/>
    </row>
    <row r="40454" spans="18:19">
      <c r="R40454" s="178"/>
      <c r="S40454" s="178"/>
    </row>
    <row r="40455" spans="18:19">
      <c r="R40455" s="178"/>
      <c r="S40455" s="178"/>
    </row>
    <row r="40456" spans="18:19">
      <c r="R40456" s="178"/>
      <c r="S40456" s="178"/>
    </row>
    <row r="40457" spans="18:19">
      <c r="R40457" s="178"/>
      <c r="S40457" s="178"/>
    </row>
    <row r="40458" spans="18:19">
      <c r="R40458" s="178"/>
      <c r="S40458" s="178"/>
    </row>
    <row r="40459" spans="18:19">
      <c r="R40459" s="178"/>
      <c r="S40459" s="178"/>
    </row>
    <row r="40460" spans="18:19">
      <c r="R40460" s="178"/>
      <c r="S40460" s="178"/>
    </row>
    <row r="40461" spans="18:19">
      <c r="R40461" s="178"/>
      <c r="S40461" s="178"/>
    </row>
    <row r="40462" spans="18:19">
      <c r="R40462" s="178"/>
      <c r="S40462" s="178"/>
    </row>
    <row r="40463" spans="18:19">
      <c r="R40463" s="178"/>
      <c r="S40463" s="178"/>
    </row>
    <row r="40464" spans="18:19">
      <c r="R40464" s="178"/>
      <c r="S40464" s="178"/>
    </row>
    <row r="40465" spans="18:19">
      <c r="R40465" s="178"/>
      <c r="S40465" s="178"/>
    </row>
    <row r="40466" spans="18:19">
      <c r="R40466" s="178"/>
      <c r="S40466" s="178"/>
    </row>
    <row r="40467" spans="18:19">
      <c r="R40467" s="178"/>
      <c r="S40467" s="178"/>
    </row>
    <row r="40468" spans="18:19">
      <c r="R40468" s="178"/>
      <c r="S40468" s="178"/>
    </row>
    <row r="40469" spans="18:19">
      <c r="R40469" s="178"/>
      <c r="S40469" s="178"/>
    </row>
    <row r="40470" spans="18:19">
      <c r="R40470" s="178"/>
      <c r="S40470" s="178"/>
    </row>
    <row r="40471" spans="18:19">
      <c r="R40471" s="178"/>
      <c r="S40471" s="178"/>
    </row>
    <row r="40472" spans="18:19">
      <c r="R40472" s="178"/>
      <c r="S40472" s="178"/>
    </row>
    <row r="40473" spans="18:19">
      <c r="R40473" s="178"/>
      <c r="S40473" s="178"/>
    </row>
    <row r="40474" spans="18:19">
      <c r="R40474" s="178"/>
      <c r="S40474" s="178"/>
    </row>
    <row r="40475" spans="18:19">
      <c r="R40475" s="178"/>
      <c r="S40475" s="178"/>
    </row>
    <row r="40476" spans="18:19">
      <c r="R40476" s="178"/>
      <c r="S40476" s="178"/>
    </row>
    <row r="40477" spans="18:19">
      <c r="R40477" s="178"/>
      <c r="S40477" s="178"/>
    </row>
    <row r="40478" spans="18:19">
      <c r="R40478" s="178"/>
      <c r="S40478" s="178"/>
    </row>
    <row r="40479" spans="18:19">
      <c r="R40479" s="178"/>
      <c r="S40479" s="178"/>
    </row>
    <row r="40480" spans="18:19">
      <c r="R40480" s="178"/>
      <c r="S40480" s="178"/>
    </row>
    <row r="40481" spans="18:19">
      <c r="R40481" s="178"/>
      <c r="S40481" s="178"/>
    </row>
    <row r="40482" spans="18:19">
      <c r="R40482" s="178"/>
      <c r="S40482" s="178"/>
    </row>
    <row r="40483" spans="18:19">
      <c r="R40483" s="178"/>
      <c r="S40483" s="178"/>
    </row>
    <row r="40484" spans="18:19">
      <c r="R40484" s="178"/>
      <c r="S40484" s="178"/>
    </row>
    <row r="40485" spans="18:19">
      <c r="R40485" s="178"/>
      <c r="S40485" s="178"/>
    </row>
    <row r="40486" spans="18:19">
      <c r="R40486" s="178"/>
      <c r="S40486" s="178"/>
    </row>
    <row r="40487" spans="18:19">
      <c r="R40487" s="178"/>
      <c r="S40487" s="178"/>
    </row>
    <row r="40488" spans="18:19">
      <c r="R40488" s="178"/>
      <c r="S40488" s="178"/>
    </row>
    <row r="40489" spans="18:19">
      <c r="R40489" s="178"/>
      <c r="S40489" s="178"/>
    </row>
    <row r="40490" spans="18:19">
      <c r="R40490" s="178"/>
      <c r="S40490" s="178"/>
    </row>
    <row r="40491" spans="18:19">
      <c r="R40491" s="178"/>
      <c r="S40491" s="178"/>
    </row>
    <row r="40492" spans="18:19">
      <c r="R40492" s="178"/>
      <c r="S40492" s="178"/>
    </row>
    <row r="40493" spans="18:19">
      <c r="R40493" s="178"/>
      <c r="S40493" s="178"/>
    </row>
    <row r="40494" spans="18:19">
      <c r="R40494" s="178"/>
      <c r="S40494" s="178"/>
    </row>
    <row r="40495" spans="18:19">
      <c r="R40495" s="178"/>
      <c r="S40495" s="178"/>
    </row>
    <row r="40496" spans="18:19">
      <c r="R40496" s="178"/>
      <c r="S40496" s="178"/>
    </row>
    <row r="40497" spans="18:19">
      <c r="R40497" s="178"/>
      <c r="S40497" s="178"/>
    </row>
    <row r="40498" spans="18:19">
      <c r="R40498" s="178"/>
      <c r="S40498" s="178"/>
    </row>
    <row r="40499" spans="18:19">
      <c r="R40499" s="178"/>
      <c r="S40499" s="178"/>
    </row>
    <row r="40500" spans="18:19">
      <c r="R40500" s="178"/>
      <c r="S40500" s="178"/>
    </row>
    <row r="40501" spans="18:19">
      <c r="R40501" s="178"/>
      <c r="S40501" s="178"/>
    </row>
    <row r="40502" spans="18:19">
      <c r="R40502" s="178"/>
      <c r="S40502" s="178"/>
    </row>
    <row r="40503" spans="18:19">
      <c r="R40503" s="178"/>
      <c r="S40503" s="178"/>
    </row>
    <row r="40504" spans="18:19">
      <c r="R40504" s="178"/>
      <c r="S40504" s="178"/>
    </row>
    <row r="40505" spans="18:19">
      <c r="R40505" s="178"/>
      <c r="S40505" s="178"/>
    </row>
    <row r="40506" spans="18:19">
      <c r="R40506" s="178"/>
      <c r="S40506" s="178"/>
    </row>
    <row r="40507" spans="18:19">
      <c r="R40507" s="178"/>
      <c r="S40507" s="178"/>
    </row>
    <row r="40508" spans="18:19">
      <c r="R40508" s="178"/>
      <c r="S40508" s="178"/>
    </row>
    <row r="40509" spans="18:19">
      <c r="R40509" s="178"/>
      <c r="S40509" s="178"/>
    </row>
    <row r="40510" spans="18:19">
      <c r="R40510" s="178"/>
      <c r="S40510" s="178"/>
    </row>
    <row r="40511" spans="18:19">
      <c r="R40511" s="178"/>
      <c r="S40511" s="178"/>
    </row>
    <row r="40512" spans="18:19">
      <c r="R40512" s="178"/>
      <c r="S40512" s="178"/>
    </row>
    <row r="40513" spans="18:19">
      <c r="R40513" s="178"/>
      <c r="S40513" s="178"/>
    </row>
    <row r="40514" spans="18:19">
      <c r="R40514" s="178"/>
      <c r="S40514" s="178"/>
    </row>
    <row r="40515" spans="18:19">
      <c r="R40515" s="178"/>
      <c r="S40515" s="178"/>
    </row>
    <row r="40516" spans="18:19">
      <c r="R40516" s="178"/>
      <c r="S40516" s="178"/>
    </row>
    <row r="40517" spans="18:19">
      <c r="R40517" s="178"/>
      <c r="S40517" s="178"/>
    </row>
    <row r="40518" spans="18:19">
      <c r="R40518" s="178"/>
      <c r="S40518" s="178"/>
    </row>
    <row r="40519" spans="18:19">
      <c r="R40519" s="178"/>
      <c r="S40519" s="178"/>
    </row>
    <row r="40520" spans="18:19">
      <c r="R40520" s="178"/>
      <c r="S40520" s="178"/>
    </row>
    <row r="40521" spans="18:19">
      <c r="R40521" s="178"/>
      <c r="S40521" s="178"/>
    </row>
    <row r="40522" spans="18:19">
      <c r="R40522" s="178"/>
      <c r="S40522" s="178"/>
    </row>
    <row r="40523" spans="18:19">
      <c r="R40523" s="178"/>
      <c r="S40523" s="178"/>
    </row>
    <row r="40524" spans="18:19">
      <c r="R40524" s="178"/>
      <c r="S40524" s="178"/>
    </row>
    <row r="40525" spans="18:19">
      <c r="R40525" s="178"/>
      <c r="S40525" s="178"/>
    </row>
    <row r="40526" spans="18:19">
      <c r="R40526" s="178"/>
      <c r="S40526" s="178"/>
    </row>
    <row r="40527" spans="18:19">
      <c r="R40527" s="178"/>
      <c r="S40527" s="178"/>
    </row>
    <row r="40528" spans="18:19">
      <c r="R40528" s="178"/>
      <c r="S40528" s="178"/>
    </row>
    <row r="40529" spans="18:19">
      <c r="R40529" s="178"/>
      <c r="S40529" s="178"/>
    </row>
    <row r="40530" spans="18:19">
      <c r="R40530" s="178"/>
      <c r="S40530" s="178"/>
    </row>
    <row r="40531" spans="18:19">
      <c r="R40531" s="178"/>
      <c r="S40531" s="178"/>
    </row>
    <row r="40532" spans="18:19">
      <c r="R40532" s="178"/>
      <c r="S40532" s="178"/>
    </row>
    <row r="40533" spans="18:19">
      <c r="R40533" s="178"/>
      <c r="S40533" s="178"/>
    </row>
    <row r="40534" spans="18:19">
      <c r="R40534" s="178"/>
      <c r="S40534" s="178"/>
    </row>
    <row r="40535" spans="18:19">
      <c r="R40535" s="178"/>
      <c r="S40535" s="178"/>
    </row>
    <row r="40536" spans="18:19">
      <c r="R40536" s="178"/>
      <c r="S40536" s="178"/>
    </row>
    <row r="40537" spans="18:19">
      <c r="R40537" s="178"/>
      <c r="S40537" s="178"/>
    </row>
    <row r="40538" spans="18:19">
      <c r="R40538" s="178"/>
      <c r="S40538" s="178"/>
    </row>
    <row r="40539" spans="18:19">
      <c r="R40539" s="178"/>
      <c r="S40539" s="178"/>
    </row>
    <row r="40540" spans="18:19">
      <c r="R40540" s="178"/>
      <c r="S40540" s="178"/>
    </row>
    <row r="40541" spans="18:19">
      <c r="R40541" s="178"/>
      <c r="S40541" s="178"/>
    </row>
    <row r="40542" spans="18:19">
      <c r="R40542" s="178"/>
      <c r="S40542" s="178"/>
    </row>
    <row r="40543" spans="18:19">
      <c r="R40543" s="178"/>
      <c r="S40543" s="178"/>
    </row>
    <row r="40544" spans="18:19">
      <c r="R40544" s="178"/>
      <c r="S40544" s="178"/>
    </row>
    <row r="40545" spans="18:19">
      <c r="R40545" s="178"/>
      <c r="S40545" s="178"/>
    </row>
    <row r="40546" spans="18:19">
      <c r="R40546" s="178"/>
      <c r="S40546" s="178"/>
    </row>
    <row r="40547" spans="18:19">
      <c r="R40547" s="178"/>
      <c r="S40547" s="178"/>
    </row>
    <row r="40548" spans="18:19">
      <c r="R40548" s="178"/>
      <c r="S40548" s="178"/>
    </row>
    <row r="40549" spans="18:19">
      <c r="R40549" s="178"/>
      <c r="S40549" s="178"/>
    </row>
    <row r="40550" spans="18:19">
      <c r="R40550" s="178"/>
      <c r="S40550" s="178"/>
    </row>
    <row r="40551" spans="18:19">
      <c r="R40551" s="178"/>
      <c r="S40551" s="178"/>
    </row>
    <row r="40552" spans="18:19">
      <c r="R40552" s="178"/>
      <c r="S40552" s="178"/>
    </row>
    <row r="40553" spans="18:19">
      <c r="R40553" s="178"/>
      <c r="S40553" s="178"/>
    </row>
    <row r="40554" spans="18:19">
      <c r="R40554" s="178"/>
      <c r="S40554" s="178"/>
    </row>
    <row r="40555" spans="18:19">
      <c r="R40555" s="178"/>
      <c r="S40555" s="178"/>
    </row>
    <row r="40556" spans="18:19">
      <c r="R40556" s="178"/>
      <c r="S40556" s="178"/>
    </row>
    <row r="40557" spans="18:19">
      <c r="R40557" s="178"/>
      <c r="S40557" s="178"/>
    </row>
    <row r="40558" spans="18:19">
      <c r="R40558" s="178"/>
      <c r="S40558" s="178"/>
    </row>
    <row r="40559" spans="18:19">
      <c r="R40559" s="178"/>
      <c r="S40559" s="178"/>
    </row>
    <row r="40560" spans="18:19">
      <c r="R40560" s="178"/>
      <c r="S40560" s="178"/>
    </row>
    <row r="40561" spans="18:19">
      <c r="R40561" s="178"/>
      <c r="S40561" s="178"/>
    </row>
    <row r="40562" spans="18:19">
      <c r="R40562" s="178"/>
      <c r="S40562" s="178"/>
    </row>
    <row r="40563" spans="18:19">
      <c r="R40563" s="178"/>
      <c r="S40563" s="178"/>
    </row>
    <row r="40564" spans="18:19">
      <c r="R40564" s="178"/>
      <c r="S40564" s="178"/>
    </row>
    <row r="40565" spans="18:19">
      <c r="R40565" s="178"/>
      <c r="S40565" s="178"/>
    </row>
    <row r="40566" spans="18:19">
      <c r="R40566" s="178"/>
      <c r="S40566" s="178"/>
    </row>
    <row r="40567" spans="18:19">
      <c r="R40567" s="178"/>
      <c r="S40567" s="178"/>
    </row>
    <row r="40568" spans="18:19">
      <c r="R40568" s="178"/>
      <c r="S40568" s="178"/>
    </row>
    <row r="40569" spans="18:19">
      <c r="R40569" s="178"/>
      <c r="S40569" s="178"/>
    </row>
    <row r="40570" spans="18:19">
      <c r="R40570" s="178"/>
      <c r="S40570" s="178"/>
    </row>
    <row r="40571" spans="18:19">
      <c r="R40571" s="178"/>
      <c r="S40571" s="178"/>
    </row>
    <row r="40572" spans="18:19">
      <c r="R40572" s="178"/>
      <c r="S40572" s="178"/>
    </row>
    <row r="40573" spans="18:19">
      <c r="R40573" s="178"/>
      <c r="S40573" s="178"/>
    </row>
    <row r="40574" spans="18:19">
      <c r="R40574" s="178"/>
      <c r="S40574" s="178"/>
    </row>
    <row r="40575" spans="18:19">
      <c r="R40575" s="178"/>
      <c r="S40575" s="178"/>
    </row>
    <row r="40576" spans="18:19">
      <c r="R40576" s="178"/>
      <c r="S40576" s="178"/>
    </row>
    <row r="40577" spans="18:19">
      <c r="R40577" s="178"/>
      <c r="S40577" s="178"/>
    </row>
    <row r="40578" spans="18:19">
      <c r="R40578" s="178"/>
      <c r="S40578" s="178"/>
    </row>
    <row r="40579" spans="18:19">
      <c r="R40579" s="178"/>
      <c r="S40579" s="178"/>
    </row>
    <row r="40580" spans="18:19">
      <c r="R40580" s="178"/>
      <c r="S40580" s="178"/>
    </row>
    <row r="40581" spans="18:19">
      <c r="R40581" s="178"/>
      <c r="S40581" s="178"/>
    </row>
    <row r="40582" spans="18:19">
      <c r="R40582" s="178"/>
      <c r="S40582" s="178"/>
    </row>
    <row r="40583" spans="18:19">
      <c r="R40583" s="178"/>
      <c r="S40583" s="178"/>
    </row>
    <row r="40584" spans="18:19">
      <c r="R40584" s="178"/>
      <c r="S40584" s="178"/>
    </row>
    <row r="40585" spans="18:19">
      <c r="R40585" s="178"/>
      <c r="S40585" s="178"/>
    </row>
    <row r="40586" spans="18:19">
      <c r="R40586" s="178"/>
      <c r="S40586" s="178"/>
    </row>
    <row r="40587" spans="18:19">
      <c r="R40587" s="178"/>
      <c r="S40587" s="178"/>
    </row>
    <row r="40588" spans="18:19">
      <c r="R40588" s="178"/>
      <c r="S40588" s="178"/>
    </row>
    <row r="40589" spans="18:19">
      <c r="R40589" s="178"/>
      <c r="S40589" s="178"/>
    </row>
    <row r="40590" spans="18:19">
      <c r="R40590" s="178"/>
      <c r="S40590" s="178"/>
    </row>
    <row r="40591" spans="18:19">
      <c r="R40591" s="178"/>
      <c r="S40591" s="178"/>
    </row>
    <row r="40592" spans="18:19">
      <c r="R40592" s="178"/>
      <c r="S40592" s="178"/>
    </row>
    <row r="40593" spans="18:19">
      <c r="R40593" s="178"/>
      <c r="S40593" s="178"/>
    </row>
    <row r="40594" spans="18:19">
      <c r="R40594" s="178"/>
      <c r="S40594" s="178"/>
    </row>
    <row r="40595" spans="18:19">
      <c r="R40595" s="178"/>
      <c r="S40595" s="178"/>
    </row>
    <row r="40596" spans="18:19">
      <c r="R40596" s="178"/>
      <c r="S40596" s="178"/>
    </row>
    <row r="40597" spans="18:19">
      <c r="R40597" s="178"/>
      <c r="S40597" s="178"/>
    </row>
    <row r="40598" spans="18:19">
      <c r="R40598" s="178"/>
      <c r="S40598" s="178"/>
    </row>
    <row r="40599" spans="18:19">
      <c r="R40599" s="178"/>
      <c r="S40599" s="178"/>
    </row>
    <row r="40600" spans="18:19">
      <c r="R40600" s="178"/>
      <c r="S40600" s="178"/>
    </row>
    <row r="40601" spans="18:19">
      <c r="R40601" s="178"/>
      <c r="S40601" s="178"/>
    </row>
    <row r="40602" spans="18:19">
      <c r="R40602" s="178"/>
      <c r="S40602" s="178"/>
    </row>
    <row r="40603" spans="18:19">
      <c r="R40603" s="178"/>
      <c r="S40603" s="178"/>
    </row>
    <row r="40604" spans="18:19">
      <c r="R40604" s="178"/>
      <c r="S40604" s="178"/>
    </row>
    <row r="40605" spans="18:19">
      <c r="R40605" s="178"/>
      <c r="S40605" s="178"/>
    </row>
    <row r="40606" spans="18:19">
      <c r="R40606" s="178"/>
      <c r="S40606" s="178"/>
    </row>
    <row r="40607" spans="18:19">
      <c r="R40607" s="178"/>
      <c r="S40607" s="178"/>
    </row>
    <row r="40608" spans="18:19">
      <c r="R40608" s="178"/>
      <c r="S40608" s="178"/>
    </row>
    <row r="40609" spans="18:19">
      <c r="R40609" s="178"/>
      <c r="S40609" s="178"/>
    </row>
    <row r="40610" spans="18:19">
      <c r="R40610" s="178"/>
      <c r="S40610" s="178"/>
    </row>
    <row r="40611" spans="18:19">
      <c r="R40611" s="178"/>
      <c r="S40611" s="178"/>
    </row>
    <row r="40612" spans="18:19">
      <c r="R40612" s="178"/>
      <c r="S40612" s="178"/>
    </row>
    <row r="40613" spans="18:19">
      <c r="R40613" s="178"/>
      <c r="S40613" s="178"/>
    </row>
    <row r="40614" spans="18:19">
      <c r="R40614" s="178"/>
      <c r="S40614" s="178"/>
    </row>
    <row r="40615" spans="18:19">
      <c r="R40615" s="178"/>
      <c r="S40615" s="178"/>
    </row>
    <row r="40616" spans="18:19">
      <c r="R40616" s="178"/>
      <c r="S40616" s="178"/>
    </row>
    <row r="40617" spans="18:19">
      <c r="R40617" s="178"/>
      <c r="S40617" s="178"/>
    </row>
    <row r="40618" spans="18:19">
      <c r="R40618" s="178"/>
      <c r="S40618" s="178"/>
    </row>
    <row r="40619" spans="18:19">
      <c r="R40619" s="178"/>
      <c r="S40619" s="178"/>
    </row>
    <row r="40620" spans="18:19">
      <c r="R40620" s="178"/>
      <c r="S40620" s="178"/>
    </row>
    <row r="40621" spans="18:19">
      <c r="R40621" s="178"/>
      <c r="S40621" s="178"/>
    </row>
    <row r="40622" spans="18:19">
      <c r="R40622" s="178"/>
      <c r="S40622" s="178"/>
    </row>
    <row r="40623" spans="18:19">
      <c r="R40623" s="178"/>
      <c r="S40623" s="178"/>
    </row>
    <row r="40624" spans="18:19">
      <c r="R40624" s="178"/>
      <c r="S40624" s="178"/>
    </row>
    <row r="40625" spans="18:19">
      <c r="R40625" s="178"/>
      <c r="S40625" s="178"/>
    </row>
    <row r="40626" spans="18:19">
      <c r="R40626" s="178"/>
      <c r="S40626" s="178"/>
    </row>
    <row r="40627" spans="18:19">
      <c r="R40627" s="178"/>
      <c r="S40627" s="178"/>
    </row>
    <row r="40628" spans="18:19">
      <c r="R40628" s="178"/>
      <c r="S40628" s="178"/>
    </row>
    <row r="40629" spans="18:19">
      <c r="R40629" s="178"/>
      <c r="S40629" s="178"/>
    </row>
    <row r="40630" spans="18:19">
      <c r="R40630" s="178"/>
      <c r="S40630" s="178"/>
    </row>
    <row r="40631" spans="18:19">
      <c r="R40631" s="178"/>
      <c r="S40631" s="178"/>
    </row>
    <row r="40632" spans="18:19">
      <c r="R40632" s="178"/>
      <c r="S40632" s="178"/>
    </row>
    <row r="40633" spans="18:19">
      <c r="R40633" s="178"/>
      <c r="S40633" s="178"/>
    </row>
    <row r="40634" spans="18:19">
      <c r="R40634" s="178"/>
      <c r="S40634" s="178"/>
    </row>
    <row r="40635" spans="18:19">
      <c r="R40635" s="178"/>
      <c r="S40635" s="178"/>
    </row>
    <row r="40636" spans="18:19">
      <c r="R40636" s="178"/>
      <c r="S40636" s="178"/>
    </row>
    <row r="40637" spans="18:19">
      <c r="R40637" s="178"/>
      <c r="S40637" s="178"/>
    </row>
    <row r="40638" spans="18:19">
      <c r="R40638" s="178"/>
      <c r="S40638" s="178"/>
    </row>
    <row r="40639" spans="18:19">
      <c r="R40639" s="178"/>
      <c r="S40639" s="178"/>
    </row>
    <row r="40640" spans="18:19">
      <c r="R40640" s="178"/>
      <c r="S40640" s="178"/>
    </row>
    <row r="40641" spans="18:19">
      <c r="R40641" s="178"/>
      <c r="S40641" s="178"/>
    </row>
    <row r="40642" spans="18:19">
      <c r="R40642" s="178"/>
      <c r="S40642" s="178"/>
    </row>
    <row r="40643" spans="18:19">
      <c r="R40643" s="178"/>
      <c r="S40643" s="178"/>
    </row>
    <row r="40644" spans="18:19">
      <c r="R40644" s="178"/>
      <c r="S40644" s="178"/>
    </row>
    <row r="40645" spans="18:19">
      <c r="R40645" s="178"/>
      <c r="S40645" s="178"/>
    </row>
    <row r="40646" spans="18:19">
      <c r="R40646" s="178"/>
      <c r="S40646" s="178"/>
    </row>
    <row r="40647" spans="18:19">
      <c r="R40647" s="178"/>
      <c r="S40647" s="178"/>
    </row>
    <row r="40648" spans="18:19">
      <c r="R40648" s="178"/>
      <c r="S40648" s="178"/>
    </row>
    <row r="40649" spans="18:19">
      <c r="R40649" s="178"/>
      <c r="S40649" s="178"/>
    </row>
    <row r="40650" spans="18:19">
      <c r="R40650" s="178"/>
      <c r="S40650" s="178"/>
    </row>
    <row r="40651" spans="18:19">
      <c r="R40651" s="178"/>
      <c r="S40651" s="178"/>
    </row>
    <row r="40652" spans="18:19">
      <c r="R40652" s="178"/>
      <c r="S40652" s="178"/>
    </row>
    <row r="40653" spans="18:19">
      <c r="R40653" s="178"/>
      <c r="S40653" s="178"/>
    </row>
    <row r="40654" spans="18:19">
      <c r="R40654" s="178"/>
      <c r="S40654" s="178"/>
    </row>
    <row r="40655" spans="18:19">
      <c r="R40655" s="178"/>
      <c r="S40655" s="178"/>
    </row>
    <row r="40656" spans="18:19">
      <c r="R40656" s="178"/>
      <c r="S40656" s="178"/>
    </row>
    <row r="40657" spans="18:19">
      <c r="R40657" s="178"/>
      <c r="S40657" s="178"/>
    </row>
    <row r="40658" spans="18:19">
      <c r="R40658" s="178"/>
      <c r="S40658" s="178"/>
    </row>
    <row r="40659" spans="18:19">
      <c r="R40659" s="178"/>
      <c r="S40659" s="178"/>
    </row>
    <row r="40660" spans="18:19">
      <c r="R40660" s="178"/>
      <c r="S40660" s="178"/>
    </row>
    <row r="40661" spans="18:19">
      <c r="R40661" s="178"/>
      <c r="S40661" s="178"/>
    </row>
    <row r="40662" spans="18:19">
      <c r="R40662" s="178"/>
      <c r="S40662" s="178"/>
    </row>
    <row r="40663" spans="18:19">
      <c r="R40663" s="178"/>
      <c r="S40663" s="178"/>
    </row>
    <row r="40664" spans="18:19">
      <c r="R40664" s="178"/>
      <c r="S40664" s="178"/>
    </row>
    <row r="40665" spans="18:19">
      <c r="R40665" s="178"/>
      <c r="S40665" s="178"/>
    </row>
    <row r="40666" spans="18:19">
      <c r="R40666" s="178"/>
      <c r="S40666" s="178"/>
    </row>
    <row r="40667" spans="18:19">
      <c r="R40667" s="178"/>
      <c r="S40667" s="178"/>
    </row>
    <row r="40668" spans="18:19">
      <c r="R40668" s="178"/>
      <c r="S40668" s="178"/>
    </row>
    <row r="40669" spans="18:19">
      <c r="R40669" s="178"/>
      <c r="S40669" s="178"/>
    </row>
    <row r="40670" spans="18:19">
      <c r="R40670" s="178"/>
      <c r="S40670" s="178"/>
    </row>
    <row r="40671" spans="18:19">
      <c r="R40671" s="178"/>
      <c r="S40671" s="178"/>
    </row>
    <row r="40672" spans="18:19">
      <c r="R40672" s="178"/>
      <c r="S40672" s="178"/>
    </row>
    <row r="40673" spans="18:19">
      <c r="R40673" s="178"/>
      <c r="S40673" s="178"/>
    </row>
    <row r="40674" spans="18:19">
      <c r="R40674" s="178"/>
      <c r="S40674" s="178"/>
    </row>
    <row r="40675" spans="18:19">
      <c r="R40675" s="178"/>
      <c r="S40675" s="178"/>
    </row>
    <row r="40676" spans="18:19">
      <c r="R40676" s="178"/>
      <c r="S40676" s="178"/>
    </row>
    <row r="40677" spans="18:19">
      <c r="R40677" s="178"/>
      <c r="S40677" s="178"/>
    </row>
    <row r="40678" spans="18:19">
      <c r="R40678" s="178"/>
      <c r="S40678" s="178"/>
    </row>
    <row r="40679" spans="18:19">
      <c r="R40679" s="178"/>
      <c r="S40679" s="178"/>
    </row>
    <row r="40680" spans="18:19">
      <c r="R40680" s="178"/>
      <c r="S40680" s="178"/>
    </row>
    <row r="40681" spans="18:19">
      <c r="R40681" s="178"/>
      <c r="S40681" s="178"/>
    </row>
    <row r="40682" spans="18:19">
      <c r="R40682" s="178"/>
      <c r="S40682" s="178"/>
    </row>
    <row r="40683" spans="18:19">
      <c r="R40683" s="178"/>
      <c r="S40683" s="178"/>
    </row>
    <row r="40684" spans="18:19">
      <c r="R40684" s="178"/>
      <c r="S40684" s="178"/>
    </row>
    <row r="40685" spans="18:19">
      <c r="R40685" s="178"/>
      <c r="S40685" s="178"/>
    </row>
    <row r="40686" spans="18:19">
      <c r="R40686" s="178"/>
      <c r="S40686" s="178"/>
    </row>
    <row r="40687" spans="18:19">
      <c r="R40687" s="178"/>
      <c r="S40687" s="178"/>
    </row>
    <row r="40688" spans="18:19">
      <c r="R40688" s="178"/>
      <c r="S40688" s="178"/>
    </row>
    <row r="40689" spans="18:19">
      <c r="R40689" s="178"/>
      <c r="S40689" s="178"/>
    </row>
    <row r="40690" spans="18:19">
      <c r="R40690" s="178"/>
      <c r="S40690" s="178"/>
    </row>
    <row r="40691" spans="18:19">
      <c r="R40691" s="178"/>
      <c r="S40691" s="178"/>
    </row>
    <row r="40692" spans="18:19">
      <c r="R40692" s="178"/>
      <c r="S40692" s="178"/>
    </row>
    <row r="40693" spans="18:19">
      <c r="R40693" s="178"/>
      <c r="S40693" s="178"/>
    </row>
    <row r="40694" spans="18:19">
      <c r="R40694" s="178"/>
      <c r="S40694" s="178"/>
    </row>
    <row r="40695" spans="18:19">
      <c r="R40695" s="178"/>
      <c r="S40695" s="178"/>
    </row>
    <row r="40696" spans="18:19">
      <c r="R40696" s="178"/>
      <c r="S40696" s="178"/>
    </row>
    <row r="40697" spans="18:19">
      <c r="R40697" s="178"/>
      <c r="S40697" s="178"/>
    </row>
    <row r="40698" spans="18:19">
      <c r="R40698" s="178"/>
      <c r="S40698" s="178"/>
    </row>
    <row r="40699" spans="18:19">
      <c r="R40699" s="178"/>
      <c r="S40699" s="178"/>
    </row>
    <row r="40700" spans="18:19">
      <c r="R40700" s="178"/>
      <c r="S40700" s="178"/>
    </row>
    <row r="40701" spans="18:19">
      <c r="R40701" s="178"/>
      <c r="S40701" s="178"/>
    </row>
    <row r="40702" spans="18:19">
      <c r="R40702" s="178"/>
      <c r="S40702" s="178"/>
    </row>
    <row r="40703" spans="18:19">
      <c r="R40703" s="178"/>
      <c r="S40703" s="178"/>
    </row>
    <row r="40704" spans="18:19">
      <c r="R40704" s="178"/>
      <c r="S40704" s="178"/>
    </row>
    <row r="40705" spans="18:19">
      <c r="R40705" s="178"/>
      <c r="S40705" s="178"/>
    </row>
    <row r="40706" spans="18:19">
      <c r="R40706" s="178"/>
      <c r="S40706" s="178"/>
    </row>
    <row r="40707" spans="18:19">
      <c r="R40707" s="178"/>
      <c r="S40707" s="178"/>
    </row>
    <row r="40708" spans="18:19">
      <c r="R40708" s="178"/>
      <c r="S40708" s="178"/>
    </row>
    <row r="40709" spans="18:19">
      <c r="R40709" s="178"/>
      <c r="S40709" s="178"/>
    </row>
    <row r="40710" spans="18:19">
      <c r="R40710" s="178"/>
      <c r="S40710" s="178"/>
    </row>
    <row r="40711" spans="18:19">
      <c r="R40711" s="178"/>
      <c r="S40711" s="178"/>
    </row>
    <row r="40712" spans="18:19">
      <c r="R40712" s="178"/>
      <c r="S40712" s="178"/>
    </row>
    <row r="40713" spans="18:19">
      <c r="R40713" s="178"/>
      <c r="S40713" s="178"/>
    </row>
    <row r="40714" spans="18:19">
      <c r="R40714" s="178"/>
      <c r="S40714" s="178"/>
    </row>
    <row r="40715" spans="18:19">
      <c r="R40715" s="178"/>
      <c r="S40715" s="178"/>
    </row>
    <row r="40716" spans="18:19">
      <c r="R40716" s="178"/>
      <c r="S40716" s="178"/>
    </row>
    <row r="40717" spans="18:19">
      <c r="R40717" s="178"/>
      <c r="S40717" s="178"/>
    </row>
    <row r="40718" spans="18:19">
      <c r="R40718" s="178"/>
      <c r="S40718" s="178"/>
    </row>
    <row r="40719" spans="18:19">
      <c r="R40719" s="178"/>
      <c r="S40719" s="178"/>
    </row>
    <row r="40720" spans="18:19">
      <c r="R40720" s="178"/>
      <c r="S40720" s="178"/>
    </row>
    <row r="40721" spans="18:19">
      <c r="R40721" s="178"/>
      <c r="S40721" s="178"/>
    </row>
    <row r="40722" spans="18:19">
      <c r="R40722" s="178"/>
      <c r="S40722" s="178"/>
    </row>
    <row r="40723" spans="18:19">
      <c r="R40723" s="178"/>
      <c r="S40723" s="178"/>
    </row>
    <row r="40724" spans="18:19">
      <c r="R40724" s="178"/>
      <c r="S40724" s="178"/>
    </row>
    <row r="40725" spans="18:19">
      <c r="R40725" s="178"/>
      <c r="S40725" s="178"/>
    </row>
    <row r="40726" spans="18:19">
      <c r="R40726" s="178"/>
      <c r="S40726" s="178"/>
    </row>
    <row r="40727" spans="18:19">
      <c r="R40727" s="178"/>
      <c r="S40727" s="178"/>
    </row>
    <row r="40728" spans="18:19">
      <c r="R40728" s="178"/>
      <c r="S40728" s="178"/>
    </row>
    <row r="40729" spans="18:19">
      <c r="R40729" s="178"/>
      <c r="S40729" s="178"/>
    </row>
    <row r="40730" spans="18:19">
      <c r="R40730" s="178"/>
      <c r="S40730" s="178"/>
    </row>
    <row r="40731" spans="18:19">
      <c r="R40731" s="178"/>
      <c r="S40731" s="178"/>
    </row>
    <row r="40732" spans="18:19">
      <c r="R40732" s="178"/>
      <c r="S40732" s="178"/>
    </row>
    <row r="40733" spans="18:19">
      <c r="R40733" s="178"/>
      <c r="S40733" s="178"/>
    </row>
    <row r="40734" spans="18:19">
      <c r="R40734" s="178"/>
      <c r="S40734" s="178"/>
    </row>
    <row r="40735" spans="18:19">
      <c r="R40735" s="178"/>
      <c r="S40735" s="178"/>
    </row>
    <row r="40736" spans="18:19">
      <c r="R40736" s="178"/>
      <c r="S40736" s="178"/>
    </row>
    <row r="40737" spans="18:19">
      <c r="R40737" s="178"/>
      <c r="S40737" s="178"/>
    </row>
    <row r="40738" spans="18:19">
      <c r="R40738" s="178"/>
      <c r="S40738" s="178"/>
    </row>
    <row r="40739" spans="18:19">
      <c r="R40739" s="178"/>
      <c r="S40739" s="178"/>
    </row>
    <row r="40740" spans="18:19">
      <c r="R40740" s="178"/>
      <c r="S40740" s="178"/>
    </row>
    <row r="40741" spans="18:19">
      <c r="R40741" s="178"/>
      <c r="S40741" s="178"/>
    </row>
    <row r="40742" spans="18:19">
      <c r="R40742" s="178"/>
      <c r="S40742" s="178"/>
    </row>
    <row r="40743" spans="18:19">
      <c r="R40743" s="178"/>
      <c r="S40743" s="178"/>
    </row>
    <row r="40744" spans="18:19">
      <c r="R40744" s="178"/>
      <c r="S40744" s="178"/>
    </row>
    <row r="40745" spans="18:19">
      <c r="R40745" s="178"/>
      <c r="S40745" s="178"/>
    </row>
    <row r="40746" spans="18:19">
      <c r="R40746" s="178"/>
      <c r="S40746" s="178"/>
    </row>
    <row r="40747" spans="18:19">
      <c r="R40747" s="178"/>
      <c r="S40747" s="178"/>
    </row>
    <row r="40748" spans="18:19">
      <c r="R40748" s="178"/>
      <c r="S40748" s="178"/>
    </row>
    <row r="40749" spans="18:19">
      <c r="R40749" s="178"/>
      <c r="S40749" s="178"/>
    </row>
    <row r="40750" spans="18:19">
      <c r="R40750" s="178"/>
      <c r="S40750" s="178"/>
    </row>
    <row r="40751" spans="18:19">
      <c r="R40751" s="178"/>
      <c r="S40751" s="178"/>
    </row>
    <row r="40752" spans="18:19">
      <c r="R40752" s="178"/>
      <c r="S40752" s="178"/>
    </row>
    <row r="40753" spans="18:19">
      <c r="R40753" s="178"/>
      <c r="S40753" s="178"/>
    </row>
    <row r="40754" spans="18:19">
      <c r="R40754" s="178"/>
      <c r="S40754" s="178"/>
    </row>
    <row r="40755" spans="18:19">
      <c r="R40755" s="178"/>
      <c r="S40755" s="178"/>
    </row>
    <row r="40756" spans="18:19">
      <c r="R40756" s="178"/>
      <c r="S40756" s="178"/>
    </row>
    <row r="40757" spans="18:19">
      <c r="R40757" s="178"/>
      <c r="S40757" s="178"/>
    </row>
    <row r="40758" spans="18:19">
      <c r="R40758" s="178"/>
      <c r="S40758" s="178"/>
    </row>
    <row r="40759" spans="18:19">
      <c r="R40759" s="178"/>
      <c r="S40759" s="178"/>
    </row>
    <row r="40760" spans="18:19">
      <c r="R40760" s="178"/>
      <c r="S40760" s="178"/>
    </row>
    <row r="40761" spans="18:19">
      <c r="R40761" s="178"/>
      <c r="S40761" s="178"/>
    </row>
    <row r="40762" spans="18:19">
      <c r="R40762" s="178"/>
      <c r="S40762" s="178"/>
    </row>
    <row r="40763" spans="18:19">
      <c r="R40763" s="178"/>
      <c r="S40763" s="178"/>
    </row>
    <row r="40764" spans="18:19">
      <c r="R40764" s="178"/>
      <c r="S40764" s="178"/>
    </row>
    <row r="40765" spans="18:19">
      <c r="R40765" s="178"/>
      <c r="S40765" s="178"/>
    </row>
    <row r="40766" spans="18:19">
      <c r="R40766" s="178"/>
      <c r="S40766" s="178"/>
    </row>
    <row r="40767" spans="18:19">
      <c r="R40767" s="178"/>
      <c r="S40767" s="178"/>
    </row>
    <row r="40768" spans="18:19">
      <c r="R40768" s="178"/>
      <c r="S40768" s="178"/>
    </row>
    <row r="40769" spans="18:19">
      <c r="R40769" s="178"/>
      <c r="S40769" s="178"/>
    </row>
    <row r="40770" spans="18:19">
      <c r="R40770" s="178"/>
      <c r="S40770" s="178"/>
    </row>
    <row r="40771" spans="18:19">
      <c r="R40771" s="178"/>
      <c r="S40771" s="178"/>
    </row>
    <row r="40772" spans="18:19">
      <c r="R40772" s="178"/>
      <c r="S40772" s="178"/>
    </row>
    <row r="40773" spans="18:19">
      <c r="R40773" s="178"/>
      <c r="S40773" s="178"/>
    </row>
    <row r="40774" spans="18:19">
      <c r="R40774" s="178"/>
      <c r="S40774" s="178"/>
    </row>
    <row r="40775" spans="18:19">
      <c r="R40775" s="178"/>
      <c r="S40775" s="178"/>
    </row>
    <row r="40776" spans="18:19">
      <c r="R40776" s="178"/>
      <c r="S40776" s="178"/>
    </row>
    <row r="40777" spans="18:19">
      <c r="R40777" s="178"/>
      <c r="S40777" s="178"/>
    </row>
    <row r="40778" spans="18:19">
      <c r="R40778" s="178"/>
      <c r="S40778" s="178"/>
    </row>
    <row r="40779" spans="18:19">
      <c r="R40779" s="178"/>
      <c r="S40779" s="178"/>
    </row>
    <row r="40780" spans="18:19">
      <c r="R40780" s="178"/>
      <c r="S40780" s="178"/>
    </row>
    <row r="40781" spans="18:19">
      <c r="R40781" s="178"/>
      <c r="S40781" s="178"/>
    </row>
    <row r="40782" spans="18:19">
      <c r="R40782" s="178"/>
      <c r="S40782" s="178"/>
    </row>
    <row r="40783" spans="18:19">
      <c r="R40783" s="178"/>
      <c r="S40783" s="178"/>
    </row>
    <row r="40784" spans="18:19">
      <c r="R40784" s="178"/>
      <c r="S40784" s="178"/>
    </row>
    <row r="40785" spans="18:19">
      <c r="R40785" s="178"/>
      <c r="S40785" s="178"/>
    </row>
    <row r="40786" spans="18:19">
      <c r="R40786" s="178"/>
      <c r="S40786" s="178"/>
    </row>
    <row r="40787" spans="18:19">
      <c r="R40787" s="178"/>
      <c r="S40787" s="178"/>
    </row>
    <row r="40788" spans="18:19">
      <c r="R40788" s="178"/>
      <c r="S40788" s="178"/>
    </row>
    <row r="40789" spans="18:19">
      <c r="R40789" s="178"/>
      <c r="S40789" s="178"/>
    </row>
    <row r="40790" spans="18:19">
      <c r="R40790" s="178"/>
      <c r="S40790" s="178"/>
    </row>
    <row r="40791" spans="18:19">
      <c r="R40791" s="178"/>
      <c r="S40791" s="178"/>
    </row>
    <row r="40792" spans="18:19">
      <c r="R40792" s="178"/>
      <c r="S40792" s="178"/>
    </row>
    <row r="40793" spans="18:19">
      <c r="R40793" s="178"/>
      <c r="S40793" s="178"/>
    </row>
    <row r="40794" spans="18:19">
      <c r="R40794" s="178"/>
      <c r="S40794" s="178"/>
    </row>
    <row r="40795" spans="18:19">
      <c r="R40795" s="178"/>
      <c r="S40795" s="178"/>
    </row>
    <row r="40796" spans="18:19">
      <c r="R40796" s="178"/>
      <c r="S40796" s="178"/>
    </row>
    <row r="40797" spans="18:19">
      <c r="R40797" s="178"/>
      <c r="S40797" s="178"/>
    </row>
    <row r="40798" spans="18:19">
      <c r="R40798" s="178"/>
      <c r="S40798" s="178"/>
    </row>
    <row r="40799" spans="18:19">
      <c r="R40799" s="178"/>
      <c r="S40799" s="178"/>
    </row>
    <row r="40800" spans="18:19">
      <c r="R40800" s="178"/>
      <c r="S40800" s="178"/>
    </row>
    <row r="40801" spans="18:19">
      <c r="R40801" s="178"/>
      <c r="S40801" s="178"/>
    </row>
    <row r="40802" spans="18:19">
      <c r="R40802" s="178"/>
      <c r="S40802" s="178"/>
    </row>
    <row r="40803" spans="18:19">
      <c r="R40803" s="178"/>
      <c r="S40803" s="178"/>
    </row>
    <row r="40804" spans="18:19">
      <c r="R40804" s="178"/>
      <c r="S40804" s="178"/>
    </row>
    <row r="40805" spans="18:19">
      <c r="R40805" s="178"/>
      <c r="S40805" s="178"/>
    </row>
    <row r="40806" spans="18:19">
      <c r="R40806" s="178"/>
      <c r="S40806" s="178"/>
    </row>
    <row r="40807" spans="18:19">
      <c r="R40807" s="178"/>
      <c r="S40807" s="178"/>
    </row>
    <row r="40808" spans="18:19">
      <c r="R40808" s="178"/>
      <c r="S40808" s="178"/>
    </row>
    <row r="40809" spans="18:19">
      <c r="R40809" s="178"/>
      <c r="S40809" s="178"/>
    </row>
    <row r="40810" spans="18:19">
      <c r="R40810" s="178"/>
      <c r="S40810" s="178"/>
    </row>
    <row r="40811" spans="18:19">
      <c r="R40811" s="178"/>
      <c r="S40811" s="178"/>
    </row>
    <row r="40812" spans="18:19">
      <c r="R40812" s="178"/>
      <c r="S40812" s="178"/>
    </row>
    <row r="40813" spans="18:19">
      <c r="R40813" s="178"/>
      <c r="S40813" s="178"/>
    </row>
    <row r="40814" spans="18:19">
      <c r="R40814" s="178"/>
      <c r="S40814" s="178"/>
    </row>
    <row r="40815" spans="18:19">
      <c r="R40815" s="178"/>
      <c r="S40815" s="178"/>
    </row>
    <row r="40816" spans="18:19">
      <c r="R40816" s="178"/>
      <c r="S40816" s="178"/>
    </row>
    <row r="40817" spans="18:19">
      <c r="R40817" s="178"/>
      <c r="S40817" s="178"/>
    </row>
    <row r="40818" spans="18:19">
      <c r="R40818" s="178"/>
      <c r="S40818" s="178"/>
    </row>
    <row r="40819" spans="18:19">
      <c r="R40819" s="178"/>
      <c r="S40819" s="178"/>
    </row>
    <row r="40820" spans="18:19">
      <c r="R40820" s="178"/>
      <c r="S40820" s="178"/>
    </row>
    <row r="40821" spans="18:19">
      <c r="R40821" s="178"/>
      <c r="S40821" s="178"/>
    </row>
    <row r="40822" spans="18:19">
      <c r="R40822" s="178"/>
      <c r="S40822" s="178"/>
    </row>
    <row r="40823" spans="18:19">
      <c r="R40823" s="178"/>
      <c r="S40823" s="178"/>
    </row>
    <row r="40824" spans="18:19">
      <c r="R40824" s="178"/>
      <c r="S40824" s="178"/>
    </row>
    <row r="40825" spans="18:19">
      <c r="R40825" s="178"/>
      <c r="S40825" s="178"/>
    </row>
    <row r="40826" spans="18:19">
      <c r="R40826" s="178"/>
      <c r="S40826" s="178"/>
    </row>
    <row r="40827" spans="18:19">
      <c r="R40827" s="178"/>
      <c r="S40827" s="178"/>
    </row>
    <row r="40828" spans="18:19">
      <c r="R40828" s="178"/>
      <c r="S40828" s="178"/>
    </row>
    <row r="40829" spans="18:19">
      <c r="R40829" s="178"/>
      <c r="S40829" s="178"/>
    </row>
    <row r="40830" spans="18:19">
      <c r="R40830" s="178"/>
      <c r="S40830" s="178"/>
    </row>
    <row r="40831" spans="18:19">
      <c r="R40831" s="178"/>
      <c r="S40831" s="178"/>
    </row>
    <row r="40832" spans="18:19">
      <c r="R40832" s="178"/>
      <c r="S40832" s="178"/>
    </row>
    <row r="40833" spans="18:19">
      <c r="R40833" s="178"/>
      <c r="S40833" s="178"/>
    </row>
    <row r="40834" spans="18:19">
      <c r="R40834" s="178"/>
      <c r="S40834" s="178"/>
    </row>
    <row r="40835" spans="18:19">
      <c r="R40835" s="178"/>
      <c r="S40835" s="178"/>
    </row>
    <row r="40836" spans="18:19">
      <c r="R40836" s="178"/>
      <c r="S40836" s="178"/>
    </row>
    <row r="40837" spans="18:19">
      <c r="R40837" s="178"/>
      <c r="S40837" s="178"/>
    </row>
    <row r="40838" spans="18:19">
      <c r="R40838" s="178"/>
      <c r="S40838" s="178"/>
    </row>
    <row r="40839" spans="18:19">
      <c r="R40839" s="178"/>
      <c r="S40839" s="178"/>
    </row>
    <row r="40840" spans="18:19">
      <c r="R40840" s="178"/>
      <c r="S40840" s="178"/>
    </row>
    <row r="40841" spans="18:19">
      <c r="R40841" s="178"/>
      <c r="S40841" s="178"/>
    </row>
    <row r="40842" spans="18:19">
      <c r="R40842" s="178"/>
      <c r="S40842" s="178"/>
    </row>
    <row r="40843" spans="18:19">
      <c r="R40843" s="178"/>
      <c r="S40843" s="178"/>
    </row>
    <row r="40844" spans="18:19">
      <c r="R40844" s="178"/>
      <c r="S40844" s="178"/>
    </row>
    <row r="40845" spans="18:19">
      <c r="R40845" s="178"/>
      <c r="S40845" s="178"/>
    </row>
    <row r="40846" spans="18:19">
      <c r="R40846" s="178"/>
      <c r="S40846" s="178"/>
    </row>
    <row r="40847" spans="18:19">
      <c r="R40847" s="178"/>
      <c r="S40847" s="178"/>
    </row>
    <row r="40848" spans="18:19">
      <c r="R40848" s="178"/>
      <c r="S40848" s="178"/>
    </row>
    <row r="40849" spans="18:19">
      <c r="R40849" s="178"/>
      <c r="S40849" s="178"/>
    </row>
    <row r="40850" spans="18:19">
      <c r="R40850" s="178"/>
      <c r="S40850" s="178"/>
    </row>
    <row r="40851" spans="18:19">
      <c r="R40851" s="178"/>
      <c r="S40851" s="178"/>
    </row>
    <row r="40852" spans="18:19">
      <c r="R40852" s="178"/>
      <c r="S40852" s="178"/>
    </row>
    <row r="40853" spans="18:19">
      <c r="R40853" s="178"/>
      <c r="S40853" s="178"/>
    </row>
    <row r="40854" spans="18:19">
      <c r="R40854" s="178"/>
      <c r="S40854" s="178"/>
    </row>
    <row r="40855" spans="18:19">
      <c r="R40855" s="178"/>
      <c r="S40855" s="178"/>
    </row>
    <row r="40856" spans="18:19">
      <c r="R40856" s="178"/>
      <c r="S40856" s="178"/>
    </row>
    <row r="40857" spans="18:19">
      <c r="R40857" s="178"/>
      <c r="S40857" s="178"/>
    </row>
    <row r="40858" spans="18:19">
      <c r="R40858" s="178"/>
      <c r="S40858" s="178"/>
    </row>
    <row r="40859" spans="18:19">
      <c r="R40859" s="178"/>
      <c r="S40859" s="178"/>
    </row>
    <row r="40860" spans="18:19">
      <c r="R40860" s="178"/>
      <c r="S40860" s="178"/>
    </row>
    <row r="40861" spans="18:19">
      <c r="R40861" s="178"/>
      <c r="S40861" s="178"/>
    </row>
    <row r="40862" spans="18:19">
      <c r="R40862" s="178"/>
      <c r="S40862" s="178"/>
    </row>
    <row r="40863" spans="18:19">
      <c r="R40863" s="178"/>
      <c r="S40863" s="178"/>
    </row>
    <row r="40864" spans="18:19">
      <c r="R40864" s="178"/>
      <c r="S40864" s="178"/>
    </row>
    <row r="40865" spans="18:19">
      <c r="R40865" s="178"/>
      <c r="S40865" s="178"/>
    </row>
    <row r="40866" spans="18:19">
      <c r="R40866" s="178"/>
      <c r="S40866" s="178"/>
    </row>
    <row r="40867" spans="18:19">
      <c r="R40867" s="178"/>
      <c r="S40867" s="178"/>
    </row>
    <row r="40868" spans="18:19">
      <c r="R40868" s="178"/>
      <c r="S40868" s="178"/>
    </row>
    <row r="40869" spans="18:19">
      <c r="R40869" s="178"/>
      <c r="S40869" s="178"/>
    </row>
    <row r="40870" spans="18:19">
      <c r="R40870" s="178"/>
      <c r="S40870" s="178"/>
    </row>
    <row r="40871" spans="18:19">
      <c r="R40871" s="178"/>
      <c r="S40871" s="178"/>
    </row>
    <row r="40872" spans="18:19">
      <c r="R40872" s="178"/>
      <c r="S40872" s="178"/>
    </row>
    <row r="40873" spans="18:19">
      <c r="R40873" s="178"/>
      <c r="S40873" s="178"/>
    </row>
    <row r="40874" spans="18:19">
      <c r="R40874" s="178"/>
      <c r="S40874" s="178"/>
    </row>
    <row r="40875" spans="18:19">
      <c r="R40875" s="178"/>
      <c r="S40875" s="178"/>
    </row>
    <row r="40876" spans="18:19">
      <c r="R40876" s="178"/>
      <c r="S40876" s="178"/>
    </row>
    <row r="40877" spans="18:19">
      <c r="R40877" s="178"/>
      <c r="S40877" s="178"/>
    </row>
    <row r="40878" spans="18:19">
      <c r="R40878" s="178"/>
      <c r="S40878" s="178"/>
    </row>
    <row r="40879" spans="18:19">
      <c r="R40879" s="178"/>
      <c r="S40879" s="178"/>
    </row>
    <row r="40880" spans="18:19">
      <c r="R40880" s="178"/>
      <c r="S40880" s="178"/>
    </row>
    <row r="40881" spans="18:19">
      <c r="R40881" s="178"/>
      <c r="S40881" s="178"/>
    </row>
    <row r="40882" spans="18:19">
      <c r="R40882" s="178"/>
      <c r="S40882" s="178"/>
    </row>
    <row r="40883" spans="18:19">
      <c r="R40883" s="178"/>
      <c r="S40883" s="178"/>
    </row>
    <row r="40884" spans="18:19">
      <c r="R40884" s="178"/>
      <c r="S40884" s="178"/>
    </row>
    <row r="40885" spans="18:19">
      <c r="R40885" s="178"/>
      <c r="S40885" s="178"/>
    </row>
    <row r="40886" spans="18:19">
      <c r="R40886" s="178"/>
      <c r="S40886" s="178"/>
    </row>
    <row r="40887" spans="18:19">
      <c r="R40887" s="178"/>
      <c r="S40887" s="178"/>
    </row>
    <row r="40888" spans="18:19">
      <c r="R40888" s="178"/>
      <c r="S40888" s="178"/>
    </row>
    <row r="40889" spans="18:19">
      <c r="R40889" s="178"/>
      <c r="S40889" s="178"/>
    </row>
    <row r="40890" spans="18:19">
      <c r="R40890" s="178"/>
      <c r="S40890" s="178"/>
    </row>
    <row r="40891" spans="18:19">
      <c r="R40891" s="178"/>
      <c r="S40891" s="178"/>
    </row>
    <row r="40892" spans="18:19">
      <c r="R40892" s="178"/>
      <c r="S40892" s="178"/>
    </row>
    <row r="40893" spans="18:19">
      <c r="R40893" s="178"/>
      <c r="S40893" s="178"/>
    </row>
    <row r="40894" spans="18:19">
      <c r="R40894" s="178"/>
      <c r="S40894" s="178"/>
    </row>
    <row r="40895" spans="18:19">
      <c r="R40895" s="178"/>
      <c r="S40895" s="178"/>
    </row>
    <row r="40896" spans="18:19">
      <c r="R40896" s="178"/>
      <c r="S40896" s="178"/>
    </row>
    <row r="40897" spans="18:19">
      <c r="R40897" s="178"/>
      <c r="S40897" s="178"/>
    </row>
    <row r="40898" spans="18:19">
      <c r="R40898" s="178"/>
      <c r="S40898" s="178"/>
    </row>
    <row r="40899" spans="18:19">
      <c r="R40899" s="178"/>
      <c r="S40899" s="178"/>
    </row>
    <row r="40900" spans="18:19">
      <c r="R40900" s="178"/>
      <c r="S40900" s="178"/>
    </row>
    <row r="40901" spans="18:19">
      <c r="R40901" s="178"/>
      <c r="S40901" s="178"/>
    </row>
    <row r="40902" spans="18:19">
      <c r="R40902" s="178"/>
      <c r="S40902" s="178"/>
    </row>
    <row r="40903" spans="18:19">
      <c r="R40903" s="178"/>
      <c r="S40903" s="178"/>
    </row>
    <row r="40904" spans="18:19">
      <c r="R40904" s="178"/>
      <c r="S40904" s="178"/>
    </row>
    <row r="40905" spans="18:19">
      <c r="R40905" s="178"/>
      <c r="S40905" s="178"/>
    </row>
    <row r="40906" spans="18:19">
      <c r="R40906" s="178"/>
      <c r="S40906" s="178"/>
    </row>
    <row r="40907" spans="18:19">
      <c r="R40907" s="178"/>
      <c r="S40907" s="178"/>
    </row>
    <row r="40908" spans="18:19">
      <c r="R40908" s="178"/>
      <c r="S40908" s="178"/>
    </row>
    <row r="40909" spans="18:19">
      <c r="R40909" s="178"/>
      <c r="S40909" s="178"/>
    </row>
    <row r="40910" spans="18:19">
      <c r="R40910" s="178"/>
      <c r="S40910" s="178"/>
    </row>
    <row r="40911" spans="18:19">
      <c r="R40911" s="178"/>
      <c r="S40911" s="178"/>
    </row>
    <row r="40912" spans="18:19">
      <c r="R40912" s="178"/>
      <c r="S40912" s="178"/>
    </row>
    <row r="40913" spans="18:19">
      <c r="R40913" s="178"/>
      <c r="S40913" s="178"/>
    </row>
    <row r="40914" spans="18:19">
      <c r="R40914" s="178"/>
      <c r="S40914" s="178"/>
    </row>
    <row r="40915" spans="18:19">
      <c r="R40915" s="178"/>
      <c r="S40915" s="178"/>
    </row>
    <row r="40916" spans="18:19">
      <c r="R40916" s="178"/>
      <c r="S40916" s="178"/>
    </row>
    <row r="40917" spans="18:19">
      <c r="R40917" s="178"/>
      <c r="S40917" s="178"/>
    </row>
    <row r="40918" spans="18:19">
      <c r="R40918" s="178"/>
      <c r="S40918" s="178"/>
    </row>
    <row r="40919" spans="18:19">
      <c r="R40919" s="178"/>
      <c r="S40919" s="178"/>
    </row>
    <row r="40920" spans="18:19">
      <c r="R40920" s="178"/>
      <c r="S40920" s="178"/>
    </row>
    <row r="40921" spans="18:19">
      <c r="R40921" s="178"/>
      <c r="S40921" s="178"/>
    </row>
    <row r="40922" spans="18:19">
      <c r="R40922" s="178"/>
      <c r="S40922" s="178"/>
    </row>
    <row r="40923" spans="18:19">
      <c r="R40923" s="178"/>
      <c r="S40923" s="178"/>
    </row>
    <row r="40924" spans="18:19">
      <c r="R40924" s="178"/>
      <c r="S40924" s="178"/>
    </row>
    <row r="40925" spans="18:19">
      <c r="R40925" s="178"/>
      <c r="S40925" s="178"/>
    </row>
    <row r="40926" spans="18:19">
      <c r="R40926" s="178"/>
      <c r="S40926" s="178"/>
    </row>
    <row r="40927" spans="18:19">
      <c r="R40927" s="178"/>
      <c r="S40927" s="178"/>
    </row>
    <row r="40928" spans="18:19">
      <c r="R40928" s="178"/>
      <c r="S40928" s="178"/>
    </row>
    <row r="40929" spans="18:19">
      <c r="R40929" s="178"/>
      <c r="S40929" s="178"/>
    </row>
    <row r="40930" spans="18:19">
      <c r="R40930" s="178"/>
      <c r="S40930" s="178"/>
    </row>
    <row r="40931" spans="18:19">
      <c r="R40931" s="178"/>
      <c r="S40931" s="178"/>
    </row>
    <row r="40932" spans="18:19">
      <c r="R40932" s="178"/>
      <c r="S40932" s="178"/>
    </row>
    <row r="40933" spans="18:19">
      <c r="R40933" s="178"/>
      <c r="S40933" s="178"/>
    </row>
    <row r="40934" spans="18:19">
      <c r="R40934" s="178"/>
      <c r="S40934" s="178"/>
    </row>
    <row r="40935" spans="18:19">
      <c r="R40935" s="178"/>
      <c r="S40935" s="178"/>
    </row>
    <row r="40936" spans="18:19">
      <c r="R40936" s="178"/>
      <c r="S40936" s="178"/>
    </row>
    <row r="40937" spans="18:19">
      <c r="R40937" s="178"/>
      <c r="S40937" s="178"/>
    </row>
    <row r="40938" spans="18:19">
      <c r="R40938" s="178"/>
      <c r="S40938" s="178"/>
    </row>
    <row r="40939" spans="18:19">
      <c r="R40939" s="178"/>
      <c r="S40939" s="178"/>
    </row>
    <row r="40940" spans="18:19">
      <c r="R40940" s="178"/>
      <c r="S40940" s="178"/>
    </row>
    <row r="40941" spans="18:19">
      <c r="R40941" s="178"/>
      <c r="S40941" s="178"/>
    </row>
    <row r="40942" spans="18:19">
      <c r="R40942" s="178"/>
      <c r="S40942" s="178"/>
    </row>
    <row r="40943" spans="18:19">
      <c r="R40943" s="178"/>
      <c r="S40943" s="178"/>
    </row>
    <row r="40944" spans="18:19">
      <c r="R40944" s="178"/>
      <c r="S40944" s="178"/>
    </row>
    <row r="40945" spans="18:19">
      <c r="R40945" s="178"/>
      <c r="S40945" s="178"/>
    </row>
    <row r="40946" spans="18:19">
      <c r="R40946" s="178"/>
      <c r="S40946" s="178"/>
    </row>
    <row r="40947" spans="18:19">
      <c r="R40947" s="178"/>
      <c r="S40947" s="178"/>
    </row>
    <row r="40948" spans="18:19">
      <c r="R40948" s="178"/>
      <c r="S40948" s="178"/>
    </row>
    <row r="40949" spans="18:19">
      <c r="R40949" s="178"/>
      <c r="S40949" s="178"/>
    </row>
    <row r="40950" spans="18:19">
      <c r="R40950" s="178"/>
      <c r="S40950" s="178"/>
    </row>
    <row r="40951" spans="18:19">
      <c r="R40951" s="178"/>
      <c r="S40951" s="178"/>
    </row>
    <row r="40952" spans="18:19">
      <c r="R40952" s="178"/>
      <c r="S40952" s="178"/>
    </row>
    <row r="40953" spans="18:19">
      <c r="R40953" s="178"/>
      <c r="S40953" s="178"/>
    </row>
    <row r="40954" spans="18:19">
      <c r="R40954" s="178"/>
      <c r="S40954" s="178"/>
    </row>
    <row r="40955" spans="18:19">
      <c r="R40955" s="178"/>
      <c r="S40955" s="178"/>
    </row>
    <row r="40956" spans="18:19">
      <c r="R40956" s="178"/>
      <c r="S40956" s="178"/>
    </row>
    <row r="40957" spans="18:19">
      <c r="R40957" s="178"/>
      <c r="S40957" s="178"/>
    </row>
    <row r="40958" spans="18:19">
      <c r="R40958" s="178"/>
      <c r="S40958" s="178"/>
    </row>
    <row r="40959" spans="18:19">
      <c r="R40959" s="178"/>
      <c r="S40959" s="178"/>
    </row>
    <row r="40960" spans="18:19">
      <c r="R40960" s="178"/>
      <c r="S40960" s="178"/>
    </row>
    <row r="40961" spans="18:19">
      <c r="R40961" s="178"/>
      <c r="S40961" s="178"/>
    </row>
    <row r="40962" spans="18:19">
      <c r="R40962" s="178"/>
      <c r="S40962" s="178"/>
    </row>
    <row r="40963" spans="18:19">
      <c r="R40963" s="178"/>
      <c r="S40963" s="178"/>
    </row>
    <row r="40964" spans="18:19">
      <c r="R40964" s="178"/>
      <c r="S40964" s="178"/>
    </row>
    <row r="40965" spans="18:19">
      <c r="R40965" s="178"/>
      <c r="S40965" s="178"/>
    </row>
    <row r="40966" spans="18:19">
      <c r="R40966" s="178"/>
      <c r="S40966" s="178"/>
    </row>
    <row r="40967" spans="18:19">
      <c r="R40967" s="178"/>
      <c r="S40967" s="178"/>
    </row>
    <row r="40968" spans="18:19">
      <c r="R40968" s="178"/>
      <c r="S40968" s="178"/>
    </row>
    <row r="40969" spans="18:19">
      <c r="R40969" s="178"/>
      <c r="S40969" s="178"/>
    </row>
    <row r="40970" spans="18:19">
      <c r="R40970" s="178"/>
      <c r="S40970" s="178"/>
    </row>
    <row r="40971" spans="18:19">
      <c r="R40971" s="178"/>
      <c r="S40971" s="178"/>
    </row>
    <row r="40972" spans="18:19">
      <c r="R40972" s="178"/>
      <c r="S40972" s="178"/>
    </row>
    <row r="40973" spans="18:19">
      <c r="R40973" s="178"/>
      <c r="S40973" s="178"/>
    </row>
    <row r="40974" spans="18:19">
      <c r="R40974" s="178"/>
      <c r="S40974" s="178"/>
    </row>
    <row r="40975" spans="18:19">
      <c r="R40975" s="178"/>
      <c r="S40975" s="178"/>
    </row>
    <row r="40976" spans="18:19">
      <c r="R40976" s="178"/>
      <c r="S40976" s="178"/>
    </row>
    <row r="40977" spans="18:19">
      <c r="R40977" s="178"/>
      <c r="S40977" s="178"/>
    </row>
    <row r="40978" spans="18:19">
      <c r="R40978" s="178"/>
      <c r="S40978" s="178"/>
    </row>
    <row r="40979" spans="18:19">
      <c r="R40979" s="178"/>
      <c r="S40979" s="178"/>
    </row>
    <row r="40980" spans="18:19">
      <c r="R40980" s="178"/>
      <c r="S40980" s="178"/>
    </row>
    <row r="40981" spans="18:19">
      <c r="R40981" s="178"/>
      <c r="S40981" s="178"/>
    </row>
    <row r="40982" spans="18:19">
      <c r="R40982" s="178"/>
      <c r="S40982" s="178"/>
    </row>
    <row r="40983" spans="18:19">
      <c r="R40983" s="178"/>
      <c r="S40983" s="178"/>
    </row>
    <row r="40984" spans="18:19">
      <c r="R40984" s="178"/>
      <c r="S40984" s="178"/>
    </row>
    <row r="40985" spans="18:19">
      <c r="R40985" s="178"/>
      <c r="S40985" s="178"/>
    </row>
    <row r="40986" spans="18:19">
      <c r="R40986" s="178"/>
      <c r="S40986" s="178"/>
    </row>
    <row r="40987" spans="18:19">
      <c r="R40987" s="178"/>
      <c r="S40987" s="178"/>
    </row>
    <row r="40988" spans="18:19">
      <c r="R40988" s="178"/>
      <c r="S40988" s="178"/>
    </row>
    <row r="40989" spans="18:19">
      <c r="R40989" s="178"/>
      <c r="S40989" s="178"/>
    </row>
    <row r="40990" spans="18:19">
      <c r="R40990" s="178"/>
      <c r="S40990" s="178"/>
    </row>
    <row r="40991" spans="18:19">
      <c r="R40991" s="178"/>
      <c r="S40991" s="178"/>
    </row>
    <row r="40992" spans="18:19">
      <c r="R40992" s="178"/>
      <c r="S40992" s="178"/>
    </row>
    <row r="40993" spans="18:19">
      <c r="R40993" s="178"/>
      <c r="S40993" s="178"/>
    </row>
    <row r="40994" spans="18:19">
      <c r="R40994" s="178"/>
      <c r="S40994" s="178"/>
    </row>
    <row r="40995" spans="18:19">
      <c r="R40995" s="178"/>
      <c r="S40995" s="178"/>
    </row>
    <row r="40996" spans="18:19">
      <c r="R40996" s="178"/>
      <c r="S40996" s="178"/>
    </row>
    <row r="40997" spans="18:19">
      <c r="R40997" s="178"/>
      <c r="S40997" s="178"/>
    </row>
    <row r="40998" spans="18:19">
      <c r="R40998" s="178"/>
      <c r="S40998" s="178"/>
    </row>
    <row r="40999" spans="18:19">
      <c r="R40999" s="178"/>
      <c r="S40999" s="178"/>
    </row>
    <row r="41000" spans="18:19">
      <c r="R41000" s="178"/>
      <c r="S41000" s="178"/>
    </row>
    <row r="41001" spans="18:19">
      <c r="R41001" s="178"/>
      <c r="S41001" s="178"/>
    </row>
    <row r="41002" spans="18:19">
      <c r="R41002" s="178"/>
      <c r="S41002" s="178"/>
    </row>
    <row r="41003" spans="18:19">
      <c r="R41003" s="178"/>
      <c r="S41003" s="178"/>
    </row>
    <row r="41004" spans="18:19">
      <c r="R41004" s="178"/>
      <c r="S41004" s="178"/>
    </row>
    <row r="41005" spans="18:19">
      <c r="R41005" s="178"/>
      <c r="S41005" s="178"/>
    </row>
    <row r="41006" spans="18:19">
      <c r="R41006" s="178"/>
      <c r="S41006" s="178"/>
    </row>
    <row r="41007" spans="18:19">
      <c r="R41007" s="178"/>
      <c r="S41007" s="178"/>
    </row>
    <row r="41008" spans="18:19">
      <c r="R41008" s="178"/>
      <c r="S41008" s="178"/>
    </row>
    <row r="41009" spans="18:19">
      <c r="R41009" s="178"/>
      <c r="S41009" s="178"/>
    </row>
    <row r="41010" spans="18:19">
      <c r="R41010" s="178"/>
      <c r="S41010" s="178"/>
    </row>
    <row r="41011" spans="18:19">
      <c r="R41011" s="178"/>
      <c r="S41011" s="178"/>
    </row>
    <row r="41012" spans="18:19">
      <c r="R41012" s="178"/>
      <c r="S41012" s="178"/>
    </row>
    <row r="41013" spans="18:19">
      <c r="R41013" s="178"/>
      <c r="S41013" s="178"/>
    </row>
    <row r="41014" spans="18:19">
      <c r="R41014" s="178"/>
      <c r="S41014" s="178"/>
    </row>
    <row r="41015" spans="18:19">
      <c r="R41015" s="178"/>
      <c r="S41015" s="178"/>
    </row>
    <row r="41016" spans="18:19">
      <c r="R41016" s="178"/>
      <c r="S41016" s="178"/>
    </row>
    <row r="41017" spans="18:19">
      <c r="R41017" s="178"/>
      <c r="S41017" s="178"/>
    </row>
    <row r="41018" spans="18:19">
      <c r="R41018" s="178"/>
      <c r="S41018" s="178"/>
    </row>
    <row r="41019" spans="18:19">
      <c r="R41019" s="178"/>
      <c r="S41019" s="178"/>
    </row>
    <row r="41020" spans="18:19">
      <c r="R41020" s="178"/>
      <c r="S41020" s="178"/>
    </row>
    <row r="41021" spans="18:19">
      <c r="R41021" s="178"/>
      <c r="S41021" s="178"/>
    </row>
    <row r="41022" spans="18:19">
      <c r="R41022" s="178"/>
      <c r="S41022" s="178"/>
    </row>
    <row r="41023" spans="18:19">
      <c r="R41023" s="178"/>
      <c r="S41023" s="178"/>
    </row>
    <row r="41024" spans="18:19">
      <c r="R41024" s="178"/>
      <c r="S41024" s="178"/>
    </row>
    <row r="41025" spans="18:19">
      <c r="R41025" s="178"/>
      <c r="S41025" s="178"/>
    </row>
    <row r="41026" spans="18:19">
      <c r="R41026" s="178"/>
      <c r="S41026" s="178"/>
    </row>
    <row r="41027" spans="18:19">
      <c r="R41027" s="178"/>
      <c r="S41027" s="178"/>
    </row>
    <row r="41028" spans="18:19">
      <c r="R41028" s="178"/>
      <c r="S41028" s="178"/>
    </row>
    <row r="41029" spans="18:19">
      <c r="R41029" s="178"/>
      <c r="S41029" s="178"/>
    </row>
    <row r="41030" spans="18:19">
      <c r="R41030" s="178"/>
      <c r="S41030" s="178"/>
    </row>
    <row r="41031" spans="18:19">
      <c r="R41031" s="178"/>
      <c r="S41031" s="178"/>
    </row>
    <row r="41032" spans="18:19">
      <c r="R41032" s="178"/>
      <c r="S41032" s="178"/>
    </row>
    <row r="41033" spans="18:19">
      <c r="R41033" s="178"/>
      <c r="S41033" s="178"/>
    </row>
    <row r="41034" spans="18:19">
      <c r="R41034" s="178"/>
      <c r="S41034" s="178"/>
    </row>
    <row r="41035" spans="18:19">
      <c r="R41035" s="178"/>
      <c r="S41035" s="178"/>
    </row>
    <row r="41036" spans="18:19">
      <c r="R41036" s="178"/>
      <c r="S41036" s="178"/>
    </row>
    <row r="41037" spans="18:19">
      <c r="R41037" s="178"/>
      <c r="S41037" s="178"/>
    </row>
    <row r="41038" spans="18:19">
      <c r="R41038" s="178"/>
      <c r="S41038" s="178"/>
    </row>
    <row r="41039" spans="18:19">
      <c r="R41039" s="178"/>
      <c r="S41039" s="178"/>
    </row>
    <row r="41040" spans="18:19">
      <c r="R41040" s="178"/>
      <c r="S41040" s="178"/>
    </row>
    <row r="41041" spans="18:19">
      <c r="R41041" s="178"/>
      <c r="S41041" s="178"/>
    </row>
    <row r="41042" spans="18:19">
      <c r="R41042" s="178"/>
      <c r="S41042" s="178"/>
    </row>
    <row r="41043" spans="18:19">
      <c r="R41043" s="178"/>
      <c r="S41043" s="178"/>
    </row>
    <row r="41044" spans="18:19">
      <c r="R41044" s="178"/>
      <c r="S41044" s="178"/>
    </row>
    <row r="41045" spans="18:19">
      <c r="R41045" s="178"/>
      <c r="S41045" s="178"/>
    </row>
    <row r="41046" spans="18:19">
      <c r="R41046" s="178"/>
      <c r="S41046" s="178"/>
    </row>
    <row r="41047" spans="18:19">
      <c r="R41047" s="178"/>
      <c r="S41047" s="178"/>
    </row>
    <row r="41048" spans="18:19">
      <c r="R41048" s="178"/>
      <c r="S41048" s="178"/>
    </row>
    <row r="41049" spans="18:19">
      <c r="R41049" s="178"/>
      <c r="S41049" s="178"/>
    </row>
    <row r="41050" spans="18:19">
      <c r="R41050" s="178"/>
      <c r="S41050" s="178"/>
    </row>
    <row r="41051" spans="18:19">
      <c r="R41051" s="178"/>
      <c r="S41051" s="178"/>
    </row>
    <row r="41052" spans="18:19">
      <c r="R41052" s="178"/>
      <c r="S41052" s="178"/>
    </row>
    <row r="41053" spans="18:19">
      <c r="R41053" s="178"/>
      <c r="S41053" s="178"/>
    </row>
    <row r="41054" spans="18:19">
      <c r="R41054" s="178"/>
      <c r="S41054" s="178"/>
    </row>
    <row r="41055" spans="18:19">
      <c r="R41055" s="178"/>
      <c r="S41055" s="178"/>
    </row>
    <row r="41056" spans="18:19">
      <c r="R41056" s="178"/>
      <c r="S41056" s="178"/>
    </row>
    <row r="41057" spans="18:19">
      <c r="R41057" s="178"/>
      <c r="S41057" s="178"/>
    </row>
    <row r="41058" spans="18:19">
      <c r="R41058" s="178"/>
      <c r="S41058" s="178"/>
    </row>
    <row r="41059" spans="18:19">
      <c r="R41059" s="178"/>
      <c r="S41059" s="178"/>
    </row>
    <row r="41060" spans="18:19">
      <c r="R41060" s="178"/>
      <c r="S41060" s="178"/>
    </row>
    <row r="41061" spans="18:19">
      <c r="R41061" s="178"/>
      <c r="S41061" s="178"/>
    </row>
    <row r="41062" spans="18:19">
      <c r="R41062" s="178"/>
      <c r="S41062" s="178"/>
    </row>
    <row r="41063" spans="18:19">
      <c r="R41063" s="178"/>
      <c r="S41063" s="178"/>
    </row>
    <row r="41064" spans="18:19">
      <c r="R41064" s="178"/>
      <c r="S41064" s="178"/>
    </row>
    <row r="41065" spans="18:19">
      <c r="R41065" s="178"/>
      <c r="S41065" s="178"/>
    </row>
    <row r="41066" spans="18:19">
      <c r="R41066" s="178"/>
      <c r="S41066" s="178"/>
    </row>
    <row r="41067" spans="18:19">
      <c r="R41067" s="178"/>
      <c r="S41067" s="178"/>
    </row>
    <row r="41068" spans="18:19">
      <c r="R41068" s="178"/>
      <c r="S41068" s="178"/>
    </row>
    <row r="41069" spans="18:19">
      <c r="R41069" s="178"/>
      <c r="S41069" s="178"/>
    </row>
    <row r="41070" spans="18:19">
      <c r="R41070" s="178"/>
      <c r="S41070" s="178"/>
    </row>
    <row r="41071" spans="18:19">
      <c r="R41071" s="178"/>
      <c r="S41071" s="178"/>
    </row>
    <row r="41072" spans="18:19">
      <c r="R41072" s="178"/>
      <c r="S41072" s="178"/>
    </row>
    <row r="41073" spans="18:19">
      <c r="R41073" s="178"/>
      <c r="S41073" s="178"/>
    </row>
    <row r="41074" spans="18:19">
      <c r="R41074" s="178"/>
      <c r="S41074" s="178"/>
    </row>
    <row r="41075" spans="18:19">
      <c r="R41075" s="178"/>
      <c r="S41075" s="178"/>
    </row>
    <row r="41076" spans="18:19">
      <c r="R41076" s="178"/>
      <c r="S41076" s="178"/>
    </row>
    <row r="41077" spans="18:19">
      <c r="R41077" s="178"/>
      <c r="S41077" s="178"/>
    </row>
    <row r="41078" spans="18:19">
      <c r="R41078" s="178"/>
      <c r="S41078" s="178"/>
    </row>
    <row r="41079" spans="18:19">
      <c r="R41079" s="178"/>
      <c r="S41079" s="178"/>
    </row>
    <row r="41080" spans="18:19">
      <c r="R41080" s="178"/>
      <c r="S41080" s="178"/>
    </row>
    <row r="41081" spans="18:19">
      <c r="R41081" s="178"/>
      <c r="S41081" s="178"/>
    </row>
    <row r="41082" spans="18:19">
      <c r="R41082" s="178"/>
      <c r="S41082" s="178"/>
    </row>
    <row r="41083" spans="18:19">
      <c r="R41083" s="178"/>
      <c r="S41083" s="178"/>
    </row>
    <row r="41084" spans="18:19">
      <c r="R41084" s="178"/>
      <c r="S41084" s="178"/>
    </row>
    <row r="41085" spans="18:19">
      <c r="R41085" s="178"/>
      <c r="S41085" s="178"/>
    </row>
    <row r="41086" spans="18:19">
      <c r="R41086" s="178"/>
      <c r="S41086" s="178"/>
    </row>
    <row r="41087" spans="18:19">
      <c r="R41087" s="178"/>
      <c r="S41087" s="178"/>
    </row>
    <row r="41088" spans="18:19">
      <c r="R41088" s="178"/>
      <c r="S41088" s="178"/>
    </row>
    <row r="41089" spans="18:19">
      <c r="R41089" s="178"/>
      <c r="S41089" s="178"/>
    </row>
    <row r="41090" spans="18:19">
      <c r="R41090" s="178"/>
      <c r="S41090" s="178"/>
    </row>
    <row r="41091" spans="18:19">
      <c r="R41091" s="178"/>
      <c r="S41091" s="178"/>
    </row>
    <row r="41092" spans="18:19">
      <c r="R41092" s="178"/>
      <c r="S41092" s="178"/>
    </row>
    <row r="41093" spans="18:19">
      <c r="R41093" s="178"/>
      <c r="S41093" s="178"/>
    </row>
    <row r="41094" spans="18:19">
      <c r="R41094" s="178"/>
      <c r="S41094" s="178"/>
    </row>
    <row r="41095" spans="18:19">
      <c r="R41095" s="178"/>
      <c r="S41095" s="178"/>
    </row>
    <row r="41096" spans="18:19">
      <c r="R41096" s="178"/>
      <c r="S41096" s="178"/>
    </row>
    <row r="41097" spans="18:19">
      <c r="R41097" s="178"/>
      <c r="S41097" s="178"/>
    </row>
    <row r="41098" spans="18:19">
      <c r="R41098" s="178"/>
      <c r="S41098" s="178"/>
    </row>
    <row r="41099" spans="18:19">
      <c r="R41099" s="178"/>
      <c r="S41099" s="178"/>
    </row>
    <row r="41100" spans="18:19">
      <c r="R41100" s="178"/>
      <c r="S41100" s="178"/>
    </row>
    <row r="41101" spans="18:19">
      <c r="R41101" s="178"/>
      <c r="S41101" s="178"/>
    </row>
    <row r="41102" spans="18:19">
      <c r="R41102" s="178"/>
      <c r="S41102" s="178"/>
    </row>
    <row r="41103" spans="18:19">
      <c r="R41103" s="178"/>
      <c r="S41103" s="178"/>
    </row>
    <row r="41104" spans="18:19">
      <c r="R41104" s="178"/>
      <c r="S41104" s="178"/>
    </row>
    <row r="41105" spans="18:19">
      <c r="R41105" s="178"/>
      <c r="S41105" s="178"/>
    </row>
    <row r="41106" spans="18:19">
      <c r="R41106" s="178"/>
      <c r="S41106" s="178"/>
    </row>
    <row r="41107" spans="18:19">
      <c r="R41107" s="178"/>
      <c r="S41107" s="178"/>
    </row>
    <row r="41108" spans="18:19">
      <c r="R41108" s="178"/>
      <c r="S41108" s="178"/>
    </row>
    <row r="41109" spans="18:19">
      <c r="R41109" s="178"/>
      <c r="S41109" s="178"/>
    </row>
    <row r="41110" spans="18:19">
      <c r="R41110" s="178"/>
      <c r="S41110" s="178"/>
    </row>
    <row r="41111" spans="18:19">
      <c r="R41111" s="178"/>
      <c r="S41111" s="178"/>
    </row>
    <row r="41112" spans="18:19">
      <c r="R41112" s="178"/>
      <c r="S41112" s="178"/>
    </row>
    <row r="41113" spans="18:19">
      <c r="R41113" s="178"/>
      <c r="S41113" s="178"/>
    </row>
    <row r="41114" spans="18:19">
      <c r="R41114" s="178"/>
      <c r="S41114" s="178"/>
    </row>
    <row r="41115" spans="18:19">
      <c r="R41115" s="178"/>
      <c r="S41115" s="178"/>
    </row>
    <row r="41116" spans="18:19">
      <c r="R41116" s="178"/>
      <c r="S41116" s="178"/>
    </row>
    <row r="41117" spans="18:19">
      <c r="R41117" s="178"/>
      <c r="S41117" s="178"/>
    </row>
    <row r="41118" spans="18:19">
      <c r="R41118" s="178"/>
      <c r="S41118" s="178"/>
    </row>
    <row r="41119" spans="18:19">
      <c r="R41119" s="178"/>
      <c r="S41119" s="178"/>
    </row>
    <row r="41120" spans="18:19">
      <c r="R41120" s="178"/>
      <c r="S41120" s="178"/>
    </row>
    <row r="41121" spans="18:19">
      <c r="R41121" s="178"/>
      <c r="S41121" s="178"/>
    </row>
    <row r="41122" spans="18:19">
      <c r="R41122" s="178"/>
      <c r="S41122" s="178"/>
    </row>
    <row r="41123" spans="18:19">
      <c r="R41123" s="178"/>
      <c r="S41123" s="178"/>
    </row>
    <row r="41124" spans="18:19">
      <c r="R41124" s="178"/>
      <c r="S41124" s="178"/>
    </row>
    <row r="41125" spans="18:19">
      <c r="R41125" s="178"/>
      <c r="S41125" s="178"/>
    </row>
    <row r="41126" spans="18:19">
      <c r="R41126" s="178"/>
      <c r="S41126" s="178"/>
    </row>
    <row r="41127" spans="18:19">
      <c r="R41127" s="178"/>
      <c r="S41127" s="178"/>
    </row>
    <row r="41128" spans="18:19">
      <c r="R41128" s="178"/>
      <c r="S41128" s="178"/>
    </row>
    <row r="41129" spans="18:19">
      <c r="R41129" s="178"/>
      <c r="S41129" s="178"/>
    </row>
    <row r="41130" spans="18:19">
      <c r="R41130" s="178"/>
      <c r="S41130" s="178"/>
    </row>
    <row r="41131" spans="18:19">
      <c r="R41131" s="178"/>
      <c r="S41131" s="178"/>
    </row>
    <row r="41132" spans="18:19">
      <c r="R41132" s="178"/>
      <c r="S41132" s="178"/>
    </row>
    <row r="41133" spans="18:19">
      <c r="R41133" s="178"/>
      <c r="S41133" s="178"/>
    </row>
    <row r="41134" spans="18:19">
      <c r="R41134" s="178"/>
      <c r="S41134" s="178"/>
    </row>
    <row r="41135" spans="18:19">
      <c r="R41135" s="178"/>
      <c r="S41135" s="178"/>
    </row>
    <row r="41136" spans="18:19">
      <c r="R41136" s="178"/>
      <c r="S41136" s="178"/>
    </row>
    <row r="41137" spans="18:19">
      <c r="R41137" s="178"/>
      <c r="S41137" s="178"/>
    </row>
    <row r="41138" spans="18:19">
      <c r="R41138" s="178"/>
      <c r="S41138" s="178"/>
    </row>
    <row r="41139" spans="18:19">
      <c r="R41139" s="178"/>
      <c r="S41139" s="178"/>
    </row>
    <row r="41140" spans="18:19">
      <c r="R41140" s="178"/>
      <c r="S41140" s="178"/>
    </row>
    <row r="41141" spans="18:19">
      <c r="R41141" s="178"/>
      <c r="S41141" s="178"/>
    </row>
    <row r="41142" spans="18:19">
      <c r="R41142" s="178"/>
      <c r="S41142" s="178"/>
    </row>
    <row r="41143" spans="18:19">
      <c r="R41143" s="178"/>
      <c r="S41143" s="178"/>
    </row>
    <row r="41144" spans="18:19">
      <c r="R41144" s="178"/>
      <c r="S41144" s="178"/>
    </row>
    <row r="41145" spans="18:19">
      <c r="R41145" s="178"/>
      <c r="S41145" s="178"/>
    </row>
    <row r="41146" spans="18:19">
      <c r="R41146" s="178"/>
      <c r="S41146" s="178"/>
    </row>
    <row r="41147" spans="18:19">
      <c r="R41147" s="178"/>
      <c r="S41147" s="178"/>
    </row>
    <row r="41148" spans="18:19">
      <c r="R41148" s="178"/>
      <c r="S41148" s="178"/>
    </row>
    <row r="41149" spans="18:19">
      <c r="R41149" s="178"/>
      <c r="S41149" s="178"/>
    </row>
    <row r="41150" spans="18:19">
      <c r="R41150" s="178"/>
      <c r="S41150" s="178"/>
    </row>
    <row r="41151" spans="18:19">
      <c r="R41151" s="178"/>
      <c r="S41151" s="178"/>
    </row>
    <row r="41152" spans="18:19">
      <c r="R41152" s="178"/>
      <c r="S41152" s="178"/>
    </row>
    <row r="41153" spans="18:19">
      <c r="R41153" s="178"/>
      <c r="S41153" s="178"/>
    </row>
    <row r="41154" spans="18:19">
      <c r="R41154" s="178"/>
      <c r="S41154" s="178"/>
    </row>
    <row r="41155" spans="18:19">
      <c r="R41155" s="178"/>
      <c r="S41155" s="178"/>
    </row>
    <row r="41156" spans="18:19">
      <c r="R41156" s="178"/>
      <c r="S41156" s="178"/>
    </row>
    <row r="41157" spans="18:19">
      <c r="R41157" s="178"/>
      <c r="S41157" s="178"/>
    </row>
    <row r="41158" spans="18:19">
      <c r="R41158" s="178"/>
      <c r="S41158" s="178"/>
    </row>
    <row r="41159" spans="18:19">
      <c r="R41159" s="178"/>
      <c r="S41159" s="178"/>
    </row>
    <row r="41160" spans="18:19">
      <c r="R41160" s="178"/>
      <c r="S41160" s="178"/>
    </row>
    <row r="41161" spans="18:19">
      <c r="R41161" s="178"/>
      <c r="S41161" s="178"/>
    </row>
    <row r="41162" spans="18:19">
      <c r="R41162" s="178"/>
      <c r="S41162" s="178"/>
    </row>
    <row r="41163" spans="18:19">
      <c r="R41163" s="178"/>
      <c r="S41163" s="178"/>
    </row>
    <row r="41164" spans="18:19">
      <c r="R41164" s="178"/>
      <c r="S41164" s="178"/>
    </row>
    <row r="41165" spans="18:19">
      <c r="R41165" s="178"/>
      <c r="S41165" s="178"/>
    </row>
    <row r="41166" spans="18:19">
      <c r="R41166" s="178"/>
      <c r="S41166" s="178"/>
    </row>
    <row r="41167" spans="18:19">
      <c r="R41167" s="178"/>
      <c r="S41167" s="178"/>
    </row>
    <row r="41168" spans="18:19">
      <c r="R41168" s="178"/>
      <c r="S41168" s="178"/>
    </row>
    <row r="41169" spans="18:19">
      <c r="R41169" s="178"/>
      <c r="S41169" s="178"/>
    </row>
    <row r="41170" spans="18:19">
      <c r="R41170" s="178"/>
      <c r="S41170" s="178"/>
    </row>
    <row r="41171" spans="18:19">
      <c r="R41171" s="178"/>
      <c r="S41171" s="178"/>
    </row>
    <row r="41172" spans="18:19">
      <c r="R41172" s="178"/>
      <c r="S41172" s="178"/>
    </row>
    <row r="41173" spans="18:19">
      <c r="R41173" s="178"/>
      <c r="S41173" s="178"/>
    </row>
    <row r="41174" spans="18:19">
      <c r="R41174" s="178"/>
      <c r="S41174" s="178"/>
    </row>
    <row r="41175" spans="18:19">
      <c r="R41175" s="178"/>
      <c r="S41175" s="178"/>
    </row>
    <row r="41176" spans="18:19">
      <c r="R41176" s="178"/>
      <c r="S41176" s="178"/>
    </row>
    <row r="41177" spans="18:19">
      <c r="R41177" s="178"/>
      <c r="S41177" s="178"/>
    </row>
    <row r="41178" spans="18:19">
      <c r="R41178" s="178"/>
      <c r="S41178" s="178"/>
    </row>
    <row r="41179" spans="18:19">
      <c r="R41179" s="178"/>
      <c r="S41179" s="178"/>
    </row>
    <row r="41180" spans="18:19">
      <c r="R41180" s="178"/>
      <c r="S41180" s="178"/>
    </row>
    <row r="41181" spans="18:19">
      <c r="R41181" s="178"/>
      <c r="S41181" s="178"/>
    </row>
    <row r="41182" spans="18:19">
      <c r="R41182" s="178"/>
      <c r="S41182" s="178"/>
    </row>
    <row r="41183" spans="18:19">
      <c r="R41183" s="178"/>
      <c r="S41183" s="178"/>
    </row>
    <row r="41184" spans="18:19">
      <c r="R41184" s="178"/>
      <c r="S41184" s="178"/>
    </row>
    <row r="41185" spans="18:19">
      <c r="R41185" s="178"/>
      <c r="S41185" s="178"/>
    </row>
    <row r="41186" spans="18:19">
      <c r="R41186" s="178"/>
      <c r="S41186" s="178"/>
    </row>
    <row r="41187" spans="18:19">
      <c r="R41187" s="178"/>
      <c r="S41187" s="178"/>
    </row>
    <row r="41188" spans="18:19">
      <c r="R41188" s="178"/>
      <c r="S41188" s="178"/>
    </row>
    <row r="41189" spans="18:19">
      <c r="R41189" s="178"/>
      <c r="S41189" s="178"/>
    </row>
    <row r="41190" spans="18:19">
      <c r="R41190" s="178"/>
      <c r="S41190" s="178"/>
    </row>
    <row r="41191" spans="18:19">
      <c r="R41191" s="178"/>
      <c r="S41191" s="178"/>
    </row>
    <row r="41192" spans="18:19">
      <c r="R41192" s="178"/>
      <c r="S41192" s="178"/>
    </row>
    <row r="41193" spans="18:19">
      <c r="R41193" s="178"/>
      <c r="S41193" s="178"/>
    </row>
    <row r="41194" spans="18:19">
      <c r="R41194" s="178"/>
      <c r="S41194" s="178"/>
    </row>
    <row r="41195" spans="18:19">
      <c r="R41195" s="178"/>
      <c r="S41195" s="178"/>
    </row>
    <row r="41196" spans="18:19">
      <c r="R41196" s="178"/>
      <c r="S41196" s="178"/>
    </row>
    <row r="41197" spans="18:19">
      <c r="R41197" s="178"/>
      <c r="S41197" s="178"/>
    </row>
    <row r="41198" spans="18:19">
      <c r="R41198" s="178"/>
      <c r="S41198" s="178"/>
    </row>
    <row r="41199" spans="18:19">
      <c r="R41199" s="178"/>
      <c r="S41199" s="178"/>
    </row>
    <row r="41200" spans="18:19">
      <c r="R41200" s="178"/>
      <c r="S41200" s="178"/>
    </row>
    <row r="41201" spans="18:19">
      <c r="R41201" s="178"/>
      <c r="S41201" s="178"/>
    </row>
    <row r="41202" spans="18:19">
      <c r="R41202" s="178"/>
      <c r="S41202" s="178"/>
    </row>
    <row r="41203" spans="18:19">
      <c r="R41203" s="178"/>
      <c r="S41203" s="178"/>
    </row>
    <row r="41204" spans="18:19">
      <c r="R41204" s="178"/>
      <c r="S41204" s="178"/>
    </row>
    <row r="41205" spans="18:19">
      <c r="R41205" s="178"/>
      <c r="S41205" s="178"/>
    </row>
    <row r="41206" spans="18:19">
      <c r="R41206" s="178"/>
      <c r="S41206" s="178"/>
    </row>
    <row r="41207" spans="18:19">
      <c r="R41207" s="178"/>
      <c r="S41207" s="178"/>
    </row>
    <row r="41208" spans="18:19">
      <c r="R41208" s="178"/>
      <c r="S41208" s="178"/>
    </row>
    <row r="41209" spans="18:19">
      <c r="R41209" s="178"/>
      <c r="S41209" s="178"/>
    </row>
    <row r="41210" spans="18:19">
      <c r="R41210" s="178"/>
      <c r="S41210" s="178"/>
    </row>
    <row r="41211" spans="18:19">
      <c r="R41211" s="178"/>
      <c r="S41211" s="178"/>
    </row>
    <row r="41212" spans="18:19">
      <c r="R41212" s="178"/>
      <c r="S41212" s="178"/>
    </row>
    <row r="41213" spans="18:19">
      <c r="R41213" s="178"/>
      <c r="S41213" s="178"/>
    </row>
    <row r="41214" spans="18:19">
      <c r="R41214" s="178"/>
      <c r="S41214" s="178"/>
    </row>
    <row r="41215" spans="18:19">
      <c r="R41215" s="178"/>
      <c r="S41215" s="178"/>
    </row>
    <row r="41216" spans="18:19">
      <c r="R41216" s="178"/>
      <c r="S41216" s="178"/>
    </row>
    <row r="41217" spans="18:19">
      <c r="R41217" s="178"/>
      <c r="S41217" s="178"/>
    </row>
    <row r="41218" spans="18:19">
      <c r="R41218" s="178"/>
      <c r="S41218" s="178"/>
    </row>
    <row r="41219" spans="18:19">
      <c r="R41219" s="178"/>
      <c r="S41219" s="178"/>
    </row>
    <row r="41220" spans="18:19">
      <c r="R41220" s="178"/>
      <c r="S41220" s="178"/>
    </row>
    <row r="41221" spans="18:19">
      <c r="R41221" s="178"/>
      <c r="S41221" s="178"/>
    </row>
    <row r="41222" spans="18:19">
      <c r="R41222" s="178"/>
      <c r="S41222" s="178"/>
    </row>
    <row r="41223" spans="18:19">
      <c r="R41223" s="178"/>
      <c r="S41223" s="178"/>
    </row>
    <row r="41224" spans="18:19">
      <c r="R41224" s="178"/>
      <c r="S41224" s="178"/>
    </row>
    <row r="41225" spans="18:19">
      <c r="R41225" s="178"/>
      <c r="S41225" s="178"/>
    </row>
    <row r="41226" spans="18:19">
      <c r="R41226" s="178"/>
      <c r="S41226" s="178"/>
    </row>
    <row r="41227" spans="18:19">
      <c r="R41227" s="178"/>
      <c r="S41227" s="178"/>
    </row>
    <row r="41228" spans="18:19">
      <c r="R41228" s="178"/>
      <c r="S41228" s="178"/>
    </row>
    <row r="41229" spans="18:19">
      <c r="R41229" s="178"/>
      <c r="S41229" s="178"/>
    </row>
    <row r="41230" spans="18:19">
      <c r="R41230" s="178"/>
      <c r="S41230" s="178"/>
    </row>
    <row r="41231" spans="18:19">
      <c r="R41231" s="178"/>
      <c r="S41231" s="178"/>
    </row>
    <row r="41232" spans="18:19">
      <c r="R41232" s="178"/>
      <c r="S41232" s="178"/>
    </row>
    <row r="41233" spans="18:19">
      <c r="R41233" s="178"/>
      <c r="S41233" s="178"/>
    </row>
    <row r="41234" spans="18:19">
      <c r="R41234" s="178"/>
      <c r="S41234" s="178"/>
    </row>
    <row r="41235" spans="18:19">
      <c r="R41235" s="178"/>
      <c r="S41235" s="178"/>
    </row>
    <row r="41236" spans="18:19">
      <c r="R41236" s="178"/>
      <c r="S41236" s="178"/>
    </row>
    <row r="41237" spans="18:19">
      <c r="R41237" s="178"/>
      <c r="S41237" s="178"/>
    </row>
    <row r="41238" spans="18:19">
      <c r="R41238" s="178"/>
      <c r="S41238" s="178"/>
    </row>
    <row r="41239" spans="18:19">
      <c r="R41239" s="178"/>
      <c r="S41239" s="178"/>
    </row>
    <row r="41240" spans="18:19">
      <c r="R41240" s="178"/>
      <c r="S41240" s="178"/>
    </row>
    <row r="41241" spans="18:19">
      <c r="R41241" s="178"/>
      <c r="S41241" s="178"/>
    </row>
    <row r="41242" spans="18:19">
      <c r="R41242" s="178"/>
      <c r="S41242" s="178"/>
    </row>
    <row r="41243" spans="18:19">
      <c r="R41243" s="178"/>
      <c r="S41243" s="178"/>
    </row>
    <row r="41244" spans="18:19">
      <c r="R41244" s="178"/>
      <c r="S41244" s="178"/>
    </row>
    <row r="41245" spans="18:19">
      <c r="R41245" s="178"/>
      <c r="S41245" s="178"/>
    </row>
    <row r="41246" spans="18:19">
      <c r="R41246" s="178"/>
      <c r="S41246" s="178"/>
    </row>
    <row r="41247" spans="18:19">
      <c r="R41247" s="178"/>
      <c r="S41247" s="178"/>
    </row>
    <row r="41248" spans="18:19">
      <c r="R41248" s="178"/>
      <c r="S41248" s="178"/>
    </row>
    <row r="41249" spans="18:19">
      <c r="R41249" s="178"/>
      <c r="S41249" s="178"/>
    </row>
    <row r="41250" spans="18:19">
      <c r="R41250" s="178"/>
      <c r="S41250" s="178"/>
    </row>
    <row r="41251" spans="18:19">
      <c r="R41251" s="178"/>
      <c r="S41251" s="178"/>
    </row>
    <row r="41252" spans="18:19">
      <c r="R41252" s="178"/>
      <c r="S41252" s="178"/>
    </row>
    <row r="41253" spans="18:19">
      <c r="R41253" s="178"/>
      <c r="S41253" s="178"/>
    </row>
    <row r="41254" spans="18:19">
      <c r="R41254" s="178"/>
      <c r="S41254" s="178"/>
    </row>
    <row r="41255" spans="18:19">
      <c r="R41255" s="178"/>
      <c r="S41255" s="178"/>
    </row>
    <row r="41256" spans="18:19">
      <c r="R41256" s="178"/>
      <c r="S41256" s="178"/>
    </row>
    <row r="41257" spans="18:19">
      <c r="R41257" s="178"/>
      <c r="S41257" s="178"/>
    </row>
    <row r="41258" spans="18:19">
      <c r="R41258" s="178"/>
      <c r="S41258" s="178"/>
    </row>
    <row r="41259" spans="18:19">
      <c r="R41259" s="178"/>
      <c r="S41259" s="178"/>
    </row>
    <row r="41260" spans="18:19">
      <c r="R41260" s="178"/>
      <c r="S41260" s="178"/>
    </row>
    <row r="41261" spans="18:19">
      <c r="R41261" s="178"/>
      <c r="S41261" s="178"/>
    </row>
    <row r="41262" spans="18:19">
      <c r="R41262" s="178"/>
      <c r="S41262" s="178"/>
    </row>
    <row r="41263" spans="18:19">
      <c r="R41263" s="178"/>
      <c r="S41263" s="178"/>
    </row>
    <row r="41264" spans="18:19">
      <c r="R41264" s="178"/>
      <c r="S41264" s="178"/>
    </row>
    <row r="41265" spans="18:19">
      <c r="R41265" s="178"/>
      <c r="S41265" s="178"/>
    </row>
    <row r="41266" spans="18:19">
      <c r="R41266" s="178"/>
      <c r="S41266" s="178"/>
    </row>
    <row r="41267" spans="18:19">
      <c r="R41267" s="178"/>
      <c r="S41267" s="178"/>
    </row>
    <row r="41268" spans="18:19">
      <c r="R41268" s="178"/>
      <c r="S41268" s="178"/>
    </row>
    <row r="41269" spans="18:19">
      <c r="R41269" s="178"/>
      <c r="S41269" s="178"/>
    </row>
    <row r="41270" spans="18:19">
      <c r="R41270" s="178"/>
      <c r="S41270" s="178"/>
    </row>
    <row r="41271" spans="18:19">
      <c r="R41271" s="178"/>
      <c r="S41271" s="178"/>
    </row>
    <row r="41272" spans="18:19">
      <c r="R41272" s="178"/>
      <c r="S41272" s="178"/>
    </row>
    <row r="41273" spans="18:19">
      <c r="R41273" s="178"/>
      <c r="S41273" s="178"/>
    </row>
    <row r="41274" spans="18:19">
      <c r="R41274" s="178"/>
      <c r="S41274" s="178"/>
    </row>
    <row r="41275" spans="18:19">
      <c r="R41275" s="178"/>
      <c r="S41275" s="178"/>
    </row>
    <row r="41276" spans="18:19">
      <c r="R41276" s="178"/>
      <c r="S41276" s="178"/>
    </row>
    <row r="41277" spans="18:19">
      <c r="R41277" s="178"/>
      <c r="S41277" s="178"/>
    </row>
    <row r="41278" spans="18:19">
      <c r="R41278" s="178"/>
      <c r="S41278" s="178"/>
    </row>
    <row r="41279" spans="18:19">
      <c r="R41279" s="178"/>
      <c r="S41279" s="178"/>
    </row>
    <row r="41280" spans="18:19">
      <c r="R41280" s="178"/>
      <c r="S41280" s="178"/>
    </row>
    <row r="41281" spans="18:19">
      <c r="R41281" s="178"/>
      <c r="S41281" s="178"/>
    </row>
    <row r="41282" spans="18:19">
      <c r="R41282" s="178"/>
      <c r="S41282" s="178"/>
    </row>
    <row r="41283" spans="18:19">
      <c r="R41283" s="178"/>
      <c r="S41283" s="178"/>
    </row>
    <row r="41284" spans="18:19">
      <c r="R41284" s="178"/>
      <c r="S41284" s="178"/>
    </row>
    <row r="41285" spans="18:19">
      <c r="R41285" s="178"/>
      <c r="S41285" s="178"/>
    </row>
    <row r="41286" spans="18:19">
      <c r="R41286" s="178"/>
      <c r="S41286" s="178"/>
    </row>
    <row r="41287" spans="18:19">
      <c r="R41287" s="178"/>
      <c r="S41287" s="178"/>
    </row>
    <row r="41288" spans="18:19">
      <c r="R41288" s="178"/>
      <c r="S41288" s="178"/>
    </row>
    <row r="41289" spans="18:19">
      <c r="R41289" s="178"/>
      <c r="S41289" s="178"/>
    </row>
    <row r="41290" spans="18:19">
      <c r="R41290" s="178"/>
      <c r="S41290" s="178"/>
    </row>
    <row r="41291" spans="18:19">
      <c r="R41291" s="178"/>
      <c r="S41291" s="178"/>
    </row>
    <row r="41292" spans="18:19">
      <c r="R41292" s="178"/>
      <c r="S41292" s="178"/>
    </row>
    <row r="41293" spans="18:19">
      <c r="R41293" s="178"/>
      <c r="S41293" s="178"/>
    </row>
    <row r="41294" spans="18:19">
      <c r="R41294" s="178"/>
      <c r="S41294" s="178"/>
    </row>
    <row r="41295" spans="18:19">
      <c r="R41295" s="178"/>
      <c r="S41295" s="178"/>
    </row>
    <row r="41296" spans="18:19">
      <c r="R41296" s="178"/>
      <c r="S41296" s="178"/>
    </row>
    <row r="41297" spans="18:19">
      <c r="R41297" s="178"/>
      <c r="S41297" s="178"/>
    </row>
    <row r="41298" spans="18:19">
      <c r="R41298" s="178"/>
      <c r="S41298" s="178"/>
    </row>
    <row r="41299" spans="18:19">
      <c r="R41299" s="178"/>
      <c r="S41299" s="178"/>
    </row>
    <row r="41300" spans="18:19">
      <c r="R41300" s="178"/>
      <c r="S41300" s="178"/>
    </row>
    <row r="41301" spans="18:19">
      <c r="R41301" s="178"/>
      <c r="S41301" s="178"/>
    </row>
    <row r="41302" spans="18:19">
      <c r="R41302" s="178"/>
      <c r="S41302" s="178"/>
    </row>
    <row r="41303" spans="18:19">
      <c r="R41303" s="178"/>
      <c r="S41303" s="178"/>
    </row>
    <row r="41304" spans="18:19">
      <c r="R41304" s="178"/>
      <c r="S41304" s="178"/>
    </row>
    <row r="41305" spans="18:19">
      <c r="R41305" s="178"/>
      <c r="S41305" s="178"/>
    </row>
    <row r="41306" spans="18:19">
      <c r="R41306" s="178"/>
      <c r="S41306" s="178"/>
    </row>
    <row r="41307" spans="18:19">
      <c r="R41307" s="178"/>
      <c r="S41307" s="178"/>
    </row>
    <row r="41308" spans="18:19">
      <c r="R41308" s="178"/>
      <c r="S41308" s="178"/>
    </row>
    <row r="41309" spans="18:19">
      <c r="R41309" s="178"/>
      <c r="S41309" s="178"/>
    </row>
    <row r="41310" spans="18:19">
      <c r="R41310" s="178"/>
      <c r="S41310" s="178"/>
    </row>
    <row r="41311" spans="18:19">
      <c r="R41311" s="178"/>
      <c r="S41311" s="178"/>
    </row>
    <row r="41312" spans="18:19">
      <c r="R41312" s="178"/>
      <c r="S41312" s="178"/>
    </row>
    <row r="41313" spans="18:19">
      <c r="R41313" s="178"/>
      <c r="S41313" s="178"/>
    </row>
    <row r="41314" spans="18:19">
      <c r="R41314" s="178"/>
      <c r="S41314" s="178"/>
    </row>
    <row r="41315" spans="18:19">
      <c r="R41315" s="178"/>
      <c r="S41315" s="178"/>
    </row>
    <row r="41316" spans="18:19">
      <c r="R41316" s="178"/>
      <c r="S41316" s="178"/>
    </row>
    <row r="41317" spans="18:19">
      <c r="R41317" s="178"/>
      <c r="S41317" s="178"/>
    </row>
    <row r="41318" spans="18:19">
      <c r="R41318" s="178"/>
      <c r="S41318" s="178"/>
    </row>
    <row r="41319" spans="18:19">
      <c r="R41319" s="178"/>
      <c r="S41319" s="178"/>
    </row>
    <row r="41320" spans="18:19">
      <c r="R41320" s="178"/>
      <c r="S41320" s="178"/>
    </row>
    <row r="41321" spans="18:19">
      <c r="R41321" s="178"/>
      <c r="S41321" s="178"/>
    </row>
    <row r="41322" spans="18:19">
      <c r="R41322" s="178"/>
      <c r="S41322" s="178"/>
    </row>
    <row r="41323" spans="18:19">
      <c r="R41323" s="178"/>
      <c r="S41323" s="178"/>
    </row>
    <row r="41324" spans="18:19">
      <c r="R41324" s="178"/>
      <c r="S41324" s="178"/>
    </row>
    <row r="41325" spans="18:19">
      <c r="R41325" s="178"/>
      <c r="S41325" s="178"/>
    </row>
    <row r="41326" spans="18:19">
      <c r="R41326" s="178"/>
      <c r="S41326" s="178"/>
    </row>
    <row r="41327" spans="18:19">
      <c r="R41327" s="178"/>
      <c r="S41327" s="178"/>
    </row>
    <row r="41328" spans="18:19">
      <c r="R41328" s="178"/>
      <c r="S41328" s="178"/>
    </row>
    <row r="41329" spans="18:19">
      <c r="R41329" s="178"/>
      <c r="S41329" s="178"/>
    </row>
    <row r="41330" spans="18:19">
      <c r="R41330" s="178"/>
      <c r="S41330" s="178"/>
    </row>
    <row r="41331" spans="18:19">
      <c r="R41331" s="178"/>
      <c r="S41331" s="178"/>
    </row>
    <row r="41332" spans="18:19">
      <c r="R41332" s="178"/>
      <c r="S41332" s="178"/>
    </row>
    <row r="41333" spans="18:19">
      <c r="R41333" s="178"/>
      <c r="S41333" s="178"/>
    </row>
    <row r="41334" spans="18:19">
      <c r="R41334" s="178"/>
      <c r="S41334" s="178"/>
    </row>
    <row r="41335" spans="18:19">
      <c r="R41335" s="178"/>
      <c r="S41335" s="178"/>
    </row>
    <row r="41336" spans="18:19">
      <c r="R41336" s="178"/>
      <c r="S41336" s="178"/>
    </row>
    <row r="41337" spans="18:19">
      <c r="R41337" s="178"/>
      <c r="S41337" s="178"/>
    </row>
    <row r="41338" spans="18:19">
      <c r="R41338" s="178"/>
      <c r="S41338" s="178"/>
    </row>
    <row r="41339" spans="18:19">
      <c r="R41339" s="178"/>
      <c r="S41339" s="178"/>
    </row>
    <row r="41340" spans="18:19">
      <c r="R41340" s="178"/>
      <c r="S41340" s="178"/>
    </row>
    <row r="41341" spans="18:19">
      <c r="R41341" s="178"/>
      <c r="S41341" s="178"/>
    </row>
    <row r="41342" spans="18:19">
      <c r="R41342" s="178"/>
      <c r="S41342" s="178"/>
    </row>
    <row r="41343" spans="18:19">
      <c r="R41343" s="178"/>
      <c r="S41343" s="178"/>
    </row>
    <row r="41344" spans="18:19">
      <c r="R41344" s="178"/>
      <c r="S41344" s="178"/>
    </row>
    <row r="41345" spans="18:19">
      <c r="R41345" s="178"/>
      <c r="S41345" s="178"/>
    </row>
    <row r="41346" spans="18:19">
      <c r="R41346" s="178"/>
      <c r="S41346" s="178"/>
    </row>
    <row r="41347" spans="18:19">
      <c r="R41347" s="178"/>
      <c r="S41347" s="178"/>
    </row>
    <row r="41348" spans="18:19">
      <c r="R41348" s="178"/>
      <c r="S41348" s="178"/>
    </row>
    <row r="41349" spans="18:19">
      <c r="R41349" s="178"/>
      <c r="S41349" s="178"/>
    </row>
    <row r="41350" spans="18:19">
      <c r="R41350" s="178"/>
      <c r="S41350" s="178"/>
    </row>
    <row r="41351" spans="18:19">
      <c r="R41351" s="178"/>
      <c r="S41351" s="178"/>
    </row>
    <row r="41352" spans="18:19">
      <c r="R41352" s="178"/>
      <c r="S41352" s="178"/>
    </row>
    <row r="41353" spans="18:19">
      <c r="R41353" s="178"/>
      <c r="S41353" s="178"/>
    </row>
    <row r="41354" spans="18:19">
      <c r="R41354" s="178"/>
      <c r="S41354" s="178"/>
    </row>
    <row r="41355" spans="18:19">
      <c r="R41355" s="178"/>
      <c r="S41355" s="178"/>
    </row>
    <row r="41356" spans="18:19">
      <c r="R41356" s="178"/>
      <c r="S41356" s="178"/>
    </row>
    <row r="41357" spans="18:19">
      <c r="R41357" s="178"/>
      <c r="S41357" s="178"/>
    </row>
    <row r="41358" spans="18:19">
      <c r="R41358" s="178"/>
      <c r="S41358" s="178"/>
    </row>
    <row r="41359" spans="18:19">
      <c r="R41359" s="178"/>
      <c r="S41359" s="178"/>
    </row>
    <row r="41360" spans="18:19">
      <c r="R41360" s="178"/>
      <c r="S41360" s="178"/>
    </row>
    <row r="41361" spans="18:19">
      <c r="R41361" s="178"/>
      <c r="S41361" s="178"/>
    </row>
    <row r="41362" spans="18:19">
      <c r="R41362" s="178"/>
      <c r="S41362" s="178"/>
    </row>
    <row r="41363" spans="18:19">
      <c r="R41363" s="178"/>
      <c r="S41363" s="178"/>
    </row>
    <row r="41364" spans="18:19">
      <c r="R41364" s="178"/>
      <c r="S41364" s="178"/>
    </row>
    <row r="41365" spans="18:19">
      <c r="R41365" s="178"/>
      <c r="S41365" s="178"/>
    </row>
    <row r="41366" spans="18:19">
      <c r="R41366" s="178"/>
      <c r="S41366" s="178"/>
    </row>
    <row r="41367" spans="18:19">
      <c r="R41367" s="178"/>
      <c r="S41367" s="178"/>
    </row>
    <row r="41368" spans="18:19">
      <c r="R41368" s="178"/>
      <c r="S41368" s="178"/>
    </row>
    <row r="41369" spans="18:19">
      <c r="R41369" s="178"/>
      <c r="S41369" s="178"/>
    </row>
    <row r="41370" spans="18:19">
      <c r="R41370" s="178"/>
      <c r="S41370" s="178"/>
    </row>
    <row r="41371" spans="18:19">
      <c r="R41371" s="178"/>
      <c r="S41371" s="178"/>
    </row>
    <row r="41372" spans="18:19">
      <c r="R41372" s="178"/>
      <c r="S41372" s="178"/>
    </row>
    <row r="41373" spans="18:19">
      <c r="R41373" s="178"/>
      <c r="S41373" s="178"/>
    </row>
    <row r="41374" spans="18:19">
      <c r="R41374" s="178"/>
      <c r="S41374" s="178"/>
    </row>
    <row r="41375" spans="18:19">
      <c r="R41375" s="178"/>
      <c r="S41375" s="178"/>
    </row>
    <row r="41376" spans="18:19">
      <c r="R41376" s="178"/>
      <c r="S41376" s="178"/>
    </row>
    <row r="41377" spans="18:19">
      <c r="R41377" s="178"/>
      <c r="S41377" s="178"/>
    </row>
    <row r="41378" spans="18:19">
      <c r="R41378" s="178"/>
      <c r="S41378" s="178"/>
    </row>
    <row r="41379" spans="18:19">
      <c r="R41379" s="178"/>
      <c r="S41379" s="178"/>
    </row>
    <row r="41380" spans="18:19">
      <c r="R41380" s="178"/>
      <c r="S41380" s="178"/>
    </row>
    <row r="41381" spans="18:19">
      <c r="R41381" s="178"/>
      <c r="S41381" s="178"/>
    </row>
    <row r="41382" spans="18:19">
      <c r="R41382" s="178"/>
      <c r="S41382" s="178"/>
    </row>
    <row r="41383" spans="18:19">
      <c r="R41383" s="178"/>
      <c r="S41383" s="178"/>
    </row>
    <row r="41384" spans="18:19">
      <c r="R41384" s="178"/>
      <c r="S41384" s="178"/>
    </row>
    <row r="41385" spans="18:19">
      <c r="R41385" s="178"/>
      <c r="S41385" s="178"/>
    </row>
    <row r="41386" spans="18:19">
      <c r="R41386" s="178"/>
      <c r="S41386" s="178"/>
    </row>
    <row r="41387" spans="18:19">
      <c r="R41387" s="178"/>
      <c r="S41387" s="178"/>
    </row>
    <row r="41388" spans="18:19">
      <c r="R41388" s="178"/>
      <c r="S41388" s="178"/>
    </row>
    <row r="41389" spans="18:19">
      <c r="R41389" s="178"/>
      <c r="S41389" s="178"/>
    </row>
    <row r="41390" spans="18:19">
      <c r="R41390" s="178"/>
      <c r="S41390" s="178"/>
    </row>
    <row r="41391" spans="18:19">
      <c r="R41391" s="178"/>
      <c r="S41391" s="178"/>
    </row>
    <row r="41392" spans="18:19">
      <c r="R41392" s="178"/>
      <c r="S41392" s="178"/>
    </row>
    <row r="41393" spans="18:19">
      <c r="R41393" s="178"/>
      <c r="S41393" s="178"/>
    </row>
    <row r="41394" spans="18:19">
      <c r="R41394" s="178"/>
      <c r="S41394" s="178"/>
    </row>
    <row r="41395" spans="18:19">
      <c r="R41395" s="178"/>
      <c r="S41395" s="178"/>
    </row>
    <row r="41396" spans="18:19">
      <c r="R41396" s="178"/>
      <c r="S41396" s="178"/>
    </row>
    <row r="41397" spans="18:19">
      <c r="R41397" s="178"/>
      <c r="S41397" s="178"/>
    </row>
    <row r="41398" spans="18:19">
      <c r="R41398" s="178"/>
      <c r="S41398" s="178"/>
    </row>
    <row r="41399" spans="18:19">
      <c r="R41399" s="178"/>
      <c r="S41399" s="178"/>
    </row>
    <row r="41400" spans="18:19">
      <c r="R41400" s="178"/>
      <c r="S41400" s="178"/>
    </row>
    <row r="41401" spans="18:19">
      <c r="R41401" s="178"/>
      <c r="S41401" s="178"/>
    </row>
    <row r="41402" spans="18:19">
      <c r="R41402" s="178"/>
      <c r="S41402" s="178"/>
    </row>
    <row r="41403" spans="18:19">
      <c r="R41403" s="178"/>
      <c r="S41403" s="178"/>
    </row>
    <row r="41404" spans="18:19">
      <c r="R41404" s="178"/>
      <c r="S41404" s="178"/>
    </row>
    <row r="41405" spans="18:19">
      <c r="R41405" s="178"/>
      <c r="S41405" s="178"/>
    </row>
    <row r="41406" spans="18:19">
      <c r="R41406" s="178"/>
      <c r="S41406" s="178"/>
    </row>
    <row r="41407" spans="18:19">
      <c r="R41407" s="178"/>
      <c r="S41407" s="178"/>
    </row>
    <row r="41408" spans="18:19">
      <c r="R41408" s="178"/>
      <c r="S41408" s="178"/>
    </row>
    <row r="41409" spans="18:19">
      <c r="R41409" s="178"/>
      <c r="S41409" s="178"/>
    </row>
    <row r="41410" spans="18:19">
      <c r="R41410" s="178"/>
      <c r="S41410" s="178"/>
    </row>
    <row r="41411" spans="18:19">
      <c r="R41411" s="178"/>
      <c r="S41411" s="178"/>
    </row>
    <row r="41412" spans="18:19">
      <c r="R41412" s="178"/>
      <c r="S41412" s="178"/>
    </row>
    <row r="41413" spans="18:19">
      <c r="R41413" s="178"/>
      <c r="S41413" s="178"/>
    </row>
    <row r="41414" spans="18:19">
      <c r="R41414" s="178"/>
      <c r="S41414" s="178"/>
    </row>
    <row r="41415" spans="18:19">
      <c r="R41415" s="178"/>
      <c r="S41415" s="178"/>
    </row>
    <row r="41416" spans="18:19">
      <c r="R41416" s="178"/>
      <c r="S41416" s="178"/>
    </row>
    <row r="41417" spans="18:19">
      <c r="R41417" s="178"/>
      <c r="S41417" s="178"/>
    </row>
    <row r="41418" spans="18:19">
      <c r="R41418" s="178"/>
      <c r="S41418" s="178"/>
    </row>
    <row r="41419" spans="18:19">
      <c r="R41419" s="178"/>
      <c r="S41419" s="178"/>
    </row>
    <row r="41420" spans="18:19">
      <c r="R41420" s="178"/>
      <c r="S41420" s="178"/>
    </row>
    <row r="41421" spans="18:19">
      <c r="R41421" s="178"/>
      <c r="S41421" s="178"/>
    </row>
    <row r="41422" spans="18:19">
      <c r="R41422" s="178"/>
      <c r="S41422" s="178"/>
    </row>
    <row r="41423" spans="18:19">
      <c r="R41423" s="178"/>
      <c r="S41423" s="178"/>
    </row>
    <row r="41424" spans="18:19">
      <c r="R41424" s="178"/>
      <c r="S41424" s="178"/>
    </row>
    <row r="41425" spans="18:19">
      <c r="R41425" s="178"/>
      <c r="S41425" s="178"/>
    </row>
    <row r="41426" spans="18:19">
      <c r="R41426" s="178"/>
      <c r="S41426" s="178"/>
    </row>
    <row r="41427" spans="18:19">
      <c r="R41427" s="178"/>
      <c r="S41427" s="178"/>
    </row>
    <row r="41428" spans="18:19">
      <c r="R41428" s="178"/>
      <c r="S41428" s="178"/>
    </row>
    <row r="41429" spans="18:19">
      <c r="R41429" s="178"/>
      <c r="S41429" s="178"/>
    </row>
    <row r="41430" spans="18:19">
      <c r="R41430" s="178"/>
      <c r="S41430" s="178"/>
    </row>
    <row r="41431" spans="18:19">
      <c r="R41431" s="178"/>
      <c r="S41431" s="178"/>
    </row>
    <row r="41432" spans="18:19">
      <c r="R41432" s="178"/>
      <c r="S41432" s="178"/>
    </row>
    <row r="41433" spans="18:19">
      <c r="R41433" s="178"/>
      <c r="S41433" s="178"/>
    </row>
    <row r="41434" spans="18:19">
      <c r="R41434" s="178"/>
      <c r="S41434" s="178"/>
    </row>
    <row r="41435" spans="18:19">
      <c r="R41435" s="178"/>
      <c r="S41435" s="178"/>
    </row>
    <row r="41436" spans="18:19">
      <c r="R41436" s="178"/>
      <c r="S41436" s="178"/>
    </row>
    <row r="41437" spans="18:19">
      <c r="R41437" s="178"/>
      <c r="S41437" s="178"/>
    </row>
    <row r="41438" spans="18:19">
      <c r="R41438" s="178"/>
      <c r="S41438" s="178"/>
    </row>
    <row r="41439" spans="18:19">
      <c r="R41439" s="178"/>
      <c r="S41439" s="178"/>
    </row>
    <row r="41440" spans="18:19">
      <c r="R41440" s="178"/>
      <c r="S41440" s="178"/>
    </row>
    <row r="41441" spans="18:19">
      <c r="R41441" s="178"/>
      <c r="S41441" s="178"/>
    </row>
    <row r="41442" spans="18:19">
      <c r="R41442" s="178"/>
      <c r="S41442" s="178"/>
    </row>
    <row r="41443" spans="18:19">
      <c r="R41443" s="178"/>
      <c r="S41443" s="178"/>
    </row>
    <row r="41444" spans="18:19">
      <c r="R41444" s="178"/>
      <c r="S41444" s="178"/>
    </row>
    <row r="41445" spans="18:19">
      <c r="R41445" s="178"/>
      <c r="S41445" s="178"/>
    </row>
    <row r="41446" spans="18:19">
      <c r="R41446" s="178"/>
      <c r="S41446" s="178"/>
    </row>
    <row r="41447" spans="18:19">
      <c r="R41447" s="178"/>
      <c r="S41447" s="178"/>
    </row>
    <row r="41448" spans="18:19">
      <c r="R41448" s="178"/>
      <c r="S41448" s="178"/>
    </row>
    <row r="41449" spans="18:19">
      <c r="R41449" s="178"/>
      <c r="S41449" s="178"/>
    </row>
    <row r="41450" spans="18:19">
      <c r="R41450" s="178"/>
      <c r="S41450" s="178"/>
    </row>
    <row r="41451" spans="18:19">
      <c r="R41451" s="178"/>
      <c r="S41451" s="178"/>
    </row>
    <row r="41452" spans="18:19">
      <c r="R41452" s="178"/>
      <c r="S41452" s="178"/>
    </row>
    <row r="41453" spans="18:19">
      <c r="R41453" s="178"/>
      <c r="S41453" s="178"/>
    </row>
    <row r="41454" spans="18:19">
      <c r="R41454" s="178"/>
      <c r="S41454" s="178"/>
    </row>
    <row r="41455" spans="18:19">
      <c r="R41455" s="178"/>
      <c r="S41455" s="178"/>
    </row>
    <row r="41456" spans="18:19">
      <c r="R41456" s="178"/>
      <c r="S41456" s="178"/>
    </row>
    <row r="41457" spans="18:19">
      <c r="R41457" s="178"/>
      <c r="S41457" s="178"/>
    </row>
    <row r="41458" spans="18:19">
      <c r="R41458" s="178"/>
      <c r="S41458" s="178"/>
    </row>
    <row r="41459" spans="18:19">
      <c r="R41459" s="178"/>
      <c r="S41459" s="178"/>
    </row>
    <row r="41460" spans="18:19">
      <c r="R41460" s="178"/>
      <c r="S41460" s="178"/>
    </row>
    <row r="41461" spans="18:19">
      <c r="R41461" s="178"/>
      <c r="S41461" s="178"/>
    </row>
    <row r="41462" spans="18:19">
      <c r="R41462" s="178"/>
      <c r="S41462" s="178"/>
    </row>
    <row r="41463" spans="18:19">
      <c r="R41463" s="178"/>
      <c r="S41463" s="178"/>
    </row>
    <row r="41464" spans="18:19">
      <c r="R41464" s="178"/>
      <c r="S41464" s="178"/>
    </row>
    <row r="41465" spans="18:19">
      <c r="R41465" s="178"/>
      <c r="S41465" s="178"/>
    </row>
    <row r="41466" spans="18:19">
      <c r="R41466" s="178"/>
      <c r="S41466" s="178"/>
    </row>
    <row r="41467" spans="18:19">
      <c r="R41467" s="178"/>
      <c r="S41467" s="178"/>
    </row>
    <row r="41468" spans="18:19">
      <c r="R41468" s="178"/>
      <c r="S41468" s="178"/>
    </row>
    <row r="41469" spans="18:19">
      <c r="R41469" s="178"/>
      <c r="S41469" s="178"/>
    </row>
    <row r="41470" spans="18:19">
      <c r="R41470" s="178"/>
      <c r="S41470" s="178"/>
    </row>
    <row r="41471" spans="18:19">
      <c r="R41471" s="178"/>
      <c r="S41471" s="178"/>
    </row>
    <row r="41472" spans="18:19">
      <c r="R41472" s="178"/>
      <c r="S41472" s="178"/>
    </row>
    <row r="41473" spans="18:19">
      <c r="R41473" s="178"/>
      <c r="S41473" s="178"/>
    </row>
    <row r="41474" spans="18:19">
      <c r="R41474" s="178"/>
      <c r="S41474" s="178"/>
    </row>
    <row r="41475" spans="18:19">
      <c r="R41475" s="178"/>
      <c r="S41475" s="178"/>
    </row>
    <row r="41476" spans="18:19">
      <c r="R41476" s="178"/>
      <c r="S41476" s="178"/>
    </row>
    <row r="41477" spans="18:19">
      <c r="R41477" s="178"/>
      <c r="S41477" s="178"/>
    </row>
    <row r="41478" spans="18:19">
      <c r="R41478" s="178"/>
      <c r="S41478" s="178"/>
    </row>
    <row r="41479" spans="18:19">
      <c r="R41479" s="178"/>
      <c r="S41479" s="178"/>
    </row>
    <row r="41480" spans="18:19">
      <c r="R41480" s="178"/>
      <c r="S41480" s="178"/>
    </row>
    <row r="41481" spans="18:19">
      <c r="R41481" s="178"/>
      <c r="S41481" s="178"/>
    </row>
    <row r="41482" spans="18:19">
      <c r="R41482" s="178"/>
      <c r="S41482" s="178"/>
    </row>
    <row r="41483" spans="18:19">
      <c r="R41483" s="178"/>
      <c r="S41483" s="178"/>
    </row>
    <row r="41484" spans="18:19">
      <c r="R41484" s="178"/>
      <c r="S41484" s="178"/>
    </row>
    <row r="41485" spans="18:19">
      <c r="R41485" s="178"/>
      <c r="S41485" s="178"/>
    </row>
    <row r="41486" spans="18:19">
      <c r="R41486" s="178"/>
      <c r="S41486" s="178"/>
    </row>
    <row r="41487" spans="18:19">
      <c r="R41487" s="178"/>
      <c r="S41487" s="178"/>
    </row>
    <row r="41488" spans="18:19">
      <c r="R41488" s="178"/>
      <c r="S41488" s="178"/>
    </row>
    <row r="41489" spans="18:19">
      <c r="R41489" s="178"/>
      <c r="S41489" s="178"/>
    </row>
    <row r="41490" spans="18:19">
      <c r="R41490" s="178"/>
      <c r="S41490" s="178"/>
    </row>
    <row r="41491" spans="18:19">
      <c r="R41491" s="178"/>
      <c r="S41491" s="178"/>
    </row>
    <row r="41492" spans="18:19">
      <c r="R41492" s="178"/>
      <c r="S41492" s="178"/>
    </row>
    <row r="41493" spans="18:19">
      <c r="R41493" s="178"/>
      <c r="S41493" s="178"/>
    </row>
    <row r="41494" spans="18:19">
      <c r="R41494" s="178"/>
      <c r="S41494" s="178"/>
    </row>
    <row r="41495" spans="18:19">
      <c r="R41495" s="178"/>
      <c r="S41495" s="178"/>
    </row>
    <row r="41496" spans="18:19">
      <c r="R41496" s="178"/>
      <c r="S41496" s="178"/>
    </row>
    <row r="41497" spans="18:19">
      <c r="R41497" s="178"/>
      <c r="S41497" s="178"/>
    </row>
    <row r="41498" spans="18:19">
      <c r="R41498" s="178"/>
      <c r="S41498" s="178"/>
    </row>
    <row r="41499" spans="18:19">
      <c r="R41499" s="178"/>
      <c r="S41499" s="178"/>
    </row>
    <row r="41500" spans="18:19">
      <c r="R41500" s="178"/>
      <c r="S41500" s="178"/>
    </row>
    <row r="41501" spans="18:19">
      <c r="R41501" s="178"/>
      <c r="S41501" s="178"/>
    </row>
    <row r="41502" spans="18:19">
      <c r="R41502" s="178"/>
      <c r="S41502" s="178"/>
    </row>
    <row r="41503" spans="18:19">
      <c r="R41503" s="178"/>
      <c r="S41503" s="178"/>
    </row>
    <row r="41504" spans="18:19">
      <c r="R41504" s="178"/>
      <c r="S41504" s="178"/>
    </row>
    <row r="41505" spans="18:19">
      <c r="R41505" s="178"/>
      <c r="S41505" s="178"/>
    </row>
    <row r="41506" spans="18:19">
      <c r="R41506" s="178"/>
      <c r="S41506" s="178"/>
    </row>
    <row r="41507" spans="18:19">
      <c r="R41507" s="178"/>
      <c r="S41507" s="178"/>
    </row>
    <row r="41508" spans="18:19">
      <c r="R41508" s="178"/>
      <c r="S41508" s="178"/>
    </row>
    <row r="41509" spans="18:19">
      <c r="R41509" s="178"/>
      <c r="S41509" s="178"/>
    </row>
    <row r="41510" spans="18:19">
      <c r="R41510" s="178"/>
      <c r="S41510" s="178"/>
    </row>
    <row r="41511" spans="18:19">
      <c r="R41511" s="178"/>
      <c r="S41511" s="178"/>
    </row>
    <row r="41512" spans="18:19">
      <c r="R41512" s="178"/>
      <c r="S41512" s="178"/>
    </row>
    <row r="41513" spans="18:19">
      <c r="R41513" s="178"/>
      <c r="S41513" s="178"/>
    </row>
    <row r="41514" spans="18:19">
      <c r="R41514" s="178"/>
      <c r="S41514" s="178"/>
    </row>
    <row r="41515" spans="18:19">
      <c r="R41515" s="178"/>
      <c r="S41515" s="178"/>
    </row>
    <row r="41516" spans="18:19">
      <c r="R41516" s="178"/>
      <c r="S41516" s="178"/>
    </row>
    <row r="41517" spans="18:19">
      <c r="R41517" s="178"/>
      <c r="S41517" s="178"/>
    </row>
    <row r="41518" spans="18:19">
      <c r="R41518" s="178"/>
      <c r="S41518" s="178"/>
    </row>
    <row r="41519" spans="18:19">
      <c r="R41519" s="178"/>
      <c r="S41519" s="178"/>
    </row>
    <row r="41520" spans="18:19">
      <c r="R41520" s="178"/>
      <c r="S41520" s="178"/>
    </row>
    <row r="41521" spans="18:19">
      <c r="R41521" s="178"/>
      <c r="S41521" s="178"/>
    </row>
    <row r="41522" spans="18:19">
      <c r="R41522" s="178"/>
      <c r="S41522" s="178"/>
    </row>
    <row r="41523" spans="18:19">
      <c r="R41523" s="178"/>
      <c r="S41523" s="178"/>
    </row>
    <row r="41524" spans="18:19">
      <c r="R41524" s="178"/>
      <c r="S41524" s="178"/>
    </row>
    <row r="41525" spans="18:19">
      <c r="R41525" s="178"/>
      <c r="S41525" s="178"/>
    </row>
    <row r="41526" spans="18:19">
      <c r="R41526" s="178"/>
      <c r="S41526" s="178"/>
    </row>
    <row r="41527" spans="18:19">
      <c r="R41527" s="178"/>
      <c r="S41527" s="178"/>
    </row>
    <row r="41528" spans="18:19">
      <c r="R41528" s="178"/>
      <c r="S41528" s="178"/>
    </row>
    <row r="41529" spans="18:19">
      <c r="R41529" s="178"/>
      <c r="S41529" s="178"/>
    </row>
    <row r="41530" spans="18:19">
      <c r="R41530" s="178"/>
      <c r="S41530" s="178"/>
    </row>
    <row r="41531" spans="18:19">
      <c r="R41531" s="178"/>
      <c r="S41531" s="178"/>
    </row>
    <row r="41532" spans="18:19">
      <c r="R41532" s="178"/>
      <c r="S41532" s="178"/>
    </row>
    <row r="41533" spans="18:19">
      <c r="R41533" s="178"/>
      <c r="S41533" s="178"/>
    </row>
    <row r="41534" spans="18:19">
      <c r="R41534" s="178"/>
      <c r="S41534" s="178"/>
    </row>
    <row r="41535" spans="18:19">
      <c r="R41535" s="178"/>
      <c r="S41535" s="178"/>
    </row>
    <row r="41536" spans="18:19">
      <c r="R41536" s="178"/>
      <c r="S41536" s="178"/>
    </row>
    <row r="41537" spans="18:19">
      <c r="R41537" s="178"/>
      <c r="S41537" s="178"/>
    </row>
    <row r="41538" spans="18:19">
      <c r="R41538" s="178"/>
      <c r="S41538" s="178"/>
    </row>
    <row r="41539" spans="18:19">
      <c r="R41539" s="178"/>
      <c r="S41539" s="178"/>
    </row>
    <row r="41540" spans="18:19">
      <c r="R41540" s="178"/>
      <c r="S41540" s="178"/>
    </row>
    <row r="41541" spans="18:19">
      <c r="R41541" s="178"/>
      <c r="S41541" s="178"/>
    </row>
    <row r="41542" spans="18:19">
      <c r="R41542" s="178"/>
      <c r="S41542" s="178"/>
    </row>
    <row r="41543" spans="18:19">
      <c r="R41543" s="178"/>
      <c r="S41543" s="178"/>
    </row>
    <row r="41544" spans="18:19">
      <c r="R41544" s="178"/>
      <c r="S41544" s="178"/>
    </row>
    <row r="41545" spans="18:19">
      <c r="R41545" s="178"/>
      <c r="S41545" s="178"/>
    </row>
    <row r="41546" spans="18:19">
      <c r="R41546" s="178"/>
      <c r="S41546" s="178"/>
    </row>
    <row r="41547" spans="18:19">
      <c r="R41547" s="178"/>
      <c r="S41547" s="178"/>
    </row>
    <row r="41548" spans="18:19">
      <c r="R41548" s="178"/>
      <c r="S41548" s="178"/>
    </row>
    <row r="41549" spans="18:19">
      <c r="R41549" s="178"/>
      <c r="S41549" s="178"/>
    </row>
    <row r="41550" spans="18:19">
      <c r="R41550" s="178"/>
      <c r="S41550" s="178"/>
    </row>
    <row r="41551" spans="18:19">
      <c r="R41551" s="178"/>
      <c r="S41551" s="178"/>
    </row>
    <row r="41552" spans="18:19">
      <c r="R41552" s="178"/>
      <c r="S41552" s="178"/>
    </row>
    <row r="41553" spans="18:19">
      <c r="R41553" s="178"/>
      <c r="S41553" s="178"/>
    </row>
    <row r="41554" spans="18:19">
      <c r="R41554" s="178"/>
      <c r="S41554" s="178"/>
    </row>
    <row r="41555" spans="18:19">
      <c r="R41555" s="178"/>
      <c r="S41555" s="178"/>
    </row>
    <row r="41556" spans="18:19">
      <c r="R41556" s="178"/>
      <c r="S41556" s="178"/>
    </row>
    <row r="41557" spans="18:19">
      <c r="R41557" s="178"/>
      <c r="S41557" s="178"/>
    </row>
    <row r="41558" spans="18:19">
      <c r="R41558" s="178"/>
      <c r="S41558" s="178"/>
    </row>
    <row r="41559" spans="18:19">
      <c r="R41559" s="178"/>
      <c r="S41559" s="178"/>
    </row>
    <row r="41560" spans="18:19">
      <c r="R41560" s="178"/>
      <c r="S41560" s="178"/>
    </row>
    <row r="41561" spans="18:19">
      <c r="R41561" s="178"/>
      <c r="S41561" s="178"/>
    </row>
    <row r="41562" spans="18:19">
      <c r="R41562" s="178"/>
      <c r="S41562" s="178"/>
    </row>
    <row r="41563" spans="18:19">
      <c r="R41563" s="178"/>
      <c r="S41563" s="178"/>
    </row>
    <row r="41564" spans="18:19">
      <c r="R41564" s="178"/>
      <c r="S41564" s="178"/>
    </row>
    <row r="41565" spans="18:19">
      <c r="R41565" s="178"/>
      <c r="S41565" s="178"/>
    </row>
    <row r="41566" spans="18:19">
      <c r="R41566" s="178"/>
      <c r="S41566" s="178"/>
    </row>
    <row r="41567" spans="18:19">
      <c r="R41567" s="178"/>
      <c r="S41567" s="178"/>
    </row>
    <row r="41568" spans="18:19">
      <c r="R41568" s="178"/>
      <c r="S41568" s="178"/>
    </row>
    <row r="41569" spans="18:19">
      <c r="R41569" s="178"/>
      <c r="S41569" s="178"/>
    </row>
    <row r="41570" spans="18:19">
      <c r="R41570" s="178"/>
      <c r="S41570" s="178"/>
    </row>
    <row r="41571" spans="18:19">
      <c r="R41571" s="178"/>
      <c r="S41571" s="178"/>
    </row>
    <row r="41572" spans="18:19">
      <c r="R41572" s="178"/>
      <c r="S41572" s="178"/>
    </row>
    <row r="41573" spans="18:19">
      <c r="R41573" s="178"/>
      <c r="S41573" s="178"/>
    </row>
    <row r="41574" spans="18:19">
      <c r="R41574" s="178"/>
      <c r="S41574" s="178"/>
    </row>
    <row r="41575" spans="18:19">
      <c r="R41575" s="178"/>
      <c r="S41575" s="178"/>
    </row>
    <row r="41576" spans="18:19">
      <c r="R41576" s="178"/>
      <c r="S41576" s="178"/>
    </row>
    <row r="41577" spans="18:19">
      <c r="R41577" s="178"/>
      <c r="S41577" s="178"/>
    </row>
    <row r="41578" spans="18:19">
      <c r="R41578" s="178"/>
      <c r="S41578" s="178"/>
    </row>
    <row r="41579" spans="18:19">
      <c r="R41579" s="178"/>
      <c r="S41579" s="178"/>
    </row>
    <row r="41580" spans="18:19">
      <c r="R41580" s="178"/>
      <c r="S41580" s="178"/>
    </row>
    <row r="41581" spans="18:19">
      <c r="R41581" s="178"/>
      <c r="S41581" s="178"/>
    </row>
    <row r="41582" spans="18:19">
      <c r="R41582" s="178"/>
      <c r="S41582" s="178"/>
    </row>
    <row r="41583" spans="18:19">
      <c r="R41583" s="178"/>
      <c r="S41583" s="178"/>
    </row>
    <row r="41584" spans="18:19">
      <c r="R41584" s="178"/>
      <c r="S41584" s="178"/>
    </row>
    <row r="41585" spans="18:19">
      <c r="R41585" s="178"/>
      <c r="S41585" s="178"/>
    </row>
    <row r="41586" spans="18:19">
      <c r="R41586" s="178"/>
      <c r="S41586" s="178"/>
    </row>
    <row r="41587" spans="18:19">
      <c r="R41587" s="178"/>
      <c r="S41587" s="178"/>
    </row>
    <row r="41588" spans="18:19">
      <c r="R41588" s="178"/>
      <c r="S41588" s="178"/>
    </row>
    <row r="41589" spans="18:19">
      <c r="R41589" s="178"/>
      <c r="S41589" s="178"/>
    </row>
    <row r="41590" spans="18:19">
      <c r="R41590" s="178"/>
      <c r="S41590" s="178"/>
    </row>
    <row r="41591" spans="18:19">
      <c r="R41591" s="178"/>
      <c r="S41591" s="178"/>
    </row>
    <row r="41592" spans="18:19">
      <c r="R41592" s="178"/>
      <c r="S41592" s="178"/>
    </row>
    <row r="41593" spans="18:19">
      <c r="R41593" s="178"/>
      <c r="S41593" s="178"/>
    </row>
    <row r="41594" spans="18:19">
      <c r="R41594" s="178"/>
      <c r="S41594" s="178"/>
    </row>
    <row r="41595" spans="18:19">
      <c r="R41595" s="178"/>
      <c r="S41595" s="178"/>
    </row>
    <row r="41596" spans="18:19">
      <c r="R41596" s="178"/>
      <c r="S41596" s="178"/>
    </row>
    <row r="41597" spans="18:19">
      <c r="R41597" s="178"/>
      <c r="S41597" s="178"/>
    </row>
    <row r="41598" spans="18:19">
      <c r="R41598" s="178"/>
      <c r="S41598" s="178"/>
    </row>
    <row r="41599" spans="18:19">
      <c r="R41599" s="178"/>
      <c r="S41599" s="178"/>
    </row>
    <row r="41600" spans="18:19">
      <c r="R41600" s="178"/>
      <c r="S41600" s="178"/>
    </row>
    <row r="41601" spans="18:19">
      <c r="R41601" s="178"/>
      <c r="S41601" s="178"/>
    </row>
    <row r="41602" spans="18:19">
      <c r="R41602" s="178"/>
      <c r="S41602" s="178"/>
    </row>
    <row r="41603" spans="18:19">
      <c r="R41603" s="178"/>
      <c r="S41603" s="178"/>
    </row>
    <row r="41604" spans="18:19">
      <c r="R41604" s="178"/>
      <c r="S41604" s="178"/>
    </row>
    <row r="41605" spans="18:19">
      <c r="R41605" s="178"/>
      <c r="S41605" s="178"/>
    </row>
    <row r="41606" spans="18:19">
      <c r="R41606" s="178"/>
      <c r="S41606" s="178"/>
    </row>
    <row r="41607" spans="18:19">
      <c r="R41607" s="178"/>
      <c r="S41607" s="178"/>
    </row>
    <row r="41608" spans="18:19">
      <c r="R41608" s="178"/>
      <c r="S41608" s="178"/>
    </row>
    <row r="41609" spans="18:19">
      <c r="R41609" s="178"/>
      <c r="S41609" s="178"/>
    </row>
    <row r="41610" spans="18:19">
      <c r="R41610" s="178"/>
      <c r="S41610" s="178"/>
    </row>
    <row r="41611" spans="18:19">
      <c r="R41611" s="178"/>
      <c r="S41611" s="178"/>
    </row>
    <row r="41612" spans="18:19">
      <c r="R41612" s="178"/>
      <c r="S41612" s="178"/>
    </row>
    <row r="41613" spans="18:19">
      <c r="R41613" s="178"/>
      <c r="S41613" s="178"/>
    </row>
    <row r="41614" spans="18:19">
      <c r="R41614" s="178"/>
      <c r="S41614" s="178"/>
    </row>
    <row r="41615" spans="18:19">
      <c r="R41615" s="178"/>
      <c r="S41615" s="178"/>
    </row>
    <row r="41616" spans="18:19">
      <c r="R41616" s="178"/>
      <c r="S41616" s="178"/>
    </row>
    <row r="41617" spans="18:19">
      <c r="R41617" s="178"/>
      <c r="S41617" s="178"/>
    </row>
    <row r="41618" spans="18:19">
      <c r="R41618" s="178"/>
      <c r="S41618" s="178"/>
    </row>
    <row r="41619" spans="18:19">
      <c r="R41619" s="178"/>
      <c r="S41619" s="178"/>
    </row>
    <row r="41620" spans="18:19">
      <c r="R41620" s="178"/>
      <c r="S41620" s="178"/>
    </row>
    <row r="41621" spans="18:19">
      <c r="R41621" s="178"/>
      <c r="S41621" s="178"/>
    </row>
    <row r="41622" spans="18:19">
      <c r="R41622" s="178"/>
      <c r="S41622" s="178"/>
    </row>
    <row r="41623" spans="18:19">
      <c r="R41623" s="178"/>
      <c r="S41623" s="178"/>
    </row>
    <row r="41624" spans="18:19">
      <c r="R41624" s="178"/>
      <c r="S41624" s="178"/>
    </row>
    <row r="41625" spans="18:19">
      <c r="R41625" s="178"/>
      <c r="S41625" s="178"/>
    </row>
    <row r="41626" spans="18:19">
      <c r="R41626" s="178"/>
      <c r="S41626" s="178"/>
    </row>
    <row r="41627" spans="18:19">
      <c r="R41627" s="178"/>
      <c r="S41627" s="178"/>
    </row>
    <row r="41628" spans="18:19">
      <c r="R41628" s="178"/>
      <c r="S41628" s="178"/>
    </row>
    <row r="41629" spans="18:19">
      <c r="R41629" s="178"/>
      <c r="S41629" s="178"/>
    </row>
    <row r="41630" spans="18:19">
      <c r="R41630" s="178"/>
      <c r="S41630" s="178"/>
    </row>
    <row r="41631" spans="18:19">
      <c r="R41631" s="178"/>
      <c r="S41631" s="178"/>
    </row>
    <row r="41632" spans="18:19">
      <c r="R41632" s="178"/>
      <c r="S41632" s="178"/>
    </row>
    <row r="41633" spans="18:19">
      <c r="R41633" s="178"/>
      <c r="S41633" s="178"/>
    </row>
    <row r="41634" spans="18:19">
      <c r="R41634" s="178"/>
      <c r="S41634" s="178"/>
    </row>
    <row r="41635" spans="18:19">
      <c r="R41635" s="178"/>
      <c r="S41635" s="178"/>
    </row>
    <row r="41636" spans="18:19">
      <c r="R41636" s="178"/>
      <c r="S41636" s="178"/>
    </row>
    <row r="41637" spans="18:19">
      <c r="R41637" s="178"/>
      <c r="S41637" s="178"/>
    </row>
    <row r="41638" spans="18:19">
      <c r="R41638" s="178"/>
      <c r="S41638" s="178"/>
    </row>
    <row r="41639" spans="18:19">
      <c r="R41639" s="178"/>
      <c r="S41639" s="178"/>
    </row>
    <row r="41640" spans="18:19">
      <c r="R41640" s="178"/>
      <c r="S41640" s="178"/>
    </row>
    <row r="41641" spans="18:19">
      <c r="R41641" s="178"/>
      <c r="S41641" s="178"/>
    </row>
    <row r="41642" spans="18:19">
      <c r="R41642" s="178"/>
      <c r="S41642" s="178"/>
    </row>
    <row r="41643" spans="18:19">
      <c r="R41643" s="178"/>
      <c r="S41643" s="178"/>
    </row>
    <row r="41644" spans="18:19">
      <c r="R41644" s="178"/>
      <c r="S41644" s="178"/>
    </row>
    <row r="41645" spans="18:19">
      <c r="R41645" s="178"/>
      <c r="S41645" s="178"/>
    </row>
    <row r="41646" spans="18:19">
      <c r="R41646" s="178"/>
      <c r="S41646" s="178"/>
    </row>
    <row r="41647" spans="18:19">
      <c r="R41647" s="178"/>
      <c r="S41647" s="178"/>
    </row>
    <row r="41648" spans="18:19">
      <c r="R41648" s="178"/>
      <c r="S41648" s="178"/>
    </row>
    <row r="41649" spans="18:19">
      <c r="R41649" s="178"/>
      <c r="S41649" s="178"/>
    </row>
    <row r="41650" spans="18:19">
      <c r="R41650" s="178"/>
      <c r="S41650" s="178"/>
    </row>
    <row r="41651" spans="18:19">
      <c r="R41651" s="178"/>
      <c r="S41651" s="178"/>
    </row>
    <row r="41652" spans="18:19">
      <c r="R41652" s="178"/>
      <c r="S41652" s="178"/>
    </row>
    <row r="41653" spans="18:19">
      <c r="R41653" s="178"/>
      <c r="S41653" s="178"/>
    </row>
    <row r="41654" spans="18:19">
      <c r="R41654" s="178"/>
      <c r="S41654" s="178"/>
    </row>
    <row r="41655" spans="18:19">
      <c r="R41655" s="178"/>
      <c r="S41655" s="178"/>
    </row>
    <row r="41656" spans="18:19">
      <c r="R41656" s="178"/>
      <c r="S41656" s="178"/>
    </row>
    <row r="41657" spans="18:19">
      <c r="R41657" s="178"/>
      <c r="S41657" s="178"/>
    </row>
    <row r="41658" spans="18:19">
      <c r="R41658" s="178"/>
      <c r="S41658" s="178"/>
    </row>
    <row r="41659" spans="18:19">
      <c r="R41659" s="178"/>
      <c r="S41659" s="178"/>
    </row>
    <row r="41660" spans="18:19">
      <c r="R41660" s="178"/>
      <c r="S41660" s="178"/>
    </row>
    <row r="41661" spans="18:19">
      <c r="R41661" s="178"/>
      <c r="S41661" s="178"/>
    </row>
    <row r="41662" spans="18:19">
      <c r="R41662" s="178"/>
      <c r="S41662" s="178"/>
    </row>
    <row r="41663" spans="18:19">
      <c r="R41663" s="178"/>
      <c r="S41663" s="178"/>
    </row>
    <row r="41664" spans="18:19">
      <c r="R41664" s="178"/>
      <c r="S41664" s="178"/>
    </row>
    <row r="41665" spans="18:19">
      <c r="R41665" s="178"/>
      <c r="S41665" s="178"/>
    </row>
    <row r="41666" spans="18:19">
      <c r="R41666" s="178"/>
      <c r="S41666" s="178"/>
    </row>
    <row r="41667" spans="18:19">
      <c r="R41667" s="178"/>
      <c r="S41667" s="178"/>
    </row>
    <row r="41668" spans="18:19">
      <c r="R41668" s="178"/>
      <c r="S41668" s="178"/>
    </row>
    <row r="41669" spans="18:19">
      <c r="R41669" s="178"/>
      <c r="S41669" s="178"/>
    </row>
    <row r="41670" spans="18:19">
      <c r="R41670" s="178"/>
      <c r="S41670" s="178"/>
    </row>
    <row r="41671" spans="18:19">
      <c r="R41671" s="178"/>
      <c r="S41671" s="178"/>
    </row>
    <row r="41672" spans="18:19">
      <c r="R41672" s="178"/>
      <c r="S41672" s="178"/>
    </row>
    <row r="41673" spans="18:19">
      <c r="R41673" s="178"/>
      <c r="S41673" s="178"/>
    </row>
    <row r="41674" spans="18:19">
      <c r="R41674" s="178"/>
      <c r="S41674" s="178"/>
    </row>
    <row r="41675" spans="18:19">
      <c r="R41675" s="178"/>
      <c r="S41675" s="178"/>
    </row>
    <row r="41676" spans="18:19">
      <c r="R41676" s="178"/>
      <c r="S41676" s="178"/>
    </row>
    <row r="41677" spans="18:19">
      <c r="R41677" s="178"/>
      <c r="S41677" s="178"/>
    </row>
    <row r="41678" spans="18:19">
      <c r="R41678" s="178"/>
      <c r="S41678" s="178"/>
    </row>
    <row r="41679" spans="18:19">
      <c r="R41679" s="178"/>
      <c r="S41679" s="178"/>
    </row>
    <row r="41680" spans="18:19">
      <c r="R41680" s="178"/>
      <c r="S41680" s="178"/>
    </row>
    <row r="41681" spans="18:19">
      <c r="R41681" s="178"/>
      <c r="S41681" s="178"/>
    </row>
    <row r="41682" spans="18:19">
      <c r="R41682" s="178"/>
      <c r="S41682" s="178"/>
    </row>
    <row r="41683" spans="18:19">
      <c r="R41683" s="178"/>
      <c r="S41683" s="178"/>
    </row>
    <row r="41684" spans="18:19">
      <c r="R41684" s="178"/>
      <c r="S41684" s="178"/>
    </row>
    <row r="41685" spans="18:19">
      <c r="R41685" s="178"/>
      <c r="S41685" s="178"/>
    </row>
    <row r="41686" spans="18:19">
      <c r="R41686" s="178"/>
      <c r="S41686" s="178"/>
    </row>
    <row r="41687" spans="18:19">
      <c r="R41687" s="178"/>
      <c r="S41687" s="178"/>
    </row>
    <row r="41688" spans="18:19">
      <c r="R41688" s="178"/>
      <c r="S41688" s="178"/>
    </row>
    <row r="41689" spans="18:19">
      <c r="R41689" s="178"/>
      <c r="S41689" s="178"/>
    </row>
    <row r="41690" spans="18:19">
      <c r="R41690" s="178"/>
      <c r="S41690" s="178"/>
    </row>
    <row r="41691" spans="18:19">
      <c r="R41691" s="178"/>
      <c r="S41691" s="178"/>
    </row>
    <row r="41692" spans="18:19">
      <c r="R41692" s="178"/>
      <c r="S41692" s="178"/>
    </row>
    <row r="41693" spans="18:19">
      <c r="R41693" s="178"/>
      <c r="S41693" s="178"/>
    </row>
    <row r="41694" spans="18:19">
      <c r="R41694" s="178"/>
      <c r="S41694" s="178"/>
    </row>
    <row r="41695" spans="18:19">
      <c r="R41695" s="178"/>
      <c r="S41695" s="178"/>
    </row>
    <row r="41696" spans="18:19">
      <c r="R41696" s="178"/>
      <c r="S41696" s="178"/>
    </row>
    <row r="41697" spans="18:19">
      <c r="R41697" s="178"/>
      <c r="S41697" s="178"/>
    </row>
    <row r="41698" spans="18:19">
      <c r="R41698" s="178"/>
      <c r="S41698" s="178"/>
    </row>
    <row r="41699" spans="18:19">
      <c r="R41699" s="178"/>
      <c r="S41699" s="178"/>
    </row>
    <row r="41700" spans="18:19">
      <c r="R41700" s="178"/>
      <c r="S41700" s="178"/>
    </row>
    <row r="41701" spans="18:19">
      <c r="R41701" s="178"/>
      <c r="S41701" s="178"/>
    </row>
    <row r="41702" spans="18:19">
      <c r="R41702" s="178"/>
      <c r="S41702" s="178"/>
    </row>
    <row r="41703" spans="18:19">
      <c r="R41703" s="178"/>
      <c r="S41703" s="178"/>
    </row>
    <row r="41704" spans="18:19">
      <c r="R41704" s="178"/>
      <c r="S41704" s="178"/>
    </row>
    <row r="41705" spans="18:19">
      <c r="R41705" s="178"/>
      <c r="S41705" s="178"/>
    </row>
    <row r="41706" spans="18:19">
      <c r="R41706" s="178"/>
      <c r="S41706" s="178"/>
    </row>
    <row r="41707" spans="18:19">
      <c r="R41707" s="178"/>
      <c r="S41707" s="178"/>
    </row>
    <row r="41708" spans="18:19">
      <c r="R41708" s="178"/>
      <c r="S41708" s="178"/>
    </row>
    <row r="41709" spans="18:19">
      <c r="R41709" s="178"/>
      <c r="S41709" s="178"/>
    </row>
    <row r="41710" spans="18:19">
      <c r="R41710" s="178"/>
      <c r="S41710" s="178"/>
    </row>
    <row r="41711" spans="18:19">
      <c r="R41711" s="178"/>
      <c r="S41711" s="178"/>
    </row>
    <row r="41712" spans="18:19">
      <c r="R41712" s="178"/>
      <c r="S41712" s="178"/>
    </row>
    <row r="41713" spans="18:19">
      <c r="R41713" s="178"/>
      <c r="S41713" s="178"/>
    </row>
    <row r="41714" spans="18:19">
      <c r="R41714" s="178"/>
      <c r="S41714" s="178"/>
    </row>
    <row r="41715" spans="18:19">
      <c r="R41715" s="178"/>
      <c r="S41715" s="178"/>
    </row>
    <row r="41716" spans="18:19">
      <c r="R41716" s="178"/>
      <c r="S41716" s="178"/>
    </row>
    <row r="41717" spans="18:19">
      <c r="R41717" s="178"/>
      <c r="S41717" s="178"/>
    </row>
    <row r="41718" spans="18:19">
      <c r="R41718" s="178"/>
      <c r="S41718" s="178"/>
    </row>
    <row r="41719" spans="18:19">
      <c r="R41719" s="178"/>
      <c r="S41719" s="178"/>
    </row>
    <row r="41720" spans="18:19">
      <c r="R41720" s="178"/>
      <c r="S41720" s="178"/>
    </row>
    <row r="41721" spans="18:19">
      <c r="R41721" s="178"/>
      <c r="S41721" s="178"/>
    </row>
    <row r="41722" spans="18:19">
      <c r="R41722" s="178"/>
      <c r="S41722" s="178"/>
    </row>
    <row r="41723" spans="18:19">
      <c r="R41723" s="178"/>
      <c r="S41723" s="178"/>
    </row>
    <row r="41724" spans="18:19">
      <c r="R41724" s="178"/>
      <c r="S41724" s="178"/>
    </row>
    <row r="41725" spans="18:19">
      <c r="R41725" s="178"/>
      <c r="S41725" s="178"/>
    </row>
    <row r="41726" spans="18:19">
      <c r="R41726" s="178"/>
      <c r="S41726" s="178"/>
    </row>
    <row r="41727" spans="18:19">
      <c r="R41727" s="178"/>
      <c r="S41727" s="178"/>
    </row>
    <row r="41728" spans="18:19">
      <c r="R41728" s="178"/>
      <c r="S41728" s="178"/>
    </row>
    <row r="41729" spans="18:19">
      <c r="R41729" s="178"/>
      <c r="S41729" s="178"/>
    </row>
    <row r="41730" spans="18:19">
      <c r="R41730" s="178"/>
      <c r="S41730" s="178"/>
    </row>
    <row r="41731" spans="18:19">
      <c r="R41731" s="178"/>
      <c r="S41731" s="178"/>
    </row>
    <row r="41732" spans="18:19">
      <c r="R41732" s="178"/>
      <c r="S41732" s="178"/>
    </row>
    <row r="41733" spans="18:19">
      <c r="R41733" s="178"/>
      <c r="S41733" s="178"/>
    </row>
    <row r="41734" spans="18:19">
      <c r="R41734" s="178"/>
      <c r="S41734" s="178"/>
    </row>
    <row r="41735" spans="18:19">
      <c r="R41735" s="178"/>
      <c r="S41735" s="178"/>
    </row>
    <row r="41736" spans="18:19">
      <c r="R41736" s="178"/>
      <c r="S41736" s="178"/>
    </row>
    <row r="41737" spans="18:19">
      <c r="R41737" s="178"/>
      <c r="S41737" s="178"/>
    </row>
    <row r="41738" spans="18:19">
      <c r="R41738" s="178"/>
      <c r="S41738" s="178"/>
    </row>
    <row r="41739" spans="18:19">
      <c r="R41739" s="178"/>
      <c r="S41739" s="178"/>
    </row>
    <row r="41740" spans="18:19">
      <c r="R41740" s="178"/>
      <c r="S41740" s="178"/>
    </row>
    <row r="41741" spans="18:19">
      <c r="R41741" s="178"/>
      <c r="S41741" s="178"/>
    </row>
    <row r="41742" spans="18:19">
      <c r="R41742" s="178"/>
      <c r="S41742" s="178"/>
    </row>
    <row r="41743" spans="18:19">
      <c r="R41743" s="178"/>
      <c r="S41743" s="178"/>
    </row>
    <row r="41744" spans="18:19">
      <c r="R41744" s="178"/>
      <c r="S41744" s="178"/>
    </row>
    <row r="41745" spans="18:19">
      <c r="R41745" s="178"/>
      <c r="S41745" s="178"/>
    </row>
    <row r="41746" spans="18:19">
      <c r="R41746" s="178"/>
      <c r="S41746" s="178"/>
    </row>
    <row r="41747" spans="18:19">
      <c r="R41747" s="178"/>
      <c r="S41747" s="178"/>
    </row>
    <row r="41748" spans="18:19">
      <c r="R41748" s="178"/>
      <c r="S41748" s="178"/>
    </row>
    <row r="41749" spans="18:19">
      <c r="R41749" s="178"/>
      <c r="S41749" s="178"/>
    </row>
    <row r="41750" spans="18:19">
      <c r="R41750" s="178"/>
      <c r="S41750" s="178"/>
    </row>
    <row r="41751" spans="18:19">
      <c r="R41751" s="178"/>
      <c r="S41751" s="178"/>
    </row>
    <row r="41752" spans="18:19">
      <c r="R41752" s="178"/>
      <c r="S41752" s="178"/>
    </row>
    <row r="41753" spans="18:19">
      <c r="R41753" s="178"/>
      <c r="S41753" s="178"/>
    </row>
    <row r="41754" spans="18:19">
      <c r="R41754" s="178"/>
      <c r="S41754" s="178"/>
    </row>
    <row r="41755" spans="18:19">
      <c r="R41755" s="178"/>
      <c r="S41755" s="178"/>
    </row>
    <row r="41756" spans="18:19">
      <c r="R41756" s="178"/>
      <c r="S41756" s="178"/>
    </row>
    <row r="41757" spans="18:19">
      <c r="R41757" s="178"/>
      <c r="S41757" s="178"/>
    </row>
    <row r="41758" spans="18:19">
      <c r="R41758" s="178"/>
      <c r="S41758" s="178"/>
    </row>
    <row r="41759" spans="18:19">
      <c r="R41759" s="178"/>
      <c r="S41759" s="178"/>
    </row>
    <row r="41760" spans="18:19">
      <c r="R41760" s="178"/>
      <c r="S41760" s="178"/>
    </row>
    <row r="41761" spans="18:19">
      <c r="R41761" s="178"/>
      <c r="S41761" s="178"/>
    </row>
    <row r="41762" spans="18:19">
      <c r="R41762" s="178"/>
      <c r="S41762" s="178"/>
    </row>
    <row r="41763" spans="18:19">
      <c r="R41763" s="178"/>
      <c r="S41763" s="178"/>
    </row>
    <row r="41764" spans="18:19">
      <c r="R41764" s="178"/>
      <c r="S41764" s="178"/>
    </row>
    <row r="41765" spans="18:19">
      <c r="R41765" s="178"/>
      <c r="S41765" s="178"/>
    </row>
    <row r="41766" spans="18:19">
      <c r="R41766" s="178"/>
      <c r="S41766" s="178"/>
    </row>
    <row r="41767" spans="18:19">
      <c r="R41767" s="178"/>
      <c r="S41767" s="178"/>
    </row>
    <row r="41768" spans="18:19">
      <c r="R41768" s="178"/>
      <c r="S41768" s="178"/>
    </row>
    <row r="41769" spans="18:19">
      <c r="R41769" s="178"/>
      <c r="S41769" s="178"/>
    </row>
    <row r="41770" spans="18:19">
      <c r="R41770" s="178"/>
      <c r="S41770" s="178"/>
    </row>
    <row r="41771" spans="18:19">
      <c r="R41771" s="178"/>
      <c r="S41771" s="178"/>
    </row>
    <row r="41772" spans="18:19">
      <c r="R41772" s="178"/>
      <c r="S41772" s="178"/>
    </row>
    <row r="41773" spans="18:19">
      <c r="R41773" s="178"/>
      <c r="S41773" s="178"/>
    </row>
    <row r="41774" spans="18:19">
      <c r="R41774" s="178"/>
      <c r="S41774" s="178"/>
    </row>
    <row r="41775" spans="18:19">
      <c r="R41775" s="178"/>
      <c r="S41775" s="178"/>
    </row>
    <row r="41776" spans="18:19">
      <c r="R41776" s="178"/>
      <c r="S41776" s="178"/>
    </row>
    <row r="41777" spans="18:19">
      <c r="R41777" s="178"/>
      <c r="S41777" s="178"/>
    </row>
    <row r="41778" spans="18:19">
      <c r="R41778" s="178"/>
      <c r="S41778" s="178"/>
    </row>
    <row r="41779" spans="18:19">
      <c r="R41779" s="178"/>
      <c r="S41779" s="178"/>
    </row>
    <row r="41780" spans="18:19">
      <c r="R41780" s="178"/>
      <c r="S41780" s="178"/>
    </row>
    <row r="41781" spans="18:19">
      <c r="R41781" s="178"/>
      <c r="S41781" s="178"/>
    </row>
    <row r="41782" spans="18:19">
      <c r="R41782" s="178"/>
      <c r="S41782" s="178"/>
    </row>
    <row r="41783" spans="18:19">
      <c r="R41783" s="178"/>
      <c r="S41783" s="178"/>
    </row>
    <row r="41784" spans="18:19">
      <c r="R41784" s="178"/>
      <c r="S41784" s="178"/>
    </row>
    <row r="41785" spans="18:19">
      <c r="R41785" s="178"/>
      <c r="S41785" s="178"/>
    </row>
    <row r="41786" spans="18:19">
      <c r="R41786" s="178"/>
      <c r="S41786" s="178"/>
    </row>
    <row r="41787" spans="18:19">
      <c r="R41787" s="178"/>
      <c r="S41787" s="178"/>
    </row>
    <row r="41788" spans="18:19">
      <c r="R41788" s="178"/>
      <c r="S41788" s="178"/>
    </row>
    <row r="41789" spans="18:19">
      <c r="R41789" s="178"/>
      <c r="S41789" s="178"/>
    </row>
    <row r="41790" spans="18:19">
      <c r="R41790" s="178"/>
      <c r="S41790" s="178"/>
    </row>
    <row r="41791" spans="18:19">
      <c r="R41791" s="178"/>
      <c r="S41791" s="178"/>
    </row>
    <row r="41792" spans="18:19">
      <c r="R41792" s="178"/>
      <c r="S41792" s="178"/>
    </row>
    <row r="41793" spans="18:19">
      <c r="R41793" s="178"/>
      <c r="S41793" s="178"/>
    </row>
    <row r="41794" spans="18:19">
      <c r="R41794" s="178"/>
      <c r="S41794" s="178"/>
    </row>
    <row r="41795" spans="18:19">
      <c r="R41795" s="178"/>
      <c r="S41795" s="178"/>
    </row>
    <row r="41796" spans="18:19">
      <c r="R41796" s="178"/>
      <c r="S41796" s="178"/>
    </row>
    <row r="41797" spans="18:19">
      <c r="R41797" s="178"/>
      <c r="S41797" s="178"/>
    </row>
    <row r="41798" spans="18:19">
      <c r="R41798" s="178"/>
      <c r="S41798" s="178"/>
    </row>
    <row r="41799" spans="18:19">
      <c r="R41799" s="178"/>
      <c r="S41799" s="178"/>
    </row>
    <row r="41800" spans="18:19">
      <c r="R41800" s="178"/>
      <c r="S41800" s="178"/>
    </row>
    <row r="41801" spans="18:19">
      <c r="R41801" s="178"/>
      <c r="S41801" s="178"/>
    </row>
    <row r="41802" spans="18:19">
      <c r="R41802" s="178"/>
      <c r="S41802" s="178"/>
    </row>
    <row r="41803" spans="18:19">
      <c r="R41803" s="178"/>
      <c r="S41803" s="178"/>
    </row>
    <row r="41804" spans="18:19">
      <c r="R41804" s="178"/>
      <c r="S41804" s="178"/>
    </row>
    <row r="41805" spans="18:19">
      <c r="R41805" s="178"/>
      <c r="S41805" s="178"/>
    </row>
    <row r="41806" spans="18:19">
      <c r="R41806" s="178"/>
      <c r="S41806" s="178"/>
    </row>
    <row r="41807" spans="18:19">
      <c r="R41807" s="178"/>
      <c r="S41807" s="178"/>
    </row>
    <row r="41808" spans="18:19">
      <c r="R41808" s="178"/>
      <c r="S41808" s="178"/>
    </row>
    <row r="41809" spans="18:19">
      <c r="R41809" s="178"/>
      <c r="S41809" s="178"/>
    </row>
    <row r="41810" spans="18:19">
      <c r="R41810" s="178"/>
      <c r="S41810" s="178"/>
    </row>
    <row r="41811" spans="18:19">
      <c r="R41811" s="178"/>
      <c r="S41811" s="178"/>
    </row>
    <row r="41812" spans="18:19">
      <c r="R41812" s="178"/>
      <c r="S41812" s="178"/>
    </row>
    <row r="41813" spans="18:19">
      <c r="R41813" s="178"/>
      <c r="S41813" s="178"/>
    </row>
    <row r="41814" spans="18:19">
      <c r="R41814" s="178"/>
      <c r="S41814" s="178"/>
    </row>
    <row r="41815" spans="18:19">
      <c r="R41815" s="178"/>
      <c r="S41815" s="178"/>
    </row>
    <row r="41816" spans="18:19">
      <c r="R41816" s="178"/>
      <c r="S41816" s="178"/>
    </row>
    <row r="41817" spans="18:19">
      <c r="R41817" s="178"/>
      <c r="S41817" s="178"/>
    </row>
    <row r="41818" spans="18:19">
      <c r="R41818" s="178"/>
      <c r="S41818" s="178"/>
    </row>
    <row r="41819" spans="18:19">
      <c r="R41819" s="178"/>
      <c r="S41819" s="178"/>
    </row>
    <row r="41820" spans="18:19">
      <c r="R41820" s="178"/>
      <c r="S41820" s="178"/>
    </row>
    <row r="41821" spans="18:19">
      <c r="R41821" s="178"/>
      <c r="S41821" s="178"/>
    </row>
    <row r="41822" spans="18:19">
      <c r="R41822" s="178"/>
      <c r="S41822" s="178"/>
    </row>
    <row r="41823" spans="18:19">
      <c r="R41823" s="178"/>
      <c r="S41823" s="178"/>
    </row>
    <row r="41824" spans="18:19">
      <c r="R41824" s="178"/>
      <c r="S41824" s="178"/>
    </row>
    <row r="41825" spans="18:19">
      <c r="R41825" s="178"/>
      <c r="S41825" s="178"/>
    </row>
    <row r="41826" spans="18:19">
      <c r="R41826" s="178"/>
      <c r="S41826" s="178"/>
    </row>
    <row r="41827" spans="18:19">
      <c r="R41827" s="178"/>
      <c r="S41827" s="178"/>
    </row>
    <row r="41828" spans="18:19">
      <c r="R41828" s="178"/>
      <c r="S41828" s="178"/>
    </row>
    <row r="41829" spans="18:19">
      <c r="R41829" s="178"/>
      <c r="S41829" s="178"/>
    </row>
    <row r="41830" spans="18:19">
      <c r="R41830" s="178"/>
      <c r="S41830" s="178"/>
    </row>
    <row r="41831" spans="18:19">
      <c r="R41831" s="178"/>
      <c r="S41831" s="178"/>
    </row>
    <row r="41832" spans="18:19">
      <c r="R41832" s="178"/>
      <c r="S41832" s="178"/>
    </row>
    <row r="41833" spans="18:19">
      <c r="R41833" s="178"/>
      <c r="S41833" s="178"/>
    </row>
    <row r="41834" spans="18:19">
      <c r="R41834" s="178"/>
      <c r="S41834" s="178"/>
    </row>
    <row r="41835" spans="18:19">
      <c r="R41835" s="178"/>
      <c r="S41835" s="178"/>
    </row>
    <row r="41836" spans="18:19">
      <c r="R41836" s="178"/>
      <c r="S41836" s="178"/>
    </row>
    <row r="41837" spans="18:19">
      <c r="R41837" s="178"/>
      <c r="S41837" s="178"/>
    </row>
    <row r="41838" spans="18:19">
      <c r="R41838" s="178"/>
      <c r="S41838" s="178"/>
    </row>
    <row r="41839" spans="18:19">
      <c r="R41839" s="178"/>
      <c r="S41839" s="178"/>
    </row>
    <row r="41840" spans="18:19">
      <c r="R41840" s="178"/>
      <c r="S41840" s="178"/>
    </row>
    <row r="41841" spans="18:19">
      <c r="R41841" s="178"/>
      <c r="S41841" s="178"/>
    </row>
    <row r="41842" spans="18:19">
      <c r="R41842" s="178"/>
      <c r="S41842" s="178"/>
    </row>
    <row r="41843" spans="18:19">
      <c r="R41843" s="178"/>
      <c r="S41843" s="178"/>
    </row>
    <row r="41844" spans="18:19">
      <c r="R41844" s="178"/>
      <c r="S41844" s="178"/>
    </row>
    <row r="41845" spans="18:19">
      <c r="R41845" s="178"/>
      <c r="S41845" s="178"/>
    </row>
    <row r="41846" spans="18:19">
      <c r="R41846" s="178"/>
      <c r="S41846" s="178"/>
    </row>
    <row r="41847" spans="18:19">
      <c r="R41847" s="178"/>
      <c r="S41847" s="178"/>
    </row>
    <row r="41848" spans="18:19">
      <c r="R41848" s="178"/>
      <c r="S41848" s="178"/>
    </row>
    <row r="41849" spans="18:19">
      <c r="R41849" s="178"/>
      <c r="S41849" s="178"/>
    </row>
    <row r="41850" spans="18:19">
      <c r="R41850" s="178"/>
      <c r="S41850" s="178"/>
    </row>
    <row r="41851" spans="18:19">
      <c r="R41851" s="178"/>
      <c r="S41851" s="178"/>
    </row>
    <row r="41852" spans="18:19">
      <c r="R41852" s="178"/>
      <c r="S41852" s="178"/>
    </row>
    <row r="41853" spans="18:19">
      <c r="R41853" s="178"/>
      <c r="S41853" s="178"/>
    </row>
    <row r="41854" spans="18:19">
      <c r="R41854" s="178"/>
      <c r="S41854" s="178"/>
    </row>
    <row r="41855" spans="18:19">
      <c r="R41855" s="178"/>
      <c r="S41855" s="178"/>
    </row>
    <row r="41856" spans="18:19">
      <c r="R41856" s="178"/>
      <c r="S41856" s="178"/>
    </row>
    <row r="41857" spans="18:19">
      <c r="R41857" s="178"/>
      <c r="S41857" s="178"/>
    </row>
    <row r="41858" spans="18:19">
      <c r="R41858" s="178"/>
      <c r="S41858" s="178"/>
    </row>
    <row r="41859" spans="18:19">
      <c r="R41859" s="178"/>
      <c r="S41859" s="178"/>
    </row>
    <row r="41860" spans="18:19">
      <c r="R41860" s="178"/>
      <c r="S41860" s="178"/>
    </row>
    <row r="41861" spans="18:19">
      <c r="R41861" s="178"/>
      <c r="S41861" s="178"/>
    </row>
    <row r="41862" spans="18:19">
      <c r="R41862" s="178"/>
      <c r="S41862" s="178"/>
    </row>
    <row r="41863" spans="18:19">
      <c r="R41863" s="178"/>
      <c r="S41863" s="178"/>
    </row>
    <row r="41864" spans="18:19">
      <c r="R41864" s="178"/>
      <c r="S41864" s="178"/>
    </row>
    <row r="41865" spans="18:19">
      <c r="R41865" s="178"/>
      <c r="S41865" s="178"/>
    </row>
    <row r="41866" spans="18:19">
      <c r="R41866" s="178"/>
      <c r="S41866" s="178"/>
    </row>
    <row r="41867" spans="18:19">
      <c r="R41867" s="178"/>
      <c r="S41867" s="178"/>
    </row>
    <row r="41868" spans="18:19">
      <c r="R41868" s="178"/>
      <c r="S41868" s="178"/>
    </row>
    <row r="41869" spans="18:19">
      <c r="R41869" s="178"/>
      <c r="S41869" s="178"/>
    </row>
    <row r="41870" spans="18:19">
      <c r="R41870" s="178"/>
      <c r="S41870" s="178"/>
    </row>
    <row r="41871" spans="18:19">
      <c r="R41871" s="178"/>
      <c r="S41871" s="178"/>
    </row>
    <row r="41872" spans="18:19">
      <c r="R41872" s="178"/>
      <c r="S41872" s="178"/>
    </row>
    <row r="41873" spans="18:19">
      <c r="R41873" s="178"/>
      <c r="S41873" s="178"/>
    </row>
    <row r="41874" spans="18:19">
      <c r="R41874" s="178"/>
      <c r="S41874" s="178"/>
    </row>
    <row r="41875" spans="18:19">
      <c r="R41875" s="178"/>
      <c r="S41875" s="178"/>
    </row>
    <row r="41876" spans="18:19">
      <c r="R41876" s="178"/>
      <c r="S41876" s="178"/>
    </row>
    <row r="41877" spans="18:19">
      <c r="R41877" s="178"/>
      <c r="S41877" s="178"/>
    </row>
    <row r="41878" spans="18:19">
      <c r="R41878" s="178"/>
      <c r="S41878" s="178"/>
    </row>
    <row r="41879" spans="18:19">
      <c r="R41879" s="178"/>
      <c r="S41879" s="178"/>
    </row>
    <row r="41880" spans="18:19">
      <c r="R41880" s="178"/>
      <c r="S41880" s="178"/>
    </row>
    <row r="41881" spans="18:19">
      <c r="R41881" s="178"/>
      <c r="S41881" s="178"/>
    </row>
    <row r="41882" spans="18:19">
      <c r="R41882" s="178"/>
      <c r="S41882" s="178"/>
    </row>
    <row r="41883" spans="18:19">
      <c r="R41883" s="178"/>
      <c r="S41883" s="178"/>
    </row>
    <row r="41884" spans="18:19">
      <c r="R41884" s="178"/>
      <c r="S41884" s="178"/>
    </row>
    <row r="41885" spans="18:19">
      <c r="R41885" s="178"/>
      <c r="S41885" s="178"/>
    </row>
    <row r="41886" spans="18:19">
      <c r="R41886" s="178"/>
      <c r="S41886" s="178"/>
    </row>
    <row r="41887" spans="18:19">
      <c r="R41887" s="178"/>
      <c r="S41887" s="178"/>
    </row>
    <row r="41888" spans="18:19">
      <c r="R41888" s="178"/>
      <c r="S41888" s="178"/>
    </row>
    <row r="41889" spans="18:19">
      <c r="R41889" s="178"/>
      <c r="S41889" s="178"/>
    </row>
    <row r="41890" spans="18:19">
      <c r="R41890" s="178"/>
      <c r="S41890" s="178"/>
    </row>
    <row r="41891" spans="18:19">
      <c r="R41891" s="178"/>
      <c r="S41891" s="178"/>
    </row>
    <row r="41892" spans="18:19">
      <c r="R41892" s="178"/>
      <c r="S41892" s="178"/>
    </row>
    <row r="41893" spans="18:19">
      <c r="R41893" s="178"/>
      <c r="S41893" s="178"/>
    </row>
    <row r="41894" spans="18:19">
      <c r="R41894" s="178"/>
      <c r="S41894" s="178"/>
    </row>
    <row r="41895" spans="18:19">
      <c r="R41895" s="178"/>
      <c r="S41895" s="178"/>
    </row>
    <row r="41896" spans="18:19">
      <c r="R41896" s="178"/>
      <c r="S41896" s="178"/>
    </row>
    <row r="41897" spans="18:19">
      <c r="R41897" s="178"/>
      <c r="S41897" s="178"/>
    </row>
    <row r="41898" spans="18:19">
      <c r="R41898" s="178"/>
      <c r="S41898" s="178"/>
    </row>
    <row r="41899" spans="18:19">
      <c r="R41899" s="178"/>
      <c r="S41899" s="178"/>
    </row>
    <row r="41900" spans="18:19">
      <c r="R41900" s="178"/>
      <c r="S41900" s="178"/>
    </row>
    <row r="41901" spans="18:19">
      <c r="R41901" s="178"/>
      <c r="S41901" s="178"/>
    </row>
    <row r="41902" spans="18:19">
      <c r="R41902" s="178"/>
      <c r="S41902" s="178"/>
    </row>
    <row r="41903" spans="18:19">
      <c r="R41903" s="178"/>
      <c r="S41903" s="178"/>
    </row>
    <row r="41904" spans="18:19">
      <c r="R41904" s="178"/>
      <c r="S41904" s="178"/>
    </row>
    <row r="41905" spans="18:19">
      <c r="R41905" s="178"/>
      <c r="S41905" s="178"/>
    </row>
    <row r="41906" spans="18:19">
      <c r="R41906" s="178"/>
      <c r="S41906" s="178"/>
    </row>
    <row r="41907" spans="18:19">
      <c r="R41907" s="178"/>
      <c r="S41907" s="178"/>
    </row>
    <row r="41908" spans="18:19">
      <c r="R41908" s="178"/>
      <c r="S41908" s="178"/>
    </row>
    <row r="41909" spans="18:19">
      <c r="R41909" s="178"/>
      <c r="S41909" s="178"/>
    </row>
    <row r="41910" spans="18:19">
      <c r="R41910" s="178"/>
      <c r="S41910" s="178"/>
    </row>
    <row r="41911" spans="18:19">
      <c r="R41911" s="178"/>
      <c r="S41911" s="178"/>
    </row>
    <row r="41912" spans="18:19">
      <c r="R41912" s="178"/>
      <c r="S41912" s="178"/>
    </row>
    <row r="41913" spans="18:19">
      <c r="R41913" s="178"/>
      <c r="S41913" s="178"/>
    </row>
    <row r="41914" spans="18:19">
      <c r="R41914" s="178"/>
      <c r="S41914" s="178"/>
    </row>
    <row r="41915" spans="18:19">
      <c r="R41915" s="178"/>
      <c r="S41915" s="178"/>
    </row>
    <row r="41916" spans="18:19">
      <c r="R41916" s="178"/>
      <c r="S41916" s="178"/>
    </row>
    <row r="41917" spans="18:19">
      <c r="R41917" s="178"/>
      <c r="S41917" s="178"/>
    </row>
    <row r="41918" spans="18:19">
      <c r="R41918" s="178"/>
      <c r="S41918" s="178"/>
    </row>
    <row r="41919" spans="18:19">
      <c r="R41919" s="178"/>
      <c r="S41919" s="178"/>
    </row>
    <row r="41920" spans="18:19">
      <c r="R41920" s="178"/>
      <c r="S41920" s="178"/>
    </row>
    <row r="41921" spans="18:19">
      <c r="R41921" s="178"/>
      <c r="S41921" s="178"/>
    </row>
    <row r="41922" spans="18:19">
      <c r="R41922" s="178"/>
      <c r="S41922" s="178"/>
    </row>
    <row r="41923" spans="18:19">
      <c r="R41923" s="178"/>
      <c r="S41923" s="178"/>
    </row>
    <row r="41924" spans="18:19">
      <c r="R41924" s="178"/>
      <c r="S41924" s="178"/>
    </row>
    <row r="41925" spans="18:19">
      <c r="R41925" s="178"/>
      <c r="S41925" s="178"/>
    </row>
    <row r="41926" spans="18:19">
      <c r="R41926" s="178"/>
      <c r="S41926" s="178"/>
    </row>
    <row r="41927" spans="18:19">
      <c r="R41927" s="178"/>
      <c r="S41927" s="178"/>
    </row>
    <row r="41928" spans="18:19">
      <c r="R41928" s="178"/>
      <c r="S41928" s="178"/>
    </row>
    <row r="41929" spans="18:19">
      <c r="R41929" s="178"/>
      <c r="S41929" s="178"/>
    </row>
    <row r="41930" spans="18:19">
      <c r="R41930" s="178"/>
      <c r="S41930" s="178"/>
    </row>
    <row r="41931" spans="18:19">
      <c r="R41931" s="178"/>
      <c r="S41931" s="178"/>
    </row>
    <row r="41932" spans="18:19">
      <c r="R41932" s="178"/>
      <c r="S41932" s="178"/>
    </row>
    <row r="41933" spans="18:19">
      <c r="R41933" s="178"/>
      <c r="S41933" s="178"/>
    </row>
    <row r="41934" spans="18:19">
      <c r="R41934" s="178"/>
      <c r="S41934" s="178"/>
    </row>
    <row r="41935" spans="18:19">
      <c r="R41935" s="178"/>
      <c r="S41935" s="178"/>
    </row>
    <row r="41936" spans="18:19">
      <c r="R41936" s="178"/>
      <c r="S41936" s="178"/>
    </row>
    <row r="41937" spans="18:19">
      <c r="R41937" s="178"/>
      <c r="S41937" s="178"/>
    </row>
    <row r="41938" spans="18:19">
      <c r="R41938" s="178"/>
      <c r="S41938" s="178"/>
    </row>
    <row r="41939" spans="18:19">
      <c r="R41939" s="178"/>
      <c r="S41939" s="178"/>
    </row>
    <row r="41940" spans="18:19">
      <c r="R41940" s="178"/>
      <c r="S41940" s="178"/>
    </row>
    <row r="41941" spans="18:19">
      <c r="R41941" s="178"/>
      <c r="S41941" s="178"/>
    </row>
    <row r="41942" spans="18:19">
      <c r="R41942" s="178"/>
      <c r="S41942" s="178"/>
    </row>
    <row r="41943" spans="18:19">
      <c r="R41943" s="178"/>
      <c r="S41943" s="178"/>
    </row>
    <row r="41944" spans="18:19">
      <c r="R41944" s="178"/>
      <c r="S41944" s="178"/>
    </row>
    <row r="41945" spans="18:19">
      <c r="R41945" s="178"/>
      <c r="S41945" s="178"/>
    </row>
    <row r="41946" spans="18:19">
      <c r="R41946" s="178"/>
      <c r="S41946" s="178"/>
    </row>
    <row r="41947" spans="18:19">
      <c r="R41947" s="178"/>
      <c r="S41947" s="178"/>
    </row>
    <row r="41948" spans="18:19">
      <c r="R41948" s="178"/>
      <c r="S41948" s="178"/>
    </row>
    <row r="41949" spans="18:19">
      <c r="R41949" s="178"/>
      <c r="S41949" s="178"/>
    </row>
    <row r="41950" spans="18:19">
      <c r="R41950" s="178"/>
      <c r="S41950" s="178"/>
    </row>
    <row r="41951" spans="18:19">
      <c r="R41951" s="178"/>
      <c r="S41951" s="178"/>
    </row>
    <row r="41952" spans="18:19">
      <c r="R41952" s="178"/>
      <c r="S41952" s="178"/>
    </row>
    <row r="41953" spans="18:19">
      <c r="R41953" s="178"/>
      <c r="S41953" s="178"/>
    </row>
    <row r="41954" spans="18:19">
      <c r="R41954" s="178"/>
      <c r="S41954" s="178"/>
    </row>
    <row r="41955" spans="18:19">
      <c r="R41955" s="178"/>
      <c r="S41955" s="178"/>
    </row>
    <row r="41956" spans="18:19">
      <c r="R41956" s="178"/>
      <c r="S41956" s="178"/>
    </row>
    <row r="41957" spans="18:19">
      <c r="R41957" s="178"/>
      <c r="S41957" s="178"/>
    </row>
    <row r="41958" spans="18:19">
      <c r="R41958" s="178"/>
      <c r="S41958" s="178"/>
    </row>
    <row r="41959" spans="18:19">
      <c r="R41959" s="178"/>
      <c r="S41959" s="178"/>
    </row>
    <row r="41960" spans="18:19">
      <c r="R41960" s="178"/>
      <c r="S41960" s="178"/>
    </row>
    <row r="41961" spans="18:19">
      <c r="R41961" s="178"/>
      <c r="S41961" s="178"/>
    </row>
    <row r="41962" spans="18:19">
      <c r="R41962" s="178"/>
      <c r="S41962" s="178"/>
    </row>
    <row r="41963" spans="18:19">
      <c r="R41963" s="178"/>
      <c r="S41963" s="178"/>
    </row>
    <row r="41964" spans="18:19">
      <c r="R41964" s="178"/>
      <c r="S41964" s="178"/>
    </row>
    <row r="41965" spans="18:19">
      <c r="R41965" s="178"/>
      <c r="S41965" s="178"/>
    </row>
    <row r="41966" spans="18:19">
      <c r="R41966" s="178"/>
      <c r="S41966" s="178"/>
    </row>
    <row r="41967" spans="18:19">
      <c r="R41967" s="178"/>
      <c r="S41967" s="178"/>
    </row>
    <row r="41968" spans="18:19">
      <c r="R41968" s="178"/>
      <c r="S41968" s="178"/>
    </row>
    <row r="41969" spans="18:19">
      <c r="R41969" s="178"/>
      <c r="S41969" s="178"/>
    </row>
    <row r="41970" spans="18:19">
      <c r="R41970" s="178"/>
      <c r="S41970" s="178"/>
    </row>
    <row r="41971" spans="18:19">
      <c r="R41971" s="178"/>
      <c r="S41971" s="178"/>
    </row>
    <row r="41972" spans="18:19">
      <c r="R41972" s="178"/>
      <c r="S41972" s="178"/>
    </row>
    <row r="41973" spans="18:19">
      <c r="R41973" s="178"/>
      <c r="S41973" s="178"/>
    </row>
    <row r="41974" spans="18:19">
      <c r="R41974" s="178"/>
      <c r="S41974" s="178"/>
    </row>
    <row r="41975" spans="18:19">
      <c r="R41975" s="178"/>
      <c r="S41975" s="178"/>
    </row>
    <row r="41976" spans="18:19">
      <c r="R41976" s="178"/>
      <c r="S41976" s="178"/>
    </row>
    <row r="41977" spans="18:19">
      <c r="R41977" s="178"/>
      <c r="S41977" s="178"/>
    </row>
    <row r="41978" spans="18:19">
      <c r="R41978" s="178"/>
      <c r="S41978" s="178"/>
    </row>
    <row r="41979" spans="18:19">
      <c r="R41979" s="178"/>
      <c r="S41979" s="178"/>
    </row>
    <row r="41980" spans="18:19">
      <c r="R41980" s="178"/>
      <c r="S41980" s="178"/>
    </row>
    <row r="41981" spans="18:19">
      <c r="R41981" s="178"/>
      <c r="S41981" s="178"/>
    </row>
    <row r="41982" spans="18:19">
      <c r="R41982" s="178"/>
      <c r="S41982" s="178"/>
    </row>
    <row r="41983" spans="18:19">
      <c r="R41983" s="178"/>
      <c r="S41983" s="178"/>
    </row>
    <row r="41984" spans="18:19">
      <c r="R41984" s="178"/>
      <c r="S41984" s="178"/>
    </row>
    <row r="41985" spans="18:19">
      <c r="R41985" s="178"/>
      <c r="S41985" s="178"/>
    </row>
    <row r="41986" spans="18:19">
      <c r="R41986" s="178"/>
      <c r="S41986" s="178"/>
    </row>
    <row r="41987" spans="18:19">
      <c r="R41987" s="178"/>
      <c r="S41987" s="178"/>
    </row>
    <row r="41988" spans="18:19">
      <c r="R41988" s="178"/>
      <c r="S41988" s="178"/>
    </row>
    <row r="41989" spans="18:19">
      <c r="R41989" s="178"/>
      <c r="S41989" s="178"/>
    </row>
    <row r="41990" spans="18:19">
      <c r="R41990" s="178"/>
      <c r="S41990" s="178"/>
    </row>
    <row r="41991" spans="18:19">
      <c r="R41991" s="178"/>
      <c r="S41991" s="178"/>
    </row>
    <row r="41992" spans="18:19">
      <c r="R41992" s="178"/>
      <c r="S41992" s="178"/>
    </row>
    <row r="41993" spans="18:19">
      <c r="R41993" s="178"/>
      <c r="S41993" s="178"/>
    </row>
    <row r="41994" spans="18:19">
      <c r="R41994" s="178"/>
      <c r="S41994" s="178"/>
    </row>
    <row r="41995" spans="18:19">
      <c r="R41995" s="178"/>
      <c r="S41995" s="178"/>
    </row>
    <row r="41996" spans="18:19">
      <c r="R41996" s="178"/>
      <c r="S41996" s="178"/>
    </row>
    <row r="41997" spans="18:19">
      <c r="R41997" s="178"/>
      <c r="S41997" s="178"/>
    </row>
    <row r="41998" spans="18:19">
      <c r="R41998" s="178"/>
      <c r="S41998" s="178"/>
    </row>
    <row r="41999" spans="18:19">
      <c r="R41999" s="178"/>
      <c r="S41999" s="178"/>
    </row>
    <row r="42000" spans="18:19">
      <c r="R42000" s="178"/>
      <c r="S42000" s="178"/>
    </row>
    <row r="42001" spans="18:19">
      <c r="R42001" s="178"/>
      <c r="S42001" s="178"/>
    </row>
    <row r="42002" spans="18:19">
      <c r="R42002" s="178"/>
      <c r="S42002" s="178"/>
    </row>
    <row r="42003" spans="18:19">
      <c r="R42003" s="178"/>
      <c r="S42003" s="178"/>
    </row>
    <row r="42004" spans="18:19">
      <c r="R42004" s="178"/>
      <c r="S42004" s="178"/>
    </row>
    <row r="42005" spans="18:19">
      <c r="R42005" s="178"/>
      <c r="S42005" s="178"/>
    </row>
    <row r="42006" spans="18:19">
      <c r="R42006" s="178"/>
      <c r="S42006" s="178"/>
    </row>
    <row r="42007" spans="18:19">
      <c r="R42007" s="178"/>
      <c r="S42007" s="178"/>
    </row>
    <row r="42008" spans="18:19">
      <c r="R42008" s="178"/>
      <c r="S42008" s="178"/>
    </row>
    <row r="42009" spans="18:19">
      <c r="R42009" s="178"/>
      <c r="S42009" s="178"/>
    </row>
    <row r="42010" spans="18:19">
      <c r="R42010" s="178"/>
      <c r="S42010" s="178"/>
    </row>
    <row r="42011" spans="18:19">
      <c r="R42011" s="178"/>
      <c r="S42011" s="178"/>
    </row>
    <row r="42012" spans="18:19">
      <c r="R42012" s="178"/>
      <c r="S42012" s="178"/>
    </row>
    <row r="42013" spans="18:19">
      <c r="R42013" s="178"/>
      <c r="S42013" s="178"/>
    </row>
    <row r="42014" spans="18:19">
      <c r="R42014" s="178"/>
      <c r="S42014" s="178"/>
    </row>
    <row r="42015" spans="18:19">
      <c r="R42015" s="178"/>
      <c r="S42015" s="178"/>
    </row>
    <row r="42016" spans="18:19">
      <c r="R42016" s="178"/>
      <c r="S42016" s="178"/>
    </row>
    <row r="42017" spans="18:19">
      <c r="R42017" s="178"/>
      <c r="S42017" s="178"/>
    </row>
    <row r="42018" spans="18:19">
      <c r="R42018" s="178"/>
      <c r="S42018" s="178"/>
    </row>
    <row r="42019" spans="18:19">
      <c r="R42019" s="178"/>
      <c r="S42019" s="178"/>
    </row>
    <row r="42020" spans="18:19">
      <c r="R42020" s="178"/>
      <c r="S42020" s="178"/>
    </row>
    <row r="42021" spans="18:19">
      <c r="R42021" s="178"/>
      <c r="S42021" s="178"/>
    </row>
    <row r="42022" spans="18:19">
      <c r="R42022" s="178"/>
      <c r="S42022" s="178"/>
    </row>
    <row r="42023" spans="18:19">
      <c r="R42023" s="178"/>
      <c r="S42023" s="178"/>
    </row>
    <row r="42024" spans="18:19">
      <c r="R42024" s="178"/>
      <c r="S42024" s="178"/>
    </row>
    <row r="42025" spans="18:19">
      <c r="R42025" s="178"/>
      <c r="S42025" s="178"/>
    </row>
    <row r="42026" spans="18:19">
      <c r="R42026" s="178"/>
      <c r="S42026" s="178"/>
    </row>
    <row r="42027" spans="18:19">
      <c r="R42027" s="178"/>
      <c r="S42027" s="178"/>
    </row>
    <row r="42028" spans="18:19">
      <c r="R42028" s="178"/>
      <c r="S42028" s="178"/>
    </row>
    <row r="42029" spans="18:19">
      <c r="R42029" s="178"/>
      <c r="S42029" s="178"/>
    </row>
    <row r="42030" spans="18:19">
      <c r="R42030" s="178"/>
      <c r="S42030" s="178"/>
    </row>
    <row r="42031" spans="18:19">
      <c r="R42031" s="178"/>
      <c r="S42031" s="178"/>
    </row>
    <row r="42032" spans="18:19">
      <c r="R42032" s="178"/>
      <c r="S42032" s="178"/>
    </row>
    <row r="42033" spans="18:19">
      <c r="R42033" s="178"/>
      <c r="S42033" s="178"/>
    </row>
    <row r="42034" spans="18:19">
      <c r="R42034" s="178"/>
      <c r="S42034" s="178"/>
    </row>
    <row r="42035" spans="18:19">
      <c r="R42035" s="178"/>
      <c r="S42035" s="178"/>
    </row>
    <row r="42036" spans="18:19">
      <c r="R42036" s="178"/>
      <c r="S42036" s="178"/>
    </row>
    <row r="42037" spans="18:19">
      <c r="R42037" s="178"/>
      <c r="S42037" s="178"/>
    </row>
    <row r="42038" spans="18:19">
      <c r="R42038" s="178"/>
      <c r="S42038" s="178"/>
    </row>
    <row r="42039" spans="18:19">
      <c r="R42039" s="178"/>
      <c r="S42039" s="178"/>
    </row>
    <row r="42040" spans="18:19">
      <c r="R42040" s="178"/>
      <c r="S42040" s="178"/>
    </row>
    <row r="42041" spans="18:19">
      <c r="R42041" s="178"/>
      <c r="S42041" s="178"/>
    </row>
    <row r="42042" spans="18:19">
      <c r="R42042" s="178"/>
      <c r="S42042" s="178"/>
    </row>
    <row r="42043" spans="18:19">
      <c r="R42043" s="178"/>
      <c r="S42043" s="178"/>
    </row>
    <row r="42044" spans="18:19">
      <c r="R42044" s="178"/>
      <c r="S42044" s="178"/>
    </row>
    <row r="42045" spans="18:19">
      <c r="R42045" s="178"/>
      <c r="S42045" s="178"/>
    </row>
    <row r="42046" spans="18:19">
      <c r="R42046" s="178"/>
      <c r="S42046" s="178"/>
    </row>
    <row r="42047" spans="18:19">
      <c r="R42047" s="178"/>
      <c r="S42047" s="178"/>
    </row>
    <row r="42048" spans="18:19">
      <c r="R42048" s="178"/>
      <c r="S42048" s="178"/>
    </row>
    <row r="42049" spans="18:19">
      <c r="R42049" s="178"/>
      <c r="S42049" s="178"/>
    </row>
    <row r="42050" spans="18:19">
      <c r="R42050" s="178"/>
      <c r="S42050" s="178"/>
    </row>
    <row r="42051" spans="18:19">
      <c r="R42051" s="178"/>
      <c r="S42051" s="178"/>
    </row>
    <row r="42052" spans="18:19">
      <c r="R42052" s="178"/>
      <c r="S42052" s="178"/>
    </row>
    <row r="42053" spans="18:19">
      <c r="R42053" s="178"/>
      <c r="S42053" s="178"/>
    </row>
    <row r="42054" spans="18:19">
      <c r="R42054" s="178"/>
      <c r="S42054" s="178"/>
    </row>
    <row r="42055" spans="18:19">
      <c r="R42055" s="178"/>
      <c r="S42055" s="178"/>
    </row>
    <row r="42056" spans="18:19">
      <c r="R42056" s="178"/>
      <c r="S42056" s="178"/>
    </row>
    <row r="42057" spans="18:19">
      <c r="R42057" s="178"/>
      <c r="S42057" s="178"/>
    </row>
    <row r="42058" spans="18:19">
      <c r="R42058" s="178"/>
      <c r="S42058" s="178"/>
    </row>
    <row r="42059" spans="18:19">
      <c r="R42059" s="178"/>
      <c r="S42059" s="178"/>
    </row>
    <row r="42060" spans="18:19">
      <c r="R42060" s="178"/>
      <c r="S42060" s="178"/>
    </row>
    <row r="42061" spans="18:19">
      <c r="R42061" s="178"/>
      <c r="S42061" s="178"/>
    </row>
    <row r="42062" spans="18:19">
      <c r="R42062" s="178"/>
      <c r="S42062" s="178"/>
    </row>
    <row r="42063" spans="18:19">
      <c r="R42063" s="178"/>
      <c r="S42063" s="178"/>
    </row>
    <row r="42064" spans="18:19">
      <c r="R42064" s="178"/>
      <c r="S42064" s="178"/>
    </row>
    <row r="42065" spans="18:19">
      <c r="R42065" s="178"/>
      <c r="S42065" s="178"/>
    </row>
    <row r="42066" spans="18:19">
      <c r="R42066" s="178"/>
      <c r="S42066" s="178"/>
    </row>
    <row r="42067" spans="18:19">
      <c r="R42067" s="178"/>
      <c r="S42067" s="178"/>
    </row>
    <row r="42068" spans="18:19">
      <c r="R42068" s="178"/>
      <c r="S42068" s="178"/>
    </row>
    <row r="42069" spans="18:19">
      <c r="R42069" s="178"/>
      <c r="S42069" s="178"/>
    </row>
    <row r="42070" spans="18:19">
      <c r="R42070" s="178"/>
      <c r="S42070" s="178"/>
    </row>
    <row r="42071" spans="18:19">
      <c r="R42071" s="178"/>
      <c r="S42071" s="178"/>
    </row>
    <row r="42072" spans="18:19">
      <c r="R42072" s="178"/>
      <c r="S42072" s="178"/>
    </row>
    <row r="42073" spans="18:19">
      <c r="R42073" s="178"/>
      <c r="S42073" s="178"/>
    </row>
    <row r="42074" spans="18:19">
      <c r="R42074" s="178"/>
      <c r="S42074" s="178"/>
    </row>
    <row r="42075" spans="18:19">
      <c r="R42075" s="178"/>
      <c r="S42075" s="178"/>
    </row>
    <row r="42076" spans="18:19">
      <c r="R42076" s="178"/>
      <c r="S42076" s="178"/>
    </row>
    <row r="42077" spans="18:19">
      <c r="R42077" s="178"/>
      <c r="S42077" s="178"/>
    </row>
    <row r="42078" spans="18:19">
      <c r="R42078" s="178"/>
      <c r="S42078" s="178"/>
    </row>
    <row r="42079" spans="18:19">
      <c r="R42079" s="178"/>
      <c r="S42079" s="178"/>
    </row>
    <row r="42080" spans="18:19">
      <c r="R42080" s="178"/>
      <c r="S42080" s="178"/>
    </row>
    <row r="42081" spans="18:19">
      <c r="R42081" s="178"/>
      <c r="S42081" s="178"/>
    </row>
    <row r="42082" spans="18:19">
      <c r="R42082" s="178"/>
      <c r="S42082" s="178"/>
    </row>
    <row r="42083" spans="18:19">
      <c r="R42083" s="178"/>
      <c r="S42083" s="178"/>
    </row>
    <row r="42084" spans="18:19">
      <c r="R42084" s="178"/>
      <c r="S42084" s="178"/>
    </row>
    <row r="42085" spans="18:19">
      <c r="R42085" s="178"/>
      <c r="S42085" s="178"/>
    </row>
    <row r="42086" spans="18:19">
      <c r="R42086" s="178"/>
      <c r="S42086" s="178"/>
    </row>
    <row r="42087" spans="18:19">
      <c r="R42087" s="178"/>
      <c r="S42087" s="178"/>
    </row>
    <row r="42088" spans="18:19">
      <c r="R42088" s="178"/>
      <c r="S42088" s="178"/>
    </row>
    <row r="42089" spans="18:19">
      <c r="R42089" s="178"/>
      <c r="S42089" s="178"/>
    </row>
    <row r="42090" spans="18:19">
      <c r="R42090" s="178"/>
      <c r="S42090" s="178"/>
    </row>
    <row r="42091" spans="18:19">
      <c r="R42091" s="178"/>
      <c r="S42091" s="178"/>
    </row>
    <row r="42092" spans="18:19">
      <c r="R42092" s="178"/>
      <c r="S42092" s="178"/>
    </row>
    <row r="42093" spans="18:19">
      <c r="R42093" s="178"/>
      <c r="S42093" s="178"/>
    </row>
    <row r="42094" spans="18:19">
      <c r="R42094" s="178"/>
      <c r="S42094" s="178"/>
    </row>
    <row r="42095" spans="18:19">
      <c r="R42095" s="178"/>
      <c r="S42095" s="178"/>
    </row>
    <row r="42096" spans="18:19">
      <c r="R42096" s="178"/>
      <c r="S42096" s="178"/>
    </row>
    <row r="42097" spans="18:19">
      <c r="R42097" s="178"/>
      <c r="S42097" s="178"/>
    </row>
    <row r="42098" spans="18:19">
      <c r="R42098" s="178"/>
      <c r="S42098" s="178"/>
    </row>
    <row r="42099" spans="18:19">
      <c r="R42099" s="178"/>
      <c r="S42099" s="178"/>
    </row>
    <row r="42100" spans="18:19">
      <c r="R42100" s="178"/>
      <c r="S42100" s="178"/>
    </row>
    <row r="42101" spans="18:19">
      <c r="R42101" s="178"/>
      <c r="S42101" s="178"/>
    </row>
    <row r="42102" spans="18:19">
      <c r="R42102" s="178"/>
      <c r="S42102" s="178"/>
    </row>
    <row r="42103" spans="18:19">
      <c r="R42103" s="178"/>
      <c r="S42103" s="178"/>
    </row>
    <row r="42104" spans="18:19">
      <c r="R42104" s="178"/>
      <c r="S42104" s="178"/>
    </row>
    <row r="42105" spans="18:19">
      <c r="R42105" s="178"/>
      <c r="S42105" s="178"/>
    </row>
    <row r="42106" spans="18:19">
      <c r="R42106" s="178"/>
      <c r="S42106" s="178"/>
    </row>
    <row r="42107" spans="18:19">
      <c r="R42107" s="178"/>
      <c r="S42107" s="178"/>
    </row>
    <row r="42108" spans="18:19">
      <c r="R42108" s="178"/>
      <c r="S42108" s="178"/>
    </row>
    <row r="42109" spans="18:19">
      <c r="R42109" s="178"/>
      <c r="S42109" s="178"/>
    </row>
    <row r="42110" spans="18:19">
      <c r="R42110" s="178"/>
      <c r="S42110" s="178"/>
    </row>
    <row r="42111" spans="18:19">
      <c r="R42111" s="178"/>
      <c r="S42111" s="178"/>
    </row>
    <row r="42112" spans="18:19">
      <c r="R42112" s="178"/>
      <c r="S42112" s="178"/>
    </row>
    <row r="42113" spans="18:19">
      <c r="R42113" s="178"/>
      <c r="S42113" s="178"/>
    </row>
    <row r="42114" spans="18:19">
      <c r="R42114" s="178"/>
      <c r="S42114" s="178"/>
    </row>
    <row r="42115" spans="18:19">
      <c r="R42115" s="178"/>
      <c r="S42115" s="178"/>
    </row>
    <row r="42116" spans="18:19">
      <c r="R42116" s="178"/>
      <c r="S42116" s="178"/>
    </row>
    <row r="42117" spans="18:19">
      <c r="R42117" s="178"/>
      <c r="S42117" s="178"/>
    </row>
    <row r="42118" spans="18:19">
      <c r="R42118" s="178"/>
      <c r="S42118" s="178"/>
    </row>
    <row r="42119" spans="18:19">
      <c r="R42119" s="178"/>
      <c r="S42119" s="178"/>
    </row>
    <row r="42120" spans="18:19">
      <c r="R42120" s="178"/>
      <c r="S42120" s="178"/>
    </row>
    <row r="42121" spans="18:19">
      <c r="R42121" s="178"/>
      <c r="S42121" s="178"/>
    </row>
    <row r="42122" spans="18:19">
      <c r="R42122" s="178"/>
      <c r="S42122" s="178"/>
    </row>
    <row r="42123" spans="18:19">
      <c r="R42123" s="178"/>
      <c r="S42123" s="178"/>
    </row>
    <row r="42124" spans="18:19">
      <c r="R42124" s="178"/>
      <c r="S42124" s="178"/>
    </row>
    <row r="42125" spans="18:19">
      <c r="R42125" s="178"/>
      <c r="S42125" s="178"/>
    </row>
    <row r="42126" spans="18:19">
      <c r="R42126" s="178"/>
      <c r="S42126" s="178"/>
    </row>
    <row r="42127" spans="18:19">
      <c r="R42127" s="178"/>
      <c r="S42127" s="178"/>
    </row>
    <row r="42128" spans="18:19">
      <c r="R42128" s="178"/>
      <c r="S42128" s="178"/>
    </row>
    <row r="42129" spans="18:19">
      <c r="R42129" s="178"/>
      <c r="S42129" s="178"/>
    </row>
    <row r="42130" spans="18:19">
      <c r="R42130" s="178"/>
      <c r="S42130" s="178"/>
    </row>
    <row r="42131" spans="18:19">
      <c r="R42131" s="178"/>
      <c r="S42131" s="178"/>
    </row>
    <row r="42132" spans="18:19">
      <c r="R42132" s="178"/>
      <c r="S42132" s="178"/>
    </row>
    <row r="42133" spans="18:19">
      <c r="R42133" s="178"/>
      <c r="S42133" s="178"/>
    </row>
    <row r="42134" spans="18:19">
      <c r="R42134" s="178"/>
      <c r="S42134" s="178"/>
    </row>
    <row r="42135" spans="18:19">
      <c r="R42135" s="178"/>
      <c r="S42135" s="178"/>
    </row>
    <row r="42136" spans="18:19">
      <c r="R42136" s="178"/>
      <c r="S42136" s="178"/>
    </row>
    <row r="42137" spans="18:19">
      <c r="R42137" s="178"/>
      <c r="S42137" s="178"/>
    </row>
    <row r="42138" spans="18:19">
      <c r="R42138" s="178"/>
      <c r="S42138" s="178"/>
    </row>
    <row r="42139" spans="18:19">
      <c r="R42139" s="178"/>
      <c r="S42139" s="178"/>
    </row>
    <row r="42140" spans="18:19">
      <c r="R42140" s="178"/>
      <c r="S42140" s="178"/>
    </row>
    <row r="42141" spans="18:19">
      <c r="R42141" s="178"/>
      <c r="S42141" s="178"/>
    </row>
    <row r="42142" spans="18:19">
      <c r="R42142" s="178"/>
      <c r="S42142" s="178"/>
    </row>
    <row r="42143" spans="18:19">
      <c r="R42143" s="178"/>
      <c r="S42143" s="178"/>
    </row>
    <row r="42144" spans="18:19">
      <c r="R42144" s="178"/>
      <c r="S42144" s="178"/>
    </row>
    <row r="42145" spans="18:19">
      <c r="R42145" s="178"/>
      <c r="S42145" s="178"/>
    </row>
    <row r="42146" spans="18:19">
      <c r="R42146" s="178"/>
      <c r="S42146" s="178"/>
    </row>
    <row r="42147" spans="18:19">
      <c r="R42147" s="178"/>
      <c r="S42147" s="178"/>
    </row>
    <row r="42148" spans="18:19">
      <c r="R42148" s="178"/>
      <c r="S42148" s="178"/>
    </row>
    <row r="42149" spans="18:19">
      <c r="R42149" s="178"/>
      <c r="S42149" s="178"/>
    </row>
    <row r="42150" spans="18:19">
      <c r="R42150" s="178"/>
      <c r="S42150" s="178"/>
    </row>
    <row r="42151" spans="18:19">
      <c r="R42151" s="178"/>
      <c r="S42151" s="178"/>
    </row>
    <row r="42152" spans="18:19">
      <c r="R42152" s="178"/>
      <c r="S42152" s="178"/>
    </row>
    <row r="42153" spans="18:19">
      <c r="R42153" s="178"/>
      <c r="S42153" s="178"/>
    </row>
    <row r="42154" spans="18:19">
      <c r="R42154" s="178"/>
      <c r="S42154" s="178"/>
    </row>
    <row r="42155" spans="18:19">
      <c r="R42155" s="178"/>
      <c r="S42155" s="178"/>
    </row>
    <row r="42156" spans="18:19">
      <c r="R42156" s="178"/>
      <c r="S42156" s="178"/>
    </row>
    <row r="42157" spans="18:19">
      <c r="R42157" s="178"/>
      <c r="S42157" s="178"/>
    </row>
    <row r="42158" spans="18:19">
      <c r="R42158" s="178"/>
      <c r="S42158" s="178"/>
    </row>
    <row r="42159" spans="18:19">
      <c r="R42159" s="178"/>
      <c r="S42159" s="178"/>
    </row>
    <row r="42160" spans="18:19">
      <c r="R42160" s="178"/>
      <c r="S42160" s="178"/>
    </row>
    <row r="42161" spans="18:19">
      <c r="R42161" s="178"/>
      <c r="S42161" s="178"/>
    </row>
    <row r="42162" spans="18:19">
      <c r="R42162" s="178"/>
      <c r="S42162" s="178"/>
    </row>
    <row r="42163" spans="18:19">
      <c r="R42163" s="178"/>
      <c r="S42163" s="178"/>
    </row>
    <row r="42164" spans="18:19">
      <c r="R42164" s="178"/>
      <c r="S42164" s="178"/>
    </row>
    <row r="42165" spans="18:19">
      <c r="R42165" s="178"/>
      <c r="S42165" s="178"/>
    </row>
    <row r="42166" spans="18:19">
      <c r="R42166" s="178"/>
      <c r="S42166" s="178"/>
    </row>
    <row r="42167" spans="18:19">
      <c r="R42167" s="178"/>
      <c r="S42167" s="178"/>
    </row>
    <row r="42168" spans="18:19">
      <c r="R42168" s="178"/>
      <c r="S42168" s="178"/>
    </row>
    <row r="42169" spans="18:19">
      <c r="R42169" s="178"/>
      <c r="S42169" s="178"/>
    </row>
    <row r="42170" spans="18:19">
      <c r="R42170" s="178"/>
      <c r="S42170" s="178"/>
    </row>
    <row r="42171" spans="18:19">
      <c r="R42171" s="178"/>
      <c r="S42171" s="178"/>
    </row>
    <row r="42172" spans="18:19">
      <c r="R42172" s="178"/>
      <c r="S42172" s="178"/>
    </row>
    <row r="42173" spans="18:19">
      <c r="R42173" s="178"/>
      <c r="S42173" s="178"/>
    </row>
    <row r="42174" spans="18:19">
      <c r="R42174" s="178"/>
      <c r="S42174" s="178"/>
    </row>
    <row r="42175" spans="18:19">
      <c r="R42175" s="178"/>
      <c r="S42175" s="178"/>
    </row>
    <row r="42176" spans="18:19">
      <c r="R42176" s="178"/>
      <c r="S42176" s="178"/>
    </row>
    <row r="42177" spans="18:19">
      <c r="R42177" s="178"/>
      <c r="S42177" s="178"/>
    </row>
    <row r="42178" spans="18:19">
      <c r="R42178" s="178"/>
      <c r="S42178" s="178"/>
    </row>
    <row r="42179" spans="18:19">
      <c r="R42179" s="178"/>
      <c r="S42179" s="178"/>
    </row>
    <row r="42180" spans="18:19">
      <c r="R42180" s="178"/>
      <c r="S42180" s="178"/>
    </row>
    <row r="42181" spans="18:19">
      <c r="R42181" s="178"/>
      <c r="S42181" s="178"/>
    </row>
    <row r="42182" spans="18:19">
      <c r="R42182" s="178"/>
      <c r="S42182" s="178"/>
    </row>
    <row r="42183" spans="18:19">
      <c r="R42183" s="178"/>
      <c r="S42183" s="178"/>
    </row>
    <row r="42184" spans="18:19">
      <c r="R42184" s="178"/>
      <c r="S42184" s="178"/>
    </row>
    <row r="42185" spans="18:19">
      <c r="R42185" s="178"/>
      <c r="S42185" s="178"/>
    </row>
    <row r="42186" spans="18:19">
      <c r="R42186" s="178"/>
      <c r="S42186" s="178"/>
    </row>
    <row r="42187" spans="18:19">
      <c r="R42187" s="178"/>
      <c r="S42187" s="178"/>
    </row>
    <row r="42188" spans="18:19">
      <c r="R42188" s="178"/>
      <c r="S42188" s="178"/>
    </row>
    <row r="42189" spans="18:19">
      <c r="R42189" s="178"/>
      <c r="S42189" s="178"/>
    </row>
    <row r="42190" spans="18:19">
      <c r="R42190" s="178"/>
      <c r="S42190" s="178"/>
    </row>
    <row r="42191" spans="18:19">
      <c r="R42191" s="178"/>
      <c r="S42191" s="178"/>
    </row>
    <row r="42192" spans="18:19">
      <c r="R42192" s="178"/>
      <c r="S42192" s="178"/>
    </row>
    <row r="42193" spans="18:19">
      <c r="R42193" s="178"/>
      <c r="S42193" s="178"/>
    </row>
    <row r="42194" spans="18:19">
      <c r="R42194" s="178"/>
      <c r="S42194" s="178"/>
    </row>
    <row r="42195" spans="18:19">
      <c r="R42195" s="178"/>
      <c r="S42195" s="178"/>
    </row>
    <row r="42196" spans="18:19">
      <c r="R42196" s="178"/>
      <c r="S42196" s="178"/>
    </row>
    <row r="42197" spans="18:19">
      <c r="R42197" s="178"/>
      <c r="S42197" s="178"/>
    </row>
    <row r="42198" spans="18:19">
      <c r="R42198" s="178"/>
      <c r="S42198" s="178"/>
    </row>
    <row r="42199" spans="18:19">
      <c r="R42199" s="178"/>
      <c r="S42199" s="178"/>
    </row>
    <row r="42200" spans="18:19">
      <c r="R42200" s="178"/>
      <c r="S42200" s="178"/>
    </row>
    <row r="42201" spans="18:19">
      <c r="R42201" s="178"/>
      <c r="S42201" s="178"/>
    </row>
    <row r="42202" spans="18:19">
      <c r="R42202" s="178"/>
      <c r="S42202" s="178"/>
    </row>
    <row r="42203" spans="18:19">
      <c r="R42203" s="178"/>
      <c r="S42203" s="178"/>
    </row>
    <row r="42204" spans="18:19">
      <c r="R42204" s="178"/>
      <c r="S42204" s="178"/>
    </row>
    <row r="42205" spans="18:19">
      <c r="R42205" s="178"/>
      <c r="S42205" s="178"/>
    </row>
    <row r="42206" spans="18:19">
      <c r="R42206" s="178"/>
      <c r="S42206" s="178"/>
    </row>
    <row r="42207" spans="18:19">
      <c r="R42207" s="178"/>
      <c r="S42207" s="178"/>
    </row>
    <row r="42208" spans="18:19">
      <c r="R42208" s="178"/>
      <c r="S42208" s="178"/>
    </row>
    <row r="42209" spans="18:19">
      <c r="R42209" s="178"/>
      <c r="S42209" s="178"/>
    </row>
    <row r="42210" spans="18:19">
      <c r="R42210" s="178"/>
      <c r="S42210" s="178"/>
    </row>
    <row r="42211" spans="18:19">
      <c r="R42211" s="178"/>
      <c r="S42211" s="178"/>
    </row>
    <row r="42212" spans="18:19">
      <c r="R42212" s="178"/>
      <c r="S42212" s="178"/>
    </row>
    <row r="42213" spans="18:19">
      <c r="R42213" s="178"/>
      <c r="S42213" s="178"/>
    </row>
    <row r="42214" spans="18:19">
      <c r="R42214" s="178"/>
      <c r="S42214" s="178"/>
    </row>
    <row r="42215" spans="18:19">
      <c r="R42215" s="178"/>
      <c r="S42215" s="178"/>
    </row>
    <row r="42216" spans="18:19">
      <c r="R42216" s="178"/>
      <c r="S42216" s="178"/>
    </row>
    <row r="42217" spans="18:19">
      <c r="R42217" s="178"/>
      <c r="S42217" s="178"/>
    </row>
    <row r="42218" spans="18:19">
      <c r="R42218" s="178"/>
      <c r="S42218" s="178"/>
    </row>
    <row r="42219" spans="18:19">
      <c r="R42219" s="178"/>
      <c r="S42219" s="178"/>
    </row>
    <row r="42220" spans="18:19">
      <c r="R42220" s="178"/>
      <c r="S42220" s="178"/>
    </row>
    <row r="42221" spans="18:19">
      <c r="R42221" s="178"/>
      <c r="S42221" s="178"/>
    </row>
    <row r="42222" spans="18:19">
      <c r="R42222" s="178"/>
      <c r="S42222" s="178"/>
    </row>
    <row r="42223" spans="18:19">
      <c r="R42223" s="178"/>
      <c r="S42223" s="178"/>
    </row>
    <row r="42224" spans="18:19">
      <c r="R42224" s="178"/>
      <c r="S42224" s="178"/>
    </row>
    <row r="42225" spans="18:19">
      <c r="R42225" s="178"/>
      <c r="S42225" s="178"/>
    </row>
    <row r="42226" spans="18:19">
      <c r="R42226" s="178"/>
      <c r="S42226" s="178"/>
    </row>
    <row r="42227" spans="18:19">
      <c r="R42227" s="178"/>
      <c r="S42227" s="178"/>
    </row>
    <row r="42228" spans="18:19">
      <c r="R42228" s="178"/>
      <c r="S42228" s="178"/>
    </row>
    <row r="42229" spans="18:19">
      <c r="R42229" s="178"/>
      <c r="S42229" s="178"/>
    </row>
    <row r="42230" spans="18:19">
      <c r="R42230" s="178"/>
      <c r="S42230" s="178"/>
    </row>
    <row r="42231" spans="18:19">
      <c r="R42231" s="178"/>
      <c r="S42231" s="178"/>
    </row>
    <row r="42232" spans="18:19">
      <c r="R42232" s="178"/>
      <c r="S42232" s="178"/>
    </row>
    <row r="42233" spans="18:19">
      <c r="R42233" s="178"/>
      <c r="S42233" s="178"/>
    </row>
    <row r="42234" spans="18:19">
      <c r="R42234" s="178"/>
      <c r="S42234" s="178"/>
    </row>
    <row r="42235" spans="18:19">
      <c r="R42235" s="178"/>
      <c r="S42235" s="178"/>
    </row>
    <row r="42236" spans="18:19">
      <c r="R42236" s="178"/>
      <c r="S42236" s="178"/>
    </row>
    <row r="42237" spans="18:19">
      <c r="R42237" s="178"/>
      <c r="S42237" s="178"/>
    </row>
    <row r="42238" spans="18:19">
      <c r="R42238" s="178"/>
      <c r="S42238" s="178"/>
    </row>
    <row r="42239" spans="18:19">
      <c r="R42239" s="178"/>
      <c r="S42239" s="178"/>
    </row>
    <row r="42240" spans="18:19">
      <c r="R42240" s="178"/>
      <c r="S42240" s="178"/>
    </row>
    <row r="42241" spans="18:19">
      <c r="R42241" s="178"/>
      <c r="S42241" s="178"/>
    </row>
    <row r="42242" spans="18:19">
      <c r="R42242" s="178"/>
      <c r="S42242" s="178"/>
    </row>
    <row r="42243" spans="18:19">
      <c r="R42243" s="178"/>
      <c r="S42243" s="178"/>
    </row>
    <row r="42244" spans="18:19">
      <c r="R42244" s="178"/>
      <c r="S42244" s="178"/>
    </row>
    <row r="42245" spans="18:19">
      <c r="R42245" s="178"/>
      <c r="S42245" s="178"/>
    </row>
    <row r="42246" spans="18:19">
      <c r="R42246" s="178"/>
      <c r="S42246" s="178"/>
    </row>
    <row r="42247" spans="18:19">
      <c r="R42247" s="178"/>
      <c r="S42247" s="178"/>
    </row>
    <row r="42248" spans="18:19">
      <c r="R42248" s="178"/>
      <c r="S42248" s="178"/>
    </row>
    <row r="42249" spans="18:19">
      <c r="R42249" s="178"/>
      <c r="S42249" s="178"/>
    </row>
    <row r="42250" spans="18:19">
      <c r="R42250" s="178"/>
      <c r="S42250" s="178"/>
    </row>
    <row r="42251" spans="18:19">
      <c r="R42251" s="178"/>
      <c r="S42251" s="178"/>
    </row>
    <row r="42252" spans="18:19">
      <c r="R42252" s="178"/>
      <c r="S42252" s="178"/>
    </row>
    <row r="42253" spans="18:19">
      <c r="R42253" s="178"/>
      <c r="S42253" s="178"/>
    </row>
    <row r="42254" spans="18:19">
      <c r="R42254" s="178"/>
      <c r="S42254" s="178"/>
    </row>
    <row r="42255" spans="18:19">
      <c r="R42255" s="178"/>
      <c r="S42255" s="178"/>
    </row>
    <row r="42256" spans="18:19">
      <c r="R42256" s="178"/>
      <c r="S42256" s="178"/>
    </row>
    <row r="42257" spans="18:19">
      <c r="R42257" s="178"/>
      <c r="S42257" s="178"/>
    </row>
    <row r="42258" spans="18:19">
      <c r="R42258" s="178"/>
      <c r="S42258" s="178"/>
    </row>
    <row r="42259" spans="18:19">
      <c r="R42259" s="178"/>
      <c r="S42259" s="178"/>
    </row>
    <row r="42260" spans="18:19">
      <c r="R42260" s="178"/>
      <c r="S42260" s="178"/>
    </row>
    <row r="42261" spans="18:19">
      <c r="R42261" s="178"/>
      <c r="S42261" s="178"/>
    </row>
    <row r="42262" spans="18:19">
      <c r="R42262" s="178"/>
      <c r="S42262" s="178"/>
    </row>
    <row r="42263" spans="18:19">
      <c r="R42263" s="178"/>
      <c r="S42263" s="178"/>
    </row>
    <row r="42264" spans="18:19">
      <c r="R42264" s="178"/>
      <c r="S42264" s="178"/>
    </row>
    <row r="42265" spans="18:19">
      <c r="R42265" s="178"/>
      <c r="S42265" s="178"/>
    </row>
    <row r="42266" spans="18:19">
      <c r="R42266" s="178"/>
      <c r="S42266" s="178"/>
    </row>
    <row r="42267" spans="18:19">
      <c r="R42267" s="178"/>
      <c r="S42267" s="178"/>
    </row>
    <row r="42268" spans="18:19">
      <c r="R42268" s="178"/>
      <c r="S42268" s="178"/>
    </row>
    <row r="42269" spans="18:19">
      <c r="R42269" s="178"/>
      <c r="S42269" s="178"/>
    </row>
    <row r="42270" spans="18:19">
      <c r="R42270" s="178"/>
      <c r="S42270" s="178"/>
    </row>
    <row r="42271" spans="18:19">
      <c r="R42271" s="178"/>
      <c r="S42271" s="178"/>
    </row>
    <row r="42272" spans="18:19">
      <c r="R42272" s="178"/>
      <c r="S42272" s="178"/>
    </row>
    <row r="42273" spans="18:19">
      <c r="R42273" s="178"/>
      <c r="S42273" s="178"/>
    </row>
    <row r="42274" spans="18:19">
      <c r="R42274" s="178"/>
      <c r="S42274" s="178"/>
    </row>
    <row r="42275" spans="18:19">
      <c r="R42275" s="178"/>
      <c r="S42275" s="178"/>
    </row>
    <row r="42276" spans="18:19">
      <c r="R42276" s="178"/>
      <c r="S42276" s="178"/>
    </row>
    <row r="42277" spans="18:19">
      <c r="R42277" s="178"/>
      <c r="S42277" s="178"/>
    </row>
    <row r="42278" spans="18:19">
      <c r="R42278" s="178"/>
      <c r="S42278" s="178"/>
    </row>
    <row r="42279" spans="18:19">
      <c r="R42279" s="178"/>
      <c r="S42279" s="178"/>
    </row>
    <row r="42280" spans="18:19">
      <c r="R42280" s="178"/>
      <c r="S42280" s="178"/>
    </row>
    <row r="42281" spans="18:19">
      <c r="R42281" s="178"/>
      <c r="S42281" s="178"/>
    </row>
    <row r="42282" spans="18:19">
      <c r="R42282" s="178"/>
      <c r="S42282" s="178"/>
    </row>
    <row r="42283" spans="18:19">
      <c r="R42283" s="178"/>
      <c r="S42283" s="178"/>
    </row>
    <row r="42284" spans="18:19">
      <c r="R42284" s="178"/>
      <c r="S42284" s="178"/>
    </row>
    <row r="42285" spans="18:19">
      <c r="R42285" s="178"/>
      <c r="S42285" s="178"/>
    </row>
    <row r="42286" spans="18:19">
      <c r="R42286" s="178"/>
      <c r="S42286" s="178"/>
    </row>
    <row r="42287" spans="18:19">
      <c r="R42287" s="178"/>
      <c r="S42287" s="178"/>
    </row>
    <row r="42288" spans="18:19">
      <c r="R42288" s="178"/>
      <c r="S42288" s="178"/>
    </row>
    <row r="42289" spans="18:19">
      <c r="R42289" s="178"/>
      <c r="S42289" s="178"/>
    </row>
    <row r="42290" spans="18:19">
      <c r="R42290" s="178"/>
      <c r="S42290" s="178"/>
    </row>
    <row r="42291" spans="18:19">
      <c r="R42291" s="178"/>
      <c r="S42291" s="178"/>
    </row>
    <row r="42292" spans="18:19">
      <c r="R42292" s="178"/>
      <c r="S42292" s="178"/>
    </row>
    <row r="42293" spans="18:19">
      <c r="R42293" s="178"/>
      <c r="S42293" s="178"/>
    </row>
    <row r="42294" spans="18:19">
      <c r="R42294" s="178"/>
      <c r="S42294" s="178"/>
    </row>
    <row r="42295" spans="18:19">
      <c r="R42295" s="178"/>
      <c r="S42295" s="178"/>
    </row>
    <row r="42296" spans="18:19">
      <c r="R42296" s="178"/>
      <c r="S42296" s="178"/>
    </row>
    <row r="42297" spans="18:19">
      <c r="R42297" s="178"/>
      <c r="S42297" s="178"/>
    </row>
    <row r="42298" spans="18:19">
      <c r="R42298" s="178"/>
      <c r="S42298" s="178"/>
    </row>
    <row r="42299" spans="18:19">
      <c r="R42299" s="178"/>
      <c r="S42299" s="178"/>
    </row>
    <row r="42300" spans="18:19">
      <c r="R42300" s="178"/>
      <c r="S42300" s="178"/>
    </row>
    <row r="42301" spans="18:19">
      <c r="R42301" s="178"/>
      <c r="S42301" s="178"/>
    </row>
    <row r="42302" spans="18:19">
      <c r="R42302" s="178"/>
      <c r="S42302" s="178"/>
    </row>
    <row r="42303" spans="18:19">
      <c r="R42303" s="178"/>
      <c r="S42303" s="178"/>
    </row>
    <row r="42304" spans="18:19">
      <c r="R42304" s="178"/>
      <c r="S42304" s="178"/>
    </row>
    <row r="42305" spans="18:19">
      <c r="R42305" s="178"/>
      <c r="S42305" s="178"/>
    </row>
    <row r="42306" spans="18:19">
      <c r="R42306" s="178"/>
      <c r="S42306" s="178"/>
    </row>
    <row r="42307" spans="18:19">
      <c r="R42307" s="178"/>
      <c r="S42307" s="178"/>
    </row>
    <row r="42308" spans="18:19">
      <c r="R42308" s="178"/>
      <c r="S42308" s="178"/>
    </row>
    <row r="42309" spans="18:19">
      <c r="R42309" s="178"/>
      <c r="S42309" s="178"/>
    </row>
    <row r="42310" spans="18:19">
      <c r="R42310" s="178"/>
      <c r="S42310" s="178"/>
    </row>
    <row r="42311" spans="18:19">
      <c r="R42311" s="178"/>
      <c r="S42311" s="178"/>
    </row>
    <row r="42312" spans="18:19">
      <c r="R42312" s="178"/>
      <c r="S42312" s="178"/>
    </row>
    <row r="42313" spans="18:19">
      <c r="R42313" s="178"/>
      <c r="S42313" s="178"/>
    </row>
    <row r="42314" spans="18:19">
      <c r="R42314" s="178"/>
      <c r="S42314" s="178"/>
    </row>
    <row r="42315" spans="18:19">
      <c r="R42315" s="178"/>
      <c r="S42315" s="178"/>
    </row>
    <row r="42316" spans="18:19">
      <c r="R42316" s="178"/>
      <c r="S42316" s="178"/>
    </row>
    <row r="42317" spans="18:19">
      <c r="R42317" s="178"/>
      <c r="S42317" s="178"/>
    </row>
    <row r="42318" spans="18:19">
      <c r="R42318" s="178"/>
      <c r="S42318" s="178"/>
    </row>
    <row r="42319" spans="18:19">
      <c r="R42319" s="178"/>
      <c r="S42319" s="178"/>
    </row>
    <row r="42320" spans="18:19">
      <c r="R42320" s="178"/>
      <c r="S42320" s="178"/>
    </row>
    <row r="42321" spans="18:19">
      <c r="R42321" s="178"/>
      <c r="S42321" s="178"/>
    </row>
    <row r="42322" spans="18:19">
      <c r="R42322" s="178"/>
      <c r="S42322" s="178"/>
    </row>
    <row r="42323" spans="18:19">
      <c r="R42323" s="178"/>
      <c r="S42323" s="178"/>
    </row>
    <row r="42324" spans="18:19">
      <c r="R42324" s="178"/>
      <c r="S42324" s="178"/>
    </row>
    <row r="42325" spans="18:19">
      <c r="R42325" s="178"/>
      <c r="S42325" s="178"/>
    </row>
    <row r="42326" spans="18:19">
      <c r="R42326" s="178"/>
      <c r="S42326" s="178"/>
    </row>
    <row r="42327" spans="18:19">
      <c r="R42327" s="178"/>
      <c r="S42327" s="178"/>
    </row>
    <row r="42328" spans="18:19">
      <c r="R42328" s="178"/>
      <c r="S42328" s="178"/>
    </row>
    <row r="42329" spans="18:19">
      <c r="R42329" s="178"/>
      <c r="S42329" s="178"/>
    </row>
    <row r="42330" spans="18:19">
      <c r="R42330" s="178"/>
      <c r="S42330" s="178"/>
    </row>
    <row r="42331" spans="18:19">
      <c r="R42331" s="178"/>
      <c r="S42331" s="178"/>
    </row>
    <row r="42332" spans="18:19">
      <c r="R42332" s="178"/>
      <c r="S42332" s="178"/>
    </row>
    <row r="42333" spans="18:19">
      <c r="R42333" s="178"/>
      <c r="S42333" s="178"/>
    </row>
    <row r="42334" spans="18:19">
      <c r="R42334" s="178"/>
      <c r="S42334" s="178"/>
    </row>
    <row r="42335" spans="18:19">
      <c r="R42335" s="178"/>
      <c r="S42335" s="178"/>
    </row>
    <row r="42336" spans="18:19">
      <c r="R42336" s="178"/>
      <c r="S42336" s="178"/>
    </row>
    <row r="42337" spans="18:19">
      <c r="R42337" s="178"/>
      <c r="S42337" s="178"/>
    </row>
    <row r="42338" spans="18:19">
      <c r="R42338" s="178"/>
      <c r="S42338" s="178"/>
    </row>
    <row r="42339" spans="18:19">
      <c r="R42339" s="178"/>
      <c r="S42339" s="178"/>
    </row>
    <row r="42340" spans="18:19">
      <c r="R42340" s="178"/>
      <c r="S42340" s="178"/>
    </row>
    <row r="42341" spans="18:19">
      <c r="R42341" s="178"/>
      <c r="S42341" s="178"/>
    </row>
    <row r="42342" spans="18:19">
      <c r="R42342" s="178"/>
      <c r="S42342" s="178"/>
    </row>
    <row r="42343" spans="18:19">
      <c r="R42343" s="178"/>
      <c r="S42343" s="178"/>
    </row>
    <row r="42344" spans="18:19">
      <c r="R42344" s="178"/>
      <c r="S42344" s="178"/>
    </row>
    <row r="42345" spans="18:19">
      <c r="R42345" s="178"/>
      <c r="S42345" s="178"/>
    </row>
    <row r="42346" spans="18:19">
      <c r="R42346" s="178"/>
      <c r="S42346" s="178"/>
    </row>
    <row r="42347" spans="18:19">
      <c r="R42347" s="178"/>
      <c r="S42347" s="178"/>
    </row>
    <row r="42348" spans="18:19">
      <c r="R42348" s="178"/>
      <c r="S42348" s="178"/>
    </row>
    <row r="42349" spans="18:19">
      <c r="R42349" s="178"/>
      <c r="S42349" s="178"/>
    </row>
    <row r="42350" spans="18:19">
      <c r="R42350" s="178"/>
      <c r="S42350" s="178"/>
    </row>
    <row r="42351" spans="18:19">
      <c r="R42351" s="178"/>
      <c r="S42351" s="178"/>
    </row>
    <row r="42352" spans="18:19">
      <c r="R42352" s="178"/>
      <c r="S42352" s="178"/>
    </row>
    <row r="42353" spans="18:19">
      <c r="R42353" s="178"/>
      <c r="S42353" s="178"/>
    </row>
    <row r="42354" spans="18:19">
      <c r="R42354" s="178"/>
      <c r="S42354" s="178"/>
    </row>
    <row r="42355" spans="18:19">
      <c r="R42355" s="178"/>
      <c r="S42355" s="178"/>
    </row>
    <row r="42356" spans="18:19">
      <c r="R42356" s="178"/>
      <c r="S42356" s="178"/>
    </row>
    <row r="42357" spans="18:19">
      <c r="R42357" s="178"/>
      <c r="S42357" s="178"/>
    </row>
    <row r="42358" spans="18:19">
      <c r="R42358" s="178"/>
      <c r="S42358" s="178"/>
    </row>
    <row r="42359" spans="18:19">
      <c r="R42359" s="178"/>
      <c r="S42359" s="178"/>
    </row>
    <row r="42360" spans="18:19">
      <c r="R42360" s="178"/>
      <c r="S42360" s="178"/>
    </row>
    <row r="42361" spans="18:19">
      <c r="R42361" s="178"/>
      <c r="S42361" s="178"/>
    </row>
    <row r="42362" spans="18:19">
      <c r="R42362" s="178"/>
      <c r="S42362" s="178"/>
    </row>
    <row r="42363" spans="18:19">
      <c r="R42363" s="178"/>
      <c r="S42363" s="178"/>
    </row>
    <row r="42364" spans="18:19">
      <c r="R42364" s="178"/>
      <c r="S42364" s="178"/>
    </row>
    <row r="42365" spans="18:19">
      <c r="R42365" s="178"/>
      <c r="S42365" s="178"/>
    </row>
    <row r="42366" spans="18:19">
      <c r="R42366" s="178"/>
      <c r="S42366" s="178"/>
    </row>
    <row r="42367" spans="18:19">
      <c r="R42367" s="178"/>
      <c r="S42367" s="178"/>
    </row>
    <row r="42368" spans="18:19">
      <c r="R42368" s="178"/>
      <c r="S42368" s="178"/>
    </row>
    <row r="42369" spans="18:19">
      <c r="R42369" s="178"/>
      <c r="S42369" s="178"/>
    </row>
    <row r="42370" spans="18:19">
      <c r="R42370" s="178"/>
      <c r="S42370" s="178"/>
    </row>
    <row r="42371" spans="18:19">
      <c r="R42371" s="178"/>
      <c r="S42371" s="178"/>
    </row>
    <row r="42372" spans="18:19">
      <c r="R42372" s="178"/>
      <c r="S42372" s="178"/>
    </row>
    <row r="42373" spans="18:19">
      <c r="R42373" s="178"/>
      <c r="S42373" s="178"/>
    </row>
    <row r="42374" spans="18:19">
      <c r="R42374" s="178"/>
      <c r="S42374" s="178"/>
    </row>
    <row r="42375" spans="18:19">
      <c r="R42375" s="178"/>
      <c r="S42375" s="178"/>
    </row>
    <row r="42376" spans="18:19">
      <c r="R42376" s="178"/>
      <c r="S42376" s="178"/>
    </row>
    <row r="42377" spans="18:19">
      <c r="R42377" s="178"/>
      <c r="S42377" s="178"/>
    </row>
    <row r="42378" spans="18:19">
      <c r="R42378" s="178"/>
      <c r="S42378" s="178"/>
    </row>
    <row r="42379" spans="18:19">
      <c r="R42379" s="178"/>
      <c r="S42379" s="178"/>
    </row>
    <row r="42380" spans="18:19">
      <c r="R42380" s="178"/>
      <c r="S42380" s="178"/>
    </row>
    <row r="42381" spans="18:19">
      <c r="R42381" s="178"/>
      <c r="S42381" s="178"/>
    </row>
    <row r="42382" spans="18:19">
      <c r="R42382" s="178"/>
      <c r="S42382" s="178"/>
    </row>
    <row r="42383" spans="18:19">
      <c r="R42383" s="178"/>
      <c r="S42383" s="178"/>
    </row>
    <row r="42384" spans="18:19">
      <c r="R42384" s="178"/>
      <c r="S42384" s="178"/>
    </row>
    <row r="42385" spans="18:19">
      <c r="R42385" s="178"/>
      <c r="S42385" s="178"/>
    </row>
    <row r="42386" spans="18:19">
      <c r="R42386" s="178"/>
      <c r="S42386" s="178"/>
    </row>
    <row r="42387" spans="18:19">
      <c r="R42387" s="178"/>
      <c r="S42387" s="178"/>
    </row>
    <row r="42388" spans="18:19">
      <c r="R42388" s="178"/>
      <c r="S42388" s="178"/>
    </row>
    <row r="42389" spans="18:19">
      <c r="R42389" s="178"/>
      <c r="S42389" s="178"/>
    </row>
    <row r="42390" spans="18:19">
      <c r="R42390" s="178"/>
      <c r="S42390" s="178"/>
    </row>
    <row r="42391" spans="18:19">
      <c r="R42391" s="178"/>
      <c r="S42391" s="178"/>
    </row>
    <row r="42392" spans="18:19">
      <c r="R42392" s="178"/>
      <c r="S42392" s="178"/>
    </row>
    <row r="42393" spans="18:19">
      <c r="R42393" s="178"/>
      <c r="S42393" s="178"/>
    </row>
    <row r="42394" spans="18:19">
      <c r="R42394" s="178"/>
      <c r="S42394" s="178"/>
    </row>
    <row r="42395" spans="18:19">
      <c r="R42395" s="178"/>
      <c r="S42395" s="178"/>
    </row>
    <row r="42396" spans="18:19">
      <c r="R42396" s="178"/>
      <c r="S42396" s="178"/>
    </row>
    <row r="42397" spans="18:19">
      <c r="R42397" s="178"/>
      <c r="S42397" s="178"/>
    </row>
    <row r="42398" spans="18:19">
      <c r="R42398" s="178"/>
      <c r="S42398" s="178"/>
    </row>
    <row r="42399" spans="18:19">
      <c r="R42399" s="178"/>
      <c r="S42399" s="178"/>
    </row>
    <row r="42400" spans="18:19">
      <c r="R42400" s="178"/>
      <c r="S42400" s="178"/>
    </row>
    <row r="42401" spans="18:19">
      <c r="R42401" s="178"/>
      <c r="S42401" s="178"/>
    </row>
    <row r="42402" spans="18:19">
      <c r="R42402" s="178"/>
      <c r="S42402" s="178"/>
    </row>
    <row r="42403" spans="18:19">
      <c r="R42403" s="178"/>
      <c r="S42403" s="178"/>
    </row>
    <row r="42404" spans="18:19">
      <c r="R42404" s="178"/>
      <c r="S42404" s="178"/>
    </row>
    <row r="42405" spans="18:19">
      <c r="R42405" s="178"/>
      <c r="S42405" s="178"/>
    </row>
    <row r="42406" spans="18:19">
      <c r="R42406" s="178"/>
      <c r="S42406" s="178"/>
    </row>
    <row r="42407" spans="18:19">
      <c r="R42407" s="178"/>
      <c r="S42407" s="178"/>
    </row>
    <row r="42408" spans="18:19">
      <c r="R42408" s="178"/>
      <c r="S42408" s="178"/>
    </row>
    <row r="42409" spans="18:19">
      <c r="R42409" s="178"/>
      <c r="S42409" s="178"/>
    </row>
    <row r="42410" spans="18:19">
      <c r="R42410" s="178"/>
      <c r="S42410" s="178"/>
    </row>
    <row r="42411" spans="18:19">
      <c r="R42411" s="178"/>
      <c r="S42411" s="178"/>
    </row>
    <row r="42412" spans="18:19">
      <c r="R42412" s="178"/>
      <c r="S42412" s="178"/>
    </row>
    <row r="42413" spans="18:19">
      <c r="R42413" s="178"/>
      <c r="S42413" s="178"/>
    </row>
    <row r="42414" spans="18:19">
      <c r="R42414" s="178"/>
      <c r="S42414" s="178"/>
    </row>
    <row r="42415" spans="18:19">
      <c r="R42415" s="178"/>
      <c r="S42415" s="178"/>
    </row>
    <row r="42416" spans="18:19">
      <c r="R42416" s="178"/>
      <c r="S42416" s="178"/>
    </row>
    <row r="42417" spans="18:19">
      <c r="R42417" s="178"/>
      <c r="S42417" s="178"/>
    </row>
    <row r="42418" spans="18:19">
      <c r="R42418" s="178"/>
      <c r="S42418" s="178"/>
    </row>
    <row r="42419" spans="18:19">
      <c r="R42419" s="178"/>
      <c r="S42419" s="178"/>
    </row>
    <row r="42420" spans="18:19">
      <c r="R42420" s="178"/>
      <c r="S42420" s="178"/>
    </row>
    <row r="42421" spans="18:19">
      <c r="R42421" s="178"/>
      <c r="S42421" s="178"/>
    </row>
    <row r="42422" spans="18:19">
      <c r="R42422" s="178"/>
      <c r="S42422" s="178"/>
    </row>
    <row r="42423" spans="18:19">
      <c r="R42423" s="178"/>
      <c r="S42423" s="178"/>
    </row>
    <row r="42424" spans="18:19">
      <c r="R42424" s="178"/>
      <c r="S42424" s="178"/>
    </row>
    <row r="42425" spans="18:19">
      <c r="R42425" s="178"/>
      <c r="S42425" s="178"/>
    </row>
    <row r="42426" spans="18:19">
      <c r="R42426" s="178"/>
      <c r="S42426" s="178"/>
    </row>
    <row r="42427" spans="18:19">
      <c r="R42427" s="178"/>
      <c r="S42427" s="178"/>
    </row>
    <row r="42428" spans="18:19">
      <c r="R42428" s="178"/>
      <c r="S42428" s="178"/>
    </row>
    <row r="42429" spans="18:19">
      <c r="R42429" s="178"/>
      <c r="S42429" s="178"/>
    </row>
    <row r="42430" spans="18:19">
      <c r="R42430" s="178"/>
      <c r="S42430" s="178"/>
    </row>
    <row r="42431" spans="18:19">
      <c r="R42431" s="178"/>
      <c r="S42431" s="178"/>
    </row>
    <row r="42432" spans="18:19">
      <c r="R42432" s="178"/>
      <c r="S42432" s="178"/>
    </row>
    <row r="42433" spans="18:19">
      <c r="R42433" s="178"/>
      <c r="S42433" s="178"/>
    </row>
    <row r="42434" spans="18:19">
      <c r="R42434" s="178"/>
      <c r="S42434" s="178"/>
    </row>
    <row r="42435" spans="18:19">
      <c r="R42435" s="178"/>
      <c r="S42435" s="178"/>
    </row>
    <row r="42436" spans="18:19">
      <c r="R42436" s="178"/>
      <c r="S42436" s="178"/>
    </row>
    <row r="42437" spans="18:19">
      <c r="R42437" s="178"/>
      <c r="S42437" s="178"/>
    </row>
    <row r="42438" spans="18:19">
      <c r="R42438" s="178"/>
      <c r="S42438" s="178"/>
    </row>
    <row r="42439" spans="18:19">
      <c r="R42439" s="178"/>
      <c r="S42439" s="178"/>
    </row>
    <row r="42440" spans="18:19">
      <c r="R42440" s="178"/>
      <c r="S42440" s="178"/>
    </row>
    <row r="42441" spans="18:19">
      <c r="R42441" s="178"/>
      <c r="S42441" s="178"/>
    </row>
    <row r="42442" spans="18:19">
      <c r="R42442" s="178"/>
      <c r="S42442" s="178"/>
    </row>
    <row r="42443" spans="18:19">
      <c r="R42443" s="178"/>
      <c r="S42443" s="178"/>
    </row>
    <row r="42444" spans="18:19">
      <c r="R42444" s="178"/>
      <c r="S42444" s="178"/>
    </row>
    <row r="42445" spans="18:19">
      <c r="R42445" s="178"/>
      <c r="S42445" s="178"/>
    </row>
    <row r="42446" spans="18:19">
      <c r="R42446" s="178"/>
      <c r="S42446" s="178"/>
    </row>
    <row r="42447" spans="18:19">
      <c r="R42447" s="178"/>
      <c r="S42447" s="178"/>
    </row>
    <row r="42448" spans="18:19">
      <c r="R42448" s="178"/>
      <c r="S42448" s="178"/>
    </row>
    <row r="42449" spans="18:19">
      <c r="R42449" s="178"/>
      <c r="S42449" s="178"/>
    </row>
    <row r="42450" spans="18:19">
      <c r="R42450" s="178"/>
      <c r="S42450" s="178"/>
    </row>
    <row r="42451" spans="18:19">
      <c r="R42451" s="178"/>
      <c r="S42451" s="178"/>
    </row>
    <row r="42452" spans="18:19">
      <c r="R42452" s="178"/>
      <c r="S42452" s="178"/>
    </row>
    <row r="42453" spans="18:19">
      <c r="R42453" s="178"/>
      <c r="S42453" s="178"/>
    </row>
    <row r="42454" spans="18:19">
      <c r="R42454" s="178"/>
      <c r="S42454" s="178"/>
    </row>
    <row r="42455" spans="18:19">
      <c r="R42455" s="178"/>
      <c r="S42455" s="178"/>
    </row>
    <row r="42456" spans="18:19">
      <c r="R42456" s="178"/>
      <c r="S42456" s="178"/>
    </row>
    <row r="42457" spans="18:19">
      <c r="R42457" s="178"/>
      <c r="S42457" s="178"/>
    </row>
    <row r="42458" spans="18:19">
      <c r="R42458" s="178"/>
      <c r="S42458" s="178"/>
    </row>
    <row r="42459" spans="18:19">
      <c r="R42459" s="178"/>
      <c r="S42459" s="178"/>
    </row>
    <row r="42460" spans="18:19">
      <c r="R42460" s="178"/>
      <c r="S42460" s="178"/>
    </row>
    <row r="42461" spans="18:19">
      <c r="R42461" s="178"/>
      <c r="S42461" s="178"/>
    </row>
    <row r="42462" spans="18:19">
      <c r="R42462" s="178"/>
      <c r="S42462" s="178"/>
    </row>
    <row r="42463" spans="18:19">
      <c r="R42463" s="178"/>
      <c r="S42463" s="178"/>
    </row>
    <row r="42464" spans="18:19">
      <c r="R42464" s="178"/>
      <c r="S42464" s="178"/>
    </row>
    <row r="42465" spans="18:19">
      <c r="R42465" s="178"/>
      <c r="S42465" s="178"/>
    </row>
    <row r="42466" spans="18:19">
      <c r="R42466" s="178"/>
      <c r="S42466" s="178"/>
    </row>
    <row r="42467" spans="18:19">
      <c r="R42467" s="178"/>
      <c r="S42467" s="178"/>
    </row>
    <row r="42468" spans="18:19">
      <c r="R42468" s="178"/>
      <c r="S42468" s="178"/>
    </row>
    <row r="42469" spans="18:19">
      <c r="R42469" s="178"/>
      <c r="S42469" s="178"/>
    </row>
    <row r="42470" spans="18:19">
      <c r="R42470" s="178"/>
      <c r="S42470" s="178"/>
    </row>
    <row r="42471" spans="18:19">
      <c r="R42471" s="178"/>
      <c r="S42471" s="178"/>
    </row>
    <row r="42472" spans="18:19">
      <c r="R42472" s="178"/>
      <c r="S42472" s="178"/>
    </row>
    <row r="42473" spans="18:19">
      <c r="R42473" s="178"/>
      <c r="S42473" s="178"/>
    </row>
    <row r="42474" spans="18:19">
      <c r="R42474" s="178"/>
      <c r="S42474" s="178"/>
    </row>
    <row r="42475" spans="18:19">
      <c r="R42475" s="178"/>
      <c r="S42475" s="178"/>
    </row>
    <row r="42476" spans="18:19">
      <c r="R42476" s="178"/>
      <c r="S42476" s="178"/>
    </row>
    <row r="42477" spans="18:19">
      <c r="R42477" s="178"/>
      <c r="S42477" s="178"/>
    </row>
    <row r="42478" spans="18:19">
      <c r="R42478" s="178"/>
      <c r="S42478" s="178"/>
    </row>
    <row r="42479" spans="18:19">
      <c r="R42479" s="178"/>
      <c r="S42479" s="178"/>
    </row>
    <row r="42480" spans="18:19">
      <c r="R42480" s="178"/>
      <c r="S42480" s="178"/>
    </row>
    <row r="42481" spans="18:19">
      <c r="R42481" s="178"/>
      <c r="S42481" s="178"/>
    </row>
    <row r="42482" spans="18:19">
      <c r="R42482" s="178"/>
      <c r="S42482" s="178"/>
    </row>
    <row r="42483" spans="18:19">
      <c r="R42483" s="178"/>
      <c r="S42483" s="178"/>
    </row>
    <row r="42484" spans="18:19">
      <c r="R42484" s="178"/>
      <c r="S42484" s="178"/>
    </row>
    <row r="42485" spans="18:19">
      <c r="R42485" s="178"/>
      <c r="S42485" s="178"/>
    </row>
    <row r="42486" spans="18:19">
      <c r="R42486" s="178"/>
      <c r="S42486" s="178"/>
    </row>
    <row r="42487" spans="18:19">
      <c r="R42487" s="178"/>
      <c r="S42487" s="178"/>
    </row>
    <row r="42488" spans="18:19">
      <c r="R42488" s="178"/>
      <c r="S42488" s="178"/>
    </row>
    <row r="42489" spans="18:19">
      <c r="R42489" s="178"/>
      <c r="S42489" s="178"/>
    </row>
    <row r="42490" spans="18:19">
      <c r="R42490" s="178"/>
      <c r="S42490" s="178"/>
    </row>
    <row r="42491" spans="18:19">
      <c r="R42491" s="178"/>
      <c r="S42491" s="178"/>
    </row>
    <row r="42492" spans="18:19">
      <c r="R42492" s="178"/>
      <c r="S42492" s="178"/>
    </row>
    <row r="42493" spans="18:19">
      <c r="R42493" s="178"/>
      <c r="S42493" s="178"/>
    </row>
    <row r="42494" spans="18:19">
      <c r="R42494" s="178"/>
      <c r="S42494" s="178"/>
    </row>
    <row r="42495" spans="18:19">
      <c r="R42495" s="178"/>
      <c r="S42495" s="178"/>
    </row>
    <row r="42496" spans="18:19">
      <c r="R42496" s="178"/>
      <c r="S42496" s="178"/>
    </row>
    <row r="42497" spans="18:19">
      <c r="R42497" s="178"/>
      <c r="S42497" s="178"/>
    </row>
    <row r="42498" spans="18:19">
      <c r="R42498" s="178"/>
      <c r="S42498" s="178"/>
    </row>
    <row r="42499" spans="18:19">
      <c r="R42499" s="178"/>
      <c r="S42499" s="178"/>
    </row>
    <row r="42500" spans="18:19">
      <c r="R42500" s="178"/>
      <c r="S42500" s="178"/>
    </row>
    <row r="42501" spans="18:19">
      <c r="R42501" s="178"/>
      <c r="S42501" s="178"/>
    </row>
    <row r="42502" spans="18:19">
      <c r="R42502" s="178"/>
      <c r="S42502" s="178"/>
    </row>
    <row r="42503" spans="18:19">
      <c r="R42503" s="178"/>
      <c r="S42503" s="178"/>
    </row>
    <row r="42504" spans="18:19">
      <c r="R42504" s="178"/>
      <c r="S42504" s="178"/>
    </row>
    <row r="42505" spans="18:19">
      <c r="R42505" s="178"/>
      <c r="S42505" s="178"/>
    </row>
    <row r="42506" spans="18:19">
      <c r="R42506" s="178"/>
      <c r="S42506" s="178"/>
    </row>
    <row r="42507" spans="18:19">
      <c r="R42507" s="178"/>
      <c r="S42507" s="178"/>
    </row>
    <row r="42508" spans="18:19">
      <c r="R42508" s="178"/>
      <c r="S42508" s="178"/>
    </row>
    <row r="42509" spans="18:19">
      <c r="R42509" s="178"/>
      <c r="S42509" s="178"/>
    </row>
    <row r="42510" spans="18:19">
      <c r="R42510" s="178"/>
      <c r="S42510" s="178"/>
    </row>
    <row r="42511" spans="18:19">
      <c r="R42511" s="178"/>
      <c r="S42511" s="178"/>
    </row>
    <row r="42512" spans="18:19">
      <c r="R42512" s="178"/>
      <c r="S42512" s="178"/>
    </row>
    <row r="42513" spans="18:19">
      <c r="R42513" s="178"/>
      <c r="S42513" s="178"/>
    </row>
    <row r="42514" spans="18:19">
      <c r="R42514" s="178"/>
      <c r="S42514" s="178"/>
    </row>
    <row r="42515" spans="18:19">
      <c r="R42515" s="178"/>
      <c r="S42515" s="178"/>
    </row>
    <row r="42516" spans="18:19">
      <c r="R42516" s="178"/>
      <c r="S42516" s="178"/>
    </row>
    <row r="42517" spans="18:19">
      <c r="R42517" s="178"/>
      <c r="S42517" s="178"/>
    </row>
    <row r="42518" spans="18:19">
      <c r="R42518" s="178"/>
      <c r="S42518" s="178"/>
    </row>
    <row r="42519" spans="18:19">
      <c r="R42519" s="178"/>
      <c r="S42519" s="178"/>
    </row>
    <row r="42520" spans="18:19">
      <c r="R42520" s="178"/>
      <c r="S42520" s="178"/>
    </row>
    <row r="42521" spans="18:19">
      <c r="R42521" s="178"/>
      <c r="S42521" s="178"/>
    </row>
    <row r="42522" spans="18:19">
      <c r="R42522" s="178"/>
      <c r="S42522" s="178"/>
    </row>
    <row r="42523" spans="18:19">
      <c r="R42523" s="178"/>
      <c r="S42523" s="178"/>
    </row>
    <row r="42524" spans="18:19">
      <c r="R42524" s="178"/>
      <c r="S42524" s="178"/>
    </row>
    <row r="42525" spans="18:19">
      <c r="R42525" s="178"/>
      <c r="S42525" s="178"/>
    </row>
    <row r="42526" spans="18:19">
      <c r="R42526" s="178"/>
      <c r="S42526" s="178"/>
    </row>
    <row r="42527" spans="18:19">
      <c r="R42527" s="178"/>
      <c r="S42527" s="178"/>
    </row>
    <row r="42528" spans="18:19">
      <c r="R42528" s="178"/>
      <c r="S42528" s="178"/>
    </row>
    <row r="42529" spans="18:19">
      <c r="R42529" s="178"/>
      <c r="S42529" s="178"/>
    </row>
    <row r="42530" spans="18:19">
      <c r="R42530" s="178"/>
      <c r="S42530" s="178"/>
    </row>
    <row r="42531" spans="18:19">
      <c r="R42531" s="178"/>
      <c r="S42531" s="178"/>
    </row>
    <row r="42532" spans="18:19">
      <c r="R42532" s="178"/>
      <c r="S42532" s="178"/>
    </row>
    <row r="42533" spans="18:19">
      <c r="R42533" s="178"/>
      <c r="S42533" s="178"/>
    </row>
    <row r="42534" spans="18:19">
      <c r="R42534" s="178"/>
      <c r="S42534" s="178"/>
    </row>
    <row r="42535" spans="18:19">
      <c r="R42535" s="178"/>
      <c r="S42535" s="178"/>
    </row>
    <row r="42536" spans="18:19">
      <c r="R42536" s="178"/>
      <c r="S42536" s="178"/>
    </row>
    <row r="42537" spans="18:19">
      <c r="R42537" s="178"/>
      <c r="S42537" s="178"/>
    </row>
    <row r="42538" spans="18:19">
      <c r="R42538" s="178"/>
      <c r="S42538" s="178"/>
    </row>
    <row r="42539" spans="18:19">
      <c r="R42539" s="178"/>
      <c r="S42539" s="178"/>
    </row>
    <row r="42540" spans="18:19">
      <c r="R42540" s="178"/>
      <c r="S42540" s="178"/>
    </row>
    <row r="42541" spans="18:19">
      <c r="R42541" s="178"/>
      <c r="S42541" s="178"/>
    </row>
    <row r="42542" spans="18:19">
      <c r="R42542" s="178"/>
      <c r="S42542" s="178"/>
    </row>
    <row r="42543" spans="18:19">
      <c r="R42543" s="178"/>
      <c r="S42543" s="178"/>
    </row>
    <row r="42544" spans="18:19">
      <c r="R42544" s="178"/>
      <c r="S42544" s="178"/>
    </row>
    <row r="42545" spans="18:19">
      <c r="R42545" s="178"/>
      <c r="S42545" s="178"/>
    </row>
    <row r="42546" spans="18:19">
      <c r="R42546" s="178"/>
      <c r="S42546" s="178"/>
    </row>
    <row r="42547" spans="18:19">
      <c r="R42547" s="178"/>
      <c r="S42547" s="178"/>
    </row>
    <row r="42548" spans="18:19">
      <c r="R42548" s="178"/>
      <c r="S42548" s="178"/>
    </row>
    <row r="42549" spans="18:19">
      <c r="R42549" s="178"/>
      <c r="S42549" s="178"/>
    </row>
    <row r="42550" spans="18:19">
      <c r="R42550" s="178"/>
      <c r="S42550" s="178"/>
    </row>
    <row r="42551" spans="18:19">
      <c r="R42551" s="178"/>
      <c r="S42551" s="178"/>
    </row>
    <row r="42552" spans="18:19">
      <c r="R42552" s="178"/>
      <c r="S42552" s="178"/>
    </row>
    <row r="42553" spans="18:19">
      <c r="R42553" s="178"/>
      <c r="S42553" s="178"/>
    </row>
    <row r="42554" spans="18:19">
      <c r="R42554" s="178"/>
      <c r="S42554" s="178"/>
    </row>
    <row r="42555" spans="18:19">
      <c r="R42555" s="178"/>
      <c r="S42555" s="178"/>
    </row>
    <row r="42556" spans="18:19">
      <c r="R42556" s="178"/>
      <c r="S42556" s="178"/>
    </row>
    <row r="42557" spans="18:19">
      <c r="R42557" s="178"/>
      <c r="S42557" s="178"/>
    </row>
    <row r="42558" spans="18:19">
      <c r="R42558" s="178"/>
      <c r="S42558" s="178"/>
    </row>
    <row r="42559" spans="18:19">
      <c r="R42559" s="178"/>
      <c r="S42559" s="178"/>
    </row>
    <row r="42560" spans="18:19">
      <c r="R42560" s="178"/>
      <c r="S42560" s="178"/>
    </row>
    <row r="42561" spans="18:19">
      <c r="R42561" s="178"/>
      <c r="S42561" s="178"/>
    </row>
    <row r="42562" spans="18:19">
      <c r="R42562" s="178"/>
      <c r="S42562" s="178"/>
    </row>
    <row r="42563" spans="18:19">
      <c r="R42563" s="178"/>
      <c r="S42563" s="178"/>
    </row>
    <row r="42564" spans="18:19">
      <c r="R42564" s="178"/>
      <c r="S42564" s="178"/>
    </row>
    <row r="42565" spans="18:19">
      <c r="R42565" s="178"/>
      <c r="S42565" s="178"/>
    </row>
    <row r="42566" spans="18:19">
      <c r="R42566" s="178"/>
      <c r="S42566" s="178"/>
    </row>
    <row r="42567" spans="18:19">
      <c r="R42567" s="178"/>
      <c r="S42567" s="178"/>
    </row>
    <row r="42568" spans="18:19">
      <c r="R42568" s="178"/>
      <c r="S42568" s="178"/>
    </row>
    <row r="42569" spans="18:19">
      <c r="R42569" s="178"/>
      <c r="S42569" s="178"/>
    </row>
    <row r="42570" spans="18:19">
      <c r="R42570" s="178"/>
      <c r="S42570" s="178"/>
    </row>
    <row r="42571" spans="18:19">
      <c r="R42571" s="178"/>
      <c r="S42571" s="178"/>
    </row>
    <row r="42572" spans="18:19">
      <c r="R42572" s="178"/>
      <c r="S42572" s="178"/>
    </row>
    <row r="42573" spans="18:19">
      <c r="R42573" s="178"/>
      <c r="S42573" s="178"/>
    </row>
    <row r="42574" spans="18:19">
      <c r="R42574" s="178"/>
      <c r="S42574" s="178"/>
    </row>
    <row r="42575" spans="18:19">
      <c r="R42575" s="178"/>
      <c r="S42575" s="178"/>
    </row>
    <row r="42576" spans="18:19">
      <c r="R42576" s="178"/>
      <c r="S42576" s="178"/>
    </row>
    <row r="42577" spans="18:19">
      <c r="R42577" s="178"/>
      <c r="S42577" s="178"/>
    </row>
    <row r="42578" spans="18:19">
      <c r="R42578" s="178"/>
      <c r="S42578" s="178"/>
    </row>
    <row r="42579" spans="18:19">
      <c r="R42579" s="178"/>
      <c r="S42579" s="178"/>
    </row>
    <row r="42580" spans="18:19">
      <c r="R42580" s="178"/>
      <c r="S42580" s="178"/>
    </row>
    <row r="42581" spans="18:19">
      <c r="R42581" s="178"/>
      <c r="S42581" s="178"/>
    </row>
    <row r="42582" spans="18:19">
      <c r="R42582" s="178"/>
      <c r="S42582" s="178"/>
    </row>
    <row r="42583" spans="18:19">
      <c r="R42583" s="178"/>
      <c r="S42583" s="178"/>
    </row>
    <row r="42584" spans="18:19">
      <c r="R42584" s="178"/>
      <c r="S42584" s="178"/>
    </row>
    <row r="42585" spans="18:19">
      <c r="R42585" s="178"/>
      <c r="S42585" s="178"/>
    </row>
    <row r="42586" spans="18:19">
      <c r="R42586" s="178"/>
      <c r="S42586" s="178"/>
    </row>
    <row r="42587" spans="18:19">
      <c r="R42587" s="178"/>
      <c r="S42587" s="178"/>
    </row>
    <row r="42588" spans="18:19">
      <c r="R42588" s="178"/>
      <c r="S42588" s="178"/>
    </row>
    <row r="42589" spans="18:19">
      <c r="R42589" s="178"/>
      <c r="S42589" s="178"/>
    </row>
    <row r="42590" spans="18:19">
      <c r="R42590" s="178"/>
      <c r="S42590" s="178"/>
    </row>
    <row r="42591" spans="18:19">
      <c r="R42591" s="178"/>
      <c r="S42591" s="178"/>
    </row>
    <row r="42592" spans="18:19">
      <c r="R42592" s="178"/>
      <c r="S42592" s="178"/>
    </row>
    <row r="42593" spans="18:19">
      <c r="R42593" s="178"/>
      <c r="S42593" s="178"/>
    </row>
    <row r="42594" spans="18:19">
      <c r="R42594" s="178"/>
      <c r="S42594" s="178"/>
    </row>
    <row r="42595" spans="18:19">
      <c r="R42595" s="178"/>
      <c r="S42595" s="178"/>
    </row>
    <row r="42596" spans="18:19">
      <c r="R42596" s="178"/>
      <c r="S42596" s="178"/>
    </row>
    <row r="42597" spans="18:19">
      <c r="R42597" s="178"/>
      <c r="S42597" s="178"/>
    </row>
    <row r="42598" spans="18:19">
      <c r="R42598" s="178"/>
      <c r="S42598" s="178"/>
    </row>
    <row r="42599" spans="18:19">
      <c r="R42599" s="178"/>
      <c r="S42599" s="178"/>
    </row>
    <row r="42600" spans="18:19">
      <c r="R42600" s="178"/>
      <c r="S42600" s="178"/>
    </row>
    <row r="42601" spans="18:19">
      <c r="R42601" s="178"/>
      <c r="S42601" s="178"/>
    </row>
    <row r="42602" spans="18:19">
      <c r="R42602" s="178"/>
      <c r="S42602" s="178"/>
    </row>
    <row r="42603" spans="18:19">
      <c r="R42603" s="178"/>
      <c r="S42603" s="178"/>
    </row>
    <row r="42604" spans="18:19">
      <c r="R42604" s="178"/>
      <c r="S42604" s="178"/>
    </row>
    <row r="42605" spans="18:19">
      <c r="R42605" s="178"/>
      <c r="S42605" s="178"/>
    </row>
    <row r="42606" spans="18:19">
      <c r="R42606" s="178"/>
      <c r="S42606" s="178"/>
    </row>
    <row r="42607" spans="18:19">
      <c r="R42607" s="178"/>
      <c r="S42607" s="178"/>
    </row>
    <row r="42608" spans="18:19">
      <c r="R42608" s="178"/>
      <c r="S42608" s="178"/>
    </row>
    <row r="42609" spans="18:19">
      <c r="R42609" s="178"/>
      <c r="S42609" s="178"/>
    </row>
    <row r="42610" spans="18:19">
      <c r="R42610" s="178"/>
      <c r="S42610" s="178"/>
    </row>
    <row r="42611" spans="18:19">
      <c r="R42611" s="178"/>
      <c r="S42611" s="178"/>
    </row>
    <row r="42612" spans="18:19">
      <c r="R42612" s="178"/>
      <c r="S42612" s="178"/>
    </row>
    <row r="42613" spans="18:19">
      <c r="R42613" s="178"/>
      <c r="S42613" s="178"/>
    </row>
    <row r="42614" spans="18:19">
      <c r="R42614" s="178"/>
      <c r="S42614" s="178"/>
    </row>
    <row r="42615" spans="18:19">
      <c r="R42615" s="178"/>
      <c r="S42615" s="178"/>
    </row>
    <row r="42616" spans="18:19">
      <c r="R42616" s="178"/>
      <c r="S42616" s="178"/>
    </row>
    <row r="42617" spans="18:19">
      <c r="R42617" s="178"/>
      <c r="S42617" s="178"/>
    </row>
    <row r="42618" spans="18:19">
      <c r="R42618" s="178"/>
      <c r="S42618" s="178"/>
    </row>
    <row r="42619" spans="18:19">
      <c r="R42619" s="178"/>
      <c r="S42619" s="178"/>
    </row>
    <row r="42620" spans="18:19">
      <c r="R42620" s="178"/>
      <c r="S42620" s="178"/>
    </row>
    <row r="42621" spans="18:19">
      <c r="R42621" s="178"/>
      <c r="S42621" s="178"/>
    </row>
    <row r="42622" spans="18:19">
      <c r="R42622" s="178"/>
      <c r="S42622" s="178"/>
    </row>
    <row r="42623" spans="18:19">
      <c r="R42623" s="178"/>
      <c r="S42623" s="178"/>
    </row>
    <row r="42624" spans="18:19">
      <c r="R42624" s="178"/>
      <c r="S42624" s="178"/>
    </row>
    <row r="42625" spans="18:19">
      <c r="R42625" s="178"/>
      <c r="S42625" s="178"/>
    </row>
    <row r="42626" spans="18:19">
      <c r="R42626" s="178"/>
      <c r="S42626" s="178"/>
    </row>
    <row r="42627" spans="18:19">
      <c r="R42627" s="178"/>
      <c r="S42627" s="178"/>
    </row>
    <row r="42628" spans="18:19">
      <c r="R42628" s="178"/>
      <c r="S42628" s="178"/>
    </row>
    <row r="42629" spans="18:19">
      <c r="R42629" s="178"/>
      <c r="S42629" s="178"/>
    </row>
    <row r="42630" spans="18:19">
      <c r="R42630" s="178"/>
      <c r="S42630" s="178"/>
    </row>
    <row r="42631" spans="18:19">
      <c r="R42631" s="178"/>
      <c r="S42631" s="178"/>
    </row>
    <row r="42632" spans="18:19">
      <c r="R42632" s="178"/>
      <c r="S42632" s="178"/>
    </row>
    <row r="42633" spans="18:19">
      <c r="R42633" s="178"/>
      <c r="S42633" s="178"/>
    </row>
    <row r="42634" spans="18:19">
      <c r="R42634" s="178"/>
      <c r="S42634" s="178"/>
    </row>
    <row r="42635" spans="18:19">
      <c r="R42635" s="178"/>
      <c r="S42635" s="178"/>
    </row>
    <row r="42636" spans="18:19">
      <c r="R42636" s="178"/>
      <c r="S42636" s="178"/>
    </row>
    <row r="42637" spans="18:19">
      <c r="R42637" s="178"/>
      <c r="S42637" s="178"/>
    </row>
    <row r="42638" spans="18:19">
      <c r="R42638" s="178"/>
      <c r="S42638" s="178"/>
    </row>
    <row r="42639" spans="18:19">
      <c r="R42639" s="178"/>
      <c r="S42639" s="178"/>
    </row>
    <row r="42640" spans="18:19">
      <c r="R42640" s="178"/>
      <c r="S42640" s="178"/>
    </row>
    <row r="42641" spans="18:19">
      <c r="R42641" s="178"/>
      <c r="S42641" s="178"/>
    </row>
    <row r="42642" spans="18:19">
      <c r="R42642" s="178"/>
      <c r="S42642" s="178"/>
    </row>
    <row r="42643" spans="18:19">
      <c r="R42643" s="178"/>
      <c r="S42643" s="178"/>
    </row>
    <row r="42644" spans="18:19">
      <c r="R42644" s="178"/>
      <c r="S42644" s="178"/>
    </row>
    <row r="42645" spans="18:19">
      <c r="R42645" s="178"/>
      <c r="S42645" s="178"/>
    </row>
    <row r="42646" spans="18:19">
      <c r="R42646" s="178"/>
      <c r="S42646" s="178"/>
    </row>
    <row r="42647" spans="18:19">
      <c r="R42647" s="178"/>
      <c r="S42647" s="178"/>
    </row>
    <row r="42648" spans="18:19">
      <c r="R42648" s="178"/>
      <c r="S42648" s="178"/>
    </row>
    <row r="42649" spans="18:19">
      <c r="R42649" s="178"/>
      <c r="S42649" s="178"/>
    </row>
    <row r="42650" spans="18:19">
      <c r="R42650" s="178"/>
      <c r="S42650" s="178"/>
    </row>
    <row r="42651" spans="18:19">
      <c r="R42651" s="178"/>
      <c r="S42651" s="178"/>
    </row>
    <row r="42652" spans="18:19">
      <c r="R42652" s="178"/>
      <c r="S42652" s="178"/>
    </row>
    <row r="42653" spans="18:19">
      <c r="R42653" s="178"/>
      <c r="S42653" s="178"/>
    </row>
    <row r="42654" spans="18:19">
      <c r="R42654" s="178"/>
      <c r="S42654" s="178"/>
    </row>
    <row r="42655" spans="18:19">
      <c r="R42655" s="178"/>
      <c r="S42655" s="178"/>
    </row>
    <row r="42656" spans="18:19">
      <c r="R42656" s="178"/>
      <c r="S42656" s="178"/>
    </row>
    <row r="42657" spans="18:19">
      <c r="R42657" s="178"/>
      <c r="S42657" s="178"/>
    </row>
    <row r="42658" spans="18:19">
      <c r="R42658" s="178"/>
      <c r="S42658" s="178"/>
    </row>
    <row r="42659" spans="18:19">
      <c r="R42659" s="178"/>
      <c r="S42659" s="178"/>
    </row>
    <row r="42660" spans="18:19">
      <c r="R42660" s="178"/>
      <c r="S42660" s="178"/>
    </row>
    <row r="42661" spans="18:19">
      <c r="R42661" s="178"/>
      <c r="S42661" s="178"/>
    </row>
    <row r="42662" spans="18:19">
      <c r="R42662" s="178"/>
      <c r="S42662" s="178"/>
    </row>
    <row r="42663" spans="18:19">
      <c r="R42663" s="178"/>
      <c r="S42663" s="178"/>
    </row>
    <row r="42664" spans="18:19">
      <c r="R42664" s="178"/>
      <c r="S42664" s="178"/>
    </row>
    <row r="42665" spans="18:19">
      <c r="R42665" s="178"/>
      <c r="S42665" s="178"/>
    </row>
    <row r="42666" spans="18:19">
      <c r="R42666" s="178"/>
      <c r="S42666" s="178"/>
    </row>
    <row r="42667" spans="18:19">
      <c r="R42667" s="178"/>
      <c r="S42667" s="178"/>
    </row>
    <row r="42668" spans="18:19">
      <c r="R42668" s="178"/>
      <c r="S42668" s="178"/>
    </row>
    <row r="42669" spans="18:19">
      <c r="R42669" s="178"/>
      <c r="S42669" s="178"/>
    </row>
    <row r="42670" spans="18:19">
      <c r="R42670" s="178"/>
      <c r="S42670" s="178"/>
    </row>
    <row r="42671" spans="18:19">
      <c r="R42671" s="178"/>
      <c r="S42671" s="178"/>
    </row>
    <row r="42672" spans="18:19">
      <c r="R42672" s="178"/>
      <c r="S42672" s="178"/>
    </row>
    <row r="42673" spans="18:19">
      <c r="R42673" s="178"/>
      <c r="S42673" s="178"/>
    </row>
    <row r="42674" spans="18:19">
      <c r="R42674" s="178"/>
      <c r="S42674" s="178"/>
    </row>
    <row r="42675" spans="18:19">
      <c r="R42675" s="178"/>
      <c r="S42675" s="178"/>
    </row>
    <row r="42676" spans="18:19">
      <c r="R42676" s="178"/>
      <c r="S42676" s="178"/>
    </row>
    <row r="42677" spans="18:19">
      <c r="R42677" s="178"/>
      <c r="S42677" s="178"/>
    </row>
    <row r="42678" spans="18:19">
      <c r="R42678" s="178"/>
      <c r="S42678" s="178"/>
    </row>
    <row r="42679" spans="18:19">
      <c r="R42679" s="178"/>
      <c r="S42679" s="178"/>
    </row>
    <row r="42680" spans="18:19">
      <c r="R42680" s="178"/>
      <c r="S42680" s="178"/>
    </row>
    <row r="42681" spans="18:19">
      <c r="R42681" s="178"/>
      <c r="S42681" s="178"/>
    </row>
    <row r="42682" spans="18:19">
      <c r="R42682" s="178"/>
      <c r="S42682" s="178"/>
    </row>
    <row r="42683" spans="18:19">
      <c r="R42683" s="178"/>
      <c r="S42683" s="178"/>
    </row>
    <row r="42684" spans="18:19">
      <c r="R42684" s="178"/>
      <c r="S42684" s="178"/>
    </row>
    <row r="42685" spans="18:19">
      <c r="R42685" s="178"/>
      <c r="S42685" s="178"/>
    </row>
    <row r="42686" spans="18:19">
      <c r="R42686" s="178"/>
      <c r="S42686" s="178"/>
    </row>
    <row r="42687" spans="18:19">
      <c r="R42687" s="178"/>
      <c r="S42687" s="178"/>
    </row>
    <row r="42688" spans="18:19">
      <c r="R42688" s="178"/>
      <c r="S42688" s="178"/>
    </row>
    <row r="42689" spans="18:19">
      <c r="R42689" s="178"/>
      <c r="S42689" s="178"/>
    </row>
    <row r="42690" spans="18:19">
      <c r="R42690" s="178"/>
      <c r="S42690" s="178"/>
    </row>
    <row r="42691" spans="18:19">
      <c r="R42691" s="178"/>
      <c r="S42691" s="178"/>
    </row>
    <row r="42692" spans="18:19">
      <c r="R42692" s="178"/>
      <c r="S42692" s="178"/>
    </row>
    <row r="42693" spans="18:19">
      <c r="R42693" s="178"/>
      <c r="S42693" s="178"/>
    </row>
    <row r="42694" spans="18:19">
      <c r="R42694" s="178"/>
      <c r="S42694" s="178"/>
    </row>
    <row r="42695" spans="18:19">
      <c r="R42695" s="178"/>
      <c r="S42695" s="178"/>
    </row>
    <row r="42696" spans="18:19">
      <c r="R42696" s="178"/>
      <c r="S42696" s="178"/>
    </row>
    <row r="42697" spans="18:19">
      <c r="R42697" s="178"/>
      <c r="S42697" s="178"/>
    </row>
    <row r="42698" spans="18:19">
      <c r="R42698" s="178"/>
      <c r="S42698" s="178"/>
    </row>
    <row r="42699" spans="18:19">
      <c r="R42699" s="178"/>
      <c r="S42699" s="178"/>
    </row>
    <row r="42700" spans="18:19">
      <c r="R42700" s="178"/>
      <c r="S42700" s="178"/>
    </row>
    <row r="42701" spans="18:19">
      <c r="R42701" s="178"/>
      <c r="S42701" s="178"/>
    </row>
    <row r="42702" spans="18:19">
      <c r="R42702" s="178"/>
      <c r="S42702" s="178"/>
    </row>
    <row r="42703" spans="18:19">
      <c r="R42703" s="178"/>
      <c r="S42703" s="178"/>
    </row>
    <row r="42704" spans="18:19">
      <c r="R42704" s="178"/>
      <c r="S42704" s="178"/>
    </row>
    <row r="42705" spans="18:19">
      <c r="R42705" s="178"/>
      <c r="S42705" s="178"/>
    </row>
    <row r="42706" spans="18:19">
      <c r="R42706" s="178"/>
      <c r="S42706" s="178"/>
    </row>
    <row r="42707" spans="18:19">
      <c r="R42707" s="178"/>
      <c r="S42707" s="178"/>
    </row>
    <row r="42708" spans="18:19">
      <c r="R42708" s="178"/>
      <c r="S42708" s="178"/>
    </row>
    <row r="42709" spans="18:19">
      <c r="R42709" s="178"/>
      <c r="S42709" s="178"/>
    </row>
    <row r="42710" spans="18:19">
      <c r="R42710" s="178"/>
      <c r="S42710" s="178"/>
    </row>
    <row r="42711" spans="18:19">
      <c r="R42711" s="178"/>
      <c r="S42711" s="178"/>
    </row>
    <row r="42712" spans="18:19">
      <c r="R42712" s="178"/>
      <c r="S42712" s="178"/>
    </row>
    <row r="42713" spans="18:19">
      <c r="R42713" s="178"/>
      <c r="S42713" s="178"/>
    </row>
    <row r="42714" spans="18:19">
      <c r="R42714" s="178"/>
      <c r="S42714" s="178"/>
    </row>
    <row r="42715" spans="18:19">
      <c r="R42715" s="178"/>
      <c r="S42715" s="178"/>
    </row>
    <row r="42716" spans="18:19">
      <c r="R42716" s="178"/>
      <c r="S42716" s="178"/>
    </row>
    <row r="42717" spans="18:19">
      <c r="R42717" s="178"/>
      <c r="S42717" s="178"/>
    </row>
    <row r="42718" spans="18:19">
      <c r="R42718" s="178"/>
      <c r="S42718" s="178"/>
    </row>
    <row r="42719" spans="18:19">
      <c r="R42719" s="178"/>
      <c r="S42719" s="178"/>
    </row>
    <row r="42720" spans="18:19">
      <c r="R42720" s="178"/>
      <c r="S42720" s="178"/>
    </row>
    <row r="42721" spans="18:19">
      <c r="R42721" s="178"/>
      <c r="S42721" s="178"/>
    </row>
    <row r="42722" spans="18:19">
      <c r="R42722" s="178"/>
      <c r="S42722" s="178"/>
    </row>
    <row r="42723" spans="18:19">
      <c r="R42723" s="178"/>
      <c r="S42723" s="178"/>
    </row>
    <row r="42724" spans="18:19">
      <c r="R42724" s="178"/>
      <c r="S42724" s="178"/>
    </row>
    <row r="42725" spans="18:19">
      <c r="R42725" s="178"/>
      <c r="S42725" s="178"/>
    </row>
    <row r="42726" spans="18:19">
      <c r="R42726" s="178"/>
      <c r="S42726" s="178"/>
    </row>
    <row r="42727" spans="18:19">
      <c r="R42727" s="178"/>
      <c r="S42727" s="178"/>
    </row>
    <row r="42728" spans="18:19">
      <c r="R42728" s="178"/>
      <c r="S42728" s="178"/>
    </row>
    <row r="42729" spans="18:19">
      <c r="R42729" s="178"/>
      <c r="S42729" s="178"/>
    </row>
    <row r="42730" spans="18:19">
      <c r="R42730" s="178"/>
      <c r="S42730" s="178"/>
    </row>
    <row r="42731" spans="18:19">
      <c r="R42731" s="178"/>
      <c r="S42731" s="178"/>
    </row>
    <row r="42732" spans="18:19">
      <c r="R42732" s="178"/>
      <c r="S42732" s="178"/>
    </row>
    <row r="42733" spans="18:19">
      <c r="R42733" s="178"/>
      <c r="S42733" s="178"/>
    </row>
    <row r="42734" spans="18:19">
      <c r="R42734" s="178"/>
      <c r="S42734" s="178"/>
    </row>
    <row r="42735" spans="18:19">
      <c r="R42735" s="178"/>
      <c r="S42735" s="178"/>
    </row>
    <row r="42736" spans="18:19">
      <c r="R42736" s="178"/>
      <c r="S42736" s="178"/>
    </row>
    <row r="42737" spans="18:19">
      <c r="R42737" s="178"/>
      <c r="S42737" s="178"/>
    </row>
    <row r="42738" spans="18:19">
      <c r="R42738" s="178"/>
      <c r="S42738" s="178"/>
    </row>
    <row r="42739" spans="18:19">
      <c r="R42739" s="178"/>
      <c r="S42739" s="178"/>
    </row>
    <row r="42740" spans="18:19">
      <c r="R42740" s="178"/>
      <c r="S42740" s="178"/>
    </row>
    <row r="42741" spans="18:19">
      <c r="R42741" s="178"/>
      <c r="S42741" s="178"/>
    </row>
    <row r="42742" spans="18:19">
      <c r="R42742" s="178"/>
      <c r="S42742" s="178"/>
    </row>
    <row r="42743" spans="18:19">
      <c r="R42743" s="178"/>
      <c r="S42743" s="178"/>
    </row>
    <row r="42744" spans="18:19">
      <c r="R42744" s="178"/>
      <c r="S42744" s="178"/>
    </row>
    <row r="42745" spans="18:19">
      <c r="R42745" s="178"/>
      <c r="S42745" s="178"/>
    </row>
    <row r="42746" spans="18:19">
      <c r="R42746" s="178"/>
      <c r="S42746" s="178"/>
    </row>
    <row r="42747" spans="18:19">
      <c r="R42747" s="178"/>
      <c r="S42747" s="178"/>
    </row>
    <row r="42748" spans="18:19">
      <c r="R42748" s="178"/>
      <c r="S42748" s="178"/>
    </row>
    <row r="42749" spans="18:19">
      <c r="R42749" s="178"/>
      <c r="S42749" s="178"/>
    </row>
    <row r="42750" spans="18:19">
      <c r="R42750" s="178"/>
      <c r="S42750" s="178"/>
    </row>
    <row r="42751" spans="18:19">
      <c r="R42751" s="178"/>
      <c r="S42751" s="178"/>
    </row>
    <row r="42752" spans="18:19">
      <c r="R42752" s="178"/>
      <c r="S42752" s="178"/>
    </row>
    <row r="42753" spans="18:19">
      <c r="R42753" s="178"/>
      <c r="S42753" s="178"/>
    </row>
    <row r="42754" spans="18:19">
      <c r="R42754" s="178"/>
      <c r="S42754" s="178"/>
    </row>
    <row r="42755" spans="18:19">
      <c r="R42755" s="178"/>
      <c r="S42755" s="178"/>
    </row>
    <row r="42756" spans="18:19">
      <c r="R42756" s="178"/>
      <c r="S42756" s="178"/>
    </row>
    <row r="42757" spans="18:19">
      <c r="R42757" s="178"/>
      <c r="S42757" s="178"/>
    </row>
    <row r="42758" spans="18:19">
      <c r="R42758" s="178"/>
      <c r="S42758" s="178"/>
    </row>
    <row r="42759" spans="18:19">
      <c r="R42759" s="178"/>
      <c r="S42759" s="178"/>
    </row>
    <row r="42760" spans="18:19">
      <c r="R42760" s="178"/>
      <c r="S42760" s="178"/>
    </row>
    <row r="42761" spans="18:19">
      <c r="R42761" s="178"/>
      <c r="S42761" s="178"/>
    </row>
    <row r="42762" spans="18:19">
      <c r="R42762" s="178"/>
      <c r="S42762" s="178"/>
    </row>
    <row r="42763" spans="18:19">
      <c r="R42763" s="178"/>
      <c r="S42763" s="178"/>
    </row>
    <row r="42764" spans="18:19">
      <c r="R42764" s="178"/>
      <c r="S42764" s="178"/>
    </row>
    <row r="42765" spans="18:19">
      <c r="R42765" s="178"/>
      <c r="S42765" s="178"/>
    </row>
    <row r="42766" spans="18:19">
      <c r="R42766" s="178"/>
      <c r="S42766" s="178"/>
    </row>
    <row r="42767" spans="18:19">
      <c r="R42767" s="178"/>
      <c r="S42767" s="178"/>
    </row>
    <row r="42768" spans="18:19">
      <c r="R42768" s="178"/>
      <c r="S42768" s="178"/>
    </row>
    <row r="42769" spans="18:19">
      <c r="R42769" s="178"/>
      <c r="S42769" s="178"/>
    </row>
    <row r="42770" spans="18:19">
      <c r="R42770" s="178"/>
      <c r="S42770" s="178"/>
    </row>
    <row r="42771" spans="18:19">
      <c r="R42771" s="178"/>
      <c r="S42771" s="178"/>
    </row>
    <row r="42772" spans="18:19">
      <c r="R42772" s="178"/>
      <c r="S42772" s="178"/>
    </row>
    <row r="42773" spans="18:19">
      <c r="R42773" s="178"/>
      <c r="S42773" s="178"/>
    </row>
    <row r="42774" spans="18:19">
      <c r="R42774" s="178"/>
      <c r="S42774" s="178"/>
    </row>
    <row r="42775" spans="18:19">
      <c r="R42775" s="178"/>
      <c r="S42775" s="178"/>
    </row>
    <row r="42776" spans="18:19">
      <c r="R42776" s="178"/>
      <c r="S42776" s="178"/>
    </row>
    <row r="42777" spans="18:19">
      <c r="R42777" s="178"/>
      <c r="S42777" s="178"/>
    </row>
    <row r="42778" spans="18:19">
      <c r="R42778" s="178"/>
      <c r="S42778" s="178"/>
    </row>
    <row r="42779" spans="18:19">
      <c r="R42779" s="178"/>
      <c r="S42779" s="178"/>
    </row>
    <row r="42780" spans="18:19">
      <c r="R42780" s="178"/>
      <c r="S42780" s="178"/>
    </row>
    <row r="42781" spans="18:19">
      <c r="R42781" s="178"/>
      <c r="S42781" s="178"/>
    </row>
    <row r="42782" spans="18:19">
      <c r="R42782" s="178"/>
      <c r="S42782" s="178"/>
    </row>
    <row r="42783" spans="18:19">
      <c r="R42783" s="178"/>
      <c r="S42783" s="178"/>
    </row>
    <row r="42784" spans="18:19">
      <c r="R42784" s="178"/>
      <c r="S42784" s="178"/>
    </row>
    <row r="42785" spans="18:19">
      <c r="R42785" s="178"/>
      <c r="S42785" s="178"/>
    </row>
    <row r="42786" spans="18:19">
      <c r="R42786" s="178"/>
      <c r="S42786" s="178"/>
    </row>
    <row r="42787" spans="18:19">
      <c r="R42787" s="178"/>
      <c r="S42787" s="178"/>
    </row>
    <row r="42788" spans="18:19">
      <c r="R42788" s="178"/>
      <c r="S42788" s="178"/>
    </row>
    <row r="42789" spans="18:19">
      <c r="R42789" s="178"/>
      <c r="S42789" s="178"/>
    </row>
    <row r="42790" spans="18:19">
      <c r="R42790" s="178"/>
      <c r="S42790" s="178"/>
    </row>
    <row r="42791" spans="18:19">
      <c r="R42791" s="178"/>
      <c r="S42791" s="178"/>
    </row>
    <row r="42792" spans="18:19">
      <c r="R42792" s="178"/>
      <c r="S42792" s="178"/>
    </row>
    <row r="42793" spans="18:19">
      <c r="R42793" s="178"/>
      <c r="S42793" s="178"/>
    </row>
    <row r="42794" spans="18:19">
      <c r="R42794" s="178"/>
      <c r="S42794" s="178"/>
    </row>
    <row r="42795" spans="18:19">
      <c r="R42795" s="178"/>
      <c r="S42795" s="178"/>
    </row>
    <row r="42796" spans="18:19">
      <c r="R42796" s="178"/>
      <c r="S42796" s="178"/>
    </row>
    <row r="42797" spans="18:19">
      <c r="R42797" s="178"/>
      <c r="S42797" s="178"/>
    </row>
    <row r="42798" spans="18:19">
      <c r="R42798" s="178"/>
      <c r="S42798" s="178"/>
    </row>
    <row r="42799" spans="18:19">
      <c r="R42799" s="178"/>
      <c r="S42799" s="178"/>
    </row>
    <row r="42800" spans="18:19">
      <c r="R42800" s="178"/>
      <c r="S42800" s="178"/>
    </row>
    <row r="42801" spans="18:19">
      <c r="R42801" s="178"/>
      <c r="S42801" s="178"/>
    </row>
    <row r="42802" spans="18:19">
      <c r="R42802" s="178"/>
      <c r="S42802" s="178"/>
    </row>
    <row r="42803" spans="18:19">
      <c r="R42803" s="178"/>
      <c r="S42803" s="178"/>
    </row>
    <row r="42804" spans="18:19">
      <c r="R42804" s="178"/>
      <c r="S42804" s="178"/>
    </row>
    <row r="42805" spans="18:19">
      <c r="R42805" s="178"/>
      <c r="S42805" s="178"/>
    </row>
    <row r="42806" spans="18:19">
      <c r="R42806" s="178"/>
      <c r="S42806" s="178"/>
    </row>
    <row r="42807" spans="18:19">
      <c r="R42807" s="178"/>
      <c r="S42807" s="178"/>
    </row>
    <row r="42808" spans="18:19">
      <c r="R42808" s="178"/>
      <c r="S42808" s="178"/>
    </row>
    <row r="42809" spans="18:19">
      <c r="R42809" s="178"/>
      <c r="S42809" s="178"/>
    </row>
    <row r="42810" spans="18:19">
      <c r="R42810" s="178"/>
      <c r="S42810" s="178"/>
    </row>
    <row r="42811" spans="18:19">
      <c r="R42811" s="178"/>
      <c r="S42811" s="178"/>
    </row>
    <row r="42812" spans="18:19">
      <c r="R42812" s="178"/>
      <c r="S42812" s="178"/>
    </row>
    <row r="42813" spans="18:19">
      <c r="R42813" s="178"/>
      <c r="S42813" s="178"/>
    </row>
    <row r="42814" spans="18:19">
      <c r="R42814" s="178"/>
      <c r="S42814" s="178"/>
    </row>
    <row r="42815" spans="18:19">
      <c r="R42815" s="178"/>
      <c r="S42815" s="178"/>
    </row>
    <row r="42816" spans="18:19">
      <c r="R42816" s="178"/>
      <c r="S42816" s="178"/>
    </row>
    <row r="42817" spans="18:19">
      <c r="R42817" s="178"/>
      <c r="S42817" s="178"/>
    </row>
    <row r="42818" spans="18:19">
      <c r="R42818" s="178"/>
      <c r="S42818" s="178"/>
    </row>
    <row r="42819" spans="18:19">
      <c r="R42819" s="178"/>
      <c r="S42819" s="178"/>
    </row>
    <row r="42820" spans="18:19">
      <c r="R42820" s="178"/>
      <c r="S42820" s="178"/>
    </row>
    <row r="42821" spans="18:19">
      <c r="R42821" s="178"/>
      <c r="S42821" s="178"/>
    </row>
    <row r="42822" spans="18:19">
      <c r="R42822" s="178"/>
      <c r="S42822" s="178"/>
    </row>
    <row r="42823" spans="18:19">
      <c r="R42823" s="178"/>
      <c r="S42823" s="178"/>
    </row>
    <row r="42824" spans="18:19">
      <c r="R42824" s="178"/>
      <c r="S42824" s="178"/>
    </row>
    <row r="42825" spans="18:19">
      <c r="R42825" s="178"/>
      <c r="S42825" s="178"/>
    </row>
    <row r="42826" spans="18:19">
      <c r="R42826" s="178"/>
      <c r="S42826" s="178"/>
    </row>
    <row r="42827" spans="18:19">
      <c r="R42827" s="178"/>
      <c r="S42827" s="178"/>
    </row>
    <row r="42828" spans="18:19">
      <c r="R42828" s="178"/>
      <c r="S42828" s="178"/>
    </row>
    <row r="42829" spans="18:19">
      <c r="R42829" s="178"/>
      <c r="S42829" s="178"/>
    </row>
    <row r="42830" spans="18:19">
      <c r="R42830" s="178"/>
      <c r="S42830" s="178"/>
    </row>
    <row r="42831" spans="18:19">
      <c r="R42831" s="178"/>
      <c r="S42831" s="178"/>
    </row>
    <row r="42832" spans="18:19">
      <c r="R42832" s="178"/>
      <c r="S42832" s="178"/>
    </row>
    <row r="42833" spans="18:19">
      <c r="R42833" s="178"/>
      <c r="S42833" s="178"/>
    </row>
    <row r="42834" spans="18:19">
      <c r="R42834" s="178"/>
      <c r="S42834" s="178"/>
    </row>
    <row r="42835" spans="18:19">
      <c r="R42835" s="178"/>
      <c r="S42835" s="178"/>
    </row>
    <row r="42836" spans="18:19">
      <c r="R42836" s="178"/>
      <c r="S42836" s="178"/>
    </row>
    <row r="42837" spans="18:19">
      <c r="R42837" s="178"/>
      <c r="S42837" s="178"/>
    </row>
    <row r="42838" spans="18:19">
      <c r="R42838" s="178"/>
      <c r="S42838" s="178"/>
    </row>
    <row r="42839" spans="18:19">
      <c r="R42839" s="178"/>
      <c r="S42839" s="178"/>
    </row>
    <row r="42840" spans="18:19">
      <c r="R42840" s="178"/>
      <c r="S42840" s="178"/>
    </row>
    <row r="42841" spans="18:19">
      <c r="R42841" s="178"/>
      <c r="S42841" s="178"/>
    </row>
    <row r="42842" spans="18:19">
      <c r="R42842" s="178"/>
      <c r="S42842" s="178"/>
    </row>
    <row r="42843" spans="18:19">
      <c r="R42843" s="178"/>
      <c r="S42843" s="178"/>
    </row>
    <row r="42844" spans="18:19">
      <c r="R42844" s="178"/>
      <c r="S42844" s="178"/>
    </row>
    <row r="42845" spans="18:19">
      <c r="R42845" s="178"/>
      <c r="S42845" s="178"/>
    </row>
    <row r="42846" spans="18:19">
      <c r="R42846" s="178"/>
      <c r="S42846" s="178"/>
    </row>
    <row r="42847" spans="18:19">
      <c r="R42847" s="178"/>
      <c r="S42847" s="178"/>
    </row>
    <row r="42848" spans="18:19">
      <c r="R42848" s="178"/>
      <c r="S42848" s="178"/>
    </row>
    <row r="42849" spans="18:19">
      <c r="R42849" s="178"/>
      <c r="S42849" s="178"/>
    </row>
    <row r="42850" spans="18:19">
      <c r="R42850" s="178"/>
      <c r="S42850" s="178"/>
    </row>
    <row r="42851" spans="18:19">
      <c r="R42851" s="178"/>
      <c r="S42851" s="178"/>
    </row>
    <row r="42852" spans="18:19">
      <c r="R42852" s="178"/>
      <c r="S42852" s="178"/>
    </row>
    <row r="42853" spans="18:19">
      <c r="R42853" s="178"/>
      <c r="S42853" s="178"/>
    </row>
    <row r="42854" spans="18:19">
      <c r="R42854" s="178"/>
      <c r="S42854" s="178"/>
    </row>
    <row r="42855" spans="18:19">
      <c r="R42855" s="178"/>
      <c r="S42855" s="178"/>
    </row>
    <row r="42856" spans="18:19">
      <c r="R42856" s="178"/>
      <c r="S42856" s="178"/>
    </row>
    <row r="42857" spans="18:19">
      <c r="R42857" s="178"/>
      <c r="S42857" s="178"/>
    </row>
    <row r="42858" spans="18:19">
      <c r="R42858" s="178"/>
      <c r="S42858" s="178"/>
    </row>
    <row r="42859" spans="18:19">
      <c r="R42859" s="178"/>
      <c r="S42859" s="178"/>
    </row>
    <row r="42860" spans="18:19">
      <c r="R42860" s="178"/>
      <c r="S42860" s="178"/>
    </row>
    <row r="42861" spans="18:19">
      <c r="R42861" s="178"/>
      <c r="S42861" s="178"/>
    </row>
    <row r="42862" spans="18:19">
      <c r="R42862" s="178"/>
      <c r="S42862" s="178"/>
    </row>
    <row r="42863" spans="18:19">
      <c r="R42863" s="178"/>
      <c r="S42863" s="178"/>
    </row>
    <row r="42864" spans="18:19">
      <c r="R42864" s="178"/>
      <c r="S42864" s="178"/>
    </row>
    <row r="42865" spans="18:19">
      <c r="R42865" s="178"/>
      <c r="S42865" s="178"/>
    </row>
    <row r="42866" spans="18:19">
      <c r="R42866" s="178"/>
      <c r="S42866" s="178"/>
    </row>
    <row r="42867" spans="18:19">
      <c r="R42867" s="178"/>
      <c r="S42867" s="178"/>
    </row>
    <row r="42868" spans="18:19">
      <c r="R42868" s="178"/>
      <c r="S42868" s="178"/>
    </row>
    <row r="42869" spans="18:19">
      <c r="R42869" s="178"/>
      <c r="S42869" s="178"/>
    </row>
    <row r="42870" spans="18:19">
      <c r="R42870" s="178"/>
      <c r="S42870" s="178"/>
    </row>
    <row r="42871" spans="18:19">
      <c r="R42871" s="178"/>
      <c r="S42871" s="178"/>
    </row>
    <row r="42872" spans="18:19">
      <c r="R42872" s="178"/>
      <c r="S42872" s="178"/>
    </row>
    <row r="42873" spans="18:19">
      <c r="R42873" s="178"/>
      <c r="S42873" s="178"/>
    </row>
    <row r="42874" spans="18:19">
      <c r="R42874" s="178"/>
      <c r="S42874" s="178"/>
    </row>
    <row r="42875" spans="18:19">
      <c r="R42875" s="178"/>
      <c r="S42875" s="178"/>
    </row>
    <row r="42876" spans="18:19">
      <c r="R42876" s="178"/>
      <c r="S42876" s="178"/>
    </row>
    <row r="42877" spans="18:19">
      <c r="R42877" s="178"/>
      <c r="S42877" s="178"/>
    </row>
    <row r="42878" spans="18:19">
      <c r="R42878" s="178"/>
      <c r="S42878" s="178"/>
    </row>
    <row r="42879" spans="18:19">
      <c r="R42879" s="178"/>
      <c r="S42879" s="178"/>
    </row>
    <row r="42880" spans="18:19">
      <c r="R42880" s="178"/>
      <c r="S42880" s="178"/>
    </row>
    <row r="42881" spans="18:19">
      <c r="R42881" s="178"/>
      <c r="S42881" s="178"/>
    </row>
    <row r="42882" spans="18:19">
      <c r="R42882" s="178"/>
      <c r="S42882" s="178"/>
    </row>
    <row r="42883" spans="18:19">
      <c r="R42883" s="178"/>
      <c r="S42883" s="178"/>
    </row>
    <row r="42884" spans="18:19">
      <c r="R42884" s="178"/>
      <c r="S42884" s="178"/>
    </row>
    <row r="42885" spans="18:19">
      <c r="R42885" s="178"/>
      <c r="S42885" s="178"/>
    </row>
    <row r="42886" spans="18:19">
      <c r="R42886" s="178"/>
      <c r="S42886" s="178"/>
    </row>
    <row r="42887" spans="18:19">
      <c r="R42887" s="178"/>
      <c r="S42887" s="178"/>
    </row>
    <row r="42888" spans="18:19">
      <c r="R42888" s="178"/>
      <c r="S42888" s="178"/>
    </row>
    <row r="42889" spans="18:19">
      <c r="R42889" s="178"/>
      <c r="S42889" s="178"/>
    </row>
    <row r="42890" spans="18:19">
      <c r="R42890" s="178"/>
      <c r="S42890" s="178"/>
    </row>
    <row r="42891" spans="18:19">
      <c r="R42891" s="178"/>
      <c r="S42891" s="178"/>
    </row>
    <row r="42892" spans="18:19">
      <c r="R42892" s="178"/>
      <c r="S42892" s="178"/>
    </row>
    <row r="42893" spans="18:19">
      <c r="R42893" s="178"/>
      <c r="S42893" s="178"/>
    </row>
    <row r="42894" spans="18:19">
      <c r="R42894" s="178"/>
      <c r="S42894" s="178"/>
    </row>
    <row r="42895" spans="18:19">
      <c r="R42895" s="178"/>
      <c r="S42895" s="178"/>
    </row>
    <row r="42896" spans="18:19">
      <c r="R42896" s="178"/>
      <c r="S42896" s="178"/>
    </row>
    <row r="42897" spans="18:19">
      <c r="R42897" s="178"/>
      <c r="S42897" s="178"/>
    </row>
    <row r="42898" spans="18:19">
      <c r="R42898" s="178"/>
      <c r="S42898" s="178"/>
    </row>
    <row r="42899" spans="18:19">
      <c r="R42899" s="178"/>
      <c r="S42899" s="178"/>
    </row>
    <row r="42900" spans="18:19">
      <c r="R42900" s="178"/>
      <c r="S42900" s="178"/>
    </row>
    <row r="42901" spans="18:19">
      <c r="R42901" s="178"/>
      <c r="S42901" s="178"/>
    </row>
    <row r="42902" spans="18:19">
      <c r="R42902" s="178"/>
      <c r="S42902" s="178"/>
    </row>
    <row r="42903" spans="18:19">
      <c r="R42903" s="178"/>
      <c r="S42903" s="178"/>
    </row>
    <row r="42904" spans="18:19">
      <c r="R42904" s="178"/>
      <c r="S42904" s="178"/>
    </row>
    <row r="42905" spans="18:19">
      <c r="R42905" s="178"/>
      <c r="S42905" s="178"/>
    </row>
    <row r="42906" spans="18:19">
      <c r="R42906" s="178"/>
      <c r="S42906" s="178"/>
    </row>
    <row r="42907" spans="18:19">
      <c r="R42907" s="178"/>
      <c r="S42907" s="178"/>
    </row>
    <row r="42908" spans="18:19">
      <c r="R42908" s="178"/>
      <c r="S42908" s="178"/>
    </row>
    <row r="42909" spans="18:19">
      <c r="R42909" s="178"/>
      <c r="S42909" s="178"/>
    </row>
    <row r="42910" spans="18:19">
      <c r="R42910" s="178"/>
      <c r="S42910" s="178"/>
    </row>
    <row r="42911" spans="18:19">
      <c r="R42911" s="178"/>
      <c r="S42911" s="178"/>
    </row>
    <row r="42912" spans="18:19">
      <c r="R42912" s="178"/>
      <c r="S42912" s="178"/>
    </row>
    <row r="42913" spans="18:19">
      <c r="R42913" s="178"/>
      <c r="S42913" s="178"/>
    </row>
    <row r="42914" spans="18:19">
      <c r="R42914" s="178"/>
      <c r="S42914" s="178"/>
    </row>
    <row r="42915" spans="18:19">
      <c r="R42915" s="178"/>
      <c r="S42915" s="178"/>
    </row>
    <row r="42916" spans="18:19">
      <c r="R42916" s="178"/>
      <c r="S42916" s="178"/>
    </row>
    <row r="42917" spans="18:19">
      <c r="R42917" s="178"/>
      <c r="S42917" s="178"/>
    </row>
    <row r="42918" spans="18:19">
      <c r="R42918" s="178"/>
      <c r="S42918" s="178"/>
    </row>
    <row r="42919" spans="18:19">
      <c r="R42919" s="178"/>
      <c r="S42919" s="178"/>
    </row>
    <row r="42920" spans="18:19">
      <c r="R42920" s="178"/>
      <c r="S42920" s="178"/>
    </row>
    <row r="42921" spans="18:19">
      <c r="R42921" s="178"/>
      <c r="S42921" s="178"/>
    </row>
    <row r="42922" spans="18:19">
      <c r="R42922" s="178"/>
      <c r="S42922" s="178"/>
    </row>
    <row r="42923" spans="18:19">
      <c r="R42923" s="178"/>
      <c r="S42923" s="178"/>
    </row>
    <row r="42924" spans="18:19">
      <c r="R42924" s="178"/>
      <c r="S42924" s="178"/>
    </row>
    <row r="42925" spans="18:19">
      <c r="R42925" s="178"/>
      <c r="S42925" s="178"/>
    </row>
    <row r="42926" spans="18:19">
      <c r="R42926" s="178"/>
      <c r="S42926" s="178"/>
    </row>
    <row r="42927" spans="18:19">
      <c r="R42927" s="178"/>
      <c r="S42927" s="178"/>
    </row>
    <row r="42928" spans="18:19">
      <c r="R42928" s="178"/>
      <c r="S42928" s="178"/>
    </row>
    <row r="42929" spans="18:19">
      <c r="R42929" s="178"/>
      <c r="S42929" s="178"/>
    </row>
    <row r="42930" spans="18:19">
      <c r="R42930" s="178"/>
      <c r="S42930" s="178"/>
    </row>
    <row r="42931" spans="18:19">
      <c r="R42931" s="178"/>
      <c r="S42931" s="178"/>
    </row>
    <row r="42932" spans="18:19">
      <c r="R42932" s="178"/>
      <c r="S42932" s="178"/>
    </row>
    <row r="42933" spans="18:19">
      <c r="R42933" s="178"/>
      <c r="S42933" s="178"/>
    </row>
    <row r="42934" spans="18:19">
      <c r="R42934" s="178"/>
      <c r="S42934" s="178"/>
    </row>
    <row r="42935" spans="18:19">
      <c r="R42935" s="178"/>
      <c r="S42935" s="178"/>
    </row>
    <row r="42936" spans="18:19">
      <c r="R42936" s="178"/>
      <c r="S42936" s="178"/>
    </row>
    <row r="42937" spans="18:19">
      <c r="R42937" s="178"/>
      <c r="S42937" s="178"/>
    </row>
    <row r="42938" spans="18:19">
      <c r="R42938" s="178"/>
      <c r="S42938" s="178"/>
    </row>
    <row r="42939" spans="18:19">
      <c r="R42939" s="178"/>
      <c r="S42939" s="178"/>
    </row>
    <row r="42940" spans="18:19">
      <c r="R42940" s="178"/>
      <c r="S42940" s="178"/>
    </row>
    <row r="42941" spans="18:19">
      <c r="R42941" s="178"/>
      <c r="S42941" s="178"/>
    </row>
    <row r="42942" spans="18:19">
      <c r="R42942" s="178"/>
      <c r="S42942" s="178"/>
    </row>
    <row r="42943" spans="18:19">
      <c r="R42943" s="178"/>
      <c r="S42943" s="178"/>
    </row>
    <row r="42944" spans="18:19">
      <c r="R42944" s="178"/>
      <c r="S42944" s="178"/>
    </row>
    <row r="42945" spans="18:19">
      <c r="R42945" s="178"/>
      <c r="S42945" s="178"/>
    </row>
    <row r="42946" spans="18:19">
      <c r="R42946" s="178"/>
      <c r="S42946" s="178"/>
    </row>
    <row r="42947" spans="18:19">
      <c r="R42947" s="178"/>
      <c r="S42947" s="178"/>
    </row>
    <row r="42948" spans="18:19">
      <c r="R42948" s="178"/>
      <c r="S42948" s="178"/>
    </row>
    <row r="42949" spans="18:19">
      <c r="R42949" s="178"/>
      <c r="S42949" s="178"/>
    </row>
    <row r="42950" spans="18:19">
      <c r="R42950" s="178"/>
      <c r="S42950" s="178"/>
    </row>
    <row r="42951" spans="18:19">
      <c r="R42951" s="178"/>
      <c r="S42951" s="178"/>
    </row>
    <row r="42952" spans="18:19">
      <c r="R42952" s="178"/>
      <c r="S42952" s="178"/>
    </row>
    <row r="42953" spans="18:19">
      <c r="R42953" s="178"/>
      <c r="S42953" s="178"/>
    </row>
    <row r="42954" spans="18:19">
      <c r="R42954" s="178"/>
      <c r="S42954" s="178"/>
    </row>
    <row r="42955" spans="18:19">
      <c r="R42955" s="178"/>
      <c r="S42955" s="178"/>
    </row>
    <row r="42956" spans="18:19">
      <c r="R42956" s="178"/>
      <c r="S42956" s="178"/>
    </row>
    <row r="42957" spans="18:19">
      <c r="R42957" s="178"/>
      <c r="S42957" s="178"/>
    </row>
    <row r="42958" spans="18:19">
      <c r="R42958" s="178"/>
      <c r="S42958" s="178"/>
    </row>
    <row r="42959" spans="18:19">
      <c r="R42959" s="178"/>
      <c r="S42959" s="178"/>
    </row>
    <row r="42960" spans="18:19">
      <c r="R42960" s="178"/>
      <c r="S42960" s="178"/>
    </row>
    <row r="42961" spans="18:19">
      <c r="R42961" s="178"/>
      <c r="S42961" s="178"/>
    </row>
    <row r="42962" spans="18:19">
      <c r="R42962" s="178"/>
      <c r="S42962" s="178"/>
    </row>
    <row r="42963" spans="18:19">
      <c r="R42963" s="178"/>
      <c r="S42963" s="178"/>
    </row>
    <row r="42964" spans="18:19">
      <c r="R42964" s="178"/>
      <c r="S42964" s="178"/>
    </row>
    <row r="42965" spans="18:19">
      <c r="R42965" s="178"/>
      <c r="S42965" s="178"/>
    </row>
    <row r="42966" spans="18:19">
      <c r="R42966" s="178"/>
      <c r="S42966" s="178"/>
    </row>
    <row r="42967" spans="18:19">
      <c r="R42967" s="178"/>
      <c r="S42967" s="178"/>
    </row>
    <row r="42968" spans="18:19">
      <c r="R42968" s="178"/>
      <c r="S42968" s="178"/>
    </row>
    <row r="42969" spans="18:19">
      <c r="R42969" s="178"/>
      <c r="S42969" s="178"/>
    </row>
    <row r="42970" spans="18:19">
      <c r="R42970" s="178"/>
      <c r="S42970" s="178"/>
    </row>
    <row r="42971" spans="18:19">
      <c r="R42971" s="178"/>
      <c r="S42971" s="178"/>
    </row>
    <row r="42972" spans="18:19">
      <c r="R42972" s="178"/>
      <c r="S42972" s="178"/>
    </row>
    <row r="42973" spans="18:19">
      <c r="R42973" s="178"/>
      <c r="S42973" s="178"/>
    </row>
    <row r="42974" spans="18:19">
      <c r="R42974" s="178"/>
      <c r="S42974" s="178"/>
    </row>
    <row r="42975" spans="18:19">
      <c r="R42975" s="178"/>
      <c r="S42975" s="178"/>
    </row>
    <row r="42976" spans="18:19">
      <c r="R42976" s="178"/>
      <c r="S42976" s="178"/>
    </row>
    <row r="42977" spans="18:19">
      <c r="R42977" s="178"/>
      <c r="S42977" s="178"/>
    </row>
    <row r="42978" spans="18:19">
      <c r="R42978" s="178"/>
      <c r="S42978" s="178"/>
    </row>
    <row r="42979" spans="18:19">
      <c r="R42979" s="178"/>
      <c r="S42979" s="178"/>
    </row>
    <row r="42980" spans="18:19">
      <c r="R42980" s="178"/>
      <c r="S42980" s="178"/>
    </row>
    <row r="42981" spans="18:19">
      <c r="R42981" s="178"/>
      <c r="S42981" s="178"/>
    </row>
    <row r="42982" spans="18:19">
      <c r="R42982" s="178"/>
      <c r="S42982" s="178"/>
    </row>
    <row r="42983" spans="18:19">
      <c r="R42983" s="178"/>
      <c r="S42983" s="178"/>
    </row>
    <row r="42984" spans="18:19">
      <c r="R42984" s="178"/>
      <c r="S42984" s="178"/>
    </row>
    <row r="42985" spans="18:19">
      <c r="R42985" s="178"/>
      <c r="S42985" s="178"/>
    </row>
    <row r="42986" spans="18:19">
      <c r="R42986" s="178"/>
      <c r="S42986" s="178"/>
    </row>
    <row r="42987" spans="18:19">
      <c r="R42987" s="178"/>
      <c r="S42987" s="178"/>
    </row>
    <row r="42988" spans="18:19">
      <c r="R42988" s="178"/>
      <c r="S42988" s="178"/>
    </row>
    <row r="42989" spans="18:19">
      <c r="R42989" s="178"/>
      <c r="S42989" s="178"/>
    </row>
    <row r="42990" spans="18:19">
      <c r="R42990" s="178"/>
      <c r="S42990" s="178"/>
    </row>
    <row r="42991" spans="18:19">
      <c r="R42991" s="178"/>
      <c r="S42991" s="178"/>
    </row>
    <row r="42992" spans="18:19">
      <c r="R42992" s="178"/>
      <c r="S42992" s="178"/>
    </row>
    <row r="42993" spans="18:19">
      <c r="R42993" s="178"/>
      <c r="S42993" s="178"/>
    </row>
    <row r="42994" spans="18:19">
      <c r="R42994" s="178"/>
      <c r="S42994" s="178"/>
    </row>
    <row r="42995" spans="18:19">
      <c r="R42995" s="178"/>
      <c r="S42995" s="178"/>
    </row>
    <row r="42996" spans="18:19">
      <c r="R42996" s="178"/>
      <c r="S42996" s="178"/>
    </row>
    <row r="42997" spans="18:19">
      <c r="R42997" s="178"/>
      <c r="S42997" s="178"/>
    </row>
    <row r="42998" spans="18:19">
      <c r="R42998" s="178"/>
      <c r="S42998" s="178"/>
    </row>
    <row r="42999" spans="18:19">
      <c r="R42999" s="178"/>
      <c r="S42999" s="178"/>
    </row>
    <row r="43000" spans="18:19">
      <c r="R43000" s="178"/>
      <c r="S43000" s="178"/>
    </row>
    <row r="43001" spans="18:19">
      <c r="R43001" s="178"/>
      <c r="S43001" s="178"/>
    </row>
    <row r="43002" spans="18:19">
      <c r="R43002" s="178"/>
      <c r="S43002" s="178"/>
    </row>
    <row r="43003" spans="18:19">
      <c r="R43003" s="178"/>
      <c r="S43003" s="178"/>
    </row>
    <row r="43004" spans="18:19">
      <c r="R43004" s="178"/>
      <c r="S43004" s="178"/>
    </row>
    <row r="43005" spans="18:19">
      <c r="R43005" s="178"/>
      <c r="S43005" s="178"/>
    </row>
    <row r="43006" spans="18:19">
      <c r="R43006" s="178"/>
      <c r="S43006" s="178"/>
    </row>
    <row r="43007" spans="18:19">
      <c r="R43007" s="178"/>
      <c r="S43007" s="178"/>
    </row>
    <row r="43008" spans="18:19">
      <c r="R43008" s="178"/>
      <c r="S43008" s="178"/>
    </row>
    <row r="43009" spans="18:19">
      <c r="R43009" s="178"/>
      <c r="S43009" s="178"/>
    </row>
    <row r="43010" spans="18:19">
      <c r="R43010" s="178"/>
      <c r="S43010" s="178"/>
    </row>
    <row r="43011" spans="18:19">
      <c r="R43011" s="178"/>
      <c r="S43011" s="178"/>
    </row>
    <row r="43012" spans="18:19">
      <c r="R43012" s="178"/>
      <c r="S43012" s="178"/>
    </row>
    <row r="43013" spans="18:19">
      <c r="R43013" s="178"/>
      <c r="S43013" s="178"/>
    </row>
    <row r="43014" spans="18:19">
      <c r="R43014" s="178"/>
      <c r="S43014" s="178"/>
    </row>
    <row r="43015" spans="18:19">
      <c r="R43015" s="178"/>
      <c r="S43015" s="178"/>
    </row>
    <row r="43016" spans="18:19">
      <c r="R43016" s="178"/>
      <c r="S43016" s="178"/>
    </row>
    <row r="43017" spans="18:19">
      <c r="R43017" s="178"/>
      <c r="S43017" s="178"/>
    </row>
    <row r="43018" spans="18:19">
      <c r="R43018" s="178"/>
      <c r="S43018" s="178"/>
    </row>
    <row r="43019" spans="18:19">
      <c r="R43019" s="178"/>
      <c r="S43019" s="178"/>
    </row>
    <row r="43020" spans="18:19">
      <c r="R43020" s="178"/>
      <c r="S43020" s="178"/>
    </row>
    <row r="43021" spans="18:19">
      <c r="R43021" s="178"/>
      <c r="S43021" s="178"/>
    </row>
    <row r="43022" spans="18:19">
      <c r="R43022" s="178"/>
      <c r="S43022" s="178"/>
    </row>
    <row r="43023" spans="18:19">
      <c r="R43023" s="178"/>
      <c r="S43023" s="178"/>
    </row>
    <row r="43024" spans="18:19">
      <c r="R43024" s="178"/>
      <c r="S43024" s="178"/>
    </row>
    <row r="43025" spans="18:19">
      <c r="R43025" s="178"/>
      <c r="S43025" s="178"/>
    </row>
    <row r="43026" spans="18:19">
      <c r="R43026" s="178"/>
      <c r="S43026" s="178"/>
    </row>
    <row r="43027" spans="18:19">
      <c r="R43027" s="178"/>
      <c r="S43027" s="178"/>
    </row>
    <row r="43028" spans="18:19">
      <c r="R43028" s="178"/>
      <c r="S43028" s="178"/>
    </row>
    <row r="43029" spans="18:19">
      <c r="R43029" s="178"/>
      <c r="S43029" s="178"/>
    </row>
    <row r="43030" spans="18:19">
      <c r="R43030" s="178"/>
      <c r="S43030" s="178"/>
    </row>
    <row r="43031" spans="18:19">
      <c r="R43031" s="178"/>
      <c r="S43031" s="178"/>
    </row>
    <row r="43032" spans="18:19">
      <c r="R43032" s="178"/>
      <c r="S43032" s="178"/>
    </row>
    <row r="43033" spans="18:19">
      <c r="R43033" s="178"/>
      <c r="S43033" s="178"/>
    </row>
    <row r="43034" spans="18:19">
      <c r="R43034" s="178"/>
      <c r="S43034" s="178"/>
    </row>
    <row r="43035" spans="18:19">
      <c r="R43035" s="178"/>
      <c r="S43035" s="178"/>
    </row>
    <row r="43036" spans="18:19">
      <c r="R43036" s="178"/>
      <c r="S43036" s="178"/>
    </row>
    <row r="43037" spans="18:19">
      <c r="R43037" s="178"/>
      <c r="S43037" s="178"/>
    </row>
    <row r="43038" spans="18:19">
      <c r="R43038" s="178"/>
      <c r="S43038" s="178"/>
    </row>
    <row r="43039" spans="18:19">
      <c r="R43039" s="178"/>
      <c r="S43039" s="178"/>
    </row>
    <row r="43040" spans="18:19">
      <c r="R43040" s="178"/>
      <c r="S43040" s="178"/>
    </row>
    <row r="43041" spans="18:19">
      <c r="R43041" s="178"/>
      <c r="S43041" s="178"/>
    </row>
    <row r="43042" spans="18:19">
      <c r="R43042" s="178"/>
      <c r="S43042" s="178"/>
    </row>
    <row r="43043" spans="18:19">
      <c r="R43043" s="178"/>
      <c r="S43043" s="178"/>
    </row>
    <row r="43044" spans="18:19">
      <c r="R43044" s="178"/>
      <c r="S43044" s="178"/>
    </row>
    <row r="43045" spans="18:19">
      <c r="R43045" s="178"/>
      <c r="S43045" s="178"/>
    </row>
    <row r="43046" spans="18:19">
      <c r="R43046" s="178"/>
      <c r="S43046" s="178"/>
    </row>
    <row r="43047" spans="18:19">
      <c r="R43047" s="178"/>
      <c r="S43047" s="178"/>
    </row>
    <row r="43048" spans="18:19">
      <c r="R43048" s="178"/>
      <c r="S43048" s="178"/>
    </row>
    <row r="43049" spans="18:19">
      <c r="R43049" s="178"/>
      <c r="S43049" s="178"/>
    </row>
    <row r="43050" spans="18:19">
      <c r="R43050" s="178"/>
      <c r="S43050" s="178"/>
    </row>
    <row r="43051" spans="18:19">
      <c r="R43051" s="178"/>
      <c r="S43051" s="178"/>
    </row>
    <row r="43052" spans="18:19">
      <c r="R43052" s="178"/>
      <c r="S43052" s="178"/>
    </row>
    <row r="43053" spans="18:19">
      <c r="R43053" s="178"/>
      <c r="S43053" s="178"/>
    </row>
    <row r="43054" spans="18:19">
      <c r="R43054" s="178"/>
      <c r="S43054" s="178"/>
    </row>
    <row r="43055" spans="18:19">
      <c r="R43055" s="178"/>
      <c r="S43055" s="178"/>
    </row>
    <row r="43056" spans="18:19">
      <c r="R43056" s="178"/>
      <c r="S43056" s="178"/>
    </row>
    <row r="43057" spans="18:19">
      <c r="R43057" s="178"/>
      <c r="S43057" s="178"/>
    </row>
    <row r="43058" spans="18:19">
      <c r="R43058" s="178"/>
      <c r="S43058" s="178"/>
    </row>
    <row r="43059" spans="18:19">
      <c r="R43059" s="178"/>
      <c r="S43059" s="178"/>
    </row>
    <row r="43060" spans="18:19">
      <c r="R43060" s="178"/>
      <c r="S43060" s="178"/>
    </row>
    <row r="43061" spans="18:19">
      <c r="R43061" s="178"/>
      <c r="S43061" s="178"/>
    </row>
    <row r="43062" spans="18:19">
      <c r="R43062" s="178"/>
      <c r="S43062" s="178"/>
    </row>
    <row r="43063" spans="18:19">
      <c r="R43063" s="178"/>
      <c r="S43063" s="178"/>
    </row>
    <row r="43064" spans="18:19">
      <c r="R43064" s="178"/>
      <c r="S43064" s="178"/>
    </row>
    <row r="43065" spans="18:19">
      <c r="R43065" s="178"/>
      <c r="S43065" s="178"/>
    </row>
    <row r="43066" spans="18:19">
      <c r="R43066" s="178"/>
      <c r="S43066" s="178"/>
    </row>
    <row r="43067" spans="18:19">
      <c r="R43067" s="178"/>
      <c r="S43067" s="178"/>
    </row>
    <row r="43068" spans="18:19">
      <c r="R43068" s="178"/>
      <c r="S43068" s="178"/>
    </row>
    <row r="43069" spans="18:19">
      <c r="R43069" s="178"/>
      <c r="S43069" s="178"/>
    </row>
    <row r="43070" spans="18:19">
      <c r="R43070" s="178"/>
      <c r="S43070" s="178"/>
    </row>
    <row r="43071" spans="18:19">
      <c r="R43071" s="178"/>
      <c r="S43071" s="178"/>
    </row>
    <row r="43072" spans="18:19">
      <c r="R43072" s="178"/>
      <c r="S43072" s="178"/>
    </row>
    <row r="43073" spans="18:19">
      <c r="R43073" s="178"/>
      <c r="S43073" s="178"/>
    </row>
    <row r="43074" spans="18:19">
      <c r="R43074" s="178"/>
      <c r="S43074" s="178"/>
    </row>
    <row r="43075" spans="18:19">
      <c r="R43075" s="178"/>
      <c r="S43075" s="178"/>
    </row>
    <row r="43076" spans="18:19">
      <c r="R43076" s="178"/>
      <c r="S43076" s="178"/>
    </row>
    <row r="43077" spans="18:19">
      <c r="R43077" s="178"/>
      <c r="S43077" s="178"/>
    </row>
    <row r="43078" spans="18:19">
      <c r="R43078" s="178"/>
      <c r="S43078" s="178"/>
    </row>
    <row r="43079" spans="18:19">
      <c r="R43079" s="178"/>
      <c r="S43079" s="178"/>
    </row>
    <row r="43080" spans="18:19">
      <c r="R43080" s="178"/>
      <c r="S43080" s="178"/>
    </row>
    <row r="43081" spans="18:19">
      <c r="R43081" s="178"/>
      <c r="S43081" s="178"/>
    </row>
    <row r="43082" spans="18:19">
      <c r="R43082" s="178"/>
      <c r="S43082" s="178"/>
    </row>
    <row r="43083" spans="18:19">
      <c r="R43083" s="178"/>
      <c r="S43083" s="178"/>
    </row>
    <row r="43084" spans="18:19">
      <c r="R43084" s="178"/>
      <c r="S43084" s="178"/>
    </row>
    <row r="43085" spans="18:19">
      <c r="R43085" s="178"/>
      <c r="S43085" s="178"/>
    </row>
    <row r="43086" spans="18:19">
      <c r="R43086" s="178"/>
      <c r="S43086" s="178"/>
    </row>
    <row r="43087" spans="18:19">
      <c r="R43087" s="178"/>
      <c r="S43087" s="178"/>
    </row>
    <row r="43088" spans="18:19">
      <c r="R43088" s="178"/>
      <c r="S43088" s="178"/>
    </row>
    <row r="43089" spans="18:19">
      <c r="R43089" s="178"/>
      <c r="S43089" s="178"/>
    </row>
    <row r="43090" spans="18:19">
      <c r="R43090" s="178"/>
      <c r="S43090" s="178"/>
    </row>
    <row r="43091" spans="18:19">
      <c r="R43091" s="178"/>
      <c r="S43091" s="178"/>
    </row>
    <row r="43092" spans="18:19">
      <c r="R43092" s="178"/>
      <c r="S43092" s="178"/>
    </row>
    <row r="43093" spans="18:19">
      <c r="R43093" s="178"/>
      <c r="S43093" s="178"/>
    </row>
    <row r="43094" spans="18:19">
      <c r="R43094" s="178"/>
      <c r="S43094" s="178"/>
    </row>
    <row r="43095" spans="18:19">
      <c r="R43095" s="178"/>
      <c r="S43095" s="178"/>
    </row>
    <row r="43096" spans="18:19">
      <c r="R43096" s="178"/>
      <c r="S43096" s="178"/>
    </row>
    <row r="43097" spans="18:19">
      <c r="R43097" s="178"/>
      <c r="S43097" s="178"/>
    </row>
    <row r="43098" spans="18:19">
      <c r="R43098" s="178"/>
      <c r="S43098" s="178"/>
    </row>
    <row r="43099" spans="18:19">
      <c r="R43099" s="178"/>
      <c r="S43099" s="178"/>
    </row>
    <row r="43100" spans="18:19">
      <c r="R43100" s="178"/>
      <c r="S43100" s="178"/>
    </row>
    <row r="43101" spans="18:19">
      <c r="R43101" s="178"/>
      <c r="S43101" s="178"/>
    </row>
    <row r="43102" spans="18:19">
      <c r="R43102" s="178"/>
      <c r="S43102" s="178"/>
    </row>
    <row r="43103" spans="18:19">
      <c r="R43103" s="178"/>
      <c r="S43103" s="178"/>
    </row>
    <row r="43104" spans="18:19">
      <c r="R43104" s="178"/>
      <c r="S43104" s="178"/>
    </row>
    <row r="43105" spans="18:19">
      <c r="R43105" s="178"/>
      <c r="S43105" s="178"/>
    </row>
    <row r="43106" spans="18:19">
      <c r="R43106" s="178"/>
      <c r="S43106" s="178"/>
    </row>
    <row r="43107" spans="18:19">
      <c r="R43107" s="178"/>
      <c r="S43107" s="178"/>
    </row>
    <row r="43108" spans="18:19">
      <c r="R43108" s="178"/>
      <c r="S43108" s="178"/>
    </row>
    <row r="43109" spans="18:19">
      <c r="R43109" s="178"/>
      <c r="S43109" s="178"/>
    </row>
    <row r="43110" spans="18:19">
      <c r="R43110" s="178"/>
      <c r="S43110" s="178"/>
    </row>
    <row r="43111" spans="18:19">
      <c r="R43111" s="178"/>
      <c r="S43111" s="178"/>
    </row>
    <row r="43112" spans="18:19">
      <c r="R43112" s="178"/>
      <c r="S43112" s="178"/>
    </row>
    <row r="43113" spans="18:19">
      <c r="R43113" s="178"/>
      <c r="S43113" s="178"/>
    </row>
    <row r="43114" spans="18:19">
      <c r="R43114" s="178"/>
      <c r="S43114" s="178"/>
    </row>
    <row r="43115" spans="18:19">
      <c r="R43115" s="178"/>
      <c r="S43115" s="178"/>
    </row>
    <row r="43116" spans="18:19">
      <c r="R43116" s="178"/>
      <c r="S43116" s="178"/>
    </row>
    <row r="43117" spans="18:19">
      <c r="R43117" s="178"/>
      <c r="S43117" s="178"/>
    </row>
    <row r="43118" spans="18:19">
      <c r="R43118" s="178"/>
      <c r="S43118" s="178"/>
    </row>
    <row r="43119" spans="18:19">
      <c r="R43119" s="178"/>
      <c r="S43119" s="178"/>
    </row>
    <row r="43120" spans="18:19">
      <c r="R43120" s="178"/>
      <c r="S43120" s="178"/>
    </row>
    <row r="43121" spans="18:19">
      <c r="R43121" s="178"/>
      <c r="S43121" s="178"/>
    </row>
    <row r="43122" spans="18:19">
      <c r="R43122" s="178"/>
      <c r="S43122" s="178"/>
    </row>
    <row r="43123" spans="18:19">
      <c r="R43123" s="178"/>
      <c r="S43123" s="178"/>
    </row>
    <row r="43124" spans="18:19">
      <c r="R43124" s="178"/>
      <c r="S43124" s="178"/>
    </row>
    <row r="43125" spans="18:19">
      <c r="R43125" s="178"/>
      <c r="S43125" s="178"/>
    </row>
    <row r="43126" spans="18:19">
      <c r="R43126" s="178"/>
      <c r="S43126" s="178"/>
    </row>
    <row r="43127" spans="18:19">
      <c r="R43127" s="178"/>
      <c r="S43127" s="178"/>
    </row>
    <row r="43128" spans="18:19">
      <c r="R43128" s="178"/>
      <c r="S43128" s="178"/>
    </row>
    <row r="43129" spans="18:19">
      <c r="R43129" s="178"/>
      <c r="S43129" s="178"/>
    </row>
    <row r="43130" spans="18:19">
      <c r="R43130" s="178"/>
      <c r="S43130" s="178"/>
    </row>
    <row r="43131" spans="18:19">
      <c r="R43131" s="178"/>
      <c r="S43131" s="178"/>
    </row>
    <row r="43132" spans="18:19">
      <c r="R43132" s="178"/>
      <c r="S43132" s="178"/>
    </row>
    <row r="43133" spans="18:19">
      <c r="R43133" s="178"/>
      <c r="S43133" s="178"/>
    </row>
    <row r="43134" spans="18:19">
      <c r="R43134" s="178"/>
      <c r="S43134" s="178"/>
    </row>
    <row r="43135" spans="18:19">
      <c r="R43135" s="178"/>
      <c r="S43135" s="178"/>
    </row>
    <row r="43136" spans="18:19">
      <c r="R43136" s="178"/>
      <c r="S43136" s="178"/>
    </row>
    <row r="43137" spans="18:19">
      <c r="R43137" s="178"/>
      <c r="S43137" s="178"/>
    </row>
    <row r="43138" spans="18:19">
      <c r="R43138" s="178"/>
      <c r="S43138" s="178"/>
    </row>
    <row r="43139" spans="18:19">
      <c r="R43139" s="178"/>
      <c r="S43139" s="178"/>
    </row>
    <row r="43140" spans="18:19">
      <c r="R43140" s="178"/>
      <c r="S43140" s="178"/>
    </row>
    <row r="43141" spans="18:19">
      <c r="R43141" s="178"/>
      <c r="S43141" s="178"/>
    </row>
    <row r="43142" spans="18:19">
      <c r="R43142" s="178"/>
      <c r="S43142" s="178"/>
    </row>
    <row r="43143" spans="18:19">
      <c r="R43143" s="178"/>
      <c r="S43143" s="178"/>
    </row>
    <row r="43144" spans="18:19">
      <c r="R43144" s="178"/>
      <c r="S43144" s="178"/>
    </row>
    <row r="43145" spans="18:19">
      <c r="R43145" s="178"/>
      <c r="S43145" s="178"/>
    </row>
    <row r="43146" spans="18:19">
      <c r="R43146" s="178"/>
      <c r="S43146" s="178"/>
    </row>
    <row r="43147" spans="18:19">
      <c r="R43147" s="178"/>
      <c r="S43147" s="178"/>
    </row>
    <row r="43148" spans="18:19">
      <c r="R43148" s="178"/>
      <c r="S43148" s="178"/>
    </row>
    <row r="43149" spans="18:19">
      <c r="R43149" s="178"/>
      <c r="S43149" s="178"/>
    </row>
    <row r="43150" spans="18:19">
      <c r="R43150" s="178"/>
      <c r="S43150" s="178"/>
    </row>
    <row r="43151" spans="18:19">
      <c r="R43151" s="178"/>
      <c r="S43151" s="178"/>
    </row>
    <row r="43152" spans="18:19">
      <c r="R43152" s="178"/>
      <c r="S43152" s="178"/>
    </row>
    <row r="43153" spans="18:19">
      <c r="R43153" s="178"/>
      <c r="S43153" s="178"/>
    </row>
    <row r="43154" spans="18:19">
      <c r="R43154" s="178"/>
      <c r="S43154" s="178"/>
    </row>
    <row r="43155" spans="18:19">
      <c r="R43155" s="178"/>
      <c r="S43155" s="178"/>
    </row>
    <row r="43156" spans="18:19">
      <c r="R43156" s="178"/>
      <c r="S43156" s="178"/>
    </row>
    <row r="43157" spans="18:19">
      <c r="R43157" s="178"/>
      <c r="S43157" s="178"/>
    </row>
    <row r="43158" spans="18:19">
      <c r="R43158" s="178"/>
      <c r="S43158" s="178"/>
    </row>
    <row r="43159" spans="18:19">
      <c r="R43159" s="178"/>
      <c r="S43159" s="178"/>
    </row>
    <row r="43160" spans="18:19">
      <c r="R43160" s="178"/>
      <c r="S43160" s="178"/>
    </row>
    <row r="43161" spans="18:19">
      <c r="R43161" s="178"/>
      <c r="S43161" s="178"/>
    </row>
    <row r="43162" spans="18:19">
      <c r="R43162" s="178"/>
      <c r="S43162" s="178"/>
    </row>
    <row r="43163" spans="18:19">
      <c r="R43163" s="178"/>
      <c r="S43163" s="178"/>
    </row>
    <row r="43164" spans="18:19">
      <c r="R43164" s="178"/>
      <c r="S43164" s="178"/>
    </row>
    <row r="43165" spans="18:19">
      <c r="R43165" s="178"/>
      <c r="S43165" s="178"/>
    </row>
    <row r="43166" spans="18:19">
      <c r="R43166" s="178"/>
      <c r="S43166" s="178"/>
    </row>
    <row r="43167" spans="18:19">
      <c r="R43167" s="178"/>
      <c r="S43167" s="178"/>
    </row>
    <row r="43168" spans="18:19">
      <c r="R43168" s="178"/>
      <c r="S43168" s="178"/>
    </row>
    <row r="43169" spans="18:19">
      <c r="R43169" s="178"/>
      <c r="S43169" s="178"/>
    </row>
    <row r="43170" spans="18:19">
      <c r="R43170" s="178"/>
      <c r="S43170" s="178"/>
    </row>
    <row r="43171" spans="18:19">
      <c r="R43171" s="178"/>
      <c r="S43171" s="178"/>
    </row>
    <row r="43172" spans="18:19">
      <c r="R43172" s="178"/>
      <c r="S43172" s="178"/>
    </row>
    <row r="43173" spans="18:19">
      <c r="R43173" s="178"/>
      <c r="S43173" s="178"/>
    </row>
    <row r="43174" spans="18:19">
      <c r="R43174" s="178"/>
      <c r="S43174" s="178"/>
    </row>
    <row r="43175" spans="18:19">
      <c r="R43175" s="178"/>
      <c r="S43175" s="178"/>
    </row>
    <row r="43176" spans="18:19">
      <c r="R43176" s="178"/>
      <c r="S43176" s="178"/>
    </row>
    <row r="43177" spans="18:19">
      <c r="R43177" s="178"/>
      <c r="S43177" s="178"/>
    </row>
    <row r="43178" spans="18:19">
      <c r="R43178" s="178"/>
      <c r="S43178" s="178"/>
    </row>
    <row r="43179" spans="18:19">
      <c r="R43179" s="178"/>
      <c r="S43179" s="178"/>
    </row>
    <row r="43180" spans="18:19">
      <c r="R43180" s="178"/>
      <c r="S43180" s="178"/>
    </row>
    <row r="43181" spans="18:19">
      <c r="R43181" s="178"/>
      <c r="S43181" s="178"/>
    </row>
    <row r="43182" spans="18:19">
      <c r="R43182" s="178"/>
      <c r="S43182" s="178"/>
    </row>
    <row r="43183" spans="18:19">
      <c r="R43183" s="178"/>
      <c r="S43183" s="178"/>
    </row>
    <row r="43184" spans="18:19">
      <c r="R43184" s="178"/>
      <c r="S43184" s="178"/>
    </row>
    <row r="43185" spans="18:19">
      <c r="R43185" s="178"/>
      <c r="S43185" s="178"/>
    </row>
    <row r="43186" spans="18:19">
      <c r="R43186" s="178"/>
      <c r="S43186" s="178"/>
    </row>
    <row r="43187" spans="18:19">
      <c r="R43187" s="178"/>
      <c r="S43187" s="178"/>
    </row>
    <row r="43188" spans="18:19">
      <c r="R43188" s="178"/>
      <c r="S43188" s="178"/>
    </row>
    <row r="43189" spans="18:19">
      <c r="R43189" s="178"/>
      <c r="S43189" s="178"/>
    </row>
    <row r="43190" spans="18:19">
      <c r="R43190" s="178"/>
      <c r="S43190" s="178"/>
    </row>
    <row r="43191" spans="18:19">
      <c r="R43191" s="178"/>
      <c r="S43191" s="178"/>
    </row>
    <row r="43192" spans="18:19">
      <c r="R43192" s="178"/>
      <c r="S43192" s="178"/>
    </row>
    <row r="43193" spans="18:19">
      <c r="R43193" s="178"/>
      <c r="S43193" s="178"/>
    </row>
    <row r="43194" spans="18:19">
      <c r="R43194" s="178"/>
      <c r="S43194" s="178"/>
    </row>
    <row r="43195" spans="18:19">
      <c r="R43195" s="178"/>
      <c r="S43195" s="178"/>
    </row>
    <row r="43196" spans="18:19">
      <c r="R43196" s="178"/>
      <c r="S43196" s="178"/>
    </row>
    <row r="43197" spans="18:19">
      <c r="R43197" s="178"/>
      <c r="S43197" s="178"/>
    </row>
    <row r="43198" spans="18:19">
      <c r="R43198" s="178"/>
      <c r="S43198" s="178"/>
    </row>
    <row r="43199" spans="18:19">
      <c r="R43199" s="178"/>
      <c r="S43199" s="178"/>
    </row>
    <row r="43200" spans="18:19">
      <c r="R43200" s="178"/>
      <c r="S43200" s="178"/>
    </row>
    <row r="43201" spans="18:19">
      <c r="R43201" s="178"/>
      <c r="S43201" s="178"/>
    </row>
    <row r="43202" spans="18:19">
      <c r="R43202" s="178"/>
      <c r="S43202" s="178"/>
    </row>
    <row r="43203" spans="18:19">
      <c r="R43203" s="178"/>
      <c r="S43203" s="178"/>
    </row>
    <row r="43204" spans="18:19">
      <c r="R43204" s="178"/>
      <c r="S43204" s="178"/>
    </row>
    <row r="43205" spans="18:19">
      <c r="R43205" s="178"/>
      <c r="S43205" s="178"/>
    </row>
    <row r="43206" spans="18:19">
      <c r="R43206" s="178"/>
      <c r="S43206" s="178"/>
    </row>
    <row r="43207" spans="18:19">
      <c r="R43207" s="178"/>
      <c r="S43207" s="178"/>
    </row>
    <row r="43208" spans="18:19">
      <c r="R43208" s="178"/>
      <c r="S43208" s="178"/>
    </row>
    <row r="43209" spans="18:19">
      <c r="R43209" s="178"/>
      <c r="S43209" s="178"/>
    </row>
    <row r="43210" spans="18:19">
      <c r="R43210" s="178"/>
      <c r="S43210" s="178"/>
    </row>
    <row r="43211" spans="18:19">
      <c r="R43211" s="178"/>
      <c r="S43211" s="178"/>
    </row>
    <row r="43212" spans="18:19">
      <c r="R43212" s="178"/>
      <c r="S43212" s="178"/>
    </row>
    <row r="43213" spans="18:19">
      <c r="R43213" s="178"/>
      <c r="S43213" s="178"/>
    </row>
    <row r="43214" spans="18:19">
      <c r="R43214" s="178"/>
      <c r="S43214" s="178"/>
    </row>
    <row r="43215" spans="18:19">
      <c r="R43215" s="178"/>
      <c r="S43215" s="178"/>
    </row>
    <row r="43216" spans="18:19">
      <c r="R43216" s="178"/>
      <c r="S43216" s="178"/>
    </row>
    <row r="43217" spans="18:19">
      <c r="R43217" s="178"/>
      <c r="S43217" s="178"/>
    </row>
    <row r="43218" spans="18:19">
      <c r="R43218" s="178"/>
      <c r="S43218" s="178"/>
    </row>
    <row r="43219" spans="18:19">
      <c r="R43219" s="178"/>
      <c r="S43219" s="178"/>
    </row>
    <row r="43220" spans="18:19">
      <c r="R43220" s="178"/>
      <c r="S43220" s="178"/>
    </row>
    <row r="43221" spans="18:19">
      <c r="R43221" s="178"/>
      <c r="S43221" s="178"/>
    </row>
    <row r="43222" spans="18:19">
      <c r="R43222" s="178"/>
      <c r="S43222" s="178"/>
    </row>
    <row r="43223" spans="18:19">
      <c r="R43223" s="178"/>
      <c r="S43223" s="178"/>
    </row>
    <row r="43224" spans="18:19">
      <c r="R43224" s="178"/>
      <c r="S43224" s="178"/>
    </row>
    <row r="43225" spans="18:19">
      <c r="R43225" s="178"/>
      <c r="S43225" s="178"/>
    </row>
    <row r="43226" spans="18:19">
      <c r="R43226" s="178"/>
      <c r="S43226" s="178"/>
    </row>
    <row r="43227" spans="18:19">
      <c r="R43227" s="178"/>
      <c r="S43227" s="178"/>
    </row>
    <row r="43228" spans="18:19">
      <c r="R43228" s="178"/>
      <c r="S43228" s="178"/>
    </row>
    <row r="43229" spans="18:19">
      <c r="R43229" s="178"/>
      <c r="S43229" s="178"/>
    </row>
    <row r="43230" spans="18:19">
      <c r="R43230" s="178"/>
      <c r="S43230" s="178"/>
    </row>
    <row r="43231" spans="18:19">
      <c r="R43231" s="178"/>
      <c r="S43231" s="178"/>
    </row>
    <row r="43232" spans="18:19">
      <c r="R43232" s="178"/>
      <c r="S43232" s="178"/>
    </row>
    <row r="43233" spans="18:19">
      <c r="R43233" s="178"/>
      <c r="S43233" s="178"/>
    </row>
    <row r="43234" spans="18:19">
      <c r="R43234" s="178"/>
      <c r="S43234" s="178"/>
    </row>
    <row r="43235" spans="18:19">
      <c r="R43235" s="178"/>
      <c r="S43235" s="178"/>
    </row>
    <row r="43236" spans="18:19">
      <c r="R43236" s="178"/>
      <c r="S43236" s="178"/>
    </row>
    <row r="43237" spans="18:19">
      <c r="R43237" s="178"/>
      <c r="S43237" s="178"/>
    </row>
    <row r="43238" spans="18:19">
      <c r="R43238" s="178"/>
      <c r="S43238" s="178"/>
    </row>
    <row r="43239" spans="18:19">
      <c r="R43239" s="178"/>
      <c r="S43239" s="178"/>
    </row>
    <row r="43240" spans="18:19">
      <c r="R43240" s="178"/>
      <c r="S43240" s="178"/>
    </row>
    <row r="43241" spans="18:19">
      <c r="R43241" s="178"/>
      <c r="S43241" s="178"/>
    </row>
    <row r="43242" spans="18:19">
      <c r="R43242" s="178"/>
      <c r="S43242" s="178"/>
    </row>
    <row r="43243" spans="18:19">
      <c r="R43243" s="178"/>
      <c r="S43243" s="178"/>
    </row>
    <row r="43244" spans="18:19">
      <c r="R43244" s="178"/>
      <c r="S43244" s="178"/>
    </row>
    <row r="43245" spans="18:19">
      <c r="R43245" s="178"/>
      <c r="S43245" s="178"/>
    </row>
    <row r="43246" spans="18:19">
      <c r="R43246" s="178"/>
      <c r="S43246" s="178"/>
    </row>
    <row r="43247" spans="18:19">
      <c r="R43247" s="178"/>
      <c r="S43247" s="178"/>
    </row>
    <row r="43248" spans="18:19">
      <c r="R43248" s="178"/>
      <c r="S43248" s="178"/>
    </row>
    <row r="43249" spans="18:19">
      <c r="R43249" s="178"/>
      <c r="S43249" s="178"/>
    </row>
    <row r="43250" spans="18:19">
      <c r="R43250" s="178"/>
      <c r="S43250" s="178"/>
    </row>
    <row r="43251" spans="18:19">
      <c r="R43251" s="178"/>
      <c r="S43251" s="178"/>
    </row>
    <row r="43252" spans="18:19">
      <c r="R43252" s="178"/>
      <c r="S43252" s="178"/>
    </row>
    <row r="43253" spans="18:19">
      <c r="R43253" s="178"/>
      <c r="S43253" s="178"/>
    </row>
    <row r="43254" spans="18:19">
      <c r="R43254" s="178"/>
      <c r="S43254" s="178"/>
    </row>
    <row r="43255" spans="18:19">
      <c r="R43255" s="178"/>
      <c r="S43255" s="178"/>
    </row>
    <row r="43256" spans="18:19">
      <c r="R43256" s="178"/>
      <c r="S43256" s="178"/>
    </row>
    <row r="43257" spans="18:19">
      <c r="R43257" s="178"/>
      <c r="S43257" s="178"/>
    </row>
    <row r="43258" spans="18:19">
      <c r="R43258" s="178"/>
      <c r="S43258" s="178"/>
    </row>
    <row r="43259" spans="18:19">
      <c r="R43259" s="178"/>
      <c r="S43259" s="178"/>
    </row>
    <row r="43260" spans="18:19">
      <c r="R43260" s="178"/>
      <c r="S43260" s="178"/>
    </row>
    <row r="43261" spans="18:19">
      <c r="R43261" s="178"/>
      <c r="S43261" s="178"/>
    </row>
    <row r="43262" spans="18:19">
      <c r="R43262" s="178"/>
      <c r="S43262" s="178"/>
    </row>
    <row r="43263" spans="18:19">
      <c r="R43263" s="178"/>
      <c r="S43263" s="178"/>
    </row>
    <row r="43264" spans="18:19">
      <c r="R43264" s="178"/>
      <c r="S43264" s="178"/>
    </row>
    <row r="43265" spans="18:19">
      <c r="R43265" s="178"/>
      <c r="S43265" s="178"/>
    </row>
    <row r="43266" spans="18:19">
      <c r="R43266" s="178"/>
      <c r="S43266" s="178"/>
    </row>
    <row r="43267" spans="18:19">
      <c r="R43267" s="178"/>
      <c r="S43267" s="178"/>
    </row>
    <row r="43268" spans="18:19">
      <c r="R43268" s="178"/>
      <c r="S43268" s="178"/>
    </row>
    <row r="43269" spans="18:19">
      <c r="R43269" s="178"/>
      <c r="S43269" s="178"/>
    </row>
    <row r="43270" spans="18:19">
      <c r="R43270" s="178"/>
      <c r="S43270" s="178"/>
    </row>
    <row r="43271" spans="18:19">
      <c r="R43271" s="178"/>
      <c r="S43271" s="178"/>
    </row>
    <row r="43272" spans="18:19">
      <c r="R43272" s="178"/>
      <c r="S43272" s="178"/>
    </row>
    <row r="43273" spans="18:19">
      <c r="R43273" s="178"/>
      <c r="S43273" s="178"/>
    </row>
    <row r="43274" spans="18:19">
      <c r="R43274" s="178"/>
      <c r="S43274" s="178"/>
    </row>
    <row r="43275" spans="18:19">
      <c r="R43275" s="178"/>
      <c r="S43275" s="178"/>
    </row>
    <row r="43276" spans="18:19">
      <c r="R43276" s="178"/>
      <c r="S43276" s="178"/>
    </row>
    <row r="43277" spans="18:19">
      <c r="R43277" s="178"/>
      <c r="S43277" s="178"/>
    </row>
    <row r="43278" spans="18:19">
      <c r="R43278" s="178"/>
      <c r="S43278" s="178"/>
    </row>
    <row r="43279" spans="18:19">
      <c r="R43279" s="178"/>
      <c r="S43279" s="178"/>
    </row>
    <row r="43280" spans="18:19">
      <c r="R43280" s="178"/>
      <c r="S43280" s="178"/>
    </row>
    <row r="43281" spans="18:19">
      <c r="R43281" s="178"/>
      <c r="S43281" s="178"/>
    </row>
    <row r="43282" spans="18:19">
      <c r="R43282" s="178"/>
      <c r="S43282" s="178"/>
    </row>
    <row r="43283" spans="18:19">
      <c r="R43283" s="178"/>
      <c r="S43283" s="178"/>
    </row>
    <row r="43284" spans="18:19">
      <c r="R43284" s="178"/>
      <c r="S43284" s="178"/>
    </row>
    <row r="43285" spans="18:19">
      <c r="R43285" s="178"/>
      <c r="S43285" s="178"/>
    </row>
    <row r="43286" spans="18:19">
      <c r="R43286" s="178"/>
      <c r="S43286" s="178"/>
    </row>
    <row r="43287" spans="18:19">
      <c r="R43287" s="178"/>
      <c r="S43287" s="178"/>
    </row>
    <row r="43288" spans="18:19">
      <c r="R43288" s="178"/>
      <c r="S43288" s="178"/>
    </row>
    <row r="43289" spans="18:19">
      <c r="R43289" s="178"/>
      <c r="S43289" s="178"/>
    </row>
    <row r="43290" spans="18:19">
      <c r="R43290" s="178"/>
      <c r="S43290" s="178"/>
    </row>
    <row r="43291" spans="18:19">
      <c r="R43291" s="178"/>
      <c r="S43291" s="178"/>
    </row>
    <row r="43292" spans="18:19">
      <c r="R43292" s="178"/>
      <c r="S43292" s="178"/>
    </row>
    <row r="43293" spans="18:19">
      <c r="R43293" s="178"/>
      <c r="S43293" s="178"/>
    </row>
    <row r="43294" spans="18:19">
      <c r="R43294" s="178"/>
      <c r="S43294" s="178"/>
    </row>
    <row r="43295" spans="18:19">
      <c r="R43295" s="178"/>
      <c r="S43295" s="178"/>
    </row>
    <row r="43296" spans="18:19">
      <c r="R43296" s="178"/>
      <c r="S43296" s="178"/>
    </row>
    <row r="43297" spans="18:19">
      <c r="R43297" s="178"/>
      <c r="S43297" s="178"/>
    </row>
    <row r="43298" spans="18:19">
      <c r="R43298" s="178"/>
      <c r="S43298" s="178"/>
    </row>
    <row r="43299" spans="18:19">
      <c r="R43299" s="178"/>
      <c r="S43299" s="178"/>
    </row>
    <row r="43300" spans="18:19">
      <c r="R43300" s="178"/>
      <c r="S43300" s="178"/>
    </row>
    <row r="43301" spans="18:19">
      <c r="R43301" s="178"/>
      <c r="S43301" s="178"/>
    </row>
    <row r="43302" spans="18:19">
      <c r="R43302" s="178"/>
      <c r="S43302" s="178"/>
    </row>
    <row r="43303" spans="18:19">
      <c r="R43303" s="178"/>
      <c r="S43303" s="178"/>
    </row>
    <row r="43304" spans="18:19">
      <c r="R43304" s="178"/>
      <c r="S43304" s="178"/>
    </row>
    <row r="43305" spans="18:19">
      <c r="R43305" s="178"/>
      <c r="S43305" s="178"/>
    </row>
    <row r="43306" spans="18:19">
      <c r="R43306" s="178"/>
      <c r="S43306" s="178"/>
    </row>
    <row r="43307" spans="18:19">
      <c r="R43307" s="178"/>
      <c r="S43307" s="178"/>
    </row>
    <row r="43308" spans="18:19">
      <c r="R43308" s="178"/>
      <c r="S43308" s="178"/>
    </row>
    <row r="43309" spans="18:19">
      <c r="R43309" s="178"/>
      <c r="S43309" s="178"/>
    </row>
    <row r="43310" spans="18:19">
      <c r="R43310" s="178"/>
      <c r="S43310" s="178"/>
    </row>
    <row r="43311" spans="18:19">
      <c r="R43311" s="178"/>
      <c r="S43311" s="178"/>
    </row>
    <row r="43312" spans="18:19">
      <c r="R43312" s="178"/>
      <c r="S43312" s="178"/>
    </row>
    <row r="43313" spans="18:19">
      <c r="R43313" s="178"/>
      <c r="S43313" s="178"/>
    </row>
    <row r="43314" spans="18:19">
      <c r="R43314" s="178"/>
      <c r="S43314" s="178"/>
    </row>
    <row r="43315" spans="18:19">
      <c r="R43315" s="178"/>
      <c r="S43315" s="178"/>
    </row>
    <row r="43316" spans="18:19">
      <c r="R43316" s="178"/>
      <c r="S43316" s="178"/>
    </row>
    <row r="43317" spans="18:19">
      <c r="R43317" s="178"/>
      <c r="S43317" s="178"/>
    </row>
    <row r="43318" spans="18:19">
      <c r="R43318" s="178"/>
      <c r="S43318" s="178"/>
    </row>
    <row r="43319" spans="18:19">
      <c r="R43319" s="178"/>
      <c r="S43319" s="178"/>
    </row>
    <row r="43320" spans="18:19">
      <c r="R43320" s="178"/>
      <c r="S43320" s="178"/>
    </row>
    <row r="43321" spans="18:19">
      <c r="R43321" s="178"/>
      <c r="S43321" s="178"/>
    </row>
    <row r="43322" spans="18:19">
      <c r="R43322" s="178"/>
      <c r="S43322" s="178"/>
    </row>
    <row r="43323" spans="18:19">
      <c r="R43323" s="178"/>
      <c r="S43323" s="178"/>
    </row>
    <row r="43324" spans="18:19">
      <c r="R43324" s="178"/>
      <c r="S43324" s="178"/>
    </row>
    <row r="43325" spans="18:19">
      <c r="R43325" s="178"/>
      <c r="S43325" s="178"/>
    </row>
    <row r="43326" spans="18:19">
      <c r="R43326" s="178"/>
      <c r="S43326" s="178"/>
    </row>
    <row r="43327" spans="18:19">
      <c r="R43327" s="178"/>
      <c r="S43327" s="178"/>
    </row>
    <row r="43328" spans="18:19">
      <c r="R43328" s="178"/>
      <c r="S43328" s="178"/>
    </row>
    <row r="43329" spans="18:19">
      <c r="R43329" s="178"/>
      <c r="S43329" s="178"/>
    </row>
    <row r="43330" spans="18:19">
      <c r="R43330" s="178"/>
      <c r="S43330" s="178"/>
    </row>
    <row r="43331" spans="18:19">
      <c r="R43331" s="178"/>
      <c r="S43331" s="178"/>
    </row>
    <row r="43332" spans="18:19">
      <c r="R43332" s="178"/>
      <c r="S43332" s="178"/>
    </row>
    <row r="43333" spans="18:19">
      <c r="R43333" s="178"/>
      <c r="S43333" s="178"/>
    </row>
    <row r="43334" spans="18:19">
      <c r="R43334" s="178"/>
      <c r="S43334" s="178"/>
    </row>
    <row r="43335" spans="18:19">
      <c r="R43335" s="178"/>
      <c r="S43335" s="178"/>
    </row>
    <row r="43336" spans="18:19">
      <c r="R43336" s="178"/>
      <c r="S43336" s="178"/>
    </row>
    <row r="43337" spans="18:19">
      <c r="R43337" s="178"/>
      <c r="S43337" s="178"/>
    </row>
    <row r="43338" spans="18:19">
      <c r="R43338" s="178"/>
      <c r="S43338" s="178"/>
    </row>
    <row r="43339" spans="18:19">
      <c r="R43339" s="178"/>
      <c r="S43339" s="178"/>
    </row>
    <row r="43340" spans="18:19">
      <c r="R43340" s="178"/>
      <c r="S43340" s="178"/>
    </row>
    <row r="43341" spans="18:19">
      <c r="R43341" s="178"/>
      <c r="S43341" s="178"/>
    </row>
    <row r="43342" spans="18:19">
      <c r="R43342" s="178"/>
      <c r="S43342" s="178"/>
    </row>
    <row r="43343" spans="18:19">
      <c r="R43343" s="178"/>
      <c r="S43343" s="178"/>
    </row>
    <row r="43344" spans="18:19">
      <c r="R43344" s="178"/>
      <c r="S43344" s="178"/>
    </row>
    <row r="43345" spans="18:19">
      <c r="R43345" s="178"/>
      <c r="S43345" s="178"/>
    </row>
    <row r="43346" spans="18:19">
      <c r="R43346" s="178"/>
      <c r="S43346" s="178"/>
    </row>
    <row r="43347" spans="18:19">
      <c r="R43347" s="178"/>
      <c r="S43347" s="178"/>
    </row>
    <row r="43348" spans="18:19">
      <c r="R43348" s="178"/>
      <c r="S43348" s="178"/>
    </row>
    <row r="43349" spans="18:19">
      <c r="R43349" s="178"/>
      <c r="S43349" s="178"/>
    </row>
    <row r="43350" spans="18:19">
      <c r="R43350" s="178"/>
      <c r="S43350" s="178"/>
    </row>
    <row r="43351" spans="18:19">
      <c r="R43351" s="178"/>
      <c r="S43351" s="178"/>
    </row>
    <row r="43352" spans="18:19">
      <c r="R43352" s="178"/>
      <c r="S43352" s="178"/>
    </row>
    <row r="43353" spans="18:19">
      <c r="R43353" s="178"/>
      <c r="S43353" s="178"/>
    </row>
    <row r="43354" spans="18:19">
      <c r="R43354" s="178"/>
      <c r="S43354" s="178"/>
    </row>
    <row r="43355" spans="18:19">
      <c r="R43355" s="178"/>
      <c r="S43355" s="178"/>
    </row>
    <row r="43356" spans="18:19">
      <c r="R43356" s="178"/>
      <c r="S43356" s="178"/>
    </row>
    <row r="43357" spans="18:19">
      <c r="R43357" s="178"/>
      <c r="S43357" s="178"/>
    </row>
    <row r="43358" spans="18:19">
      <c r="R43358" s="178"/>
      <c r="S43358" s="178"/>
    </row>
    <row r="43359" spans="18:19">
      <c r="R43359" s="178"/>
      <c r="S43359" s="178"/>
    </row>
    <row r="43360" spans="18:19">
      <c r="R43360" s="178"/>
      <c r="S43360" s="178"/>
    </row>
    <row r="43361" spans="18:19">
      <c r="R43361" s="178"/>
      <c r="S43361" s="178"/>
    </row>
    <row r="43362" spans="18:19">
      <c r="R43362" s="178"/>
      <c r="S43362" s="178"/>
    </row>
    <row r="43363" spans="18:19">
      <c r="R43363" s="178"/>
      <c r="S43363" s="178"/>
    </row>
    <row r="43364" spans="18:19">
      <c r="R43364" s="178"/>
      <c r="S43364" s="178"/>
    </row>
    <row r="43365" spans="18:19">
      <c r="R43365" s="178"/>
      <c r="S43365" s="178"/>
    </row>
    <row r="43366" spans="18:19">
      <c r="R43366" s="178"/>
      <c r="S43366" s="178"/>
    </row>
    <row r="43367" spans="18:19">
      <c r="R43367" s="178"/>
      <c r="S43367" s="178"/>
    </row>
    <row r="43368" spans="18:19">
      <c r="R43368" s="178"/>
      <c r="S43368" s="178"/>
    </row>
    <row r="43369" spans="18:19">
      <c r="R43369" s="178"/>
      <c r="S43369" s="178"/>
    </row>
    <row r="43370" spans="18:19">
      <c r="R43370" s="178"/>
      <c r="S43370" s="178"/>
    </row>
    <row r="43371" spans="18:19">
      <c r="R43371" s="178"/>
      <c r="S43371" s="178"/>
    </row>
    <row r="43372" spans="18:19">
      <c r="R43372" s="178"/>
      <c r="S43372" s="178"/>
    </row>
    <row r="43373" spans="18:19">
      <c r="R43373" s="178"/>
      <c r="S43373" s="178"/>
    </row>
    <row r="43374" spans="18:19">
      <c r="R43374" s="178"/>
      <c r="S43374" s="178"/>
    </row>
    <row r="43375" spans="18:19">
      <c r="R43375" s="178"/>
      <c r="S43375" s="178"/>
    </row>
    <row r="43376" spans="18:19">
      <c r="R43376" s="178"/>
      <c r="S43376" s="178"/>
    </row>
    <row r="43377" spans="18:19">
      <c r="R43377" s="178"/>
      <c r="S43377" s="178"/>
    </row>
    <row r="43378" spans="18:19">
      <c r="R43378" s="178"/>
      <c r="S43378" s="178"/>
    </row>
    <row r="43379" spans="18:19">
      <c r="R43379" s="178"/>
      <c r="S43379" s="178"/>
    </row>
    <row r="43380" spans="18:19">
      <c r="R43380" s="178"/>
      <c r="S43380" s="178"/>
    </row>
    <row r="43381" spans="18:19">
      <c r="R43381" s="178"/>
      <c r="S43381" s="178"/>
    </row>
    <row r="43382" spans="18:19">
      <c r="R43382" s="178"/>
      <c r="S43382" s="178"/>
    </row>
    <row r="43383" spans="18:19">
      <c r="R43383" s="178"/>
      <c r="S43383" s="178"/>
    </row>
    <row r="43384" spans="18:19">
      <c r="R43384" s="178"/>
      <c r="S43384" s="178"/>
    </row>
    <row r="43385" spans="18:19">
      <c r="R43385" s="178"/>
      <c r="S43385" s="178"/>
    </row>
    <row r="43386" spans="18:19">
      <c r="R43386" s="178"/>
      <c r="S43386" s="178"/>
    </row>
    <row r="43387" spans="18:19">
      <c r="R43387" s="178"/>
      <c r="S43387" s="178"/>
    </row>
    <row r="43388" spans="18:19">
      <c r="R43388" s="178"/>
      <c r="S43388" s="178"/>
    </row>
    <row r="43389" spans="18:19">
      <c r="R43389" s="178"/>
      <c r="S43389" s="178"/>
    </row>
    <row r="43390" spans="18:19">
      <c r="R43390" s="178"/>
      <c r="S43390" s="178"/>
    </row>
    <row r="43391" spans="18:19">
      <c r="R43391" s="178"/>
      <c r="S43391" s="178"/>
    </row>
    <row r="43392" spans="18:19">
      <c r="R43392" s="178"/>
      <c r="S43392" s="178"/>
    </row>
    <row r="43393" spans="18:19">
      <c r="R43393" s="178"/>
      <c r="S43393" s="178"/>
    </row>
    <row r="43394" spans="18:19">
      <c r="R43394" s="178"/>
      <c r="S43394" s="178"/>
    </row>
    <row r="43395" spans="18:19">
      <c r="R43395" s="178"/>
      <c r="S43395" s="178"/>
    </row>
    <row r="43396" spans="18:19">
      <c r="R43396" s="178"/>
      <c r="S43396" s="178"/>
    </row>
    <row r="43397" spans="18:19">
      <c r="R43397" s="178"/>
      <c r="S43397" s="178"/>
    </row>
    <row r="43398" spans="18:19">
      <c r="R43398" s="178"/>
      <c r="S43398" s="178"/>
    </row>
    <row r="43399" spans="18:19">
      <c r="R43399" s="178"/>
      <c r="S43399" s="178"/>
    </row>
    <row r="43400" spans="18:19">
      <c r="R43400" s="178"/>
      <c r="S43400" s="178"/>
    </row>
    <row r="43401" spans="18:19">
      <c r="R43401" s="178"/>
      <c r="S43401" s="178"/>
    </row>
    <row r="43402" spans="18:19">
      <c r="R43402" s="178"/>
      <c r="S43402" s="178"/>
    </row>
    <row r="43403" spans="18:19">
      <c r="R43403" s="178"/>
      <c r="S43403" s="178"/>
    </row>
    <row r="43404" spans="18:19">
      <c r="R43404" s="178"/>
      <c r="S43404" s="178"/>
    </row>
    <row r="43405" spans="18:19">
      <c r="R43405" s="178"/>
      <c r="S43405" s="178"/>
    </row>
    <row r="43406" spans="18:19">
      <c r="R43406" s="178"/>
      <c r="S43406" s="178"/>
    </row>
    <row r="43407" spans="18:19">
      <c r="R43407" s="178"/>
      <c r="S43407" s="178"/>
    </row>
    <row r="43408" spans="18:19">
      <c r="R43408" s="178"/>
      <c r="S43408" s="178"/>
    </row>
    <row r="43409" spans="18:19">
      <c r="R43409" s="178"/>
      <c r="S43409" s="178"/>
    </row>
    <row r="43410" spans="18:19">
      <c r="R43410" s="178"/>
      <c r="S43410" s="178"/>
    </row>
    <row r="43411" spans="18:19">
      <c r="R43411" s="178"/>
      <c r="S43411" s="178"/>
    </row>
    <row r="43412" spans="18:19">
      <c r="R43412" s="178"/>
      <c r="S43412" s="178"/>
    </row>
    <row r="43413" spans="18:19">
      <c r="R43413" s="178"/>
      <c r="S43413" s="178"/>
    </row>
    <row r="43414" spans="18:19">
      <c r="R43414" s="178"/>
      <c r="S43414" s="178"/>
    </row>
    <row r="43415" spans="18:19">
      <c r="R43415" s="178"/>
      <c r="S43415" s="178"/>
    </row>
    <row r="43416" spans="18:19">
      <c r="R43416" s="178"/>
      <c r="S43416" s="178"/>
    </row>
    <row r="43417" spans="18:19">
      <c r="R43417" s="178"/>
      <c r="S43417" s="178"/>
    </row>
    <row r="43418" spans="18:19">
      <c r="R43418" s="178"/>
      <c r="S43418" s="178"/>
    </row>
    <row r="43419" spans="18:19">
      <c r="R43419" s="178"/>
      <c r="S43419" s="178"/>
    </row>
    <row r="43420" spans="18:19">
      <c r="R43420" s="178"/>
      <c r="S43420" s="178"/>
    </row>
    <row r="43421" spans="18:19">
      <c r="R43421" s="178"/>
      <c r="S43421" s="178"/>
    </row>
    <row r="43422" spans="18:19">
      <c r="R43422" s="178"/>
      <c r="S43422" s="178"/>
    </row>
    <row r="43423" spans="18:19">
      <c r="R43423" s="178"/>
      <c r="S43423" s="178"/>
    </row>
    <row r="43424" spans="18:19">
      <c r="R43424" s="178"/>
      <c r="S43424" s="178"/>
    </row>
    <row r="43425" spans="18:19">
      <c r="R43425" s="178"/>
      <c r="S43425" s="178"/>
    </row>
    <row r="43426" spans="18:19">
      <c r="R43426" s="178"/>
      <c r="S43426" s="178"/>
    </row>
    <row r="43427" spans="18:19">
      <c r="R43427" s="178"/>
      <c r="S43427" s="178"/>
    </row>
    <row r="43428" spans="18:19">
      <c r="R43428" s="178"/>
      <c r="S43428" s="178"/>
    </row>
    <row r="43429" spans="18:19">
      <c r="R43429" s="178"/>
      <c r="S43429" s="178"/>
    </row>
    <row r="43430" spans="18:19">
      <c r="R43430" s="178"/>
      <c r="S43430" s="178"/>
    </row>
    <row r="43431" spans="18:19">
      <c r="R43431" s="178"/>
      <c r="S43431" s="178"/>
    </row>
    <row r="43432" spans="18:19">
      <c r="R43432" s="178"/>
      <c r="S43432" s="178"/>
    </row>
    <row r="43433" spans="18:19">
      <c r="R43433" s="178"/>
      <c r="S43433" s="178"/>
    </row>
    <row r="43434" spans="18:19">
      <c r="R43434" s="178"/>
      <c r="S43434" s="178"/>
    </row>
    <row r="43435" spans="18:19">
      <c r="R43435" s="178"/>
      <c r="S43435" s="178"/>
    </row>
    <row r="43436" spans="18:19">
      <c r="R43436" s="178"/>
      <c r="S43436" s="178"/>
    </row>
    <row r="43437" spans="18:19">
      <c r="R43437" s="178"/>
      <c r="S43437" s="178"/>
    </row>
    <row r="43438" spans="18:19">
      <c r="R43438" s="178"/>
      <c r="S43438" s="178"/>
    </row>
    <row r="43439" spans="18:19">
      <c r="R43439" s="178"/>
      <c r="S43439" s="178"/>
    </row>
    <row r="43440" spans="18:19">
      <c r="R43440" s="178"/>
      <c r="S43440" s="178"/>
    </row>
    <row r="43441" spans="18:19">
      <c r="R43441" s="178"/>
      <c r="S43441" s="178"/>
    </row>
    <row r="43442" spans="18:19">
      <c r="R43442" s="178"/>
      <c r="S43442" s="178"/>
    </row>
    <row r="43443" spans="18:19">
      <c r="R43443" s="178"/>
      <c r="S43443" s="178"/>
    </row>
    <row r="43444" spans="18:19">
      <c r="R43444" s="178"/>
      <c r="S43444" s="178"/>
    </row>
    <row r="43445" spans="18:19">
      <c r="R43445" s="178"/>
      <c r="S43445" s="178"/>
    </row>
    <row r="43446" spans="18:19">
      <c r="R43446" s="178"/>
      <c r="S43446" s="178"/>
    </row>
    <row r="43447" spans="18:19">
      <c r="R43447" s="178"/>
      <c r="S43447" s="178"/>
    </row>
    <row r="43448" spans="18:19">
      <c r="R43448" s="178"/>
      <c r="S43448" s="178"/>
    </row>
    <row r="43449" spans="18:19">
      <c r="R43449" s="178"/>
      <c r="S43449" s="178"/>
    </row>
    <row r="43450" spans="18:19">
      <c r="R43450" s="178"/>
      <c r="S43450" s="178"/>
    </row>
    <row r="43451" spans="18:19">
      <c r="R43451" s="178"/>
      <c r="S43451" s="178"/>
    </row>
    <row r="43452" spans="18:19">
      <c r="R43452" s="178"/>
      <c r="S43452" s="178"/>
    </row>
    <row r="43453" spans="18:19">
      <c r="R43453" s="178"/>
      <c r="S43453" s="178"/>
    </row>
    <row r="43454" spans="18:19">
      <c r="R43454" s="178"/>
      <c r="S43454" s="178"/>
    </row>
    <row r="43455" spans="18:19">
      <c r="R43455" s="178"/>
      <c r="S43455" s="178"/>
    </row>
    <row r="43456" spans="18:19">
      <c r="R43456" s="178"/>
      <c r="S43456" s="178"/>
    </row>
    <row r="43457" spans="18:19">
      <c r="R43457" s="178"/>
      <c r="S43457" s="178"/>
    </row>
    <row r="43458" spans="18:19">
      <c r="R43458" s="178"/>
      <c r="S43458" s="178"/>
    </row>
    <row r="43459" spans="18:19">
      <c r="R43459" s="178"/>
      <c r="S43459" s="178"/>
    </row>
    <row r="43460" spans="18:19">
      <c r="R43460" s="178"/>
      <c r="S43460" s="178"/>
    </row>
    <row r="43461" spans="18:19">
      <c r="R43461" s="178"/>
      <c r="S43461" s="178"/>
    </row>
    <row r="43462" spans="18:19">
      <c r="R43462" s="178"/>
      <c r="S43462" s="178"/>
    </row>
    <row r="43463" spans="18:19">
      <c r="R43463" s="178"/>
      <c r="S43463" s="178"/>
    </row>
    <row r="43464" spans="18:19">
      <c r="R43464" s="178"/>
      <c r="S43464" s="178"/>
    </row>
    <row r="43465" spans="18:19">
      <c r="R43465" s="178"/>
      <c r="S43465" s="178"/>
    </row>
    <row r="43466" spans="18:19">
      <c r="R43466" s="178"/>
      <c r="S43466" s="178"/>
    </row>
    <row r="43467" spans="18:19">
      <c r="R43467" s="178"/>
      <c r="S43467" s="178"/>
    </row>
    <row r="43468" spans="18:19">
      <c r="R43468" s="178"/>
      <c r="S43468" s="178"/>
    </row>
    <row r="43469" spans="18:19">
      <c r="R43469" s="178"/>
      <c r="S43469" s="178"/>
    </row>
    <row r="43470" spans="18:19">
      <c r="R43470" s="178"/>
      <c r="S43470" s="178"/>
    </row>
    <row r="43471" spans="18:19">
      <c r="R43471" s="178"/>
      <c r="S43471" s="178"/>
    </row>
    <row r="43472" spans="18:19">
      <c r="R43472" s="178"/>
      <c r="S43472" s="178"/>
    </row>
    <row r="43473" spans="18:19">
      <c r="R43473" s="178"/>
      <c r="S43473" s="178"/>
    </row>
    <row r="43474" spans="18:19">
      <c r="R43474" s="178"/>
      <c r="S43474" s="178"/>
    </row>
    <row r="43475" spans="18:19">
      <c r="R43475" s="178"/>
      <c r="S43475" s="178"/>
    </row>
    <row r="43476" spans="18:19">
      <c r="R43476" s="178"/>
      <c r="S43476" s="178"/>
    </row>
    <row r="43477" spans="18:19">
      <c r="R43477" s="178"/>
      <c r="S43477" s="178"/>
    </row>
    <row r="43478" spans="18:19">
      <c r="R43478" s="178"/>
      <c r="S43478" s="178"/>
    </row>
    <row r="43479" spans="18:19">
      <c r="R43479" s="178"/>
      <c r="S43479" s="178"/>
    </row>
    <row r="43480" spans="18:19">
      <c r="R43480" s="178"/>
      <c r="S43480" s="178"/>
    </row>
    <row r="43481" spans="18:19">
      <c r="R43481" s="178"/>
      <c r="S43481" s="178"/>
    </row>
    <row r="43482" spans="18:19">
      <c r="R43482" s="178"/>
      <c r="S43482" s="178"/>
    </row>
    <row r="43483" spans="18:19">
      <c r="R43483" s="178"/>
      <c r="S43483" s="178"/>
    </row>
    <row r="43484" spans="18:19">
      <c r="R43484" s="178"/>
      <c r="S43484" s="178"/>
    </row>
    <row r="43485" spans="18:19">
      <c r="R43485" s="178"/>
      <c r="S43485" s="178"/>
    </row>
    <row r="43486" spans="18:19">
      <c r="R43486" s="178"/>
      <c r="S43486" s="178"/>
    </row>
    <row r="43487" spans="18:19">
      <c r="R43487" s="178"/>
      <c r="S43487" s="178"/>
    </row>
    <row r="43488" spans="18:19">
      <c r="R43488" s="178"/>
      <c r="S43488" s="178"/>
    </row>
    <row r="43489" spans="18:19">
      <c r="R43489" s="178"/>
      <c r="S43489" s="178"/>
    </row>
    <row r="43490" spans="18:19">
      <c r="R43490" s="178"/>
      <c r="S43490" s="178"/>
    </row>
    <row r="43491" spans="18:19">
      <c r="R43491" s="178"/>
      <c r="S43491" s="178"/>
    </row>
    <row r="43492" spans="18:19">
      <c r="R43492" s="178"/>
      <c r="S43492" s="178"/>
    </row>
    <row r="43493" spans="18:19">
      <c r="R43493" s="178"/>
      <c r="S43493" s="178"/>
    </row>
    <row r="43494" spans="18:19">
      <c r="R43494" s="178"/>
      <c r="S43494" s="178"/>
    </row>
    <row r="43495" spans="18:19">
      <c r="R43495" s="178"/>
      <c r="S43495" s="178"/>
    </row>
    <row r="43496" spans="18:19">
      <c r="R43496" s="178"/>
      <c r="S43496" s="178"/>
    </row>
    <row r="43497" spans="18:19">
      <c r="R43497" s="178"/>
      <c r="S43497" s="178"/>
    </row>
    <row r="43498" spans="18:19">
      <c r="R43498" s="178"/>
      <c r="S43498" s="178"/>
    </row>
    <row r="43499" spans="18:19">
      <c r="R43499" s="178"/>
      <c r="S43499" s="178"/>
    </row>
    <row r="43500" spans="18:19">
      <c r="R43500" s="178"/>
      <c r="S43500" s="178"/>
    </row>
    <row r="43501" spans="18:19">
      <c r="R43501" s="178"/>
      <c r="S43501" s="178"/>
    </row>
    <row r="43502" spans="18:19">
      <c r="R43502" s="178"/>
      <c r="S43502" s="178"/>
    </row>
    <row r="43503" spans="18:19">
      <c r="R43503" s="178"/>
      <c r="S43503" s="178"/>
    </row>
    <row r="43504" spans="18:19">
      <c r="R43504" s="178"/>
      <c r="S43504" s="178"/>
    </row>
    <row r="43505" spans="18:19">
      <c r="R43505" s="178"/>
      <c r="S43505" s="178"/>
    </row>
    <row r="43506" spans="18:19">
      <c r="R43506" s="178"/>
      <c r="S43506" s="178"/>
    </row>
    <row r="43507" spans="18:19">
      <c r="R43507" s="178"/>
      <c r="S43507" s="178"/>
    </row>
    <row r="43508" spans="18:19">
      <c r="R43508" s="178"/>
      <c r="S43508" s="178"/>
    </row>
    <row r="43509" spans="18:19">
      <c r="R43509" s="178"/>
      <c r="S43509" s="178"/>
    </row>
    <row r="43510" spans="18:19">
      <c r="R43510" s="178"/>
      <c r="S43510" s="178"/>
    </row>
    <row r="43511" spans="18:19">
      <c r="R43511" s="178"/>
      <c r="S43511" s="178"/>
    </row>
    <row r="43512" spans="18:19">
      <c r="R43512" s="178"/>
      <c r="S43512" s="178"/>
    </row>
    <row r="43513" spans="18:19">
      <c r="R43513" s="178"/>
      <c r="S43513" s="178"/>
    </row>
    <row r="43514" spans="18:19">
      <c r="R43514" s="178"/>
      <c r="S43514" s="178"/>
    </row>
    <row r="43515" spans="18:19">
      <c r="R43515" s="178"/>
      <c r="S43515" s="178"/>
    </row>
    <row r="43516" spans="18:19">
      <c r="R43516" s="178"/>
      <c r="S43516" s="178"/>
    </row>
    <row r="43517" spans="18:19">
      <c r="R43517" s="178"/>
      <c r="S43517" s="178"/>
    </row>
    <row r="43518" spans="18:19">
      <c r="R43518" s="178"/>
      <c r="S43518" s="178"/>
    </row>
    <row r="43519" spans="18:19">
      <c r="R43519" s="178"/>
      <c r="S43519" s="178"/>
    </row>
    <row r="43520" spans="18:19">
      <c r="R43520" s="178"/>
      <c r="S43520" s="178"/>
    </row>
    <row r="43521" spans="18:19">
      <c r="R43521" s="178"/>
      <c r="S43521" s="178"/>
    </row>
    <row r="43522" spans="18:19">
      <c r="R43522" s="178"/>
      <c r="S43522" s="178"/>
    </row>
    <row r="43523" spans="18:19">
      <c r="R43523" s="178"/>
      <c r="S43523" s="178"/>
    </row>
    <row r="43524" spans="18:19">
      <c r="R43524" s="178"/>
      <c r="S43524" s="178"/>
    </row>
    <row r="43525" spans="18:19">
      <c r="R43525" s="178"/>
      <c r="S43525" s="178"/>
    </row>
    <row r="43526" spans="18:19">
      <c r="R43526" s="178"/>
      <c r="S43526" s="178"/>
    </row>
    <row r="43527" spans="18:19">
      <c r="R43527" s="178"/>
      <c r="S43527" s="178"/>
    </row>
    <row r="43528" spans="18:19">
      <c r="R43528" s="178"/>
      <c r="S43528" s="178"/>
    </row>
    <row r="43529" spans="18:19">
      <c r="R43529" s="178"/>
      <c r="S43529" s="178"/>
    </row>
    <row r="43530" spans="18:19">
      <c r="R43530" s="178"/>
      <c r="S43530" s="178"/>
    </row>
    <row r="43531" spans="18:19">
      <c r="R43531" s="178"/>
      <c r="S43531" s="178"/>
    </row>
    <row r="43532" spans="18:19">
      <c r="R43532" s="178"/>
      <c r="S43532" s="178"/>
    </row>
    <row r="43533" spans="18:19">
      <c r="R43533" s="178"/>
      <c r="S43533" s="178"/>
    </row>
    <row r="43534" spans="18:19">
      <c r="R43534" s="178"/>
      <c r="S43534" s="178"/>
    </row>
    <row r="43535" spans="18:19">
      <c r="R43535" s="178"/>
      <c r="S43535" s="178"/>
    </row>
    <row r="43536" spans="18:19">
      <c r="R43536" s="178"/>
      <c r="S43536" s="178"/>
    </row>
    <row r="43537" spans="18:19">
      <c r="R43537" s="178"/>
      <c r="S43537" s="178"/>
    </row>
    <row r="43538" spans="18:19">
      <c r="R43538" s="178"/>
      <c r="S43538" s="178"/>
    </row>
    <row r="43539" spans="18:19">
      <c r="R43539" s="178"/>
      <c r="S43539" s="178"/>
    </row>
    <row r="43540" spans="18:19">
      <c r="R43540" s="178"/>
      <c r="S43540" s="178"/>
    </row>
    <row r="43541" spans="18:19">
      <c r="R43541" s="178"/>
      <c r="S43541" s="178"/>
    </row>
    <row r="43542" spans="18:19">
      <c r="R43542" s="178"/>
      <c r="S43542" s="178"/>
    </row>
    <row r="43543" spans="18:19">
      <c r="R43543" s="178"/>
      <c r="S43543" s="178"/>
    </row>
    <row r="43544" spans="18:19">
      <c r="R43544" s="178"/>
      <c r="S43544" s="178"/>
    </row>
    <row r="43545" spans="18:19">
      <c r="R43545" s="178"/>
      <c r="S43545" s="178"/>
    </row>
    <row r="43546" spans="18:19">
      <c r="R43546" s="178"/>
      <c r="S43546" s="178"/>
    </row>
    <row r="43547" spans="18:19">
      <c r="R43547" s="178"/>
      <c r="S43547" s="178"/>
    </row>
    <row r="43548" spans="18:19">
      <c r="R43548" s="178"/>
      <c r="S43548" s="178"/>
    </row>
    <row r="43549" spans="18:19">
      <c r="R43549" s="178"/>
      <c r="S43549" s="178"/>
    </row>
    <row r="43550" spans="18:19">
      <c r="R43550" s="178"/>
      <c r="S43550" s="178"/>
    </row>
    <row r="43551" spans="18:19">
      <c r="R43551" s="178"/>
      <c r="S43551" s="178"/>
    </row>
    <row r="43552" spans="18:19">
      <c r="R43552" s="178"/>
      <c r="S43552" s="178"/>
    </row>
    <row r="43553" spans="18:19">
      <c r="R43553" s="178"/>
      <c r="S43553" s="178"/>
    </row>
    <row r="43554" spans="18:19">
      <c r="R43554" s="178"/>
      <c r="S43554" s="178"/>
    </row>
    <row r="43555" spans="18:19">
      <c r="R43555" s="178"/>
      <c r="S43555" s="178"/>
    </row>
    <row r="43556" spans="18:19">
      <c r="R43556" s="178"/>
      <c r="S43556" s="178"/>
    </row>
    <row r="43557" spans="18:19">
      <c r="R43557" s="178"/>
      <c r="S43557" s="178"/>
    </row>
    <row r="43558" spans="18:19">
      <c r="R43558" s="178"/>
      <c r="S43558" s="178"/>
    </row>
    <row r="43559" spans="18:19">
      <c r="R43559" s="178"/>
      <c r="S43559" s="178"/>
    </row>
    <row r="43560" spans="18:19">
      <c r="R43560" s="178"/>
      <c r="S43560" s="178"/>
    </row>
    <row r="43561" spans="18:19">
      <c r="R43561" s="178"/>
      <c r="S43561" s="178"/>
    </row>
    <row r="43562" spans="18:19">
      <c r="R43562" s="178"/>
      <c r="S43562" s="178"/>
    </row>
    <row r="43563" spans="18:19">
      <c r="R43563" s="178"/>
      <c r="S43563" s="178"/>
    </row>
    <row r="43564" spans="18:19">
      <c r="R43564" s="178"/>
      <c r="S43564" s="178"/>
    </row>
    <row r="43565" spans="18:19">
      <c r="R43565" s="178"/>
      <c r="S43565" s="178"/>
    </row>
    <row r="43566" spans="18:19">
      <c r="R43566" s="178"/>
      <c r="S43566" s="178"/>
    </row>
    <row r="43567" spans="18:19">
      <c r="R43567" s="178"/>
      <c r="S43567" s="178"/>
    </row>
    <row r="43568" spans="18:19">
      <c r="R43568" s="178"/>
      <c r="S43568" s="178"/>
    </row>
    <row r="43569" spans="18:19">
      <c r="R43569" s="178"/>
      <c r="S43569" s="178"/>
    </row>
    <row r="43570" spans="18:19">
      <c r="R43570" s="178"/>
      <c r="S43570" s="178"/>
    </row>
    <row r="43571" spans="18:19">
      <c r="R43571" s="178"/>
      <c r="S43571" s="178"/>
    </row>
    <row r="43572" spans="18:19">
      <c r="R43572" s="178"/>
      <c r="S43572" s="178"/>
    </row>
    <row r="43573" spans="18:19">
      <c r="R43573" s="178"/>
      <c r="S43573" s="178"/>
    </row>
    <row r="43574" spans="18:19">
      <c r="R43574" s="178"/>
      <c r="S43574" s="178"/>
    </row>
    <row r="43575" spans="18:19">
      <c r="R43575" s="178"/>
      <c r="S43575" s="178"/>
    </row>
    <row r="43576" spans="18:19">
      <c r="R43576" s="178"/>
      <c r="S43576" s="178"/>
    </row>
    <row r="43577" spans="18:19">
      <c r="R43577" s="178"/>
      <c r="S43577" s="178"/>
    </row>
    <row r="43578" spans="18:19">
      <c r="R43578" s="178"/>
      <c r="S43578" s="178"/>
    </row>
    <row r="43579" spans="18:19">
      <c r="R43579" s="178"/>
      <c r="S43579" s="178"/>
    </row>
    <row r="43580" spans="18:19">
      <c r="R43580" s="178"/>
      <c r="S43580" s="178"/>
    </row>
    <row r="43581" spans="18:19">
      <c r="R43581" s="178"/>
      <c r="S43581" s="178"/>
    </row>
    <row r="43582" spans="18:19">
      <c r="R43582" s="178"/>
      <c r="S43582" s="178"/>
    </row>
    <row r="43583" spans="18:19">
      <c r="R43583" s="178"/>
      <c r="S43583" s="178"/>
    </row>
    <row r="43584" spans="18:19">
      <c r="R43584" s="178"/>
      <c r="S43584" s="178"/>
    </row>
    <row r="43585" spans="18:19">
      <c r="R43585" s="178"/>
      <c r="S43585" s="178"/>
    </row>
    <row r="43586" spans="18:19">
      <c r="R43586" s="178"/>
      <c r="S43586" s="178"/>
    </row>
    <row r="43587" spans="18:19">
      <c r="R43587" s="178"/>
      <c r="S43587" s="178"/>
    </row>
    <row r="43588" spans="18:19">
      <c r="R43588" s="178"/>
      <c r="S43588" s="178"/>
    </row>
    <row r="43589" spans="18:19">
      <c r="R43589" s="178"/>
      <c r="S43589" s="178"/>
    </row>
    <row r="43590" spans="18:19">
      <c r="R43590" s="178"/>
      <c r="S43590" s="178"/>
    </row>
    <row r="43591" spans="18:19">
      <c r="R43591" s="178"/>
      <c r="S43591" s="178"/>
    </row>
    <row r="43592" spans="18:19">
      <c r="R43592" s="178"/>
      <c r="S43592" s="178"/>
    </row>
    <row r="43593" spans="18:19">
      <c r="R43593" s="178"/>
      <c r="S43593" s="178"/>
    </row>
    <row r="43594" spans="18:19">
      <c r="R43594" s="178"/>
      <c r="S43594" s="178"/>
    </row>
    <row r="43595" spans="18:19">
      <c r="R43595" s="178"/>
      <c r="S43595" s="178"/>
    </row>
    <row r="43596" spans="18:19">
      <c r="R43596" s="178"/>
      <c r="S43596" s="178"/>
    </row>
    <row r="43597" spans="18:19">
      <c r="R43597" s="178"/>
      <c r="S43597" s="178"/>
    </row>
    <row r="43598" spans="18:19">
      <c r="R43598" s="178"/>
      <c r="S43598" s="178"/>
    </row>
    <row r="43599" spans="18:19">
      <c r="R43599" s="178"/>
      <c r="S43599" s="178"/>
    </row>
    <row r="43600" spans="18:19">
      <c r="R43600" s="178"/>
      <c r="S43600" s="178"/>
    </row>
    <row r="43601" spans="18:19">
      <c r="R43601" s="178"/>
      <c r="S43601" s="178"/>
    </row>
    <row r="43602" spans="18:19">
      <c r="R43602" s="178"/>
      <c r="S43602" s="178"/>
    </row>
    <row r="43603" spans="18:19">
      <c r="R43603" s="178"/>
      <c r="S43603" s="178"/>
    </row>
    <row r="43604" spans="18:19">
      <c r="R43604" s="178"/>
      <c r="S43604" s="178"/>
    </row>
    <row r="43605" spans="18:19">
      <c r="R43605" s="178"/>
      <c r="S43605" s="178"/>
    </row>
    <row r="43606" spans="18:19">
      <c r="R43606" s="178"/>
      <c r="S43606" s="178"/>
    </row>
    <row r="43607" spans="18:19">
      <c r="R43607" s="178"/>
      <c r="S43607" s="178"/>
    </row>
    <row r="43608" spans="18:19">
      <c r="R43608" s="178"/>
      <c r="S43608" s="178"/>
    </row>
    <row r="43609" spans="18:19">
      <c r="R43609" s="178"/>
      <c r="S43609" s="178"/>
    </row>
    <row r="43610" spans="18:19">
      <c r="R43610" s="178"/>
      <c r="S43610" s="178"/>
    </row>
    <row r="43611" spans="18:19">
      <c r="R43611" s="178"/>
      <c r="S43611" s="178"/>
    </row>
    <row r="43612" spans="18:19">
      <c r="R43612" s="178"/>
      <c r="S43612" s="178"/>
    </row>
    <row r="43613" spans="18:19">
      <c r="R43613" s="178"/>
      <c r="S43613" s="178"/>
    </row>
    <row r="43614" spans="18:19">
      <c r="R43614" s="178"/>
      <c r="S43614" s="178"/>
    </row>
    <row r="43615" spans="18:19">
      <c r="R43615" s="178"/>
      <c r="S43615" s="178"/>
    </row>
    <row r="43616" spans="18:19">
      <c r="R43616" s="178"/>
      <c r="S43616" s="178"/>
    </row>
    <row r="43617" spans="18:19">
      <c r="R43617" s="178"/>
      <c r="S43617" s="178"/>
    </row>
    <row r="43618" spans="18:19">
      <c r="R43618" s="178"/>
      <c r="S43618" s="178"/>
    </row>
    <row r="43619" spans="18:19">
      <c r="R43619" s="178"/>
      <c r="S43619" s="178"/>
    </row>
    <row r="43620" spans="18:19">
      <c r="R43620" s="178"/>
      <c r="S43620" s="178"/>
    </row>
    <row r="43621" spans="18:19">
      <c r="R43621" s="178"/>
      <c r="S43621" s="178"/>
    </row>
    <row r="43622" spans="18:19">
      <c r="R43622" s="178"/>
      <c r="S43622" s="178"/>
    </row>
    <row r="43623" spans="18:19">
      <c r="R43623" s="178"/>
      <c r="S43623" s="178"/>
    </row>
    <row r="43624" spans="18:19">
      <c r="R43624" s="178"/>
      <c r="S43624" s="178"/>
    </row>
    <row r="43625" spans="18:19">
      <c r="R43625" s="178"/>
      <c r="S43625" s="178"/>
    </row>
    <row r="43626" spans="18:19">
      <c r="R43626" s="178"/>
      <c r="S43626" s="178"/>
    </row>
    <row r="43627" spans="18:19">
      <c r="R43627" s="178"/>
      <c r="S43627" s="178"/>
    </row>
    <row r="43628" spans="18:19">
      <c r="R43628" s="178"/>
      <c r="S43628" s="178"/>
    </row>
    <row r="43629" spans="18:19">
      <c r="R43629" s="178"/>
      <c r="S43629" s="178"/>
    </row>
    <row r="43630" spans="18:19">
      <c r="R43630" s="178"/>
      <c r="S43630" s="178"/>
    </row>
    <row r="43631" spans="18:19">
      <c r="R43631" s="178"/>
      <c r="S43631" s="178"/>
    </row>
    <row r="43632" spans="18:19">
      <c r="R43632" s="178"/>
      <c r="S43632" s="178"/>
    </row>
    <row r="43633" spans="18:19">
      <c r="R43633" s="178"/>
      <c r="S43633" s="178"/>
    </row>
    <row r="43634" spans="18:19">
      <c r="R43634" s="178"/>
      <c r="S43634" s="178"/>
    </row>
    <row r="43635" spans="18:19">
      <c r="R43635" s="178"/>
      <c r="S43635" s="178"/>
    </row>
    <row r="43636" spans="18:19">
      <c r="R43636" s="178"/>
      <c r="S43636" s="178"/>
    </row>
    <row r="43637" spans="18:19">
      <c r="R43637" s="178"/>
      <c r="S43637" s="178"/>
    </row>
    <row r="43638" spans="18:19">
      <c r="R43638" s="178"/>
      <c r="S43638" s="178"/>
    </row>
    <row r="43639" spans="18:19">
      <c r="R43639" s="178"/>
      <c r="S43639" s="178"/>
    </row>
    <row r="43640" spans="18:19">
      <c r="R43640" s="178"/>
      <c r="S43640" s="178"/>
    </row>
    <row r="43641" spans="18:19">
      <c r="R43641" s="178"/>
      <c r="S43641" s="178"/>
    </row>
    <row r="43642" spans="18:19">
      <c r="R43642" s="178"/>
      <c r="S43642" s="178"/>
    </row>
    <row r="43643" spans="18:19">
      <c r="R43643" s="178"/>
      <c r="S43643" s="178"/>
    </row>
    <row r="43644" spans="18:19">
      <c r="R43644" s="178"/>
      <c r="S43644" s="178"/>
    </row>
    <row r="43645" spans="18:19">
      <c r="R43645" s="178"/>
      <c r="S43645" s="178"/>
    </row>
    <row r="43646" spans="18:19">
      <c r="R43646" s="178"/>
      <c r="S43646" s="178"/>
    </row>
    <row r="43647" spans="18:19">
      <c r="R43647" s="178"/>
      <c r="S43647" s="178"/>
    </row>
    <row r="43648" spans="18:19">
      <c r="R43648" s="178"/>
      <c r="S43648" s="178"/>
    </row>
    <row r="43649" spans="18:19">
      <c r="R43649" s="178"/>
      <c r="S43649" s="178"/>
    </row>
    <row r="43650" spans="18:19">
      <c r="R43650" s="178"/>
      <c r="S43650" s="178"/>
    </row>
    <row r="43651" spans="18:19">
      <c r="R43651" s="178"/>
      <c r="S43651" s="178"/>
    </row>
    <row r="43652" spans="18:19">
      <c r="R43652" s="178"/>
      <c r="S43652" s="178"/>
    </row>
    <row r="43653" spans="18:19">
      <c r="R43653" s="178"/>
      <c r="S43653" s="178"/>
    </row>
    <row r="43654" spans="18:19">
      <c r="R43654" s="178"/>
      <c r="S43654" s="178"/>
    </row>
    <row r="43655" spans="18:19">
      <c r="R43655" s="178"/>
      <c r="S43655" s="178"/>
    </row>
    <row r="43656" spans="18:19">
      <c r="R43656" s="178"/>
      <c r="S43656" s="178"/>
    </row>
    <row r="43657" spans="18:19">
      <c r="R43657" s="178"/>
      <c r="S43657" s="178"/>
    </row>
    <row r="43658" spans="18:19">
      <c r="R43658" s="178"/>
      <c r="S43658" s="178"/>
    </row>
    <row r="43659" spans="18:19">
      <c r="R43659" s="178"/>
      <c r="S43659" s="178"/>
    </row>
    <row r="43660" spans="18:19">
      <c r="R43660" s="178"/>
      <c r="S43660" s="178"/>
    </row>
    <row r="43661" spans="18:19">
      <c r="R43661" s="178"/>
      <c r="S43661" s="178"/>
    </row>
    <row r="43662" spans="18:19">
      <c r="R43662" s="178"/>
      <c r="S43662" s="178"/>
    </row>
    <row r="43663" spans="18:19">
      <c r="R43663" s="178"/>
      <c r="S43663" s="178"/>
    </row>
    <row r="43664" spans="18:19">
      <c r="R43664" s="178"/>
      <c r="S43664" s="178"/>
    </row>
    <row r="43665" spans="18:19">
      <c r="R43665" s="178"/>
      <c r="S43665" s="178"/>
    </row>
    <row r="43666" spans="18:19">
      <c r="R43666" s="178"/>
      <c r="S43666" s="178"/>
    </row>
    <row r="43667" spans="18:19">
      <c r="R43667" s="178"/>
      <c r="S43667" s="178"/>
    </row>
    <row r="43668" spans="18:19">
      <c r="R43668" s="178"/>
      <c r="S43668" s="178"/>
    </row>
    <row r="43669" spans="18:19">
      <c r="R43669" s="178"/>
      <c r="S43669" s="178"/>
    </row>
    <row r="43670" spans="18:19">
      <c r="R43670" s="178"/>
      <c r="S43670" s="178"/>
    </row>
    <row r="43671" spans="18:19">
      <c r="R43671" s="178"/>
      <c r="S43671" s="178"/>
    </row>
    <row r="43672" spans="18:19">
      <c r="R43672" s="178"/>
      <c r="S43672" s="178"/>
    </row>
    <row r="43673" spans="18:19">
      <c r="R43673" s="178"/>
      <c r="S43673" s="178"/>
    </row>
    <row r="43674" spans="18:19">
      <c r="R43674" s="178"/>
      <c r="S43674" s="178"/>
    </row>
    <row r="43675" spans="18:19">
      <c r="R43675" s="178"/>
      <c r="S43675" s="178"/>
    </row>
    <row r="43676" spans="18:19">
      <c r="R43676" s="178"/>
      <c r="S43676" s="178"/>
    </row>
    <row r="43677" spans="18:19">
      <c r="R43677" s="178"/>
      <c r="S43677" s="178"/>
    </row>
    <row r="43678" spans="18:19">
      <c r="R43678" s="178"/>
      <c r="S43678" s="178"/>
    </row>
    <row r="43679" spans="18:19">
      <c r="R43679" s="178"/>
      <c r="S43679" s="178"/>
    </row>
    <row r="43680" spans="18:19">
      <c r="R43680" s="178"/>
      <c r="S43680" s="178"/>
    </row>
    <row r="43681" spans="18:19">
      <c r="R43681" s="178"/>
      <c r="S43681" s="178"/>
    </row>
    <row r="43682" spans="18:19">
      <c r="R43682" s="178"/>
      <c r="S43682" s="178"/>
    </row>
    <row r="43683" spans="18:19">
      <c r="R43683" s="178"/>
      <c r="S43683" s="178"/>
    </row>
    <row r="43684" spans="18:19">
      <c r="R43684" s="178"/>
      <c r="S43684" s="178"/>
    </row>
    <row r="43685" spans="18:19">
      <c r="R43685" s="178"/>
      <c r="S43685" s="178"/>
    </row>
    <row r="43686" spans="18:19">
      <c r="R43686" s="178"/>
      <c r="S43686" s="178"/>
    </row>
    <row r="43687" spans="18:19">
      <c r="R43687" s="178"/>
      <c r="S43687" s="178"/>
    </row>
    <row r="43688" spans="18:19">
      <c r="R43688" s="178"/>
      <c r="S43688" s="178"/>
    </row>
    <row r="43689" spans="18:19">
      <c r="R43689" s="178"/>
      <c r="S43689" s="178"/>
    </row>
    <row r="43690" spans="18:19">
      <c r="R43690" s="178"/>
      <c r="S43690" s="178"/>
    </row>
    <row r="43691" spans="18:19">
      <c r="R43691" s="178"/>
      <c r="S43691" s="178"/>
    </row>
    <row r="43692" spans="18:19">
      <c r="R43692" s="178"/>
      <c r="S43692" s="178"/>
    </row>
    <row r="43693" spans="18:19">
      <c r="R43693" s="178"/>
      <c r="S43693" s="178"/>
    </row>
    <row r="43694" spans="18:19">
      <c r="R43694" s="178"/>
      <c r="S43694" s="178"/>
    </row>
    <row r="43695" spans="18:19">
      <c r="R43695" s="178"/>
      <c r="S43695" s="178"/>
    </row>
    <row r="43696" spans="18:19">
      <c r="R43696" s="178"/>
      <c r="S43696" s="178"/>
    </row>
    <row r="43697" spans="18:19">
      <c r="R43697" s="178"/>
      <c r="S43697" s="178"/>
    </row>
    <row r="43698" spans="18:19">
      <c r="R43698" s="178"/>
      <c r="S43698" s="178"/>
    </row>
    <row r="43699" spans="18:19">
      <c r="R43699" s="178"/>
      <c r="S43699" s="178"/>
    </row>
    <row r="43700" spans="18:19">
      <c r="R43700" s="178"/>
      <c r="S43700" s="178"/>
    </row>
    <row r="43701" spans="18:19">
      <c r="R43701" s="178"/>
      <c r="S43701" s="178"/>
    </row>
    <row r="43702" spans="18:19">
      <c r="R43702" s="178"/>
      <c r="S43702" s="178"/>
    </row>
    <row r="43703" spans="18:19">
      <c r="R43703" s="178"/>
      <c r="S43703" s="178"/>
    </row>
    <row r="43704" spans="18:19">
      <c r="R43704" s="178"/>
      <c r="S43704" s="178"/>
    </row>
    <row r="43705" spans="18:19">
      <c r="R43705" s="178"/>
      <c r="S43705" s="178"/>
    </row>
    <row r="43706" spans="18:19">
      <c r="R43706" s="178"/>
      <c r="S43706" s="178"/>
    </row>
    <row r="43707" spans="18:19">
      <c r="R43707" s="178"/>
      <c r="S43707" s="178"/>
    </row>
    <row r="43708" spans="18:19">
      <c r="R43708" s="178"/>
      <c r="S43708" s="178"/>
    </row>
    <row r="43709" spans="18:19">
      <c r="R43709" s="178"/>
      <c r="S43709" s="178"/>
    </row>
    <row r="43710" spans="18:19">
      <c r="R43710" s="178"/>
      <c r="S43710" s="178"/>
    </row>
    <row r="43711" spans="18:19">
      <c r="R43711" s="178"/>
      <c r="S43711" s="178"/>
    </row>
    <row r="43712" spans="18:19">
      <c r="R43712" s="178"/>
      <c r="S43712" s="178"/>
    </row>
    <row r="43713" spans="18:19">
      <c r="R43713" s="178"/>
      <c r="S43713" s="178"/>
    </row>
    <row r="43714" spans="18:19">
      <c r="R43714" s="178"/>
      <c r="S43714" s="178"/>
    </row>
    <row r="43715" spans="18:19">
      <c r="R43715" s="178"/>
      <c r="S43715" s="178"/>
    </row>
    <row r="43716" spans="18:19">
      <c r="R43716" s="178"/>
      <c r="S43716" s="178"/>
    </row>
    <row r="43717" spans="18:19">
      <c r="R43717" s="178"/>
      <c r="S43717" s="178"/>
    </row>
    <row r="43718" spans="18:19">
      <c r="R43718" s="178"/>
      <c r="S43718" s="178"/>
    </row>
    <row r="43719" spans="18:19">
      <c r="R43719" s="178"/>
      <c r="S43719" s="178"/>
    </row>
    <row r="43720" spans="18:19">
      <c r="R43720" s="178"/>
      <c r="S43720" s="178"/>
    </row>
    <row r="43721" spans="18:19">
      <c r="R43721" s="178"/>
      <c r="S43721" s="178"/>
    </row>
    <row r="43722" spans="18:19">
      <c r="R43722" s="178"/>
      <c r="S43722" s="178"/>
    </row>
    <row r="43723" spans="18:19">
      <c r="R43723" s="178"/>
      <c r="S43723" s="178"/>
    </row>
    <row r="43724" spans="18:19">
      <c r="R43724" s="178"/>
      <c r="S43724" s="178"/>
    </row>
    <row r="43725" spans="18:19">
      <c r="R43725" s="178"/>
      <c r="S43725" s="178"/>
    </row>
    <row r="43726" spans="18:19">
      <c r="R43726" s="178"/>
      <c r="S43726" s="178"/>
    </row>
    <row r="43727" spans="18:19">
      <c r="R43727" s="178"/>
      <c r="S43727" s="178"/>
    </row>
    <row r="43728" spans="18:19">
      <c r="R43728" s="178"/>
      <c r="S43728" s="178"/>
    </row>
    <row r="43729" spans="18:19">
      <c r="R43729" s="178"/>
      <c r="S43729" s="178"/>
    </row>
    <row r="43730" spans="18:19">
      <c r="R43730" s="178"/>
      <c r="S43730" s="178"/>
    </row>
    <row r="43731" spans="18:19">
      <c r="R43731" s="178"/>
      <c r="S43731" s="178"/>
    </row>
    <row r="43732" spans="18:19">
      <c r="R43732" s="178"/>
      <c r="S43732" s="178"/>
    </row>
    <row r="43733" spans="18:19">
      <c r="R43733" s="178"/>
      <c r="S43733" s="178"/>
    </row>
    <row r="43734" spans="18:19">
      <c r="R43734" s="178"/>
      <c r="S43734" s="178"/>
    </row>
    <row r="43735" spans="18:19">
      <c r="R43735" s="178"/>
      <c r="S43735" s="178"/>
    </row>
    <row r="43736" spans="18:19">
      <c r="R43736" s="178"/>
      <c r="S43736" s="178"/>
    </row>
    <row r="43737" spans="18:19">
      <c r="R43737" s="178"/>
      <c r="S43737" s="178"/>
    </row>
    <row r="43738" spans="18:19">
      <c r="R43738" s="178"/>
      <c r="S43738" s="178"/>
    </row>
    <row r="43739" spans="18:19">
      <c r="R43739" s="178"/>
      <c r="S43739" s="178"/>
    </row>
    <row r="43740" spans="18:19">
      <c r="R43740" s="178"/>
      <c r="S43740" s="178"/>
    </row>
    <row r="43741" spans="18:19">
      <c r="R43741" s="178"/>
      <c r="S43741" s="178"/>
    </row>
    <row r="43742" spans="18:19">
      <c r="R43742" s="178"/>
      <c r="S43742" s="178"/>
    </row>
    <row r="43743" spans="18:19">
      <c r="R43743" s="178"/>
      <c r="S43743" s="178"/>
    </row>
    <row r="43744" spans="18:19">
      <c r="R43744" s="178"/>
      <c r="S43744" s="178"/>
    </row>
    <row r="43745" spans="18:19">
      <c r="R43745" s="178"/>
      <c r="S43745" s="178"/>
    </row>
    <row r="43746" spans="18:19">
      <c r="R43746" s="178"/>
      <c r="S43746" s="178"/>
    </row>
    <row r="43747" spans="18:19">
      <c r="R43747" s="178"/>
      <c r="S43747" s="178"/>
    </row>
    <row r="43748" spans="18:19">
      <c r="R43748" s="178"/>
      <c r="S43748" s="178"/>
    </row>
    <row r="43749" spans="18:19">
      <c r="R43749" s="178"/>
      <c r="S43749" s="178"/>
    </row>
    <row r="43750" spans="18:19">
      <c r="R43750" s="178"/>
      <c r="S43750" s="178"/>
    </row>
    <row r="43751" spans="18:19">
      <c r="R43751" s="178"/>
      <c r="S43751" s="178"/>
    </row>
    <row r="43752" spans="18:19">
      <c r="R43752" s="178"/>
      <c r="S43752" s="178"/>
    </row>
    <row r="43753" spans="18:19">
      <c r="R43753" s="178"/>
      <c r="S43753" s="178"/>
    </row>
    <row r="43754" spans="18:19">
      <c r="R43754" s="178"/>
      <c r="S43754" s="178"/>
    </row>
    <row r="43755" spans="18:19">
      <c r="R43755" s="178"/>
      <c r="S43755" s="178"/>
    </row>
    <row r="43756" spans="18:19">
      <c r="R43756" s="178"/>
      <c r="S43756" s="178"/>
    </row>
    <row r="43757" spans="18:19">
      <c r="R43757" s="178"/>
      <c r="S43757" s="178"/>
    </row>
    <row r="43758" spans="18:19">
      <c r="R43758" s="178"/>
      <c r="S43758" s="178"/>
    </row>
    <row r="43759" spans="18:19">
      <c r="R43759" s="178"/>
      <c r="S43759" s="178"/>
    </row>
    <row r="43760" spans="18:19">
      <c r="R43760" s="178"/>
      <c r="S43760" s="178"/>
    </row>
    <row r="43761" spans="18:19">
      <c r="R43761" s="178"/>
      <c r="S43761" s="178"/>
    </row>
    <row r="43762" spans="18:19">
      <c r="R43762" s="178"/>
      <c r="S43762" s="178"/>
    </row>
    <row r="43763" spans="18:19">
      <c r="R43763" s="178"/>
      <c r="S43763" s="178"/>
    </row>
    <row r="43764" spans="18:19">
      <c r="R43764" s="178"/>
      <c r="S43764" s="178"/>
    </row>
    <row r="43765" spans="18:19">
      <c r="R43765" s="178"/>
      <c r="S43765" s="178"/>
    </row>
    <row r="43766" spans="18:19">
      <c r="R43766" s="178"/>
      <c r="S43766" s="178"/>
    </row>
    <row r="43767" spans="18:19">
      <c r="R43767" s="178"/>
      <c r="S43767" s="178"/>
    </row>
    <row r="43768" spans="18:19">
      <c r="R43768" s="178"/>
      <c r="S43768" s="178"/>
    </row>
    <row r="43769" spans="18:19">
      <c r="R43769" s="178"/>
      <c r="S43769" s="178"/>
    </row>
    <row r="43770" spans="18:19">
      <c r="R43770" s="178"/>
      <c r="S43770" s="178"/>
    </row>
    <row r="43771" spans="18:19">
      <c r="R43771" s="178"/>
      <c r="S43771" s="178"/>
    </row>
    <row r="43772" spans="18:19">
      <c r="R43772" s="178"/>
      <c r="S43772" s="178"/>
    </row>
    <row r="43773" spans="18:19">
      <c r="R43773" s="178"/>
      <c r="S43773" s="178"/>
    </row>
    <row r="43774" spans="18:19">
      <c r="R43774" s="178"/>
      <c r="S43774" s="178"/>
    </row>
    <row r="43775" spans="18:19">
      <c r="R43775" s="178"/>
      <c r="S43775" s="178"/>
    </row>
    <row r="43776" spans="18:19">
      <c r="R43776" s="178"/>
      <c r="S43776" s="178"/>
    </row>
    <row r="43777" spans="18:19">
      <c r="R43777" s="178"/>
      <c r="S43777" s="178"/>
    </row>
    <row r="43778" spans="18:19">
      <c r="R43778" s="178"/>
      <c r="S43778" s="178"/>
    </row>
    <row r="43779" spans="18:19">
      <c r="R43779" s="178"/>
      <c r="S43779" s="178"/>
    </row>
    <row r="43780" spans="18:19">
      <c r="R43780" s="178"/>
      <c r="S43780" s="178"/>
    </row>
    <row r="43781" spans="18:19">
      <c r="R43781" s="178"/>
      <c r="S43781" s="178"/>
    </row>
    <row r="43782" spans="18:19">
      <c r="R43782" s="178"/>
      <c r="S43782" s="178"/>
    </row>
    <row r="43783" spans="18:19">
      <c r="R43783" s="178"/>
      <c r="S43783" s="178"/>
    </row>
    <row r="43784" spans="18:19">
      <c r="R43784" s="178"/>
      <c r="S43784" s="178"/>
    </row>
    <row r="43785" spans="18:19">
      <c r="R43785" s="178"/>
      <c r="S43785" s="178"/>
    </row>
    <row r="43786" spans="18:19">
      <c r="R43786" s="178"/>
      <c r="S43786" s="178"/>
    </row>
    <row r="43787" spans="18:19">
      <c r="R43787" s="178"/>
      <c r="S43787" s="178"/>
    </row>
    <row r="43788" spans="18:19">
      <c r="R43788" s="178"/>
      <c r="S43788" s="178"/>
    </row>
    <row r="43789" spans="18:19">
      <c r="R43789" s="178"/>
      <c r="S43789" s="178"/>
    </row>
    <row r="43790" spans="18:19">
      <c r="R43790" s="178"/>
      <c r="S43790" s="178"/>
    </row>
    <row r="43791" spans="18:19">
      <c r="R43791" s="178"/>
      <c r="S43791" s="178"/>
    </row>
    <row r="43792" spans="18:19">
      <c r="R43792" s="178"/>
      <c r="S43792" s="178"/>
    </row>
    <row r="43793" spans="18:19">
      <c r="R43793" s="178"/>
      <c r="S43793" s="178"/>
    </row>
    <row r="43794" spans="18:19">
      <c r="R43794" s="178"/>
      <c r="S43794" s="178"/>
    </row>
    <row r="43795" spans="18:19">
      <c r="R43795" s="178"/>
      <c r="S43795" s="178"/>
    </row>
    <row r="43796" spans="18:19">
      <c r="R43796" s="178"/>
      <c r="S43796" s="178"/>
    </row>
    <row r="43797" spans="18:19">
      <c r="R43797" s="178"/>
      <c r="S43797" s="178"/>
    </row>
    <row r="43798" spans="18:19">
      <c r="R43798" s="178"/>
      <c r="S43798" s="178"/>
    </row>
    <row r="43799" spans="18:19">
      <c r="R43799" s="178"/>
      <c r="S43799" s="178"/>
    </row>
    <row r="43800" spans="18:19">
      <c r="R43800" s="178"/>
      <c r="S43800" s="178"/>
    </row>
    <row r="43801" spans="18:19">
      <c r="R43801" s="178"/>
      <c r="S43801" s="178"/>
    </row>
    <row r="43802" spans="18:19">
      <c r="R43802" s="178"/>
      <c r="S43802" s="178"/>
    </row>
    <row r="43803" spans="18:19">
      <c r="R43803" s="178"/>
      <c r="S43803" s="178"/>
    </row>
    <row r="43804" spans="18:19">
      <c r="R43804" s="178"/>
      <c r="S43804" s="178"/>
    </row>
    <row r="43805" spans="18:19">
      <c r="R43805" s="178"/>
      <c r="S43805" s="178"/>
    </row>
    <row r="43806" spans="18:19">
      <c r="R43806" s="178"/>
      <c r="S43806" s="178"/>
    </row>
    <row r="43807" spans="18:19">
      <c r="R43807" s="178"/>
      <c r="S43807" s="178"/>
    </row>
    <row r="43808" spans="18:19">
      <c r="R43808" s="178"/>
      <c r="S43808" s="178"/>
    </row>
    <row r="43809" spans="18:19">
      <c r="R43809" s="178"/>
      <c r="S43809" s="178"/>
    </row>
    <row r="43810" spans="18:19">
      <c r="R43810" s="178"/>
      <c r="S43810" s="178"/>
    </row>
    <row r="43811" spans="18:19">
      <c r="R43811" s="178"/>
      <c r="S43811" s="178"/>
    </row>
    <row r="43812" spans="18:19">
      <c r="R43812" s="178"/>
      <c r="S43812" s="178"/>
    </row>
    <row r="43813" spans="18:19">
      <c r="R43813" s="178"/>
      <c r="S43813" s="178"/>
    </row>
    <row r="43814" spans="18:19">
      <c r="R43814" s="178"/>
      <c r="S43814" s="178"/>
    </row>
    <row r="43815" spans="18:19">
      <c r="R43815" s="178"/>
      <c r="S43815" s="178"/>
    </row>
    <row r="43816" spans="18:19">
      <c r="R43816" s="178"/>
      <c r="S43816" s="178"/>
    </row>
    <row r="43817" spans="18:19">
      <c r="R43817" s="178"/>
      <c r="S43817" s="178"/>
    </row>
    <row r="43818" spans="18:19">
      <c r="R43818" s="178"/>
      <c r="S43818" s="178"/>
    </row>
    <row r="43819" spans="18:19">
      <c r="R43819" s="178"/>
      <c r="S43819" s="178"/>
    </row>
    <row r="43820" spans="18:19">
      <c r="R43820" s="178"/>
      <c r="S43820" s="178"/>
    </row>
    <row r="43821" spans="18:19">
      <c r="R43821" s="178"/>
      <c r="S43821" s="178"/>
    </row>
    <row r="43822" spans="18:19">
      <c r="R43822" s="178"/>
      <c r="S43822" s="178"/>
    </row>
    <row r="43823" spans="18:19">
      <c r="R43823" s="178"/>
      <c r="S43823" s="178"/>
    </row>
    <row r="43824" spans="18:19">
      <c r="R43824" s="178"/>
      <c r="S43824" s="178"/>
    </row>
    <row r="43825" spans="18:19">
      <c r="R43825" s="178"/>
      <c r="S43825" s="178"/>
    </row>
    <row r="43826" spans="18:19">
      <c r="R43826" s="178"/>
      <c r="S43826" s="178"/>
    </row>
    <row r="43827" spans="18:19">
      <c r="R43827" s="178"/>
      <c r="S43827" s="178"/>
    </row>
    <row r="43828" spans="18:19">
      <c r="R43828" s="178"/>
      <c r="S43828" s="178"/>
    </row>
    <row r="43829" spans="18:19">
      <c r="R43829" s="178"/>
      <c r="S43829" s="178"/>
    </row>
    <row r="43830" spans="18:19">
      <c r="R43830" s="178"/>
      <c r="S43830" s="178"/>
    </row>
    <row r="43831" spans="18:19">
      <c r="R43831" s="178"/>
      <c r="S43831" s="178"/>
    </row>
    <row r="43832" spans="18:19">
      <c r="R43832" s="178"/>
      <c r="S43832" s="178"/>
    </row>
    <row r="43833" spans="18:19">
      <c r="R43833" s="178"/>
      <c r="S43833" s="178"/>
    </row>
    <row r="43834" spans="18:19">
      <c r="R43834" s="178"/>
      <c r="S43834" s="178"/>
    </row>
    <row r="43835" spans="18:19">
      <c r="R43835" s="178"/>
      <c r="S43835" s="178"/>
    </row>
    <row r="43836" spans="18:19">
      <c r="R43836" s="178"/>
      <c r="S43836" s="178"/>
    </row>
    <row r="43837" spans="18:19">
      <c r="R43837" s="178"/>
      <c r="S43837" s="178"/>
    </row>
    <row r="43838" spans="18:19">
      <c r="R43838" s="178"/>
      <c r="S43838" s="178"/>
    </row>
    <row r="43839" spans="18:19">
      <c r="R43839" s="178"/>
      <c r="S43839" s="178"/>
    </row>
    <row r="43840" spans="18:19">
      <c r="R43840" s="178"/>
      <c r="S43840" s="178"/>
    </row>
    <row r="43841" spans="18:19">
      <c r="R43841" s="178"/>
      <c r="S43841" s="178"/>
    </row>
    <row r="43842" spans="18:19">
      <c r="R43842" s="178"/>
      <c r="S43842" s="178"/>
    </row>
    <row r="43843" spans="18:19">
      <c r="R43843" s="178"/>
      <c r="S43843" s="178"/>
    </row>
    <row r="43844" spans="18:19">
      <c r="R43844" s="178"/>
      <c r="S43844" s="178"/>
    </row>
    <row r="43845" spans="18:19">
      <c r="R43845" s="178"/>
      <c r="S43845" s="178"/>
    </row>
    <row r="43846" spans="18:19">
      <c r="R43846" s="178"/>
      <c r="S43846" s="178"/>
    </row>
    <row r="43847" spans="18:19">
      <c r="R43847" s="178"/>
      <c r="S43847" s="178"/>
    </row>
    <row r="43848" spans="18:19">
      <c r="R43848" s="178"/>
      <c r="S43848" s="178"/>
    </row>
    <row r="43849" spans="18:19">
      <c r="R43849" s="178"/>
      <c r="S43849" s="178"/>
    </row>
    <row r="43850" spans="18:19">
      <c r="R43850" s="178"/>
      <c r="S43850" s="178"/>
    </row>
    <row r="43851" spans="18:19">
      <c r="R43851" s="178"/>
      <c r="S43851" s="178"/>
    </row>
    <row r="43852" spans="18:19">
      <c r="R43852" s="178"/>
      <c r="S43852" s="178"/>
    </row>
    <row r="43853" spans="18:19">
      <c r="R43853" s="178"/>
      <c r="S43853" s="178"/>
    </row>
    <row r="43854" spans="18:19">
      <c r="R43854" s="178"/>
      <c r="S43854" s="178"/>
    </row>
    <row r="43855" spans="18:19">
      <c r="R43855" s="178"/>
      <c r="S43855" s="178"/>
    </row>
    <row r="43856" spans="18:19">
      <c r="R43856" s="178"/>
      <c r="S43856" s="178"/>
    </row>
    <row r="43857" spans="18:19">
      <c r="R43857" s="178"/>
      <c r="S43857" s="178"/>
    </row>
    <row r="43858" spans="18:19">
      <c r="R43858" s="178"/>
      <c r="S43858" s="178"/>
    </row>
    <row r="43859" spans="18:19">
      <c r="R43859" s="178"/>
      <c r="S43859" s="178"/>
    </row>
    <row r="43860" spans="18:19">
      <c r="R43860" s="178"/>
      <c r="S43860" s="178"/>
    </row>
    <row r="43861" spans="18:19">
      <c r="R43861" s="178"/>
      <c r="S43861" s="178"/>
    </row>
    <row r="43862" spans="18:19">
      <c r="R43862" s="178"/>
      <c r="S43862" s="178"/>
    </row>
    <row r="43863" spans="18:19">
      <c r="R43863" s="178"/>
      <c r="S43863" s="178"/>
    </row>
    <row r="43864" spans="18:19">
      <c r="R43864" s="178"/>
      <c r="S43864" s="178"/>
    </row>
    <row r="43865" spans="18:19">
      <c r="R43865" s="178"/>
      <c r="S43865" s="178"/>
    </row>
    <row r="43866" spans="18:19">
      <c r="R43866" s="178"/>
      <c r="S43866" s="178"/>
    </row>
    <row r="43867" spans="18:19">
      <c r="R43867" s="178"/>
      <c r="S43867" s="178"/>
    </row>
    <row r="43868" spans="18:19">
      <c r="R43868" s="178"/>
      <c r="S43868" s="178"/>
    </row>
    <row r="43869" spans="18:19">
      <c r="R43869" s="178"/>
      <c r="S43869" s="178"/>
    </row>
    <row r="43870" spans="18:19">
      <c r="R43870" s="178"/>
      <c r="S43870" s="178"/>
    </row>
    <row r="43871" spans="18:19">
      <c r="R43871" s="178"/>
      <c r="S43871" s="178"/>
    </row>
    <row r="43872" spans="18:19">
      <c r="R43872" s="178"/>
      <c r="S43872" s="178"/>
    </row>
    <row r="43873" spans="18:19">
      <c r="R43873" s="178"/>
      <c r="S43873" s="178"/>
    </row>
    <row r="43874" spans="18:19">
      <c r="R43874" s="178"/>
      <c r="S43874" s="178"/>
    </row>
    <row r="43875" spans="18:19">
      <c r="R43875" s="178"/>
      <c r="S43875" s="178"/>
    </row>
    <row r="43876" spans="18:19">
      <c r="R43876" s="178"/>
      <c r="S43876" s="178"/>
    </row>
    <row r="43877" spans="18:19">
      <c r="R43877" s="178"/>
      <c r="S43877" s="178"/>
    </row>
    <row r="43878" spans="18:19">
      <c r="R43878" s="178"/>
      <c r="S43878" s="178"/>
    </row>
    <row r="43879" spans="18:19">
      <c r="R43879" s="178"/>
      <c r="S43879" s="178"/>
    </row>
    <row r="43880" spans="18:19">
      <c r="R43880" s="178"/>
      <c r="S43880" s="178"/>
    </row>
    <row r="43881" spans="18:19">
      <c r="R43881" s="178"/>
      <c r="S43881" s="178"/>
    </row>
    <row r="43882" spans="18:19">
      <c r="R43882" s="178"/>
      <c r="S43882" s="178"/>
    </row>
    <row r="43883" spans="18:19">
      <c r="R43883" s="178"/>
      <c r="S43883" s="178"/>
    </row>
    <row r="43884" spans="18:19">
      <c r="R43884" s="178"/>
      <c r="S43884" s="178"/>
    </row>
    <row r="43885" spans="18:19">
      <c r="R43885" s="178"/>
      <c r="S43885" s="178"/>
    </row>
    <row r="43886" spans="18:19">
      <c r="R43886" s="178"/>
      <c r="S43886" s="178"/>
    </row>
    <row r="43887" spans="18:19">
      <c r="R43887" s="178"/>
      <c r="S43887" s="178"/>
    </row>
    <row r="43888" spans="18:19">
      <c r="R43888" s="178"/>
      <c r="S43888" s="178"/>
    </row>
    <row r="43889" spans="18:19">
      <c r="R43889" s="178"/>
      <c r="S43889" s="178"/>
    </row>
    <row r="43890" spans="18:19">
      <c r="R43890" s="178"/>
      <c r="S43890" s="178"/>
    </row>
    <row r="43891" spans="18:19">
      <c r="R43891" s="178"/>
      <c r="S43891" s="178"/>
    </row>
    <row r="43892" spans="18:19">
      <c r="R43892" s="178"/>
      <c r="S43892" s="178"/>
    </row>
    <row r="43893" spans="18:19">
      <c r="R43893" s="178"/>
      <c r="S43893" s="178"/>
    </row>
    <row r="43894" spans="18:19">
      <c r="R43894" s="178"/>
      <c r="S43894" s="178"/>
    </row>
    <row r="43895" spans="18:19">
      <c r="R43895" s="178"/>
      <c r="S43895" s="178"/>
    </row>
    <row r="43896" spans="18:19">
      <c r="R43896" s="178"/>
      <c r="S43896" s="178"/>
    </row>
    <row r="43897" spans="18:19">
      <c r="R43897" s="178"/>
      <c r="S43897" s="178"/>
    </row>
    <row r="43898" spans="18:19">
      <c r="R43898" s="178"/>
      <c r="S43898" s="178"/>
    </row>
    <row r="43899" spans="18:19">
      <c r="R43899" s="178"/>
      <c r="S43899" s="178"/>
    </row>
    <row r="43900" spans="18:19">
      <c r="R43900" s="178"/>
      <c r="S43900" s="178"/>
    </row>
    <row r="43901" spans="18:19">
      <c r="R43901" s="178"/>
      <c r="S43901" s="178"/>
    </row>
    <row r="43902" spans="18:19">
      <c r="R43902" s="178"/>
      <c r="S43902" s="178"/>
    </row>
    <row r="43903" spans="18:19">
      <c r="R43903" s="178"/>
      <c r="S43903" s="178"/>
    </row>
    <row r="43904" spans="18:19">
      <c r="R43904" s="178"/>
      <c r="S43904" s="178"/>
    </row>
    <row r="43905" spans="18:19">
      <c r="R43905" s="178"/>
      <c r="S43905" s="178"/>
    </row>
    <row r="43906" spans="18:19">
      <c r="R43906" s="178"/>
      <c r="S43906" s="178"/>
    </row>
    <row r="43907" spans="18:19">
      <c r="R43907" s="178"/>
      <c r="S43907" s="178"/>
    </row>
    <row r="43908" spans="18:19">
      <c r="R43908" s="178"/>
      <c r="S43908" s="178"/>
    </row>
    <row r="43909" spans="18:19">
      <c r="R43909" s="178"/>
      <c r="S43909" s="178"/>
    </row>
    <row r="43910" spans="18:19">
      <c r="R43910" s="178"/>
      <c r="S43910" s="178"/>
    </row>
    <row r="43911" spans="18:19">
      <c r="R43911" s="178"/>
      <c r="S43911" s="178"/>
    </row>
    <row r="43912" spans="18:19">
      <c r="R43912" s="178"/>
      <c r="S43912" s="178"/>
    </row>
    <row r="43913" spans="18:19">
      <c r="R43913" s="178"/>
      <c r="S43913" s="178"/>
    </row>
    <row r="43914" spans="18:19">
      <c r="R43914" s="178"/>
      <c r="S43914" s="178"/>
    </row>
    <row r="43915" spans="18:19">
      <c r="R43915" s="178"/>
      <c r="S43915" s="178"/>
    </row>
    <row r="43916" spans="18:19">
      <c r="R43916" s="178"/>
      <c r="S43916" s="178"/>
    </row>
    <row r="43917" spans="18:19">
      <c r="R43917" s="178"/>
      <c r="S43917" s="178"/>
    </row>
    <row r="43918" spans="18:19">
      <c r="R43918" s="178"/>
      <c r="S43918" s="178"/>
    </row>
    <row r="43919" spans="18:19">
      <c r="R43919" s="178"/>
      <c r="S43919" s="178"/>
    </row>
    <row r="43920" spans="18:19">
      <c r="R43920" s="178"/>
      <c r="S43920" s="178"/>
    </row>
    <row r="43921" spans="18:19">
      <c r="R43921" s="178"/>
      <c r="S43921" s="178"/>
    </row>
    <row r="43922" spans="18:19">
      <c r="R43922" s="178"/>
      <c r="S43922" s="178"/>
    </row>
    <row r="43923" spans="18:19">
      <c r="R43923" s="178"/>
      <c r="S43923" s="178"/>
    </row>
    <row r="43924" spans="18:19">
      <c r="R43924" s="178"/>
      <c r="S43924" s="178"/>
    </row>
    <row r="43925" spans="18:19">
      <c r="R43925" s="178"/>
      <c r="S43925" s="178"/>
    </row>
    <row r="43926" spans="18:19">
      <c r="R43926" s="178"/>
      <c r="S43926" s="178"/>
    </row>
    <row r="43927" spans="18:19">
      <c r="R43927" s="178"/>
      <c r="S43927" s="178"/>
    </row>
    <row r="43928" spans="18:19">
      <c r="R43928" s="178"/>
      <c r="S43928" s="178"/>
    </row>
    <row r="43929" spans="18:19">
      <c r="R43929" s="178"/>
      <c r="S43929" s="178"/>
    </row>
    <row r="43930" spans="18:19">
      <c r="R43930" s="178"/>
      <c r="S43930" s="178"/>
    </row>
    <row r="43931" spans="18:19">
      <c r="R43931" s="178"/>
      <c r="S43931" s="178"/>
    </row>
    <row r="43932" spans="18:19">
      <c r="R43932" s="178"/>
      <c r="S43932" s="178"/>
    </row>
    <row r="43933" spans="18:19">
      <c r="R43933" s="178"/>
      <c r="S43933" s="178"/>
    </row>
    <row r="43934" spans="18:19">
      <c r="R43934" s="178"/>
      <c r="S43934" s="178"/>
    </row>
    <row r="43935" spans="18:19">
      <c r="R43935" s="178"/>
      <c r="S43935" s="178"/>
    </row>
    <row r="43936" spans="18:19">
      <c r="R43936" s="178"/>
      <c r="S43936" s="178"/>
    </row>
    <row r="43937" spans="18:19">
      <c r="R43937" s="178"/>
      <c r="S43937" s="178"/>
    </row>
    <row r="43938" spans="18:19">
      <c r="R43938" s="178"/>
      <c r="S43938" s="178"/>
    </row>
    <row r="43939" spans="18:19">
      <c r="R43939" s="178"/>
      <c r="S43939" s="178"/>
    </row>
    <row r="43940" spans="18:19">
      <c r="R43940" s="178"/>
      <c r="S43940" s="178"/>
    </row>
    <row r="43941" spans="18:19">
      <c r="R43941" s="178"/>
      <c r="S43941" s="178"/>
    </row>
    <row r="43942" spans="18:19">
      <c r="R43942" s="178"/>
      <c r="S43942" s="178"/>
    </row>
    <row r="43943" spans="18:19">
      <c r="R43943" s="178"/>
      <c r="S43943" s="178"/>
    </row>
    <row r="43944" spans="18:19">
      <c r="R43944" s="178"/>
      <c r="S43944" s="178"/>
    </row>
    <row r="43945" spans="18:19">
      <c r="R43945" s="178"/>
      <c r="S43945" s="178"/>
    </row>
    <row r="43946" spans="18:19">
      <c r="R43946" s="178"/>
      <c r="S43946" s="178"/>
    </row>
    <row r="43947" spans="18:19">
      <c r="R43947" s="178"/>
      <c r="S43947" s="178"/>
    </row>
    <row r="43948" spans="18:19">
      <c r="R43948" s="178"/>
      <c r="S43948" s="178"/>
    </row>
    <row r="43949" spans="18:19">
      <c r="R43949" s="178"/>
      <c r="S43949" s="178"/>
    </row>
    <row r="43950" spans="18:19">
      <c r="R43950" s="178"/>
      <c r="S43950" s="178"/>
    </row>
    <row r="43951" spans="18:19">
      <c r="R43951" s="178"/>
      <c r="S43951" s="178"/>
    </row>
    <row r="43952" spans="18:19">
      <c r="R43952" s="178"/>
      <c r="S43952" s="178"/>
    </row>
    <row r="43953" spans="18:19">
      <c r="R43953" s="178"/>
      <c r="S43953" s="178"/>
    </row>
    <row r="43954" spans="18:19">
      <c r="R43954" s="178"/>
      <c r="S43954" s="178"/>
    </row>
    <row r="43955" spans="18:19">
      <c r="R43955" s="178"/>
      <c r="S43955" s="178"/>
    </row>
    <row r="43956" spans="18:19">
      <c r="R43956" s="178"/>
      <c r="S43956" s="178"/>
    </row>
    <row r="43957" spans="18:19">
      <c r="R43957" s="178"/>
      <c r="S43957" s="178"/>
    </row>
    <row r="43958" spans="18:19">
      <c r="R43958" s="178"/>
      <c r="S43958" s="178"/>
    </row>
    <row r="43959" spans="18:19">
      <c r="R43959" s="178"/>
      <c r="S43959" s="178"/>
    </row>
    <row r="43960" spans="18:19">
      <c r="R43960" s="178"/>
      <c r="S43960" s="178"/>
    </row>
    <row r="43961" spans="18:19">
      <c r="R43961" s="178"/>
      <c r="S43961" s="178"/>
    </row>
    <row r="43962" spans="18:19">
      <c r="R43962" s="178"/>
      <c r="S43962" s="178"/>
    </row>
    <row r="43963" spans="18:19">
      <c r="R43963" s="178"/>
      <c r="S43963" s="178"/>
    </row>
    <row r="43964" spans="18:19">
      <c r="R43964" s="178"/>
      <c r="S43964" s="178"/>
    </row>
    <row r="43965" spans="18:19">
      <c r="R43965" s="178"/>
      <c r="S43965" s="178"/>
    </row>
    <row r="43966" spans="18:19">
      <c r="R43966" s="178"/>
      <c r="S43966" s="178"/>
    </row>
    <row r="43967" spans="18:19">
      <c r="R43967" s="178"/>
      <c r="S43967" s="178"/>
    </row>
    <row r="43968" spans="18:19">
      <c r="R43968" s="178"/>
      <c r="S43968" s="178"/>
    </row>
    <row r="43969" spans="18:19">
      <c r="R43969" s="178"/>
      <c r="S43969" s="178"/>
    </row>
    <row r="43970" spans="18:19">
      <c r="R43970" s="178"/>
      <c r="S43970" s="178"/>
    </row>
    <row r="43971" spans="18:19">
      <c r="R43971" s="178"/>
      <c r="S43971" s="178"/>
    </row>
    <row r="43972" spans="18:19">
      <c r="R43972" s="178"/>
      <c r="S43972" s="178"/>
    </row>
    <row r="43973" spans="18:19">
      <c r="R43973" s="178"/>
      <c r="S43973" s="178"/>
    </row>
    <row r="43974" spans="18:19">
      <c r="R43974" s="178"/>
      <c r="S43974" s="178"/>
    </row>
    <row r="43975" spans="18:19">
      <c r="R43975" s="178"/>
      <c r="S43975" s="178"/>
    </row>
    <row r="43976" spans="18:19">
      <c r="R43976" s="178"/>
      <c r="S43976" s="178"/>
    </row>
    <row r="43977" spans="18:19">
      <c r="R43977" s="178"/>
      <c r="S43977" s="178"/>
    </row>
    <row r="43978" spans="18:19">
      <c r="R43978" s="178"/>
      <c r="S43978" s="178"/>
    </row>
    <row r="43979" spans="18:19">
      <c r="R43979" s="178"/>
      <c r="S43979" s="178"/>
    </row>
    <row r="43980" spans="18:19">
      <c r="R43980" s="178"/>
      <c r="S43980" s="178"/>
    </row>
    <row r="43981" spans="18:19">
      <c r="R43981" s="178"/>
      <c r="S43981" s="178"/>
    </row>
    <row r="43982" spans="18:19">
      <c r="R43982" s="178"/>
      <c r="S43982" s="178"/>
    </row>
    <row r="43983" spans="18:19">
      <c r="R43983" s="178"/>
      <c r="S43983" s="178"/>
    </row>
    <row r="43984" spans="18:19">
      <c r="R43984" s="178"/>
      <c r="S43984" s="178"/>
    </row>
    <row r="43985" spans="18:19">
      <c r="R43985" s="178"/>
      <c r="S43985" s="178"/>
    </row>
    <row r="43986" spans="18:19">
      <c r="R43986" s="178"/>
      <c r="S43986" s="178"/>
    </row>
    <row r="43987" spans="18:19">
      <c r="R43987" s="178"/>
      <c r="S43987" s="178"/>
    </row>
    <row r="43988" spans="18:19">
      <c r="R43988" s="178"/>
      <c r="S43988" s="178"/>
    </row>
    <row r="43989" spans="18:19">
      <c r="R43989" s="178"/>
      <c r="S43989" s="178"/>
    </row>
    <row r="43990" spans="18:19">
      <c r="R43990" s="178"/>
      <c r="S43990" s="178"/>
    </row>
    <row r="43991" spans="18:19">
      <c r="R43991" s="178"/>
      <c r="S43991" s="178"/>
    </row>
    <row r="43992" spans="18:19">
      <c r="R43992" s="178"/>
      <c r="S43992" s="178"/>
    </row>
    <row r="43993" spans="18:19">
      <c r="R43993" s="178"/>
      <c r="S43993" s="178"/>
    </row>
    <row r="43994" spans="18:19">
      <c r="R43994" s="178"/>
      <c r="S43994" s="178"/>
    </row>
    <row r="43995" spans="18:19">
      <c r="R43995" s="178"/>
      <c r="S43995" s="178"/>
    </row>
    <row r="43996" spans="18:19">
      <c r="R43996" s="178"/>
      <c r="S43996" s="178"/>
    </row>
    <row r="43997" spans="18:19">
      <c r="R43997" s="178"/>
      <c r="S43997" s="178"/>
    </row>
    <row r="43998" spans="18:19">
      <c r="R43998" s="178"/>
      <c r="S43998" s="178"/>
    </row>
    <row r="43999" spans="18:19">
      <c r="R43999" s="178"/>
      <c r="S43999" s="178"/>
    </row>
    <row r="44000" spans="18:19">
      <c r="R44000" s="178"/>
      <c r="S44000" s="178"/>
    </row>
    <row r="44001" spans="18:19">
      <c r="R44001" s="178"/>
      <c r="S44001" s="178"/>
    </row>
    <row r="44002" spans="18:19">
      <c r="R44002" s="178"/>
      <c r="S44002" s="178"/>
    </row>
    <row r="44003" spans="18:19">
      <c r="R44003" s="178"/>
      <c r="S44003" s="178"/>
    </row>
    <row r="44004" spans="18:19">
      <c r="R44004" s="178"/>
      <c r="S44004" s="178"/>
    </row>
    <row r="44005" spans="18:19">
      <c r="R44005" s="178"/>
      <c r="S44005" s="178"/>
    </row>
    <row r="44006" spans="18:19">
      <c r="R44006" s="178"/>
      <c r="S44006" s="178"/>
    </row>
    <row r="44007" spans="18:19">
      <c r="R44007" s="178"/>
      <c r="S44007" s="178"/>
    </row>
    <row r="44008" spans="18:19">
      <c r="R44008" s="178"/>
      <c r="S44008" s="178"/>
    </row>
    <row r="44009" spans="18:19">
      <c r="R44009" s="178"/>
      <c r="S44009" s="178"/>
    </row>
    <row r="44010" spans="18:19">
      <c r="R44010" s="178"/>
      <c r="S44010" s="178"/>
    </row>
    <row r="44011" spans="18:19">
      <c r="R44011" s="178"/>
      <c r="S44011" s="178"/>
    </row>
    <row r="44012" spans="18:19">
      <c r="R44012" s="178"/>
      <c r="S44012" s="178"/>
    </row>
    <row r="44013" spans="18:19">
      <c r="R44013" s="178"/>
      <c r="S44013" s="178"/>
    </row>
    <row r="44014" spans="18:19">
      <c r="R44014" s="178"/>
      <c r="S44014" s="178"/>
    </row>
    <row r="44015" spans="18:19">
      <c r="R44015" s="178"/>
      <c r="S44015" s="178"/>
    </row>
    <row r="44016" spans="18:19">
      <c r="R44016" s="178"/>
      <c r="S44016" s="178"/>
    </row>
    <row r="44017" spans="18:19">
      <c r="R44017" s="178"/>
      <c r="S44017" s="178"/>
    </row>
    <row r="44018" spans="18:19">
      <c r="R44018" s="178"/>
      <c r="S44018" s="178"/>
    </row>
    <row r="44019" spans="18:19">
      <c r="R44019" s="178"/>
      <c r="S44019" s="178"/>
    </row>
    <row r="44020" spans="18:19">
      <c r="R44020" s="178"/>
      <c r="S44020" s="178"/>
    </row>
    <row r="44021" spans="18:19">
      <c r="R44021" s="178"/>
      <c r="S44021" s="178"/>
    </row>
    <row r="44022" spans="18:19">
      <c r="R44022" s="178"/>
      <c r="S44022" s="178"/>
    </row>
    <row r="44023" spans="18:19">
      <c r="R44023" s="178"/>
      <c r="S44023" s="178"/>
    </row>
    <row r="44024" spans="18:19">
      <c r="R44024" s="178"/>
      <c r="S44024" s="178"/>
    </row>
    <row r="44025" spans="18:19">
      <c r="R44025" s="178"/>
      <c r="S44025" s="178"/>
    </row>
    <row r="44026" spans="18:19">
      <c r="R44026" s="178"/>
      <c r="S44026" s="178"/>
    </row>
    <row r="44027" spans="18:19">
      <c r="R44027" s="178"/>
      <c r="S44027" s="178"/>
    </row>
    <row r="44028" spans="18:19">
      <c r="R44028" s="178"/>
      <c r="S44028" s="178"/>
    </row>
    <row r="44029" spans="18:19">
      <c r="R44029" s="178"/>
      <c r="S44029" s="178"/>
    </row>
    <row r="44030" spans="18:19">
      <c r="R44030" s="178"/>
      <c r="S44030" s="178"/>
    </row>
    <row r="44031" spans="18:19">
      <c r="R44031" s="178"/>
      <c r="S44031" s="178"/>
    </row>
    <row r="44032" spans="18:19">
      <c r="R44032" s="178"/>
      <c r="S44032" s="178"/>
    </row>
    <row r="44033" spans="18:19">
      <c r="R44033" s="178"/>
      <c r="S44033" s="178"/>
    </row>
    <row r="44034" spans="18:19">
      <c r="R44034" s="178"/>
      <c r="S44034" s="178"/>
    </row>
    <row r="44035" spans="18:19">
      <c r="R44035" s="178"/>
      <c r="S44035" s="178"/>
    </row>
    <row r="44036" spans="18:19">
      <c r="R44036" s="178"/>
      <c r="S44036" s="178"/>
    </row>
    <row r="44037" spans="18:19">
      <c r="R44037" s="178"/>
      <c r="S44037" s="178"/>
    </row>
    <row r="44038" spans="18:19">
      <c r="R44038" s="178"/>
      <c r="S44038" s="178"/>
    </row>
    <row r="44039" spans="18:19">
      <c r="R44039" s="178"/>
      <c r="S44039" s="178"/>
    </row>
    <row r="44040" spans="18:19">
      <c r="R44040" s="178"/>
      <c r="S44040" s="178"/>
    </row>
    <row r="44041" spans="18:19">
      <c r="R44041" s="178"/>
      <c r="S44041" s="178"/>
    </row>
    <row r="44042" spans="18:19">
      <c r="R44042" s="178"/>
      <c r="S44042" s="178"/>
    </row>
    <row r="44043" spans="18:19">
      <c r="R44043" s="178"/>
      <c r="S44043" s="178"/>
    </row>
    <row r="44044" spans="18:19">
      <c r="R44044" s="178"/>
      <c r="S44044" s="178"/>
    </row>
    <row r="44045" spans="18:19">
      <c r="R44045" s="178"/>
      <c r="S44045" s="178"/>
    </row>
    <row r="44046" spans="18:19">
      <c r="R44046" s="178"/>
      <c r="S44046" s="178"/>
    </row>
    <row r="44047" spans="18:19">
      <c r="R44047" s="178"/>
      <c r="S44047" s="178"/>
    </row>
    <row r="44048" spans="18:19">
      <c r="R44048" s="178"/>
      <c r="S44048" s="178"/>
    </row>
    <row r="44049" spans="18:19">
      <c r="R44049" s="178"/>
      <c r="S44049" s="178"/>
    </row>
    <row r="44050" spans="18:19">
      <c r="R44050" s="178"/>
      <c r="S44050" s="178"/>
    </row>
    <row r="44051" spans="18:19">
      <c r="R44051" s="178"/>
      <c r="S44051" s="178"/>
    </row>
    <row r="44052" spans="18:19">
      <c r="R44052" s="178"/>
      <c r="S44052" s="178"/>
    </row>
    <row r="44053" spans="18:19">
      <c r="R44053" s="178"/>
      <c r="S44053" s="178"/>
    </row>
    <row r="44054" spans="18:19">
      <c r="R44054" s="178"/>
      <c r="S44054" s="178"/>
    </row>
    <row r="44055" spans="18:19">
      <c r="R44055" s="178"/>
      <c r="S44055" s="178"/>
    </row>
    <row r="44056" spans="18:19">
      <c r="R44056" s="178"/>
      <c r="S44056" s="178"/>
    </row>
    <row r="44057" spans="18:19">
      <c r="R44057" s="178"/>
      <c r="S44057" s="178"/>
    </row>
    <row r="44058" spans="18:19">
      <c r="R44058" s="178"/>
      <c r="S44058" s="178"/>
    </row>
    <row r="44059" spans="18:19">
      <c r="R44059" s="178"/>
      <c r="S44059" s="178"/>
    </row>
    <row r="44060" spans="18:19">
      <c r="R44060" s="178"/>
      <c r="S44060" s="178"/>
    </row>
    <row r="44061" spans="18:19">
      <c r="R44061" s="178"/>
      <c r="S44061" s="178"/>
    </row>
    <row r="44062" spans="18:19">
      <c r="R44062" s="178"/>
      <c r="S44062" s="178"/>
    </row>
    <row r="44063" spans="18:19">
      <c r="R44063" s="178"/>
      <c r="S44063" s="178"/>
    </row>
    <row r="44064" spans="18:19">
      <c r="R44064" s="178"/>
      <c r="S44064" s="178"/>
    </row>
    <row r="44065" spans="18:19">
      <c r="R44065" s="178"/>
      <c r="S44065" s="178"/>
    </row>
    <row r="44066" spans="18:19">
      <c r="R44066" s="178"/>
      <c r="S44066" s="178"/>
    </row>
    <row r="44067" spans="18:19">
      <c r="R44067" s="178"/>
      <c r="S44067" s="178"/>
    </row>
    <row r="44068" spans="18:19">
      <c r="R44068" s="178"/>
      <c r="S44068" s="178"/>
    </row>
    <row r="44069" spans="18:19">
      <c r="R44069" s="178"/>
      <c r="S44069" s="178"/>
    </row>
    <row r="44070" spans="18:19">
      <c r="R44070" s="178"/>
      <c r="S44070" s="178"/>
    </row>
    <row r="44071" spans="18:19">
      <c r="R44071" s="178"/>
      <c r="S44071" s="178"/>
    </row>
    <row r="44072" spans="18:19">
      <c r="R44072" s="178"/>
      <c r="S44072" s="178"/>
    </row>
    <row r="44073" spans="18:19">
      <c r="R44073" s="178"/>
      <c r="S44073" s="178"/>
    </row>
    <row r="44074" spans="18:19">
      <c r="R44074" s="178"/>
      <c r="S44074" s="178"/>
    </row>
    <row r="44075" spans="18:19">
      <c r="R44075" s="178"/>
      <c r="S44075" s="178"/>
    </row>
    <row r="44076" spans="18:19">
      <c r="R44076" s="178"/>
      <c r="S44076" s="178"/>
    </row>
    <row r="44077" spans="18:19">
      <c r="R44077" s="178"/>
      <c r="S44077" s="178"/>
    </row>
    <row r="44078" spans="18:19">
      <c r="R44078" s="178"/>
      <c r="S44078" s="178"/>
    </row>
    <row r="44079" spans="18:19">
      <c r="R44079" s="178"/>
      <c r="S44079" s="178"/>
    </row>
    <row r="44080" spans="18:19">
      <c r="R44080" s="178"/>
      <c r="S44080" s="178"/>
    </row>
    <row r="44081" spans="18:19">
      <c r="R44081" s="178"/>
      <c r="S44081" s="178"/>
    </row>
    <row r="44082" spans="18:19">
      <c r="R44082" s="178"/>
      <c r="S44082" s="178"/>
    </row>
    <row r="44083" spans="18:19">
      <c r="R44083" s="178"/>
      <c r="S44083" s="178"/>
    </row>
    <row r="44084" spans="18:19">
      <c r="R44084" s="178"/>
      <c r="S44084" s="178"/>
    </row>
    <row r="44085" spans="18:19">
      <c r="R44085" s="178"/>
      <c r="S44085" s="178"/>
    </row>
    <row r="44086" spans="18:19">
      <c r="R44086" s="178"/>
      <c r="S44086" s="178"/>
    </row>
    <row r="44087" spans="18:19">
      <c r="R44087" s="178"/>
      <c r="S44087" s="178"/>
    </row>
    <row r="44088" spans="18:19">
      <c r="R44088" s="178"/>
      <c r="S44088" s="178"/>
    </row>
    <row r="44089" spans="18:19">
      <c r="R44089" s="178"/>
      <c r="S44089" s="178"/>
    </row>
    <row r="44090" spans="18:19">
      <c r="R44090" s="178"/>
      <c r="S44090" s="178"/>
    </row>
    <row r="44091" spans="18:19">
      <c r="R44091" s="178"/>
      <c r="S44091" s="178"/>
    </row>
    <row r="44092" spans="18:19">
      <c r="R44092" s="178"/>
      <c r="S44092" s="178"/>
    </row>
    <row r="44093" spans="18:19">
      <c r="R44093" s="178"/>
      <c r="S44093" s="178"/>
    </row>
    <row r="44094" spans="18:19">
      <c r="R44094" s="178"/>
      <c r="S44094" s="178"/>
    </row>
    <row r="44095" spans="18:19">
      <c r="R44095" s="178"/>
      <c r="S44095" s="178"/>
    </row>
    <row r="44096" spans="18:19">
      <c r="R44096" s="178"/>
      <c r="S44096" s="178"/>
    </row>
    <row r="44097" spans="18:19">
      <c r="R44097" s="178"/>
      <c r="S44097" s="178"/>
    </row>
    <row r="44098" spans="18:19">
      <c r="R44098" s="178"/>
      <c r="S44098" s="178"/>
    </row>
    <row r="44099" spans="18:19">
      <c r="R44099" s="178"/>
      <c r="S44099" s="178"/>
    </row>
    <row r="44100" spans="18:19">
      <c r="R44100" s="178"/>
      <c r="S44100" s="178"/>
    </row>
    <row r="44101" spans="18:19">
      <c r="R44101" s="178"/>
      <c r="S44101" s="178"/>
    </row>
    <row r="44102" spans="18:19">
      <c r="R44102" s="178"/>
      <c r="S44102" s="178"/>
    </row>
    <row r="44103" spans="18:19">
      <c r="R44103" s="178"/>
      <c r="S44103" s="178"/>
    </row>
    <row r="44104" spans="18:19">
      <c r="R44104" s="178"/>
      <c r="S44104" s="178"/>
    </row>
    <row r="44105" spans="18:19">
      <c r="R44105" s="178"/>
      <c r="S44105" s="178"/>
    </row>
    <row r="44106" spans="18:19">
      <c r="R44106" s="178"/>
      <c r="S44106" s="178"/>
    </row>
    <row r="44107" spans="18:19">
      <c r="R44107" s="178"/>
      <c r="S44107" s="178"/>
    </row>
    <row r="44108" spans="18:19">
      <c r="R44108" s="178"/>
      <c r="S44108" s="178"/>
    </row>
    <row r="44109" spans="18:19">
      <c r="R44109" s="178"/>
      <c r="S44109" s="178"/>
    </row>
    <row r="44110" spans="18:19">
      <c r="R44110" s="178"/>
      <c r="S44110" s="178"/>
    </row>
    <row r="44111" spans="18:19">
      <c r="R44111" s="178"/>
      <c r="S44111" s="178"/>
    </row>
    <row r="44112" spans="18:19">
      <c r="R44112" s="178"/>
      <c r="S44112" s="178"/>
    </row>
    <row r="44113" spans="18:19">
      <c r="R44113" s="178"/>
      <c r="S44113" s="178"/>
    </row>
    <row r="44114" spans="18:19">
      <c r="R44114" s="178"/>
      <c r="S44114" s="178"/>
    </row>
    <row r="44115" spans="18:19">
      <c r="R44115" s="178"/>
      <c r="S44115" s="178"/>
    </row>
    <row r="44116" spans="18:19">
      <c r="R44116" s="178"/>
      <c r="S44116" s="178"/>
    </row>
    <row r="44117" spans="18:19">
      <c r="R44117" s="178"/>
      <c r="S44117" s="178"/>
    </row>
    <row r="44118" spans="18:19">
      <c r="R44118" s="178"/>
      <c r="S44118" s="178"/>
    </row>
    <row r="44119" spans="18:19">
      <c r="R44119" s="178"/>
      <c r="S44119" s="178"/>
    </row>
    <row r="44120" spans="18:19">
      <c r="R44120" s="178"/>
      <c r="S44120" s="178"/>
    </row>
    <row r="44121" spans="18:19">
      <c r="R44121" s="178"/>
      <c r="S44121" s="178"/>
    </row>
    <row r="44122" spans="18:19">
      <c r="R44122" s="178"/>
      <c r="S44122" s="178"/>
    </row>
    <row r="44123" spans="18:19">
      <c r="R44123" s="178"/>
      <c r="S44123" s="178"/>
    </row>
    <row r="44124" spans="18:19">
      <c r="R44124" s="178"/>
      <c r="S44124" s="178"/>
    </row>
    <row r="44125" spans="18:19">
      <c r="R44125" s="178"/>
      <c r="S44125" s="178"/>
    </row>
    <row r="44126" spans="18:19">
      <c r="R44126" s="178"/>
      <c r="S44126" s="178"/>
    </row>
    <row r="44127" spans="18:19">
      <c r="R44127" s="178"/>
      <c r="S44127" s="178"/>
    </row>
    <row r="44128" spans="18:19">
      <c r="R44128" s="178"/>
      <c r="S44128" s="178"/>
    </row>
    <row r="44129" spans="18:19">
      <c r="R44129" s="178"/>
      <c r="S44129" s="178"/>
    </row>
    <row r="44130" spans="18:19">
      <c r="R44130" s="178"/>
      <c r="S44130" s="178"/>
    </row>
    <row r="44131" spans="18:19">
      <c r="R44131" s="178"/>
      <c r="S44131" s="178"/>
    </row>
    <row r="44132" spans="18:19">
      <c r="R44132" s="178"/>
      <c r="S44132" s="178"/>
    </row>
    <row r="44133" spans="18:19">
      <c r="R44133" s="178"/>
      <c r="S44133" s="178"/>
    </row>
    <row r="44134" spans="18:19">
      <c r="R44134" s="178"/>
      <c r="S44134" s="178"/>
    </row>
    <row r="44135" spans="18:19">
      <c r="R44135" s="178"/>
      <c r="S44135" s="178"/>
    </row>
    <row r="44136" spans="18:19">
      <c r="R44136" s="178"/>
      <c r="S44136" s="178"/>
    </row>
    <row r="44137" spans="18:19">
      <c r="R44137" s="178"/>
      <c r="S44137" s="178"/>
    </row>
    <row r="44138" spans="18:19">
      <c r="R44138" s="178"/>
      <c r="S44138" s="178"/>
    </row>
    <row r="44139" spans="18:19">
      <c r="R44139" s="178"/>
      <c r="S44139" s="178"/>
    </row>
    <row r="44140" spans="18:19">
      <c r="R44140" s="178"/>
      <c r="S44140" s="178"/>
    </row>
    <row r="44141" spans="18:19">
      <c r="R44141" s="178"/>
      <c r="S44141" s="178"/>
    </row>
    <row r="44142" spans="18:19">
      <c r="R44142" s="178"/>
      <c r="S44142" s="178"/>
    </row>
    <row r="44143" spans="18:19">
      <c r="R44143" s="178"/>
      <c r="S44143" s="178"/>
    </row>
    <row r="44144" spans="18:19">
      <c r="R44144" s="178"/>
      <c r="S44144" s="178"/>
    </row>
    <row r="44145" spans="18:19">
      <c r="R44145" s="178"/>
      <c r="S44145" s="178"/>
    </row>
    <row r="44146" spans="18:19">
      <c r="R44146" s="178"/>
      <c r="S44146" s="178"/>
    </row>
    <row r="44147" spans="18:19">
      <c r="R44147" s="178"/>
      <c r="S44147" s="178"/>
    </row>
    <row r="44148" spans="18:19">
      <c r="R44148" s="178"/>
      <c r="S44148" s="178"/>
    </row>
    <row r="44149" spans="18:19">
      <c r="R44149" s="178"/>
      <c r="S44149" s="178"/>
    </row>
    <row r="44150" spans="18:19">
      <c r="R44150" s="178"/>
      <c r="S44150" s="178"/>
    </row>
    <row r="44151" spans="18:19">
      <c r="R44151" s="178"/>
      <c r="S44151" s="178"/>
    </row>
    <row r="44152" spans="18:19">
      <c r="R44152" s="178"/>
      <c r="S44152" s="178"/>
    </row>
    <row r="44153" spans="18:19">
      <c r="R44153" s="178"/>
      <c r="S44153" s="178"/>
    </row>
    <row r="44154" spans="18:19">
      <c r="R44154" s="178"/>
      <c r="S44154" s="178"/>
    </row>
    <row r="44155" spans="18:19">
      <c r="R44155" s="178"/>
      <c r="S44155" s="178"/>
    </row>
    <row r="44156" spans="18:19">
      <c r="R44156" s="178"/>
      <c r="S44156" s="178"/>
    </row>
    <row r="44157" spans="18:19">
      <c r="R44157" s="178"/>
      <c r="S44157" s="178"/>
    </row>
    <row r="44158" spans="18:19">
      <c r="R44158" s="178"/>
      <c r="S44158" s="178"/>
    </row>
    <row r="44159" spans="18:19">
      <c r="R44159" s="178"/>
      <c r="S44159" s="178"/>
    </row>
    <row r="44160" spans="18:19">
      <c r="R44160" s="178"/>
      <c r="S44160" s="178"/>
    </row>
    <row r="44161" spans="18:19">
      <c r="R44161" s="178"/>
      <c r="S44161" s="178"/>
    </row>
    <row r="44162" spans="18:19">
      <c r="R44162" s="178"/>
      <c r="S44162" s="178"/>
    </row>
    <row r="44163" spans="18:19">
      <c r="R44163" s="178"/>
      <c r="S44163" s="178"/>
    </row>
    <row r="44164" spans="18:19">
      <c r="R44164" s="178"/>
      <c r="S44164" s="178"/>
    </row>
    <row r="44165" spans="18:19">
      <c r="R44165" s="178"/>
      <c r="S44165" s="178"/>
    </row>
    <row r="44166" spans="18:19">
      <c r="R44166" s="178"/>
      <c r="S44166" s="178"/>
    </row>
    <row r="44167" spans="18:19">
      <c r="R44167" s="178"/>
      <c r="S44167" s="178"/>
    </row>
    <row r="44168" spans="18:19">
      <c r="R44168" s="178"/>
      <c r="S44168" s="178"/>
    </row>
    <row r="44169" spans="18:19">
      <c r="R44169" s="178"/>
      <c r="S44169" s="178"/>
    </row>
    <row r="44170" spans="18:19">
      <c r="R44170" s="178"/>
      <c r="S44170" s="178"/>
    </row>
    <row r="44171" spans="18:19">
      <c r="R44171" s="178"/>
      <c r="S44171" s="178"/>
    </row>
    <row r="44172" spans="18:19">
      <c r="R44172" s="178"/>
      <c r="S44172" s="178"/>
    </row>
    <row r="44173" spans="18:19">
      <c r="R44173" s="178"/>
      <c r="S44173" s="178"/>
    </row>
    <row r="44174" spans="18:19">
      <c r="R44174" s="178"/>
      <c r="S44174" s="178"/>
    </row>
    <row r="44175" spans="18:19">
      <c r="R44175" s="178"/>
      <c r="S44175" s="178"/>
    </row>
    <row r="44176" spans="18:19">
      <c r="R44176" s="178"/>
      <c r="S44176" s="178"/>
    </row>
    <row r="44177" spans="18:19">
      <c r="R44177" s="178"/>
      <c r="S44177" s="178"/>
    </row>
    <row r="44178" spans="18:19">
      <c r="R44178" s="178"/>
      <c r="S44178" s="178"/>
    </row>
    <row r="44179" spans="18:19">
      <c r="R44179" s="178"/>
      <c r="S44179" s="178"/>
    </row>
    <row r="44180" spans="18:19">
      <c r="R44180" s="178"/>
      <c r="S44180" s="178"/>
    </row>
    <row r="44181" spans="18:19">
      <c r="R44181" s="178"/>
      <c r="S44181" s="178"/>
    </row>
    <row r="44182" spans="18:19">
      <c r="R44182" s="178"/>
      <c r="S44182" s="178"/>
    </row>
    <row r="44183" spans="18:19">
      <c r="R44183" s="178"/>
      <c r="S44183" s="178"/>
    </row>
    <row r="44184" spans="18:19">
      <c r="R44184" s="178"/>
      <c r="S44184" s="178"/>
    </row>
    <row r="44185" spans="18:19">
      <c r="R44185" s="178"/>
      <c r="S44185" s="178"/>
    </row>
    <row r="44186" spans="18:19">
      <c r="R44186" s="178"/>
      <c r="S44186" s="178"/>
    </row>
    <row r="44187" spans="18:19">
      <c r="R44187" s="178"/>
      <c r="S44187" s="178"/>
    </row>
    <row r="44188" spans="18:19">
      <c r="R44188" s="178"/>
      <c r="S44188" s="178"/>
    </row>
    <row r="44189" spans="18:19">
      <c r="R44189" s="178"/>
      <c r="S44189" s="178"/>
    </row>
    <row r="44190" spans="18:19">
      <c r="R44190" s="178"/>
      <c r="S44190" s="178"/>
    </row>
    <row r="44191" spans="18:19">
      <c r="R44191" s="178"/>
      <c r="S44191" s="178"/>
    </row>
    <row r="44192" spans="18:19">
      <c r="R44192" s="178"/>
      <c r="S44192" s="178"/>
    </row>
    <row r="44193" spans="18:19">
      <c r="R44193" s="178"/>
      <c r="S44193" s="178"/>
    </row>
    <row r="44194" spans="18:19">
      <c r="R44194" s="178"/>
      <c r="S44194" s="178"/>
    </row>
    <row r="44195" spans="18:19">
      <c r="R44195" s="178"/>
      <c r="S44195" s="178"/>
    </row>
    <row r="44196" spans="18:19">
      <c r="R44196" s="178"/>
      <c r="S44196" s="178"/>
    </row>
    <row r="44197" spans="18:19">
      <c r="R44197" s="178"/>
      <c r="S44197" s="178"/>
    </row>
    <row r="44198" spans="18:19">
      <c r="R44198" s="178"/>
      <c r="S44198" s="178"/>
    </row>
    <row r="44199" spans="18:19">
      <c r="R44199" s="178"/>
      <c r="S44199" s="178"/>
    </row>
    <row r="44200" spans="18:19">
      <c r="R44200" s="178"/>
      <c r="S44200" s="178"/>
    </row>
    <row r="44201" spans="18:19">
      <c r="R44201" s="178"/>
      <c r="S44201" s="178"/>
    </row>
    <row r="44202" spans="18:19">
      <c r="R44202" s="178"/>
      <c r="S44202" s="178"/>
    </row>
    <row r="44203" spans="18:19">
      <c r="R44203" s="178"/>
      <c r="S44203" s="178"/>
    </row>
    <row r="44204" spans="18:19">
      <c r="R44204" s="178"/>
      <c r="S44204" s="178"/>
    </row>
    <row r="44205" spans="18:19">
      <c r="R44205" s="178"/>
      <c r="S44205" s="178"/>
    </row>
    <row r="44206" spans="18:19">
      <c r="R44206" s="178"/>
      <c r="S44206" s="178"/>
    </row>
    <row r="44207" spans="18:19">
      <c r="R44207" s="178"/>
      <c r="S44207" s="178"/>
    </row>
    <row r="44208" spans="18:19">
      <c r="R44208" s="178"/>
      <c r="S44208" s="178"/>
    </row>
    <row r="44209" spans="18:19">
      <c r="R44209" s="178"/>
      <c r="S44209" s="178"/>
    </row>
    <row r="44210" spans="18:19">
      <c r="R44210" s="178"/>
      <c r="S44210" s="178"/>
    </row>
    <row r="44211" spans="18:19">
      <c r="R44211" s="178"/>
      <c r="S44211" s="178"/>
    </row>
    <row r="44212" spans="18:19">
      <c r="R44212" s="178"/>
      <c r="S44212" s="178"/>
    </row>
    <row r="44213" spans="18:19">
      <c r="R44213" s="178"/>
      <c r="S44213" s="178"/>
    </row>
    <row r="44214" spans="18:19">
      <c r="R44214" s="178"/>
      <c r="S44214" s="178"/>
    </row>
    <row r="44215" spans="18:19">
      <c r="R44215" s="178"/>
      <c r="S44215" s="178"/>
    </row>
    <row r="44216" spans="18:19">
      <c r="R44216" s="178"/>
      <c r="S44216" s="178"/>
    </row>
    <row r="44217" spans="18:19">
      <c r="R44217" s="178"/>
      <c r="S44217" s="178"/>
    </row>
    <row r="44218" spans="18:19">
      <c r="R44218" s="178"/>
      <c r="S44218" s="178"/>
    </row>
    <row r="44219" spans="18:19">
      <c r="R44219" s="178"/>
      <c r="S44219" s="178"/>
    </row>
    <row r="44220" spans="18:19">
      <c r="R44220" s="178"/>
      <c r="S44220" s="178"/>
    </row>
    <row r="44221" spans="18:19">
      <c r="R44221" s="178"/>
      <c r="S44221" s="178"/>
    </row>
    <row r="44222" spans="18:19">
      <c r="R44222" s="178"/>
      <c r="S44222" s="178"/>
    </row>
    <row r="44223" spans="18:19">
      <c r="R44223" s="178"/>
      <c r="S44223" s="178"/>
    </row>
    <row r="44224" spans="18:19">
      <c r="R44224" s="178"/>
      <c r="S44224" s="178"/>
    </row>
    <row r="44225" spans="18:19">
      <c r="R44225" s="178"/>
      <c r="S44225" s="178"/>
    </row>
    <row r="44226" spans="18:19">
      <c r="R44226" s="178"/>
      <c r="S44226" s="178"/>
    </row>
    <row r="44227" spans="18:19">
      <c r="R44227" s="178"/>
      <c r="S44227" s="178"/>
    </row>
    <row r="44228" spans="18:19">
      <c r="R44228" s="178"/>
      <c r="S44228" s="178"/>
    </row>
    <row r="44229" spans="18:19">
      <c r="R44229" s="178"/>
      <c r="S44229" s="178"/>
    </row>
    <row r="44230" spans="18:19">
      <c r="R44230" s="178"/>
      <c r="S44230" s="178"/>
    </row>
    <row r="44231" spans="18:19">
      <c r="R44231" s="178"/>
      <c r="S44231" s="178"/>
    </row>
    <row r="44232" spans="18:19">
      <c r="R44232" s="178"/>
      <c r="S44232" s="178"/>
    </row>
    <row r="44233" spans="18:19">
      <c r="R44233" s="178"/>
      <c r="S44233" s="178"/>
    </row>
    <row r="44234" spans="18:19">
      <c r="R44234" s="178"/>
      <c r="S44234" s="178"/>
    </row>
    <row r="44235" spans="18:19">
      <c r="R44235" s="178"/>
      <c r="S44235" s="178"/>
    </row>
    <row r="44236" spans="18:19">
      <c r="R44236" s="178"/>
      <c r="S44236" s="178"/>
    </row>
    <row r="44237" spans="18:19">
      <c r="R44237" s="178"/>
      <c r="S44237" s="178"/>
    </row>
    <row r="44238" spans="18:19">
      <c r="R44238" s="178"/>
      <c r="S44238" s="178"/>
    </row>
    <row r="44239" spans="18:19">
      <c r="R44239" s="178"/>
      <c r="S44239" s="178"/>
    </row>
    <row r="44240" spans="18:19">
      <c r="R44240" s="178"/>
      <c r="S44240" s="178"/>
    </row>
    <row r="44241" spans="18:19">
      <c r="R44241" s="178"/>
      <c r="S44241" s="178"/>
    </row>
    <row r="44242" spans="18:19">
      <c r="R44242" s="178"/>
      <c r="S44242" s="178"/>
    </row>
    <row r="44243" spans="18:19">
      <c r="R44243" s="178"/>
      <c r="S44243" s="178"/>
    </row>
    <row r="44244" spans="18:19">
      <c r="R44244" s="178"/>
      <c r="S44244" s="178"/>
    </row>
    <row r="44245" spans="18:19">
      <c r="R44245" s="178"/>
      <c r="S44245" s="178"/>
    </row>
    <row r="44246" spans="18:19">
      <c r="R44246" s="178"/>
      <c r="S44246" s="178"/>
    </row>
    <row r="44247" spans="18:19">
      <c r="R44247" s="178"/>
      <c r="S44247" s="178"/>
    </row>
    <row r="44248" spans="18:19">
      <c r="R44248" s="178"/>
      <c r="S44248" s="178"/>
    </row>
    <row r="44249" spans="18:19">
      <c r="R44249" s="178"/>
      <c r="S44249" s="178"/>
    </row>
    <row r="44250" spans="18:19">
      <c r="R44250" s="178"/>
      <c r="S44250" s="178"/>
    </row>
    <row r="44251" spans="18:19">
      <c r="R44251" s="178"/>
      <c r="S44251" s="178"/>
    </row>
    <row r="44252" spans="18:19">
      <c r="R44252" s="178"/>
      <c r="S44252" s="178"/>
    </row>
    <row r="44253" spans="18:19">
      <c r="R44253" s="178"/>
      <c r="S44253" s="178"/>
    </row>
    <row r="44254" spans="18:19">
      <c r="R44254" s="178"/>
      <c r="S44254" s="178"/>
    </row>
    <row r="44255" spans="18:19">
      <c r="R44255" s="178"/>
      <c r="S44255" s="178"/>
    </row>
    <row r="44256" spans="18:19">
      <c r="R44256" s="178"/>
      <c r="S44256" s="178"/>
    </row>
    <row r="44257" spans="18:19">
      <c r="R44257" s="178"/>
      <c r="S44257" s="178"/>
    </row>
    <row r="44258" spans="18:19">
      <c r="R44258" s="178"/>
      <c r="S44258" s="178"/>
    </row>
    <row r="44259" spans="18:19">
      <c r="R44259" s="178"/>
      <c r="S44259" s="178"/>
    </row>
    <row r="44260" spans="18:19">
      <c r="R44260" s="178"/>
      <c r="S44260" s="178"/>
    </row>
    <row r="44261" spans="18:19">
      <c r="R44261" s="178"/>
      <c r="S44261" s="178"/>
    </row>
    <row r="44262" spans="18:19">
      <c r="R44262" s="178"/>
      <c r="S44262" s="178"/>
    </row>
    <row r="44263" spans="18:19">
      <c r="R44263" s="178"/>
      <c r="S44263" s="178"/>
    </row>
    <row r="44264" spans="18:19">
      <c r="R44264" s="178"/>
      <c r="S44264" s="178"/>
    </row>
    <row r="44265" spans="18:19">
      <c r="R44265" s="178"/>
      <c r="S44265" s="178"/>
    </row>
    <row r="44266" spans="18:19">
      <c r="R44266" s="178"/>
      <c r="S44266" s="178"/>
    </row>
    <row r="44267" spans="18:19">
      <c r="R44267" s="178"/>
      <c r="S44267" s="178"/>
    </row>
    <row r="44268" spans="18:19">
      <c r="R44268" s="178"/>
      <c r="S44268" s="178"/>
    </row>
    <row r="44269" spans="18:19">
      <c r="R44269" s="178"/>
      <c r="S44269" s="178"/>
    </row>
    <row r="44270" spans="18:19">
      <c r="R44270" s="178"/>
      <c r="S44270" s="178"/>
    </row>
    <row r="44271" spans="18:19">
      <c r="R44271" s="178"/>
      <c r="S44271" s="178"/>
    </row>
    <row r="44272" spans="18:19">
      <c r="R44272" s="178"/>
      <c r="S44272" s="178"/>
    </row>
    <row r="44273" spans="18:19">
      <c r="R44273" s="178"/>
      <c r="S44273" s="178"/>
    </row>
    <row r="44274" spans="18:19">
      <c r="R44274" s="178"/>
      <c r="S44274" s="178"/>
    </row>
    <row r="44275" spans="18:19">
      <c r="R44275" s="178"/>
      <c r="S44275" s="178"/>
    </row>
    <row r="44276" spans="18:19">
      <c r="R44276" s="178"/>
      <c r="S44276" s="178"/>
    </row>
    <row r="44277" spans="18:19">
      <c r="R44277" s="178"/>
      <c r="S44277" s="178"/>
    </row>
    <row r="44278" spans="18:19">
      <c r="R44278" s="178"/>
      <c r="S44278" s="178"/>
    </row>
    <row r="44279" spans="18:19">
      <c r="R44279" s="178"/>
      <c r="S44279" s="178"/>
    </row>
    <row r="44280" spans="18:19">
      <c r="R44280" s="178"/>
      <c r="S44280" s="178"/>
    </row>
    <row r="44281" spans="18:19">
      <c r="R44281" s="178"/>
      <c r="S44281" s="178"/>
    </row>
    <row r="44282" spans="18:19">
      <c r="R44282" s="178"/>
      <c r="S44282" s="178"/>
    </row>
    <row r="44283" spans="18:19">
      <c r="R44283" s="178"/>
      <c r="S44283" s="178"/>
    </row>
    <row r="44284" spans="18:19">
      <c r="R44284" s="178"/>
      <c r="S44284" s="178"/>
    </row>
    <row r="44285" spans="18:19">
      <c r="R44285" s="178"/>
      <c r="S44285" s="178"/>
    </row>
    <row r="44286" spans="18:19">
      <c r="R44286" s="178"/>
      <c r="S44286" s="178"/>
    </row>
    <row r="44287" spans="18:19">
      <c r="R44287" s="178"/>
      <c r="S44287" s="178"/>
    </row>
    <row r="44288" spans="18:19">
      <c r="R44288" s="178"/>
      <c r="S44288" s="178"/>
    </row>
    <row r="44289" spans="18:19">
      <c r="R44289" s="178"/>
      <c r="S44289" s="178"/>
    </row>
    <row r="44290" spans="18:19">
      <c r="R44290" s="178"/>
      <c r="S44290" s="178"/>
    </row>
    <row r="44291" spans="18:19">
      <c r="R44291" s="178"/>
      <c r="S44291" s="178"/>
    </row>
    <row r="44292" spans="18:19">
      <c r="R44292" s="178"/>
      <c r="S44292" s="178"/>
    </row>
    <row r="44293" spans="18:19">
      <c r="R44293" s="178"/>
      <c r="S44293" s="178"/>
    </row>
    <row r="44294" spans="18:19">
      <c r="R44294" s="178"/>
      <c r="S44294" s="178"/>
    </row>
    <row r="44295" spans="18:19">
      <c r="R44295" s="178"/>
      <c r="S44295" s="178"/>
    </row>
    <row r="44296" spans="18:19">
      <c r="R44296" s="178"/>
      <c r="S44296" s="178"/>
    </row>
    <row r="44297" spans="18:19">
      <c r="R44297" s="178"/>
      <c r="S44297" s="178"/>
    </row>
    <row r="44298" spans="18:19">
      <c r="R44298" s="178"/>
      <c r="S44298" s="178"/>
    </row>
    <row r="44299" spans="18:19">
      <c r="R44299" s="178"/>
      <c r="S44299" s="178"/>
    </row>
    <row r="44300" spans="18:19">
      <c r="R44300" s="178"/>
      <c r="S44300" s="178"/>
    </row>
    <row r="44301" spans="18:19">
      <c r="R44301" s="178"/>
      <c r="S44301" s="178"/>
    </row>
    <row r="44302" spans="18:19">
      <c r="R44302" s="178"/>
      <c r="S44302" s="178"/>
    </row>
    <row r="44303" spans="18:19">
      <c r="R44303" s="178"/>
      <c r="S44303" s="178"/>
    </row>
    <row r="44304" spans="18:19">
      <c r="R44304" s="178"/>
      <c r="S44304" s="178"/>
    </row>
    <row r="44305" spans="18:19">
      <c r="R44305" s="178"/>
      <c r="S44305" s="178"/>
    </row>
    <row r="44306" spans="18:19">
      <c r="R44306" s="178"/>
      <c r="S44306" s="178"/>
    </row>
    <row r="44307" spans="18:19">
      <c r="R44307" s="178"/>
      <c r="S44307" s="178"/>
    </row>
    <row r="44308" spans="18:19">
      <c r="R44308" s="178"/>
      <c r="S44308" s="178"/>
    </row>
    <row r="44309" spans="18:19">
      <c r="R44309" s="178"/>
      <c r="S44309" s="178"/>
    </row>
    <row r="44310" spans="18:19">
      <c r="R44310" s="178"/>
      <c r="S44310" s="178"/>
    </row>
    <row r="44311" spans="18:19">
      <c r="R44311" s="178"/>
      <c r="S44311" s="178"/>
    </row>
    <row r="44312" spans="18:19">
      <c r="R44312" s="178"/>
      <c r="S44312" s="178"/>
    </row>
    <row r="44313" spans="18:19">
      <c r="R44313" s="178"/>
      <c r="S44313" s="178"/>
    </row>
    <row r="44314" spans="18:19">
      <c r="R44314" s="178"/>
      <c r="S44314" s="178"/>
    </row>
    <row r="44315" spans="18:19">
      <c r="R44315" s="178"/>
      <c r="S44315" s="178"/>
    </row>
    <row r="44316" spans="18:19">
      <c r="R44316" s="178"/>
      <c r="S44316" s="178"/>
    </row>
    <row r="44317" spans="18:19">
      <c r="R44317" s="178"/>
      <c r="S44317" s="178"/>
    </row>
    <row r="44318" spans="18:19">
      <c r="R44318" s="178"/>
      <c r="S44318" s="178"/>
    </row>
    <row r="44319" spans="18:19">
      <c r="R44319" s="178"/>
      <c r="S44319" s="178"/>
    </row>
    <row r="44320" spans="18:19">
      <c r="R44320" s="178"/>
      <c r="S44320" s="178"/>
    </row>
    <row r="44321" spans="18:19">
      <c r="R44321" s="178"/>
      <c r="S44321" s="178"/>
    </row>
    <row r="44322" spans="18:19">
      <c r="R44322" s="178"/>
      <c r="S44322" s="178"/>
    </row>
    <row r="44323" spans="18:19">
      <c r="R44323" s="178"/>
      <c r="S44323" s="178"/>
    </row>
    <row r="44324" spans="18:19">
      <c r="R44324" s="178"/>
      <c r="S44324" s="178"/>
    </row>
    <row r="44325" spans="18:19">
      <c r="R44325" s="178"/>
      <c r="S44325" s="178"/>
    </row>
    <row r="44326" spans="18:19">
      <c r="R44326" s="178"/>
      <c r="S44326" s="178"/>
    </row>
    <row r="44327" spans="18:19">
      <c r="R44327" s="178"/>
      <c r="S44327" s="178"/>
    </row>
    <row r="44328" spans="18:19">
      <c r="R44328" s="178"/>
      <c r="S44328" s="178"/>
    </row>
    <row r="44329" spans="18:19">
      <c r="R44329" s="178"/>
      <c r="S44329" s="178"/>
    </row>
    <row r="44330" spans="18:19">
      <c r="R44330" s="178"/>
      <c r="S44330" s="178"/>
    </row>
    <row r="44331" spans="18:19">
      <c r="R44331" s="178"/>
      <c r="S44331" s="178"/>
    </row>
    <row r="44332" spans="18:19">
      <c r="R44332" s="178"/>
      <c r="S44332" s="178"/>
    </row>
    <row r="44333" spans="18:19">
      <c r="R44333" s="178"/>
      <c r="S44333" s="178"/>
    </row>
    <row r="44334" spans="18:19">
      <c r="R44334" s="178"/>
      <c r="S44334" s="178"/>
    </row>
    <row r="44335" spans="18:19">
      <c r="R44335" s="178"/>
      <c r="S44335" s="178"/>
    </row>
    <row r="44336" spans="18:19">
      <c r="R44336" s="178"/>
      <c r="S44336" s="178"/>
    </row>
    <row r="44337" spans="18:19">
      <c r="R44337" s="178"/>
      <c r="S44337" s="178"/>
    </row>
    <row r="44338" spans="18:19">
      <c r="R44338" s="178"/>
      <c r="S44338" s="178"/>
    </row>
    <row r="44339" spans="18:19">
      <c r="R44339" s="178"/>
      <c r="S44339" s="178"/>
    </row>
    <row r="44340" spans="18:19">
      <c r="R44340" s="178"/>
      <c r="S44340" s="178"/>
    </row>
    <row r="44341" spans="18:19">
      <c r="R44341" s="178"/>
      <c r="S44341" s="178"/>
    </row>
    <row r="44342" spans="18:19">
      <c r="R44342" s="178"/>
      <c r="S44342" s="178"/>
    </row>
    <row r="44343" spans="18:19">
      <c r="R44343" s="178"/>
      <c r="S44343" s="178"/>
    </row>
    <row r="44344" spans="18:19">
      <c r="R44344" s="178"/>
      <c r="S44344" s="178"/>
    </row>
    <row r="44345" spans="18:19">
      <c r="R44345" s="178"/>
      <c r="S44345" s="178"/>
    </row>
    <row r="44346" spans="18:19">
      <c r="R44346" s="178"/>
      <c r="S44346" s="178"/>
    </row>
    <row r="44347" spans="18:19">
      <c r="R44347" s="178"/>
      <c r="S44347" s="178"/>
    </row>
    <row r="44348" spans="18:19">
      <c r="R44348" s="178"/>
      <c r="S44348" s="178"/>
    </row>
    <row r="44349" spans="18:19">
      <c r="R44349" s="178"/>
      <c r="S44349" s="178"/>
    </row>
    <row r="44350" spans="18:19">
      <c r="R44350" s="178"/>
      <c r="S44350" s="178"/>
    </row>
    <row r="44351" spans="18:19">
      <c r="R44351" s="178"/>
      <c r="S44351" s="178"/>
    </row>
    <row r="44352" spans="18:19">
      <c r="R44352" s="178"/>
      <c r="S44352" s="178"/>
    </row>
    <row r="44353" spans="18:19">
      <c r="R44353" s="178"/>
      <c r="S44353" s="178"/>
    </row>
    <row r="44354" spans="18:19">
      <c r="R44354" s="178"/>
      <c r="S44354" s="178"/>
    </row>
    <row r="44355" spans="18:19">
      <c r="R44355" s="178"/>
      <c r="S44355" s="178"/>
    </row>
    <row r="44356" spans="18:19">
      <c r="R44356" s="178"/>
      <c r="S44356" s="178"/>
    </row>
    <row r="44357" spans="18:19">
      <c r="R44357" s="178"/>
      <c r="S44357" s="178"/>
    </row>
    <row r="44358" spans="18:19">
      <c r="R44358" s="178"/>
      <c r="S44358" s="178"/>
    </row>
    <row r="44359" spans="18:19">
      <c r="R44359" s="178"/>
      <c r="S44359" s="178"/>
    </row>
    <row r="44360" spans="18:19">
      <c r="R44360" s="178"/>
      <c r="S44360" s="178"/>
    </row>
    <row r="44361" spans="18:19">
      <c r="R44361" s="178"/>
      <c r="S44361" s="178"/>
    </row>
    <row r="44362" spans="18:19">
      <c r="R44362" s="178"/>
      <c r="S44362" s="178"/>
    </row>
    <row r="44363" spans="18:19">
      <c r="R44363" s="178"/>
      <c r="S44363" s="178"/>
    </row>
    <row r="44364" spans="18:19">
      <c r="R44364" s="178"/>
      <c r="S44364" s="178"/>
    </row>
    <row r="44365" spans="18:19">
      <c r="R44365" s="178"/>
      <c r="S44365" s="178"/>
    </row>
    <row r="44366" spans="18:19">
      <c r="R44366" s="178"/>
      <c r="S44366" s="178"/>
    </row>
    <row r="44367" spans="18:19">
      <c r="R44367" s="178"/>
      <c r="S44367" s="178"/>
    </row>
    <row r="44368" spans="18:19">
      <c r="R44368" s="178"/>
      <c r="S44368" s="178"/>
    </row>
    <row r="44369" spans="18:19">
      <c r="R44369" s="178"/>
      <c r="S44369" s="178"/>
    </row>
    <row r="44370" spans="18:19">
      <c r="R44370" s="178"/>
      <c r="S44370" s="178"/>
    </row>
    <row r="44371" spans="18:19">
      <c r="R44371" s="178"/>
      <c r="S44371" s="178"/>
    </row>
    <row r="44372" spans="18:19">
      <c r="R44372" s="178"/>
      <c r="S44372" s="178"/>
    </row>
    <row r="44373" spans="18:19">
      <c r="R44373" s="178"/>
      <c r="S44373" s="178"/>
    </row>
    <row r="44374" spans="18:19">
      <c r="R44374" s="178"/>
      <c r="S44374" s="178"/>
    </row>
    <row r="44375" spans="18:19">
      <c r="R44375" s="178"/>
      <c r="S44375" s="178"/>
    </row>
    <row r="44376" spans="18:19">
      <c r="R44376" s="178"/>
      <c r="S44376" s="178"/>
    </row>
    <row r="44377" spans="18:19">
      <c r="R44377" s="178"/>
      <c r="S44377" s="178"/>
    </row>
    <row r="44378" spans="18:19">
      <c r="R44378" s="178"/>
      <c r="S44378" s="178"/>
    </row>
    <row r="44379" spans="18:19">
      <c r="R44379" s="178"/>
      <c r="S44379" s="178"/>
    </row>
    <row r="44380" spans="18:19">
      <c r="R44380" s="178"/>
      <c r="S44380" s="178"/>
    </row>
    <row r="44381" spans="18:19">
      <c r="R44381" s="178"/>
      <c r="S44381" s="178"/>
    </row>
    <row r="44382" spans="18:19">
      <c r="R44382" s="178"/>
      <c r="S44382" s="178"/>
    </row>
    <row r="44383" spans="18:19">
      <c r="R44383" s="178"/>
      <c r="S44383" s="178"/>
    </row>
    <row r="44384" spans="18:19">
      <c r="R44384" s="178"/>
      <c r="S44384" s="178"/>
    </row>
    <row r="44385" spans="18:19">
      <c r="R44385" s="178"/>
      <c r="S44385" s="178"/>
    </row>
    <row r="44386" spans="18:19">
      <c r="R44386" s="178"/>
      <c r="S44386" s="178"/>
    </row>
    <row r="44387" spans="18:19">
      <c r="R44387" s="178"/>
      <c r="S44387" s="178"/>
    </row>
    <row r="44388" spans="18:19">
      <c r="R44388" s="178"/>
      <c r="S44388" s="178"/>
    </row>
    <row r="44389" spans="18:19">
      <c r="R44389" s="178"/>
      <c r="S44389" s="178"/>
    </row>
    <row r="44390" spans="18:19">
      <c r="R44390" s="178"/>
      <c r="S44390" s="178"/>
    </row>
    <row r="44391" spans="18:19">
      <c r="R44391" s="178"/>
      <c r="S44391" s="178"/>
    </row>
    <row r="44392" spans="18:19">
      <c r="R44392" s="178"/>
      <c r="S44392" s="178"/>
    </row>
    <row r="44393" spans="18:19">
      <c r="R44393" s="178"/>
      <c r="S44393" s="178"/>
    </row>
    <row r="44394" spans="18:19">
      <c r="R44394" s="178"/>
      <c r="S44394" s="178"/>
    </row>
    <row r="44395" spans="18:19">
      <c r="R44395" s="178"/>
      <c r="S44395" s="178"/>
    </row>
    <row r="44396" spans="18:19">
      <c r="R44396" s="178"/>
      <c r="S44396" s="178"/>
    </row>
    <row r="44397" spans="18:19">
      <c r="R44397" s="178"/>
      <c r="S44397" s="178"/>
    </row>
    <row r="44398" spans="18:19">
      <c r="R44398" s="178"/>
      <c r="S44398" s="178"/>
    </row>
    <row r="44399" spans="18:19">
      <c r="R44399" s="178"/>
      <c r="S44399" s="178"/>
    </row>
    <row r="44400" spans="18:19">
      <c r="R44400" s="178"/>
      <c r="S44400" s="178"/>
    </row>
    <row r="44401" spans="18:19">
      <c r="R44401" s="178"/>
      <c r="S44401" s="178"/>
    </row>
    <row r="44402" spans="18:19">
      <c r="R44402" s="178"/>
      <c r="S44402" s="178"/>
    </row>
    <row r="44403" spans="18:19">
      <c r="R44403" s="178"/>
      <c r="S44403" s="178"/>
    </row>
    <row r="44404" spans="18:19">
      <c r="R44404" s="178"/>
      <c r="S44404" s="178"/>
    </row>
    <row r="44405" spans="18:19">
      <c r="R44405" s="178"/>
      <c r="S44405" s="178"/>
    </row>
    <row r="44406" spans="18:19">
      <c r="R44406" s="178"/>
      <c r="S44406" s="178"/>
    </row>
    <row r="44407" spans="18:19">
      <c r="R44407" s="178"/>
      <c r="S44407" s="178"/>
    </row>
    <row r="44408" spans="18:19">
      <c r="R44408" s="178"/>
      <c r="S44408" s="178"/>
    </row>
    <row r="44409" spans="18:19">
      <c r="R44409" s="178"/>
      <c r="S44409" s="178"/>
    </row>
    <row r="44410" spans="18:19">
      <c r="R44410" s="178"/>
      <c r="S44410" s="178"/>
    </row>
    <row r="44411" spans="18:19">
      <c r="R44411" s="178"/>
      <c r="S44411" s="178"/>
    </row>
    <row r="44412" spans="18:19">
      <c r="R44412" s="178"/>
      <c r="S44412" s="178"/>
    </row>
    <row r="44413" spans="18:19">
      <c r="R44413" s="178"/>
      <c r="S44413" s="178"/>
    </row>
    <row r="44414" spans="18:19">
      <c r="R44414" s="178"/>
      <c r="S44414" s="178"/>
    </row>
    <row r="44415" spans="18:19">
      <c r="R44415" s="178"/>
      <c r="S44415" s="178"/>
    </row>
    <row r="44416" spans="18:19">
      <c r="R44416" s="178"/>
      <c r="S44416" s="178"/>
    </row>
    <row r="44417" spans="18:19">
      <c r="R44417" s="178"/>
      <c r="S44417" s="178"/>
    </row>
    <row r="44418" spans="18:19">
      <c r="R44418" s="178"/>
      <c r="S44418" s="178"/>
    </row>
    <row r="44419" spans="18:19">
      <c r="R44419" s="178"/>
      <c r="S44419" s="178"/>
    </row>
    <row r="44420" spans="18:19">
      <c r="R44420" s="178"/>
      <c r="S44420" s="178"/>
    </row>
    <row r="44421" spans="18:19">
      <c r="R44421" s="178"/>
      <c r="S44421" s="178"/>
    </row>
    <row r="44422" spans="18:19">
      <c r="R44422" s="178"/>
      <c r="S44422" s="178"/>
    </row>
    <row r="44423" spans="18:19">
      <c r="R44423" s="178"/>
      <c r="S44423" s="178"/>
    </row>
    <row r="44424" spans="18:19">
      <c r="R44424" s="178"/>
      <c r="S44424" s="178"/>
    </row>
    <row r="44425" spans="18:19">
      <c r="R44425" s="178"/>
      <c r="S44425" s="178"/>
    </row>
    <row r="44426" spans="18:19">
      <c r="R44426" s="178"/>
      <c r="S44426" s="178"/>
    </row>
    <row r="44427" spans="18:19">
      <c r="R44427" s="178"/>
      <c r="S44427" s="178"/>
    </row>
    <row r="44428" spans="18:19">
      <c r="R44428" s="178"/>
      <c r="S44428" s="178"/>
    </row>
    <row r="44429" spans="18:19">
      <c r="R44429" s="178"/>
      <c r="S44429" s="178"/>
    </row>
    <row r="44430" spans="18:19">
      <c r="R44430" s="178"/>
      <c r="S44430" s="178"/>
    </row>
    <row r="44431" spans="18:19">
      <c r="R44431" s="178"/>
      <c r="S44431" s="178"/>
    </row>
    <row r="44432" spans="18:19">
      <c r="R44432" s="178"/>
      <c r="S44432" s="178"/>
    </row>
    <row r="44433" spans="18:19">
      <c r="R44433" s="178"/>
      <c r="S44433" s="178"/>
    </row>
    <row r="44434" spans="18:19">
      <c r="R44434" s="178"/>
      <c r="S44434" s="178"/>
    </row>
    <row r="44435" spans="18:19">
      <c r="R44435" s="178"/>
      <c r="S44435" s="178"/>
    </row>
    <row r="44436" spans="18:19">
      <c r="R44436" s="178"/>
      <c r="S44436" s="178"/>
    </row>
    <row r="44437" spans="18:19">
      <c r="R44437" s="178"/>
      <c r="S44437" s="178"/>
    </row>
    <row r="44438" spans="18:19">
      <c r="R44438" s="178"/>
      <c r="S44438" s="178"/>
    </row>
    <row r="44439" spans="18:19">
      <c r="R44439" s="178"/>
      <c r="S44439" s="178"/>
    </row>
    <row r="44440" spans="18:19">
      <c r="R44440" s="178"/>
      <c r="S44440" s="178"/>
    </row>
    <row r="44441" spans="18:19">
      <c r="R44441" s="178"/>
      <c r="S44441" s="178"/>
    </row>
    <row r="44442" spans="18:19">
      <c r="R44442" s="178"/>
      <c r="S44442" s="178"/>
    </row>
    <row r="44443" spans="18:19">
      <c r="R44443" s="178"/>
      <c r="S44443" s="178"/>
    </row>
    <row r="44444" spans="18:19">
      <c r="R44444" s="178"/>
      <c r="S44444" s="178"/>
    </row>
    <row r="44445" spans="18:19">
      <c r="R44445" s="178"/>
      <c r="S44445" s="178"/>
    </row>
    <row r="44446" spans="18:19">
      <c r="R44446" s="178"/>
      <c r="S44446" s="178"/>
    </row>
    <row r="44447" spans="18:19">
      <c r="R44447" s="178"/>
      <c r="S44447" s="178"/>
    </row>
    <row r="44448" spans="18:19">
      <c r="R44448" s="178"/>
      <c r="S44448" s="178"/>
    </row>
    <row r="44449" spans="18:19">
      <c r="R44449" s="178"/>
      <c r="S44449" s="178"/>
    </row>
    <row r="44450" spans="18:19">
      <c r="R44450" s="178"/>
      <c r="S44450" s="178"/>
    </row>
    <row r="44451" spans="18:19">
      <c r="R44451" s="178"/>
      <c r="S44451" s="178"/>
    </row>
    <row r="44452" spans="18:19">
      <c r="R44452" s="178"/>
      <c r="S44452" s="178"/>
    </row>
    <row r="44453" spans="18:19">
      <c r="R44453" s="178"/>
      <c r="S44453" s="178"/>
    </row>
    <row r="44454" spans="18:19">
      <c r="R44454" s="178"/>
      <c r="S44454" s="178"/>
    </row>
    <row r="44455" spans="18:19">
      <c r="R44455" s="178"/>
      <c r="S44455" s="178"/>
    </row>
    <row r="44456" spans="18:19">
      <c r="R44456" s="178"/>
      <c r="S44456" s="178"/>
    </row>
    <row r="44457" spans="18:19">
      <c r="R44457" s="178"/>
      <c r="S44457" s="178"/>
    </row>
    <row r="44458" spans="18:19">
      <c r="R44458" s="178"/>
      <c r="S44458" s="178"/>
    </row>
    <row r="44459" spans="18:19">
      <c r="R44459" s="178"/>
      <c r="S44459" s="178"/>
    </row>
    <row r="44460" spans="18:19">
      <c r="R44460" s="178"/>
      <c r="S44460" s="178"/>
    </row>
    <row r="44461" spans="18:19">
      <c r="R44461" s="178"/>
      <c r="S44461" s="178"/>
    </row>
    <row r="44462" spans="18:19">
      <c r="R44462" s="178"/>
      <c r="S44462" s="178"/>
    </row>
    <row r="44463" spans="18:19">
      <c r="R44463" s="178"/>
      <c r="S44463" s="178"/>
    </row>
    <row r="44464" spans="18:19">
      <c r="R44464" s="178"/>
      <c r="S44464" s="178"/>
    </row>
    <row r="44465" spans="18:19">
      <c r="R44465" s="178"/>
      <c r="S44465" s="178"/>
    </row>
    <row r="44466" spans="18:19">
      <c r="R44466" s="178"/>
      <c r="S44466" s="178"/>
    </row>
    <row r="44467" spans="18:19">
      <c r="R44467" s="178"/>
      <c r="S44467" s="178"/>
    </row>
    <row r="44468" spans="18:19">
      <c r="R44468" s="178"/>
      <c r="S44468" s="178"/>
    </row>
    <row r="44469" spans="18:19">
      <c r="R44469" s="178"/>
      <c r="S44469" s="178"/>
    </row>
    <row r="44470" spans="18:19">
      <c r="R44470" s="178"/>
      <c r="S44470" s="178"/>
    </row>
    <row r="44471" spans="18:19">
      <c r="R44471" s="178"/>
      <c r="S44471" s="178"/>
    </row>
    <row r="44472" spans="18:19">
      <c r="R44472" s="178"/>
      <c r="S44472" s="178"/>
    </row>
    <row r="44473" spans="18:19">
      <c r="R44473" s="178"/>
      <c r="S44473" s="178"/>
    </row>
    <row r="44474" spans="18:19">
      <c r="R44474" s="178"/>
      <c r="S44474" s="178"/>
    </row>
    <row r="44475" spans="18:19">
      <c r="R44475" s="178"/>
      <c r="S44475" s="178"/>
    </row>
    <row r="44476" spans="18:19">
      <c r="R44476" s="178"/>
      <c r="S44476" s="178"/>
    </row>
    <row r="44477" spans="18:19">
      <c r="R44477" s="178"/>
      <c r="S44477" s="178"/>
    </row>
    <row r="44478" spans="18:19">
      <c r="R44478" s="178"/>
      <c r="S44478" s="178"/>
    </row>
    <row r="44479" spans="18:19">
      <c r="R44479" s="178"/>
      <c r="S44479" s="178"/>
    </row>
    <row r="44480" spans="18:19">
      <c r="R44480" s="178"/>
      <c r="S44480" s="178"/>
    </row>
    <row r="44481" spans="18:19">
      <c r="R44481" s="178"/>
      <c r="S44481" s="178"/>
    </row>
    <row r="44482" spans="18:19">
      <c r="R44482" s="178"/>
      <c r="S44482" s="178"/>
    </row>
    <row r="44483" spans="18:19">
      <c r="R44483" s="178"/>
      <c r="S44483" s="178"/>
    </row>
    <row r="44484" spans="18:19">
      <c r="R44484" s="178"/>
      <c r="S44484" s="178"/>
    </row>
    <row r="44485" spans="18:19">
      <c r="R44485" s="178"/>
      <c r="S44485" s="178"/>
    </row>
    <row r="44486" spans="18:19">
      <c r="R44486" s="178"/>
      <c r="S44486" s="178"/>
    </row>
    <row r="44487" spans="18:19">
      <c r="R44487" s="178"/>
      <c r="S44487" s="178"/>
    </row>
    <row r="44488" spans="18:19">
      <c r="R44488" s="178"/>
      <c r="S44488" s="178"/>
    </row>
    <row r="44489" spans="18:19">
      <c r="R44489" s="178"/>
      <c r="S44489" s="178"/>
    </row>
    <row r="44490" spans="18:19">
      <c r="R44490" s="178"/>
      <c r="S44490" s="178"/>
    </row>
    <row r="44491" spans="18:19">
      <c r="R44491" s="178"/>
      <c r="S44491" s="178"/>
    </row>
    <row r="44492" spans="18:19">
      <c r="R44492" s="178"/>
      <c r="S44492" s="178"/>
    </row>
    <row r="44493" spans="18:19">
      <c r="R44493" s="178"/>
      <c r="S44493" s="178"/>
    </row>
    <row r="44494" spans="18:19">
      <c r="R44494" s="178"/>
      <c r="S44494" s="178"/>
    </row>
    <row r="44495" spans="18:19">
      <c r="R44495" s="178"/>
      <c r="S44495" s="178"/>
    </row>
    <row r="44496" spans="18:19">
      <c r="R44496" s="178"/>
      <c r="S44496" s="178"/>
    </row>
    <row r="44497" spans="18:19">
      <c r="R44497" s="178"/>
      <c r="S44497" s="178"/>
    </row>
    <row r="44498" spans="18:19">
      <c r="R44498" s="178"/>
      <c r="S44498" s="178"/>
    </row>
    <row r="44499" spans="18:19">
      <c r="R44499" s="178"/>
      <c r="S44499" s="178"/>
    </row>
    <row r="44500" spans="18:19">
      <c r="R44500" s="178"/>
      <c r="S44500" s="178"/>
    </row>
    <row r="44501" spans="18:19">
      <c r="R44501" s="178"/>
      <c r="S44501" s="178"/>
    </row>
    <row r="44502" spans="18:19">
      <c r="R44502" s="178"/>
      <c r="S44502" s="178"/>
    </row>
    <row r="44503" spans="18:19">
      <c r="R44503" s="178"/>
      <c r="S44503" s="178"/>
    </row>
    <row r="44504" spans="18:19">
      <c r="R44504" s="178"/>
      <c r="S44504" s="178"/>
    </row>
    <row r="44505" spans="18:19">
      <c r="R44505" s="178"/>
      <c r="S44505" s="178"/>
    </row>
    <row r="44506" spans="18:19">
      <c r="R44506" s="178"/>
      <c r="S44506" s="178"/>
    </row>
    <row r="44507" spans="18:19">
      <c r="R44507" s="178"/>
      <c r="S44507" s="178"/>
    </row>
    <row r="44508" spans="18:19">
      <c r="R44508" s="178"/>
      <c r="S44508" s="178"/>
    </row>
    <row r="44509" spans="18:19">
      <c r="R44509" s="178"/>
      <c r="S44509" s="178"/>
    </row>
    <row r="44510" spans="18:19">
      <c r="R44510" s="178"/>
      <c r="S44510" s="178"/>
    </row>
    <row r="44511" spans="18:19">
      <c r="R44511" s="178"/>
      <c r="S44511" s="178"/>
    </row>
    <row r="44512" spans="18:19">
      <c r="R44512" s="178"/>
      <c r="S44512" s="178"/>
    </row>
    <row r="44513" spans="18:19">
      <c r="R44513" s="178"/>
      <c r="S44513" s="178"/>
    </row>
    <row r="44514" spans="18:19">
      <c r="R44514" s="178"/>
      <c r="S44514" s="178"/>
    </row>
    <row r="44515" spans="18:19">
      <c r="R44515" s="178"/>
      <c r="S44515" s="178"/>
    </row>
    <row r="44516" spans="18:19">
      <c r="R44516" s="178"/>
      <c r="S44516" s="178"/>
    </row>
    <row r="44517" spans="18:19">
      <c r="R44517" s="178"/>
      <c r="S44517" s="178"/>
    </row>
    <row r="44518" spans="18:19">
      <c r="R44518" s="178"/>
      <c r="S44518" s="178"/>
    </row>
    <row r="44519" spans="18:19">
      <c r="R44519" s="178"/>
      <c r="S44519" s="178"/>
    </row>
    <row r="44520" spans="18:19">
      <c r="R44520" s="178"/>
      <c r="S44520" s="178"/>
    </row>
    <row r="44521" spans="18:19">
      <c r="R44521" s="178"/>
      <c r="S44521" s="178"/>
    </row>
    <row r="44522" spans="18:19">
      <c r="R44522" s="178"/>
      <c r="S44522" s="178"/>
    </row>
    <row r="44523" spans="18:19">
      <c r="R44523" s="178"/>
      <c r="S44523" s="178"/>
    </row>
    <row r="44524" spans="18:19">
      <c r="R44524" s="178"/>
      <c r="S44524" s="178"/>
    </row>
    <row r="44525" spans="18:19">
      <c r="R44525" s="178"/>
      <c r="S44525" s="178"/>
    </row>
    <row r="44526" spans="18:19">
      <c r="R44526" s="178"/>
      <c r="S44526" s="178"/>
    </row>
    <row r="44527" spans="18:19">
      <c r="R44527" s="178"/>
      <c r="S44527" s="178"/>
    </row>
    <row r="44528" spans="18:19">
      <c r="R44528" s="178"/>
      <c r="S44528" s="178"/>
    </row>
    <row r="44529" spans="18:19">
      <c r="R44529" s="178"/>
      <c r="S44529" s="178"/>
    </row>
    <row r="44530" spans="18:19">
      <c r="R44530" s="178"/>
      <c r="S44530" s="178"/>
    </row>
    <row r="44531" spans="18:19">
      <c r="R44531" s="178"/>
      <c r="S44531" s="178"/>
    </row>
    <row r="44532" spans="18:19">
      <c r="R44532" s="178"/>
      <c r="S44532" s="178"/>
    </row>
    <row r="44533" spans="18:19">
      <c r="R44533" s="178"/>
      <c r="S44533" s="178"/>
    </row>
    <row r="44534" spans="18:19">
      <c r="R44534" s="178"/>
      <c r="S44534" s="178"/>
    </row>
    <row r="44535" spans="18:19">
      <c r="R44535" s="178"/>
      <c r="S44535" s="178"/>
    </row>
    <row r="44536" spans="18:19">
      <c r="R44536" s="178"/>
      <c r="S44536" s="178"/>
    </row>
    <row r="44537" spans="18:19">
      <c r="R44537" s="178"/>
      <c r="S44537" s="178"/>
    </row>
    <row r="44538" spans="18:19">
      <c r="R44538" s="178"/>
      <c r="S44538" s="178"/>
    </row>
    <row r="44539" spans="18:19">
      <c r="R44539" s="178"/>
      <c r="S44539" s="178"/>
    </row>
    <row r="44540" spans="18:19">
      <c r="R44540" s="178"/>
      <c r="S44540" s="178"/>
    </row>
    <row r="44541" spans="18:19">
      <c r="R44541" s="178"/>
      <c r="S44541" s="178"/>
    </row>
    <row r="44542" spans="18:19">
      <c r="R44542" s="178"/>
      <c r="S44542" s="178"/>
    </row>
    <row r="44543" spans="18:19">
      <c r="R44543" s="178"/>
      <c r="S44543" s="178"/>
    </row>
    <row r="44544" spans="18:19">
      <c r="R44544" s="178"/>
      <c r="S44544" s="178"/>
    </row>
    <row r="44545" spans="18:19">
      <c r="R44545" s="178"/>
      <c r="S44545" s="178"/>
    </row>
    <row r="44546" spans="18:19">
      <c r="R44546" s="178"/>
      <c r="S44546" s="178"/>
    </row>
    <row r="44547" spans="18:19">
      <c r="R44547" s="178"/>
      <c r="S44547" s="178"/>
    </row>
    <row r="44548" spans="18:19">
      <c r="R44548" s="178"/>
      <c r="S44548" s="178"/>
    </row>
    <row r="44549" spans="18:19">
      <c r="R44549" s="178"/>
      <c r="S44549" s="178"/>
    </row>
    <row r="44550" spans="18:19">
      <c r="R44550" s="178"/>
      <c r="S44550" s="178"/>
    </row>
    <row r="44551" spans="18:19">
      <c r="R44551" s="178"/>
      <c r="S44551" s="178"/>
    </row>
    <row r="44552" spans="18:19">
      <c r="R44552" s="178"/>
      <c r="S44552" s="178"/>
    </row>
    <row r="44553" spans="18:19">
      <c r="R44553" s="178"/>
      <c r="S44553" s="178"/>
    </row>
    <row r="44554" spans="18:19">
      <c r="R44554" s="178"/>
      <c r="S44554" s="178"/>
    </row>
    <row r="44555" spans="18:19">
      <c r="R44555" s="178"/>
      <c r="S44555" s="178"/>
    </row>
    <row r="44556" spans="18:19">
      <c r="R44556" s="178"/>
      <c r="S44556" s="178"/>
    </row>
    <row r="44557" spans="18:19">
      <c r="R44557" s="178"/>
      <c r="S44557" s="178"/>
    </row>
    <row r="44558" spans="18:19">
      <c r="R44558" s="178"/>
      <c r="S44558" s="178"/>
    </row>
    <row r="44559" spans="18:19">
      <c r="R44559" s="178"/>
      <c r="S44559" s="178"/>
    </row>
    <row r="44560" spans="18:19">
      <c r="R44560" s="178"/>
      <c r="S44560" s="178"/>
    </row>
    <row r="44561" spans="18:19">
      <c r="R44561" s="178"/>
      <c r="S44561" s="178"/>
    </row>
    <row r="44562" spans="18:19">
      <c r="R44562" s="178"/>
      <c r="S44562" s="178"/>
    </row>
    <row r="44563" spans="18:19">
      <c r="R44563" s="178"/>
      <c r="S44563" s="178"/>
    </row>
    <row r="44564" spans="18:19">
      <c r="R44564" s="178"/>
      <c r="S44564" s="178"/>
    </row>
    <row r="44565" spans="18:19">
      <c r="R44565" s="178"/>
      <c r="S44565" s="178"/>
    </row>
    <row r="44566" spans="18:19">
      <c r="R44566" s="178"/>
      <c r="S44566" s="178"/>
    </row>
    <row r="44567" spans="18:19">
      <c r="R44567" s="178"/>
      <c r="S44567" s="178"/>
    </row>
    <row r="44568" spans="18:19">
      <c r="R44568" s="178"/>
      <c r="S44568" s="178"/>
    </row>
    <row r="44569" spans="18:19">
      <c r="R44569" s="178"/>
      <c r="S44569" s="178"/>
    </row>
    <row r="44570" spans="18:19">
      <c r="R44570" s="178"/>
      <c r="S44570" s="178"/>
    </row>
    <row r="44571" spans="18:19">
      <c r="R44571" s="178"/>
      <c r="S44571" s="178"/>
    </row>
    <row r="44572" spans="18:19">
      <c r="R44572" s="178"/>
      <c r="S44572" s="178"/>
    </row>
    <row r="44573" spans="18:19">
      <c r="R44573" s="178"/>
      <c r="S44573" s="178"/>
    </row>
    <row r="44574" spans="18:19">
      <c r="R44574" s="178"/>
      <c r="S44574" s="178"/>
    </row>
    <row r="44575" spans="18:19">
      <c r="R44575" s="178"/>
      <c r="S44575" s="178"/>
    </row>
    <row r="44576" spans="18:19">
      <c r="R44576" s="178"/>
      <c r="S44576" s="178"/>
    </row>
    <row r="44577" spans="18:19">
      <c r="R44577" s="178"/>
      <c r="S44577" s="178"/>
    </row>
    <row r="44578" spans="18:19">
      <c r="R44578" s="178"/>
      <c r="S44578" s="178"/>
    </row>
    <row r="44579" spans="18:19">
      <c r="R44579" s="178"/>
      <c r="S44579" s="178"/>
    </row>
    <row r="44580" spans="18:19">
      <c r="R44580" s="178"/>
      <c r="S44580" s="178"/>
    </row>
    <row r="44581" spans="18:19">
      <c r="R44581" s="178"/>
      <c r="S44581" s="178"/>
    </row>
    <row r="44582" spans="18:19">
      <c r="R44582" s="178"/>
      <c r="S44582" s="178"/>
    </row>
    <row r="44583" spans="18:19">
      <c r="R44583" s="178"/>
      <c r="S44583" s="178"/>
    </row>
    <row r="44584" spans="18:19">
      <c r="R44584" s="178"/>
      <c r="S44584" s="178"/>
    </row>
    <row r="44585" spans="18:19">
      <c r="R44585" s="178"/>
      <c r="S44585" s="178"/>
    </row>
    <row r="44586" spans="18:19">
      <c r="R44586" s="178"/>
      <c r="S44586" s="178"/>
    </row>
    <row r="44587" spans="18:19">
      <c r="R44587" s="178"/>
      <c r="S44587" s="178"/>
    </row>
    <row r="44588" spans="18:19">
      <c r="R44588" s="178"/>
      <c r="S44588" s="178"/>
    </row>
    <row r="44589" spans="18:19">
      <c r="R44589" s="178"/>
      <c r="S44589" s="178"/>
    </row>
    <row r="44590" spans="18:19">
      <c r="R44590" s="178"/>
      <c r="S44590" s="178"/>
    </row>
    <row r="44591" spans="18:19">
      <c r="R44591" s="178"/>
      <c r="S44591" s="178"/>
    </row>
    <row r="44592" spans="18:19">
      <c r="R44592" s="178"/>
      <c r="S44592" s="178"/>
    </row>
    <row r="44593" spans="18:19">
      <c r="R44593" s="178"/>
      <c r="S44593" s="178"/>
    </row>
    <row r="44594" spans="18:19">
      <c r="R44594" s="178"/>
      <c r="S44594" s="178"/>
    </row>
    <row r="44595" spans="18:19">
      <c r="R44595" s="178"/>
      <c r="S44595" s="178"/>
    </row>
    <row r="44596" spans="18:19">
      <c r="R44596" s="178"/>
      <c r="S44596" s="178"/>
    </row>
    <row r="44597" spans="18:19">
      <c r="R44597" s="178"/>
      <c r="S44597" s="178"/>
    </row>
    <row r="44598" spans="18:19">
      <c r="R44598" s="178"/>
      <c r="S44598" s="178"/>
    </row>
    <row r="44599" spans="18:19">
      <c r="R44599" s="178"/>
      <c r="S44599" s="178"/>
    </row>
    <row r="44600" spans="18:19">
      <c r="R44600" s="178"/>
      <c r="S44600" s="178"/>
    </row>
    <row r="44601" spans="18:19">
      <c r="R44601" s="178"/>
      <c r="S44601" s="178"/>
    </row>
    <row r="44602" spans="18:19">
      <c r="R44602" s="178"/>
      <c r="S44602" s="178"/>
    </row>
    <row r="44603" spans="18:19">
      <c r="R44603" s="178"/>
      <c r="S44603" s="178"/>
    </row>
    <row r="44604" spans="18:19">
      <c r="R44604" s="178"/>
      <c r="S44604" s="178"/>
    </row>
    <row r="44605" spans="18:19">
      <c r="R44605" s="178"/>
      <c r="S44605" s="178"/>
    </row>
    <row r="44606" spans="18:19">
      <c r="R44606" s="178"/>
      <c r="S44606" s="178"/>
    </row>
    <row r="44607" spans="18:19">
      <c r="R44607" s="178"/>
      <c r="S44607" s="178"/>
    </row>
    <row r="44608" spans="18:19">
      <c r="R44608" s="178"/>
      <c r="S44608" s="178"/>
    </row>
    <row r="44609" spans="18:19">
      <c r="R44609" s="178"/>
      <c r="S44609" s="178"/>
    </row>
    <row r="44610" spans="18:19">
      <c r="R44610" s="178"/>
      <c r="S44610" s="178"/>
    </row>
    <row r="44611" spans="18:19">
      <c r="R44611" s="178"/>
      <c r="S44611" s="178"/>
    </row>
    <row r="44612" spans="18:19">
      <c r="R44612" s="178"/>
      <c r="S44612" s="178"/>
    </row>
    <row r="44613" spans="18:19">
      <c r="R44613" s="178"/>
      <c r="S44613" s="178"/>
    </row>
    <row r="44614" spans="18:19">
      <c r="R44614" s="178"/>
      <c r="S44614" s="178"/>
    </row>
    <row r="44615" spans="18:19">
      <c r="R44615" s="178"/>
      <c r="S44615" s="178"/>
    </row>
    <row r="44616" spans="18:19">
      <c r="R44616" s="178"/>
      <c r="S44616" s="178"/>
    </row>
    <row r="44617" spans="18:19">
      <c r="R44617" s="178"/>
      <c r="S44617" s="178"/>
    </row>
    <row r="44618" spans="18:19">
      <c r="R44618" s="178"/>
      <c r="S44618" s="178"/>
    </row>
    <row r="44619" spans="18:19">
      <c r="R44619" s="178"/>
      <c r="S44619" s="178"/>
    </row>
    <row r="44620" spans="18:19">
      <c r="R44620" s="178"/>
      <c r="S44620" s="178"/>
    </row>
    <row r="44621" spans="18:19">
      <c r="R44621" s="178"/>
      <c r="S44621" s="178"/>
    </row>
    <row r="44622" spans="18:19">
      <c r="R44622" s="178"/>
      <c r="S44622" s="178"/>
    </row>
    <row r="44623" spans="18:19">
      <c r="R44623" s="178"/>
      <c r="S44623" s="178"/>
    </row>
    <row r="44624" spans="18:19">
      <c r="R44624" s="178"/>
      <c r="S44624" s="178"/>
    </row>
    <row r="44625" spans="18:19">
      <c r="R44625" s="178"/>
      <c r="S44625" s="178"/>
    </row>
    <row r="44626" spans="18:19">
      <c r="R44626" s="178"/>
      <c r="S44626" s="178"/>
    </row>
    <row r="44627" spans="18:19">
      <c r="R44627" s="178"/>
      <c r="S44627" s="178"/>
    </row>
    <row r="44628" spans="18:19">
      <c r="R44628" s="178"/>
      <c r="S44628" s="178"/>
    </row>
    <row r="44629" spans="18:19">
      <c r="R44629" s="178"/>
      <c r="S44629" s="178"/>
    </row>
    <row r="44630" spans="18:19">
      <c r="R44630" s="178"/>
      <c r="S44630" s="178"/>
    </row>
    <row r="44631" spans="18:19">
      <c r="R44631" s="178"/>
      <c r="S44631" s="178"/>
    </row>
    <row r="44632" spans="18:19">
      <c r="R44632" s="178"/>
      <c r="S44632" s="178"/>
    </row>
    <row r="44633" spans="18:19">
      <c r="R44633" s="178"/>
      <c r="S44633" s="178"/>
    </row>
    <row r="44634" spans="18:19">
      <c r="R44634" s="178"/>
      <c r="S44634" s="178"/>
    </row>
    <row r="44635" spans="18:19">
      <c r="R44635" s="178"/>
      <c r="S44635" s="178"/>
    </row>
    <row r="44636" spans="18:19">
      <c r="R44636" s="178"/>
      <c r="S44636" s="178"/>
    </row>
    <row r="44637" spans="18:19">
      <c r="R44637" s="178"/>
      <c r="S44637" s="178"/>
    </row>
    <row r="44638" spans="18:19">
      <c r="R44638" s="178"/>
      <c r="S44638" s="178"/>
    </row>
    <row r="44639" spans="18:19">
      <c r="R44639" s="178"/>
      <c r="S44639" s="178"/>
    </row>
    <row r="44640" spans="18:19">
      <c r="R44640" s="178"/>
      <c r="S44640" s="178"/>
    </row>
    <row r="44641" spans="18:19">
      <c r="R44641" s="178"/>
      <c r="S44641" s="178"/>
    </row>
    <row r="44642" spans="18:19">
      <c r="R44642" s="178"/>
      <c r="S44642" s="178"/>
    </row>
    <row r="44643" spans="18:19">
      <c r="R44643" s="178"/>
      <c r="S44643" s="178"/>
    </row>
    <row r="44644" spans="18:19">
      <c r="R44644" s="178"/>
      <c r="S44644" s="178"/>
    </row>
    <row r="44645" spans="18:19">
      <c r="R44645" s="178"/>
      <c r="S44645" s="178"/>
    </row>
    <row r="44646" spans="18:19">
      <c r="R44646" s="178"/>
      <c r="S44646" s="178"/>
    </row>
    <row r="44647" spans="18:19">
      <c r="R44647" s="178"/>
      <c r="S44647" s="178"/>
    </row>
    <row r="44648" spans="18:19">
      <c r="R44648" s="178"/>
      <c r="S44648" s="178"/>
    </row>
    <row r="44649" spans="18:19">
      <c r="R44649" s="178"/>
      <c r="S44649" s="178"/>
    </row>
    <row r="44650" spans="18:19">
      <c r="R44650" s="178"/>
      <c r="S44650" s="178"/>
    </row>
    <row r="44651" spans="18:19">
      <c r="R44651" s="178"/>
      <c r="S44651" s="178"/>
    </row>
    <row r="44652" spans="18:19">
      <c r="R44652" s="178"/>
      <c r="S44652" s="178"/>
    </row>
    <row r="44653" spans="18:19">
      <c r="R44653" s="178"/>
      <c r="S44653" s="178"/>
    </row>
    <row r="44654" spans="18:19">
      <c r="R44654" s="178"/>
      <c r="S44654" s="178"/>
    </row>
    <row r="44655" spans="18:19">
      <c r="R44655" s="178"/>
      <c r="S44655" s="178"/>
    </row>
    <row r="44656" spans="18:19">
      <c r="R44656" s="178"/>
      <c r="S44656" s="178"/>
    </row>
    <row r="44657" spans="18:19">
      <c r="R44657" s="178"/>
      <c r="S44657" s="178"/>
    </row>
    <row r="44658" spans="18:19">
      <c r="R44658" s="178"/>
      <c r="S44658" s="178"/>
    </row>
    <row r="44659" spans="18:19">
      <c r="R44659" s="178"/>
      <c r="S44659" s="178"/>
    </row>
    <row r="44660" spans="18:19">
      <c r="R44660" s="178"/>
      <c r="S44660" s="178"/>
    </row>
    <row r="44661" spans="18:19">
      <c r="R44661" s="178"/>
      <c r="S44661" s="178"/>
    </row>
    <row r="44662" spans="18:19">
      <c r="R44662" s="178"/>
      <c r="S44662" s="178"/>
    </row>
    <row r="44663" spans="18:19">
      <c r="R44663" s="178"/>
      <c r="S44663" s="178"/>
    </row>
    <row r="44664" spans="18:19">
      <c r="R44664" s="178"/>
      <c r="S44664" s="178"/>
    </row>
    <row r="44665" spans="18:19">
      <c r="R44665" s="178"/>
      <c r="S44665" s="178"/>
    </row>
    <row r="44666" spans="18:19">
      <c r="R44666" s="178"/>
      <c r="S44666" s="178"/>
    </row>
    <row r="44667" spans="18:19">
      <c r="R44667" s="178"/>
      <c r="S44667" s="178"/>
    </row>
    <row r="44668" spans="18:19">
      <c r="R44668" s="178"/>
      <c r="S44668" s="178"/>
    </row>
    <row r="44669" spans="18:19">
      <c r="R44669" s="178"/>
      <c r="S44669" s="178"/>
    </row>
    <row r="44670" spans="18:19">
      <c r="R44670" s="178"/>
      <c r="S44670" s="178"/>
    </row>
    <row r="44671" spans="18:19">
      <c r="R44671" s="178"/>
      <c r="S44671" s="178"/>
    </row>
    <row r="44672" spans="18:19">
      <c r="R44672" s="178"/>
      <c r="S44672" s="178"/>
    </row>
    <row r="44673" spans="18:19">
      <c r="R44673" s="178"/>
      <c r="S44673" s="178"/>
    </row>
    <row r="44674" spans="18:19">
      <c r="R44674" s="178"/>
      <c r="S44674" s="178"/>
    </row>
    <row r="44675" spans="18:19">
      <c r="R44675" s="178"/>
      <c r="S44675" s="178"/>
    </row>
    <row r="44676" spans="18:19">
      <c r="R44676" s="178"/>
      <c r="S44676" s="178"/>
    </row>
    <row r="44677" spans="18:19">
      <c r="R44677" s="178"/>
      <c r="S44677" s="178"/>
    </row>
    <row r="44678" spans="18:19">
      <c r="R44678" s="178"/>
      <c r="S44678" s="178"/>
    </row>
    <row r="44679" spans="18:19">
      <c r="R44679" s="178"/>
      <c r="S44679" s="178"/>
    </row>
    <row r="44680" spans="18:19">
      <c r="R44680" s="178"/>
      <c r="S44680" s="178"/>
    </row>
    <row r="44681" spans="18:19">
      <c r="R44681" s="178"/>
      <c r="S44681" s="178"/>
    </row>
    <row r="44682" spans="18:19">
      <c r="R44682" s="178"/>
      <c r="S44682" s="178"/>
    </row>
    <row r="44683" spans="18:19">
      <c r="R44683" s="178"/>
      <c r="S44683" s="178"/>
    </row>
    <row r="44684" spans="18:19">
      <c r="R44684" s="178"/>
      <c r="S44684" s="178"/>
    </row>
    <row r="44685" spans="18:19">
      <c r="R44685" s="178"/>
      <c r="S44685" s="178"/>
    </row>
    <row r="44686" spans="18:19">
      <c r="R44686" s="178"/>
      <c r="S44686" s="178"/>
    </row>
    <row r="44687" spans="18:19">
      <c r="R44687" s="178"/>
      <c r="S44687" s="178"/>
    </row>
    <row r="44688" spans="18:19">
      <c r="R44688" s="178"/>
      <c r="S44688" s="178"/>
    </row>
    <row r="44689" spans="18:19">
      <c r="R44689" s="178"/>
      <c r="S44689" s="178"/>
    </row>
    <row r="44690" spans="18:19">
      <c r="R44690" s="178"/>
      <c r="S44690" s="178"/>
    </row>
    <row r="44691" spans="18:19">
      <c r="R44691" s="178"/>
      <c r="S44691" s="178"/>
    </row>
    <row r="44692" spans="18:19">
      <c r="R44692" s="178"/>
      <c r="S44692" s="178"/>
    </row>
    <row r="44693" spans="18:19">
      <c r="R44693" s="178"/>
      <c r="S44693" s="178"/>
    </row>
    <row r="44694" spans="18:19">
      <c r="R44694" s="178"/>
      <c r="S44694" s="178"/>
    </row>
    <row r="44695" spans="18:19">
      <c r="R44695" s="178"/>
      <c r="S44695" s="178"/>
    </row>
    <row r="44696" spans="18:19">
      <c r="R44696" s="178"/>
      <c r="S44696" s="178"/>
    </row>
    <row r="44697" spans="18:19">
      <c r="R44697" s="178"/>
      <c r="S44697" s="178"/>
    </row>
    <row r="44698" spans="18:19">
      <c r="R44698" s="178"/>
      <c r="S44698" s="178"/>
    </row>
    <row r="44699" spans="18:19">
      <c r="R44699" s="178"/>
      <c r="S44699" s="178"/>
    </row>
    <row r="44700" spans="18:19">
      <c r="R44700" s="178"/>
      <c r="S44700" s="178"/>
    </row>
    <row r="44701" spans="18:19">
      <c r="R44701" s="178"/>
      <c r="S44701" s="178"/>
    </row>
    <row r="44702" spans="18:19">
      <c r="R44702" s="178"/>
      <c r="S44702" s="178"/>
    </row>
    <row r="44703" spans="18:19">
      <c r="R44703" s="178"/>
      <c r="S44703" s="178"/>
    </row>
    <row r="44704" spans="18:19">
      <c r="R44704" s="178"/>
      <c r="S44704" s="178"/>
    </row>
    <row r="44705" spans="18:19">
      <c r="R44705" s="178"/>
      <c r="S44705" s="178"/>
    </row>
    <row r="44706" spans="18:19">
      <c r="R44706" s="178"/>
      <c r="S44706" s="178"/>
    </row>
    <row r="44707" spans="18:19">
      <c r="R44707" s="178"/>
      <c r="S44707" s="178"/>
    </row>
    <row r="44708" spans="18:19">
      <c r="R44708" s="178"/>
      <c r="S44708" s="178"/>
    </row>
    <row r="44709" spans="18:19">
      <c r="R44709" s="178"/>
      <c r="S44709" s="178"/>
    </row>
    <row r="44710" spans="18:19">
      <c r="R44710" s="178"/>
      <c r="S44710" s="178"/>
    </row>
    <row r="44711" spans="18:19">
      <c r="R44711" s="178"/>
      <c r="S44711" s="178"/>
    </row>
    <row r="44712" spans="18:19">
      <c r="R44712" s="178"/>
      <c r="S44712" s="178"/>
    </row>
    <row r="44713" spans="18:19">
      <c r="R44713" s="178"/>
      <c r="S44713" s="178"/>
    </row>
    <row r="44714" spans="18:19">
      <c r="R44714" s="178"/>
      <c r="S44714" s="178"/>
    </row>
    <row r="44715" spans="18:19">
      <c r="R44715" s="178"/>
      <c r="S44715" s="178"/>
    </row>
    <row r="44716" spans="18:19">
      <c r="R44716" s="178"/>
      <c r="S44716" s="178"/>
    </row>
    <row r="44717" spans="18:19">
      <c r="R44717" s="178"/>
      <c r="S44717" s="178"/>
    </row>
    <row r="44718" spans="18:19">
      <c r="R44718" s="178"/>
      <c r="S44718" s="178"/>
    </row>
    <row r="44719" spans="18:19">
      <c r="R44719" s="178"/>
      <c r="S44719" s="178"/>
    </row>
    <row r="44720" spans="18:19">
      <c r="R44720" s="178"/>
      <c r="S44720" s="178"/>
    </row>
    <row r="44721" spans="18:19">
      <c r="R44721" s="178"/>
      <c r="S44721" s="178"/>
    </row>
    <row r="44722" spans="18:19">
      <c r="R44722" s="178"/>
      <c r="S44722" s="178"/>
    </row>
    <row r="44723" spans="18:19">
      <c r="R44723" s="178"/>
      <c r="S44723" s="178"/>
    </row>
    <row r="44724" spans="18:19">
      <c r="R44724" s="178"/>
      <c r="S44724" s="178"/>
    </row>
    <row r="44725" spans="18:19">
      <c r="R44725" s="178"/>
      <c r="S44725" s="178"/>
    </row>
    <row r="44726" spans="18:19">
      <c r="R44726" s="178"/>
      <c r="S44726" s="178"/>
    </row>
    <row r="44727" spans="18:19">
      <c r="R44727" s="178"/>
      <c r="S44727" s="178"/>
    </row>
    <row r="44728" spans="18:19">
      <c r="R44728" s="178"/>
      <c r="S44728" s="178"/>
    </row>
    <row r="44729" spans="18:19">
      <c r="R44729" s="178"/>
      <c r="S44729" s="178"/>
    </row>
    <row r="44730" spans="18:19">
      <c r="R44730" s="178"/>
      <c r="S44730" s="178"/>
    </row>
    <row r="44731" spans="18:19">
      <c r="R44731" s="178"/>
      <c r="S44731" s="178"/>
    </row>
    <row r="44732" spans="18:19">
      <c r="R44732" s="178"/>
      <c r="S44732" s="178"/>
    </row>
    <row r="44733" spans="18:19">
      <c r="R44733" s="178"/>
      <c r="S44733" s="178"/>
    </row>
    <row r="44734" spans="18:19">
      <c r="R44734" s="178"/>
      <c r="S44734" s="178"/>
    </row>
    <row r="44735" spans="18:19">
      <c r="R44735" s="178"/>
      <c r="S44735" s="178"/>
    </row>
    <row r="44736" spans="18:19">
      <c r="R44736" s="178"/>
      <c r="S44736" s="178"/>
    </row>
    <row r="44737" spans="18:19">
      <c r="R44737" s="178"/>
      <c r="S44737" s="178"/>
    </row>
    <row r="44738" spans="18:19">
      <c r="R44738" s="178"/>
      <c r="S44738" s="178"/>
    </row>
    <row r="44739" spans="18:19">
      <c r="R44739" s="178"/>
      <c r="S44739" s="178"/>
    </row>
    <row r="44740" spans="18:19">
      <c r="R44740" s="178"/>
      <c r="S44740" s="178"/>
    </row>
    <row r="44741" spans="18:19">
      <c r="R44741" s="178"/>
      <c r="S44741" s="178"/>
    </row>
    <row r="44742" spans="18:19">
      <c r="R44742" s="178"/>
      <c r="S44742" s="178"/>
    </row>
    <row r="44743" spans="18:19">
      <c r="R44743" s="178"/>
      <c r="S44743" s="178"/>
    </row>
    <row r="44744" spans="18:19">
      <c r="R44744" s="178"/>
      <c r="S44744" s="178"/>
    </row>
    <row r="44745" spans="18:19">
      <c r="R44745" s="178"/>
      <c r="S44745" s="178"/>
    </row>
    <row r="44746" spans="18:19">
      <c r="R44746" s="178"/>
      <c r="S44746" s="178"/>
    </row>
    <row r="44747" spans="18:19">
      <c r="R44747" s="178"/>
      <c r="S44747" s="178"/>
    </row>
    <row r="44748" spans="18:19">
      <c r="R44748" s="178"/>
      <c r="S44748" s="178"/>
    </row>
    <row r="44749" spans="18:19">
      <c r="R44749" s="178"/>
      <c r="S44749" s="178"/>
    </row>
    <row r="44750" spans="18:19">
      <c r="R44750" s="178"/>
      <c r="S44750" s="178"/>
    </row>
    <row r="44751" spans="18:19">
      <c r="R44751" s="178"/>
      <c r="S44751" s="178"/>
    </row>
    <row r="44752" spans="18:19">
      <c r="R44752" s="178"/>
      <c r="S44752" s="178"/>
    </row>
    <row r="44753" spans="18:19">
      <c r="R44753" s="178"/>
      <c r="S44753" s="178"/>
    </row>
    <row r="44754" spans="18:19">
      <c r="R44754" s="178"/>
      <c r="S44754" s="178"/>
    </row>
    <row r="44755" spans="18:19">
      <c r="R44755" s="178"/>
      <c r="S44755" s="178"/>
    </row>
    <row r="44756" spans="18:19">
      <c r="R44756" s="178"/>
      <c r="S44756" s="178"/>
    </row>
    <row r="44757" spans="18:19">
      <c r="R44757" s="178"/>
      <c r="S44757" s="178"/>
    </row>
    <row r="44758" spans="18:19">
      <c r="R44758" s="178"/>
      <c r="S44758" s="178"/>
    </row>
    <row r="44759" spans="18:19">
      <c r="R44759" s="178"/>
      <c r="S44759" s="178"/>
    </row>
    <row r="44760" spans="18:19">
      <c r="R44760" s="178"/>
      <c r="S44760" s="178"/>
    </row>
    <row r="44761" spans="18:19">
      <c r="R44761" s="178"/>
      <c r="S44761" s="178"/>
    </row>
    <row r="44762" spans="18:19">
      <c r="R44762" s="178"/>
      <c r="S44762" s="178"/>
    </row>
    <row r="44763" spans="18:19">
      <c r="R44763" s="178"/>
      <c r="S44763" s="178"/>
    </row>
    <row r="44764" spans="18:19">
      <c r="R44764" s="178"/>
      <c r="S44764" s="178"/>
    </row>
    <row r="44765" spans="18:19">
      <c r="R44765" s="178"/>
      <c r="S44765" s="178"/>
    </row>
    <row r="44766" spans="18:19">
      <c r="R44766" s="178"/>
      <c r="S44766" s="178"/>
    </row>
    <row r="44767" spans="18:19">
      <c r="R44767" s="178"/>
      <c r="S44767" s="178"/>
    </row>
    <row r="44768" spans="18:19">
      <c r="R44768" s="178"/>
      <c r="S44768" s="178"/>
    </row>
    <row r="44769" spans="18:19">
      <c r="R44769" s="178"/>
      <c r="S44769" s="178"/>
    </row>
    <row r="44770" spans="18:19">
      <c r="R44770" s="178"/>
      <c r="S44770" s="178"/>
    </row>
    <row r="44771" spans="18:19">
      <c r="R44771" s="178"/>
      <c r="S44771" s="178"/>
    </row>
    <row r="44772" spans="18:19">
      <c r="R44772" s="178"/>
      <c r="S44772" s="178"/>
    </row>
    <row r="44773" spans="18:19">
      <c r="R44773" s="178"/>
      <c r="S44773" s="178"/>
    </row>
    <row r="44774" spans="18:19">
      <c r="R44774" s="178"/>
      <c r="S44774" s="178"/>
    </row>
    <row r="44775" spans="18:19">
      <c r="R44775" s="178"/>
      <c r="S44775" s="178"/>
    </row>
    <row r="44776" spans="18:19">
      <c r="R44776" s="178"/>
      <c r="S44776" s="178"/>
    </row>
    <row r="44777" spans="18:19">
      <c r="R44777" s="178"/>
      <c r="S44777" s="178"/>
    </row>
    <row r="44778" spans="18:19">
      <c r="R44778" s="178"/>
      <c r="S44778" s="178"/>
    </row>
    <row r="44779" spans="18:19">
      <c r="R44779" s="178"/>
      <c r="S44779" s="178"/>
    </row>
    <row r="44780" spans="18:19">
      <c r="R44780" s="178"/>
      <c r="S44780" s="178"/>
    </row>
    <row r="44781" spans="18:19">
      <c r="R44781" s="178"/>
      <c r="S44781" s="178"/>
    </row>
    <row r="44782" spans="18:19">
      <c r="R44782" s="178"/>
      <c r="S44782" s="178"/>
    </row>
    <row r="44783" spans="18:19">
      <c r="R44783" s="178"/>
      <c r="S44783" s="178"/>
    </row>
    <row r="44784" spans="18:19">
      <c r="R44784" s="178"/>
      <c r="S44784" s="178"/>
    </row>
    <row r="44785" spans="18:19">
      <c r="R44785" s="178"/>
      <c r="S44785" s="178"/>
    </row>
    <row r="44786" spans="18:19">
      <c r="R44786" s="178"/>
      <c r="S44786" s="178"/>
    </row>
    <row r="44787" spans="18:19">
      <c r="R44787" s="178"/>
      <c r="S44787" s="178"/>
    </row>
    <row r="44788" spans="18:19">
      <c r="R44788" s="178"/>
      <c r="S44788" s="178"/>
    </row>
    <row r="44789" spans="18:19">
      <c r="R44789" s="178"/>
      <c r="S44789" s="178"/>
    </row>
    <row r="44790" spans="18:19">
      <c r="R44790" s="178"/>
      <c r="S44790" s="178"/>
    </row>
    <row r="44791" spans="18:19">
      <c r="R44791" s="178"/>
      <c r="S44791" s="178"/>
    </row>
    <row r="44792" spans="18:19">
      <c r="R44792" s="178"/>
      <c r="S44792" s="178"/>
    </row>
    <row r="44793" spans="18:19">
      <c r="R44793" s="178"/>
      <c r="S44793" s="178"/>
    </row>
    <row r="44794" spans="18:19">
      <c r="R44794" s="178"/>
      <c r="S44794" s="178"/>
    </row>
    <row r="44795" spans="18:19">
      <c r="R44795" s="178"/>
      <c r="S44795" s="178"/>
    </row>
    <row r="44796" spans="18:19">
      <c r="R44796" s="178"/>
      <c r="S44796" s="178"/>
    </row>
    <row r="44797" spans="18:19">
      <c r="R44797" s="178"/>
      <c r="S44797" s="178"/>
    </row>
    <row r="44798" spans="18:19">
      <c r="R44798" s="178"/>
      <c r="S44798" s="178"/>
    </row>
    <row r="44799" spans="18:19">
      <c r="R44799" s="178"/>
      <c r="S44799" s="178"/>
    </row>
    <row r="44800" spans="18:19">
      <c r="R44800" s="178"/>
      <c r="S44800" s="178"/>
    </row>
    <row r="44801" spans="18:19">
      <c r="R44801" s="178"/>
      <c r="S44801" s="178"/>
    </row>
    <row r="44802" spans="18:19">
      <c r="R44802" s="178"/>
      <c r="S44802" s="178"/>
    </row>
    <row r="44803" spans="18:19">
      <c r="R44803" s="178"/>
      <c r="S44803" s="178"/>
    </row>
    <row r="44804" spans="18:19">
      <c r="R44804" s="178"/>
      <c r="S44804" s="178"/>
    </row>
    <row r="44805" spans="18:19">
      <c r="R44805" s="178"/>
      <c r="S44805" s="178"/>
    </row>
    <row r="44806" spans="18:19">
      <c r="R44806" s="178"/>
      <c r="S44806" s="178"/>
    </row>
    <row r="44807" spans="18:19">
      <c r="R44807" s="178"/>
      <c r="S44807" s="178"/>
    </row>
    <row r="44808" spans="18:19">
      <c r="R44808" s="178"/>
      <c r="S44808" s="178"/>
    </row>
    <row r="44809" spans="18:19">
      <c r="R44809" s="178"/>
      <c r="S44809" s="178"/>
    </row>
    <row r="44810" spans="18:19">
      <c r="R44810" s="178"/>
      <c r="S44810" s="178"/>
    </row>
    <row r="44811" spans="18:19">
      <c r="R44811" s="178"/>
      <c r="S44811" s="178"/>
    </row>
    <row r="44812" spans="18:19">
      <c r="R44812" s="178"/>
      <c r="S44812" s="178"/>
    </row>
    <row r="44813" spans="18:19">
      <c r="R44813" s="178"/>
      <c r="S44813" s="178"/>
    </row>
    <row r="44814" spans="18:19">
      <c r="R44814" s="178"/>
      <c r="S44814" s="178"/>
    </row>
    <row r="44815" spans="18:19">
      <c r="R44815" s="178"/>
      <c r="S44815" s="178"/>
    </row>
    <row r="44816" spans="18:19">
      <c r="R44816" s="178"/>
      <c r="S44816" s="178"/>
    </row>
    <row r="44817" spans="18:19">
      <c r="R44817" s="178"/>
      <c r="S44817" s="178"/>
    </row>
    <row r="44818" spans="18:19">
      <c r="R44818" s="178"/>
      <c r="S44818" s="178"/>
    </row>
    <row r="44819" spans="18:19">
      <c r="R44819" s="178"/>
      <c r="S44819" s="178"/>
    </row>
    <row r="44820" spans="18:19">
      <c r="R44820" s="178"/>
      <c r="S44820" s="178"/>
    </row>
    <row r="44821" spans="18:19">
      <c r="R44821" s="178"/>
      <c r="S44821" s="178"/>
    </row>
    <row r="44822" spans="18:19">
      <c r="R44822" s="178"/>
      <c r="S44822" s="178"/>
    </row>
    <row r="44823" spans="18:19">
      <c r="R44823" s="178"/>
      <c r="S44823" s="178"/>
    </row>
    <row r="44824" spans="18:19">
      <c r="R44824" s="178"/>
      <c r="S44824" s="178"/>
    </row>
    <row r="44825" spans="18:19">
      <c r="R44825" s="178"/>
      <c r="S44825" s="178"/>
    </row>
    <row r="44826" spans="18:19">
      <c r="R44826" s="178"/>
      <c r="S44826" s="178"/>
    </row>
    <row r="44827" spans="18:19">
      <c r="R44827" s="178"/>
      <c r="S44827" s="178"/>
    </row>
    <row r="44828" spans="18:19">
      <c r="R44828" s="178"/>
      <c r="S44828" s="178"/>
    </row>
    <row r="44829" spans="18:19">
      <c r="R44829" s="178"/>
      <c r="S44829" s="178"/>
    </row>
    <row r="44830" spans="18:19">
      <c r="R44830" s="178"/>
      <c r="S44830" s="178"/>
    </row>
    <row r="44831" spans="18:19">
      <c r="R44831" s="178"/>
      <c r="S44831" s="178"/>
    </row>
    <row r="44832" spans="18:19">
      <c r="R44832" s="178"/>
      <c r="S44832" s="178"/>
    </row>
    <row r="44833" spans="18:19">
      <c r="R44833" s="178"/>
      <c r="S44833" s="178"/>
    </row>
    <row r="44834" spans="18:19">
      <c r="R44834" s="178"/>
      <c r="S44834" s="178"/>
    </row>
    <row r="44835" spans="18:19">
      <c r="R44835" s="178"/>
      <c r="S44835" s="178"/>
    </row>
    <row r="44836" spans="18:19">
      <c r="R44836" s="178"/>
      <c r="S44836" s="178"/>
    </row>
    <row r="44837" spans="18:19">
      <c r="R44837" s="178"/>
      <c r="S44837" s="178"/>
    </row>
    <row r="44838" spans="18:19">
      <c r="R44838" s="178"/>
      <c r="S44838" s="178"/>
    </row>
    <row r="44839" spans="18:19">
      <c r="R44839" s="178"/>
      <c r="S44839" s="178"/>
    </row>
    <row r="44840" spans="18:19">
      <c r="R44840" s="178"/>
      <c r="S44840" s="178"/>
    </row>
    <row r="44841" spans="18:19">
      <c r="R44841" s="178"/>
      <c r="S44841" s="178"/>
    </row>
    <row r="44842" spans="18:19">
      <c r="R44842" s="178"/>
      <c r="S44842" s="178"/>
    </row>
    <row r="44843" spans="18:19">
      <c r="R44843" s="178"/>
      <c r="S44843" s="178"/>
    </row>
    <row r="44844" spans="18:19">
      <c r="R44844" s="178"/>
      <c r="S44844" s="178"/>
    </row>
    <row r="44845" spans="18:19">
      <c r="R44845" s="178"/>
      <c r="S44845" s="178"/>
    </row>
    <row r="44846" spans="18:19">
      <c r="R44846" s="178"/>
      <c r="S44846" s="178"/>
    </row>
    <row r="44847" spans="18:19">
      <c r="R44847" s="178"/>
      <c r="S44847" s="178"/>
    </row>
    <row r="44848" spans="18:19">
      <c r="R44848" s="178"/>
      <c r="S44848" s="178"/>
    </row>
    <row r="44849" spans="18:19">
      <c r="R44849" s="178"/>
      <c r="S44849" s="178"/>
    </row>
    <row r="44850" spans="18:19">
      <c r="R44850" s="178"/>
      <c r="S44850" s="178"/>
    </row>
    <row r="44851" spans="18:19">
      <c r="R44851" s="178"/>
      <c r="S44851" s="178"/>
    </row>
    <row r="44852" spans="18:19">
      <c r="R44852" s="178"/>
      <c r="S44852" s="178"/>
    </row>
    <row r="44853" spans="18:19">
      <c r="R44853" s="178"/>
      <c r="S44853" s="178"/>
    </row>
    <row r="44854" spans="18:19">
      <c r="R44854" s="178"/>
      <c r="S44854" s="178"/>
    </row>
    <row r="44855" spans="18:19">
      <c r="R44855" s="178"/>
      <c r="S44855" s="178"/>
    </row>
    <row r="44856" spans="18:19">
      <c r="R44856" s="178"/>
      <c r="S44856" s="178"/>
    </row>
    <row r="44857" spans="18:19">
      <c r="R44857" s="178"/>
      <c r="S44857" s="178"/>
    </row>
    <row r="44858" spans="18:19">
      <c r="R44858" s="178"/>
      <c r="S44858" s="178"/>
    </row>
    <row r="44859" spans="18:19">
      <c r="R44859" s="178"/>
      <c r="S44859" s="178"/>
    </row>
    <row r="44860" spans="18:19">
      <c r="R44860" s="178"/>
      <c r="S44860" s="178"/>
    </row>
    <row r="44861" spans="18:19">
      <c r="R44861" s="178"/>
      <c r="S44861" s="178"/>
    </row>
    <row r="44862" spans="18:19">
      <c r="R44862" s="178"/>
      <c r="S44862" s="178"/>
    </row>
    <row r="44863" spans="18:19">
      <c r="R44863" s="178"/>
      <c r="S44863" s="178"/>
    </row>
    <row r="44864" spans="18:19">
      <c r="R44864" s="178"/>
      <c r="S44864" s="178"/>
    </row>
    <row r="44865" spans="18:19">
      <c r="R44865" s="178"/>
      <c r="S44865" s="178"/>
    </row>
    <row r="44866" spans="18:19">
      <c r="R44866" s="178"/>
      <c r="S44866" s="178"/>
    </row>
    <row r="44867" spans="18:19">
      <c r="R44867" s="178"/>
      <c r="S44867" s="178"/>
    </row>
    <row r="44868" spans="18:19">
      <c r="R44868" s="178"/>
      <c r="S44868" s="178"/>
    </row>
    <row r="44869" spans="18:19">
      <c r="R44869" s="178"/>
      <c r="S44869" s="178"/>
    </row>
    <row r="44870" spans="18:19">
      <c r="R44870" s="178"/>
      <c r="S44870" s="178"/>
    </row>
    <row r="44871" spans="18:19">
      <c r="R44871" s="178"/>
      <c r="S44871" s="178"/>
    </row>
    <row r="44872" spans="18:19">
      <c r="R44872" s="178"/>
      <c r="S44872" s="178"/>
    </row>
    <row r="44873" spans="18:19">
      <c r="R44873" s="178"/>
      <c r="S44873" s="178"/>
    </row>
    <row r="44874" spans="18:19">
      <c r="R44874" s="178"/>
      <c r="S44874" s="178"/>
    </row>
    <row r="44875" spans="18:19">
      <c r="R44875" s="178"/>
      <c r="S44875" s="178"/>
    </row>
    <row r="44876" spans="18:19">
      <c r="R44876" s="178"/>
      <c r="S44876" s="178"/>
    </row>
    <row r="44877" spans="18:19">
      <c r="R44877" s="178"/>
      <c r="S44877" s="178"/>
    </row>
    <row r="44878" spans="18:19">
      <c r="R44878" s="178"/>
      <c r="S44878" s="178"/>
    </row>
    <row r="44879" spans="18:19">
      <c r="R44879" s="178"/>
      <c r="S44879" s="178"/>
    </row>
    <row r="44880" spans="18:19">
      <c r="R44880" s="178"/>
      <c r="S44880" s="178"/>
    </row>
    <row r="44881" spans="18:19">
      <c r="R44881" s="178"/>
      <c r="S44881" s="178"/>
    </row>
    <row r="44882" spans="18:19">
      <c r="R44882" s="178"/>
      <c r="S44882" s="178"/>
    </row>
    <row r="44883" spans="18:19">
      <c r="R44883" s="178"/>
      <c r="S44883" s="178"/>
    </row>
    <row r="44884" spans="18:19">
      <c r="R44884" s="178"/>
      <c r="S44884" s="178"/>
    </row>
    <row r="44885" spans="18:19">
      <c r="R44885" s="178"/>
      <c r="S44885" s="178"/>
    </row>
    <row r="44886" spans="18:19">
      <c r="R44886" s="178"/>
      <c r="S44886" s="178"/>
    </row>
    <row r="44887" spans="18:19">
      <c r="R44887" s="178"/>
      <c r="S44887" s="178"/>
    </row>
    <row r="44888" spans="18:19">
      <c r="R44888" s="178"/>
      <c r="S44888" s="178"/>
    </row>
    <row r="44889" spans="18:19">
      <c r="R44889" s="178"/>
      <c r="S44889" s="178"/>
    </row>
    <row r="44890" spans="18:19">
      <c r="R44890" s="178"/>
      <c r="S44890" s="178"/>
    </row>
    <row r="44891" spans="18:19">
      <c r="R44891" s="178"/>
      <c r="S44891" s="178"/>
    </row>
    <row r="44892" spans="18:19">
      <c r="R44892" s="178"/>
      <c r="S44892" s="178"/>
    </row>
    <row r="44893" spans="18:19">
      <c r="R44893" s="178"/>
      <c r="S44893" s="178"/>
    </row>
    <row r="44894" spans="18:19">
      <c r="R44894" s="178"/>
      <c r="S44894" s="178"/>
    </row>
    <row r="44895" spans="18:19">
      <c r="R44895" s="178"/>
      <c r="S44895" s="178"/>
    </row>
    <row r="44896" spans="18:19">
      <c r="R44896" s="178"/>
      <c r="S44896" s="178"/>
    </row>
    <row r="44897" spans="18:19">
      <c r="R44897" s="178"/>
      <c r="S44897" s="178"/>
    </row>
    <row r="44898" spans="18:19">
      <c r="R44898" s="178"/>
      <c r="S44898" s="178"/>
    </row>
    <row r="44899" spans="18:19">
      <c r="R44899" s="178"/>
      <c r="S44899" s="178"/>
    </row>
    <row r="44900" spans="18:19">
      <c r="R44900" s="178"/>
      <c r="S44900" s="178"/>
    </row>
    <row r="44901" spans="18:19">
      <c r="R44901" s="178"/>
      <c r="S44901" s="178"/>
    </row>
    <row r="44902" spans="18:19">
      <c r="R44902" s="178"/>
      <c r="S44902" s="178"/>
    </row>
    <row r="44903" spans="18:19">
      <c r="R44903" s="178"/>
      <c r="S44903" s="178"/>
    </row>
    <row r="44904" spans="18:19">
      <c r="R44904" s="178"/>
      <c r="S44904" s="178"/>
    </row>
    <row r="44905" spans="18:19">
      <c r="R44905" s="178"/>
      <c r="S44905" s="178"/>
    </row>
    <row r="44906" spans="18:19">
      <c r="R44906" s="178"/>
      <c r="S44906" s="178"/>
    </row>
    <row r="44907" spans="18:19">
      <c r="R44907" s="178"/>
      <c r="S44907" s="178"/>
    </row>
    <row r="44908" spans="18:19">
      <c r="R44908" s="178"/>
      <c r="S44908" s="178"/>
    </row>
    <row r="44909" spans="18:19">
      <c r="R44909" s="178"/>
      <c r="S44909" s="178"/>
    </row>
    <row r="44910" spans="18:19">
      <c r="R44910" s="178"/>
      <c r="S44910" s="178"/>
    </row>
    <row r="44911" spans="18:19">
      <c r="R44911" s="178"/>
      <c r="S44911" s="178"/>
    </row>
    <row r="44912" spans="18:19">
      <c r="R44912" s="178"/>
      <c r="S44912" s="178"/>
    </row>
    <row r="44913" spans="18:19">
      <c r="R44913" s="178"/>
      <c r="S44913" s="178"/>
    </row>
    <row r="44914" spans="18:19">
      <c r="R44914" s="178"/>
      <c r="S44914" s="178"/>
    </row>
    <row r="44915" spans="18:19">
      <c r="R44915" s="178"/>
      <c r="S44915" s="178"/>
    </row>
    <row r="44916" spans="18:19">
      <c r="R44916" s="178"/>
      <c r="S44916" s="178"/>
    </row>
    <row r="44917" spans="18:19">
      <c r="R44917" s="178"/>
      <c r="S44917" s="178"/>
    </row>
    <row r="44918" spans="18:19">
      <c r="R44918" s="178"/>
      <c r="S44918" s="178"/>
    </row>
    <row r="44919" spans="18:19">
      <c r="R44919" s="178"/>
      <c r="S44919" s="178"/>
    </row>
    <row r="44920" spans="18:19">
      <c r="R44920" s="178"/>
      <c r="S44920" s="178"/>
    </row>
    <row r="44921" spans="18:19">
      <c r="R44921" s="178"/>
      <c r="S44921" s="178"/>
    </row>
    <row r="44922" spans="18:19">
      <c r="R44922" s="178"/>
      <c r="S44922" s="178"/>
    </row>
    <row r="44923" spans="18:19">
      <c r="R44923" s="178"/>
      <c r="S44923" s="178"/>
    </row>
    <row r="44924" spans="18:19">
      <c r="R44924" s="178"/>
      <c r="S44924" s="178"/>
    </row>
    <row r="44925" spans="18:19">
      <c r="R44925" s="178"/>
      <c r="S44925" s="178"/>
    </row>
    <row r="44926" spans="18:19">
      <c r="R44926" s="178"/>
      <c r="S44926" s="178"/>
    </row>
    <row r="44927" spans="18:19">
      <c r="R44927" s="178"/>
      <c r="S44927" s="178"/>
    </row>
    <row r="44928" spans="18:19">
      <c r="R44928" s="178"/>
      <c r="S44928" s="178"/>
    </row>
    <row r="44929" spans="18:19">
      <c r="R44929" s="178"/>
      <c r="S44929" s="178"/>
    </row>
    <row r="44930" spans="18:19">
      <c r="R44930" s="178"/>
      <c r="S44930" s="178"/>
    </row>
    <row r="44931" spans="18:19">
      <c r="R44931" s="178"/>
      <c r="S44931" s="178"/>
    </row>
    <row r="44932" spans="18:19">
      <c r="R44932" s="178"/>
      <c r="S44932" s="178"/>
    </row>
    <row r="44933" spans="18:19">
      <c r="R44933" s="178"/>
      <c r="S44933" s="178"/>
    </row>
    <row r="44934" spans="18:19">
      <c r="R44934" s="178"/>
      <c r="S44934" s="178"/>
    </row>
    <row r="44935" spans="18:19">
      <c r="R44935" s="178"/>
      <c r="S44935" s="178"/>
    </row>
    <row r="44936" spans="18:19">
      <c r="R44936" s="178"/>
      <c r="S44936" s="178"/>
    </row>
    <row r="44937" spans="18:19">
      <c r="R44937" s="178"/>
      <c r="S44937" s="178"/>
    </row>
    <row r="44938" spans="18:19">
      <c r="R44938" s="178"/>
      <c r="S44938" s="178"/>
    </row>
    <row r="44939" spans="18:19">
      <c r="R44939" s="178"/>
      <c r="S44939" s="178"/>
    </row>
    <row r="44940" spans="18:19">
      <c r="R44940" s="178"/>
      <c r="S44940" s="178"/>
    </row>
    <row r="44941" spans="18:19">
      <c r="R44941" s="178"/>
      <c r="S44941" s="178"/>
    </row>
    <row r="44942" spans="18:19">
      <c r="R44942" s="178"/>
      <c r="S44942" s="178"/>
    </row>
    <row r="44943" spans="18:19">
      <c r="R44943" s="178"/>
      <c r="S44943" s="178"/>
    </row>
    <row r="44944" spans="18:19">
      <c r="R44944" s="178"/>
      <c r="S44944" s="178"/>
    </row>
    <row r="44945" spans="18:19">
      <c r="R44945" s="178"/>
      <c r="S44945" s="178"/>
    </row>
    <row r="44946" spans="18:19">
      <c r="R44946" s="178"/>
      <c r="S44946" s="178"/>
    </row>
    <row r="44947" spans="18:19">
      <c r="R44947" s="178"/>
      <c r="S44947" s="178"/>
    </row>
    <row r="44948" spans="18:19">
      <c r="R44948" s="178"/>
      <c r="S44948" s="178"/>
    </row>
    <row r="44949" spans="18:19">
      <c r="R44949" s="178"/>
      <c r="S44949" s="178"/>
    </row>
    <row r="44950" spans="18:19">
      <c r="R44950" s="178"/>
      <c r="S44950" s="178"/>
    </row>
    <row r="44951" spans="18:19">
      <c r="R44951" s="178"/>
      <c r="S44951" s="178"/>
    </row>
    <row r="44952" spans="18:19">
      <c r="R44952" s="178"/>
      <c r="S44952" s="178"/>
    </row>
    <row r="44953" spans="18:19">
      <c r="R44953" s="178"/>
      <c r="S44953" s="178"/>
    </row>
    <row r="44954" spans="18:19">
      <c r="R44954" s="178"/>
      <c r="S44954" s="178"/>
    </row>
    <row r="44955" spans="18:19">
      <c r="R44955" s="178"/>
      <c r="S44955" s="178"/>
    </row>
    <row r="44956" spans="18:19">
      <c r="R44956" s="178"/>
      <c r="S44956" s="178"/>
    </row>
    <row r="44957" spans="18:19">
      <c r="R44957" s="178"/>
      <c r="S44957" s="178"/>
    </row>
    <row r="44958" spans="18:19">
      <c r="R44958" s="178"/>
      <c r="S44958" s="178"/>
    </row>
    <row r="44959" spans="18:19">
      <c r="R44959" s="178"/>
      <c r="S44959" s="178"/>
    </row>
    <row r="44960" spans="18:19">
      <c r="R44960" s="178"/>
      <c r="S44960" s="178"/>
    </row>
    <row r="44961" spans="18:19">
      <c r="R44961" s="178"/>
      <c r="S44961" s="178"/>
    </row>
    <row r="44962" spans="18:19">
      <c r="R44962" s="178"/>
      <c r="S44962" s="178"/>
    </row>
    <row r="44963" spans="18:19">
      <c r="R44963" s="178"/>
      <c r="S44963" s="178"/>
    </row>
    <row r="44964" spans="18:19">
      <c r="R44964" s="178"/>
      <c r="S44964" s="178"/>
    </row>
    <row r="44965" spans="18:19">
      <c r="R44965" s="178"/>
      <c r="S44965" s="178"/>
    </row>
    <row r="44966" spans="18:19">
      <c r="R44966" s="178"/>
      <c r="S44966" s="178"/>
    </row>
    <row r="44967" spans="18:19">
      <c r="R44967" s="178"/>
      <c r="S44967" s="178"/>
    </row>
    <row r="44968" spans="18:19">
      <c r="R44968" s="178"/>
      <c r="S44968" s="178"/>
    </row>
    <row r="44969" spans="18:19">
      <c r="R44969" s="178"/>
      <c r="S44969" s="178"/>
    </row>
    <row r="44970" spans="18:19">
      <c r="R44970" s="178"/>
      <c r="S44970" s="178"/>
    </row>
    <row r="44971" spans="18:19">
      <c r="R44971" s="178"/>
      <c r="S44971" s="178"/>
    </row>
    <row r="44972" spans="18:19">
      <c r="R44972" s="178"/>
      <c r="S44972" s="178"/>
    </row>
    <row r="44973" spans="18:19">
      <c r="R44973" s="178"/>
      <c r="S44973" s="178"/>
    </row>
    <row r="44974" spans="18:19">
      <c r="R44974" s="178"/>
      <c r="S44974" s="178"/>
    </row>
    <row r="44975" spans="18:19">
      <c r="R44975" s="178"/>
      <c r="S44975" s="178"/>
    </row>
    <row r="44976" spans="18:19">
      <c r="R44976" s="178"/>
      <c r="S44976" s="178"/>
    </row>
    <row r="44977" spans="18:19">
      <c r="R44977" s="178"/>
      <c r="S44977" s="178"/>
    </row>
    <row r="44978" spans="18:19">
      <c r="R44978" s="178"/>
      <c r="S44978" s="178"/>
    </row>
    <row r="44979" spans="18:19">
      <c r="R44979" s="178"/>
      <c r="S44979" s="178"/>
    </row>
    <row r="44980" spans="18:19">
      <c r="R44980" s="178"/>
      <c r="S44980" s="178"/>
    </row>
    <row r="44981" spans="18:19">
      <c r="R44981" s="178"/>
      <c r="S44981" s="178"/>
    </row>
    <row r="44982" spans="18:19">
      <c r="R44982" s="178"/>
      <c r="S44982" s="178"/>
    </row>
    <row r="44983" spans="18:19">
      <c r="R44983" s="178"/>
      <c r="S44983" s="178"/>
    </row>
    <row r="44984" spans="18:19">
      <c r="R44984" s="178"/>
      <c r="S44984" s="178"/>
    </row>
    <row r="44985" spans="18:19">
      <c r="R44985" s="178"/>
      <c r="S44985" s="178"/>
    </row>
    <row r="44986" spans="18:19">
      <c r="R44986" s="178"/>
      <c r="S44986" s="178"/>
    </row>
    <row r="44987" spans="18:19">
      <c r="R44987" s="178"/>
      <c r="S44987" s="178"/>
    </row>
    <row r="44988" spans="18:19">
      <c r="R44988" s="178"/>
      <c r="S44988" s="178"/>
    </row>
    <row r="44989" spans="18:19">
      <c r="R44989" s="178"/>
      <c r="S44989" s="178"/>
    </row>
    <row r="44990" spans="18:19">
      <c r="R44990" s="178"/>
      <c r="S44990" s="178"/>
    </row>
    <row r="44991" spans="18:19">
      <c r="R44991" s="178"/>
      <c r="S44991" s="178"/>
    </row>
    <row r="44992" spans="18:19">
      <c r="R44992" s="178"/>
      <c r="S44992" s="178"/>
    </row>
    <row r="44993" spans="18:19">
      <c r="R44993" s="178"/>
      <c r="S44993" s="178"/>
    </row>
    <row r="44994" spans="18:19">
      <c r="R44994" s="178"/>
      <c r="S44994" s="178"/>
    </row>
    <row r="44995" spans="18:19">
      <c r="R44995" s="178"/>
      <c r="S44995" s="178"/>
    </row>
    <row r="44996" spans="18:19">
      <c r="R44996" s="178"/>
      <c r="S44996" s="178"/>
    </row>
    <row r="44997" spans="18:19">
      <c r="R44997" s="178"/>
      <c r="S44997" s="178"/>
    </row>
    <row r="44998" spans="18:19">
      <c r="R44998" s="178"/>
      <c r="S44998" s="178"/>
    </row>
    <row r="44999" spans="18:19">
      <c r="R44999" s="178"/>
      <c r="S44999" s="178"/>
    </row>
    <row r="45000" spans="18:19">
      <c r="R45000" s="178"/>
      <c r="S45000" s="178"/>
    </row>
    <row r="45001" spans="18:19">
      <c r="R45001" s="178"/>
      <c r="S45001" s="178"/>
    </row>
    <row r="45002" spans="18:19">
      <c r="R45002" s="178"/>
      <c r="S45002" s="178"/>
    </row>
    <row r="45003" spans="18:19">
      <c r="R45003" s="178"/>
      <c r="S45003" s="178"/>
    </row>
    <row r="45004" spans="18:19">
      <c r="R45004" s="178"/>
      <c r="S45004" s="178"/>
    </row>
    <row r="45005" spans="18:19">
      <c r="R45005" s="178"/>
      <c r="S45005" s="178"/>
    </row>
    <row r="45006" spans="18:19">
      <c r="R45006" s="178"/>
      <c r="S45006" s="178"/>
    </row>
    <row r="45007" spans="18:19">
      <c r="R45007" s="178"/>
      <c r="S45007" s="178"/>
    </row>
    <row r="45008" spans="18:19">
      <c r="R45008" s="178"/>
      <c r="S45008" s="178"/>
    </row>
    <row r="45009" spans="18:19">
      <c r="R45009" s="178"/>
      <c r="S45009" s="178"/>
    </row>
    <row r="45010" spans="18:19">
      <c r="R45010" s="178"/>
      <c r="S45010" s="178"/>
    </row>
    <row r="45011" spans="18:19">
      <c r="R45011" s="178"/>
      <c r="S45011" s="178"/>
    </row>
    <row r="45012" spans="18:19">
      <c r="R45012" s="178"/>
      <c r="S45012" s="178"/>
    </row>
    <row r="45013" spans="18:19">
      <c r="R45013" s="178"/>
      <c r="S45013" s="178"/>
    </row>
    <row r="45014" spans="18:19">
      <c r="R45014" s="178"/>
      <c r="S45014" s="178"/>
    </row>
    <row r="45015" spans="18:19">
      <c r="R45015" s="178"/>
      <c r="S45015" s="178"/>
    </row>
    <row r="45016" spans="18:19">
      <c r="R45016" s="178"/>
      <c r="S45016" s="178"/>
    </row>
    <row r="45017" spans="18:19">
      <c r="R45017" s="178"/>
      <c r="S45017" s="178"/>
    </row>
    <row r="45018" spans="18:19">
      <c r="R45018" s="178"/>
      <c r="S45018" s="178"/>
    </row>
    <row r="45019" spans="18:19">
      <c r="R45019" s="178"/>
      <c r="S45019" s="178"/>
    </row>
    <row r="45020" spans="18:19">
      <c r="R45020" s="178"/>
      <c r="S45020" s="178"/>
    </row>
    <row r="45021" spans="18:19">
      <c r="R45021" s="178"/>
      <c r="S45021" s="178"/>
    </row>
    <row r="45022" spans="18:19">
      <c r="R45022" s="178"/>
      <c r="S45022" s="178"/>
    </row>
    <row r="45023" spans="18:19">
      <c r="R45023" s="178"/>
      <c r="S45023" s="178"/>
    </row>
    <row r="45024" spans="18:19">
      <c r="R45024" s="178"/>
      <c r="S45024" s="178"/>
    </row>
    <row r="45025" spans="18:19">
      <c r="R45025" s="178"/>
      <c r="S45025" s="178"/>
    </row>
    <row r="45026" spans="18:19">
      <c r="R45026" s="178"/>
      <c r="S45026" s="178"/>
    </row>
    <row r="45027" spans="18:19">
      <c r="R45027" s="178"/>
      <c r="S45027" s="178"/>
    </row>
    <row r="45028" spans="18:19">
      <c r="R45028" s="178"/>
      <c r="S45028" s="178"/>
    </row>
    <row r="45029" spans="18:19">
      <c r="R45029" s="178"/>
      <c r="S45029" s="178"/>
    </row>
    <row r="45030" spans="18:19">
      <c r="R45030" s="178"/>
      <c r="S45030" s="178"/>
    </row>
    <row r="45031" spans="18:19">
      <c r="R45031" s="178"/>
      <c r="S45031" s="178"/>
    </row>
    <row r="45032" spans="18:19">
      <c r="R45032" s="178"/>
      <c r="S45032" s="178"/>
    </row>
    <row r="45033" spans="18:19">
      <c r="R45033" s="178"/>
      <c r="S45033" s="178"/>
    </row>
    <row r="45034" spans="18:19">
      <c r="R45034" s="178"/>
      <c r="S45034" s="178"/>
    </row>
    <row r="45035" spans="18:19">
      <c r="R45035" s="178"/>
      <c r="S45035" s="178"/>
    </row>
    <row r="45036" spans="18:19">
      <c r="R45036" s="178"/>
      <c r="S45036" s="178"/>
    </row>
    <row r="45037" spans="18:19">
      <c r="R45037" s="178"/>
      <c r="S45037" s="178"/>
    </row>
    <row r="45038" spans="18:19">
      <c r="R45038" s="178"/>
      <c r="S45038" s="178"/>
    </row>
    <row r="45039" spans="18:19">
      <c r="R45039" s="178"/>
      <c r="S45039" s="178"/>
    </row>
    <row r="45040" spans="18:19">
      <c r="R45040" s="178"/>
      <c r="S45040" s="178"/>
    </row>
    <row r="45041" spans="18:19">
      <c r="R45041" s="178"/>
      <c r="S45041" s="178"/>
    </row>
    <row r="45042" spans="18:19">
      <c r="R45042" s="178"/>
      <c r="S45042" s="178"/>
    </row>
    <row r="45043" spans="18:19">
      <c r="R45043" s="178"/>
      <c r="S45043" s="178"/>
    </row>
    <row r="45044" spans="18:19">
      <c r="R45044" s="178"/>
      <c r="S45044" s="178"/>
    </row>
    <row r="45045" spans="18:19">
      <c r="R45045" s="178"/>
      <c r="S45045" s="178"/>
    </row>
    <row r="45046" spans="18:19">
      <c r="R45046" s="178"/>
      <c r="S45046" s="178"/>
    </row>
    <row r="45047" spans="18:19">
      <c r="R45047" s="178"/>
      <c r="S45047" s="178"/>
    </row>
    <row r="45048" spans="18:19">
      <c r="R45048" s="178"/>
      <c r="S45048" s="178"/>
    </row>
    <row r="45049" spans="18:19">
      <c r="R45049" s="178"/>
      <c r="S45049" s="178"/>
    </row>
    <row r="45050" spans="18:19">
      <c r="R45050" s="178"/>
      <c r="S45050" s="178"/>
    </row>
    <row r="45051" spans="18:19">
      <c r="R45051" s="178"/>
      <c r="S45051" s="178"/>
    </row>
    <row r="45052" spans="18:19">
      <c r="R45052" s="178"/>
      <c r="S45052" s="178"/>
    </row>
    <row r="45053" spans="18:19">
      <c r="R45053" s="178"/>
      <c r="S45053" s="178"/>
    </row>
    <row r="45054" spans="18:19">
      <c r="R45054" s="178"/>
      <c r="S45054" s="178"/>
    </row>
    <row r="45055" spans="18:19">
      <c r="R45055" s="178"/>
      <c r="S45055" s="178"/>
    </row>
    <row r="45056" spans="18:19">
      <c r="R45056" s="178"/>
      <c r="S45056" s="178"/>
    </row>
    <row r="45057" spans="18:19">
      <c r="R45057" s="178"/>
      <c r="S45057" s="178"/>
    </row>
    <row r="45058" spans="18:19">
      <c r="R45058" s="178"/>
      <c r="S45058" s="178"/>
    </row>
    <row r="45059" spans="18:19">
      <c r="R45059" s="178"/>
      <c r="S45059" s="178"/>
    </row>
    <row r="45060" spans="18:19">
      <c r="R45060" s="178"/>
      <c r="S45060" s="178"/>
    </row>
    <row r="45061" spans="18:19">
      <c r="R45061" s="178"/>
      <c r="S45061" s="178"/>
    </row>
    <row r="45062" spans="18:19">
      <c r="R45062" s="178"/>
      <c r="S45062" s="178"/>
    </row>
    <row r="45063" spans="18:19">
      <c r="R45063" s="178"/>
      <c r="S45063" s="178"/>
    </row>
    <row r="45064" spans="18:19">
      <c r="R45064" s="178"/>
      <c r="S45064" s="178"/>
    </row>
    <row r="45065" spans="18:19">
      <c r="R45065" s="178"/>
      <c r="S45065" s="178"/>
    </row>
    <row r="45066" spans="18:19">
      <c r="R45066" s="178"/>
      <c r="S45066" s="178"/>
    </row>
    <row r="45067" spans="18:19">
      <c r="R45067" s="178"/>
      <c r="S45067" s="178"/>
    </row>
    <row r="45068" spans="18:19">
      <c r="R45068" s="178"/>
      <c r="S45068" s="178"/>
    </row>
    <row r="45069" spans="18:19">
      <c r="R45069" s="178"/>
      <c r="S45069" s="178"/>
    </row>
    <row r="45070" spans="18:19">
      <c r="R45070" s="178"/>
      <c r="S45070" s="178"/>
    </row>
    <row r="45071" spans="18:19">
      <c r="R45071" s="178"/>
      <c r="S45071" s="178"/>
    </row>
    <row r="45072" spans="18:19">
      <c r="R45072" s="178"/>
      <c r="S45072" s="178"/>
    </row>
    <row r="45073" spans="18:19">
      <c r="R45073" s="178"/>
      <c r="S45073" s="178"/>
    </row>
    <row r="45074" spans="18:19">
      <c r="R45074" s="178"/>
      <c r="S45074" s="178"/>
    </row>
    <row r="45075" spans="18:19">
      <c r="R45075" s="178"/>
      <c r="S45075" s="178"/>
    </row>
    <row r="45076" spans="18:19">
      <c r="R45076" s="178"/>
      <c r="S45076" s="178"/>
    </row>
    <row r="45077" spans="18:19">
      <c r="R45077" s="178"/>
      <c r="S45077" s="178"/>
    </row>
    <row r="45078" spans="18:19">
      <c r="R45078" s="178"/>
      <c r="S45078" s="178"/>
    </row>
    <row r="45079" spans="18:19">
      <c r="R45079" s="178"/>
      <c r="S45079" s="178"/>
    </row>
    <row r="45080" spans="18:19">
      <c r="R45080" s="178"/>
      <c r="S45080" s="178"/>
    </row>
    <row r="45081" spans="18:19">
      <c r="R45081" s="178"/>
      <c r="S45081" s="178"/>
    </row>
    <row r="45082" spans="18:19">
      <c r="R45082" s="178"/>
      <c r="S45082" s="178"/>
    </row>
    <row r="45083" spans="18:19">
      <c r="R45083" s="178"/>
      <c r="S45083" s="178"/>
    </row>
    <row r="45084" spans="18:19">
      <c r="R45084" s="178"/>
      <c r="S45084" s="178"/>
    </row>
    <row r="45085" spans="18:19">
      <c r="R45085" s="178"/>
      <c r="S45085" s="178"/>
    </row>
    <row r="45086" spans="18:19">
      <c r="R45086" s="178"/>
      <c r="S45086" s="178"/>
    </row>
    <row r="45087" spans="18:19">
      <c r="R45087" s="178"/>
      <c r="S45087" s="178"/>
    </row>
    <row r="45088" spans="18:19">
      <c r="R45088" s="178"/>
      <c r="S45088" s="178"/>
    </row>
    <row r="45089" spans="18:19">
      <c r="R45089" s="178"/>
      <c r="S45089" s="178"/>
    </row>
    <row r="45090" spans="18:19">
      <c r="R45090" s="178"/>
      <c r="S45090" s="178"/>
    </row>
    <row r="45091" spans="18:19">
      <c r="R45091" s="178"/>
      <c r="S45091" s="178"/>
    </row>
    <row r="45092" spans="18:19">
      <c r="R45092" s="178"/>
      <c r="S45092" s="178"/>
    </row>
    <row r="45093" spans="18:19">
      <c r="R45093" s="178"/>
      <c r="S45093" s="178"/>
    </row>
    <row r="45094" spans="18:19">
      <c r="R45094" s="178"/>
      <c r="S45094" s="178"/>
    </row>
    <row r="45095" spans="18:19">
      <c r="R45095" s="178"/>
      <c r="S45095" s="178"/>
    </row>
    <row r="45096" spans="18:19">
      <c r="R45096" s="178"/>
      <c r="S45096" s="178"/>
    </row>
    <row r="45097" spans="18:19">
      <c r="R45097" s="178"/>
      <c r="S45097" s="178"/>
    </row>
    <row r="45098" spans="18:19">
      <c r="R45098" s="178"/>
      <c r="S45098" s="178"/>
    </row>
    <row r="45099" spans="18:19">
      <c r="R45099" s="178"/>
      <c r="S45099" s="178"/>
    </row>
    <row r="45100" spans="18:19">
      <c r="R45100" s="178"/>
      <c r="S45100" s="178"/>
    </row>
    <row r="45101" spans="18:19">
      <c r="R45101" s="178"/>
      <c r="S45101" s="178"/>
    </row>
    <row r="45102" spans="18:19">
      <c r="R45102" s="178"/>
      <c r="S45102" s="178"/>
    </row>
    <row r="45103" spans="18:19">
      <c r="R45103" s="178"/>
      <c r="S45103" s="178"/>
    </row>
    <row r="45104" spans="18:19">
      <c r="R45104" s="178"/>
      <c r="S45104" s="178"/>
    </row>
    <row r="45105" spans="18:19">
      <c r="R45105" s="178"/>
      <c r="S45105" s="178"/>
    </row>
    <row r="45106" spans="18:19">
      <c r="R45106" s="178"/>
      <c r="S45106" s="178"/>
    </row>
    <row r="45107" spans="18:19">
      <c r="R45107" s="178"/>
      <c r="S45107" s="178"/>
    </row>
    <row r="45108" spans="18:19">
      <c r="R45108" s="178"/>
      <c r="S45108" s="178"/>
    </row>
    <row r="45109" spans="18:19">
      <c r="R45109" s="178"/>
      <c r="S45109" s="178"/>
    </row>
    <row r="45110" spans="18:19">
      <c r="R45110" s="178"/>
      <c r="S45110" s="178"/>
    </row>
    <row r="45111" spans="18:19">
      <c r="R45111" s="178"/>
      <c r="S45111" s="178"/>
    </row>
    <row r="45112" spans="18:19">
      <c r="R45112" s="178"/>
      <c r="S45112" s="178"/>
    </row>
    <row r="45113" spans="18:19">
      <c r="R45113" s="178"/>
      <c r="S45113" s="178"/>
    </row>
    <row r="45114" spans="18:19">
      <c r="R45114" s="178"/>
      <c r="S45114" s="178"/>
    </row>
    <row r="45115" spans="18:19">
      <c r="R45115" s="178"/>
      <c r="S45115" s="178"/>
    </row>
    <row r="45116" spans="18:19">
      <c r="R45116" s="178"/>
      <c r="S45116" s="178"/>
    </row>
    <row r="45117" spans="18:19">
      <c r="R45117" s="178"/>
      <c r="S45117" s="178"/>
    </row>
    <row r="45118" spans="18:19">
      <c r="R45118" s="178"/>
      <c r="S45118" s="178"/>
    </row>
    <row r="45119" spans="18:19">
      <c r="R45119" s="178"/>
      <c r="S45119" s="178"/>
    </row>
    <row r="45120" spans="18:19">
      <c r="R45120" s="178"/>
      <c r="S45120" s="178"/>
    </row>
    <row r="45121" spans="18:19">
      <c r="R45121" s="178"/>
      <c r="S45121" s="178"/>
    </row>
    <row r="45122" spans="18:19">
      <c r="R45122" s="178"/>
      <c r="S45122" s="178"/>
    </row>
    <row r="45123" spans="18:19">
      <c r="R45123" s="178"/>
      <c r="S45123" s="178"/>
    </row>
    <row r="45124" spans="18:19">
      <c r="R45124" s="178"/>
      <c r="S45124" s="178"/>
    </row>
    <row r="45125" spans="18:19">
      <c r="R45125" s="178"/>
      <c r="S45125" s="178"/>
    </row>
    <row r="45126" spans="18:19">
      <c r="R45126" s="178"/>
      <c r="S45126" s="178"/>
    </row>
    <row r="45127" spans="18:19">
      <c r="R45127" s="178"/>
      <c r="S45127" s="178"/>
    </row>
    <row r="45128" spans="18:19">
      <c r="R45128" s="178"/>
      <c r="S45128" s="178"/>
    </row>
    <row r="45129" spans="18:19">
      <c r="R45129" s="178"/>
      <c r="S45129" s="178"/>
    </row>
    <row r="45130" spans="18:19">
      <c r="R45130" s="178"/>
      <c r="S45130" s="178"/>
    </row>
    <row r="45131" spans="18:19">
      <c r="R45131" s="178"/>
      <c r="S45131" s="178"/>
    </row>
    <row r="45132" spans="18:19">
      <c r="R45132" s="178"/>
      <c r="S45132" s="178"/>
    </row>
    <row r="45133" spans="18:19">
      <c r="R45133" s="178"/>
      <c r="S45133" s="178"/>
    </row>
    <row r="45134" spans="18:19">
      <c r="R45134" s="178"/>
      <c r="S45134" s="178"/>
    </row>
    <row r="45135" spans="18:19">
      <c r="R45135" s="178"/>
      <c r="S45135" s="178"/>
    </row>
    <row r="45136" spans="18:19">
      <c r="R45136" s="178"/>
      <c r="S45136" s="178"/>
    </row>
    <row r="45137" spans="18:19">
      <c r="R45137" s="178"/>
      <c r="S45137" s="178"/>
    </row>
    <row r="45138" spans="18:19">
      <c r="R45138" s="178"/>
      <c r="S45138" s="178"/>
    </row>
    <row r="45139" spans="18:19">
      <c r="R45139" s="178"/>
      <c r="S45139" s="178"/>
    </row>
    <row r="45140" spans="18:19">
      <c r="R45140" s="178"/>
      <c r="S45140" s="178"/>
    </row>
    <row r="45141" spans="18:19">
      <c r="R45141" s="178"/>
      <c r="S45141" s="178"/>
    </row>
    <row r="45142" spans="18:19">
      <c r="R45142" s="178"/>
      <c r="S45142" s="178"/>
    </row>
    <row r="45143" spans="18:19">
      <c r="R45143" s="178"/>
      <c r="S45143" s="178"/>
    </row>
    <row r="45144" spans="18:19">
      <c r="R45144" s="178"/>
      <c r="S45144" s="178"/>
    </row>
    <row r="45145" spans="18:19">
      <c r="R45145" s="178"/>
      <c r="S45145" s="178"/>
    </row>
    <row r="45146" spans="18:19">
      <c r="R45146" s="178"/>
      <c r="S45146" s="178"/>
    </row>
    <row r="45147" spans="18:19">
      <c r="R45147" s="178"/>
      <c r="S45147" s="178"/>
    </row>
    <row r="45148" spans="18:19">
      <c r="R45148" s="178"/>
      <c r="S45148" s="178"/>
    </row>
    <row r="45149" spans="18:19">
      <c r="R45149" s="178"/>
      <c r="S45149" s="178"/>
    </row>
    <row r="45150" spans="18:19">
      <c r="R45150" s="178"/>
      <c r="S45150" s="178"/>
    </row>
    <row r="45151" spans="18:19">
      <c r="R45151" s="178"/>
      <c r="S45151" s="178"/>
    </row>
    <row r="45152" spans="18:19">
      <c r="R45152" s="178"/>
      <c r="S45152" s="178"/>
    </row>
    <row r="45153" spans="18:19">
      <c r="R45153" s="178"/>
      <c r="S45153" s="178"/>
    </row>
    <row r="45154" spans="18:19">
      <c r="R45154" s="178"/>
      <c r="S45154" s="178"/>
    </row>
    <row r="45155" spans="18:19">
      <c r="R45155" s="178"/>
      <c r="S45155" s="178"/>
    </row>
    <row r="45156" spans="18:19">
      <c r="R45156" s="178"/>
      <c r="S45156" s="178"/>
    </row>
    <row r="45157" spans="18:19">
      <c r="R45157" s="178"/>
      <c r="S45157" s="178"/>
    </row>
    <row r="45158" spans="18:19">
      <c r="R45158" s="178"/>
      <c r="S45158" s="178"/>
    </row>
    <row r="45159" spans="18:19">
      <c r="R45159" s="178"/>
      <c r="S45159" s="178"/>
    </row>
    <row r="45160" spans="18:19">
      <c r="R45160" s="178"/>
      <c r="S45160" s="178"/>
    </row>
    <row r="45161" spans="18:19">
      <c r="R45161" s="178"/>
      <c r="S45161" s="178"/>
    </row>
    <row r="45162" spans="18:19">
      <c r="R45162" s="178"/>
      <c r="S45162" s="178"/>
    </row>
    <row r="45163" spans="18:19">
      <c r="R45163" s="178"/>
      <c r="S45163" s="178"/>
    </row>
    <row r="45164" spans="18:19">
      <c r="R45164" s="178"/>
      <c r="S45164" s="178"/>
    </row>
    <row r="45165" spans="18:19">
      <c r="R45165" s="178"/>
      <c r="S45165" s="178"/>
    </row>
    <row r="45166" spans="18:19">
      <c r="R45166" s="178"/>
      <c r="S45166" s="178"/>
    </row>
    <row r="45167" spans="18:19">
      <c r="R45167" s="178"/>
      <c r="S45167" s="178"/>
    </row>
    <row r="45168" spans="18:19">
      <c r="R45168" s="178"/>
      <c r="S45168" s="178"/>
    </row>
    <row r="45169" spans="18:19">
      <c r="R45169" s="178"/>
      <c r="S45169" s="178"/>
    </row>
    <row r="45170" spans="18:19">
      <c r="R45170" s="178"/>
      <c r="S45170" s="178"/>
    </row>
    <row r="45171" spans="18:19">
      <c r="R45171" s="178"/>
      <c r="S45171" s="178"/>
    </row>
    <row r="45172" spans="18:19">
      <c r="R45172" s="178"/>
      <c r="S45172" s="178"/>
    </row>
    <row r="45173" spans="18:19">
      <c r="R45173" s="178"/>
      <c r="S45173" s="178"/>
    </row>
    <row r="45174" spans="18:19">
      <c r="R45174" s="178"/>
      <c r="S45174" s="178"/>
    </row>
    <row r="45175" spans="18:19">
      <c r="R45175" s="178"/>
      <c r="S45175" s="178"/>
    </row>
    <row r="45176" spans="18:19">
      <c r="R45176" s="178"/>
      <c r="S45176" s="178"/>
    </row>
    <row r="45177" spans="18:19">
      <c r="R45177" s="178"/>
      <c r="S45177" s="178"/>
    </row>
    <row r="45178" spans="18:19">
      <c r="R45178" s="178"/>
      <c r="S45178" s="178"/>
    </row>
    <row r="45179" spans="18:19">
      <c r="R45179" s="178"/>
      <c r="S45179" s="178"/>
    </row>
    <row r="45180" spans="18:19">
      <c r="R45180" s="178"/>
      <c r="S45180" s="178"/>
    </row>
    <row r="45181" spans="18:19">
      <c r="R45181" s="178"/>
      <c r="S45181" s="178"/>
    </row>
    <row r="45182" spans="18:19">
      <c r="R45182" s="178"/>
      <c r="S45182" s="178"/>
    </row>
    <row r="45183" spans="18:19">
      <c r="R45183" s="178"/>
      <c r="S45183" s="178"/>
    </row>
    <row r="45184" spans="18:19">
      <c r="R45184" s="178"/>
      <c r="S45184" s="178"/>
    </row>
    <row r="45185" spans="18:19">
      <c r="R45185" s="178"/>
      <c r="S45185" s="178"/>
    </row>
    <row r="45186" spans="18:19">
      <c r="R45186" s="178"/>
      <c r="S45186" s="178"/>
    </row>
    <row r="45187" spans="18:19">
      <c r="R45187" s="178"/>
      <c r="S45187" s="178"/>
    </row>
    <row r="45188" spans="18:19">
      <c r="R45188" s="178"/>
      <c r="S45188" s="178"/>
    </row>
    <row r="45189" spans="18:19">
      <c r="R45189" s="178"/>
      <c r="S45189" s="178"/>
    </row>
    <row r="45190" spans="18:19">
      <c r="R45190" s="178"/>
      <c r="S45190" s="178"/>
    </row>
    <row r="45191" spans="18:19">
      <c r="R45191" s="178"/>
      <c r="S45191" s="178"/>
    </row>
    <row r="45192" spans="18:19">
      <c r="R45192" s="178"/>
      <c r="S45192" s="178"/>
    </row>
    <row r="45193" spans="18:19">
      <c r="R45193" s="178"/>
      <c r="S45193" s="178"/>
    </row>
    <row r="45194" spans="18:19">
      <c r="R45194" s="178"/>
      <c r="S45194" s="178"/>
    </row>
    <row r="45195" spans="18:19">
      <c r="R45195" s="178"/>
      <c r="S45195" s="178"/>
    </row>
    <row r="45196" spans="18:19">
      <c r="R45196" s="178"/>
      <c r="S45196" s="178"/>
    </row>
    <row r="45197" spans="18:19">
      <c r="R45197" s="178"/>
      <c r="S45197" s="178"/>
    </row>
    <row r="45198" spans="18:19">
      <c r="R45198" s="178"/>
      <c r="S45198" s="178"/>
    </row>
    <row r="45199" spans="18:19">
      <c r="R45199" s="178"/>
      <c r="S45199" s="178"/>
    </row>
    <row r="45200" spans="18:19">
      <c r="R45200" s="178"/>
      <c r="S45200" s="178"/>
    </row>
    <row r="45201" spans="18:19">
      <c r="R45201" s="178"/>
      <c r="S45201" s="178"/>
    </row>
    <row r="45202" spans="18:19">
      <c r="R45202" s="178"/>
      <c r="S45202" s="178"/>
    </row>
    <row r="45203" spans="18:19">
      <c r="R45203" s="178"/>
      <c r="S45203" s="178"/>
    </row>
    <row r="45204" spans="18:19">
      <c r="R45204" s="178"/>
      <c r="S45204" s="178"/>
    </row>
    <row r="45205" spans="18:19">
      <c r="R45205" s="178"/>
      <c r="S45205" s="178"/>
    </row>
    <row r="45206" spans="18:19">
      <c r="R45206" s="178"/>
      <c r="S45206" s="178"/>
    </row>
    <row r="45207" spans="18:19">
      <c r="R45207" s="178"/>
      <c r="S45207" s="178"/>
    </row>
    <row r="45208" spans="18:19">
      <c r="R45208" s="178"/>
      <c r="S45208" s="178"/>
    </row>
    <row r="45209" spans="18:19">
      <c r="R45209" s="178"/>
      <c r="S45209" s="178"/>
    </row>
    <row r="45210" spans="18:19">
      <c r="R45210" s="178"/>
      <c r="S45210" s="178"/>
    </row>
    <row r="45211" spans="18:19">
      <c r="R45211" s="178"/>
      <c r="S45211" s="178"/>
    </row>
    <row r="45212" spans="18:19">
      <c r="R45212" s="178"/>
      <c r="S45212" s="178"/>
    </row>
    <row r="45213" spans="18:19">
      <c r="R45213" s="178"/>
      <c r="S45213" s="178"/>
    </row>
    <row r="45214" spans="18:19">
      <c r="R45214" s="178"/>
      <c r="S45214" s="178"/>
    </row>
    <row r="45215" spans="18:19">
      <c r="R45215" s="178"/>
      <c r="S45215" s="178"/>
    </row>
    <row r="45216" spans="18:19">
      <c r="R45216" s="178"/>
      <c r="S45216" s="178"/>
    </row>
    <row r="45217" spans="18:19">
      <c r="R45217" s="178"/>
      <c r="S45217" s="178"/>
    </row>
    <row r="45218" spans="18:19">
      <c r="R45218" s="178"/>
      <c r="S45218" s="178"/>
    </row>
    <row r="45219" spans="18:19">
      <c r="R45219" s="178"/>
      <c r="S45219" s="178"/>
    </row>
    <row r="45220" spans="18:19">
      <c r="R45220" s="178"/>
      <c r="S45220" s="178"/>
    </row>
    <row r="45221" spans="18:19">
      <c r="R45221" s="178"/>
      <c r="S45221" s="178"/>
    </row>
    <row r="45222" spans="18:19">
      <c r="R45222" s="178"/>
      <c r="S45222" s="178"/>
    </row>
    <row r="45223" spans="18:19">
      <c r="R45223" s="178"/>
      <c r="S45223" s="178"/>
    </row>
    <row r="45224" spans="18:19">
      <c r="R45224" s="178"/>
      <c r="S45224" s="178"/>
    </row>
    <row r="45225" spans="18:19">
      <c r="R45225" s="178"/>
      <c r="S45225" s="178"/>
    </row>
    <row r="45226" spans="18:19">
      <c r="R45226" s="178"/>
      <c r="S45226" s="178"/>
    </row>
    <row r="45227" spans="18:19">
      <c r="R45227" s="178"/>
      <c r="S45227" s="178"/>
    </row>
    <row r="45228" spans="18:19">
      <c r="R45228" s="178"/>
      <c r="S45228" s="178"/>
    </row>
    <row r="45229" spans="18:19">
      <c r="R45229" s="178"/>
      <c r="S45229" s="178"/>
    </row>
    <row r="45230" spans="18:19">
      <c r="R45230" s="178"/>
      <c r="S45230" s="178"/>
    </row>
    <row r="45231" spans="18:19">
      <c r="R45231" s="178"/>
      <c r="S45231" s="178"/>
    </row>
    <row r="45232" spans="18:19">
      <c r="R45232" s="178"/>
      <c r="S45232" s="178"/>
    </row>
    <row r="45233" spans="18:19">
      <c r="R45233" s="178"/>
      <c r="S45233" s="178"/>
    </row>
    <row r="45234" spans="18:19">
      <c r="R45234" s="178"/>
      <c r="S45234" s="178"/>
    </row>
    <row r="45235" spans="18:19">
      <c r="R45235" s="178"/>
      <c r="S45235" s="178"/>
    </row>
    <row r="45236" spans="18:19">
      <c r="R45236" s="178"/>
      <c r="S45236" s="178"/>
    </row>
    <row r="45237" spans="18:19">
      <c r="R45237" s="178"/>
      <c r="S45237" s="178"/>
    </row>
    <row r="45238" spans="18:19">
      <c r="R45238" s="178"/>
      <c r="S45238" s="178"/>
    </row>
    <row r="45239" spans="18:19">
      <c r="R45239" s="178"/>
      <c r="S45239" s="178"/>
    </row>
    <row r="45240" spans="18:19">
      <c r="R45240" s="178"/>
      <c r="S45240" s="178"/>
    </row>
    <row r="45241" spans="18:19">
      <c r="R45241" s="178"/>
      <c r="S45241" s="178"/>
    </row>
    <row r="45242" spans="18:19">
      <c r="R45242" s="178"/>
      <c r="S45242" s="178"/>
    </row>
    <row r="45243" spans="18:19">
      <c r="R45243" s="178"/>
      <c r="S45243" s="178"/>
    </row>
    <row r="45244" spans="18:19">
      <c r="R45244" s="178"/>
      <c r="S45244" s="178"/>
    </row>
    <row r="45245" spans="18:19">
      <c r="R45245" s="178"/>
      <c r="S45245" s="178"/>
    </row>
    <row r="45246" spans="18:19">
      <c r="R45246" s="178"/>
      <c r="S45246" s="178"/>
    </row>
    <row r="45247" spans="18:19">
      <c r="R45247" s="178"/>
      <c r="S45247" s="178"/>
    </row>
    <row r="45248" spans="18:19">
      <c r="R45248" s="178"/>
      <c r="S45248" s="178"/>
    </row>
    <row r="45249" spans="18:19">
      <c r="R45249" s="178"/>
      <c r="S45249" s="178"/>
    </row>
    <row r="45250" spans="18:19">
      <c r="R45250" s="178"/>
      <c r="S45250" s="178"/>
    </row>
    <row r="45251" spans="18:19">
      <c r="R45251" s="178"/>
      <c r="S45251" s="178"/>
    </row>
    <row r="45252" spans="18:19">
      <c r="R45252" s="178"/>
      <c r="S45252" s="178"/>
    </row>
    <row r="45253" spans="18:19">
      <c r="R45253" s="178"/>
      <c r="S45253" s="178"/>
    </row>
    <row r="45254" spans="18:19">
      <c r="R45254" s="178"/>
      <c r="S45254" s="178"/>
    </row>
    <row r="45255" spans="18:19">
      <c r="R45255" s="178"/>
      <c r="S45255" s="178"/>
    </row>
    <row r="45256" spans="18:19">
      <c r="R45256" s="178"/>
      <c r="S45256" s="178"/>
    </row>
    <row r="45257" spans="18:19">
      <c r="R45257" s="178"/>
      <c r="S45257" s="178"/>
    </row>
    <row r="45258" spans="18:19">
      <c r="R45258" s="178"/>
      <c r="S45258" s="178"/>
    </row>
    <row r="45259" spans="18:19">
      <c r="R45259" s="178"/>
      <c r="S45259" s="178"/>
    </row>
    <row r="45260" spans="18:19">
      <c r="R45260" s="178"/>
      <c r="S45260" s="178"/>
    </row>
    <row r="45261" spans="18:19">
      <c r="R45261" s="178"/>
      <c r="S45261" s="178"/>
    </row>
    <row r="45262" spans="18:19">
      <c r="R45262" s="178"/>
      <c r="S45262" s="178"/>
    </row>
    <row r="45263" spans="18:19">
      <c r="R45263" s="178"/>
      <c r="S45263" s="178"/>
    </row>
    <row r="45264" spans="18:19">
      <c r="R45264" s="178"/>
      <c r="S45264" s="178"/>
    </row>
    <row r="45265" spans="18:19">
      <c r="R45265" s="178"/>
      <c r="S45265" s="178"/>
    </row>
    <row r="45266" spans="18:19">
      <c r="R45266" s="178"/>
      <c r="S45266" s="178"/>
    </row>
    <row r="45267" spans="18:19">
      <c r="R45267" s="178"/>
      <c r="S45267" s="178"/>
    </row>
    <row r="45268" spans="18:19">
      <c r="R45268" s="178"/>
      <c r="S45268" s="178"/>
    </row>
    <row r="45269" spans="18:19">
      <c r="R45269" s="178"/>
      <c r="S45269" s="178"/>
    </row>
    <row r="45270" spans="18:19">
      <c r="R45270" s="178"/>
      <c r="S45270" s="178"/>
    </row>
    <row r="45271" spans="18:19">
      <c r="R45271" s="178"/>
      <c r="S45271" s="178"/>
    </row>
    <row r="45272" spans="18:19">
      <c r="R45272" s="178"/>
      <c r="S45272" s="178"/>
    </row>
    <row r="45273" spans="18:19">
      <c r="R45273" s="178"/>
      <c r="S45273" s="178"/>
    </row>
    <row r="45274" spans="18:19">
      <c r="R45274" s="178"/>
      <c r="S45274" s="178"/>
    </row>
    <row r="45275" spans="18:19">
      <c r="R45275" s="178"/>
      <c r="S45275" s="178"/>
    </row>
    <row r="45276" spans="18:19">
      <c r="R45276" s="178"/>
      <c r="S45276" s="178"/>
    </row>
    <row r="45277" spans="18:19">
      <c r="R45277" s="178"/>
      <c r="S45277" s="178"/>
    </row>
    <row r="45278" spans="18:19">
      <c r="R45278" s="178"/>
      <c r="S45278" s="178"/>
    </row>
    <row r="45279" spans="18:19">
      <c r="R45279" s="178"/>
      <c r="S45279" s="178"/>
    </row>
    <row r="45280" spans="18:19">
      <c r="R45280" s="178"/>
      <c r="S45280" s="178"/>
    </row>
    <row r="45281" spans="18:19">
      <c r="R45281" s="178"/>
      <c r="S45281" s="178"/>
    </row>
    <row r="45282" spans="18:19">
      <c r="R45282" s="178"/>
      <c r="S45282" s="178"/>
    </row>
    <row r="45283" spans="18:19">
      <c r="R45283" s="178"/>
      <c r="S45283" s="178"/>
    </row>
    <row r="45284" spans="18:19">
      <c r="R45284" s="178"/>
      <c r="S45284" s="178"/>
    </row>
    <row r="45285" spans="18:19">
      <c r="R45285" s="178"/>
      <c r="S45285" s="178"/>
    </row>
    <row r="45286" spans="18:19">
      <c r="R45286" s="178"/>
      <c r="S45286" s="178"/>
    </row>
    <row r="45287" spans="18:19">
      <c r="R45287" s="178"/>
      <c r="S45287" s="178"/>
    </row>
    <row r="45288" spans="18:19">
      <c r="R45288" s="178"/>
      <c r="S45288" s="178"/>
    </row>
    <row r="45289" spans="18:19">
      <c r="R45289" s="178"/>
      <c r="S45289" s="178"/>
    </row>
    <row r="45290" spans="18:19">
      <c r="R45290" s="178"/>
      <c r="S45290" s="178"/>
    </row>
    <row r="45291" spans="18:19">
      <c r="R45291" s="178"/>
      <c r="S45291" s="178"/>
    </row>
    <row r="45292" spans="18:19">
      <c r="R45292" s="178"/>
      <c r="S45292" s="178"/>
    </row>
    <row r="45293" spans="18:19">
      <c r="R45293" s="178"/>
      <c r="S45293" s="178"/>
    </row>
    <row r="45294" spans="18:19">
      <c r="R45294" s="178"/>
      <c r="S45294" s="178"/>
    </row>
    <row r="45295" spans="18:19">
      <c r="R45295" s="178"/>
      <c r="S45295" s="178"/>
    </row>
    <row r="45296" spans="18:19">
      <c r="R45296" s="178"/>
      <c r="S45296" s="178"/>
    </row>
    <row r="45297" spans="18:19">
      <c r="R45297" s="178"/>
      <c r="S45297" s="178"/>
    </row>
    <row r="45298" spans="18:19">
      <c r="R45298" s="178"/>
      <c r="S45298" s="178"/>
    </row>
    <row r="45299" spans="18:19">
      <c r="R45299" s="178"/>
      <c r="S45299" s="178"/>
    </row>
    <row r="45300" spans="18:19">
      <c r="R45300" s="178"/>
      <c r="S45300" s="178"/>
    </row>
    <row r="45301" spans="18:19">
      <c r="R45301" s="178"/>
      <c r="S45301" s="178"/>
    </row>
    <row r="45302" spans="18:19">
      <c r="R45302" s="178"/>
      <c r="S45302" s="178"/>
    </row>
    <row r="45303" spans="18:19">
      <c r="R45303" s="178"/>
      <c r="S45303" s="178"/>
    </row>
    <row r="45304" spans="18:19">
      <c r="R45304" s="178"/>
      <c r="S45304" s="178"/>
    </row>
    <row r="45305" spans="18:19">
      <c r="R45305" s="178"/>
      <c r="S45305" s="178"/>
    </row>
    <row r="45306" spans="18:19">
      <c r="R45306" s="178"/>
      <c r="S45306" s="178"/>
    </row>
    <row r="45307" spans="18:19">
      <c r="R45307" s="178"/>
      <c r="S45307" s="178"/>
    </row>
    <row r="45308" spans="18:19">
      <c r="R45308" s="178"/>
      <c r="S45308" s="178"/>
    </row>
    <row r="45309" spans="18:19">
      <c r="R45309" s="178"/>
      <c r="S45309" s="178"/>
    </row>
    <row r="45310" spans="18:19">
      <c r="R45310" s="178"/>
      <c r="S45310" s="178"/>
    </row>
    <row r="45311" spans="18:19">
      <c r="R45311" s="178"/>
      <c r="S45311" s="178"/>
    </row>
    <row r="45312" spans="18:19">
      <c r="R45312" s="178"/>
      <c r="S45312" s="178"/>
    </row>
    <row r="45313" spans="18:19">
      <c r="R45313" s="178"/>
      <c r="S45313" s="178"/>
    </row>
    <row r="45314" spans="18:19">
      <c r="R45314" s="178"/>
      <c r="S45314" s="178"/>
    </row>
    <row r="45315" spans="18:19">
      <c r="R45315" s="178"/>
      <c r="S45315" s="178"/>
    </row>
    <row r="45316" spans="18:19">
      <c r="R45316" s="178"/>
      <c r="S45316" s="178"/>
    </row>
    <row r="45317" spans="18:19">
      <c r="R45317" s="178"/>
      <c r="S45317" s="178"/>
    </row>
    <row r="45318" spans="18:19">
      <c r="R45318" s="178"/>
      <c r="S45318" s="178"/>
    </row>
    <row r="45319" spans="18:19">
      <c r="R45319" s="178"/>
      <c r="S45319" s="178"/>
    </row>
    <row r="45320" spans="18:19">
      <c r="R45320" s="178"/>
      <c r="S45320" s="178"/>
    </row>
    <row r="45321" spans="18:19">
      <c r="R45321" s="178"/>
      <c r="S45321" s="178"/>
    </row>
    <row r="45322" spans="18:19">
      <c r="R45322" s="178"/>
      <c r="S45322" s="178"/>
    </row>
    <row r="45323" spans="18:19">
      <c r="R45323" s="178"/>
      <c r="S45323" s="178"/>
    </row>
    <row r="45324" spans="18:19">
      <c r="R45324" s="178"/>
      <c r="S45324" s="178"/>
    </row>
    <row r="45325" spans="18:19">
      <c r="R45325" s="178"/>
      <c r="S45325" s="178"/>
    </row>
    <row r="45326" spans="18:19">
      <c r="R45326" s="178"/>
      <c r="S45326" s="178"/>
    </row>
    <row r="45327" spans="18:19">
      <c r="R45327" s="178"/>
      <c r="S45327" s="178"/>
    </row>
    <row r="45328" spans="18:19">
      <c r="R45328" s="178"/>
      <c r="S45328" s="178"/>
    </row>
    <row r="45329" spans="18:19">
      <c r="R45329" s="178"/>
      <c r="S45329" s="178"/>
    </row>
    <row r="45330" spans="18:19">
      <c r="R45330" s="178"/>
      <c r="S45330" s="178"/>
    </row>
    <row r="45331" spans="18:19">
      <c r="R45331" s="178"/>
      <c r="S45331" s="178"/>
    </row>
    <row r="45332" spans="18:19">
      <c r="R45332" s="178"/>
      <c r="S45332" s="178"/>
    </row>
    <row r="45333" spans="18:19">
      <c r="R45333" s="178"/>
      <c r="S45333" s="178"/>
    </row>
    <row r="45334" spans="18:19">
      <c r="R45334" s="178"/>
      <c r="S45334" s="178"/>
    </row>
    <row r="45335" spans="18:19">
      <c r="R45335" s="178"/>
      <c r="S45335" s="178"/>
    </row>
    <row r="45336" spans="18:19">
      <c r="R45336" s="178"/>
      <c r="S45336" s="178"/>
    </row>
    <row r="45337" spans="18:19">
      <c r="R45337" s="178"/>
      <c r="S45337" s="178"/>
    </row>
    <row r="45338" spans="18:19">
      <c r="R45338" s="178"/>
      <c r="S45338" s="178"/>
    </row>
    <row r="45339" spans="18:19">
      <c r="R45339" s="178"/>
      <c r="S45339" s="178"/>
    </row>
    <row r="45340" spans="18:19">
      <c r="R45340" s="178"/>
      <c r="S45340" s="178"/>
    </row>
    <row r="45341" spans="18:19">
      <c r="R45341" s="178"/>
      <c r="S45341" s="178"/>
    </row>
    <row r="45342" spans="18:19">
      <c r="R45342" s="178"/>
      <c r="S45342" s="178"/>
    </row>
    <row r="45343" spans="18:19">
      <c r="R45343" s="178"/>
      <c r="S45343" s="178"/>
    </row>
    <row r="45344" spans="18:19">
      <c r="R45344" s="178"/>
      <c r="S45344" s="178"/>
    </row>
    <row r="45345" spans="18:19">
      <c r="R45345" s="178"/>
      <c r="S45345" s="178"/>
    </row>
    <row r="45346" spans="18:19">
      <c r="R45346" s="178"/>
      <c r="S45346" s="178"/>
    </row>
    <row r="45347" spans="18:19">
      <c r="R45347" s="178"/>
      <c r="S45347" s="178"/>
    </row>
    <row r="45348" spans="18:19">
      <c r="R45348" s="178"/>
      <c r="S45348" s="178"/>
    </row>
    <row r="45349" spans="18:19">
      <c r="R45349" s="178"/>
      <c r="S45349" s="178"/>
    </row>
    <row r="45350" spans="18:19">
      <c r="R45350" s="178"/>
      <c r="S45350" s="178"/>
    </row>
    <row r="45351" spans="18:19">
      <c r="R45351" s="178"/>
      <c r="S45351" s="178"/>
    </row>
    <row r="45352" spans="18:19">
      <c r="R45352" s="178"/>
      <c r="S45352" s="178"/>
    </row>
    <row r="45353" spans="18:19">
      <c r="R45353" s="178"/>
      <c r="S45353" s="178"/>
    </row>
    <row r="45354" spans="18:19">
      <c r="R45354" s="178"/>
      <c r="S45354" s="178"/>
    </row>
    <row r="45355" spans="18:19">
      <c r="R45355" s="178"/>
      <c r="S45355" s="178"/>
    </row>
    <row r="45356" spans="18:19">
      <c r="R45356" s="178"/>
      <c r="S45356" s="178"/>
    </row>
    <row r="45357" spans="18:19">
      <c r="R45357" s="178"/>
      <c r="S45357" s="178"/>
    </row>
    <row r="45358" spans="18:19">
      <c r="R45358" s="178"/>
      <c r="S45358" s="178"/>
    </row>
    <row r="45359" spans="18:19">
      <c r="R45359" s="178"/>
      <c r="S45359" s="178"/>
    </row>
    <row r="45360" spans="18:19">
      <c r="R45360" s="178"/>
      <c r="S45360" s="178"/>
    </row>
    <row r="45361" spans="18:19">
      <c r="R45361" s="178"/>
      <c r="S45361" s="178"/>
    </row>
    <row r="45362" spans="18:19">
      <c r="R45362" s="178"/>
      <c r="S45362" s="178"/>
    </row>
    <row r="45363" spans="18:19">
      <c r="R45363" s="178"/>
      <c r="S45363" s="178"/>
    </row>
    <row r="45364" spans="18:19">
      <c r="R45364" s="178"/>
      <c r="S45364" s="178"/>
    </row>
    <row r="45365" spans="18:19">
      <c r="R45365" s="178"/>
      <c r="S45365" s="178"/>
    </row>
    <row r="45366" spans="18:19">
      <c r="R45366" s="178"/>
      <c r="S45366" s="178"/>
    </row>
    <row r="45367" spans="18:19">
      <c r="R45367" s="178"/>
      <c r="S45367" s="178"/>
    </row>
    <row r="45368" spans="18:19">
      <c r="R45368" s="178"/>
      <c r="S45368" s="178"/>
    </row>
    <row r="45369" spans="18:19">
      <c r="R45369" s="178"/>
      <c r="S45369" s="178"/>
    </row>
    <row r="45370" spans="18:19">
      <c r="R45370" s="178"/>
      <c r="S45370" s="178"/>
    </row>
    <row r="45371" spans="18:19">
      <c r="R45371" s="178"/>
      <c r="S45371" s="178"/>
    </row>
    <row r="45372" spans="18:19">
      <c r="R45372" s="178"/>
      <c r="S45372" s="178"/>
    </row>
    <row r="45373" spans="18:19">
      <c r="R45373" s="178"/>
      <c r="S45373" s="178"/>
    </row>
    <row r="45374" spans="18:19">
      <c r="R45374" s="178"/>
      <c r="S45374" s="178"/>
    </row>
    <row r="45375" spans="18:19">
      <c r="R45375" s="178"/>
      <c r="S45375" s="178"/>
    </row>
    <row r="45376" spans="18:19">
      <c r="R45376" s="178"/>
      <c r="S45376" s="178"/>
    </row>
    <row r="45377" spans="18:19">
      <c r="R45377" s="178"/>
      <c r="S45377" s="178"/>
    </row>
    <row r="45378" spans="18:19">
      <c r="R45378" s="178"/>
      <c r="S45378" s="178"/>
    </row>
    <row r="45379" spans="18:19">
      <c r="R45379" s="178"/>
      <c r="S45379" s="178"/>
    </row>
    <row r="45380" spans="18:19">
      <c r="R45380" s="178"/>
      <c r="S45380" s="178"/>
    </row>
    <row r="45381" spans="18:19">
      <c r="R45381" s="178"/>
      <c r="S45381" s="178"/>
    </row>
    <row r="45382" spans="18:19">
      <c r="R45382" s="178"/>
      <c r="S45382" s="178"/>
    </row>
    <row r="45383" spans="18:19">
      <c r="R45383" s="178"/>
      <c r="S45383" s="178"/>
    </row>
    <row r="45384" spans="18:19">
      <c r="R45384" s="178"/>
      <c r="S45384" s="178"/>
    </row>
    <row r="45385" spans="18:19">
      <c r="R45385" s="178"/>
      <c r="S45385" s="178"/>
    </row>
    <row r="45386" spans="18:19">
      <c r="R45386" s="178"/>
      <c r="S45386" s="178"/>
    </row>
    <row r="45387" spans="18:19">
      <c r="R45387" s="178"/>
      <c r="S45387" s="178"/>
    </row>
    <row r="45388" spans="18:19">
      <c r="R45388" s="178"/>
      <c r="S45388" s="178"/>
    </row>
    <row r="45389" spans="18:19">
      <c r="R45389" s="178"/>
      <c r="S45389" s="178"/>
    </row>
    <row r="45390" spans="18:19">
      <c r="R45390" s="178"/>
      <c r="S45390" s="178"/>
    </row>
    <row r="45391" spans="18:19">
      <c r="R45391" s="178"/>
      <c r="S45391" s="178"/>
    </row>
    <row r="45392" spans="18:19">
      <c r="R45392" s="178"/>
      <c r="S45392" s="178"/>
    </row>
    <row r="45393" spans="18:19">
      <c r="R45393" s="178"/>
      <c r="S45393" s="178"/>
    </row>
    <row r="45394" spans="18:19">
      <c r="R45394" s="178"/>
      <c r="S45394" s="178"/>
    </row>
    <row r="45395" spans="18:19">
      <c r="R45395" s="178"/>
      <c r="S45395" s="178"/>
    </row>
    <row r="45396" spans="18:19">
      <c r="R45396" s="178"/>
      <c r="S45396" s="178"/>
    </row>
    <row r="45397" spans="18:19">
      <c r="R45397" s="178"/>
      <c r="S45397" s="178"/>
    </row>
    <row r="45398" spans="18:19">
      <c r="R45398" s="178"/>
      <c r="S45398" s="178"/>
    </row>
    <row r="45399" spans="18:19">
      <c r="R45399" s="178"/>
      <c r="S45399" s="178"/>
    </row>
    <row r="45400" spans="18:19">
      <c r="R45400" s="178"/>
      <c r="S45400" s="178"/>
    </row>
    <row r="45401" spans="18:19">
      <c r="R45401" s="178"/>
      <c r="S45401" s="178"/>
    </row>
    <row r="45402" spans="18:19">
      <c r="R45402" s="178"/>
      <c r="S45402" s="178"/>
    </row>
    <row r="45403" spans="18:19">
      <c r="R45403" s="178"/>
      <c r="S45403" s="178"/>
    </row>
    <row r="45404" spans="18:19">
      <c r="R45404" s="178"/>
      <c r="S45404" s="178"/>
    </row>
    <row r="45405" spans="18:19">
      <c r="R45405" s="178"/>
      <c r="S45405" s="178"/>
    </row>
    <row r="45406" spans="18:19">
      <c r="R45406" s="178"/>
      <c r="S45406" s="178"/>
    </row>
    <row r="45407" spans="18:19">
      <c r="R45407" s="178"/>
      <c r="S45407" s="178"/>
    </row>
    <row r="45408" spans="18:19">
      <c r="R45408" s="178"/>
      <c r="S45408" s="178"/>
    </row>
    <row r="45409" spans="18:19">
      <c r="R45409" s="178"/>
      <c r="S45409" s="178"/>
    </row>
    <row r="45410" spans="18:19">
      <c r="R45410" s="178"/>
      <c r="S45410" s="178"/>
    </row>
    <row r="45411" spans="18:19">
      <c r="R45411" s="178"/>
      <c r="S45411" s="178"/>
    </row>
    <row r="45412" spans="18:19">
      <c r="R45412" s="178"/>
      <c r="S45412" s="178"/>
    </row>
    <row r="45413" spans="18:19">
      <c r="R45413" s="178"/>
      <c r="S45413" s="178"/>
    </row>
    <row r="45414" spans="18:19">
      <c r="R45414" s="178"/>
      <c r="S45414" s="178"/>
    </row>
    <row r="45415" spans="18:19">
      <c r="R45415" s="178"/>
      <c r="S45415" s="178"/>
    </row>
    <row r="45416" spans="18:19">
      <c r="R45416" s="178"/>
      <c r="S45416" s="178"/>
    </row>
    <row r="45417" spans="18:19">
      <c r="R45417" s="178"/>
      <c r="S45417" s="178"/>
    </row>
    <row r="45418" spans="18:19">
      <c r="R45418" s="178"/>
      <c r="S45418" s="178"/>
    </row>
    <row r="45419" spans="18:19">
      <c r="R45419" s="178"/>
      <c r="S45419" s="178"/>
    </row>
    <row r="45420" spans="18:19">
      <c r="R45420" s="178"/>
      <c r="S45420" s="178"/>
    </row>
    <row r="45421" spans="18:19">
      <c r="R45421" s="178"/>
      <c r="S45421" s="178"/>
    </row>
    <row r="45422" spans="18:19">
      <c r="R45422" s="178"/>
      <c r="S45422" s="178"/>
    </row>
    <row r="45423" spans="18:19">
      <c r="R45423" s="178"/>
      <c r="S45423" s="178"/>
    </row>
    <row r="45424" spans="18:19">
      <c r="R45424" s="178"/>
      <c r="S45424" s="178"/>
    </row>
    <row r="45425" spans="18:19">
      <c r="R45425" s="178"/>
      <c r="S45425" s="178"/>
    </row>
    <row r="45426" spans="18:19">
      <c r="R45426" s="178"/>
      <c r="S45426" s="178"/>
    </row>
    <row r="45427" spans="18:19">
      <c r="R45427" s="178"/>
      <c r="S45427" s="178"/>
    </row>
    <row r="45428" spans="18:19">
      <c r="R45428" s="178"/>
      <c r="S45428" s="178"/>
    </row>
    <row r="45429" spans="18:19">
      <c r="R45429" s="178"/>
      <c r="S45429" s="178"/>
    </row>
    <row r="45430" spans="18:19">
      <c r="R45430" s="178"/>
      <c r="S45430" s="178"/>
    </row>
    <row r="45431" spans="18:19">
      <c r="R45431" s="178"/>
      <c r="S45431" s="178"/>
    </row>
    <row r="45432" spans="18:19">
      <c r="R45432" s="178"/>
      <c r="S45432" s="178"/>
    </row>
    <row r="45433" spans="18:19">
      <c r="R45433" s="178"/>
      <c r="S45433" s="178"/>
    </row>
    <row r="45434" spans="18:19">
      <c r="R45434" s="178"/>
      <c r="S45434" s="178"/>
    </row>
    <row r="45435" spans="18:19">
      <c r="R45435" s="178"/>
      <c r="S45435" s="178"/>
    </row>
    <row r="45436" spans="18:19">
      <c r="R45436" s="178"/>
      <c r="S45436" s="178"/>
    </row>
    <row r="45437" spans="18:19">
      <c r="R45437" s="178"/>
      <c r="S45437" s="178"/>
    </row>
    <row r="45438" spans="18:19">
      <c r="R45438" s="178"/>
      <c r="S45438" s="178"/>
    </row>
    <row r="45439" spans="18:19">
      <c r="R45439" s="178"/>
      <c r="S45439" s="178"/>
    </row>
    <row r="45440" spans="18:19">
      <c r="R45440" s="178"/>
      <c r="S45440" s="178"/>
    </row>
    <row r="45441" spans="18:19">
      <c r="R45441" s="178"/>
      <c r="S45441" s="178"/>
    </row>
    <row r="45442" spans="18:19">
      <c r="R45442" s="178"/>
      <c r="S45442" s="178"/>
    </row>
    <row r="45443" spans="18:19">
      <c r="R45443" s="178"/>
      <c r="S45443" s="178"/>
    </row>
    <row r="45444" spans="18:19">
      <c r="R45444" s="178"/>
      <c r="S45444" s="178"/>
    </row>
    <row r="45445" spans="18:19">
      <c r="R45445" s="178"/>
      <c r="S45445" s="178"/>
    </row>
    <row r="45446" spans="18:19">
      <c r="R45446" s="178"/>
      <c r="S45446" s="178"/>
    </row>
    <row r="45447" spans="18:19">
      <c r="R45447" s="178"/>
      <c r="S45447" s="178"/>
    </row>
    <row r="45448" spans="18:19">
      <c r="R45448" s="178"/>
      <c r="S45448" s="178"/>
    </row>
    <row r="45449" spans="18:19">
      <c r="R45449" s="178"/>
      <c r="S45449" s="178"/>
    </row>
    <row r="45450" spans="18:19">
      <c r="R45450" s="178"/>
      <c r="S45450" s="178"/>
    </row>
    <row r="45451" spans="18:19">
      <c r="R45451" s="178"/>
      <c r="S45451" s="178"/>
    </row>
    <row r="45452" spans="18:19">
      <c r="R45452" s="178"/>
      <c r="S45452" s="178"/>
    </row>
    <row r="45453" spans="18:19">
      <c r="R45453" s="178"/>
      <c r="S45453" s="178"/>
    </row>
    <row r="45454" spans="18:19">
      <c r="R45454" s="178"/>
      <c r="S45454" s="178"/>
    </row>
    <row r="45455" spans="18:19">
      <c r="R45455" s="178"/>
      <c r="S45455" s="178"/>
    </row>
    <row r="45456" spans="18:19">
      <c r="R45456" s="178"/>
      <c r="S45456" s="178"/>
    </row>
    <row r="45457" spans="18:19">
      <c r="R45457" s="178"/>
      <c r="S45457" s="178"/>
    </row>
    <row r="45458" spans="18:19">
      <c r="R45458" s="178"/>
      <c r="S45458" s="178"/>
    </row>
    <row r="45459" spans="18:19">
      <c r="R45459" s="178"/>
      <c r="S45459" s="178"/>
    </row>
    <row r="45460" spans="18:19">
      <c r="R45460" s="178"/>
      <c r="S45460" s="178"/>
    </row>
    <row r="45461" spans="18:19">
      <c r="R45461" s="178"/>
      <c r="S45461" s="178"/>
    </row>
    <row r="45462" spans="18:19">
      <c r="R45462" s="178"/>
      <c r="S45462" s="178"/>
    </row>
    <row r="45463" spans="18:19">
      <c r="R45463" s="178"/>
      <c r="S45463" s="178"/>
    </row>
    <row r="45464" spans="18:19">
      <c r="R45464" s="178"/>
      <c r="S45464" s="178"/>
    </row>
    <row r="45465" spans="18:19">
      <c r="R45465" s="178"/>
      <c r="S45465" s="178"/>
    </row>
    <row r="45466" spans="18:19">
      <c r="R45466" s="178"/>
      <c r="S45466" s="178"/>
    </row>
    <row r="45467" spans="18:19">
      <c r="R45467" s="178"/>
      <c r="S45467" s="178"/>
    </row>
    <row r="45468" spans="18:19">
      <c r="R45468" s="178"/>
      <c r="S45468" s="178"/>
    </row>
    <row r="45469" spans="18:19">
      <c r="R45469" s="178"/>
      <c r="S45469" s="178"/>
    </row>
    <row r="45470" spans="18:19">
      <c r="R45470" s="178"/>
      <c r="S45470" s="178"/>
    </row>
    <row r="45471" spans="18:19">
      <c r="R45471" s="178"/>
      <c r="S45471" s="178"/>
    </row>
    <row r="45472" spans="18:19">
      <c r="R45472" s="178"/>
      <c r="S45472" s="178"/>
    </row>
    <row r="45473" spans="18:19">
      <c r="R45473" s="178"/>
      <c r="S45473" s="178"/>
    </row>
    <row r="45474" spans="18:19">
      <c r="R45474" s="178"/>
      <c r="S45474" s="178"/>
    </row>
    <row r="45475" spans="18:19">
      <c r="R45475" s="178"/>
      <c r="S45475" s="178"/>
    </row>
    <row r="45476" spans="18:19">
      <c r="R45476" s="178"/>
      <c r="S45476" s="178"/>
    </row>
    <row r="45477" spans="18:19">
      <c r="R45477" s="178"/>
      <c r="S45477" s="178"/>
    </row>
    <row r="45478" spans="18:19">
      <c r="R45478" s="178"/>
      <c r="S45478" s="178"/>
    </row>
    <row r="45479" spans="18:19">
      <c r="R45479" s="178"/>
      <c r="S45479" s="178"/>
    </row>
    <row r="45480" spans="18:19">
      <c r="R45480" s="178"/>
      <c r="S45480" s="178"/>
    </row>
    <row r="45481" spans="18:19">
      <c r="R45481" s="178"/>
      <c r="S45481" s="178"/>
    </row>
    <row r="45482" spans="18:19">
      <c r="R45482" s="178"/>
      <c r="S45482" s="178"/>
    </row>
    <row r="45483" spans="18:19">
      <c r="R45483" s="178"/>
      <c r="S45483" s="178"/>
    </row>
    <row r="45484" spans="18:19">
      <c r="R45484" s="178"/>
      <c r="S45484" s="178"/>
    </row>
    <row r="45485" spans="18:19">
      <c r="R45485" s="178"/>
      <c r="S45485" s="178"/>
    </row>
    <row r="45486" spans="18:19">
      <c r="R45486" s="178"/>
      <c r="S45486" s="178"/>
    </row>
    <row r="45487" spans="18:19">
      <c r="R45487" s="178"/>
      <c r="S45487" s="178"/>
    </row>
    <row r="45488" spans="18:19">
      <c r="R45488" s="178"/>
      <c r="S45488" s="178"/>
    </row>
    <row r="45489" spans="18:19">
      <c r="R45489" s="178"/>
      <c r="S45489" s="178"/>
    </row>
    <row r="45490" spans="18:19">
      <c r="R45490" s="178"/>
      <c r="S45490" s="178"/>
    </row>
    <row r="45491" spans="18:19">
      <c r="R45491" s="178"/>
      <c r="S45491" s="178"/>
    </row>
    <row r="45492" spans="18:19">
      <c r="R45492" s="178"/>
      <c r="S45492" s="178"/>
    </row>
    <row r="45493" spans="18:19">
      <c r="R45493" s="178"/>
      <c r="S45493" s="178"/>
    </row>
    <row r="45494" spans="18:19">
      <c r="R45494" s="178"/>
      <c r="S45494" s="178"/>
    </row>
    <row r="45495" spans="18:19">
      <c r="R45495" s="178"/>
      <c r="S45495" s="178"/>
    </row>
    <row r="45496" spans="18:19">
      <c r="R45496" s="178"/>
      <c r="S45496" s="178"/>
    </row>
    <row r="45497" spans="18:19">
      <c r="R45497" s="178"/>
      <c r="S45497" s="178"/>
    </row>
    <row r="45498" spans="18:19">
      <c r="R45498" s="178"/>
      <c r="S45498" s="178"/>
    </row>
    <row r="45499" spans="18:19">
      <c r="R45499" s="178"/>
      <c r="S45499" s="178"/>
    </row>
    <row r="45500" spans="18:19">
      <c r="R45500" s="178"/>
      <c r="S45500" s="178"/>
    </row>
    <row r="45501" spans="18:19">
      <c r="R45501" s="178"/>
      <c r="S45501" s="178"/>
    </row>
    <row r="45502" spans="18:19">
      <c r="R45502" s="178"/>
      <c r="S45502" s="178"/>
    </row>
    <row r="45503" spans="18:19">
      <c r="R45503" s="178"/>
      <c r="S45503" s="178"/>
    </row>
    <row r="45504" spans="18:19">
      <c r="R45504" s="178"/>
      <c r="S45504" s="178"/>
    </row>
    <row r="45505" spans="18:19">
      <c r="R45505" s="178"/>
      <c r="S45505" s="178"/>
    </row>
    <row r="45506" spans="18:19">
      <c r="R45506" s="178"/>
      <c r="S45506" s="178"/>
    </row>
    <row r="45507" spans="18:19">
      <c r="R45507" s="178"/>
      <c r="S45507" s="178"/>
    </row>
    <row r="45508" spans="18:19">
      <c r="R45508" s="178"/>
      <c r="S45508" s="178"/>
    </row>
    <row r="45509" spans="18:19">
      <c r="R45509" s="178"/>
      <c r="S45509" s="178"/>
    </row>
    <row r="45510" spans="18:19">
      <c r="R45510" s="178"/>
      <c r="S45510" s="178"/>
    </row>
    <row r="45511" spans="18:19">
      <c r="R45511" s="178"/>
      <c r="S45511" s="178"/>
    </row>
    <row r="45512" spans="18:19">
      <c r="R45512" s="178"/>
      <c r="S45512" s="178"/>
    </row>
    <row r="45513" spans="18:19">
      <c r="R45513" s="178"/>
      <c r="S45513" s="178"/>
    </row>
    <row r="45514" spans="18:19">
      <c r="R45514" s="178"/>
      <c r="S45514" s="178"/>
    </row>
    <row r="45515" spans="18:19">
      <c r="R45515" s="178"/>
      <c r="S45515" s="178"/>
    </row>
    <row r="45516" spans="18:19">
      <c r="R45516" s="178"/>
      <c r="S45516" s="178"/>
    </row>
    <row r="45517" spans="18:19">
      <c r="R45517" s="178"/>
      <c r="S45517" s="178"/>
    </row>
    <row r="45518" spans="18:19">
      <c r="R45518" s="178"/>
      <c r="S45518" s="178"/>
    </row>
    <row r="45519" spans="18:19">
      <c r="R45519" s="178"/>
      <c r="S45519" s="178"/>
    </row>
    <row r="45520" spans="18:19">
      <c r="R45520" s="178"/>
      <c r="S45520" s="178"/>
    </row>
    <row r="45521" spans="18:19">
      <c r="R45521" s="178"/>
      <c r="S45521" s="178"/>
    </row>
    <row r="45522" spans="18:19">
      <c r="R45522" s="178"/>
      <c r="S45522" s="178"/>
    </row>
    <row r="45523" spans="18:19">
      <c r="R45523" s="178"/>
      <c r="S45523" s="178"/>
    </row>
    <row r="45524" spans="18:19">
      <c r="R45524" s="178"/>
      <c r="S45524" s="178"/>
    </row>
    <row r="45525" spans="18:19">
      <c r="R45525" s="178"/>
      <c r="S45525" s="178"/>
    </row>
    <row r="45526" spans="18:19">
      <c r="R45526" s="178"/>
      <c r="S45526" s="178"/>
    </row>
    <row r="45527" spans="18:19">
      <c r="R45527" s="178"/>
      <c r="S45527" s="178"/>
    </row>
    <row r="45528" spans="18:19">
      <c r="R45528" s="178"/>
      <c r="S45528" s="178"/>
    </row>
    <row r="45529" spans="18:19">
      <c r="R45529" s="178"/>
      <c r="S45529" s="178"/>
    </row>
    <row r="45530" spans="18:19">
      <c r="R45530" s="178"/>
      <c r="S45530" s="178"/>
    </row>
    <row r="45531" spans="18:19">
      <c r="R45531" s="178"/>
      <c r="S45531" s="178"/>
    </row>
    <row r="45532" spans="18:19">
      <c r="R45532" s="178"/>
      <c r="S45532" s="178"/>
    </row>
    <row r="45533" spans="18:19">
      <c r="R45533" s="178"/>
      <c r="S45533" s="178"/>
    </row>
    <row r="45534" spans="18:19">
      <c r="R45534" s="178"/>
      <c r="S45534" s="178"/>
    </row>
    <row r="45535" spans="18:19">
      <c r="R45535" s="178"/>
      <c r="S45535" s="178"/>
    </row>
    <row r="45536" spans="18:19">
      <c r="R45536" s="178"/>
      <c r="S45536" s="178"/>
    </row>
    <row r="45537" spans="18:19">
      <c r="R45537" s="178"/>
      <c r="S45537" s="178"/>
    </row>
    <row r="45538" spans="18:19">
      <c r="R45538" s="178"/>
      <c r="S45538" s="178"/>
    </row>
    <row r="45539" spans="18:19">
      <c r="R45539" s="178"/>
      <c r="S45539" s="178"/>
    </row>
    <row r="45540" spans="18:19">
      <c r="R45540" s="178"/>
      <c r="S45540" s="178"/>
    </row>
    <row r="45541" spans="18:19">
      <c r="R45541" s="178"/>
      <c r="S45541" s="178"/>
    </row>
    <row r="45542" spans="18:19">
      <c r="R45542" s="178"/>
      <c r="S45542" s="178"/>
    </row>
    <row r="45543" spans="18:19">
      <c r="R45543" s="178"/>
      <c r="S45543" s="178"/>
    </row>
    <row r="45544" spans="18:19">
      <c r="R45544" s="178"/>
      <c r="S45544" s="178"/>
    </row>
    <row r="45545" spans="18:19">
      <c r="R45545" s="178"/>
      <c r="S45545" s="178"/>
    </row>
    <row r="45546" spans="18:19">
      <c r="R45546" s="178"/>
      <c r="S45546" s="178"/>
    </row>
    <row r="45547" spans="18:19">
      <c r="R45547" s="178"/>
      <c r="S45547" s="178"/>
    </row>
    <row r="45548" spans="18:19">
      <c r="R45548" s="178"/>
      <c r="S45548" s="178"/>
    </row>
    <row r="45549" spans="18:19">
      <c r="R45549" s="178"/>
      <c r="S45549" s="178"/>
    </row>
    <row r="45550" spans="18:19">
      <c r="R45550" s="178"/>
      <c r="S45550" s="178"/>
    </row>
    <row r="45551" spans="18:19">
      <c r="R45551" s="178"/>
      <c r="S45551" s="178"/>
    </row>
    <row r="45552" spans="18:19">
      <c r="R45552" s="178"/>
      <c r="S45552" s="178"/>
    </row>
    <row r="45553" spans="18:19">
      <c r="R45553" s="178"/>
      <c r="S45553" s="178"/>
    </row>
    <row r="45554" spans="18:19">
      <c r="R45554" s="178"/>
      <c r="S45554" s="178"/>
    </row>
    <row r="45555" spans="18:19">
      <c r="R45555" s="178"/>
      <c r="S45555" s="178"/>
    </row>
    <row r="45556" spans="18:19">
      <c r="R45556" s="178"/>
      <c r="S45556" s="178"/>
    </row>
    <row r="45557" spans="18:19">
      <c r="R45557" s="178"/>
      <c r="S45557" s="178"/>
    </row>
    <row r="45558" spans="18:19">
      <c r="R45558" s="178"/>
      <c r="S45558" s="178"/>
    </row>
    <row r="45559" spans="18:19">
      <c r="R45559" s="178"/>
      <c r="S45559" s="178"/>
    </row>
    <row r="45560" spans="18:19">
      <c r="R45560" s="178"/>
      <c r="S45560" s="178"/>
    </row>
    <row r="45561" spans="18:19">
      <c r="R45561" s="178"/>
      <c r="S45561" s="178"/>
    </row>
    <row r="45562" spans="18:19">
      <c r="R45562" s="178"/>
      <c r="S45562" s="178"/>
    </row>
    <row r="45563" spans="18:19">
      <c r="R45563" s="178"/>
      <c r="S45563" s="178"/>
    </row>
    <row r="45564" spans="18:19">
      <c r="R45564" s="178"/>
      <c r="S45564" s="178"/>
    </row>
    <row r="45565" spans="18:19">
      <c r="R45565" s="178"/>
      <c r="S45565" s="178"/>
    </row>
    <row r="45566" spans="18:19">
      <c r="R45566" s="178"/>
      <c r="S45566" s="178"/>
    </row>
    <row r="45567" spans="18:19">
      <c r="R45567" s="178"/>
      <c r="S45567" s="178"/>
    </row>
    <row r="45568" spans="18:19">
      <c r="R45568" s="178"/>
      <c r="S45568" s="178"/>
    </row>
    <row r="45569" spans="18:19">
      <c r="R45569" s="178"/>
      <c r="S45569" s="178"/>
    </row>
    <row r="45570" spans="18:19">
      <c r="R45570" s="178"/>
      <c r="S45570" s="178"/>
    </row>
    <row r="45571" spans="18:19">
      <c r="R45571" s="178"/>
      <c r="S45571" s="178"/>
    </row>
    <row r="45572" spans="18:19">
      <c r="R45572" s="178"/>
      <c r="S45572" s="178"/>
    </row>
    <row r="45573" spans="18:19">
      <c r="R45573" s="178"/>
      <c r="S45573" s="178"/>
    </row>
    <row r="45574" spans="18:19">
      <c r="R45574" s="178"/>
      <c r="S45574" s="178"/>
    </row>
    <row r="45575" spans="18:19">
      <c r="R45575" s="178"/>
      <c r="S45575" s="178"/>
    </row>
    <row r="45576" spans="18:19">
      <c r="R45576" s="178"/>
      <c r="S45576" s="178"/>
    </row>
    <row r="45577" spans="18:19">
      <c r="R45577" s="178"/>
      <c r="S45577" s="178"/>
    </row>
    <row r="45578" spans="18:19">
      <c r="R45578" s="178"/>
      <c r="S45578" s="178"/>
    </row>
    <row r="45579" spans="18:19">
      <c r="R45579" s="178"/>
      <c r="S45579" s="178"/>
    </row>
    <row r="45580" spans="18:19">
      <c r="R45580" s="178"/>
      <c r="S45580" s="178"/>
    </row>
    <row r="45581" spans="18:19">
      <c r="R45581" s="178"/>
      <c r="S45581" s="178"/>
    </row>
    <row r="45582" spans="18:19">
      <c r="R45582" s="178"/>
      <c r="S45582" s="178"/>
    </row>
    <row r="45583" spans="18:19">
      <c r="R45583" s="178"/>
      <c r="S45583" s="178"/>
    </row>
    <row r="45584" spans="18:19">
      <c r="R45584" s="178"/>
      <c r="S45584" s="178"/>
    </row>
    <row r="45585" spans="18:19">
      <c r="R45585" s="178"/>
      <c r="S45585" s="178"/>
    </row>
    <row r="45586" spans="18:19">
      <c r="R45586" s="178"/>
      <c r="S45586" s="178"/>
    </row>
    <row r="45587" spans="18:19">
      <c r="R45587" s="178"/>
      <c r="S45587" s="178"/>
    </row>
    <row r="45588" spans="18:19">
      <c r="R45588" s="178"/>
      <c r="S45588" s="178"/>
    </row>
    <row r="45589" spans="18:19">
      <c r="R45589" s="178"/>
      <c r="S45589" s="178"/>
    </row>
    <row r="45590" spans="18:19">
      <c r="R45590" s="178"/>
      <c r="S45590" s="178"/>
    </row>
    <row r="45591" spans="18:19">
      <c r="R45591" s="178"/>
      <c r="S45591" s="178"/>
    </row>
    <row r="45592" spans="18:19">
      <c r="R45592" s="178"/>
      <c r="S45592" s="178"/>
    </row>
    <row r="45593" spans="18:19">
      <c r="R45593" s="178"/>
      <c r="S45593" s="178"/>
    </row>
    <row r="45594" spans="18:19">
      <c r="R45594" s="178"/>
      <c r="S45594" s="178"/>
    </row>
    <row r="45595" spans="18:19">
      <c r="R45595" s="178"/>
      <c r="S45595" s="178"/>
    </row>
    <row r="45596" spans="18:19">
      <c r="R45596" s="178"/>
      <c r="S45596" s="178"/>
    </row>
    <row r="45597" spans="18:19">
      <c r="R45597" s="178"/>
      <c r="S45597" s="178"/>
    </row>
    <row r="45598" spans="18:19">
      <c r="R45598" s="178"/>
      <c r="S45598" s="178"/>
    </row>
    <row r="45599" spans="18:19">
      <c r="R45599" s="178"/>
      <c r="S45599" s="178"/>
    </row>
    <row r="45600" spans="18:19">
      <c r="R45600" s="178"/>
      <c r="S45600" s="178"/>
    </row>
    <row r="45601" spans="18:19">
      <c r="R45601" s="178"/>
      <c r="S45601" s="178"/>
    </row>
    <row r="45602" spans="18:19">
      <c r="R45602" s="178"/>
      <c r="S45602" s="178"/>
    </row>
    <row r="45603" spans="18:19">
      <c r="R45603" s="178"/>
      <c r="S45603" s="178"/>
    </row>
    <row r="45604" spans="18:19">
      <c r="R45604" s="178"/>
      <c r="S45604" s="178"/>
    </row>
    <row r="45605" spans="18:19">
      <c r="R45605" s="178"/>
      <c r="S45605" s="178"/>
    </row>
    <row r="45606" spans="18:19">
      <c r="R45606" s="178"/>
      <c r="S45606" s="178"/>
    </row>
    <row r="45607" spans="18:19">
      <c r="R45607" s="178"/>
      <c r="S45607" s="178"/>
    </row>
    <row r="45608" spans="18:19">
      <c r="R45608" s="178"/>
      <c r="S45608" s="178"/>
    </row>
    <row r="45609" spans="18:19">
      <c r="R45609" s="178"/>
      <c r="S45609" s="178"/>
    </row>
    <row r="45610" spans="18:19">
      <c r="R45610" s="178"/>
      <c r="S45610" s="178"/>
    </row>
    <row r="45611" spans="18:19">
      <c r="R45611" s="178"/>
      <c r="S45611" s="178"/>
    </row>
    <row r="45612" spans="18:19">
      <c r="R45612" s="178"/>
      <c r="S45612" s="178"/>
    </row>
    <row r="45613" spans="18:19">
      <c r="R45613" s="178"/>
      <c r="S45613" s="178"/>
    </row>
    <row r="45614" spans="18:19">
      <c r="R45614" s="178"/>
      <c r="S45614" s="178"/>
    </row>
    <row r="45615" spans="18:19">
      <c r="R45615" s="178"/>
      <c r="S45615" s="178"/>
    </row>
    <row r="45616" spans="18:19">
      <c r="R45616" s="178"/>
      <c r="S45616" s="178"/>
    </row>
    <row r="45617" spans="18:19">
      <c r="R45617" s="178"/>
      <c r="S45617" s="178"/>
    </row>
    <row r="45618" spans="18:19">
      <c r="R45618" s="178"/>
      <c r="S45618" s="178"/>
    </row>
    <row r="45619" spans="18:19">
      <c r="R45619" s="178"/>
      <c r="S45619" s="178"/>
    </row>
    <row r="45620" spans="18:19">
      <c r="R45620" s="178"/>
      <c r="S45620" s="178"/>
    </row>
    <row r="45621" spans="18:19">
      <c r="R45621" s="178"/>
      <c r="S45621" s="178"/>
    </row>
    <row r="45622" spans="18:19">
      <c r="R45622" s="178"/>
      <c r="S45622" s="178"/>
    </row>
    <row r="45623" spans="18:19">
      <c r="R45623" s="178"/>
      <c r="S45623" s="178"/>
    </row>
    <row r="45624" spans="18:19">
      <c r="R45624" s="178"/>
      <c r="S45624" s="178"/>
    </row>
    <row r="45625" spans="18:19">
      <c r="R45625" s="178"/>
      <c r="S45625" s="178"/>
    </row>
    <row r="45626" spans="18:19">
      <c r="R45626" s="178"/>
      <c r="S45626" s="178"/>
    </row>
    <row r="45627" spans="18:19">
      <c r="R45627" s="178"/>
      <c r="S45627" s="178"/>
    </row>
    <row r="45628" spans="18:19">
      <c r="R45628" s="178"/>
      <c r="S45628" s="178"/>
    </row>
    <row r="45629" spans="18:19">
      <c r="R45629" s="178"/>
      <c r="S45629" s="178"/>
    </row>
    <row r="45630" spans="18:19">
      <c r="R45630" s="178"/>
      <c r="S45630" s="178"/>
    </row>
    <row r="45631" spans="18:19">
      <c r="R45631" s="178"/>
      <c r="S45631" s="178"/>
    </row>
    <row r="45632" spans="18:19">
      <c r="R45632" s="178"/>
      <c r="S45632" s="178"/>
    </row>
    <row r="45633" spans="18:19">
      <c r="R45633" s="178"/>
      <c r="S45633" s="178"/>
    </row>
    <row r="45634" spans="18:19">
      <c r="R45634" s="178"/>
      <c r="S45634" s="178"/>
    </row>
    <row r="45635" spans="18:19">
      <c r="R45635" s="178"/>
      <c r="S45635" s="178"/>
    </row>
    <row r="45636" spans="18:19">
      <c r="R45636" s="178"/>
      <c r="S45636" s="178"/>
    </row>
    <row r="45637" spans="18:19">
      <c r="R45637" s="178"/>
      <c r="S45637" s="178"/>
    </row>
    <row r="45638" spans="18:19">
      <c r="R45638" s="178"/>
      <c r="S45638" s="178"/>
    </row>
    <row r="45639" spans="18:19">
      <c r="R45639" s="178"/>
      <c r="S45639" s="178"/>
    </row>
    <row r="45640" spans="18:19">
      <c r="R45640" s="178"/>
      <c r="S45640" s="178"/>
    </row>
    <row r="45641" spans="18:19">
      <c r="R45641" s="178"/>
      <c r="S45641" s="178"/>
    </row>
    <row r="45642" spans="18:19">
      <c r="R45642" s="178"/>
      <c r="S45642" s="178"/>
    </row>
    <row r="45643" spans="18:19">
      <c r="R45643" s="178"/>
      <c r="S45643" s="178"/>
    </row>
    <row r="45644" spans="18:19">
      <c r="R45644" s="178"/>
      <c r="S45644" s="178"/>
    </row>
    <row r="45645" spans="18:19">
      <c r="R45645" s="178"/>
      <c r="S45645" s="178"/>
    </row>
    <row r="45646" spans="18:19">
      <c r="R45646" s="178"/>
      <c r="S45646" s="178"/>
    </row>
    <row r="45647" spans="18:19">
      <c r="R45647" s="178"/>
      <c r="S45647" s="178"/>
    </row>
    <row r="45648" spans="18:19">
      <c r="R45648" s="178"/>
      <c r="S45648" s="178"/>
    </row>
    <row r="45649" spans="18:19">
      <c r="R45649" s="178"/>
      <c r="S45649" s="178"/>
    </row>
    <row r="45650" spans="18:19">
      <c r="R45650" s="178"/>
      <c r="S45650" s="178"/>
    </row>
    <row r="45651" spans="18:19">
      <c r="R45651" s="178"/>
      <c r="S45651" s="178"/>
    </row>
    <row r="45652" spans="18:19">
      <c r="R45652" s="178"/>
      <c r="S45652" s="178"/>
    </row>
    <row r="45653" spans="18:19">
      <c r="R45653" s="178"/>
      <c r="S45653" s="178"/>
    </row>
    <row r="45654" spans="18:19">
      <c r="R45654" s="178"/>
      <c r="S45654" s="178"/>
    </row>
    <row r="45655" spans="18:19">
      <c r="R45655" s="178"/>
      <c r="S45655" s="178"/>
    </row>
    <row r="45656" spans="18:19">
      <c r="R45656" s="178"/>
      <c r="S45656" s="178"/>
    </row>
    <row r="45657" spans="18:19">
      <c r="R45657" s="178"/>
      <c r="S45657" s="178"/>
    </row>
    <row r="45658" spans="18:19">
      <c r="R45658" s="178"/>
      <c r="S45658" s="178"/>
    </row>
    <row r="45659" spans="18:19">
      <c r="R45659" s="178"/>
      <c r="S45659" s="178"/>
    </row>
    <row r="45660" spans="18:19">
      <c r="R45660" s="178"/>
      <c r="S45660" s="178"/>
    </row>
    <row r="45661" spans="18:19">
      <c r="R45661" s="178"/>
      <c r="S45661" s="178"/>
    </row>
    <row r="45662" spans="18:19">
      <c r="R45662" s="178"/>
      <c r="S45662" s="178"/>
    </row>
    <row r="45663" spans="18:19">
      <c r="R45663" s="178"/>
      <c r="S45663" s="178"/>
    </row>
    <row r="45664" spans="18:19">
      <c r="R45664" s="178"/>
      <c r="S45664" s="178"/>
    </row>
    <row r="45665" spans="18:19">
      <c r="R45665" s="178"/>
      <c r="S45665" s="178"/>
    </row>
    <row r="45666" spans="18:19">
      <c r="R45666" s="178"/>
      <c r="S45666" s="178"/>
    </row>
    <row r="45667" spans="18:19">
      <c r="R45667" s="178"/>
      <c r="S45667" s="178"/>
    </row>
    <row r="45668" spans="18:19">
      <c r="R45668" s="178"/>
      <c r="S45668" s="178"/>
    </row>
    <row r="45669" spans="18:19">
      <c r="R45669" s="178"/>
      <c r="S45669" s="178"/>
    </row>
    <row r="45670" spans="18:19">
      <c r="R45670" s="178"/>
      <c r="S45670" s="178"/>
    </row>
    <row r="45671" spans="18:19">
      <c r="R45671" s="178"/>
      <c r="S45671" s="178"/>
    </row>
    <row r="45672" spans="18:19">
      <c r="R45672" s="178"/>
      <c r="S45672" s="178"/>
    </row>
    <row r="45673" spans="18:19">
      <c r="R45673" s="178"/>
      <c r="S45673" s="178"/>
    </row>
    <row r="45674" spans="18:19">
      <c r="R45674" s="178"/>
      <c r="S45674" s="178"/>
    </row>
    <row r="45675" spans="18:19">
      <c r="R45675" s="178"/>
      <c r="S45675" s="178"/>
    </row>
    <row r="45676" spans="18:19">
      <c r="R45676" s="178"/>
      <c r="S45676" s="178"/>
    </row>
    <row r="45677" spans="18:19">
      <c r="R45677" s="178"/>
      <c r="S45677" s="178"/>
    </row>
    <row r="45678" spans="18:19">
      <c r="R45678" s="178"/>
      <c r="S45678" s="178"/>
    </row>
    <row r="45679" spans="18:19">
      <c r="R45679" s="178"/>
      <c r="S45679" s="178"/>
    </row>
    <row r="45680" spans="18:19">
      <c r="R45680" s="178"/>
      <c r="S45680" s="178"/>
    </row>
    <row r="45681" spans="18:19">
      <c r="R45681" s="178"/>
      <c r="S45681" s="178"/>
    </row>
    <row r="45682" spans="18:19">
      <c r="R45682" s="178"/>
      <c r="S45682" s="178"/>
    </row>
    <row r="45683" spans="18:19">
      <c r="R45683" s="178"/>
      <c r="S45683" s="178"/>
    </row>
    <row r="45684" spans="18:19">
      <c r="R45684" s="178"/>
      <c r="S45684" s="178"/>
    </row>
    <row r="45685" spans="18:19">
      <c r="R45685" s="178"/>
      <c r="S45685" s="178"/>
    </row>
    <row r="45686" spans="18:19">
      <c r="R45686" s="178"/>
      <c r="S45686" s="178"/>
    </row>
    <row r="45687" spans="18:19">
      <c r="R45687" s="178"/>
      <c r="S45687" s="178"/>
    </row>
    <row r="45688" spans="18:19">
      <c r="R45688" s="178"/>
      <c r="S45688" s="178"/>
    </row>
    <row r="45689" spans="18:19">
      <c r="R45689" s="178"/>
      <c r="S45689" s="178"/>
    </row>
    <row r="45690" spans="18:19">
      <c r="R45690" s="178"/>
      <c r="S45690" s="178"/>
    </row>
    <row r="45691" spans="18:19">
      <c r="R45691" s="178"/>
      <c r="S45691" s="178"/>
    </row>
    <row r="45692" spans="18:19">
      <c r="R45692" s="178"/>
      <c r="S45692" s="178"/>
    </row>
    <row r="45693" spans="18:19">
      <c r="R45693" s="178"/>
      <c r="S45693" s="178"/>
    </row>
    <row r="45694" spans="18:19">
      <c r="R45694" s="178"/>
      <c r="S45694" s="178"/>
    </row>
    <row r="45695" spans="18:19">
      <c r="R45695" s="178"/>
      <c r="S45695" s="178"/>
    </row>
    <row r="45696" spans="18:19">
      <c r="R45696" s="178"/>
      <c r="S45696" s="178"/>
    </row>
    <row r="45697" spans="18:19">
      <c r="R45697" s="178"/>
      <c r="S45697" s="178"/>
    </row>
    <row r="45698" spans="18:19">
      <c r="R45698" s="178"/>
      <c r="S45698" s="178"/>
    </row>
    <row r="45699" spans="18:19">
      <c r="R45699" s="178"/>
      <c r="S45699" s="178"/>
    </row>
    <row r="45700" spans="18:19">
      <c r="R45700" s="178"/>
      <c r="S45700" s="178"/>
    </row>
    <row r="45701" spans="18:19">
      <c r="R45701" s="178"/>
      <c r="S45701" s="178"/>
    </row>
    <row r="45702" spans="18:19">
      <c r="R45702" s="178"/>
      <c r="S45702" s="178"/>
    </row>
    <row r="45703" spans="18:19">
      <c r="R45703" s="178"/>
      <c r="S45703" s="178"/>
    </row>
    <row r="45704" spans="18:19">
      <c r="R45704" s="178"/>
      <c r="S45704" s="178"/>
    </row>
    <row r="45705" spans="18:19">
      <c r="R45705" s="178"/>
      <c r="S45705" s="178"/>
    </row>
    <row r="45706" spans="18:19">
      <c r="R45706" s="178"/>
      <c r="S45706" s="178"/>
    </row>
    <row r="45707" spans="18:19">
      <c r="R45707" s="178"/>
      <c r="S45707" s="178"/>
    </row>
    <row r="45708" spans="18:19">
      <c r="R45708" s="178"/>
      <c r="S45708" s="178"/>
    </row>
    <row r="45709" spans="18:19">
      <c r="R45709" s="178"/>
      <c r="S45709" s="178"/>
    </row>
    <row r="45710" spans="18:19">
      <c r="R45710" s="178"/>
      <c r="S45710" s="178"/>
    </row>
    <row r="45711" spans="18:19">
      <c r="R45711" s="178"/>
      <c r="S45711" s="178"/>
    </row>
    <row r="45712" spans="18:19">
      <c r="R45712" s="178"/>
      <c r="S45712" s="178"/>
    </row>
    <row r="45713" spans="18:19">
      <c r="R45713" s="178"/>
      <c r="S45713" s="178"/>
    </row>
    <row r="45714" spans="18:19">
      <c r="R45714" s="178"/>
      <c r="S45714" s="178"/>
    </row>
    <row r="45715" spans="18:19">
      <c r="R45715" s="178"/>
      <c r="S45715" s="178"/>
    </row>
    <row r="45716" spans="18:19">
      <c r="R45716" s="178"/>
      <c r="S45716" s="178"/>
    </row>
    <row r="45717" spans="18:19">
      <c r="R45717" s="178"/>
      <c r="S45717" s="178"/>
    </row>
    <row r="45718" spans="18:19">
      <c r="R45718" s="178"/>
      <c r="S45718" s="178"/>
    </row>
    <row r="45719" spans="18:19">
      <c r="R45719" s="178"/>
      <c r="S45719" s="178"/>
    </row>
    <row r="45720" spans="18:19">
      <c r="R45720" s="178"/>
      <c r="S45720" s="178"/>
    </row>
    <row r="45721" spans="18:19">
      <c r="R45721" s="178"/>
      <c r="S45721" s="178"/>
    </row>
    <row r="45722" spans="18:19">
      <c r="R45722" s="178"/>
      <c r="S45722" s="178"/>
    </row>
    <row r="45723" spans="18:19">
      <c r="R45723" s="178"/>
      <c r="S45723" s="178"/>
    </row>
    <row r="45724" spans="18:19">
      <c r="R45724" s="178"/>
      <c r="S45724" s="178"/>
    </row>
    <row r="45725" spans="18:19">
      <c r="R45725" s="178"/>
      <c r="S45725" s="178"/>
    </row>
    <row r="45726" spans="18:19">
      <c r="R45726" s="178"/>
      <c r="S45726" s="178"/>
    </row>
    <row r="45727" spans="18:19">
      <c r="R45727" s="178"/>
      <c r="S45727" s="178"/>
    </row>
    <row r="45728" spans="18:19">
      <c r="R45728" s="178"/>
      <c r="S45728" s="178"/>
    </row>
    <row r="45729" spans="18:19">
      <c r="R45729" s="178"/>
      <c r="S45729" s="178"/>
    </row>
    <row r="45730" spans="18:19">
      <c r="R45730" s="178"/>
      <c r="S45730" s="178"/>
    </row>
    <row r="45731" spans="18:19">
      <c r="R45731" s="178"/>
      <c r="S45731" s="178"/>
    </row>
    <row r="45732" spans="18:19">
      <c r="R45732" s="178"/>
      <c r="S45732" s="178"/>
    </row>
    <row r="45733" spans="18:19">
      <c r="R45733" s="178"/>
      <c r="S45733" s="178"/>
    </row>
    <row r="45734" spans="18:19">
      <c r="R45734" s="178"/>
      <c r="S45734" s="178"/>
    </row>
    <row r="45735" spans="18:19">
      <c r="R45735" s="178"/>
      <c r="S45735" s="178"/>
    </row>
    <row r="45736" spans="18:19">
      <c r="R45736" s="178"/>
      <c r="S45736" s="178"/>
    </row>
    <row r="45737" spans="18:19">
      <c r="R45737" s="178"/>
      <c r="S45737" s="178"/>
    </row>
    <row r="45738" spans="18:19">
      <c r="R45738" s="178"/>
      <c r="S45738" s="178"/>
    </row>
    <row r="45739" spans="18:19">
      <c r="R45739" s="178"/>
      <c r="S45739" s="178"/>
    </row>
    <row r="45740" spans="18:19">
      <c r="R45740" s="178"/>
      <c r="S45740" s="178"/>
    </row>
    <row r="45741" spans="18:19">
      <c r="R45741" s="178"/>
      <c r="S45741" s="178"/>
    </row>
    <row r="45742" spans="18:19">
      <c r="R45742" s="178"/>
      <c r="S45742" s="178"/>
    </row>
    <row r="45743" spans="18:19">
      <c r="R45743" s="178"/>
      <c r="S45743" s="178"/>
    </row>
    <row r="45744" spans="18:19">
      <c r="R45744" s="178"/>
      <c r="S45744" s="178"/>
    </row>
    <row r="45745" spans="18:19">
      <c r="R45745" s="178"/>
      <c r="S45745" s="178"/>
    </row>
    <row r="45746" spans="18:19">
      <c r="R45746" s="178"/>
      <c r="S45746" s="178"/>
    </row>
    <row r="45747" spans="18:19">
      <c r="R45747" s="178"/>
      <c r="S45747" s="178"/>
    </row>
    <row r="45748" spans="18:19">
      <c r="R45748" s="178"/>
      <c r="S45748" s="178"/>
    </row>
    <row r="45749" spans="18:19">
      <c r="R45749" s="178"/>
      <c r="S45749" s="178"/>
    </row>
    <row r="45750" spans="18:19">
      <c r="R45750" s="178"/>
      <c r="S45750" s="178"/>
    </row>
    <row r="45751" spans="18:19">
      <c r="R45751" s="178"/>
      <c r="S45751" s="178"/>
    </row>
    <row r="45752" spans="18:19">
      <c r="R45752" s="178"/>
      <c r="S45752" s="178"/>
    </row>
    <row r="45753" spans="18:19">
      <c r="R45753" s="178"/>
      <c r="S45753" s="178"/>
    </row>
    <row r="45754" spans="18:19">
      <c r="R45754" s="178"/>
      <c r="S45754" s="178"/>
    </row>
    <row r="45755" spans="18:19">
      <c r="R45755" s="178"/>
      <c r="S45755" s="178"/>
    </row>
    <row r="45756" spans="18:19">
      <c r="R45756" s="178"/>
      <c r="S45756" s="178"/>
    </row>
    <row r="45757" spans="18:19">
      <c r="R45757" s="178"/>
      <c r="S45757" s="178"/>
    </row>
    <row r="45758" spans="18:19">
      <c r="R45758" s="178"/>
      <c r="S45758" s="178"/>
    </row>
    <row r="45759" spans="18:19">
      <c r="R45759" s="178"/>
      <c r="S45759" s="178"/>
    </row>
    <row r="45760" spans="18:19">
      <c r="R45760" s="178"/>
      <c r="S45760" s="178"/>
    </row>
    <row r="45761" spans="18:19">
      <c r="R45761" s="178"/>
      <c r="S45761" s="178"/>
    </row>
    <row r="45762" spans="18:19">
      <c r="R45762" s="178"/>
      <c r="S45762" s="178"/>
    </row>
    <row r="45763" spans="18:19">
      <c r="R45763" s="178"/>
      <c r="S45763" s="178"/>
    </row>
    <row r="45764" spans="18:19">
      <c r="R45764" s="178"/>
      <c r="S45764" s="178"/>
    </row>
    <row r="45765" spans="18:19">
      <c r="R45765" s="178"/>
      <c r="S45765" s="178"/>
    </row>
    <row r="45766" spans="18:19">
      <c r="R45766" s="178"/>
      <c r="S45766" s="178"/>
    </row>
    <row r="45767" spans="18:19">
      <c r="R45767" s="178"/>
      <c r="S45767" s="178"/>
    </row>
    <row r="45768" spans="18:19">
      <c r="R45768" s="178"/>
      <c r="S45768" s="178"/>
    </row>
    <row r="45769" spans="18:19">
      <c r="R45769" s="178"/>
      <c r="S45769" s="178"/>
    </row>
    <row r="45770" spans="18:19">
      <c r="R45770" s="178"/>
      <c r="S45770" s="178"/>
    </row>
    <row r="45771" spans="18:19">
      <c r="R45771" s="178"/>
      <c r="S45771" s="178"/>
    </row>
    <row r="45772" spans="18:19">
      <c r="R45772" s="178"/>
      <c r="S45772" s="178"/>
    </row>
    <row r="45773" spans="18:19">
      <c r="R45773" s="178"/>
      <c r="S45773" s="178"/>
    </row>
    <row r="45774" spans="18:19">
      <c r="R45774" s="178"/>
      <c r="S45774" s="178"/>
    </row>
    <row r="45775" spans="18:19">
      <c r="R45775" s="178"/>
      <c r="S45775" s="178"/>
    </row>
    <row r="45776" spans="18:19">
      <c r="R45776" s="178"/>
      <c r="S45776" s="178"/>
    </row>
    <row r="45777" spans="18:19">
      <c r="R45777" s="178"/>
      <c r="S45777" s="178"/>
    </row>
    <row r="45778" spans="18:19">
      <c r="R45778" s="178"/>
      <c r="S45778" s="178"/>
    </row>
    <row r="45779" spans="18:19">
      <c r="R45779" s="178"/>
      <c r="S45779" s="178"/>
    </row>
    <row r="45780" spans="18:19">
      <c r="R45780" s="178"/>
      <c r="S45780" s="178"/>
    </row>
    <row r="45781" spans="18:19">
      <c r="R45781" s="178"/>
      <c r="S45781" s="178"/>
    </row>
    <row r="45782" spans="18:19">
      <c r="R45782" s="178"/>
      <c r="S45782" s="178"/>
    </row>
    <row r="45783" spans="18:19">
      <c r="R45783" s="178"/>
      <c r="S45783" s="178"/>
    </row>
    <row r="45784" spans="18:19">
      <c r="R45784" s="178"/>
      <c r="S45784" s="178"/>
    </row>
    <row r="45785" spans="18:19">
      <c r="R45785" s="178"/>
      <c r="S45785" s="178"/>
    </row>
    <row r="45786" spans="18:19">
      <c r="R45786" s="178"/>
      <c r="S45786" s="178"/>
    </row>
    <row r="45787" spans="18:19">
      <c r="R45787" s="178"/>
      <c r="S45787" s="178"/>
    </row>
    <row r="45788" spans="18:19">
      <c r="R45788" s="178"/>
      <c r="S45788" s="178"/>
    </row>
    <row r="45789" spans="18:19">
      <c r="R45789" s="178"/>
      <c r="S45789" s="178"/>
    </row>
    <row r="45790" spans="18:19">
      <c r="R45790" s="178"/>
      <c r="S45790" s="178"/>
    </row>
    <row r="45791" spans="18:19">
      <c r="R45791" s="178"/>
      <c r="S45791" s="178"/>
    </row>
    <row r="45792" spans="18:19">
      <c r="R45792" s="178"/>
      <c r="S45792" s="178"/>
    </row>
    <row r="45793" spans="18:19">
      <c r="R45793" s="178"/>
      <c r="S45793" s="178"/>
    </row>
    <row r="45794" spans="18:19">
      <c r="R45794" s="178"/>
      <c r="S45794" s="178"/>
    </row>
    <row r="45795" spans="18:19">
      <c r="R45795" s="178"/>
      <c r="S45795" s="178"/>
    </row>
    <row r="45796" spans="18:19">
      <c r="R45796" s="178"/>
      <c r="S45796" s="178"/>
    </row>
    <row r="45797" spans="18:19">
      <c r="R45797" s="178"/>
      <c r="S45797" s="178"/>
    </row>
    <row r="45798" spans="18:19">
      <c r="R45798" s="178"/>
      <c r="S45798" s="178"/>
    </row>
    <row r="45799" spans="18:19">
      <c r="R45799" s="178"/>
      <c r="S45799" s="178"/>
    </row>
    <row r="45800" spans="18:19">
      <c r="R45800" s="178"/>
      <c r="S45800" s="178"/>
    </row>
    <row r="45801" spans="18:19">
      <c r="R45801" s="178"/>
      <c r="S45801" s="178"/>
    </row>
    <row r="45802" spans="18:19">
      <c r="R45802" s="178"/>
      <c r="S45802" s="178"/>
    </row>
    <row r="45803" spans="18:19">
      <c r="R45803" s="178"/>
      <c r="S45803" s="178"/>
    </row>
    <row r="45804" spans="18:19">
      <c r="R45804" s="178"/>
      <c r="S45804" s="178"/>
    </row>
    <row r="45805" spans="18:19">
      <c r="R45805" s="178"/>
      <c r="S45805" s="178"/>
    </row>
    <row r="45806" spans="18:19">
      <c r="R45806" s="178"/>
      <c r="S45806" s="178"/>
    </row>
    <row r="45807" spans="18:19">
      <c r="R45807" s="178"/>
      <c r="S45807" s="178"/>
    </row>
    <row r="45808" spans="18:19">
      <c r="R45808" s="178"/>
      <c r="S45808" s="178"/>
    </row>
    <row r="45809" spans="18:19">
      <c r="R45809" s="178"/>
      <c r="S45809" s="178"/>
    </row>
    <row r="45810" spans="18:19">
      <c r="R45810" s="178"/>
      <c r="S45810" s="178"/>
    </row>
    <row r="45811" spans="18:19">
      <c r="R45811" s="178"/>
      <c r="S45811" s="178"/>
    </row>
    <row r="45812" spans="18:19">
      <c r="R45812" s="178"/>
      <c r="S45812" s="178"/>
    </row>
    <row r="45813" spans="18:19">
      <c r="R45813" s="178"/>
      <c r="S45813" s="178"/>
    </row>
    <row r="45814" spans="18:19">
      <c r="R45814" s="178"/>
      <c r="S45814" s="178"/>
    </row>
    <row r="45815" spans="18:19">
      <c r="R45815" s="178"/>
      <c r="S45815" s="178"/>
    </row>
    <row r="45816" spans="18:19">
      <c r="R45816" s="178"/>
      <c r="S45816" s="178"/>
    </row>
    <row r="45817" spans="18:19">
      <c r="R45817" s="178"/>
      <c r="S45817" s="178"/>
    </row>
    <row r="45818" spans="18:19">
      <c r="R45818" s="178"/>
      <c r="S45818" s="178"/>
    </row>
    <row r="45819" spans="18:19">
      <c r="R45819" s="178"/>
      <c r="S45819" s="178"/>
    </row>
    <row r="45820" spans="18:19">
      <c r="R45820" s="178"/>
      <c r="S45820" s="178"/>
    </row>
    <row r="45821" spans="18:19">
      <c r="R45821" s="178"/>
      <c r="S45821" s="178"/>
    </row>
    <row r="45822" spans="18:19">
      <c r="R45822" s="178"/>
      <c r="S45822" s="178"/>
    </row>
    <row r="45823" spans="18:19">
      <c r="R45823" s="178"/>
      <c r="S45823" s="178"/>
    </row>
    <row r="45824" spans="18:19">
      <c r="R45824" s="178"/>
      <c r="S45824" s="178"/>
    </row>
    <row r="45825" spans="18:19">
      <c r="R45825" s="178"/>
      <c r="S45825" s="178"/>
    </row>
    <row r="45826" spans="18:19">
      <c r="R45826" s="178"/>
      <c r="S45826" s="178"/>
    </row>
    <row r="45827" spans="18:19">
      <c r="R45827" s="178"/>
      <c r="S45827" s="178"/>
    </row>
    <row r="45828" spans="18:19">
      <c r="R45828" s="178"/>
      <c r="S45828" s="178"/>
    </row>
    <row r="45829" spans="18:19">
      <c r="R45829" s="178"/>
      <c r="S45829" s="178"/>
    </row>
    <row r="45830" spans="18:19">
      <c r="R45830" s="178"/>
      <c r="S45830" s="178"/>
    </row>
    <row r="45831" spans="18:19">
      <c r="R45831" s="178"/>
      <c r="S45831" s="178"/>
    </row>
    <row r="45832" spans="18:19">
      <c r="R45832" s="178"/>
      <c r="S45832" s="178"/>
    </row>
    <row r="45833" spans="18:19">
      <c r="R45833" s="178"/>
      <c r="S45833" s="178"/>
    </row>
    <row r="45834" spans="18:19">
      <c r="R45834" s="178"/>
      <c r="S45834" s="178"/>
    </row>
    <row r="45835" spans="18:19">
      <c r="R45835" s="178"/>
      <c r="S45835" s="178"/>
    </row>
    <row r="45836" spans="18:19">
      <c r="R45836" s="178"/>
      <c r="S45836" s="178"/>
    </row>
    <row r="45837" spans="18:19">
      <c r="R45837" s="178"/>
      <c r="S45837" s="178"/>
    </row>
    <row r="45838" spans="18:19">
      <c r="R45838" s="178"/>
      <c r="S45838" s="178"/>
    </row>
    <row r="45839" spans="18:19">
      <c r="R45839" s="178"/>
      <c r="S45839" s="178"/>
    </row>
    <row r="45840" spans="18:19">
      <c r="R45840" s="178"/>
      <c r="S45840" s="178"/>
    </row>
    <row r="45841" spans="18:19">
      <c r="R45841" s="178"/>
      <c r="S45841" s="178"/>
    </row>
    <row r="45842" spans="18:19">
      <c r="R45842" s="178"/>
      <c r="S45842" s="178"/>
    </row>
    <row r="45843" spans="18:19">
      <c r="R45843" s="178"/>
      <c r="S45843" s="178"/>
    </row>
    <row r="45844" spans="18:19">
      <c r="R45844" s="178"/>
      <c r="S45844" s="178"/>
    </row>
    <row r="45845" spans="18:19">
      <c r="R45845" s="178"/>
      <c r="S45845" s="178"/>
    </row>
    <row r="45846" spans="18:19">
      <c r="R45846" s="178"/>
      <c r="S45846" s="178"/>
    </row>
    <row r="45847" spans="18:19">
      <c r="R45847" s="178"/>
      <c r="S45847" s="178"/>
    </row>
    <row r="45848" spans="18:19">
      <c r="R45848" s="178"/>
      <c r="S45848" s="178"/>
    </row>
    <row r="45849" spans="18:19">
      <c r="R45849" s="178"/>
      <c r="S45849" s="178"/>
    </row>
    <row r="45850" spans="18:19">
      <c r="R45850" s="178"/>
      <c r="S45850" s="178"/>
    </row>
    <row r="45851" spans="18:19">
      <c r="R45851" s="178"/>
      <c r="S45851" s="178"/>
    </row>
    <row r="45852" spans="18:19">
      <c r="R45852" s="178"/>
      <c r="S45852" s="178"/>
    </row>
    <row r="45853" spans="18:19">
      <c r="R45853" s="178"/>
      <c r="S45853" s="178"/>
    </row>
    <row r="45854" spans="18:19">
      <c r="R45854" s="178"/>
      <c r="S45854" s="178"/>
    </row>
    <row r="45855" spans="18:19">
      <c r="R45855" s="178"/>
      <c r="S45855" s="178"/>
    </row>
    <row r="45856" spans="18:19">
      <c r="R45856" s="178"/>
      <c r="S45856" s="178"/>
    </row>
    <row r="45857" spans="18:19">
      <c r="R45857" s="178"/>
      <c r="S45857" s="178"/>
    </row>
    <row r="45858" spans="18:19">
      <c r="R45858" s="178"/>
      <c r="S45858" s="178"/>
    </row>
    <row r="45859" spans="18:19">
      <c r="R45859" s="178"/>
      <c r="S45859" s="178"/>
    </row>
    <row r="45860" spans="18:19">
      <c r="R45860" s="178"/>
      <c r="S45860" s="178"/>
    </row>
    <row r="45861" spans="18:19">
      <c r="R45861" s="178"/>
      <c r="S45861" s="178"/>
    </row>
    <row r="45862" spans="18:19">
      <c r="R45862" s="178"/>
      <c r="S45862" s="178"/>
    </row>
    <row r="45863" spans="18:19">
      <c r="R45863" s="178"/>
      <c r="S45863" s="178"/>
    </row>
    <row r="45864" spans="18:19">
      <c r="R45864" s="178"/>
      <c r="S45864" s="178"/>
    </row>
    <row r="45865" spans="18:19">
      <c r="R45865" s="178"/>
      <c r="S45865" s="178"/>
    </row>
    <row r="45866" spans="18:19">
      <c r="R45866" s="178"/>
      <c r="S45866" s="178"/>
    </row>
    <row r="45867" spans="18:19">
      <c r="R45867" s="178"/>
      <c r="S45867" s="178"/>
    </row>
    <row r="45868" spans="18:19">
      <c r="R45868" s="178"/>
      <c r="S45868" s="178"/>
    </row>
    <row r="45869" spans="18:19">
      <c r="R45869" s="178"/>
      <c r="S45869" s="178"/>
    </row>
    <row r="45870" spans="18:19">
      <c r="R45870" s="178"/>
      <c r="S45870" s="178"/>
    </row>
    <row r="45871" spans="18:19">
      <c r="R45871" s="178"/>
      <c r="S45871" s="178"/>
    </row>
    <row r="45872" spans="18:19">
      <c r="R45872" s="178"/>
      <c r="S45872" s="178"/>
    </row>
    <row r="45873" spans="18:19">
      <c r="R45873" s="178"/>
      <c r="S45873" s="178"/>
    </row>
    <row r="45874" spans="18:19">
      <c r="R45874" s="178"/>
      <c r="S45874" s="178"/>
    </row>
    <row r="45875" spans="18:19">
      <c r="R45875" s="178"/>
      <c r="S45875" s="178"/>
    </row>
    <row r="45876" spans="18:19">
      <c r="R45876" s="178"/>
      <c r="S45876" s="178"/>
    </row>
    <row r="45877" spans="18:19">
      <c r="R45877" s="178"/>
      <c r="S45877" s="178"/>
    </row>
    <row r="45878" spans="18:19">
      <c r="R45878" s="178"/>
      <c r="S45878" s="178"/>
    </row>
    <row r="45879" spans="18:19">
      <c r="R45879" s="178"/>
      <c r="S45879" s="178"/>
    </row>
    <row r="45880" spans="18:19">
      <c r="R45880" s="178"/>
      <c r="S45880" s="178"/>
    </row>
    <row r="45881" spans="18:19">
      <c r="R45881" s="178"/>
      <c r="S45881" s="178"/>
    </row>
    <row r="45882" spans="18:19">
      <c r="R45882" s="178"/>
      <c r="S45882" s="178"/>
    </row>
    <row r="45883" spans="18:19">
      <c r="R45883" s="178"/>
      <c r="S45883" s="178"/>
    </row>
    <row r="45884" spans="18:19">
      <c r="R45884" s="178"/>
      <c r="S45884" s="178"/>
    </row>
    <row r="45885" spans="18:19">
      <c r="R45885" s="178"/>
      <c r="S45885" s="178"/>
    </row>
    <row r="45886" spans="18:19">
      <c r="R45886" s="178"/>
      <c r="S45886" s="178"/>
    </row>
    <row r="45887" spans="18:19">
      <c r="R45887" s="178"/>
      <c r="S45887" s="178"/>
    </row>
    <row r="45888" spans="18:19">
      <c r="R45888" s="178"/>
      <c r="S45888" s="178"/>
    </row>
    <row r="45889" spans="18:19">
      <c r="R45889" s="178"/>
      <c r="S45889" s="178"/>
    </row>
    <row r="45890" spans="18:19">
      <c r="R45890" s="178"/>
      <c r="S45890" s="178"/>
    </row>
    <row r="45891" spans="18:19">
      <c r="R45891" s="178"/>
      <c r="S45891" s="178"/>
    </row>
    <row r="45892" spans="18:19">
      <c r="R45892" s="178"/>
      <c r="S45892" s="178"/>
    </row>
    <row r="45893" spans="18:19">
      <c r="R45893" s="178"/>
      <c r="S45893" s="178"/>
    </row>
    <row r="45894" spans="18:19">
      <c r="R45894" s="178"/>
      <c r="S45894" s="178"/>
    </row>
    <row r="45895" spans="18:19">
      <c r="R45895" s="178"/>
      <c r="S45895" s="178"/>
    </row>
    <row r="45896" spans="18:19">
      <c r="R45896" s="178"/>
      <c r="S45896" s="178"/>
    </row>
    <row r="45897" spans="18:19">
      <c r="R45897" s="178"/>
      <c r="S45897" s="178"/>
    </row>
    <row r="45898" spans="18:19">
      <c r="R45898" s="178"/>
      <c r="S45898" s="178"/>
    </row>
    <row r="45899" spans="18:19">
      <c r="R45899" s="178"/>
      <c r="S45899" s="178"/>
    </row>
    <row r="45900" spans="18:19">
      <c r="R45900" s="178"/>
      <c r="S45900" s="178"/>
    </row>
    <row r="45901" spans="18:19">
      <c r="R45901" s="178"/>
      <c r="S45901" s="178"/>
    </row>
    <row r="45902" spans="18:19">
      <c r="R45902" s="178"/>
      <c r="S45902" s="178"/>
    </row>
    <row r="45903" spans="18:19">
      <c r="R45903" s="178"/>
      <c r="S45903" s="178"/>
    </row>
    <row r="45904" spans="18:19">
      <c r="R45904" s="178"/>
      <c r="S45904" s="178"/>
    </row>
    <row r="45905" spans="18:19">
      <c r="R45905" s="178"/>
      <c r="S45905" s="178"/>
    </row>
    <row r="45906" spans="18:19">
      <c r="R45906" s="178"/>
      <c r="S45906" s="178"/>
    </row>
    <row r="45907" spans="18:19">
      <c r="R45907" s="178"/>
      <c r="S45907" s="178"/>
    </row>
    <row r="45908" spans="18:19">
      <c r="R45908" s="178"/>
      <c r="S45908" s="178"/>
    </row>
    <row r="45909" spans="18:19">
      <c r="R45909" s="178"/>
      <c r="S45909" s="178"/>
    </row>
    <row r="45910" spans="18:19">
      <c r="R45910" s="178"/>
      <c r="S45910" s="178"/>
    </row>
    <row r="45911" spans="18:19">
      <c r="R45911" s="178"/>
      <c r="S45911" s="178"/>
    </row>
    <row r="45912" spans="18:19">
      <c r="R45912" s="178"/>
      <c r="S45912" s="178"/>
    </row>
    <row r="45913" spans="18:19">
      <c r="R45913" s="178"/>
      <c r="S45913" s="178"/>
    </row>
    <row r="45914" spans="18:19">
      <c r="R45914" s="178"/>
      <c r="S45914" s="178"/>
    </row>
    <row r="45915" spans="18:19">
      <c r="R45915" s="178"/>
      <c r="S45915" s="178"/>
    </row>
    <row r="45916" spans="18:19">
      <c r="R45916" s="178"/>
      <c r="S45916" s="178"/>
    </row>
    <row r="45917" spans="18:19">
      <c r="R45917" s="178"/>
      <c r="S45917" s="178"/>
    </row>
    <row r="45918" spans="18:19">
      <c r="R45918" s="178"/>
      <c r="S45918" s="178"/>
    </row>
    <row r="45919" spans="18:19">
      <c r="R45919" s="178"/>
      <c r="S45919" s="178"/>
    </row>
    <row r="45920" spans="18:19">
      <c r="R45920" s="178"/>
      <c r="S45920" s="178"/>
    </row>
    <row r="45921" spans="18:19">
      <c r="R45921" s="178"/>
      <c r="S45921" s="178"/>
    </row>
    <row r="45922" spans="18:19">
      <c r="R45922" s="178"/>
      <c r="S45922" s="178"/>
    </row>
    <row r="45923" spans="18:19">
      <c r="R45923" s="178"/>
      <c r="S45923" s="178"/>
    </row>
    <row r="45924" spans="18:19">
      <c r="R45924" s="178"/>
      <c r="S45924" s="178"/>
    </row>
    <row r="45925" spans="18:19">
      <c r="R45925" s="178"/>
      <c r="S45925" s="178"/>
    </row>
    <row r="45926" spans="18:19">
      <c r="R45926" s="178"/>
      <c r="S45926" s="178"/>
    </row>
    <row r="45927" spans="18:19">
      <c r="R45927" s="178"/>
      <c r="S45927" s="178"/>
    </row>
    <row r="45928" spans="18:19">
      <c r="R45928" s="178"/>
      <c r="S45928" s="178"/>
    </row>
    <row r="45929" spans="18:19">
      <c r="R45929" s="178"/>
      <c r="S45929" s="178"/>
    </row>
    <row r="45930" spans="18:19">
      <c r="R45930" s="178"/>
      <c r="S45930" s="178"/>
    </row>
    <row r="45931" spans="18:19">
      <c r="R45931" s="178"/>
      <c r="S45931" s="178"/>
    </row>
    <row r="45932" spans="18:19">
      <c r="R45932" s="178"/>
      <c r="S45932" s="178"/>
    </row>
    <row r="45933" spans="18:19">
      <c r="R45933" s="178"/>
      <c r="S45933" s="178"/>
    </row>
    <row r="45934" spans="18:19">
      <c r="R45934" s="178"/>
      <c r="S45934" s="178"/>
    </row>
    <row r="45935" spans="18:19">
      <c r="R45935" s="178"/>
      <c r="S45935" s="178"/>
    </row>
    <row r="45936" spans="18:19">
      <c r="R45936" s="178"/>
      <c r="S45936" s="178"/>
    </row>
    <row r="45937" spans="18:19">
      <c r="R45937" s="178"/>
      <c r="S45937" s="178"/>
    </row>
    <row r="45938" spans="18:19">
      <c r="R45938" s="178"/>
      <c r="S45938" s="178"/>
    </row>
    <row r="45939" spans="18:19">
      <c r="R45939" s="178"/>
      <c r="S45939" s="178"/>
    </row>
    <row r="45940" spans="18:19">
      <c r="R45940" s="178"/>
      <c r="S45940" s="178"/>
    </row>
    <row r="45941" spans="18:19">
      <c r="R45941" s="178"/>
      <c r="S45941" s="178"/>
    </row>
    <row r="45942" spans="18:19">
      <c r="R45942" s="178"/>
      <c r="S45942" s="178"/>
    </row>
    <row r="45943" spans="18:19">
      <c r="R45943" s="178"/>
      <c r="S45943" s="178"/>
    </row>
    <row r="45944" spans="18:19">
      <c r="R45944" s="178"/>
      <c r="S45944" s="178"/>
    </row>
    <row r="45945" spans="18:19">
      <c r="R45945" s="178"/>
      <c r="S45945" s="178"/>
    </row>
    <row r="45946" spans="18:19">
      <c r="R45946" s="178"/>
      <c r="S45946" s="178"/>
    </row>
    <row r="45947" spans="18:19">
      <c r="R45947" s="178"/>
      <c r="S45947" s="178"/>
    </row>
    <row r="45948" spans="18:19">
      <c r="R45948" s="178"/>
      <c r="S45948" s="178"/>
    </row>
    <row r="45949" spans="18:19">
      <c r="R45949" s="178"/>
      <c r="S45949" s="178"/>
    </row>
    <row r="45950" spans="18:19">
      <c r="R45950" s="178"/>
      <c r="S45950" s="178"/>
    </row>
    <row r="45951" spans="18:19">
      <c r="R45951" s="178"/>
      <c r="S45951" s="178"/>
    </row>
    <row r="45952" spans="18:19">
      <c r="R45952" s="178"/>
      <c r="S45952" s="178"/>
    </row>
    <row r="45953" spans="18:19">
      <c r="R45953" s="178"/>
      <c r="S45953" s="178"/>
    </row>
    <row r="45954" spans="18:19">
      <c r="R45954" s="178"/>
      <c r="S45954" s="178"/>
    </row>
    <row r="45955" spans="18:19">
      <c r="R45955" s="178"/>
      <c r="S45955" s="178"/>
    </row>
    <row r="45956" spans="18:19">
      <c r="R45956" s="178"/>
      <c r="S45956" s="178"/>
    </row>
    <row r="45957" spans="18:19">
      <c r="R45957" s="178"/>
      <c r="S45957" s="178"/>
    </row>
    <row r="45958" spans="18:19">
      <c r="R45958" s="178"/>
      <c r="S45958" s="178"/>
    </row>
    <row r="45959" spans="18:19">
      <c r="R45959" s="178"/>
      <c r="S45959" s="178"/>
    </row>
    <row r="45960" spans="18:19">
      <c r="R45960" s="178"/>
      <c r="S45960" s="178"/>
    </row>
    <row r="45961" spans="18:19">
      <c r="R45961" s="178"/>
      <c r="S45961" s="178"/>
    </row>
    <row r="45962" spans="18:19">
      <c r="R45962" s="178"/>
      <c r="S45962" s="178"/>
    </row>
    <row r="45963" spans="18:19">
      <c r="R45963" s="178"/>
      <c r="S45963" s="178"/>
    </row>
    <row r="45964" spans="18:19">
      <c r="R45964" s="178"/>
      <c r="S45964" s="178"/>
    </row>
    <row r="45965" spans="18:19">
      <c r="R45965" s="178"/>
      <c r="S45965" s="178"/>
    </row>
    <row r="45966" spans="18:19">
      <c r="R45966" s="178"/>
      <c r="S45966" s="178"/>
    </row>
    <row r="45967" spans="18:19">
      <c r="R45967" s="178"/>
      <c r="S45967" s="178"/>
    </row>
    <row r="45968" spans="18:19">
      <c r="R45968" s="178"/>
      <c r="S45968" s="178"/>
    </row>
    <row r="45969" spans="18:19">
      <c r="R45969" s="178"/>
      <c r="S45969" s="178"/>
    </row>
    <row r="45970" spans="18:19">
      <c r="R45970" s="178"/>
      <c r="S45970" s="178"/>
    </row>
    <row r="45971" spans="18:19">
      <c r="R45971" s="178"/>
      <c r="S45971" s="178"/>
    </row>
    <row r="45972" spans="18:19">
      <c r="R45972" s="178"/>
      <c r="S45972" s="178"/>
    </row>
    <row r="45973" spans="18:19">
      <c r="R45973" s="178"/>
      <c r="S45973" s="178"/>
    </row>
    <row r="45974" spans="18:19">
      <c r="R45974" s="178"/>
      <c r="S45974" s="178"/>
    </row>
    <row r="45975" spans="18:19">
      <c r="R45975" s="178"/>
      <c r="S45975" s="178"/>
    </row>
    <row r="45976" spans="18:19">
      <c r="R45976" s="178"/>
      <c r="S45976" s="178"/>
    </row>
    <row r="45977" spans="18:19">
      <c r="R45977" s="178"/>
      <c r="S45977" s="178"/>
    </row>
    <row r="45978" spans="18:19">
      <c r="R45978" s="178"/>
      <c r="S45978" s="178"/>
    </row>
    <row r="45979" spans="18:19">
      <c r="R45979" s="178"/>
      <c r="S45979" s="178"/>
    </row>
    <row r="45980" spans="18:19">
      <c r="R45980" s="178"/>
      <c r="S45980" s="178"/>
    </row>
    <row r="45981" spans="18:19">
      <c r="R45981" s="178"/>
      <c r="S45981" s="178"/>
    </row>
    <row r="45982" spans="18:19">
      <c r="R45982" s="178"/>
      <c r="S45982" s="178"/>
    </row>
    <row r="45983" spans="18:19">
      <c r="R45983" s="178"/>
      <c r="S45983" s="178"/>
    </row>
    <row r="45984" spans="18:19">
      <c r="R45984" s="178"/>
      <c r="S45984" s="178"/>
    </row>
    <row r="45985" spans="18:19">
      <c r="R45985" s="178"/>
      <c r="S45985" s="178"/>
    </row>
    <row r="45986" spans="18:19">
      <c r="R45986" s="178"/>
      <c r="S45986" s="178"/>
    </row>
    <row r="45987" spans="18:19">
      <c r="R45987" s="178"/>
      <c r="S45987" s="178"/>
    </row>
    <row r="45988" spans="18:19">
      <c r="R45988" s="178"/>
      <c r="S45988" s="178"/>
    </row>
    <row r="45989" spans="18:19">
      <c r="R45989" s="178"/>
      <c r="S45989" s="178"/>
    </row>
    <row r="45990" spans="18:19">
      <c r="R45990" s="178"/>
      <c r="S45990" s="178"/>
    </row>
    <row r="45991" spans="18:19">
      <c r="R45991" s="178"/>
      <c r="S45991" s="178"/>
    </row>
    <row r="45992" spans="18:19">
      <c r="R45992" s="178"/>
      <c r="S45992" s="178"/>
    </row>
    <row r="45993" spans="18:19">
      <c r="R45993" s="178"/>
      <c r="S45993" s="178"/>
    </row>
    <row r="45994" spans="18:19">
      <c r="R45994" s="178"/>
      <c r="S45994" s="178"/>
    </row>
    <row r="45995" spans="18:19">
      <c r="R45995" s="178"/>
      <c r="S45995" s="178"/>
    </row>
    <row r="45996" spans="18:19">
      <c r="R45996" s="178"/>
      <c r="S45996" s="178"/>
    </row>
    <row r="45997" spans="18:19">
      <c r="R45997" s="178"/>
      <c r="S45997" s="178"/>
    </row>
    <row r="45998" spans="18:19">
      <c r="R45998" s="178"/>
      <c r="S45998" s="178"/>
    </row>
    <row r="45999" spans="18:19">
      <c r="R45999" s="178"/>
      <c r="S45999" s="178"/>
    </row>
    <row r="46000" spans="18:19">
      <c r="R46000" s="178"/>
      <c r="S46000" s="178"/>
    </row>
    <row r="46001" spans="18:19">
      <c r="R46001" s="178"/>
      <c r="S46001" s="178"/>
    </row>
    <row r="46002" spans="18:19">
      <c r="R46002" s="178"/>
      <c r="S46002" s="178"/>
    </row>
    <row r="46003" spans="18:19">
      <c r="R46003" s="178"/>
      <c r="S46003" s="178"/>
    </row>
    <row r="46004" spans="18:19">
      <c r="R46004" s="178"/>
      <c r="S46004" s="178"/>
    </row>
    <row r="46005" spans="18:19">
      <c r="R46005" s="178"/>
      <c r="S46005" s="178"/>
    </row>
    <row r="46006" spans="18:19">
      <c r="R46006" s="178"/>
      <c r="S46006" s="178"/>
    </row>
    <row r="46007" spans="18:19">
      <c r="R46007" s="178"/>
      <c r="S46007" s="178"/>
    </row>
    <row r="46008" spans="18:19">
      <c r="R46008" s="178"/>
      <c r="S46008" s="178"/>
    </row>
    <row r="46009" spans="18:19">
      <c r="R46009" s="178"/>
      <c r="S46009" s="178"/>
    </row>
    <row r="46010" spans="18:19">
      <c r="R46010" s="178"/>
      <c r="S46010" s="178"/>
    </row>
    <row r="46011" spans="18:19">
      <c r="R46011" s="178"/>
      <c r="S46011" s="178"/>
    </row>
    <row r="46012" spans="18:19">
      <c r="R46012" s="178"/>
      <c r="S46012" s="178"/>
    </row>
    <row r="46013" spans="18:19">
      <c r="R46013" s="178"/>
      <c r="S46013" s="178"/>
    </row>
    <row r="46014" spans="18:19">
      <c r="R46014" s="178"/>
      <c r="S46014" s="178"/>
    </row>
    <row r="46015" spans="18:19">
      <c r="R46015" s="178"/>
      <c r="S46015" s="178"/>
    </row>
    <row r="46016" spans="18:19">
      <c r="R46016" s="178"/>
      <c r="S46016" s="178"/>
    </row>
    <row r="46017" spans="18:19">
      <c r="R46017" s="178"/>
      <c r="S46017" s="178"/>
    </row>
    <row r="46018" spans="18:19">
      <c r="R46018" s="178"/>
      <c r="S46018" s="178"/>
    </row>
    <row r="46019" spans="18:19">
      <c r="R46019" s="178"/>
      <c r="S46019" s="178"/>
    </row>
    <row r="46020" spans="18:19">
      <c r="R46020" s="178"/>
      <c r="S46020" s="178"/>
    </row>
    <row r="46021" spans="18:19">
      <c r="R46021" s="178"/>
      <c r="S46021" s="178"/>
    </row>
    <row r="46022" spans="18:19">
      <c r="R46022" s="178"/>
      <c r="S46022" s="178"/>
    </row>
    <row r="46023" spans="18:19">
      <c r="R46023" s="178"/>
      <c r="S46023" s="178"/>
    </row>
    <row r="46024" spans="18:19">
      <c r="R46024" s="178"/>
      <c r="S46024" s="178"/>
    </row>
    <row r="46025" spans="18:19">
      <c r="R46025" s="178"/>
      <c r="S46025" s="178"/>
    </row>
    <row r="46026" spans="18:19">
      <c r="R46026" s="178"/>
      <c r="S46026" s="178"/>
    </row>
    <row r="46027" spans="18:19">
      <c r="R46027" s="178"/>
      <c r="S46027" s="178"/>
    </row>
    <row r="46028" spans="18:19">
      <c r="R46028" s="178"/>
      <c r="S46028" s="178"/>
    </row>
    <row r="46029" spans="18:19">
      <c r="R46029" s="178"/>
      <c r="S46029" s="178"/>
    </row>
    <row r="46030" spans="18:19">
      <c r="R46030" s="178"/>
      <c r="S46030" s="178"/>
    </row>
    <row r="46031" spans="18:19">
      <c r="R46031" s="178"/>
      <c r="S46031" s="178"/>
    </row>
    <row r="46032" spans="18:19">
      <c r="R46032" s="178"/>
      <c r="S46032" s="178"/>
    </row>
    <row r="46033" spans="18:19">
      <c r="R46033" s="178"/>
      <c r="S46033" s="178"/>
    </row>
    <row r="46034" spans="18:19">
      <c r="R46034" s="178"/>
      <c r="S46034" s="178"/>
    </row>
    <row r="46035" spans="18:19">
      <c r="R46035" s="178"/>
      <c r="S46035" s="178"/>
    </row>
    <row r="46036" spans="18:19">
      <c r="R46036" s="178"/>
      <c r="S46036" s="178"/>
    </row>
    <row r="46037" spans="18:19">
      <c r="R46037" s="178"/>
      <c r="S46037" s="178"/>
    </row>
    <row r="46038" spans="18:19">
      <c r="R46038" s="178"/>
      <c r="S46038" s="178"/>
    </row>
    <row r="46039" spans="18:19">
      <c r="R46039" s="178"/>
      <c r="S46039" s="178"/>
    </row>
    <row r="46040" spans="18:19">
      <c r="R46040" s="178"/>
      <c r="S46040" s="178"/>
    </row>
    <row r="46041" spans="18:19">
      <c r="R46041" s="178"/>
      <c r="S46041" s="178"/>
    </row>
    <row r="46042" spans="18:19">
      <c r="R46042" s="178"/>
      <c r="S46042" s="178"/>
    </row>
    <row r="46043" spans="18:19">
      <c r="R46043" s="178"/>
      <c r="S46043" s="178"/>
    </row>
    <row r="46044" spans="18:19">
      <c r="R46044" s="178"/>
      <c r="S46044" s="178"/>
    </row>
    <row r="46045" spans="18:19">
      <c r="R46045" s="178"/>
      <c r="S46045" s="178"/>
    </row>
    <row r="46046" spans="18:19">
      <c r="R46046" s="178"/>
      <c r="S46046" s="178"/>
    </row>
    <row r="46047" spans="18:19">
      <c r="R46047" s="178"/>
      <c r="S46047" s="178"/>
    </row>
    <row r="46048" spans="18:19">
      <c r="R46048" s="178"/>
      <c r="S46048" s="178"/>
    </row>
    <row r="46049" spans="18:19">
      <c r="R46049" s="178"/>
      <c r="S46049" s="178"/>
    </row>
    <row r="46050" spans="18:19">
      <c r="R46050" s="178"/>
      <c r="S46050" s="178"/>
    </row>
    <row r="46051" spans="18:19">
      <c r="R46051" s="178"/>
      <c r="S46051" s="178"/>
    </row>
    <row r="46052" spans="18:19">
      <c r="R46052" s="178"/>
      <c r="S46052" s="178"/>
    </row>
    <row r="46053" spans="18:19">
      <c r="R46053" s="178"/>
      <c r="S46053" s="178"/>
    </row>
    <row r="46054" spans="18:19">
      <c r="R46054" s="178"/>
      <c r="S46054" s="178"/>
    </row>
    <row r="46055" spans="18:19">
      <c r="R46055" s="178"/>
      <c r="S46055" s="178"/>
    </row>
    <row r="46056" spans="18:19">
      <c r="R46056" s="178"/>
      <c r="S46056" s="178"/>
    </row>
    <row r="46057" spans="18:19">
      <c r="R46057" s="178"/>
      <c r="S46057" s="178"/>
    </row>
    <row r="46058" spans="18:19">
      <c r="R46058" s="178"/>
      <c r="S46058" s="178"/>
    </row>
    <row r="46059" spans="18:19">
      <c r="R46059" s="178"/>
      <c r="S46059" s="178"/>
    </row>
    <row r="46060" spans="18:19">
      <c r="R46060" s="178"/>
      <c r="S46060" s="178"/>
    </row>
    <row r="46061" spans="18:19">
      <c r="R46061" s="178"/>
      <c r="S46061" s="178"/>
    </row>
    <row r="46062" spans="18:19">
      <c r="R46062" s="178"/>
      <c r="S46062" s="178"/>
    </row>
    <row r="46063" spans="18:19">
      <c r="R46063" s="178"/>
      <c r="S46063" s="178"/>
    </row>
    <row r="46064" spans="18:19">
      <c r="R46064" s="178"/>
      <c r="S46064" s="178"/>
    </row>
    <row r="46065" spans="18:19">
      <c r="R46065" s="178"/>
      <c r="S46065" s="178"/>
    </row>
    <row r="46066" spans="18:19">
      <c r="R46066" s="178"/>
      <c r="S46066" s="178"/>
    </row>
    <row r="46067" spans="18:19">
      <c r="R46067" s="178"/>
      <c r="S46067" s="178"/>
    </row>
    <row r="46068" spans="18:19">
      <c r="R46068" s="178"/>
      <c r="S46068" s="178"/>
    </row>
    <row r="46069" spans="18:19">
      <c r="R46069" s="178"/>
      <c r="S46069" s="178"/>
    </row>
    <row r="46070" spans="18:19">
      <c r="R46070" s="178"/>
      <c r="S46070" s="178"/>
    </row>
    <row r="46071" spans="18:19">
      <c r="R46071" s="178"/>
      <c r="S46071" s="178"/>
    </row>
    <row r="46072" spans="18:19">
      <c r="R46072" s="178"/>
      <c r="S46072" s="178"/>
    </row>
    <row r="46073" spans="18:19">
      <c r="R46073" s="178"/>
      <c r="S46073" s="178"/>
    </row>
    <row r="46074" spans="18:19">
      <c r="R46074" s="178"/>
      <c r="S46074" s="178"/>
    </row>
    <row r="46075" spans="18:19">
      <c r="R46075" s="178"/>
      <c r="S46075" s="178"/>
    </row>
    <row r="46076" spans="18:19">
      <c r="R46076" s="178"/>
      <c r="S46076" s="178"/>
    </row>
    <row r="46077" spans="18:19">
      <c r="R46077" s="178"/>
      <c r="S46077" s="178"/>
    </row>
    <row r="46078" spans="18:19">
      <c r="R46078" s="178"/>
      <c r="S46078" s="178"/>
    </row>
    <row r="46079" spans="18:19">
      <c r="R46079" s="178"/>
      <c r="S46079" s="178"/>
    </row>
    <row r="46080" spans="18:19">
      <c r="R46080" s="178"/>
      <c r="S46080" s="178"/>
    </row>
    <row r="46081" spans="18:19">
      <c r="R46081" s="178"/>
      <c r="S46081" s="178"/>
    </row>
    <row r="46082" spans="18:19">
      <c r="R46082" s="178"/>
      <c r="S46082" s="178"/>
    </row>
    <row r="46083" spans="18:19">
      <c r="R46083" s="178"/>
      <c r="S46083" s="178"/>
    </row>
    <row r="46084" spans="18:19">
      <c r="R46084" s="178"/>
      <c r="S46084" s="178"/>
    </row>
    <row r="46085" spans="18:19">
      <c r="R46085" s="178"/>
      <c r="S46085" s="178"/>
    </row>
    <row r="46086" spans="18:19">
      <c r="R46086" s="178"/>
      <c r="S46086" s="178"/>
    </row>
    <row r="46087" spans="18:19">
      <c r="R46087" s="178"/>
      <c r="S46087" s="178"/>
    </row>
    <row r="46088" spans="18:19">
      <c r="R46088" s="178"/>
      <c r="S46088" s="178"/>
    </row>
    <row r="46089" spans="18:19">
      <c r="R46089" s="178"/>
      <c r="S46089" s="178"/>
    </row>
    <row r="46090" spans="18:19">
      <c r="R46090" s="178"/>
      <c r="S46090" s="178"/>
    </row>
    <row r="46091" spans="18:19">
      <c r="R46091" s="178"/>
      <c r="S46091" s="178"/>
    </row>
    <row r="46092" spans="18:19">
      <c r="R46092" s="178"/>
      <c r="S46092" s="178"/>
    </row>
    <row r="46093" spans="18:19">
      <c r="R46093" s="178"/>
      <c r="S46093" s="178"/>
    </row>
    <row r="46094" spans="18:19">
      <c r="R46094" s="178"/>
      <c r="S46094" s="178"/>
    </row>
    <row r="46095" spans="18:19">
      <c r="R46095" s="178"/>
      <c r="S46095" s="178"/>
    </row>
    <row r="46096" spans="18:19">
      <c r="R46096" s="178"/>
      <c r="S46096" s="178"/>
    </row>
    <row r="46097" spans="18:19">
      <c r="R46097" s="178"/>
      <c r="S46097" s="178"/>
    </row>
    <row r="46098" spans="18:19">
      <c r="R46098" s="178"/>
      <c r="S46098" s="178"/>
    </row>
    <row r="46099" spans="18:19">
      <c r="R46099" s="178"/>
      <c r="S46099" s="178"/>
    </row>
    <row r="46100" spans="18:19">
      <c r="R46100" s="178"/>
      <c r="S46100" s="178"/>
    </row>
    <row r="46101" spans="18:19">
      <c r="R46101" s="178"/>
      <c r="S46101" s="178"/>
    </row>
    <row r="46102" spans="18:19">
      <c r="R46102" s="178"/>
      <c r="S46102" s="178"/>
    </row>
    <row r="46103" spans="18:19">
      <c r="R46103" s="178"/>
      <c r="S46103" s="178"/>
    </row>
    <row r="46104" spans="18:19">
      <c r="R46104" s="178"/>
      <c r="S46104" s="178"/>
    </row>
    <row r="46105" spans="18:19">
      <c r="R46105" s="178"/>
      <c r="S46105" s="178"/>
    </row>
    <row r="46106" spans="18:19">
      <c r="R46106" s="178"/>
      <c r="S46106" s="178"/>
    </row>
    <row r="46107" spans="18:19">
      <c r="R46107" s="178"/>
      <c r="S46107" s="178"/>
    </row>
    <row r="46108" spans="18:19">
      <c r="R46108" s="178"/>
      <c r="S46108" s="178"/>
    </row>
    <row r="46109" spans="18:19">
      <c r="R46109" s="178"/>
      <c r="S46109" s="178"/>
    </row>
    <row r="46110" spans="18:19">
      <c r="R46110" s="178"/>
      <c r="S46110" s="178"/>
    </row>
    <row r="46111" spans="18:19">
      <c r="R46111" s="178"/>
      <c r="S46111" s="178"/>
    </row>
    <row r="46112" spans="18:19">
      <c r="R46112" s="178"/>
      <c r="S46112" s="178"/>
    </row>
    <row r="46113" spans="18:19">
      <c r="R46113" s="178"/>
      <c r="S46113" s="178"/>
    </row>
    <row r="46114" spans="18:19">
      <c r="R46114" s="178"/>
      <c r="S46114" s="178"/>
    </row>
    <row r="46115" spans="18:19">
      <c r="R46115" s="178"/>
      <c r="S46115" s="178"/>
    </row>
    <row r="46116" spans="18:19">
      <c r="R46116" s="178"/>
      <c r="S46116" s="178"/>
    </row>
    <row r="46117" spans="18:19">
      <c r="R46117" s="178"/>
      <c r="S46117" s="178"/>
    </row>
    <row r="46118" spans="18:19">
      <c r="R46118" s="178"/>
      <c r="S46118" s="178"/>
    </row>
    <row r="46119" spans="18:19">
      <c r="R46119" s="178"/>
      <c r="S46119" s="178"/>
    </row>
    <row r="46120" spans="18:19">
      <c r="R46120" s="178"/>
      <c r="S46120" s="178"/>
    </row>
    <row r="46121" spans="18:19">
      <c r="R46121" s="178"/>
      <c r="S46121" s="178"/>
    </row>
    <row r="46122" spans="18:19">
      <c r="R46122" s="178"/>
      <c r="S46122" s="178"/>
    </row>
    <row r="46123" spans="18:19">
      <c r="R46123" s="178"/>
      <c r="S46123" s="178"/>
    </row>
    <row r="46124" spans="18:19">
      <c r="R46124" s="178"/>
      <c r="S46124" s="178"/>
    </row>
    <row r="46125" spans="18:19">
      <c r="R46125" s="178"/>
      <c r="S46125" s="178"/>
    </row>
    <row r="46126" spans="18:19">
      <c r="R46126" s="178"/>
      <c r="S46126" s="178"/>
    </row>
    <row r="46127" spans="18:19">
      <c r="R46127" s="178"/>
      <c r="S46127" s="178"/>
    </row>
    <row r="46128" spans="18:19">
      <c r="R46128" s="178"/>
      <c r="S46128" s="178"/>
    </row>
    <row r="46129" spans="18:19">
      <c r="R46129" s="178"/>
      <c r="S46129" s="178"/>
    </row>
    <row r="46130" spans="18:19">
      <c r="R46130" s="178"/>
      <c r="S46130" s="178"/>
    </row>
    <row r="46131" spans="18:19">
      <c r="R46131" s="178"/>
      <c r="S46131" s="178"/>
    </row>
    <row r="46132" spans="18:19">
      <c r="R46132" s="178"/>
      <c r="S46132" s="178"/>
    </row>
    <row r="46133" spans="18:19">
      <c r="R46133" s="178"/>
      <c r="S46133" s="178"/>
    </row>
    <row r="46134" spans="18:19">
      <c r="R46134" s="178"/>
      <c r="S46134" s="178"/>
    </row>
    <row r="46135" spans="18:19">
      <c r="R46135" s="178"/>
      <c r="S46135" s="178"/>
    </row>
    <row r="46136" spans="18:19">
      <c r="R46136" s="178"/>
      <c r="S46136" s="178"/>
    </row>
    <row r="46137" spans="18:19">
      <c r="R46137" s="178"/>
      <c r="S46137" s="178"/>
    </row>
    <row r="46138" spans="18:19">
      <c r="R46138" s="178"/>
      <c r="S46138" s="178"/>
    </row>
    <row r="46139" spans="18:19">
      <c r="R46139" s="178"/>
      <c r="S46139" s="178"/>
    </row>
    <row r="46140" spans="18:19">
      <c r="R46140" s="178"/>
      <c r="S46140" s="178"/>
    </row>
    <row r="46141" spans="18:19">
      <c r="R46141" s="178"/>
      <c r="S46141" s="178"/>
    </row>
    <row r="46142" spans="18:19">
      <c r="R46142" s="178"/>
      <c r="S46142" s="178"/>
    </row>
    <row r="46143" spans="18:19">
      <c r="R46143" s="178"/>
      <c r="S46143" s="178"/>
    </row>
    <row r="46144" spans="18:19">
      <c r="R46144" s="178"/>
      <c r="S46144" s="178"/>
    </row>
    <row r="46145" spans="18:19">
      <c r="R46145" s="178"/>
      <c r="S46145" s="178"/>
    </row>
    <row r="46146" spans="18:19">
      <c r="R46146" s="178"/>
      <c r="S46146" s="178"/>
    </row>
    <row r="46147" spans="18:19">
      <c r="R46147" s="178"/>
      <c r="S46147" s="178"/>
    </row>
    <row r="46148" spans="18:19">
      <c r="R46148" s="178"/>
      <c r="S46148" s="178"/>
    </row>
    <row r="46149" spans="18:19">
      <c r="R46149" s="178"/>
      <c r="S46149" s="178"/>
    </row>
    <row r="46150" spans="18:19">
      <c r="R46150" s="178"/>
      <c r="S46150" s="178"/>
    </row>
    <row r="46151" spans="18:19">
      <c r="R46151" s="178"/>
      <c r="S46151" s="178"/>
    </row>
    <row r="46152" spans="18:19">
      <c r="R46152" s="178"/>
      <c r="S46152" s="178"/>
    </row>
    <row r="46153" spans="18:19">
      <c r="R46153" s="178"/>
      <c r="S46153" s="178"/>
    </row>
    <row r="46154" spans="18:19">
      <c r="R46154" s="178"/>
      <c r="S46154" s="178"/>
    </row>
    <row r="46155" spans="18:19">
      <c r="R46155" s="178"/>
      <c r="S46155" s="178"/>
    </row>
    <row r="46156" spans="18:19">
      <c r="R46156" s="178"/>
      <c r="S46156" s="178"/>
    </row>
    <row r="46157" spans="18:19">
      <c r="R46157" s="178"/>
      <c r="S46157" s="178"/>
    </row>
    <row r="46158" spans="18:19">
      <c r="R46158" s="178"/>
      <c r="S46158" s="178"/>
    </row>
    <row r="46159" spans="18:19">
      <c r="R46159" s="178"/>
      <c r="S46159" s="178"/>
    </row>
    <row r="46160" spans="18:19">
      <c r="R46160" s="178"/>
      <c r="S46160" s="178"/>
    </row>
    <row r="46161" spans="18:19">
      <c r="R46161" s="178"/>
      <c r="S46161" s="178"/>
    </row>
    <row r="46162" spans="18:19">
      <c r="R46162" s="178"/>
      <c r="S46162" s="178"/>
    </row>
    <row r="46163" spans="18:19">
      <c r="R46163" s="178"/>
      <c r="S46163" s="178"/>
    </row>
    <row r="46164" spans="18:19">
      <c r="R46164" s="178"/>
      <c r="S46164" s="178"/>
    </row>
    <row r="46165" spans="18:19">
      <c r="R46165" s="178"/>
      <c r="S46165" s="178"/>
    </row>
    <row r="46166" spans="18:19">
      <c r="R46166" s="178"/>
      <c r="S46166" s="178"/>
    </row>
    <row r="46167" spans="18:19">
      <c r="R46167" s="178"/>
      <c r="S46167" s="178"/>
    </row>
    <row r="46168" spans="18:19">
      <c r="R46168" s="178"/>
      <c r="S46168" s="178"/>
    </row>
    <row r="46169" spans="18:19">
      <c r="R46169" s="178"/>
      <c r="S46169" s="178"/>
    </row>
    <row r="46170" spans="18:19">
      <c r="R46170" s="178"/>
      <c r="S46170" s="178"/>
    </row>
    <row r="46171" spans="18:19">
      <c r="R46171" s="178"/>
      <c r="S46171" s="178"/>
    </row>
    <row r="46172" spans="18:19">
      <c r="R46172" s="178"/>
      <c r="S46172" s="178"/>
    </row>
    <row r="46173" spans="18:19">
      <c r="R46173" s="178"/>
      <c r="S46173" s="178"/>
    </row>
    <row r="46174" spans="18:19">
      <c r="R46174" s="178"/>
      <c r="S46174" s="178"/>
    </row>
    <row r="46175" spans="18:19">
      <c r="R46175" s="178"/>
      <c r="S46175" s="178"/>
    </row>
    <row r="46176" spans="18:19">
      <c r="R46176" s="178"/>
      <c r="S46176" s="178"/>
    </row>
    <row r="46177" spans="18:19">
      <c r="R46177" s="178"/>
      <c r="S46177" s="178"/>
    </row>
    <row r="46178" spans="18:19">
      <c r="R46178" s="178"/>
      <c r="S46178" s="178"/>
    </row>
    <row r="46179" spans="18:19">
      <c r="R46179" s="178"/>
      <c r="S46179" s="178"/>
    </row>
    <row r="46180" spans="18:19">
      <c r="R46180" s="178"/>
      <c r="S46180" s="178"/>
    </row>
    <row r="46181" spans="18:19">
      <c r="R46181" s="178"/>
      <c r="S46181" s="178"/>
    </row>
    <row r="46182" spans="18:19">
      <c r="R46182" s="178"/>
      <c r="S46182" s="178"/>
    </row>
    <row r="46183" spans="18:19">
      <c r="R46183" s="178"/>
      <c r="S46183" s="178"/>
    </row>
    <row r="46184" spans="18:19">
      <c r="R46184" s="178"/>
      <c r="S46184" s="178"/>
    </row>
    <row r="46185" spans="18:19">
      <c r="R46185" s="178"/>
      <c r="S46185" s="178"/>
    </row>
    <row r="46186" spans="18:19">
      <c r="R46186" s="178"/>
      <c r="S46186" s="178"/>
    </row>
    <row r="46187" spans="18:19">
      <c r="R46187" s="178"/>
      <c r="S46187" s="178"/>
    </row>
    <row r="46188" spans="18:19">
      <c r="R46188" s="178"/>
      <c r="S46188" s="178"/>
    </row>
    <row r="46189" spans="18:19">
      <c r="R46189" s="178"/>
      <c r="S46189" s="178"/>
    </row>
    <row r="46190" spans="18:19">
      <c r="R46190" s="178"/>
      <c r="S46190" s="178"/>
    </row>
    <row r="46191" spans="18:19">
      <c r="R46191" s="178"/>
      <c r="S46191" s="178"/>
    </row>
    <row r="46192" spans="18:19">
      <c r="R46192" s="178"/>
      <c r="S46192" s="178"/>
    </row>
    <row r="46193" spans="18:19">
      <c r="R46193" s="178"/>
      <c r="S46193" s="178"/>
    </row>
    <row r="46194" spans="18:19">
      <c r="R46194" s="178"/>
      <c r="S46194" s="178"/>
    </row>
    <row r="46195" spans="18:19">
      <c r="R46195" s="178"/>
      <c r="S46195" s="178"/>
    </row>
    <row r="46196" spans="18:19">
      <c r="R46196" s="178"/>
      <c r="S46196" s="178"/>
    </row>
    <row r="46197" spans="18:19">
      <c r="R46197" s="178"/>
      <c r="S46197" s="178"/>
    </row>
    <row r="46198" spans="18:19">
      <c r="R46198" s="178"/>
      <c r="S46198" s="178"/>
    </row>
    <row r="46199" spans="18:19">
      <c r="R46199" s="178"/>
      <c r="S46199" s="178"/>
    </row>
    <row r="46200" spans="18:19">
      <c r="R46200" s="178"/>
      <c r="S46200" s="178"/>
    </row>
    <row r="46201" spans="18:19">
      <c r="R46201" s="178"/>
      <c r="S46201" s="178"/>
    </row>
    <row r="46202" spans="18:19">
      <c r="R46202" s="178"/>
      <c r="S46202" s="178"/>
    </row>
    <row r="46203" spans="18:19">
      <c r="R46203" s="178"/>
      <c r="S46203" s="178"/>
    </row>
    <row r="46204" spans="18:19">
      <c r="R46204" s="178"/>
      <c r="S46204" s="178"/>
    </row>
    <row r="46205" spans="18:19">
      <c r="R46205" s="178"/>
      <c r="S46205" s="178"/>
    </row>
    <row r="46206" spans="18:19">
      <c r="R46206" s="178"/>
      <c r="S46206" s="178"/>
    </row>
    <row r="46207" spans="18:19">
      <c r="R46207" s="178"/>
      <c r="S46207" s="178"/>
    </row>
    <row r="46208" spans="18:19">
      <c r="R46208" s="178"/>
      <c r="S46208" s="178"/>
    </row>
    <row r="46209" spans="18:19">
      <c r="R46209" s="178"/>
      <c r="S46209" s="178"/>
    </row>
    <row r="46210" spans="18:19">
      <c r="R46210" s="178"/>
      <c r="S46210" s="178"/>
    </row>
    <row r="46211" spans="18:19">
      <c r="R46211" s="178"/>
      <c r="S46211" s="178"/>
    </row>
    <row r="46212" spans="18:19">
      <c r="R46212" s="178"/>
      <c r="S46212" s="178"/>
    </row>
    <row r="46213" spans="18:19">
      <c r="R46213" s="178"/>
      <c r="S46213" s="178"/>
    </row>
    <row r="46214" spans="18:19">
      <c r="R46214" s="178"/>
      <c r="S46214" s="178"/>
    </row>
    <row r="46215" spans="18:19">
      <c r="R46215" s="178"/>
      <c r="S46215" s="178"/>
    </row>
    <row r="46216" spans="18:19">
      <c r="R46216" s="178"/>
      <c r="S46216" s="178"/>
    </row>
    <row r="46217" spans="18:19">
      <c r="R46217" s="178"/>
      <c r="S46217" s="178"/>
    </row>
    <row r="46218" spans="18:19">
      <c r="R46218" s="178"/>
      <c r="S46218" s="178"/>
    </row>
    <row r="46219" spans="18:19">
      <c r="R46219" s="178"/>
      <c r="S46219" s="178"/>
    </row>
    <row r="46220" spans="18:19">
      <c r="R46220" s="178"/>
      <c r="S46220" s="178"/>
    </row>
    <row r="46221" spans="18:19">
      <c r="R46221" s="178"/>
      <c r="S46221" s="178"/>
    </row>
    <row r="46222" spans="18:19">
      <c r="R46222" s="178"/>
      <c r="S46222" s="178"/>
    </row>
    <row r="46223" spans="18:19">
      <c r="R46223" s="178"/>
      <c r="S46223" s="178"/>
    </row>
    <row r="46224" spans="18:19">
      <c r="R46224" s="178"/>
      <c r="S46224" s="178"/>
    </row>
    <row r="46225" spans="18:19">
      <c r="R46225" s="178"/>
      <c r="S46225" s="178"/>
    </row>
    <row r="46226" spans="18:19">
      <c r="R46226" s="178"/>
      <c r="S46226" s="178"/>
    </row>
    <row r="46227" spans="18:19">
      <c r="R46227" s="178"/>
      <c r="S46227" s="178"/>
    </row>
    <row r="46228" spans="18:19">
      <c r="R46228" s="178"/>
      <c r="S46228" s="178"/>
    </row>
    <row r="46229" spans="18:19">
      <c r="R46229" s="178"/>
      <c r="S46229" s="178"/>
    </row>
    <row r="46230" spans="18:19">
      <c r="R46230" s="178"/>
      <c r="S46230" s="178"/>
    </row>
    <row r="46231" spans="18:19">
      <c r="R46231" s="178"/>
      <c r="S46231" s="178"/>
    </row>
    <row r="46232" spans="18:19">
      <c r="R46232" s="178"/>
      <c r="S46232" s="178"/>
    </row>
    <row r="46233" spans="18:19">
      <c r="R46233" s="178"/>
      <c r="S46233" s="178"/>
    </row>
    <row r="46234" spans="18:19">
      <c r="R46234" s="178"/>
      <c r="S46234" s="178"/>
    </row>
    <row r="46235" spans="18:19">
      <c r="R46235" s="178"/>
      <c r="S46235" s="178"/>
    </row>
    <row r="46236" spans="18:19">
      <c r="R46236" s="178"/>
      <c r="S46236" s="178"/>
    </row>
    <row r="46237" spans="18:19">
      <c r="R46237" s="178"/>
      <c r="S46237" s="178"/>
    </row>
    <row r="46238" spans="18:19">
      <c r="R46238" s="178"/>
      <c r="S46238" s="178"/>
    </row>
    <row r="46239" spans="18:19">
      <c r="R46239" s="178"/>
      <c r="S46239" s="178"/>
    </row>
    <row r="46240" spans="18:19">
      <c r="R46240" s="178"/>
      <c r="S46240" s="178"/>
    </row>
    <row r="46241" spans="18:19">
      <c r="R46241" s="178"/>
      <c r="S46241" s="178"/>
    </row>
    <row r="46242" spans="18:19">
      <c r="R46242" s="178"/>
      <c r="S46242" s="178"/>
    </row>
    <row r="46243" spans="18:19">
      <c r="R46243" s="178"/>
      <c r="S46243" s="178"/>
    </row>
    <row r="46244" spans="18:19">
      <c r="R46244" s="178"/>
      <c r="S46244" s="178"/>
    </row>
    <row r="46245" spans="18:19">
      <c r="R46245" s="178"/>
      <c r="S46245" s="178"/>
    </row>
    <row r="46246" spans="18:19">
      <c r="R46246" s="178"/>
      <c r="S46246" s="178"/>
    </row>
    <row r="46247" spans="18:19">
      <c r="R46247" s="178"/>
      <c r="S46247" s="178"/>
    </row>
    <row r="46248" spans="18:19">
      <c r="R46248" s="178"/>
      <c r="S46248" s="178"/>
    </row>
    <row r="46249" spans="18:19">
      <c r="R46249" s="178"/>
      <c r="S46249" s="178"/>
    </row>
    <row r="46250" spans="18:19">
      <c r="R46250" s="178"/>
      <c r="S46250" s="178"/>
    </row>
    <row r="46251" spans="18:19">
      <c r="R46251" s="178"/>
      <c r="S46251" s="178"/>
    </row>
    <row r="46252" spans="18:19">
      <c r="R46252" s="178"/>
      <c r="S46252" s="178"/>
    </row>
    <row r="46253" spans="18:19">
      <c r="R46253" s="178"/>
      <c r="S46253" s="178"/>
    </row>
    <row r="46254" spans="18:19">
      <c r="R46254" s="178"/>
      <c r="S46254" s="178"/>
    </row>
    <row r="46255" spans="18:19">
      <c r="R46255" s="178"/>
      <c r="S46255" s="178"/>
    </row>
    <row r="46256" spans="18:19">
      <c r="R46256" s="178"/>
      <c r="S46256" s="178"/>
    </row>
    <row r="46257" spans="18:19">
      <c r="R46257" s="178"/>
      <c r="S46257" s="178"/>
    </row>
    <row r="46258" spans="18:19">
      <c r="R46258" s="178"/>
      <c r="S46258" s="178"/>
    </row>
    <row r="46259" spans="18:19">
      <c r="R46259" s="178"/>
      <c r="S46259" s="178"/>
    </row>
    <row r="46260" spans="18:19">
      <c r="R46260" s="178"/>
      <c r="S46260" s="178"/>
    </row>
    <row r="46261" spans="18:19">
      <c r="R46261" s="178"/>
      <c r="S46261" s="178"/>
    </row>
    <row r="46262" spans="18:19">
      <c r="R46262" s="178"/>
      <c r="S46262" s="178"/>
    </row>
    <row r="46263" spans="18:19">
      <c r="R46263" s="178"/>
      <c r="S46263" s="178"/>
    </row>
    <row r="46264" spans="18:19">
      <c r="R46264" s="178"/>
      <c r="S46264" s="178"/>
    </row>
    <row r="46265" spans="18:19">
      <c r="R46265" s="178"/>
      <c r="S46265" s="178"/>
    </row>
    <row r="46266" spans="18:19">
      <c r="R46266" s="178"/>
      <c r="S46266" s="178"/>
    </row>
    <row r="46267" spans="18:19">
      <c r="R46267" s="178"/>
      <c r="S46267" s="178"/>
    </row>
    <row r="46268" spans="18:19">
      <c r="R46268" s="178"/>
      <c r="S46268" s="178"/>
    </row>
    <row r="46269" spans="18:19">
      <c r="R46269" s="178"/>
      <c r="S46269" s="178"/>
    </row>
    <row r="46270" spans="18:19">
      <c r="R46270" s="178"/>
      <c r="S46270" s="178"/>
    </row>
    <row r="46271" spans="18:19">
      <c r="R46271" s="178"/>
      <c r="S46271" s="178"/>
    </row>
    <row r="46272" spans="18:19">
      <c r="R46272" s="178"/>
      <c r="S46272" s="178"/>
    </row>
    <row r="46273" spans="18:19">
      <c r="R46273" s="178"/>
      <c r="S46273" s="178"/>
    </row>
    <row r="46274" spans="18:19">
      <c r="R46274" s="178"/>
      <c r="S46274" s="178"/>
    </row>
    <row r="46275" spans="18:19">
      <c r="R46275" s="178"/>
      <c r="S46275" s="178"/>
    </row>
    <row r="46276" spans="18:19">
      <c r="R46276" s="178"/>
      <c r="S46276" s="178"/>
    </row>
    <row r="46277" spans="18:19">
      <c r="R46277" s="178"/>
      <c r="S46277" s="178"/>
    </row>
    <row r="46278" spans="18:19">
      <c r="R46278" s="178"/>
      <c r="S46278" s="178"/>
    </row>
    <row r="46279" spans="18:19">
      <c r="R46279" s="178"/>
      <c r="S46279" s="178"/>
    </row>
    <row r="46280" spans="18:19">
      <c r="R46280" s="178"/>
      <c r="S46280" s="178"/>
    </row>
    <row r="46281" spans="18:19">
      <c r="R46281" s="178"/>
      <c r="S46281" s="178"/>
    </row>
    <row r="46282" spans="18:19">
      <c r="R46282" s="178"/>
      <c r="S46282" s="178"/>
    </row>
    <row r="46283" spans="18:19">
      <c r="R46283" s="178"/>
      <c r="S46283" s="178"/>
    </row>
    <row r="46284" spans="18:19">
      <c r="R46284" s="178"/>
      <c r="S46284" s="178"/>
    </row>
    <row r="46285" spans="18:19">
      <c r="R46285" s="178"/>
      <c r="S46285" s="178"/>
    </row>
    <row r="46286" spans="18:19">
      <c r="R46286" s="178"/>
      <c r="S46286" s="178"/>
    </row>
    <row r="46287" spans="18:19">
      <c r="R46287" s="178"/>
      <c r="S46287" s="178"/>
    </row>
    <row r="46288" spans="18:19">
      <c r="R46288" s="178"/>
      <c r="S46288" s="178"/>
    </row>
    <row r="46289" spans="18:19">
      <c r="R46289" s="178"/>
      <c r="S46289" s="178"/>
    </row>
    <row r="46290" spans="18:19">
      <c r="R46290" s="178"/>
      <c r="S46290" s="178"/>
    </row>
    <row r="46291" spans="18:19">
      <c r="R46291" s="178"/>
      <c r="S46291" s="178"/>
    </row>
    <row r="46292" spans="18:19">
      <c r="R46292" s="178"/>
      <c r="S46292" s="178"/>
    </row>
    <row r="46293" spans="18:19">
      <c r="R46293" s="178"/>
      <c r="S46293" s="178"/>
    </row>
    <row r="46294" spans="18:19">
      <c r="R46294" s="178"/>
      <c r="S46294" s="178"/>
    </row>
    <row r="46295" spans="18:19">
      <c r="R46295" s="178"/>
      <c r="S46295" s="178"/>
    </row>
    <row r="46296" spans="18:19">
      <c r="R46296" s="178"/>
      <c r="S46296" s="178"/>
    </row>
    <row r="46297" spans="18:19">
      <c r="R46297" s="178"/>
      <c r="S46297" s="178"/>
    </row>
    <row r="46298" spans="18:19">
      <c r="R46298" s="178"/>
      <c r="S46298" s="178"/>
    </row>
    <row r="46299" spans="18:19">
      <c r="R46299" s="178"/>
      <c r="S46299" s="178"/>
    </row>
    <row r="46300" spans="18:19">
      <c r="R46300" s="178"/>
      <c r="S46300" s="178"/>
    </row>
    <row r="46301" spans="18:19">
      <c r="R46301" s="178"/>
      <c r="S46301" s="178"/>
    </row>
    <row r="46302" spans="18:19">
      <c r="R46302" s="178"/>
      <c r="S46302" s="178"/>
    </row>
    <row r="46303" spans="18:19">
      <c r="R46303" s="178"/>
      <c r="S46303" s="178"/>
    </row>
    <row r="46304" spans="18:19">
      <c r="R46304" s="178"/>
      <c r="S46304" s="178"/>
    </row>
    <row r="46305" spans="18:19">
      <c r="R46305" s="178"/>
      <c r="S46305" s="178"/>
    </row>
    <row r="46306" spans="18:19">
      <c r="R46306" s="178"/>
      <c r="S46306" s="178"/>
    </row>
    <row r="46307" spans="18:19">
      <c r="R46307" s="178"/>
      <c r="S46307" s="178"/>
    </row>
    <row r="46308" spans="18:19">
      <c r="R46308" s="178"/>
      <c r="S46308" s="178"/>
    </row>
    <row r="46309" spans="18:19">
      <c r="R46309" s="178"/>
      <c r="S46309" s="178"/>
    </row>
    <row r="46310" spans="18:19">
      <c r="R46310" s="178"/>
      <c r="S46310" s="178"/>
    </row>
    <row r="46311" spans="18:19">
      <c r="R46311" s="178"/>
      <c r="S46311" s="178"/>
    </row>
    <row r="46312" spans="18:19">
      <c r="R46312" s="178"/>
      <c r="S46312" s="178"/>
    </row>
    <row r="46313" spans="18:19">
      <c r="R46313" s="178"/>
      <c r="S46313" s="178"/>
    </row>
    <row r="46314" spans="18:19">
      <c r="R46314" s="178"/>
      <c r="S46314" s="178"/>
    </row>
    <row r="46315" spans="18:19">
      <c r="R46315" s="178"/>
      <c r="S46315" s="178"/>
    </row>
    <row r="46316" spans="18:19">
      <c r="R46316" s="178"/>
      <c r="S46316" s="178"/>
    </row>
    <row r="46317" spans="18:19">
      <c r="R46317" s="178"/>
      <c r="S46317" s="178"/>
    </row>
    <row r="46318" spans="18:19">
      <c r="R46318" s="178"/>
      <c r="S46318" s="178"/>
    </row>
    <row r="46319" spans="18:19">
      <c r="R46319" s="178"/>
      <c r="S46319" s="178"/>
    </row>
    <row r="46320" spans="18:19">
      <c r="R46320" s="178"/>
      <c r="S46320" s="178"/>
    </row>
    <row r="46321" spans="18:19">
      <c r="R46321" s="178"/>
      <c r="S46321" s="178"/>
    </row>
    <row r="46322" spans="18:19">
      <c r="R46322" s="178"/>
      <c r="S46322" s="178"/>
    </row>
    <row r="46323" spans="18:19">
      <c r="R46323" s="178"/>
      <c r="S46323" s="178"/>
    </row>
    <row r="46324" spans="18:19">
      <c r="R46324" s="178"/>
      <c r="S46324" s="178"/>
    </row>
    <row r="46325" spans="18:19">
      <c r="R46325" s="178"/>
      <c r="S46325" s="178"/>
    </row>
    <row r="46326" spans="18:19">
      <c r="R46326" s="178"/>
      <c r="S46326" s="178"/>
    </row>
    <row r="46327" spans="18:19">
      <c r="R46327" s="178"/>
      <c r="S46327" s="178"/>
    </row>
    <row r="46328" spans="18:19">
      <c r="R46328" s="178"/>
      <c r="S46328" s="178"/>
    </row>
    <row r="46329" spans="18:19">
      <c r="R46329" s="178"/>
      <c r="S46329" s="178"/>
    </row>
    <row r="46330" spans="18:19">
      <c r="R46330" s="178"/>
      <c r="S46330" s="178"/>
    </row>
    <row r="46331" spans="18:19">
      <c r="R46331" s="178"/>
      <c r="S46331" s="178"/>
    </row>
    <row r="46332" spans="18:19">
      <c r="R46332" s="178"/>
      <c r="S46332" s="178"/>
    </row>
    <row r="46333" spans="18:19">
      <c r="R46333" s="178"/>
      <c r="S46333" s="178"/>
    </row>
    <row r="46334" spans="18:19">
      <c r="R46334" s="178"/>
      <c r="S46334" s="178"/>
    </row>
    <row r="46335" spans="18:19">
      <c r="R46335" s="178"/>
      <c r="S46335" s="178"/>
    </row>
    <row r="46336" spans="18:19">
      <c r="R46336" s="178"/>
      <c r="S46336" s="178"/>
    </row>
    <row r="46337" spans="18:19">
      <c r="R46337" s="178"/>
      <c r="S46337" s="178"/>
    </row>
    <row r="46338" spans="18:19">
      <c r="R46338" s="178"/>
      <c r="S46338" s="178"/>
    </row>
    <row r="46339" spans="18:19">
      <c r="R46339" s="178"/>
      <c r="S46339" s="178"/>
    </row>
    <row r="46340" spans="18:19">
      <c r="R46340" s="178"/>
      <c r="S46340" s="178"/>
    </row>
    <row r="46341" spans="18:19">
      <c r="R46341" s="178"/>
      <c r="S46341" s="178"/>
    </row>
    <row r="46342" spans="18:19">
      <c r="R46342" s="178"/>
      <c r="S46342" s="178"/>
    </row>
    <row r="46343" spans="18:19">
      <c r="R46343" s="178"/>
      <c r="S46343" s="178"/>
    </row>
    <row r="46344" spans="18:19">
      <c r="R46344" s="178"/>
      <c r="S46344" s="178"/>
    </row>
    <row r="46345" spans="18:19">
      <c r="R46345" s="178"/>
      <c r="S46345" s="178"/>
    </row>
    <row r="46346" spans="18:19">
      <c r="R46346" s="178"/>
      <c r="S46346" s="178"/>
    </row>
    <row r="46347" spans="18:19">
      <c r="R46347" s="178"/>
      <c r="S46347" s="178"/>
    </row>
    <row r="46348" spans="18:19">
      <c r="R46348" s="178"/>
      <c r="S46348" s="178"/>
    </row>
    <row r="46349" spans="18:19">
      <c r="R46349" s="178"/>
      <c r="S46349" s="178"/>
    </row>
    <row r="46350" spans="18:19">
      <c r="R46350" s="178"/>
      <c r="S46350" s="178"/>
    </row>
    <row r="46351" spans="18:19">
      <c r="R46351" s="178"/>
      <c r="S46351" s="178"/>
    </row>
    <row r="46352" spans="18:19">
      <c r="R46352" s="178"/>
      <c r="S46352" s="178"/>
    </row>
    <row r="46353" spans="18:19">
      <c r="R46353" s="178"/>
      <c r="S46353" s="178"/>
    </row>
    <row r="46354" spans="18:19">
      <c r="R46354" s="178"/>
      <c r="S46354" s="178"/>
    </row>
    <row r="46355" spans="18:19">
      <c r="R46355" s="178"/>
      <c r="S46355" s="178"/>
    </row>
    <row r="46356" spans="18:19">
      <c r="R46356" s="178"/>
      <c r="S46356" s="178"/>
    </row>
    <row r="46357" spans="18:19">
      <c r="R46357" s="178"/>
      <c r="S46357" s="178"/>
    </row>
    <row r="46358" spans="18:19">
      <c r="R46358" s="178"/>
      <c r="S46358" s="178"/>
    </row>
    <row r="46359" spans="18:19">
      <c r="R46359" s="178"/>
      <c r="S46359" s="178"/>
    </row>
    <row r="46360" spans="18:19">
      <c r="R46360" s="178"/>
      <c r="S46360" s="178"/>
    </row>
    <row r="46361" spans="18:19">
      <c r="R46361" s="178"/>
      <c r="S46361" s="178"/>
    </row>
    <row r="46362" spans="18:19">
      <c r="R46362" s="178"/>
      <c r="S46362" s="178"/>
    </row>
    <row r="46363" spans="18:19">
      <c r="R46363" s="178"/>
      <c r="S46363" s="178"/>
    </row>
    <row r="46364" spans="18:19">
      <c r="R46364" s="178"/>
      <c r="S46364" s="178"/>
    </row>
    <row r="46365" spans="18:19">
      <c r="R46365" s="178"/>
      <c r="S46365" s="178"/>
    </row>
    <row r="46366" spans="18:19">
      <c r="R46366" s="178"/>
      <c r="S46366" s="178"/>
    </row>
    <row r="46367" spans="18:19">
      <c r="R46367" s="178"/>
      <c r="S46367" s="178"/>
    </row>
    <row r="46368" spans="18:19">
      <c r="R46368" s="178"/>
      <c r="S46368" s="178"/>
    </row>
    <row r="46369" spans="18:19">
      <c r="R46369" s="178"/>
      <c r="S46369" s="178"/>
    </row>
    <row r="46370" spans="18:19">
      <c r="R46370" s="178"/>
      <c r="S46370" s="178"/>
    </row>
    <row r="46371" spans="18:19">
      <c r="R46371" s="178"/>
      <c r="S46371" s="178"/>
    </row>
    <row r="46372" spans="18:19">
      <c r="R46372" s="178"/>
      <c r="S46372" s="178"/>
    </row>
    <row r="46373" spans="18:19">
      <c r="R46373" s="178"/>
      <c r="S46373" s="178"/>
    </row>
    <row r="46374" spans="18:19">
      <c r="R46374" s="178"/>
      <c r="S46374" s="178"/>
    </row>
    <row r="46375" spans="18:19">
      <c r="R46375" s="178"/>
      <c r="S46375" s="178"/>
    </row>
    <row r="46376" spans="18:19">
      <c r="R46376" s="178"/>
      <c r="S46376" s="178"/>
    </row>
    <row r="46377" spans="18:19">
      <c r="R46377" s="178"/>
      <c r="S46377" s="178"/>
    </row>
    <row r="46378" spans="18:19">
      <c r="R46378" s="178"/>
      <c r="S46378" s="178"/>
    </row>
    <row r="46379" spans="18:19">
      <c r="R46379" s="178"/>
      <c r="S46379" s="178"/>
    </row>
    <row r="46380" spans="18:19">
      <c r="R46380" s="178"/>
      <c r="S46380" s="178"/>
    </row>
    <row r="46381" spans="18:19">
      <c r="R46381" s="178"/>
      <c r="S46381" s="178"/>
    </row>
    <row r="46382" spans="18:19">
      <c r="R46382" s="178"/>
      <c r="S46382" s="178"/>
    </row>
    <row r="46383" spans="18:19">
      <c r="R46383" s="178"/>
      <c r="S46383" s="178"/>
    </row>
    <row r="46384" spans="18:19">
      <c r="R46384" s="178"/>
      <c r="S46384" s="178"/>
    </row>
    <row r="46385" spans="18:19">
      <c r="R46385" s="178"/>
      <c r="S46385" s="178"/>
    </row>
    <row r="46386" spans="18:19">
      <c r="R46386" s="178"/>
      <c r="S46386" s="178"/>
    </row>
    <row r="46387" spans="18:19">
      <c r="R46387" s="178"/>
      <c r="S46387" s="178"/>
    </row>
    <row r="46388" spans="18:19">
      <c r="R46388" s="178"/>
      <c r="S46388" s="178"/>
    </row>
    <row r="46389" spans="18:19">
      <c r="R46389" s="178"/>
      <c r="S46389" s="178"/>
    </row>
    <row r="46390" spans="18:19">
      <c r="R46390" s="178"/>
      <c r="S46390" s="178"/>
    </row>
    <row r="46391" spans="18:19">
      <c r="R46391" s="178"/>
      <c r="S46391" s="178"/>
    </row>
    <row r="46392" spans="18:19">
      <c r="R46392" s="178"/>
      <c r="S46392" s="178"/>
    </row>
    <row r="46393" spans="18:19">
      <c r="R46393" s="178"/>
      <c r="S46393" s="178"/>
    </row>
    <row r="46394" spans="18:19">
      <c r="R46394" s="178"/>
      <c r="S46394" s="178"/>
    </row>
    <row r="46395" spans="18:19">
      <c r="R46395" s="178"/>
      <c r="S46395" s="178"/>
    </row>
    <row r="46396" spans="18:19">
      <c r="R46396" s="178"/>
      <c r="S46396" s="178"/>
    </row>
    <row r="46397" spans="18:19">
      <c r="R46397" s="178"/>
      <c r="S46397" s="178"/>
    </row>
    <row r="46398" spans="18:19">
      <c r="R46398" s="178"/>
      <c r="S46398" s="178"/>
    </row>
    <row r="46399" spans="18:19">
      <c r="R46399" s="178"/>
      <c r="S46399" s="178"/>
    </row>
    <row r="46400" spans="18:19">
      <c r="R46400" s="178"/>
      <c r="S46400" s="178"/>
    </row>
    <row r="46401" spans="18:19">
      <c r="R46401" s="178"/>
      <c r="S46401" s="178"/>
    </row>
    <row r="46402" spans="18:19">
      <c r="R46402" s="178"/>
      <c r="S46402" s="178"/>
    </row>
    <row r="46403" spans="18:19">
      <c r="R46403" s="178"/>
      <c r="S46403" s="178"/>
    </row>
    <row r="46404" spans="18:19">
      <c r="R46404" s="178"/>
      <c r="S46404" s="178"/>
    </row>
    <row r="46405" spans="18:19">
      <c r="R46405" s="178"/>
      <c r="S46405" s="178"/>
    </row>
    <row r="46406" spans="18:19">
      <c r="R46406" s="178"/>
      <c r="S46406" s="178"/>
    </row>
    <row r="46407" spans="18:19">
      <c r="R46407" s="178"/>
      <c r="S46407" s="178"/>
    </row>
    <row r="46408" spans="18:19">
      <c r="R46408" s="178"/>
      <c r="S46408" s="178"/>
    </row>
    <row r="46409" spans="18:19">
      <c r="R46409" s="178"/>
      <c r="S46409" s="178"/>
    </row>
    <row r="46410" spans="18:19">
      <c r="R46410" s="178"/>
      <c r="S46410" s="178"/>
    </row>
    <row r="46411" spans="18:19">
      <c r="R46411" s="178"/>
      <c r="S46411" s="178"/>
    </row>
    <row r="46412" spans="18:19">
      <c r="R46412" s="178"/>
      <c r="S46412" s="178"/>
    </row>
    <row r="46413" spans="18:19">
      <c r="R46413" s="178"/>
      <c r="S46413" s="178"/>
    </row>
    <row r="46414" spans="18:19">
      <c r="R46414" s="178"/>
      <c r="S46414" s="178"/>
    </row>
    <row r="46415" spans="18:19">
      <c r="R46415" s="178"/>
      <c r="S46415" s="178"/>
    </row>
    <row r="46416" spans="18:19">
      <c r="R46416" s="178"/>
      <c r="S46416" s="178"/>
    </row>
    <row r="46417" spans="18:19">
      <c r="R46417" s="178"/>
      <c r="S46417" s="178"/>
    </row>
    <row r="46418" spans="18:19">
      <c r="R46418" s="178"/>
      <c r="S46418" s="178"/>
    </row>
    <row r="46419" spans="18:19">
      <c r="R46419" s="178"/>
      <c r="S46419" s="178"/>
    </row>
    <row r="46420" spans="18:19">
      <c r="R46420" s="178"/>
      <c r="S46420" s="178"/>
    </row>
    <row r="46421" spans="18:19">
      <c r="R46421" s="178"/>
      <c r="S46421" s="178"/>
    </row>
    <row r="46422" spans="18:19">
      <c r="R46422" s="178"/>
      <c r="S46422" s="178"/>
    </row>
    <row r="46423" spans="18:19">
      <c r="R46423" s="178"/>
      <c r="S46423" s="178"/>
    </row>
    <row r="46424" spans="18:19">
      <c r="R46424" s="178"/>
      <c r="S46424" s="178"/>
    </row>
    <row r="46425" spans="18:19">
      <c r="R46425" s="178"/>
      <c r="S46425" s="178"/>
    </row>
    <row r="46426" spans="18:19">
      <c r="R46426" s="178"/>
      <c r="S46426" s="178"/>
    </row>
    <row r="46427" spans="18:19">
      <c r="R46427" s="178"/>
      <c r="S46427" s="178"/>
    </row>
    <row r="46428" spans="18:19">
      <c r="R46428" s="178"/>
      <c r="S46428" s="178"/>
    </row>
    <row r="46429" spans="18:19">
      <c r="R46429" s="178"/>
      <c r="S46429" s="178"/>
    </row>
    <row r="46430" spans="18:19">
      <c r="R46430" s="178"/>
      <c r="S46430" s="178"/>
    </row>
    <row r="46431" spans="18:19">
      <c r="R46431" s="178"/>
      <c r="S46431" s="178"/>
    </row>
    <row r="46432" spans="18:19">
      <c r="R46432" s="178"/>
      <c r="S46432" s="178"/>
    </row>
    <row r="46433" spans="18:19">
      <c r="R46433" s="178"/>
      <c r="S46433" s="178"/>
    </row>
    <row r="46434" spans="18:19">
      <c r="R46434" s="178"/>
      <c r="S46434" s="178"/>
    </row>
    <row r="46435" spans="18:19">
      <c r="R46435" s="178"/>
      <c r="S46435" s="178"/>
    </row>
    <row r="46436" spans="18:19">
      <c r="R46436" s="178"/>
      <c r="S46436" s="178"/>
    </row>
    <row r="46437" spans="18:19">
      <c r="R46437" s="178"/>
      <c r="S46437" s="178"/>
    </row>
    <row r="46438" spans="18:19">
      <c r="R46438" s="178"/>
      <c r="S46438" s="178"/>
    </row>
    <row r="46439" spans="18:19">
      <c r="R46439" s="178"/>
      <c r="S46439" s="178"/>
    </row>
    <row r="46440" spans="18:19">
      <c r="R46440" s="178"/>
      <c r="S46440" s="178"/>
    </row>
    <row r="46441" spans="18:19">
      <c r="R46441" s="178"/>
      <c r="S46441" s="178"/>
    </row>
    <row r="46442" spans="18:19">
      <c r="R46442" s="178"/>
      <c r="S46442" s="178"/>
    </row>
    <row r="46443" spans="18:19">
      <c r="R46443" s="178"/>
      <c r="S46443" s="178"/>
    </row>
    <row r="46444" spans="18:19">
      <c r="R46444" s="178"/>
      <c r="S46444" s="178"/>
    </row>
    <row r="46445" spans="18:19">
      <c r="R46445" s="178"/>
      <c r="S46445" s="178"/>
    </row>
    <row r="46446" spans="18:19">
      <c r="R46446" s="178"/>
      <c r="S46446" s="178"/>
    </row>
    <row r="46447" spans="18:19">
      <c r="R46447" s="178"/>
      <c r="S46447" s="178"/>
    </row>
    <row r="46448" spans="18:19">
      <c r="R46448" s="178"/>
      <c r="S46448" s="178"/>
    </row>
    <row r="46449" spans="18:19">
      <c r="R46449" s="178"/>
      <c r="S46449" s="178"/>
    </row>
    <row r="46450" spans="18:19">
      <c r="R46450" s="178"/>
      <c r="S46450" s="178"/>
    </row>
    <row r="46451" spans="18:19">
      <c r="R46451" s="178"/>
      <c r="S46451" s="178"/>
    </row>
    <row r="46452" spans="18:19">
      <c r="R46452" s="178"/>
      <c r="S46452" s="178"/>
    </row>
    <row r="46453" spans="18:19">
      <c r="R46453" s="178"/>
      <c r="S46453" s="178"/>
    </row>
    <row r="46454" spans="18:19">
      <c r="R46454" s="178"/>
      <c r="S46454" s="178"/>
    </row>
    <row r="46455" spans="18:19">
      <c r="R46455" s="178"/>
      <c r="S46455" s="178"/>
    </row>
    <row r="46456" spans="18:19">
      <c r="R46456" s="178"/>
      <c r="S46456" s="178"/>
    </row>
    <row r="46457" spans="18:19">
      <c r="R46457" s="178"/>
      <c r="S46457" s="178"/>
    </row>
    <row r="46458" spans="18:19">
      <c r="R46458" s="178"/>
      <c r="S46458" s="178"/>
    </row>
    <row r="46459" spans="18:19">
      <c r="R46459" s="178"/>
      <c r="S46459" s="178"/>
    </row>
    <row r="46460" spans="18:19">
      <c r="R46460" s="178"/>
      <c r="S46460" s="178"/>
    </row>
    <row r="46461" spans="18:19">
      <c r="R46461" s="178"/>
      <c r="S46461" s="178"/>
    </row>
    <row r="46462" spans="18:19">
      <c r="R46462" s="178"/>
      <c r="S46462" s="178"/>
    </row>
    <row r="46463" spans="18:19">
      <c r="R46463" s="178"/>
      <c r="S46463" s="178"/>
    </row>
    <row r="46464" spans="18:19">
      <c r="R46464" s="178"/>
      <c r="S46464" s="178"/>
    </row>
    <row r="46465" spans="18:19">
      <c r="R46465" s="178"/>
      <c r="S46465" s="178"/>
    </row>
    <row r="46466" spans="18:19">
      <c r="R46466" s="178"/>
      <c r="S46466" s="178"/>
    </row>
    <row r="46467" spans="18:19">
      <c r="R46467" s="178"/>
      <c r="S46467" s="178"/>
    </row>
    <row r="46468" spans="18:19">
      <c r="R46468" s="178"/>
      <c r="S46468" s="178"/>
    </row>
    <row r="46469" spans="18:19">
      <c r="R46469" s="178"/>
      <c r="S46469" s="178"/>
    </row>
    <row r="46470" spans="18:19">
      <c r="R46470" s="178"/>
      <c r="S46470" s="178"/>
    </row>
    <row r="46471" spans="18:19">
      <c r="R46471" s="178"/>
      <c r="S46471" s="178"/>
    </row>
    <row r="46472" spans="18:19">
      <c r="R46472" s="178"/>
      <c r="S46472" s="178"/>
    </row>
    <row r="46473" spans="18:19">
      <c r="R46473" s="178"/>
      <c r="S46473" s="178"/>
    </row>
    <row r="46474" spans="18:19">
      <c r="R46474" s="178"/>
      <c r="S46474" s="178"/>
    </row>
    <row r="46475" spans="18:19">
      <c r="R46475" s="178"/>
      <c r="S46475" s="178"/>
    </row>
    <row r="46476" spans="18:19">
      <c r="R46476" s="178"/>
      <c r="S46476" s="178"/>
    </row>
    <row r="46477" spans="18:19">
      <c r="R46477" s="178"/>
      <c r="S46477" s="178"/>
    </row>
    <row r="46478" spans="18:19">
      <c r="R46478" s="178"/>
      <c r="S46478" s="178"/>
    </row>
    <row r="46479" spans="18:19">
      <c r="R46479" s="178"/>
      <c r="S46479" s="178"/>
    </row>
    <row r="46480" spans="18:19">
      <c r="R46480" s="178"/>
      <c r="S46480" s="178"/>
    </row>
    <row r="46481" spans="18:19">
      <c r="R46481" s="178"/>
      <c r="S46481" s="178"/>
    </row>
    <row r="46482" spans="18:19">
      <c r="R46482" s="178"/>
      <c r="S46482" s="178"/>
    </row>
    <row r="46483" spans="18:19">
      <c r="R46483" s="178"/>
      <c r="S46483" s="178"/>
    </row>
    <row r="46484" spans="18:19">
      <c r="R46484" s="178"/>
      <c r="S46484" s="178"/>
    </row>
    <row r="46485" spans="18:19">
      <c r="R46485" s="178"/>
      <c r="S46485" s="178"/>
    </row>
    <row r="46486" spans="18:19">
      <c r="R46486" s="178"/>
      <c r="S46486" s="178"/>
    </row>
    <row r="46487" spans="18:19">
      <c r="R46487" s="178"/>
      <c r="S46487" s="178"/>
    </row>
    <row r="46488" spans="18:19">
      <c r="R46488" s="178"/>
      <c r="S46488" s="178"/>
    </row>
    <row r="46489" spans="18:19">
      <c r="R46489" s="178"/>
      <c r="S46489" s="178"/>
    </row>
    <row r="46490" spans="18:19">
      <c r="R46490" s="178"/>
      <c r="S46490" s="178"/>
    </row>
    <row r="46491" spans="18:19">
      <c r="R46491" s="178"/>
      <c r="S46491" s="178"/>
    </row>
    <row r="46492" spans="18:19">
      <c r="R46492" s="178"/>
      <c r="S46492" s="178"/>
    </row>
    <row r="46493" spans="18:19">
      <c r="R46493" s="178"/>
      <c r="S46493" s="178"/>
    </row>
    <row r="46494" spans="18:19">
      <c r="R46494" s="178"/>
      <c r="S46494" s="178"/>
    </row>
    <row r="46495" spans="18:19">
      <c r="R46495" s="178"/>
      <c r="S46495" s="178"/>
    </row>
    <row r="46496" spans="18:19">
      <c r="R46496" s="178"/>
      <c r="S46496" s="178"/>
    </row>
    <row r="46497" spans="18:19">
      <c r="R46497" s="178"/>
      <c r="S46497" s="178"/>
    </row>
    <row r="46498" spans="18:19">
      <c r="R46498" s="178"/>
      <c r="S46498" s="178"/>
    </row>
    <row r="46499" spans="18:19">
      <c r="R46499" s="178"/>
      <c r="S46499" s="178"/>
    </row>
    <row r="46500" spans="18:19">
      <c r="R46500" s="178"/>
      <c r="S46500" s="178"/>
    </row>
    <row r="46501" spans="18:19">
      <c r="R46501" s="178"/>
      <c r="S46501" s="178"/>
    </row>
    <row r="46502" spans="18:19">
      <c r="R46502" s="178"/>
      <c r="S46502" s="178"/>
    </row>
    <row r="46503" spans="18:19">
      <c r="R46503" s="178"/>
      <c r="S46503" s="178"/>
    </row>
    <row r="46504" spans="18:19">
      <c r="R46504" s="178"/>
      <c r="S46504" s="178"/>
    </row>
    <row r="46505" spans="18:19">
      <c r="R46505" s="178"/>
      <c r="S46505" s="178"/>
    </row>
    <row r="46506" spans="18:19">
      <c r="R46506" s="178"/>
      <c r="S46506" s="178"/>
    </row>
    <row r="46507" spans="18:19">
      <c r="R46507" s="178"/>
      <c r="S46507" s="178"/>
    </row>
    <row r="46508" spans="18:19">
      <c r="R46508" s="178"/>
      <c r="S46508" s="178"/>
    </row>
    <row r="46509" spans="18:19">
      <c r="R46509" s="178"/>
      <c r="S46509" s="178"/>
    </row>
    <row r="46510" spans="18:19">
      <c r="R46510" s="178"/>
      <c r="S46510" s="178"/>
    </row>
    <row r="46511" spans="18:19">
      <c r="R46511" s="178"/>
      <c r="S46511" s="178"/>
    </row>
    <row r="46512" spans="18:19">
      <c r="R46512" s="178"/>
      <c r="S46512" s="178"/>
    </row>
    <row r="46513" spans="18:19">
      <c r="R46513" s="178"/>
      <c r="S46513" s="178"/>
    </row>
    <row r="46514" spans="18:19">
      <c r="R46514" s="178"/>
      <c r="S46514" s="178"/>
    </row>
    <row r="46515" spans="18:19">
      <c r="R46515" s="178"/>
      <c r="S46515" s="178"/>
    </row>
    <row r="46516" spans="18:19">
      <c r="R46516" s="178"/>
      <c r="S46516" s="178"/>
    </row>
    <row r="46517" spans="18:19">
      <c r="R46517" s="178"/>
      <c r="S46517" s="178"/>
    </row>
    <row r="46518" spans="18:19">
      <c r="R46518" s="178"/>
      <c r="S46518" s="178"/>
    </row>
    <row r="46519" spans="18:19">
      <c r="R46519" s="178"/>
      <c r="S46519" s="178"/>
    </row>
    <row r="46520" spans="18:19">
      <c r="R46520" s="178"/>
      <c r="S46520" s="178"/>
    </row>
    <row r="46521" spans="18:19">
      <c r="R46521" s="178"/>
      <c r="S46521" s="178"/>
    </row>
    <row r="46522" spans="18:19">
      <c r="R46522" s="178"/>
      <c r="S46522" s="178"/>
    </row>
    <row r="46523" spans="18:19">
      <c r="R46523" s="178"/>
      <c r="S46523" s="178"/>
    </row>
    <row r="46524" spans="18:19">
      <c r="R46524" s="178"/>
      <c r="S46524" s="178"/>
    </row>
    <row r="46525" spans="18:19">
      <c r="R46525" s="178"/>
      <c r="S46525" s="178"/>
    </row>
    <row r="46526" spans="18:19">
      <c r="R46526" s="178"/>
      <c r="S46526" s="178"/>
    </row>
    <row r="46527" spans="18:19">
      <c r="R46527" s="178"/>
      <c r="S46527" s="178"/>
    </row>
    <row r="46528" spans="18:19">
      <c r="R46528" s="178"/>
      <c r="S46528" s="178"/>
    </row>
    <row r="46529" spans="18:19">
      <c r="R46529" s="178"/>
      <c r="S46529" s="178"/>
    </row>
    <row r="46530" spans="18:19">
      <c r="R46530" s="178"/>
      <c r="S46530" s="178"/>
    </row>
    <row r="46531" spans="18:19">
      <c r="R46531" s="178"/>
      <c r="S46531" s="178"/>
    </row>
    <row r="46532" spans="18:19">
      <c r="R46532" s="178"/>
      <c r="S46532" s="178"/>
    </row>
    <row r="46533" spans="18:19">
      <c r="R46533" s="178"/>
      <c r="S46533" s="178"/>
    </row>
    <row r="46534" spans="18:19">
      <c r="R46534" s="178"/>
      <c r="S46534" s="178"/>
    </row>
    <row r="46535" spans="18:19">
      <c r="R46535" s="178"/>
      <c r="S46535" s="178"/>
    </row>
    <row r="46536" spans="18:19">
      <c r="R46536" s="178"/>
      <c r="S46536" s="178"/>
    </row>
    <row r="46537" spans="18:19">
      <c r="R46537" s="178"/>
      <c r="S46537" s="178"/>
    </row>
    <row r="46538" spans="18:19">
      <c r="R46538" s="178"/>
      <c r="S46538" s="178"/>
    </row>
    <row r="46539" spans="18:19">
      <c r="R46539" s="178"/>
      <c r="S46539" s="178"/>
    </row>
    <row r="46540" spans="18:19">
      <c r="R46540" s="178"/>
      <c r="S46540" s="178"/>
    </row>
    <row r="46541" spans="18:19">
      <c r="R46541" s="178"/>
      <c r="S46541" s="178"/>
    </row>
    <row r="46542" spans="18:19">
      <c r="R46542" s="178"/>
      <c r="S46542" s="178"/>
    </row>
    <row r="46543" spans="18:19">
      <c r="R46543" s="178"/>
      <c r="S46543" s="178"/>
    </row>
    <row r="46544" spans="18:19">
      <c r="R46544" s="178"/>
      <c r="S46544" s="178"/>
    </row>
    <row r="46545" spans="18:19">
      <c r="R46545" s="178"/>
      <c r="S46545" s="178"/>
    </row>
    <row r="46546" spans="18:19">
      <c r="R46546" s="178"/>
      <c r="S46546" s="178"/>
    </row>
    <row r="46547" spans="18:19">
      <c r="R46547" s="178"/>
      <c r="S46547" s="178"/>
    </row>
    <row r="46548" spans="18:19">
      <c r="R46548" s="178"/>
      <c r="S46548" s="178"/>
    </row>
    <row r="46549" spans="18:19">
      <c r="R46549" s="178"/>
      <c r="S46549" s="178"/>
    </row>
    <row r="46550" spans="18:19">
      <c r="R46550" s="178"/>
      <c r="S46550" s="178"/>
    </row>
    <row r="46551" spans="18:19">
      <c r="R46551" s="178"/>
      <c r="S46551" s="178"/>
    </row>
    <row r="46552" spans="18:19">
      <c r="R46552" s="178"/>
      <c r="S46552" s="178"/>
    </row>
    <row r="46553" spans="18:19">
      <c r="R46553" s="178"/>
      <c r="S46553" s="178"/>
    </row>
    <row r="46554" spans="18:19">
      <c r="R46554" s="178"/>
      <c r="S46554" s="178"/>
    </row>
    <row r="46555" spans="18:19">
      <c r="R46555" s="178"/>
      <c r="S46555" s="178"/>
    </row>
    <row r="46556" spans="18:19">
      <c r="R46556" s="178"/>
      <c r="S46556" s="178"/>
    </row>
    <row r="46557" spans="18:19">
      <c r="R46557" s="178"/>
      <c r="S46557" s="178"/>
    </row>
    <row r="46558" spans="18:19">
      <c r="R46558" s="178"/>
      <c r="S46558" s="178"/>
    </row>
    <row r="46559" spans="18:19">
      <c r="R46559" s="178"/>
      <c r="S46559" s="178"/>
    </row>
    <row r="46560" spans="18:19">
      <c r="R46560" s="178"/>
      <c r="S46560" s="178"/>
    </row>
    <row r="46561" spans="18:19">
      <c r="R46561" s="178"/>
      <c r="S46561" s="178"/>
    </row>
    <row r="46562" spans="18:19">
      <c r="R46562" s="178"/>
      <c r="S46562" s="178"/>
    </row>
    <row r="46563" spans="18:19">
      <c r="R46563" s="178"/>
      <c r="S46563" s="178"/>
    </row>
    <row r="46564" spans="18:19">
      <c r="R46564" s="178"/>
      <c r="S46564" s="178"/>
    </row>
    <row r="46565" spans="18:19">
      <c r="R46565" s="178"/>
      <c r="S46565" s="178"/>
    </row>
    <row r="46566" spans="18:19">
      <c r="R46566" s="178"/>
      <c r="S46566" s="178"/>
    </row>
    <row r="46567" spans="18:19">
      <c r="R46567" s="178"/>
      <c r="S46567" s="178"/>
    </row>
    <row r="46568" spans="18:19">
      <c r="R46568" s="178"/>
      <c r="S46568" s="178"/>
    </row>
    <row r="46569" spans="18:19">
      <c r="R46569" s="178"/>
      <c r="S46569" s="178"/>
    </row>
    <row r="46570" spans="18:19">
      <c r="R46570" s="178"/>
      <c r="S46570" s="178"/>
    </row>
    <row r="46571" spans="18:19">
      <c r="R46571" s="178"/>
      <c r="S46571" s="178"/>
    </row>
    <row r="46572" spans="18:19">
      <c r="R46572" s="178"/>
      <c r="S46572" s="178"/>
    </row>
    <row r="46573" spans="18:19">
      <c r="R46573" s="178"/>
      <c r="S46573" s="178"/>
    </row>
    <row r="46574" spans="18:19">
      <c r="R46574" s="178"/>
      <c r="S46574" s="178"/>
    </row>
    <row r="46575" spans="18:19">
      <c r="R46575" s="178"/>
      <c r="S46575" s="178"/>
    </row>
    <row r="46576" spans="18:19">
      <c r="R46576" s="178"/>
      <c r="S46576" s="178"/>
    </row>
    <row r="46577" spans="18:19">
      <c r="R46577" s="178"/>
      <c r="S46577" s="178"/>
    </row>
    <row r="46578" spans="18:19">
      <c r="R46578" s="178"/>
      <c r="S46578" s="178"/>
    </row>
    <row r="46579" spans="18:19">
      <c r="R46579" s="178"/>
      <c r="S46579" s="178"/>
    </row>
    <row r="46580" spans="18:19">
      <c r="R46580" s="178"/>
      <c r="S46580" s="178"/>
    </row>
    <row r="46581" spans="18:19">
      <c r="R46581" s="178"/>
      <c r="S46581" s="178"/>
    </row>
    <row r="46582" spans="18:19">
      <c r="R46582" s="178"/>
      <c r="S46582" s="178"/>
    </row>
    <row r="46583" spans="18:19">
      <c r="R46583" s="178"/>
      <c r="S46583" s="178"/>
    </row>
    <row r="46584" spans="18:19">
      <c r="R46584" s="178"/>
      <c r="S46584" s="178"/>
    </row>
    <row r="46585" spans="18:19">
      <c r="R46585" s="178"/>
      <c r="S46585" s="178"/>
    </row>
    <row r="46586" spans="18:19">
      <c r="R46586" s="178"/>
      <c r="S46586" s="178"/>
    </row>
    <row r="46587" spans="18:19">
      <c r="R46587" s="178"/>
      <c r="S46587" s="178"/>
    </row>
    <row r="46588" spans="18:19">
      <c r="R46588" s="178"/>
      <c r="S46588" s="178"/>
    </row>
    <row r="46589" spans="18:19">
      <c r="R46589" s="178"/>
      <c r="S46589" s="178"/>
    </row>
    <row r="46590" spans="18:19">
      <c r="R46590" s="178"/>
      <c r="S46590" s="178"/>
    </row>
    <row r="46591" spans="18:19">
      <c r="R46591" s="178"/>
      <c r="S46591" s="178"/>
    </row>
    <row r="46592" spans="18:19">
      <c r="R46592" s="178"/>
      <c r="S46592" s="178"/>
    </row>
    <row r="46593" spans="18:19">
      <c r="R46593" s="178"/>
      <c r="S46593" s="178"/>
    </row>
    <row r="46594" spans="18:19">
      <c r="R46594" s="178"/>
      <c r="S46594" s="178"/>
    </row>
    <row r="46595" spans="18:19">
      <c r="R46595" s="178"/>
      <c r="S46595" s="178"/>
    </row>
    <row r="46596" spans="18:19">
      <c r="R46596" s="178"/>
      <c r="S46596" s="178"/>
    </row>
    <row r="46597" spans="18:19">
      <c r="R46597" s="178"/>
      <c r="S46597" s="178"/>
    </row>
    <row r="46598" spans="18:19">
      <c r="R46598" s="178"/>
      <c r="S46598" s="178"/>
    </row>
    <row r="46599" spans="18:19">
      <c r="R46599" s="178"/>
      <c r="S46599" s="178"/>
    </row>
    <row r="46600" spans="18:19">
      <c r="R46600" s="178"/>
      <c r="S46600" s="178"/>
    </row>
    <row r="46601" spans="18:19">
      <c r="R46601" s="178"/>
      <c r="S46601" s="178"/>
    </row>
    <row r="46602" spans="18:19">
      <c r="R46602" s="178"/>
      <c r="S46602" s="178"/>
    </row>
    <row r="46603" spans="18:19">
      <c r="R46603" s="178"/>
      <c r="S46603" s="178"/>
    </row>
    <row r="46604" spans="18:19">
      <c r="R46604" s="178"/>
      <c r="S46604" s="178"/>
    </row>
    <row r="46605" spans="18:19">
      <c r="R46605" s="178"/>
      <c r="S46605" s="178"/>
    </row>
    <row r="46606" spans="18:19">
      <c r="R46606" s="178"/>
      <c r="S46606" s="178"/>
    </row>
    <row r="46607" spans="18:19">
      <c r="R46607" s="178"/>
      <c r="S46607" s="178"/>
    </row>
    <row r="46608" spans="18:19">
      <c r="R46608" s="178"/>
      <c r="S46608" s="178"/>
    </row>
    <row r="46609" spans="18:19">
      <c r="R46609" s="178"/>
      <c r="S46609" s="178"/>
    </row>
    <row r="46610" spans="18:19">
      <c r="R46610" s="178"/>
      <c r="S46610" s="178"/>
    </row>
    <row r="46611" spans="18:19">
      <c r="R46611" s="178"/>
      <c r="S46611" s="178"/>
    </row>
    <row r="46612" spans="18:19">
      <c r="R46612" s="178"/>
      <c r="S46612" s="178"/>
    </row>
    <row r="46613" spans="18:19">
      <c r="R46613" s="178"/>
      <c r="S46613" s="178"/>
    </row>
    <row r="46614" spans="18:19">
      <c r="R46614" s="178"/>
      <c r="S46614" s="178"/>
    </row>
    <row r="46615" spans="18:19">
      <c r="R46615" s="178"/>
      <c r="S46615" s="178"/>
    </row>
    <row r="46616" spans="18:19">
      <c r="R46616" s="178"/>
      <c r="S46616" s="178"/>
    </row>
    <row r="46617" spans="18:19">
      <c r="R46617" s="178"/>
      <c r="S46617" s="178"/>
    </row>
    <row r="46618" spans="18:19">
      <c r="R46618" s="178"/>
      <c r="S46618" s="178"/>
    </row>
    <row r="46619" spans="18:19">
      <c r="R46619" s="178"/>
      <c r="S46619" s="178"/>
    </row>
    <row r="46620" spans="18:19">
      <c r="R46620" s="178"/>
      <c r="S46620" s="178"/>
    </row>
    <row r="46621" spans="18:19">
      <c r="R46621" s="178"/>
      <c r="S46621" s="178"/>
    </row>
    <row r="46622" spans="18:19">
      <c r="R46622" s="178"/>
      <c r="S46622" s="178"/>
    </row>
    <row r="46623" spans="18:19">
      <c r="R46623" s="178"/>
      <c r="S46623" s="178"/>
    </row>
    <row r="46624" spans="18:19">
      <c r="R46624" s="178"/>
      <c r="S46624" s="178"/>
    </row>
    <row r="46625" spans="18:19">
      <c r="R46625" s="178"/>
      <c r="S46625" s="178"/>
    </row>
    <row r="46626" spans="18:19">
      <c r="R46626" s="178"/>
      <c r="S46626" s="178"/>
    </row>
    <row r="46627" spans="18:19">
      <c r="R46627" s="178"/>
      <c r="S46627" s="178"/>
    </row>
    <row r="46628" spans="18:19">
      <c r="R46628" s="178"/>
      <c r="S46628" s="178"/>
    </row>
    <row r="46629" spans="18:19">
      <c r="R46629" s="178"/>
      <c r="S46629" s="178"/>
    </row>
    <row r="46630" spans="18:19">
      <c r="R46630" s="178"/>
      <c r="S46630" s="178"/>
    </row>
    <row r="46631" spans="18:19">
      <c r="R46631" s="178"/>
      <c r="S46631" s="178"/>
    </row>
    <row r="46632" spans="18:19">
      <c r="R46632" s="178"/>
      <c r="S46632" s="178"/>
    </row>
    <row r="46633" spans="18:19">
      <c r="R46633" s="178"/>
      <c r="S46633" s="178"/>
    </row>
    <row r="46634" spans="18:19">
      <c r="R46634" s="178"/>
      <c r="S46634" s="178"/>
    </row>
    <row r="46635" spans="18:19">
      <c r="R46635" s="178"/>
      <c r="S46635" s="178"/>
    </row>
    <row r="46636" spans="18:19">
      <c r="R46636" s="178"/>
      <c r="S46636" s="178"/>
    </row>
    <row r="46637" spans="18:19">
      <c r="R46637" s="178"/>
      <c r="S46637" s="178"/>
    </row>
    <row r="46638" spans="18:19">
      <c r="R46638" s="178"/>
      <c r="S46638" s="178"/>
    </row>
    <row r="46639" spans="18:19">
      <c r="R46639" s="178"/>
      <c r="S46639" s="178"/>
    </row>
    <row r="46640" spans="18:19">
      <c r="R46640" s="178"/>
      <c r="S46640" s="178"/>
    </row>
    <row r="46641" spans="18:19">
      <c r="R46641" s="178"/>
      <c r="S46641" s="178"/>
    </row>
    <row r="46642" spans="18:19">
      <c r="R46642" s="178"/>
      <c r="S46642" s="178"/>
    </row>
    <row r="46643" spans="18:19">
      <c r="R46643" s="178"/>
      <c r="S46643" s="178"/>
    </row>
    <row r="46644" spans="18:19">
      <c r="R46644" s="178"/>
      <c r="S46644" s="178"/>
    </row>
    <row r="46645" spans="18:19">
      <c r="R46645" s="178"/>
      <c r="S46645" s="178"/>
    </row>
    <row r="46646" spans="18:19">
      <c r="R46646" s="178"/>
      <c r="S46646" s="178"/>
    </row>
    <row r="46647" spans="18:19">
      <c r="R46647" s="178"/>
      <c r="S46647" s="178"/>
    </row>
    <row r="46648" spans="18:19">
      <c r="R46648" s="178"/>
      <c r="S46648" s="178"/>
    </row>
    <row r="46649" spans="18:19">
      <c r="R46649" s="178"/>
      <c r="S46649" s="178"/>
    </row>
    <row r="46650" spans="18:19">
      <c r="R46650" s="178"/>
      <c r="S46650" s="178"/>
    </row>
    <row r="46651" spans="18:19">
      <c r="R46651" s="178"/>
      <c r="S46651" s="178"/>
    </row>
    <row r="46652" spans="18:19">
      <c r="R46652" s="178"/>
      <c r="S46652" s="178"/>
    </row>
    <row r="46653" spans="18:19">
      <c r="R46653" s="178"/>
      <c r="S46653" s="178"/>
    </row>
    <row r="46654" spans="18:19">
      <c r="R46654" s="178"/>
      <c r="S46654" s="178"/>
    </row>
    <row r="46655" spans="18:19">
      <c r="R46655" s="178"/>
      <c r="S46655" s="178"/>
    </row>
    <row r="46656" spans="18:19">
      <c r="R46656" s="178"/>
      <c r="S46656" s="178"/>
    </row>
    <row r="46657" spans="18:19">
      <c r="R46657" s="178"/>
      <c r="S46657" s="178"/>
    </row>
    <row r="46658" spans="18:19">
      <c r="R46658" s="178"/>
      <c r="S46658" s="178"/>
    </row>
    <row r="46659" spans="18:19">
      <c r="R46659" s="178"/>
      <c r="S46659" s="178"/>
    </row>
    <row r="46660" spans="18:19">
      <c r="R46660" s="178"/>
      <c r="S46660" s="178"/>
    </row>
    <row r="46661" spans="18:19">
      <c r="R46661" s="178"/>
      <c r="S46661" s="178"/>
    </row>
    <row r="46662" spans="18:19">
      <c r="R46662" s="178"/>
      <c r="S46662" s="178"/>
    </row>
    <row r="46663" spans="18:19">
      <c r="R46663" s="178"/>
      <c r="S46663" s="178"/>
    </row>
    <row r="46664" spans="18:19">
      <c r="R46664" s="178"/>
      <c r="S46664" s="178"/>
    </row>
    <row r="46665" spans="18:19">
      <c r="R46665" s="178"/>
      <c r="S46665" s="178"/>
    </row>
    <row r="46666" spans="18:19">
      <c r="R46666" s="178"/>
      <c r="S46666" s="178"/>
    </row>
    <row r="46667" spans="18:19">
      <c r="R46667" s="178"/>
      <c r="S46667" s="178"/>
    </row>
    <row r="46668" spans="18:19">
      <c r="R46668" s="178"/>
      <c r="S46668" s="178"/>
    </row>
    <row r="46669" spans="18:19">
      <c r="R46669" s="178"/>
      <c r="S46669" s="178"/>
    </row>
    <row r="46670" spans="18:19">
      <c r="R46670" s="178"/>
      <c r="S46670" s="178"/>
    </row>
    <row r="46671" spans="18:19">
      <c r="R46671" s="178"/>
      <c r="S46671" s="178"/>
    </row>
    <row r="46672" spans="18:19">
      <c r="R46672" s="178"/>
      <c r="S46672" s="178"/>
    </row>
    <row r="46673" spans="18:19">
      <c r="R46673" s="178"/>
      <c r="S46673" s="178"/>
    </row>
    <row r="46674" spans="18:19">
      <c r="R46674" s="178"/>
      <c r="S46674" s="178"/>
    </row>
    <row r="46675" spans="18:19">
      <c r="R46675" s="178"/>
      <c r="S46675" s="178"/>
    </row>
    <row r="46676" spans="18:19">
      <c r="R46676" s="178"/>
      <c r="S46676" s="178"/>
    </row>
    <row r="46677" spans="18:19">
      <c r="R46677" s="178"/>
      <c r="S46677" s="178"/>
    </row>
    <row r="46678" spans="18:19">
      <c r="R46678" s="178"/>
      <c r="S46678" s="178"/>
    </row>
    <row r="46679" spans="18:19">
      <c r="R46679" s="178"/>
      <c r="S46679" s="178"/>
    </row>
    <row r="46680" spans="18:19">
      <c r="R46680" s="178"/>
      <c r="S46680" s="178"/>
    </row>
    <row r="46681" spans="18:19">
      <c r="R46681" s="178"/>
      <c r="S46681" s="178"/>
    </row>
    <row r="46682" spans="18:19">
      <c r="R46682" s="178"/>
      <c r="S46682" s="178"/>
    </row>
    <row r="46683" spans="18:19">
      <c r="R46683" s="178"/>
      <c r="S46683" s="178"/>
    </row>
    <row r="46684" spans="18:19">
      <c r="R46684" s="178"/>
      <c r="S46684" s="178"/>
    </row>
    <row r="46685" spans="18:19">
      <c r="R46685" s="178"/>
      <c r="S46685" s="178"/>
    </row>
    <row r="46686" spans="18:19">
      <c r="R46686" s="178"/>
      <c r="S46686" s="178"/>
    </row>
    <row r="46687" spans="18:19">
      <c r="R46687" s="178"/>
      <c r="S46687" s="178"/>
    </row>
    <row r="46688" spans="18:19">
      <c r="R46688" s="178"/>
      <c r="S46688" s="178"/>
    </row>
    <row r="46689" spans="18:19">
      <c r="R46689" s="178"/>
      <c r="S46689" s="178"/>
    </row>
    <row r="46690" spans="18:19">
      <c r="R46690" s="178"/>
      <c r="S46690" s="178"/>
    </row>
    <row r="46691" spans="18:19">
      <c r="R46691" s="178"/>
      <c r="S46691" s="178"/>
    </row>
    <row r="46692" spans="18:19">
      <c r="R46692" s="178"/>
      <c r="S46692" s="178"/>
    </row>
    <row r="46693" spans="18:19">
      <c r="R46693" s="178"/>
      <c r="S46693" s="178"/>
    </row>
    <row r="46694" spans="18:19">
      <c r="R46694" s="178"/>
      <c r="S46694" s="178"/>
    </row>
    <row r="46695" spans="18:19">
      <c r="R46695" s="178"/>
      <c r="S46695" s="178"/>
    </row>
    <row r="46696" spans="18:19">
      <c r="R46696" s="178"/>
      <c r="S46696" s="178"/>
    </row>
    <row r="46697" spans="18:19">
      <c r="R46697" s="178"/>
      <c r="S46697" s="178"/>
    </row>
    <row r="46698" spans="18:19">
      <c r="R46698" s="178"/>
      <c r="S46698" s="178"/>
    </row>
    <row r="46699" spans="18:19">
      <c r="R46699" s="178"/>
      <c r="S46699" s="178"/>
    </row>
    <row r="46700" spans="18:19">
      <c r="R46700" s="178"/>
      <c r="S46700" s="178"/>
    </row>
    <row r="46701" spans="18:19">
      <c r="R46701" s="178"/>
      <c r="S46701" s="178"/>
    </row>
    <row r="46702" spans="18:19">
      <c r="R46702" s="178"/>
      <c r="S46702" s="178"/>
    </row>
    <row r="46703" spans="18:19">
      <c r="R46703" s="178"/>
      <c r="S46703" s="178"/>
    </row>
    <row r="46704" spans="18:19">
      <c r="R46704" s="178"/>
      <c r="S46704" s="178"/>
    </row>
    <row r="46705" spans="18:19">
      <c r="R46705" s="178"/>
      <c r="S46705" s="178"/>
    </row>
    <row r="46706" spans="18:19">
      <c r="R46706" s="178"/>
      <c r="S46706" s="178"/>
    </row>
    <row r="46707" spans="18:19">
      <c r="R46707" s="178"/>
      <c r="S46707" s="178"/>
    </row>
    <row r="46708" spans="18:19">
      <c r="R46708" s="178"/>
      <c r="S46708" s="178"/>
    </row>
    <row r="46709" spans="18:19">
      <c r="R46709" s="178"/>
      <c r="S46709" s="178"/>
    </row>
    <row r="46710" spans="18:19">
      <c r="R46710" s="178"/>
      <c r="S46710" s="178"/>
    </row>
    <row r="46711" spans="18:19">
      <c r="R46711" s="178"/>
      <c r="S46711" s="178"/>
    </row>
    <row r="46712" spans="18:19">
      <c r="R46712" s="178"/>
      <c r="S46712" s="178"/>
    </row>
    <row r="46713" spans="18:19">
      <c r="R46713" s="178"/>
      <c r="S46713" s="178"/>
    </row>
    <row r="46714" spans="18:19">
      <c r="R46714" s="178"/>
      <c r="S46714" s="178"/>
    </row>
    <row r="46715" spans="18:19">
      <c r="R46715" s="178"/>
      <c r="S46715" s="178"/>
    </row>
    <row r="46716" spans="18:19">
      <c r="R46716" s="178"/>
      <c r="S46716" s="178"/>
    </row>
    <row r="46717" spans="18:19">
      <c r="R46717" s="178"/>
      <c r="S46717" s="178"/>
    </row>
    <row r="46718" spans="18:19">
      <c r="R46718" s="178"/>
      <c r="S46718" s="178"/>
    </row>
    <row r="46719" spans="18:19">
      <c r="R46719" s="178"/>
      <c r="S46719" s="178"/>
    </row>
    <row r="46720" spans="18:19">
      <c r="R46720" s="178"/>
      <c r="S46720" s="178"/>
    </row>
    <row r="46721" spans="18:19">
      <c r="R46721" s="178"/>
      <c r="S46721" s="178"/>
    </row>
    <row r="46722" spans="18:19">
      <c r="R46722" s="178"/>
      <c r="S46722" s="178"/>
    </row>
    <row r="46723" spans="18:19">
      <c r="R46723" s="178"/>
      <c r="S46723" s="178"/>
    </row>
    <row r="46724" spans="18:19">
      <c r="R46724" s="178"/>
      <c r="S46724" s="178"/>
    </row>
    <row r="46725" spans="18:19">
      <c r="R46725" s="178"/>
      <c r="S46725" s="178"/>
    </row>
    <row r="46726" spans="18:19">
      <c r="R46726" s="178"/>
      <c r="S46726" s="178"/>
    </row>
    <row r="46727" spans="18:19">
      <c r="R46727" s="178"/>
      <c r="S46727" s="178"/>
    </row>
    <row r="46728" spans="18:19">
      <c r="R46728" s="178"/>
      <c r="S46728" s="178"/>
    </row>
    <row r="46729" spans="18:19">
      <c r="R46729" s="178"/>
      <c r="S46729" s="178"/>
    </row>
    <row r="46730" spans="18:19">
      <c r="R46730" s="178"/>
      <c r="S46730" s="178"/>
    </row>
    <row r="46731" spans="18:19">
      <c r="R46731" s="178"/>
      <c r="S46731" s="178"/>
    </row>
    <row r="46732" spans="18:19">
      <c r="R46732" s="178"/>
      <c r="S46732" s="178"/>
    </row>
    <row r="46733" spans="18:19">
      <c r="R46733" s="178"/>
      <c r="S46733" s="178"/>
    </row>
    <row r="46734" spans="18:19">
      <c r="R46734" s="178"/>
      <c r="S46734" s="178"/>
    </row>
    <row r="46735" spans="18:19">
      <c r="R46735" s="178"/>
      <c r="S46735" s="178"/>
    </row>
    <row r="46736" spans="18:19">
      <c r="R46736" s="178"/>
      <c r="S46736" s="178"/>
    </row>
    <row r="46737" spans="18:19">
      <c r="R46737" s="178"/>
      <c r="S46737" s="178"/>
    </row>
    <row r="46738" spans="18:19">
      <c r="R46738" s="178"/>
      <c r="S46738" s="178"/>
    </row>
    <row r="46739" spans="18:19">
      <c r="R46739" s="178"/>
      <c r="S46739" s="178"/>
    </row>
    <row r="46740" spans="18:19">
      <c r="R46740" s="178"/>
      <c r="S46740" s="178"/>
    </row>
    <row r="46741" spans="18:19">
      <c r="R46741" s="178"/>
      <c r="S46741" s="178"/>
    </row>
    <row r="46742" spans="18:19">
      <c r="R46742" s="178"/>
      <c r="S46742" s="178"/>
    </row>
    <row r="46743" spans="18:19">
      <c r="R46743" s="178"/>
      <c r="S46743" s="178"/>
    </row>
    <row r="46744" spans="18:19">
      <c r="R46744" s="178"/>
      <c r="S46744" s="178"/>
    </row>
    <row r="46745" spans="18:19">
      <c r="R46745" s="178"/>
      <c r="S46745" s="178"/>
    </row>
    <row r="46746" spans="18:19">
      <c r="R46746" s="178"/>
      <c r="S46746" s="178"/>
    </row>
    <row r="46747" spans="18:19">
      <c r="R46747" s="178"/>
      <c r="S46747" s="178"/>
    </row>
    <row r="46748" spans="18:19">
      <c r="R46748" s="178"/>
      <c r="S46748" s="178"/>
    </row>
    <row r="46749" spans="18:19">
      <c r="R46749" s="178"/>
      <c r="S46749" s="178"/>
    </row>
    <row r="46750" spans="18:19">
      <c r="R46750" s="178"/>
      <c r="S46750" s="178"/>
    </row>
    <row r="46751" spans="18:19">
      <c r="R46751" s="178"/>
      <c r="S46751" s="178"/>
    </row>
    <row r="46752" spans="18:19">
      <c r="R46752" s="178"/>
      <c r="S46752" s="178"/>
    </row>
    <row r="46753" spans="18:19">
      <c r="R46753" s="178"/>
      <c r="S46753" s="178"/>
    </row>
    <row r="46754" spans="18:19">
      <c r="R46754" s="178"/>
      <c r="S46754" s="178"/>
    </row>
    <row r="46755" spans="18:19">
      <c r="R46755" s="178"/>
      <c r="S46755" s="178"/>
    </row>
    <row r="46756" spans="18:19">
      <c r="R46756" s="178"/>
      <c r="S46756" s="178"/>
    </row>
    <row r="46757" spans="18:19">
      <c r="R46757" s="178"/>
      <c r="S46757" s="178"/>
    </row>
    <row r="46758" spans="18:19">
      <c r="R46758" s="178"/>
      <c r="S46758" s="178"/>
    </row>
    <row r="46759" spans="18:19">
      <c r="R46759" s="178"/>
      <c r="S46759" s="178"/>
    </row>
    <row r="46760" spans="18:19">
      <c r="R46760" s="178"/>
      <c r="S46760" s="178"/>
    </row>
    <row r="46761" spans="18:19">
      <c r="R46761" s="178"/>
      <c r="S46761" s="178"/>
    </row>
    <row r="46762" spans="18:19">
      <c r="R46762" s="178"/>
      <c r="S46762" s="178"/>
    </row>
    <row r="46763" spans="18:19">
      <c r="R46763" s="178"/>
      <c r="S46763" s="178"/>
    </row>
    <row r="46764" spans="18:19">
      <c r="R46764" s="178"/>
      <c r="S46764" s="178"/>
    </row>
    <row r="46765" spans="18:19">
      <c r="R46765" s="178"/>
      <c r="S46765" s="178"/>
    </row>
    <row r="46766" spans="18:19">
      <c r="R46766" s="178"/>
      <c r="S46766" s="178"/>
    </row>
    <row r="46767" spans="18:19">
      <c r="R46767" s="178"/>
      <c r="S46767" s="178"/>
    </row>
    <row r="46768" spans="18:19">
      <c r="R46768" s="178"/>
      <c r="S46768" s="178"/>
    </row>
    <row r="46769" spans="18:19">
      <c r="R46769" s="178"/>
      <c r="S46769" s="178"/>
    </row>
    <row r="46770" spans="18:19">
      <c r="R46770" s="178"/>
      <c r="S46770" s="178"/>
    </row>
    <row r="46771" spans="18:19">
      <c r="R46771" s="178"/>
      <c r="S46771" s="178"/>
    </row>
    <row r="46772" spans="18:19">
      <c r="R46772" s="178"/>
      <c r="S46772" s="178"/>
    </row>
    <row r="46773" spans="18:19">
      <c r="R46773" s="178"/>
      <c r="S46773" s="178"/>
    </row>
    <row r="46774" spans="18:19">
      <c r="R46774" s="178"/>
      <c r="S46774" s="178"/>
    </row>
    <row r="46775" spans="18:19">
      <c r="R46775" s="178"/>
      <c r="S46775" s="178"/>
    </row>
    <row r="46776" spans="18:19">
      <c r="R46776" s="178"/>
      <c r="S46776" s="178"/>
    </row>
    <row r="46777" spans="18:19">
      <c r="R46777" s="178"/>
      <c r="S46777" s="178"/>
    </row>
    <row r="46778" spans="18:19">
      <c r="R46778" s="178"/>
      <c r="S46778" s="178"/>
    </row>
    <row r="46779" spans="18:19">
      <c r="R46779" s="178"/>
      <c r="S46779" s="178"/>
    </row>
    <row r="46780" spans="18:19">
      <c r="R46780" s="178"/>
      <c r="S46780" s="178"/>
    </row>
    <row r="46781" spans="18:19">
      <c r="R46781" s="178"/>
      <c r="S46781" s="178"/>
    </row>
    <row r="46782" spans="18:19">
      <c r="R46782" s="178"/>
      <c r="S46782" s="178"/>
    </row>
    <row r="46783" spans="18:19">
      <c r="R46783" s="178"/>
      <c r="S46783" s="178"/>
    </row>
    <row r="46784" spans="18:19">
      <c r="R46784" s="178"/>
      <c r="S46784" s="178"/>
    </row>
    <row r="46785" spans="18:19">
      <c r="R46785" s="178"/>
      <c r="S46785" s="178"/>
    </row>
    <row r="46786" spans="18:19">
      <c r="R46786" s="178"/>
      <c r="S46786" s="178"/>
    </row>
    <row r="46787" spans="18:19">
      <c r="R46787" s="178"/>
      <c r="S46787" s="178"/>
    </row>
    <row r="46788" spans="18:19">
      <c r="R46788" s="178"/>
      <c r="S46788" s="178"/>
    </row>
    <row r="46789" spans="18:19">
      <c r="R46789" s="178"/>
      <c r="S46789" s="178"/>
    </row>
    <row r="46790" spans="18:19">
      <c r="R46790" s="178"/>
      <c r="S46790" s="178"/>
    </row>
    <row r="46791" spans="18:19">
      <c r="R46791" s="178"/>
      <c r="S46791" s="178"/>
    </row>
    <row r="46792" spans="18:19">
      <c r="R46792" s="178"/>
      <c r="S46792" s="178"/>
    </row>
    <row r="46793" spans="18:19">
      <c r="R46793" s="178"/>
      <c r="S46793" s="178"/>
    </row>
    <row r="46794" spans="18:19">
      <c r="R46794" s="178"/>
      <c r="S46794" s="178"/>
    </row>
    <row r="46795" spans="18:19">
      <c r="R46795" s="178"/>
      <c r="S46795" s="178"/>
    </row>
    <row r="46796" spans="18:19">
      <c r="R46796" s="178"/>
      <c r="S46796" s="178"/>
    </row>
    <row r="46797" spans="18:19">
      <c r="R46797" s="178"/>
      <c r="S46797" s="178"/>
    </row>
    <row r="46798" spans="18:19">
      <c r="R46798" s="178"/>
      <c r="S46798" s="178"/>
    </row>
    <row r="46799" spans="18:19">
      <c r="R46799" s="178"/>
      <c r="S46799" s="178"/>
    </row>
    <row r="46800" spans="18:19">
      <c r="R46800" s="178"/>
      <c r="S46800" s="178"/>
    </row>
    <row r="46801" spans="18:19">
      <c r="R46801" s="178"/>
      <c r="S46801" s="178"/>
    </row>
    <row r="46802" spans="18:19">
      <c r="R46802" s="178"/>
      <c r="S46802" s="178"/>
    </row>
    <row r="46803" spans="18:19">
      <c r="R46803" s="178"/>
      <c r="S46803" s="178"/>
    </row>
    <row r="46804" spans="18:19">
      <c r="R46804" s="178"/>
      <c r="S46804" s="178"/>
    </row>
    <row r="46805" spans="18:19">
      <c r="R46805" s="178"/>
      <c r="S46805" s="178"/>
    </row>
    <row r="46806" spans="18:19">
      <c r="R46806" s="178"/>
      <c r="S46806" s="178"/>
    </row>
    <row r="46807" spans="18:19">
      <c r="R46807" s="178"/>
      <c r="S46807" s="178"/>
    </row>
    <row r="46808" spans="18:19">
      <c r="R46808" s="178"/>
      <c r="S46808" s="178"/>
    </row>
    <row r="46809" spans="18:19">
      <c r="R46809" s="178"/>
      <c r="S46809" s="178"/>
    </row>
    <row r="46810" spans="18:19">
      <c r="R46810" s="178"/>
      <c r="S46810" s="178"/>
    </row>
    <row r="46811" spans="18:19">
      <c r="R46811" s="178"/>
      <c r="S46811" s="178"/>
    </row>
    <row r="46812" spans="18:19">
      <c r="R46812" s="178"/>
      <c r="S46812" s="178"/>
    </row>
    <row r="46813" spans="18:19">
      <c r="R46813" s="178"/>
      <c r="S46813" s="178"/>
    </row>
    <row r="46814" spans="18:19">
      <c r="R46814" s="178"/>
      <c r="S46814" s="178"/>
    </row>
    <row r="46815" spans="18:19">
      <c r="R46815" s="178"/>
      <c r="S46815" s="178"/>
    </row>
    <row r="46816" spans="18:19">
      <c r="R46816" s="178"/>
      <c r="S46816" s="178"/>
    </row>
    <row r="46817" spans="18:19">
      <c r="R46817" s="178"/>
      <c r="S46817" s="178"/>
    </row>
    <row r="46818" spans="18:19">
      <c r="R46818" s="178"/>
      <c r="S46818" s="178"/>
    </row>
    <row r="46819" spans="18:19">
      <c r="R46819" s="178"/>
      <c r="S46819" s="178"/>
    </row>
    <row r="46820" spans="18:19">
      <c r="R46820" s="178"/>
      <c r="S46820" s="178"/>
    </row>
    <row r="46821" spans="18:19">
      <c r="R46821" s="178"/>
      <c r="S46821" s="178"/>
    </row>
    <row r="46822" spans="18:19">
      <c r="R46822" s="178"/>
      <c r="S46822" s="178"/>
    </row>
    <row r="46823" spans="18:19">
      <c r="R46823" s="178"/>
      <c r="S46823" s="178"/>
    </row>
    <row r="46824" spans="18:19">
      <c r="R46824" s="178"/>
      <c r="S46824" s="178"/>
    </row>
    <row r="46825" spans="18:19">
      <c r="R46825" s="178"/>
      <c r="S46825" s="178"/>
    </row>
    <row r="46826" spans="18:19">
      <c r="R46826" s="178"/>
      <c r="S46826" s="178"/>
    </row>
    <row r="46827" spans="18:19">
      <c r="R46827" s="178"/>
      <c r="S46827" s="178"/>
    </row>
    <row r="46828" spans="18:19">
      <c r="R46828" s="178"/>
      <c r="S46828" s="178"/>
    </row>
    <row r="46829" spans="18:19">
      <c r="R46829" s="178"/>
      <c r="S46829" s="178"/>
    </row>
    <row r="46830" spans="18:19">
      <c r="R46830" s="178"/>
      <c r="S46830" s="178"/>
    </row>
    <row r="46831" spans="18:19">
      <c r="R46831" s="178"/>
      <c r="S46831" s="178"/>
    </row>
    <row r="46832" spans="18:19">
      <c r="R46832" s="178"/>
      <c r="S46832" s="178"/>
    </row>
    <row r="46833" spans="18:19">
      <c r="R46833" s="178"/>
      <c r="S46833" s="178"/>
    </row>
    <row r="46834" spans="18:19">
      <c r="R46834" s="178"/>
      <c r="S46834" s="178"/>
    </row>
    <row r="46835" spans="18:19">
      <c r="R46835" s="178"/>
      <c r="S46835" s="178"/>
    </row>
    <row r="46836" spans="18:19">
      <c r="R46836" s="178"/>
      <c r="S46836" s="178"/>
    </row>
    <row r="46837" spans="18:19">
      <c r="R46837" s="178"/>
      <c r="S46837" s="178"/>
    </row>
    <row r="46838" spans="18:19">
      <c r="R46838" s="178"/>
      <c r="S46838" s="178"/>
    </row>
    <row r="46839" spans="18:19">
      <c r="R46839" s="178"/>
      <c r="S46839" s="178"/>
    </row>
    <row r="46840" spans="18:19">
      <c r="R46840" s="178"/>
      <c r="S46840" s="178"/>
    </row>
    <row r="46841" spans="18:19">
      <c r="R46841" s="178"/>
      <c r="S46841" s="178"/>
    </row>
    <row r="46842" spans="18:19">
      <c r="R46842" s="178"/>
      <c r="S46842" s="178"/>
    </row>
    <row r="46843" spans="18:19">
      <c r="R46843" s="178"/>
      <c r="S46843" s="178"/>
    </row>
    <row r="46844" spans="18:19">
      <c r="R46844" s="178"/>
      <c r="S46844" s="178"/>
    </row>
    <row r="46845" spans="18:19">
      <c r="R46845" s="178"/>
      <c r="S46845" s="178"/>
    </row>
    <row r="46846" spans="18:19">
      <c r="R46846" s="178"/>
      <c r="S46846" s="178"/>
    </row>
    <row r="46847" spans="18:19">
      <c r="R46847" s="178"/>
      <c r="S46847" s="178"/>
    </row>
    <row r="46848" spans="18:19">
      <c r="R46848" s="178"/>
      <c r="S46848" s="178"/>
    </row>
    <row r="46849" spans="18:19">
      <c r="R46849" s="178"/>
      <c r="S46849" s="178"/>
    </row>
    <row r="46850" spans="18:19">
      <c r="R46850" s="178"/>
      <c r="S46850" s="178"/>
    </row>
    <row r="46851" spans="18:19">
      <c r="R46851" s="178"/>
      <c r="S46851" s="178"/>
    </row>
    <row r="46852" spans="18:19">
      <c r="R46852" s="178"/>
      <c r="S46852" s="178"/>
    </row>
    <row r="46853" spans="18:19">
      <c r="R46853" s="178"/>
      <c r="S46853" s="178"/>
    </row>
    <row r="46854" spans="18:19">
      <c r="R46854" s="178"/>
      <c r="S46854" s="178"/>
    </row>
    <row r="46855" spans="18:19">
      <c r="R46855" s="178"/>
      <c r="S46855" s="178"/>
    </row>
    <row r="46856" spans="18:19">
      <c r="R46856" s="178"/>
      <c r="S46856" s="178"/>
    </row>
    <row r="46857" spans="18:19">
      <c r="R46857" s="178"/>
      <c r="S46857" s="178"/>
    </row>
    <row r="46858" spans="18:19">
      <c r="R46858" s="178"/>
      <c r="S46858" s="178"/>
    </row>
    <row r="46859" spans="18:19">
      <c r="R46859" s="178"/>
      <c r="S46859" s="178"/>
    </row>
    <row r="46860" spans="18:19">
      <c r="R46860" s="178"/>
      <c r="S46860" s="178"/>
    </row>
    <row r="46861" spans="18:19">
      <c r="R46861" s="178"/>
      <c r="S46861" s="178"/>
    </row>
    <row r="46862" spans="18:19">
      <c r="R46862" s="178"/>
      <c r="S46862" s="178"/>
    </row>
    <row r="46863" spans="18:19">
      <c r="R46863" s="178"/>
      <c r="S46863" s="178"/>
    </row>
    <row r="46864" spans="18:19">
      <c r="R46864" s="178"/>
      <c r="S46864" s="178"/>
    </row>
    <row r="46865" spans="18:19">
      <c r="R46865" s="178"/>
      <c r="S46865" s="178"/>
    </row>
    <row r="46866" spans="18:19">
      <c r="R46866" s="178"/>
      <c r="S46866" s="178"/>
    </row>
    <row r="46867" spans="18:19">
      <c r="R46867" s="178"/>
      <c r="S46867" s="178"/>
    </row>
    <row r="46868" spans="18:19">
      <c r="R46868" s="178"/>
      <c r="S46868" s="178"/>
    </row>
    <row r="46869" spans="18:19">
      <c r="R46869" s="178"/>
      <c r="S46869" s="178"/>
    </row>
    <row r="46870" spans="18:19">
      <c r="R46870" s="178"/>
      <c r="S46870" s="178"/>
    </row>
    <row r="46871" spans="18:19">
      <c r="R46871" s="178"/>
      <c r="S46871" s="178"/>
    </row>
    <row r="46872" spans="18:19">
      <c r="R46872" s="178"/>
      <c r="S46872" s="178"/>
    </row>
    <row r="46873" spans="18:19">
      <c r="R46873" s="178"/>
      <c r="S46873" s="178"/>
    </row>
    <row r="46874" spans="18:19">
      <c r="R46874" s="178"/>
      <c r="S46874" s="178"/>
    </row>
    <row r="46875" spans="18:19">
      <c r="R46875" s="178"/>
      <c r="S46875" s="178"/>
    </row>
    <row r="46876" spans="18:19">
      <c r="R46876" s="178"/>
      <c r="S46876" s="178"/>
    </row>
    <row r="46877" spans="18:19">
      <c r="R46877" s="178"/>
      <c r="S46877" s="178"/>
    </row>
    <row r="46878" spans="18:19">
      <c r="R46878" s="178"/>
      <c r="S46878" s="178"/>
    </row>
    <row r="46879" spans="18:19">
      <c r="R46879" s="178"/>
      <c r="S46879" s="178"/>
    </row>
    <row r="46880" spans="18:19">
      <c r="R46880" s="178"/>
      <c r="S46880" s="178"/>
    </row>
    <row r="46881" spans="18:19">
      <c r="R46881" s="178"/>
      <c r="S46881" s="178"/>
    </row>
    <row r="46882" spans="18:19">
      <c r="R46882" s="178"/>
      <c r="S46882" s="178"/>
    </row>
    <row r="46883" spans="18:19">
      <c r="R46883" s="178"/>
      <c r="S46883" s="178"/>
    </row>
    <row r="46884" spans="18:19">
      <c r="R46884" s="178"/>
      <c r="S46884" s="178"/>
    </row>
    <row r="46885" spans="18:19">
      <c r="R46885" s="178"/>
      <c r="S46885" s="178"/>
    </row>
    <row r="46886" spans="18:19">
      <c r="R46886" s="178"/>
      <c r="S46886" s="178"/>
    </row>
    <row r="46887" spans="18:19">
      <c r="R46887" s="178"/>
      <c r="S46887" s="178"/>
    </row>
    <row r="46888" spans="18:19">
      <c r="R46888" s="178"/>
      <c r="S46888" s="178"/>
    </row>
    <row r="46889" spans="18:19">
      <c r="R46889" s="178"/>
      <c r="S46889" s="178"/>
    </row>
    <row r="46890" spans="18:19">
      <c r="R46890" s="178"/>
      <c r="S46890" s="178"/>
    </row>
    <row r="46891" spans="18:19">
      <c r="R46891" s="178"/>
      <c r="S46891" s="178"/>
    </row>
    <row r="46892" spans="18:19">
      <c r="R46892" s="178"/>
      <c r="S46892" s="178"/>
    </row>
    <row r="46893" spans="18:19">
      <c r="R46893" s="178"/>
      <c r="S46893" s="178"/>
    </row>
    <row r="46894" spans="18:19">
      <c r="R46894" s="178"/>
      <c r="S46894" s="178"/>
    </row>
    <row r="46895" spans="18:19">
      <c r="R46895" s="178"/>
      <c r="S46895" s="178"/>
    </row>
    <row r="46896" spans="18:19">
      <c r="R46896" s="178"/>
      <c r="S46896" s="178"/>
    </row>
    <row r="46897" spans="18:19">
      <c r="R46897" s="178"/>
      <c r="S46897" s="178"/>
    </row>
    <row r="46898" spans="18:19">
      <c r="R46898" s="178"/>
      <c r="S46898" s="178"/>
    </row>
    <row r="46899" spans="18:19">
      <c r="R46899" s="178"/>
      <c r="S46899" s="178"/>
    </row>
    <row r="46900" spans="18:19">
      <c r="R46900" s="178"/>
      <c r="S46900" s="178"/>
    </row>
    <row r="46901" spans="18:19">
      <c r="R46901" s="178"/>
      <c r="S46901" s="178"/>
    </row>
    <row r="46902" spans="18:19">
      <c r="R46902" s="178"/>
      <c r="S46902" s="178"/>
    </row>
    <row r="46903" spans="18:19">
      <c r="R46903" s="178"/>
      <c r="S46903" s="178"/>
    </row>
    <row r="46904" spans="18:19">
      <c r="R46904" s="178"/>
      <c r="S46904" s="178"/>
    </row>
    <row r="46905" spans="18:19">
      <c r="R46905" s="178"/>
      <c r="S46905" s="178"/>
    </row>
    <row r="46906" spans="18:19">
      <c r="R46906" s="178"/>
      <c r="S46906" s="178"/>
    </row>
    <row r="46907" spans="18:19">
      <c r="R46907" s="178"/>
      <c r="S46907" s="178"/>
    </row>
    <row r="46908" spans="18:19">
      <c r="R46908" s="178"/>
      <c r="S46908" s="178"/>
    </row>
    <row r="46909" spans="18:19">
      <c r="R46909" s="178"/>
      <c r="S46909" s="178"/>
    </row>
    <row r="46910" spans="18:19">
      <c r="R46910" s="178"/>
      <c r="S46910" s="178"/>
    </row>
    <row r="46911" spans="18:19">
      <c r="R46911" s="178"/>
      <c r="S46911" s="178"/>
    </row>
    <row r="46912" spans="18:19">
      <c r="R46912" s="178"/>
      <c r="S46912" s="178"/>
    </row>
    <row r="46913" spans="18:19">
      <c r="R46913" s="178"/>
      <c r="S46913" s="178"/>
    </row>
    <row r="46914" spans="18:19">
      <c r="R46914" s="178"/>
      <c r="S46914" s="178"/>
    </row>
    <row r="46915" spans="18:19">
      <c r="R46915" s="178"/>
      <c r="S46915" s="178"/>
    </row>
    <row r="46916" spans="18:19">
      <c r="R46916" s="178"/>
      <c r="S46916" s="178"/>
    </row>
    <row r="46917" spans="18:19">
      <c r="R46917" s="178"/>
      <c r="S46917" s="178"/>
    </row>
    <row r="46918" spans="18:19">
      <c r="R46918" s="178"/>
      <c r="S46918" s="178"/>
    </row>
    <row r="46919" spans="18:19">
      <c r="R46919" s="178"/>
      <c r="S46919" s="178"/>
    </row>
    <row r="46920" spans="18:19">
      <c r="R46920" s="178"/>
      <c r="S46920" s="178"/>
    </row>
    <row r="46921" spans="18:19">
      <c r="R46921" s="178"/>
      <c r="S46921" s="178"/>
    </row>
    <row r="46922" spans="18:19">
      <c r="R46922" s="178"/>
      <c r="S46922" s="178"/>
    </row>
    <row r="46923" spans="18:19">
      <c r="R46923" s="178"/>
      <c r="S46923" s="178"/>
    </row>
    <row r="46924" spans="18:19">
      <c r="R46924" s="178"/>
      <c r="S46924" s="178"/>
    </row>
    <row r="46925" spans="18:19">
      <c r="R46925" s="178"/>
      <c r="S46925" s="178"/>
    </row>
    <row r="46926" spans="18:19">
      <c r="R46926" s="178"/>
      <c r="S46926" s="178"/>
    </row>
    <row r="46927" spans="18:19">
      <c r="R46927" s="178"/>
      <c r="S46927" s="178"/>
    </row>
    <row r="46928" spans="18:19">
      <c r="R46928" s="178"/>
      <c r="S46928" s="178"/>
    </row>
    <row r="46929" spans="18:19">
      <c r="R46929" s="178"/>
      <c r="S46929" s="178"/>
    </row>
    <row r="46930" spans="18:19">
      <c r="R46930" s="178"/>
      <c r="S46930" s="178"/>
    </row>
    <row r="46931" spans="18:19">
      <c r="R46931" s="178"/>
      <c r="S46931" s="178"/>
    </row>
    <row r="46932" spans="18:19">
      <c r="R46932" s="178"/>
      <c r="S46932" s="178"/>
    </row>
    <row r="46933" spans="18:19">
      <c r="R46933" s="178"/>
      <c r="S46933" s="178"/>
    </row>
    <row r="46934" spans="18:19">
      <c r="R46934" s="178"/>
      <c r="S46934" s="178"/>
    </row>
    <row r="46935" spans="18:19">
      <c r="R46935" s="178"/>
      <c r="S46935" s="178"/>
    </row>
    <row r="46936" spans="18:19">
      <c r="R46936" s="178"/>
      <c r="S46936" s="178"/>
    </row>
    <row r="46937" spans="18:19">
      <c r="R46937" s="178"/>
      <c r="S46937" s="178"/>
    </row>
    <row r="46938" spans="18:19">
      <c r="R46938" s="178"/>
      <c r="S46938" s="178"/>
    </row>
    <row r="46939" spans="18:19">
      <c r="R46939" s="178"/>
      <c r="S46939" s="178"/>
    </row>
    <row r="46940" spans="18:19">
      <c r="R46940" s="178"/>
      <c r="S46940" s="178"/>
    </row>
    <row r="46941" spans="18:19">
      <c r="R46941" s="178"/>
      <c r="S46941" s="178"/>
    </row>
    <row r="46942" spans="18:19">
      <c r="R46942" s="178"/>
      <c r="S46942" s="178"/>
    </row>
    <row r="46943" spans="18:19">
      <c r="R46943" s="178"/>
      <c r="S46943" s="178"/>
    </row>
    <row r="46944" spans="18:19">
      <c r="R46944" s="178"/>
      <c r="S46944" s="178"/>
    </row>
    <row r="46945" spans="18:19">
      <c r="R46945" s="178"/>
      <c r="S46945" s="178"/>
    </row>
    <row r="46946" spans="18:19">
      <c r="R46946" s="178"/>
      <c r="S46946" s="178"/>
    </row>
    <row r="46947" spans="18:19">
      <c r="R46947" s="178"/>
      <c r="S46947" s="178"/>
    </row>
    <row r="46948" spans="18:19">
      <c r="R46948" s="178"/>
      <c r="S46948" s="178"/>
    </row>
    <row r="46949" spans="18:19">
      <c r="R46949" s="178"/>
      <c r="S46949" s="178"/>
    </row>
    <row r="46950" spans="18:19">
      <c r="R46950" s="178"/>
      <c r="S46950" s="178"/>
    </row>
    <row r="46951" spans="18:19">
      <c r="R46951" s="178"/>
      <c r="S46951" s="178"/>
    </row>
    <row r="46952" spans="18:19">
      <c r="R46952" s="178"/>
      <c r="S46952" s="178"/>
    </row>
    <row r="46953" spans="18:19">
      <c r="R46953" s="178"/>
      <c r="S46953" s="178"/>
    </row>
    <row r="46954" spans="18:19">
      <c r="R46954" s="178"/>
      <c r="S46954" s="178"/>
    </row>
    <row r="46955" spans="18:19">
      <c r="R46955" s="178"/>
      <c r="S46955" s="178"/>
    </row>
    <row r="46956" spans="18:19">
      <c r="R46956" s="178"/>
      <c r="S46956" s="178"/>
    </row>
    <row r="46957" spans="18:19">
      <c r="R46957" s="178"/>
      <c r="S46957" s="178"/>
    </row>
    <row r="46958" spans="18:19">
      <c r="R46958" s="178"/>
      <c r="S46958" s="178"/>
    </row>
    <row r="46959" spans="18:19">
      <c r="R46959" s="178"/>
      <c r="S46959" s="178"/>
    </row>
    <row r="46960" spans="18:19">
      <c r="R46960" s="178"/>
      <c r="S46960" s="178"/>
    </row>
    <row r="46961" spans="18:19">
      <c r="R46961" s="178"/>
      <c r="S46961" s="178"/>
    </row>
    <row r="46962" spans="18:19">
      <c r="R46962" s="178"/>
      <c r="S46962" s="178"/>
    </row>
    <row r="46963" spans="18:19">
      <c r="R46963" s="178"/>
      <c r="S46963" s="178"/>
    </row>
    <row r="46964" spans="18:19">
      <c r="R46964" s="178"/>
      <c r="S46964" s="178"/>
    </row>
    <row r="46965" spans="18:19">
      <c r="R46965" s="178"/>
      <c r="S46965" s="178"/>
    </row>
    <row r="46966" spans="18:19">
      <c r="R46966" s="178"/>
      <c r="S46966" s="178"/>
    </row>
    <row r="46967" spans="18:19">
      <c r="R46967" s="178"/>
      <c r="S46967" s="178"/>
    </row>
    <row r="46968" spans="18:19">
      <c r="R46968" s="178"/>
      <c r="S46968" s="178"/>
    </row>
    <row r="46969" spans="18:19">
      <c r="R46969" s="178"/>
      <c r="S46969" s="178"/>
    </row>
    <row r="46970" spans="18:19">
      <c r="R46970" s="178"/>
      <c r="S46970" s="178"/>
    </row>
    <row r="46971" spans="18:19">
      <c r="R46971" s="178"/>
      <c r="S46971" s="178"/>
    </row>
    <row r="46972" spans="18:19">
      <c r="R46972" s="178"/>
      <c r="S46972" s="178"/>
    </row>
    <row r="46973" spans="18:19">
      <c r="R46973" s="178"/>
      <c r="S46973" s="178"/>
    </row>
    <row r="46974" spans="18:19">
      <c r="R46974" s="178"/>
      <c r="S46974" s="178"/>
    </row>
    <row r="46975" spans="18:19">
      <c r="R46975" s="178"/>
      <c r="S46975" s="178"/>
    </row>
    <row r="46976" spans="18:19">
      <c r="R46976" s="178"/>
      <c r="S46976" s="178"/>
    </row>
    <row r="46977" spans="18:19">
      <c r="R46977" s="178"/>
      <c r="S46977" s="178"/>
    </row>
    <row r="46978" spans="18:19">
      <c r="R46978" s="178"/>
      <c r="S46978" s="178"/>
    </row>
    <row r="46979" spans="18:19">
      <c r="R46979" s="178"/>
      <c r="S46979" s="178"/>
    </row>
    <row r="46980" spans="18:19">
      <c r="R46980" s="178"/>
      <c r="S46980" s="178"/>
    </row>
    <row r="46981" spans="18:19">
      <c r="R46981" s="178"/>
      <c r="S46981" s="178"/>
    </row>
    <row r="46982" spans="18:19">
      <c r="R46982" s="178"/>
      <c r="S46982" s="178"/>
    </row>
    <row r="46983" spans="18:19">
      <c r="R46983" s="178"/>
      <c r="S46983" s="178"/>
    </row>
    <row r="46984" spans="18:19">
      <c r="R46984" s="178"/>
      <c r="S46984" s="178"/>
    </row>
    <row r="46985" spans="18:19">
      <c r="R46985" s="178"/>
      <c r="S46985" s="178"/>
    </row>
    <row r="46986" spans="18:19">
      <c r="R46986" s="178"/>
      <c r="S46986" s="178"/>
    </row>
    <row r="46987" spans="18:19">
      <c r="R46987" s="178"/>
      <c r="S46987" s="178"/>
    </row>
    <row r="46988" spans="18:19">
      <c r="R46988" s="178"/>
      <c r="S46988" s="178"/>
    </row>
    <row r="46989" spans="18:19">
      <c r="R46989" s="178"/>
      <c r="S46989" s="178"/>
    </row>
    <row r="46990" spans="18:19">
      <c r="R46990" s="178"/>
      <c r="S46990" s="178"/>
    </row>
    <row r="46991" spans="18:19">
      <c r="R46991" s="178"/>
      <c r="S46991" s="178"/>
    </row>
    <row r="46992" spans="18:19">
      <c r="R46992" s="178"/>
      <c r="S46992" s="178"/>
    </row>
    <row r="46993" spans="18:19">
      <c r="R46993" s="178"/>
      <c r="S46993" s="178"/>
    </row>
    <row r="46994" spans="18:19">
      <c r="R46994" s="178"/>
      <c r="S46994" s="178"/>
    </row>
    <row r="46995" spans="18:19">
      <c r="R46995" s="178"/>
      <c r="S46995" s="178"/>
    </row>
    <row r="46996" spans="18:19">
      <c r="R46996" s="178"/>
      <c r="S46996" s="178"/>
    </row>
    <row r="46997" spans="18:19">
      <c r="R46997" s="178"/>
      <c r="S46997" s="178"/>
    </row>
    <row r="46998" spans="18:19">
      <c r="R46998" s="178"/>
      <c r="S46998" s="178"/>
    </row>
    <row r="46999" spans="18:19">
      <c r="R46999" s="178"/>
      <c r="S46999" s="178"/>
    </row>
    <row r="47000" spans="18:19">
      <c r="R47000" s="178"/>
      <c r="S47000" s="178"/>
    </row>
    <row r="47001" spans="18:19">
      <c r="R47001" s="178"/>
      <c r="S47001" s="178"/>
    </row>
    <row r="47002" spans="18:19">
      <c r="R47002" s="178"/>
      <c r="S47002" s="178"/>
    </row>
    <row r="47003" spans="18:19">
      <c r="R47003" s="178"/>
      <c r="S47003" s="178"/>
    </row>
    <row r="47004" spans="18:19">
      <c r="R47004" s="178"/>
      <c r="S47004" s="178"/>
    </row>
    <row r="47005" spans="18:19">
      <c r="R47005" s="178"/>
      <c r="S47005" s="178"/>
    </row>
    <row r="47006" spans="18:19">
      <c r="R47006" s="178"/>
      <c r="S47006" s="178"/>
    </row>
    <row r="47007" spans="18:19">
      <c r="R47007" s="178"/>
      <c r="S47007" s="178"/>
    </row>
    <row r="47008" spans="18:19">
      <c r="R47008" s="178"/>
      <c r="S47008" s="178"/>
    </row>
    <row r="47009" spans="18:19">
      <c r="R47009" s="178"/>
      <c r="S47009" s="178"/>
    </row>
    <row r="47010" spans="18:19">
      <c r="R47010" s="178"/>
      <c r="S47010" s="178"/>
    </row>
    <row r="47011" spans="18:19">
      <c r="R47011" s="178"/>
      <c r="S47011" s="178"/>
    </row>
    <row r="47012" spans="18:19">
      <c r="R47012" s="178"/>
      <c r="S47012" s="178"/>
    </row>
    <row r="47013" spans="18:19">
      <c r="R47013" s="178"/>
      <c r="S47013" s="178"/>
    </row>
    <row r="47014" spans="18:19">
      <c r="R47014" s="178"/>
      <c r="S47014" s="178"/>
    </row>
    <row r="47015" spans="18:19">
      <c r="R47015" s="178"/>
      <c r="S47015" s="178"/>
    </row>
    <row r="47016" spans="18:19">
      <c r="R47016" s="178"/>
      <c r="S47016" s="178"/>
    </row>
    <row r="47017" spans="18:19">
      <c r="R47017" s="178"/>
      <c r="S47017" s="178"/>
    </row>
    <row r="47018" spans="18:19">
      <c r="R47018" s="178"/>
      <c r="S47018" s="178"/>
    </row>
    <row r="47019" spans="18:19">
      <c r="R47019" s="178"/>
      <c r="S47019" s="178"/>
    </row>
    <row r="47020" spans="18:19">
      <c r="R47020" s="178"/>
      <c r="S47020" s="178"/>
    </row>
    <row r="47021" spans="18:19">
      <c r="R47021" s="178"/>
      <c r="S47021" s="178"/>
    </row>
    <row r="47022" spans="18:19">
      <c r="R47022" s="178"/>
      <c r="S47022" s="178"/>
    </row>
    <row r="47023" spans="18:19">
      <c r="R47023" s="178"/>
      <c r="S47023" s="178"/>
    </row>
    <row r="47024" spans="18:19">
      <c r="R47024" s="178"/>
      <c r="S47024" s="178"/>
    </row>
    <row r="47025" spans="18:19">
      <c r="R47025" s="178"/>
      <c r="S47025" s="178"/>
    </row>
    <row r="47026" spans="18:19">
      <c r="R47026" s="178"/>
      <c r="S47026" s="178"/>
    </row>
    <row r="47027" spans="18:19">
      <c r="R47027" s="178"/>
      <c r="S47027" s="178"/>
    </row>
    <row r="47028" spans="18:19">
      <c r="R47028" s="178"/>
      <c r="S47028" s="178"/>
    </row>
    <row r="47029" spans="18:19">
      <c r="R47029" s="178"/>
      <c r="S47029" s="178"/>
    </row>
    <row r="47030" spans="18:19">
      <c r="R47030" s="178"/>
      <c r="S47030" s="178"/>
    </row>
    <row r="47031" spans="18:19">
      <c r="R47031" s="178"/>
      <c r="S47031" s="178"/>
    </row>
    <row r="47032" spans="18:19">
      <c r="R47032" s="178"/>
      <c r="S47032" s="178"/>
    </row>
    <row r="47033" spans="18:19">
      <c r="R47033" s="178"/>
      <c r="S47033" s="178"/>
    </row>
    <row r="47034" spans="18:19">
      <c r="R47034" s="178"/>
      <c r="S47034" s="178"/>
    </row>
    <row r="47035" spans="18:19">
      <c r="R47035" s="178"/>
      <c r="S47035" s="178"/>
    </row>
    <row r="47036" spans="18:19">
      <c r="R47036" s="178"/>
      <c r="S47036" s="178"/>
    </row>
    <row r="47037" spans="18:19">
      <c r="R47037" s="178"/>
      <c r="S47037" s="178"/>
    </row>
    <row r="47038" spans="18:19">
      <c r="R47038" s="178"/>
      <c r="S47038" s="178"/>
    </row>
    <row r="47039" spans="18:19">
      <c r="R47039" s="178"/>
      <c r="S47039" s="178"/>
    </row>
    <row r="47040" spans="18:19">
      <c r="R47040" s="178"/>
      <c r="S47040" s="178"/>
    </row>
    <row r="47041" spans="18:19">
      <c r="R47041" s="178"/>
      <c r="S47041" s="178"/>
    </row>
    <row r="47042" spans="18:19">
      <c r="R47042" s="178"/>
      <c r="S47042" s="178"/>
    </row>
    <row r="47043" spans="18:19">
      <c r="R47043" s="178"/>
      <c r="S47043" s="178"/>
    </row>
    <row r="47044" spans="18:19">
      <c r="R47044" s="178"/>
      <c r="S47044" s="178"/>
    </row>
    <row r="47045" spans="18:19">
      <c r="R47045" s="178"/>
      <c r="S47045" s="178"/>
    </row>
    <row r="47046" spans="18:19">
      <c r="R47046" s="178"/>
      <c r="S47046" s="178"/>
    </row>
    <row r="47047" spans="18:19">
      <c r="R47047" s="178"/>
      <c r="S47047" s="178"/>
    </row>
    <row r="47048" spans="18:19">
      <c r="R47048" s="178"/>
      <c r="S47048" s="178"/>
    </row>
    <row r="47049" spans="18:19">
      <c r="R47049" s="178"/>
      <c r="S47049" s="178"/>
    </row>
    <row r="47050" spans="18:19">
      <c r="R47050" s="178"/>
      <c r="S47050" s="178"/>
    </row>
    <row r="47051" spans="18:19">
      <c r="R47051" s="178"/>
      <c r="S47051" s="178"/>
    </row>
    <row r="47052" spans="18:19">
      <c r="R47052" s="178"/>
      <c r="S47052" s="178"/>
    </row>
    <row r="47053" spans="18:19">
      <c r="R47053" s="178"/>
      <c r="S47053" s="178"/>
    </row>
    <row r="47054" spans="18:19">
      <c r="R47054" s="178"/>
      <c r="S47054" s="178"/>
    </row>
    <row r="47055" spans="18:19">
      <c r="R47055" s="178"/>
      <c r="S47055" s="178"/>
    </row>
    <row r="47056" spans="18:19">
      <c r="R47056" s="178"/>
      <c r="S47056" s="178"/>
    </row>
    <row r="47057" spans="18:19">
      <c r="R47057" s="178"/>
      <c r="S47057" s="178"/>
    </row>
    <row r="47058" spans="18:19">
      <c r="R47058" s="178"/>
      <c r="S47058" s="178"/>
    </row>
    <row r="47059" spans="18:19">
      <c r="R47059" s="178"/>
      <c r="S47059" s="178"/>
    </row>
    <row r="47060" spans="18:19">
      <c r="R47060" s="178"/>
      <c r="S47060" s="178"/>
    </row>
    <row r="47061" spans="18:19">
      <c r="R47061" s="178"/>
      <c r="S47061" s="178"/>
    </row>
    <row r="47062" spans="18:19">
      <c r="R47062" s="178"/>
      <c r="S47062" s="178"/>
    </row>
    <row r="47063" spans="18:19">
      <c r="R47063" s="178"/>
      <c r="S47063" s="178"/>
    </row>
    <row r="47064" spans="18:19">
      <c r="R47064" s="178"/>
      <c r="S47064" s="178"/>
    </row>
    <row r="47065" spans="18:19">
      <c r="R47065" s="178"/>
      <c r="S47065" s="178"/>
    </row>
    <row r="47066" spans="18:19">
      <c r="R47066" s="178"/>
      <c r="S47066" s="178"/>
    </row>
    <row r="47067" spans="18:19">
      <c r="R47067" s="178"/>
      <c r="S47067" s="178"/>
    </row>
    <row r="47068" spans="18:19">
      <c r="R47068" s="178"/>
      <c r="S47068" s="178"/>
    </row>
    <row r="47069" spans="18:19">
      <c r="R47069" s="178"/>
      <c r="S47069" s="178"/>
    </row>
    <row r="47070" spans="18:19">
      <c r="R47070" s="178"/>
      <c r="S47070" s="178"/>
    </row>
    <row r="47071" spans="18:19">
      <c r="R47071" s="178"/>
      <c r="S47071" s="178"/>
    </row>
    <row r="47072" spans="18:19">
      <c r="R47072" s="178"/>
      <c r="S47072" s="178"/>
    </row>
    <row r="47073" spans="18:19">
      <c r="R47073" s="178"/>
      <c r="S47073" s="178"/>
    </row>
    <row r="47074" spans="18:19">
      <c r="R47074" s="178"/>
      <c r="S47074" s="178"/>
    </row>
    <row r="47075" spans="18:19">
      <c r="R47075" s="178"/>
      <c r="S47075" s="178"/>
    </row>
    <row r="47076" spans="18:19">
      <c r="R47076" s="178"/>
      <c r="S47076" s="178"/>
    </row>
    <row r="47077" spans="18:19">
      <c r="R47077" s="178"/>
      <c r="S47077" s="178"/>
    </row>
    <row r="47078" spans="18:19">
      <c r="R47078" s="178"/>
      <c r="S47078" s="178"/>
    </row>
    <row r="47079" spans="18:19">
      <c r="R47079" s="178"/>
      <c r="S47079" s="178"/>
    </row>
    <row r="47080" spans="18:19">
      <c r="R47080" s="178"/>
      <c r="S47080" s="178"/>
    </row>
    <row r="47081" spans="18:19">
      <c r="R47081" s="178"/>
      <c r="S47081" s="178"/>
    </row>
    <row r="47082" spans="18:19">
      <c r="R47082" s="178"/>
      <c r="S47082" s="178"/>
    </row>
    <row r="47083" spans="18:19">
      <c r="R47083" s="178"/>
      <c r="S47083" s="178"/>
    </row>
    <row r="47084" spans="18:19">
      <c r="R47084" s="178"/>
      <c r="S47084" s="178"/>
    </row>
    <row r="47085" spans="18:19">
      <c r="R47085" s="178"/>
      <c r="S47085" s="178"/>
    </row>
    <row r="47086" spans="18:19">
      <c r="R47086" s="178"/>
      <c r="S47086" s="178"/>
    </row>
    <row r="47087" spans="18:19">
      <c r="R47087" s="178"/>
      <c r="S47087" s="178"/>
    </row>
    <row r="47088" spans="18:19">
      <c r="R47088" s="178"/>
      <c r="S47088" s="178"/>
    </row>
    <row r="47089" spans="18:19">
      <c r="R47089" s="178"/>
      <c r="S47089" s="178"/>
    </row>
    <row r="47090" spans="18:19">
      <c r="R47090" s="178"/>
      <c r="S47090" s="178"/>
    </row>
    <row r="47091" spans="18:19">
      <c r="R47091" s="178"/>
      <c r="S47091" s="178"/>
    </row>
    <row r="47092" spans="18:19">
      <c r="R47092" s="178"/>
      <c r="S47092" s="178"/>
    </row>
    <row r="47093" spans="18:19">
      <c r="R47093" s="178"/>
      <c r="S47093" s="178"/>
    </row>
    <row r="47094" spans="18:19">
      <c r="R47094" s="178"/>
      <c r="S47094" s="178"/>
    </row>
    <row r="47095" spans="18:19">
      <c r="R47095" s="178"/>
      <c r="S47095" s="178"/>
    </row>
    <row r="47096" spans="18:19">
      <c r="R47096" s="178"/>
      <c r="S47096" s="178"/>
    </row>
    <row r="47097" spans="18:19">
      <c r="R47097" s="178"/>
      <c r="S47097" s="178"/>
    </row>
    <row r="47098" spans="18:19">
      <c r="R47098" s="178"/>
      <c r="S47098" s="178"/>
    </row>
    <row r="47099" spans="18:19">
      <c r="R47099" s="178"/>
      <c r="S47099" s="178"/>
    </row>
    <row r="47100" spans="18:19">
      <c r="R47100" s="178"/>
      <c r="S47100" s="178"/>
    </row>
    <row r="47101" spans="18:19">
      <c r="R47101" s="178"/>
      <c r="S47101" s="178"/>
    </row>
    <row r="47102" spans="18:19">
      <c r="R47102" s="178"/>
      <c r="S47102" s="178"/>
    </row>
    <row r="47103" spans="18:19">
      <c r="R47103" s="178"/>
      <c r="S47103" s="178"/>
    </row>
    <row r="47104" spans="18:19">
      <c r="R47104" s="178"/>
      <c r="S47104" s="178"/>
    </row>
    <row r="47105" spans="18:19">
      <c r="R47105" s="178"/>
      <c r="S47105" s="178"/>
    </row>
    <row r="47106" spans="18:19">
      <c r="R47106" s="178"/>
      <c r="S47106" s="178"/>
    </row>
    <row r="47107" spans="18:19">
      <c r="R47107" s="178"/>
      <c r="S47107" s="178"/>
    </row>
    <row r="47108" spans="18:19">
      <c r="R47108" s="178"/>
      <c r="S47108" s="178"/>
    </row>
    <row r="47109" spans="18:19">
      <c r="R47109" s="178"/>
      <c r="S47109" s="178"/>
    </row>
    <row r="47110" spans="18:19">
      <c r="R47110" s="178"/>
      <c r="S47110" s="178"/>
    </row>
    <row r="47111" spans="18:19">
      <c r="R47111" s="178"/>
      <c r="S47111" s="178"/>
    </row>
    <row r="47112" spans="18:19">
      <c r="R47112" s="178"/>
      <c r="S47112" s="178"/>
    </row>
    <row r="47113" spans="18:19">
      <c r="R47113" s="178"/>
      <c r="S47113" s="178"/>
    </row>
    <row r="47114" spans="18:19">
      <c r="R47114" s="178"/>
      <c r="S47114" s="178"/>
    </row>
    <row r="47115" spans="18:19">
      <c r="R47115" s="178"/>
      <c r="S47115" s="178"/>
    </row>
    <row r="47116" spans="18:19">
      <c r="R47116" s="178"/>
      <c r="S47116" s="178"/>
    </row>
    <row r="47117" spans="18:19">
      <c r="R47117" s="178"/>
      <c r="S47117" s="178"/>
    </row>
    <row r="47118" spans="18:19">
      <c r="R47118" s="178"/>
      <c r="S47118" s="178"/>
    </row>
    <row r="47119" spans="18:19">
      <c r="R47119" s="178"/>
      <c r="S47119" s="178"/>
    </row>
    <row r="47120" spans="18:19">
      <c r="R47120" s="178"/>
      <c r="S47120" s="178"/>
    </row>
    <row r="47121" spans="18:19">
      <c r="R47121" s="178"/>
      <c r="S47121" s="178"/>
    </row>
    <row r="47122" spans="18:19">
      <c r="R47122" s="178"/>
      <c r="S47122" s="178"/>
    </row>
    <row r="47123" spans="18:19">
      <c r="R47123" s="178"/>
      <c r="S47123" s="178"/>
    </row>
    <row r="47124" spans="18:19">
      <c r="R47124" s="178"/>
      <c r="S47124" s="178"/>
    </row>
    <row r="47125" spans="18:19">
      <c r="R47125" s="178"/>
      <c r="S47125" s="178"/>
    </row>
    <row r="47126" spans="18:19">
      <c r="R47126" s="178"/>
      <c r="S47126" s="178"/>
    </row>
    <row r="47127" spans="18:19">
      <c r="R47127" s="178"/>
      <c r="S47127" s="178"/>
    </row>
    <row r="47128" spans="18:19">
      <c r="R47128" s="178"/>
      <c r="S47128" s="178"/>
    </row>
    <row r="47129" spans="18:19">
      <c r="R47129" s="178"/>
      <c r="S47129" s="178"/>
    </row>
    <row r="47130" spans="18:19">
      <c r="R47130" s="178"/>
      <c r="S47130" s="178"/>
    </row>
    <row r="47131" spans="18:19">
      <c r="R47131" s="178"/>
      <c r="S47131" s="178"/>
    </row>
    <row r="47132" spans="18:19">
      <c r="R47132" s="178"/>
      <c r="S47132" s="178"/>
    </row>
    <row r="47133" spans="18:19">
      <c r="R47133" s="178"/>
      <c r="S47133" s="178"/>
    </row>
    <row r="47134" spans="18:19">
      <c r="R47134" s="178"/>
      <c r="S47134" s="178"/>
    </row>
    <row r="47135" spans="18:19">
      <c r="R47135" s="178"/>
      <c r="S47135" s="178"/>
    </row>
    <row r="47136" spans="18:19">
      <c r="R47136" s="178"/>
      <c r="S47136" s="178"/>
    </row>
    <row r="47137" spans="18:19">
      <c r="R47137" s="178"/>
      <c r="S47137" s="178"/>
    </row>
    <row r="47138" spans="18:19">
      <c r="R47138" s="178"/>
      <c r="S47138" s="178"/>
    </row>
    <row r="47139" spans="18:19">
      <c r="R47139" s="178"/>
      <c r="S47139" s="178"/>
    </row>
    <row r="47140" spans="18:19">
      <c r="R47140" s="178"/>
      <c r="S47140" s="178"/>
    </row>
    <row r="47141" spans="18:19">
      <c r="R47141" s="178"/>
      <c r="S47141" s="178"/>
    </row>
    <row r="47142" spans="18:19">
      <c r="R47142" s="178"/>
      <c r="S47142" s="178"/>
    </row>
    <row r="47143" spans="18:19">
      <c r="R47143" s="178"/>
      <c r="S47143" s="178"/>
    </row>
    <row r="47144" spans="18:19">
      <c r="R47144" s="178"/>
      <c r="S47144" s="178"/>
    </row>
    <row r="47145" spans="18:19">
      <c r="R47145" s="178"/>
      <c r="S47145" s="178"/>
    </row>
    <row r="47146" spans="18:19">
      <c r="R47146" s="178"/>
      <c r="S47146" s="178"/>
    </row>
    <row r="47147" spans="18:19">
      <c r="R47147" s="178"/>
      <c r="S47147" s="178"/>
    </row>
    <row r="47148" spans="18:19">
      <c r="R47148" s="178"/>
      <c r="S47148" s="178"/>
    </row>
    <row r="47149" spans="18:19">
      <c r="R47149" s="178"/>
      <c r="S47149" s="178"/>
    </row>
    <row r="47150" spans="18:19">
      <c r="R47150" s="178"/>
      <c r="S47150" s="178"/>
    </row>
    <row r="47151" spans="18:19">
      <c r="R47151" s="178"/>
      <c r="S47151" s="178"/>
    </row>
    <row r="47152" spans="18:19">
      <c r="R47152" s="178"/>
      <c r="S47152" s="178"/>
    </row>
    <row r="47153" spans="18:19">
      <c r="R47153" s="178"/>
      <c r="S47153" s="178"/>
    </row>
    <row r="47154" spans="18:19">
      <c r="R47154" s="178"/>
      <c r="S47154" s="178"/>
    </row>
    <row r="47155" spans="18:19">
      <c r="R47155" s="178"/>
      <c r="S47155" s="178"/>
    </row>
    <row r="47156" spans="18:19">
      <c r="R47156" s="178"/>
      <c r="S47156" s="178"/>
    </row>
    <row r="47157" spans="18:19">
      <c r="R47157" s="178"/>
      <c r="S47157" s="178"/>
    </row>
    <row r="47158" spans="18:19">
      <c r="R47158" s="178"/>
      <c r="S47158" s="178"/>
    </row>
    <row r="47159" spans="18:19">
      <c r="R47159" s="178"/>
      <c r="S47159" s="178"/>
    </row>
    <row r="47160" spans="18:19">
      <c r="R47160" s="178"/>
      <c r="S47160" s="178"/>
    </row>
    <row r="47161" spans="18:19">
      <c r="R47161" s="178"/>
      <c r="S47161" s="178"/>
    </row>
    <row r="47162" spans="18:19">
      <c r="R47162" s="178"/>
      <c r="S47162" s="178"/>
    </row>
    <row r="47163" spans="18:19">
      <c r="R47163" s="178"/>
      <c r="S47163" s="178"/>
    </row>
    <row r="47164" spans="18:19">
      <c r="R47164" s="178"/>
      <c r="S47164" s="178"/>
    </row>
    <row r="47165" spans="18:19">
      <c r="R47165" s="178"/>
      <c r="S47165" s="178"/>
    </row>
    <row r="47166" spans="18:19">
      <c r="R47166" s="178"/>
      <c r="S47166" s="178"/>
    </row>
    <row r="47167" spans="18:19">
      <c r="R47167" s="178"/>
      <c r="S47167" s="178"/>
    </row>
    <row r="47168" spans="18:19">
      <c r="R47168" s="178"/>
      <c r="S47168" s="178"/>
    </row>
    <row r="47169" spans="18:19">
      <c r="R47169" s="178"/>
      <c r="S47169" s="178"/>
    </row>
    <row r="47170" spans="18:19">
      <c r="R47170" s="178"/>
      <c r="S47170" s="178"/>
    </row>
    <row r="47171" spans="18:19">
      <c r="R47171" s="178"/>
      <c r="S47171" s="178"/>
    </row>
    <row r="47172" spans="18:19">
      <c r="R47172" s="178"/>
      <c r="S47172" s="178"/>
    </row>
    <row r="47173" spans="18:19">
      <c r="R47173" s="178"/>
      <c r="S47173" s="178"/>
    </row>
    <row r="47174" spans="18:19">
      <c r="R47174" s="178"/>
      <c r="S47174" s="178"/>
    </row>
    <row r="47175" spans="18:19">
      <c r="R47175" s="178"/>
      <c r="S47175" s="178"/>
    </row>
    <row r="47176" spans="18:19">
      <c r="R47176" s="178"/>
      <c r="S47176" s="178"/>
    </row>
    <row r="47177" spans="18:19">
      <c r="R47177" s="178"/>
      <c r="S47177" s="178"/>
    </row>
    <row r="47178" spans="18:19">
      <c r="R47178" s="178"/>
      <c r="S47178" s="178"/>
    </row>
    <row r="47179" spans="18:19">
      <c r="R47179" s="178"/>
      <c r="S47179" s="178"/>
    </row>
    <row r="47180" spans="18:19">
      <c r="R47180" s="178"/>
      <c r="S47180" s="178"/>
    </row>
    <row r="47181" spans="18:19">
      <c r="R47181" s="178"/>
      <c r="S47181" s="178"/>
    </row>
    <row r="47182" spans="18:19">
      <c r="R47182" s="178"/>
      <c r="S47182" s="178"/>
    </row>
    <row r="47183" spans="18:19">
      <c r="R47183" s="178"/>
      <c r="S47183" s="178"/>
    </row>
    <row r="47184" spans="18:19">
      <c r="R47184" s="178"/>
      <c r="S47184" s="178"/>
    </row>
    <row r="47185" spans="18:19">
      <c r="R47185" s="178"/>
      <c r="S47185" s="178"/>
    </row>
    <row r="47186" spans="18:19">
      <c r="R47186" s="178"/>
      <c r="S47186" s="178"/>
    </row>
    <row r="47187" spans="18:19">
      <c r="R47187" s="178"/>
      <c r="S47187" s="178"/>
    </row>
    <row r="47188" spans="18:19">
      <c r="R47188" s="178"/>
      <c r="S47188" s="178"/>
    </row>
    <row r="47189" spans="18:19">
      <c r="R47189" s="178"/>
      <c r="S47189" s="178"/>
    </row>
    <row r="47190" spans="18:19">
      <c r="R47190" s="178"/>
      <c r="S47190" s="178"/>
    </row>
    <row r="47191" spans="18:19">
      <c r="R47191" s="178"/>
      <c r="S47191" s="178"/>
    </row>
    <row r="47192" spans="18:19">
      <c r="R47192" s="178"/>
      <c r="S47192" s="178"/>
    </row>
    <row r="47193" spans="18:19">
      <c r="R47193" s="178"/>
      <c r="S47193" s="178"/>
    </row>
    <row r="47194" spans="18:19">
      <c r="R47194" s="178"/>
      <c r="S47194" s="178"/>
    </row>
    <row r="47195" spans="18:19">
      <c r="R47195" s="178"/>
      <c r="S47195" s="178"/>
    </row>
    <row r="47196" spans="18:19">
      <c r="R47196" s="178"/>
      <c r="S47196" s="178"/>
    </row>
    <row r="47197" spans="18:19">
      <c r="R47197" s="178"/>
      <c r="S47197" s="178"/>
    </row>
    <row r="47198" spans="18:19">
      <c r="R47198" s="178"/>
      <c r="S47198" s="178"/>
    </row>
    <row r="47199" spans="18:19">
      <c r="R47199" s="178"/>
      <c r="S47199" s="178"/>
    </row>
    <row r="47200" spans="18:19">
      <c r="R47200" s="178"/>
      <c r="S47200" s="178"/>
    </row>
    <row r="47201" spans="18:19">
      <c r="R47201" s="178"/>
      <c r="S47201" s="178"/>
    </row>
    <row r="47202" spans="18:19">
      <c r="R47202" s="178"/>
      <c r="S47202" s="178"/>
    </row>
    <row r="47203" spans="18:19">
      <c r="R47203" s="178"/>
      <c r="S47203" s="178"/>
    </row>
    <row r="47204" spans="18:19">
      <c r="R47204" s="178"/>
      <c r="S47204" s="178"/>
    </row>
    <row r="47205" spans="18:19">
      <c r="R47205" s="178"/>
      <c r="S47205" s="178"/>
    </row>
    <row r="47206" spans="18:19">
      <c r="R47206" s="178"/>
      <c r="S47206" s="178"/>
    </row>
    <row r="47207" spans="18:19">
      <c r="R47207" s="178"/>
      <c r="S47207" s="178"/>
    </row>
    <row r="47208" spans="18:19">
      <c r="R47208" s="178"/>
      <c r="S47208" s="178"/>
    </row>
    <row r="47209" spans="18:19">
      <c r="R47209" s="178"/>
      <c r="S47209" s="178"/>
    </row>
    <row r="47210" spans="18:19">
      <c r="R47210" s="178"/>
      <c r="S47210" s="178"/>
    </row>
    <row r="47211" spans="18:19">
      <c r="R47211" s="178"/>
      <c r="S47211" s="178"/>
    </row>
    <row r="47212" spans="18:19">
      <c r="R47212" s="178"/>
      <c r="S47212" s="178"/>
    </row>
    <row r="47213" spans="18:19">
      <c r="R47213" s="178"/>
      <c r="S47213" s="178"/>
    </row>
    <row r="47214" spans="18:19">
      <c r="R47214" s="178"/>
      <c r="S47214" s="178"/>
    </row>
    <row r="47215" spans="18:19">
      <c r="R47215" s="178"/>
      <c r="S47215" s="178"/>
    </row>
    <row r="47216" spans="18:19">
      <c r="R47216" s="178"/>
      <c r="S47216" s="178"/>
    </row>
    <row r="47217" spans="18:19">
      <c r="R47217" s="178"/>
      <c r="S47217" s="178"/>
    </row>
    <row r="47218" spans="18:19">
      <c r="R47218" s="178"/>
      <c r="S47218" s="178"/>
    </row>
    <row r="47219" spans="18:19">
      <c r="R47219" s="178"/>
      <c r="S47219" s="178"/>
    </row>
    <row r="47220" spans="18:19">
      <c r="R47220" s="178"/>
      <c r="S47220" s="178"/>
    </row>
    <row r="47221" spans="18:19">
      <c r="R47221" s="178"/>
      <c r="S47221" s="178"/>
    </row>
    <row r="47222" spans="18:19">
      <c r="R47222" s="178"/>
      <c r="S47222" s="178"/>
    </row>
    <row r="47223" spans="18:19">
      <c r="R47223" s="178"/>
      <c r="S47223" s="178"/>
    </row>
    <row r="47224" spans="18:19">
      <c r="R47224" s="178"/>
      <c r="S47224" s="178"/>
    </row>
    <row r="47225" spans="18:19">
      <c r="R47225" s="178"/>
      <c r="S47225" s="178"/>
    </row>
    <row r="47226" spans="18:19">
      <c r="R47226" s="178"/>
      <c r="S47226" s="178"/>
    </row>
    <row r="47227" spans="18:19">
      <c r="R47227" s="178"/>
      <c r="S47227" s="178"/>
    </row>
    <row r="47228" spans="18:19">
      <c r="R47228" s="178"/>
      <c r="S47228" s="178"/>
    </row>
    <row r="47229" spans="18:19">
      <c r="R47229" s="178"/>
      <c r="S47229" s="178"/>
    </row>
    <row r="47230" spans="18:19">
      <c r="R47230" s="178"/>
      <c r="S47230" s="178"/>
    </row>
    <row r="47231" spans="18:19">
      <c r="R47231" s="178"/>
      <c r="S47231" s="178"/>
    </row>
    <row r="47232" spans="18:19">
      <c r="R47232" s="178"/>
      <c r="S47232" s="178"/>
    </row>
    <row r="47233" spans="18:19">
      <c r="R47233" s="178"/>
      <c r="S47233" s="178"/>
    </row>
    <row r="47234" spans="18:19">
      <c r="R47234" s="178"/>
      <c r="S47234" s="178"/>
    </row>
    <row r="47235" spans="18:19">
      <c r="R47235" s="178"/>
      <c r="S47235" s="178"/>
    </row>
    <row r="47236" spans="18:19">
      <c r="R47236" s="178"/>
      <c r="S47236" s="178"/>
    </row>
    <row r="47237" spans="18:19">
      <c r="R47237" s="178"/>
      <c r="S47237" s="178"/>
    </row>
    <row r="47238" spans="18:19">
      <c r="R47238" s="178"/>
      <c r="S47238" s="178"/>
    </row>
    <row r="47239" spans="18:19">
      <c r="R47239" s="178"/>
      <c r="S47239" s="178"/>
    </row>
    <row r="47240" spans="18:19">
      <c r="R47240" s="178"/>
      <c r="S47240" s="178"/>
    </row>
    <row r="47241" spans="18:19">
      <c r="R47241" s="178"/>
      <c r="S47241" s="178"/>
    </row>
    <row r="47242" spans="18:19">
      <c r="R47242" s="178"/>
      <c r="S47242" s="178"/>
    </row>
    <row r="47243" spans="18:19">
      <c r="R47243" s="178"/>
      <c r="S47243" s="178"/>
    </row>
    <row r="47244" spans="18:19">
      <c r="R47244" s="178"/>
      <c r="S47244" s="178"/>
    </row>
    <row r="47245" spans="18:19">
      <c r="R47245" s="178"/>
      <c r="S47245" s="178"/>
    </row>
    <row r="47246" spans="18:19">
      <c r="R47246" s="178"/>
      <c r="S47246" s="178"/>
    </row>
    <row r="47247" spans="18:19">
      <c r="R47247" s="178"/>
      <c r="S47247" s="178"/>
    </row>
    <row r="47248" spans="18:19">
      <c r="R47248" s="178"/>
      <c r="S47248" s="178"/>
    </row>
    <row r="47249" spans="18:19">
      <c r="R47249" s="178"/>
      <c r="S47249" s="178"/>
    </row>
    <row r="47250" spans="18:19">
      <c r="R47250" s="178"/>
      <c r="S47250" s="178"/>
    </row>
    <row r="47251" spans="18:19">
      <c r="R47251" s="178"/>
      <c r="S47251" s="178"/>
    </row>
    <row r="47252" spans="18:19">
      <c r="R47252" s="178"/>
      <c r="S47252" s="178"/>
    </row>
    <row r="47253" spans="18:19">
      <c r="R47253" s="178"/>
      <c r="S47253" s="178"/>
    </row>
    <row r="47254" spans="18:19">
      <c r="R47254" s="178"/>
      <c r="S47254" s="178"/>
    </row>
    <row r="47255" spans="18:19">
      <c r="R47255" s="178"/>
      <c r="S47255" s="178"/>
    </row>
    <row r="47256" spans="18:19">
      <c r="R47256" s="178"/>
      <c r="S47256" s="178"/>
    </row>
    <row r="47257" spans="18:19">
      <c r="R47257" s="178"/>
      <c r="S47257" s="178"/>
    </row>
    <row r="47258" spans="18:19">
      <c r="R47258" s="178"/>
      <c r="S47258" s="178"/>
    </row>
    <row r="47259" spans="18:19">
      <c r="R47259" s="178"/>
      <c r="S47259" s="178"/>
    </row>
    <row r="47260" spans="18:19">
      <c r="R47260" s="178"/>
      <c r="S47260" s="178"/>
    </row>
    <row r="47261" spans="18:19">
      <c r="R47261" s="178"/>
      <c r="S47261" s="178"/>
    </row>
    <row r="47262" spans="18:19">
      <c r="R47262" s="178"/>
      <c r="S47262" s="178"/>
    </row>
    <row r="47263" spans="18:19">
      <c r="R47263" s="178"/>
      <c r="S47263" s="178"/>
    </row>
    <row r="47264" spans="18:19">
      <c r="R47264" s="178"/>
      <c r="S47264" s="178"/>
    </row>
    <row r="47265" spans="18:19">
      <c r="R47265" s="178"/>
      <c r="S47265" s="178"/>
    </row>
    <row r="47266" spans="18:19">
      <c r="R47266" s="178"/>
      <c r="S47266" s="178"/>
    </row>
    <row r="47267" spans="18:19">
      <c r="R47267" s="178"/>
      <c r="S47267" s="178"/>
    </row>
    <row r="47268" spans="18:19">
      <c r="R47268" s="178"/>
      <c r="S47268" s="178"/>
    </row>
    <row r="47269" spans="18:19">
      <c r="R47269" s="178"/>
      <c r="S47269" s="178"/>
    </row>
    <row r="47270" spans="18:19">
      <c r="R47270" s="178"/>
      <c r="S47270" s="178"/>
    </row>
    <row r="47271" spans="18:19">
      <c r="R47271" s="178"/>
      <c r="S47271" s="178"/>
    </row>
    <row r="47272" spans="18:19">
      <c r="R47272" s="178"/>
      <c r="S47272" s="178"/>
    </row>
    <row r="47273" spans="18:19">
      <c r="R47273" s="178"/>
      <c r="S47273" s="178"/>
    </row>
    <row r="47274" spans="18:19">
      <c r="R47274" s="178"/>
      <c r="S47274" s="178"/>
    </row>
    <row r="47275" spans="18:19">
      <c r="R47275" s="178"/>
      <c r="S47275" s="178"/>
    </row>
    <row r="47276" spans="18:19">
      <c r="R47276" s="178"/>
      <c r="S47276" s="178"/>
    </row>
    <row r="47277" spans="18:19">
      <c r="R47277" s="178"/>
      <c r="S47277" s="178"/>
    </row>
    <row r="47278" spans="18:19">
      <c r="R47278" s="178"/>
      <c r="S47278" s="178"/>
    </row>
    <row r="47279" spans="18:19">
      <c r="R47279" s="178"/>
      <c r="S47279" s="178"/>
    </row>
    <row r="47280" spans="18:19">
      <c r="R47280" s="178"/>
      <c r="S47280" s="178"/>
    </row>
    <row r="47281" spans="18:19">
      <c r="R47281" s="178"/>
      <c r="S47281" s="178"/>
    </row>
    <row r="47282" spans="18:19">
      <c r="R47282" s="178"/>
      <c r="S47282" s="178"/>
    </row>
    <row r="47283" spans="18:19">
      <c r="R47283" s="178"/>
      <c r="S47283" s="178"/>
    </row>
    <row r="47284" spans="18:19">
      <c r="R47284" s="178"/>
      <c r="S47284" s="178"/>
    </row>
    <row r="47285" spans="18:19">
      <c r="R47285" s="178"/>
      <c r="S47285" s="178"/>
    </row>
    <row r="47286" spans="18:19">
      <c r="R47286" s="178"/>
      <c r="S47286" s="178"/>
    </row>
    <row r="47287" spans="18:19">
      <c r="R47287" s="178"/>
      <c r="S47287" s="178"/>
    </row>
    <row r="47288" spans="18:19">
      <c r="R47288" s="178"/>
      <c r="S47288" s="178"/>
    </row>
    <row r="47289" spans="18:19">
      <c r="R47289" s="178"/>
      <c r="S47289" s="178"/>
    </row>
    <row r="47290" spans="18:19">
      <c r="R47290" s="178"/>
      <c r="S47290" s="178"/>
    </row>
    <row r="47291" spans="18:19">
      <c r="R47291" s="178"/>
      <c r="S47291" s="178"/>
    </row>
    <row r="47292" spans="18:19">
      <c r="R47292" s="178"/>
      <c r="S47292" s="178"/>
    </row>
    <row r="47293" spans="18:19">
      <c r="R47293" s="178"/>
      <c r="S47293" s="178"/>
    </row>
    <row r="47294" spans="18:19">
      <c r="R47294" s="178"/>
      <c r="S47294" s="178"/>
    </row>
    <row r="47295" spans="18:19">
      <c r="R47295" s="178"/>
      <c r="S47295" s="178"/>
    </row>
    <row r="47296" spans="18:19">
      <c r="R47296" s="178"/>
      <c r="S47296" s="178"/>
    </row>
    <row r="47297" spans="18:19">
      <c r="R47297" s="178"/>
      <c r="S47297" s="178"/>
    </row>
    <row r="47298" spans="18:19">
      <c r="R47298" s="178"/>
      <c r="S47298" s="178"/>
    </row>
    <row r="47299" spans="18:19">
      <c r="R47299" s="178"/>
      <c r="S47299" s="178"/>
    </row>
    <row r="47300" spans="18:19">
      <c r="R47300" s="178"/>
      <c r="S47300" s="178"/>
    </row>
    <row r="47301" spans="18:19">
      <c r="R47301" s="178"/>
      <c r="S47301" s="178"/>
    </row>
    <row r="47302" spans="18:19">
      <c r="R47302" s="178"/>
      <c r="S47302" s="178"/>
    </row>
    <row r="47303" spans="18:19">
      <c r="R47303" s="178"/>
      <c r="S47303" s="178"/>
    </row>
    <row r="47304" spans="18:19">
      <c r="R47304" s="178"/>
      <c r="S47304" s="178"/>
    </row>
    <row r="47305" spans="18:19">
      <c r="R47305" s="178"/>
      <c r="S47305" s="178"/>
    </row>
    <row r="47306" spans="18:19">
      <c r="R47306" s="178"/>
      <c r="S47306" s="178"/>
    </row>
    <row r="47307" spans="18:19">
      <c r="R47307" s="178"/>
      <c r="S47307" s="178"/>
    </row>
    <row r="47308" spans="18:19">
      <c r="R47308" s="178"/>
      <c r="S47308" s="178"/>
    </row>
    <row r="47309" spans="18:19">
      <c r="R47309" s="178"/>
      <c r="S47309" s="178"/>
    </row>
    <row r="47310" spans="18:19">
      <c r="R47310" s="178"/>
      <c r="S47310" s="178"/>
    </row>
    <row r="47311" spans="18:19">
      <c r="R47311" s="178"/>
      <c r="S47311" s="178"/>
    </row>
    <row r="47312" spans="18:19">
      <c r="R47312" s="178"/>
      <c r="S47312" s="178"/>
    </row>
    <row r="47313" spans="18:19">
      <c r="R47313" s="178"/>
      <c r="S47313" s="178"/>
    </row>
    <row r="47314" spans="18:19">
      <c r="R47314" s="178"/>
      <c r="S47314" s="178"/>
    </row>
    <row r="47315" spans="18:19">
      <c r="R47315" s="178"/>
      <c r="S47315" s="178"/>
    </row>
    <row r="47316" spans="18:19">
      <c r="R47316" s="178"/>
      <c r="S47316" s="178"/>
    </row>
    <row r="47317" spans="18:19">
      <c r="R47317" s="178"/>
      <c r="S47317" s="178"/>
    </row>
    <row r="47318" spans="18:19">
      <c r="R47318" s="178"/>
      <c r="S47318" s="178"/>
    </row>
    <row r="47319" spans="18:19">
      <c r="R47319" s="178"/>
      <c r="S47319" s="178"/>
    </row>
    <row r="47320" spans="18:19">
      <c r="R47320" s="178"/>
      <c r="S47320" s="178"/>
    </row>
    <row r="47321" spans="18:19">
      <c r="R47321" s="178"/>
      <c r="S47321" s="178"/>
    </row>
    <row r="47322" spans="18:19">
      <c r="R47322" s="178"/>
      <c r="S47322" s="178"/>
    </row>
    <row r="47323" spans="18:19">
      <c r="R47323" s="178"/>
      <c r="S47323" s="178"/>
    </row>
    <row r="47324" spans="18:19">
      <c r="R47324" s="178"/>
      <c r="S47324" s="178"/>
    </row>
    <row r="47325" spans="18:19">
      <c r="R47325" s="178"/>
      <c r="S47325" s="178"/>
    </row>
    <row r="47326" spans="18:19">
      <c r="R47326" s="178"/>
      <c r="S47326" s="178"/>
    </row>
    <row r="47327" spans="18:19">
      <c r="R47327" s="178"/>
      <c r="S47327" s="178"/>
    </row>
    <row r="47328" spans="18:19">
      <c r="R47328" s="178"/>
      <c r="S47328" s="178"/>
    </row>
    <row r="47329" spans="18:19">
      <c r="R47329" s="178"/>
      <c r="S47329" s="178"/>
    </row>
    <row r="47330" spans="18:19">
      <c r="R47330" s="178"/>
      <c r="S47330" s="178"/>
    </row>
    <row r="47331" spans="18:19">
      <c r="R47331" s="178"/>
      <c r="S47331" s="178"/>
    </row>
    <row r="47332" spans="18:19">
      <c r="R47332" s="178"/>
      <c r="S47332" s="178"/>
    </row>
    <row r="47333" spans="18:19">
      <c r="R47333" s="178"/>
      <c r="S47333" s="178"/>
    </row>
    <row r="47334" spans="18:19">
      <c r="R47334" s="178"/>
      <c r="S47334" s="178"/>
    </row>
    <row r="47335" spans="18:19">
      <c r="R47335" s="178"/>
      <c r="S47335" s="178"/>
    </row>
    <row r="47336" spans="18:19">
      <c r="R47336" s="178"/>
      <c r="S47336" s="178"/>
    </row>
    <row r="47337" spans="18:19">
      <c r="R47337" s="178"/>
      <c r="S47337" s="178"/>
    </row>
    <row r="47338" spans="18:19">
      <c r="R47338" s="178"/>
      <c r="S47338" s="178"/>
    </row>
    <row r="47339" spans="18:19">
      <c r="R47339" s="178"/>
      <c r="S47339" s="178"/>
    </row>
    <row r="47340" spans="18:19">
      <c r="R47340" s="178"/>
      <c r="S47340" s="178"/>
    </row>
    <row r="47341" spans="18:19">
      <c r="R47341" s="178"/>
      <c r="S47341" s="178"/>
    </row>
    <row r="47342" spans="18:19">
      <c r="R47342" s="178"/>
      <c r="S47342" s="178"/>
    </row>
    <row r="47343" spans="18:19">
      <c r="R47343" s="178"/>
      <c r="S47343" s="178"/>
    </row>
    <row r="47344" spans="18:19">
      <c r="R47344" s="178"/>
      <c r="S47344" s="178"/>
    </row>
    <row r="47345" spans="18:19">
      <c r="R47345" s="178"/>
      <c r="S47345" s="178"/>
    </row>
    <row r="47346" spans="18:19">
      <c r="R47346" s="178"/>
      <c r="S47346" s="178"/>
    </row>
    <row r="47347" spans="18:19">
      <c r="R47347" s="178"/>
      <c r="S47347" s="178"/>
    </row>
    <row r="47348" spans="18:19">
      <c r="R47348" s="178"/>
      <c r="S47348" s="178"/>
    </row>
    <row r="47349" spans="18:19">
      <c r="R47349" s="178"/>
      <c r="S47349" s="178"/>
    </row>
    <row r="47350" spans="18:19">
      <c r="R47350" s="178"/>
      <c r="S47350" s="178"/>
    </row>
    <row r="47351" spans="18:19">
      <c r="R47351" s="178"/>
      <c r="S47351" s="178"/>
    </row>
    <row r="47352" spans="18:19">
      <c r="R47352" s="178"/>
      <c r="S47352" s="178"/>
    </row>
    <row r="47353" spans="18:19">
      <c r="R47353" s="178"/>
      <c r="S47353" s="178"/>
    </row>
    <row r="47354" spans="18:19">
      <c r="R47354" s="178"/>
      <c r="S47354" s="178"/>
    </row>
    <row r="47355" spans="18:19">
      <c r="R47355" s="178"/>
      <c r="S47355" s="178"/>
    </row>
    <row r="47356" spans="18:19">
      <c r="R47356" s="178"/>
      <c r="S47356" s="178"/>
    </row>
    <row r="47357" spans="18:19">
      <c r="R47357" s="178"/>
      <c r="S47357" s="178"/>
    </row>
    <row r="47358" spans="18:19">
      <c r="R47358" s="178"/>
      <c r="S47358" s="178"/>
    </row>
    <row r="47359" spans="18:19">
      <c r="R47359" s="178"/>
      <c r="S47359" s="178"/>
    </row>
    <row r="47360" spans="18:19">
      <c r="R47360" s="178"/>
      <c r="S47360" s="178"/>
    </row>
    <row r="47361" spans="18:19">
      <c r="R47361" s="178"/>
      <c r="S47361" s="178"/>
    </row>
    <row r="47362" spans="18:19">
      <c r="R47362" s="178"/>
      <c r="S47362" s="178"/>
    </row>
    <row r="47363" spans="18:19">
      <c r="R47363" s="178"/>
      <c r="S47363" s="178"/>
    </row>
    <row r="47364" spans="18:19">
      <c r="R47364" s="178"/>
      <c r="S47364" s="178"/>
    </row>
    <row r="47365" spans="18:19">
      <c r="R47365" s="178"/>
      <c r="S47365" s="178"/>
    </row>
    <row r="47366" spans="18:19">
      <c r="R47366" s="178"/>
      <c r="S47366" s="178"/>
    </row>
    <row r="47367" spans="18:19">
      <c r="R47367" s="178"/>
      <c r="S47367" s="178"/>
    </row>
    <row r="47368" spans="18:19">
      <c r="R47368" s="178"/>
      <c r="S47368" s="178"/>
    </row>
    <row r="47369" spans="18:19">
      <c r="R47369" s="178"/>
      <c r="S47369" s="178"/>
    </row>
    <row r="47370" spans="18:19">
      <c r="R47370" s="178"/>
      <c r="S47370" s="178"/>
    </row>
    <row r="47371" spans="18:19">
      <c r="R47371" s="178"/>
      <c r="S47371" s="178"/>
    </row>
    <row r="47372" spans="18:19">
      <c r="R47372" s="178"/>
      <c r="S47372" s="178"/>
    </row>
    <row r="47373" spans="18:19">
      <c r="R47373" s="178"/>
      <c r="S47373" s="178"/>
    </row>
    <row r="47374" spans="18:19">
      <c r="R47374" s="178"/>
      <c r="S47374" s="178"/>
    </row>
    <row r="47375" spans="18:19">
      <c r="R47375" s="178"/>
      <c r="S47375" s="178"/>
    </row>
    <row r="47376" spans="18:19">
      <c r="R47376" s="178"/>
      <c r="S47376" s="178"/>
    </row>
    <row r="47377" spans="18:19">
      <c r="R47377" s="178"/>
      <c r="S47377" s="178"/>
    </row>
    <row r="47378" spans="18:19">
      <c r="R47378" s="178"/>
      <c r="S47378" s="178"/>
    </row>
    <row r="47379" spans="18:19">
      <c r="R47379" s="178"/>
      <c r="S47379" s="178"/>
    </row>
    <row r="47380" spans="18:19">
      <c r="R47380" s="178"/>
      <c r="S47380" s="178"/>
    </row>
    <row r="47381" spans="18:19">
      <c r="R47381" s="178"/>
      <c r="S47381" s="178"/>
    </row>
    <row r="47382" spans="18:19">
      <c r="R47382" s="178"/>
      <c r="S47382" s="178"/>
    </row>
    <row r="47383" spans="18:19">
      <c r="R47383" s="178"/>
      <c r="S47383" s="178"/>
    </row>
    <row r="47384" spans="18:19">
      <c r="R47384" s="178"/>
      <c r="S47384" s="178"/>
    </row>
    <row r="47385" spans="18:19">
      <c r="R47385" s="178"/>
      <c r="S47385" s="178"/>
    </row>
    <row r="47386" spans="18:19">
      <c r="R47386" s="178"/>
      <c r="S47386" s="178"/>
    </row>
    <row r="47387" spans="18:19">
      <c r="R47387" s="178"/>
      <c r="S47387" s="178"/>
    </row>
    <row r="47388" spans="18:19">
      <c r="R47388" s="178"/>
      <c r="S47388" s="178"/>
    </row>
    <row r="47389" spans="18:19">
      <c r="R47389" s="178"/>
      <c r="S47389" s="178"/>
    </row>
    <row r="47390" spans="18:19">
      <c r="R47390" s="178"/>
      <c r="S47390" s="178"/>
    </row>
    <row r="47391" spans="18:19">
      <c r="R47391" s="178"/>
      <c r="S47391" s="178"/>
    </row>
    <row r="47392" spans="18:19">
      <c r="R47392" s="178"/>
      <c r="S47392" s="178"/>
    </row>
    <row r="47393" spans="18:19">
      <c r="R47393" s="178"/>
      <c r="S47393" s="178"/>
    </row>
    <row r="47394" spans="18:19">
      <c r="R47394" s="178"/>
      <c r="S47394" s="178"/>
    </row>
    <row r="47395" spans="18:19">
      <c r="R47395" s="178"/>
      <c r="S47395" s="178"/>
    </row>
    <row r="47396" spans="18:19">
      <c r="R47396" s="178"/>
      <c r="S47396" s="178"/>
    </row>
    <row r="47397" spans="18:19">
      <c r="R47397" s="178"/>
      <c r="S47397" s="178"/>
    </row>
    <row r="47398" spans="18:19">
      <c r="R47398" s="178"/>
      <c r="S47398" s="178"/>
    </row>
    <row r="47399" spans="18:19">
      <c r="R47399" s="178"/>
      <c r="S47399" s="178"/>
    </row>
    <row r="47400" spans="18:19">
      <c r="R47400" s="178"/>
      <c r="S47400" s="178"/>
    </row>
    <row r="47401" spans="18:19">
      <c r="R47401" s="178"/>
      <c r="S47401" s="178"/>
    </row>
    <row r="47402" spans="18:19">
      <c r="R47402" s="178"/>
      <c r="S47402" s="178"/>
    </row>
    <row r="47403" spans="18:19">
      <c r="R47403" s="178"/>
      <c r="S47403" s="178"/>
    </row>
    <row r="47404" spans="18:19">
      <c r="R47404" s="178"/>
      <c r="S47404" s="178"/>
    </row>
    <row r="47405" spans="18:19">
      <c r="R47405" s="178"/>
      <c r="S47405" s="178"/>
    </row>
    <row r="47406" spans="18:19">
      <c r="R47406" s="178"/>
      <c r="S47406" s="178"/>
    </row>
    <row r="47407" spans="18:19">
      <c r="R47407" s="178"/>
      <c r="S47407" s="178"/>
    </row>
    <row r="47408" spans="18:19">
      <c r="R47408" s="178"/>
      <c r="S47408" s="178"/>
    </row>
    <row r="47409" spans="18:19">
      <c r="R47409" s="178"/>
      <c r="S47409" s="178"/>
    </row>
    <row r="47410" spans="18:19">
      <c r="R47410" s="178"/>
      <c r="S47410" s="178"/>
    </row>
    <row r="47411" spans="18:19">
      <c r="R47411" s="178"/>
      <c r="S47411" s="178"/>
    </row>
    <row r="47412" spans="18:19">
      <c r="R47412" s="178"/>
      <c r="S47412" s="178"/>
    </row>
    <row r="47413" spans="18:19">
      <c r="R47413" s="178"/>
      <c r="S47413" s="178"/>
    </row>
    <row r="47414" spans="18:19">
      <c r="R47414" s="178"/>
      <c r="S47414" s="178"/>
    </row>
    <row r="47415" spans="18:19">
      <c r="R47415" s="178"/>
      <c r="S47415" s="178"/>
    </row>
    <row r="47416" spans="18:19">
      <c r="R47416" s="178"/>
      <c r="S47416" s="178"/>
    </row>
    <row r="47417" spans="18:19">
      <c r="R47417" s="178"/>
      <c r="S47417" s="178"/>
    </row>
    <row r="47418" spans="18:19">
      <c r="R47418" s="178"/>
      <c r="S47418" s="178"/>
    </row>
    <row r="47419" spans="18:19">
      <c r="R47419" s="178"/>
      <c r="S47419" s="178"/>
    </row>
    <row r="47420" spans="18:19">
      <c r="R47420" s="178"/>
      <c r="S47420" s="178"/>
    </row>
    <row r="47421" spans="18:19">
      <c r="R47421" s="178"/>
      <c r="S47421" s="178"/>
    </row>
    <row r="47422" spans="18:19">
      <c r="R47422" s="178"/>
      <c r="S47422" s="178"/>
    </row>
    <row r="47423" spans="18:19">
      <c r="R47423" s="178"/>
      <c r="S47423" s="178"/>
    </row>
    <row r="47424" spans="18:19">
      <c r="R47424" s="178"/>
      <c r="S47424" s="178"/>
    </row>
    <row r="47425" spans="18:19">
      <c r="R47425" s="178"/>
      <c r="S47425" s="178"/>
    </row>
    <row r="47426" spans="18:19">
      <c r="R47426" s="178"/>
      <c r="S47426" s="178"/>
    </row>
    <row r="47427" spans="18:19">
      <c r="R47427" s="178"/>
      <c r="S47427" s="178"/>
    </row>
    <row r="47428" spans="18:19">
      <c r="R47428" s="178"/>
      <c r="S47428" s="178"/>
    </row>
    <row r="47429" spans="18:19">
      <c r="R47429" s="178"/>
      <c r="S47429" s="178"/>
    </row>
    <row r="47430" spans="18:19">
      <c r="R47430" s="178"/>
      <c r="S47430" s="178"/>
    </row>
    <row r="47431" spans="18:19">
      <c r="R47431" s="178"/>
      <c r="S47431" s="178"/>
    </row>
    <row r="47432" spans="18:19">
      <c r="R47432" s="178"/>
      <c r="S47432" s="178"/>
    </row>
    <row r="47433" spans="18:19">
      <c r="R47433" s="178"/>
      <c r="S47433" s="178"/>
    </row>
    <row r="47434" spans="18:19">
      <c r="R47434" s="178"/>
      <c r="S47434" s="178"/>
    </row>
    <row r="47435" spans="18:19">
      <c r="R47435" s="178"/>
      <c r="S47435" s="178"/>
    </row>
    <row r="47436" spans="18:19">
      <c r="R47436" s="178"/>
      <c r="S47436" s="178"/>
    </row>
    <row r="47437" spans="18:19">
      <c r="R47437" s="178"/>
      <c r="S47437" s="178"/>
    </row>
    <row r="47438" spans="18:19">
      <c r="R47438" s="178"/>
      <c r="S47438" s="178"/>
    </row>
    <row r="47439" spans="18:19">
      <c r="R47439" s="178"/>
      <c r="S47439" s="178"/>
    </row>
    <row r="47440" spans="18:19">
      <c r="R47440" s="178"/>
      <c r="S47440" s="178"/>
    </row>
    <row r="47441" spans="18:19">
      <c r="R47441" s="178"/>
      <c r="S47441" s="178"/>
    </row>
    <row r="47442" spans="18:19">
      <c r="R47442" s="178"/>
      <c r="S47442" s="178"/>
    </row>
    <row r="47443" spans="18:19">
      <c r="R47443" s="178"/>
      <c r="S47443" s="178"/>
    </row>
    <row r="47444" spans="18:19">
      <c r="R47444" s="178"/>
      <c r="S47444" s="178"/>
    </row>
    <row r="47445" spans="18:19">
      <c r="R47445" s="178"/>
      <c r="S47445" s="178"/>
    </row>
    <row r="47446" spans="18:19">
      <c r="R47446" s="178"/>
      <c r="S47446" s="178"/>
    </row>
    <row r="47447" spans="18:19">
      <c r="R47447" s="178"/>
      <c r="S47447" s="178"/>
    </row>
    <row r="47448" spans="18:19">
      <c r="R47448" s="178"/>
      <c r="S47448" s="178"/>
    </row>
    <row r="47449" spans="18:19">
      <c r="R47449" s="178"/>
      <c r="S47449" s="178"/>
    </row>
    <row r="47450" spans="18:19">
      <c r="R47450" s="178"/>
      <c r="S47450" s="178"/>
    </row>
    <row r="47451" spans="18:19">
      <c r="R47451" s="178"/>
      <c r="S47451" s="178"/>
    </row>
    <row r="47452" spans="18:19">
      <c r="R47452" s="178"/>
      <c r="S47452" s="178"/>
    </row>
    <row r="47453" spans="18:19">
      <c r="R47453" s="178"/>
      <c r="S47453" s="178"/>
    </row>
    <row r="47454" spans="18:19">
      <c r="R47454" s="178"/>
      <c r="S47454" s="178"/>
    </row>
    <row r="47455" spans="18:19">
      <c r="R47455" s="178"/>
      <c r="S47455" s="178"/>
    </row>
    <row r="47456" spans="18:19">
      <c r="R47456" s="178"/>
      <c r="S47456" s="178"/>
    </row>
    <row r="47457" spans="18:19">
      <c r="R47457" s="178"/>
      <c r="S47457" s="178"/>
    </row>
    <row r="47458" spans="18:19">
      <c r="R47458" s="178"/>
      <c r="S47458" s="178"/>
    </row>
    <row r="47459" spans="18:19">
      <c r="R47459" s="178"/>
      <c r="S47459" s="178"/>
    </row>
    <row r="47460" spans="18:19">
      <c r="R47460" s="178"/>
      <c r="S47460" s="178"/>
    </row>
    <row r="47461" spans="18:19">
      <c r="R47461" s="178"/>
      <c r="S47461" s="178"/>
    </row>
    <row r="47462" spans="18:19">
      <c r="R47462" s="178"/>
      <c r="S47462" s="178"/>
    </row>
    <row r="47463" spans="18:19">
      <c r="R47463" s="178"/>
      <c r="S47463" s="178"/>
    </row>
    <row r="47464" spans="18:19">
      <c r="R47464" s="178"/>
      <c r="S47464" s="178"/>
    </row>
    <row r="47465" spans="18:19">
      <c r="R47465" s="178"/>
      <c r="S47465" s="178"/>
    </row>
    <row r="47466" spans="18:19">
      <c r="R47466" s="178"/>
      <c r="S47466" s="178"/>
    </row>
    <row r="47467" spans="18:19">
      <c r="R47467" s="178"/>
      <c r="S47467" s="178"/>
    </row>
    <row r="47468" spans="18:19">
      <c r="R47468" s="178"/>
      <c r="S47468" s="178"/>
    </row>
    <row r="47469" spans="18:19">
      <c r="R47469" s="178"/>
      <c r="S47469" s="178"/>
    </row>
    <row r="47470" spans="18:19">
      <c r="R47470" s="178"/>
      <c r="S47470" s="178"/>
    </row>
    <row r="47471" spans="18:19">
      <c r="R47471" s="178"/>
      <c r="S47471" s="178"/>
    </row>
    <row r="47472" spans="18:19">
      <c r="R47472" s="178"/>
      <c r="S47472" s="178"/>
    </row>
    <row r="47473" spans="18:19">
      <c r="R47473" s="178"/>
      <c r="S47473" s="178"/>
    </row>
    <row r="47474" spans="18:19">
      <c r="R47474" s="178"/>
      <c r="S47474" s="178"/>
    </row>
    <row r="47475" spans="18:19">
      <c r="R47475" s="178"/>
      <c r="S47475" s="178"/>
    </row>
    <row r="47476" spans="18:19">
      <c r="R47476" s="178"/>
      <c r="S47476" s="178"/>
    </row>
    <row r="47477" spans="18:19">
      <c r="R47477" s="178"/>
      <c r="S47477" s="178"/>
    </row>
    <row r="47478" spans="18:19">
      <c r="R47478" s="178"/>
      <c r="S47478" s="178"/>
    </row>
    <row r="47479" spans="18:19">
      <c r="R47479" s="178"/>
      <c r="S47479" s="178"/>
    </row>
    <row r="47480" spans="18:19">
      <c r="R47480" s="178"/>
      <c r="S47480" s="178"/>
    </row>
    <row r="47481" spans="18:19">
      <c r="R47481" s="178"/>
      <c r="S47481" s="178"/>
    </row>
    <row r="47482" spans="18:19">
      <c r="R47482" s="178"/>
      <c r="S47482" s="178"/>
    </row>
    <row r="47483" spans="18:19">
      <c r="R47483" s="178"/>
      <c r="S47483" s="178"/>
    </row>
    <row r="47484" spans="18:19">
      <c r="R47484" s="178"/>
      <c r="S47484" s="178"/>
    </row>
    <row r="47485" spans="18:19">
      <c r="R47485" s="178"/>
      <c r="S47485" s="178"/>
    </row>
    <row r="47486" spans="18:19">
      <c r="R47486" s="178"/>
      <c r="S47486" s="178"/>
    </row>
    <row r="47487" spans="18:19">
      <c r="R47487" s="178"/>
      <c r="S47487" s="178"/>
    </row>
    <row r="47488" spans="18:19">
      <c r="R47488" s="178"/>
      <c r="S47488" s="178"/>
    </row>
    <row r="47489" spans="18:19">
      <c r="R47489" s="178"/>
      <c r="S47489" s="178"/>
    </row>
    <row r="47490" spans="18:19">
      <c r="R47490" s="178"/>
      <c r="S47490" s="178"/>
    </row>
    <row r="47491" spans="18:19">
      <c r="R47491" s="178"/>
      <c r="S47491" s="178"/>
    </row>
    <row r="47492" spans="18:19">
      <c r="R47492" s="178"/>
      <c r="S47492" s="178"/>
    </row>
    <row r="47493" spans="18:19">
      <c r="R47493" s="178"/>
      <c r="S47493" s="178"/>
    </row>
    <row r="47494" spans="18:19">
      <c r="R47494" s="178"/>
      <c r="S47494" s="178"/>
    </row>
    <row r="47495" spans="18:19">
      <c r="R47495" s="178"/>
      <c r="S47495" s="178"/>
    </row>
    <row r="47496" spans="18:19">
      <c r="R47496" s="178"/>
      <c r="S47496" s="178"/>
    </row>
    <row r="47497" spans="18:19">
      <c r="R47497" s="178"/>
      <c r="S47497" s="178"/>
    </row>
    <row r="47498" spans="18:19">
      <c r="R47498" s="178"/>
      <c r="S47498" s="178"/>
    </row>
    <row r="47499" spans="18:19">
      <c r="R47499" s="178"/>
      <c r="S47499" s="178"/>
    </row>
    <row r="47500" spans="18:19">
      <c r="R47500" s="178"/>
      <c r="S47500" s="178"/>
    </row>
    <row r="47501" spans="18:19">
      <c r="R47501" s="178"/>
      <c r="S47501" s="178"/>
    </row>
    <row r="47502" spans="18:19">
      <c r="R47502" s="178"/>
      <c r="S47502" s="178"/>
    </row>
    <row r="47503" spans="18:19">
      <c r="R47503" s="178"/>
      <c r="S47503" s="178"/>
    </row>
    <row r="47504" spans="18:19">
      <c r="R47504" s="178"/>
      <c r="S47504" s="178"/>
    </row>
    <row r="47505" spans="18:19">
      <c r="R47505" s="178"/>
      <c r="S47505" s="178"/>
    </row>
    <row r="47506" spans="18:19">
      <c r="R47506" s="178"/>
      <c r="S47506" s="178"/>
    </row>
    <row r="47507" spans="18:19">
      <c r="R47507" s="178"/>
      <c r="S47507" s="178"/>
    </row>
    <row r="47508" spans="18:19">
      <c r="R47508" s="178"/>
      <c r="S47508" s="178"/>
    </row>
    <row r="47509" spans="18:19">
      <c r="R47509" s="178"/>
      <c r="S47509" s="178"/>
    </row>
    <row r="47510" spans="18:19">
      <c r="R47510" s="178"/>
      <c r="S47510" s="178"/>
    </row>
    <row r="47511" spans="18:19">
      <c r="R47511" s="178"/>
      <c r="S47511" s="178"/>
    </row>
    <row r="47512" spans="18:19">
      <c r="R47512" s="178"/>
      <c r="S47512" s="178"/>
    </row>
    <row r="47513" spans="18:19">
      <c r="R47513" s="178"/>
      <c r="S47513" s="178"/>
    </row>
    <row r="47514" spans="18:19">
      <c r="R47514" s="178"/>
      <c r="S47514" s="178"/>
    </row>
    <row r="47515" spans="18:19">
      <c r="R47515" s="178"/>
      <c r="S47515" s="178"/>
    </row>
    <row r="47516" spans="18:19">
      <c r="R47516" s="178"/>
      <c r="S47516" s="178"/>
    </row>
    <row r="47517" spans="18:19">
      <c r="R47517" s="178"/>
      <c r="S47517" s="178"/>
    </row>
    <row r="47518" spans="18:19">
      <c r="R47518" s="178"/>
      <c r="S47518" s="178"/>
    </row>
    <row r="47519" spans="18:19">
      <c r="R47519" s="178"/>
      <c r="S47519" s="178"/>
    </row>
    <row r="47520" spans="18:19">
      <c r="R47520" s="178"/>
      <c r="S47520" s="178"/>
    </row>
    <row r="47521" spans="18:19">
      <c r="R47521" s="178"/>
      <c r="S47521" s="178"/>
    </row>
    <row r="47522" spans="18:19">
      <c r="R47522" s="178"/>
      <c r="S47522" s="178"/>
    </row>
    <row r="47523" spans="18:19">
      <c r="R47523" s="178"/>
      <c r="S47523" s="178"/>
    </row>
    <row r="47524" spans="18:19">
      <c r="R47524" s="178"/>
      <c r="S47524" s="178"/>
    </row>
    <row r="47525" spans="18:19">
      <c r="R47525" s="178"/>
      <c r="S47525" s="178"/>
    </row>
    <row r="47526" spans="18:19">
      <c r="R47526" s="178"/>
      <c r="S47526" s="178"/>
    </row>
    <row r="47527" spans="18:19">
      <c r="R47527" s="178"/>
      <c r="S47527" s="178"/>
    </row>
    <row r="47528" spans="18:19">
      <c r="R47528" s="178"/>
      <c r="S47528" s="178"/>
    </row>
    <row r="47529" spans="18:19">
      <c r="R47529" s="178"/>
      <c r="S47529" s="178"/>
    </row>
    <row r="47530" spans="18:19">
      <c r="R47530" s="178"/>
      <c r="S47530" s="178"/>
    </row>
    <row r="47531" spans="18:19">
      <c r="R47531" s="178"/>
      <c r="S47531" s="178"/>
    </row>
    <row r="47532" spans="18:19">
      <c r="R47532" s="178"/>
      <c r="S47532" s="178"/>
    </row>
    <row r="47533" spans="18:19">
      <c r="R47533" s="178"/>
      <c r="S47533" s="178"/>
    </row>
    <row r="47534" spans="18:19">
      <c r="R47534" s="178"/>
      <c r="S47534" s="178"/>
    </row>
    <row r="47535" spans="18:19">
      <c r="R47535" s="178"/>
      <c r="S47535" s="178"/>
    </row>
    <row r="47536" spans="18:19">
      <c r="R47536" s="178"/>
      <c r="S47536" s="178"/>
    </row>
    <row r="47537" spans="18:19">
      <c r="R47537" s="178"/>
      <c r="S47537" s="178"/>
    </row>
    <row r="47538" spans="18:19">
      <c r="R47538" s="178"/>
      <c r="S47538" s="178"/>
    </row>
    <row r="47539" spans="18:19">
      <c r="R47539" s="178"/>
      <c r="S47539" s="178"/>
    </row>
    <row r="47540" spans="18:19">
      <c r="R47540" s="178"/>
      <c r="S47540" s="178"/>
    </row>
    <row r="47541" spans="18:19">
      <c r="R47541" s="178"/>
      <c r="S47541" s="178"/>
    </row>
    <row r="47542" spans="18:19">
      <c r="R47542" s="178"/>
      <c r="S47542" s="178"/>
    </row>
    <row r="47543" spans="18:19">
      <c r="R47543" s="178"/>
      <c r="S47543" s="178"/>
    </row>
    <row r="47544" spans="18:19">
      <c r="R47544" s="178"/>
      <c r="S47544" s="178"/>
    </row>
    <row r="47545" spans="18:19">
      <c r="R47545" s="178"/>
      <c r="S47545" s="178"/>
    </row>
    <row r="47546" spans="18:19">
      <c r="R47546" s="178"/>
      <c r="S47546" s="178"/>
    </row>
    <row r="47547" spans="18:19">
      <c r="R47547" s="178"/>
      <c r="S47547" s="178"/>
    </row>
    <row r="47548" spans="18:19">
      <c r="R47548" s="178"/>
      <c r="S47548" s="178"/>
    </row>
    <row r="47549" spans="18:19">
      <c r="R47549" s="178"/>
      <c r="S47549" s="178"/>
    </row>
    <row r="47550" spans="18:19">
      <c r="R47550" s="178"/>
      <c r="S47550" s="178"/>
    </row>
    <row r="47551" spans="18:19">
      <c r="R47551" s="178"/>
      <c r="S47551" s="178"/>
    </row>
    <row r="47552" spans="18:19">
      <c r="R47552" s="178"/>
      <c r="S47552" s="178"/>
    </row>
    <row r="47553" spans="18:19">
      <c r="R47553" s="178"/>
      <c r="S47553" s="178"/>
    </row>
    <row r="47554" spans="18:19">
      <c r="R47554" s="178"/>
      <c r="S47554" s="178"/>
    </row>
    <row r="47555" spans="18:19">
      <c r="R47555" s="178"/>
      <c r="S47555" s="178"/>
    </row>
    <row r="47556" spans="18:19">
      <c r="R47556" s="178"/>
      <c r="S47556" s="178"/>
    </row>
    <row r="47557" spans="18:19">
      <c r="R47557" s="178"/>
      <c r="S47557" s="178"/>
    </row>
    <row r="47558" spans="18:19">
      <c r="R47558" s="178"/>
      <c r="S47558" s="178"/>
    </row>
    <row r="47559" spans="18:19">
      <c r="R47559" s="178"/>
      <c r="S47559" s="178"/>
    </row>
    <row r="47560" spans="18:19">
      <c r="R47560" s="178"/>
      <c r="S47560" s="178"/>
    </row>
    <row r="47561" spans="18:19">
      <c r="R47561" s="178"/>
      <c r="S47561" s="178"/>
    </row>
    <row r="47562" spans="18:19">
      <c r="R47562" s="178"/>
      <c r="S47562" s="178"/>
    </row>
    <row r="47563" spans="18:19">
      <c r="R47563" s="178"/>
      <c r="S47563" s="178"/>
    </row>
    <row r="47564" spans="18:19">
      <c r="R47564" s="178"/>
      <c r="S47564" s="178"/>
    </row>
    <row r="47565" spans="18:19">
      <c r="R47565" s="178"/>
      <c r="S47565" s="178"/>
    </row>
    <row r="47566" spans="18:19">
      <c r="R47566" s="178"/>
      <c r="S47566" s="178"/>
    </row>
    <row r="47567" spans="18:19">
      <c r="R47567" s="178"/>
      <c r="S47567" s="178"/>
    </row>
    <row r="47568" spans="18:19">
      <c r="R47568" s="178"/>
      <c r="S47568" s="178"/>
    </row>
    <row r="47569" spans="18:19">
      <c r="R47569" s="178"/>
      <c r="S47569" s="178"/>
    </row>
    <row r="47570" spans="18:19">
      <c r="R47570" s="178"/>
      <c r="S47570" s="178"/>
    </row>
    <row r="47571" spans="18:19">
      <c r="R47571" s="178"/>
      <c r="S47571" s="178"/>
    </row>
    <row r="47572" spans="18:19">
      <c r="R47572" s="178"/>
      <c r="S47572" s="178"/>
    </row>
    <row r="47573" spans="18:19">
      <c r="R47573" s="178"/>
      <c r="S47573" s="178"/>
    </row>
    <row r="47574" spans="18:19">
      <c r="R47574" s="178"/>
      <c r="S47574" s="178"/>
    </row>
    <row r="47575" spans="18:19">
      <c r="R47575" s="178"/>
      <c r="S47575" s="178"/>
    </row>
    <row r="47576" spans="18:19">
      <c r="R47576" s="178"/>
      <c r="S47576" s="178"/>
    </row>
    <row r="47577" spans="18:19">
      <c r="R47577" s="178"/>
      <c r="S47577" s="178"/>
    </row>
    <row r="47578" spans="18:19">
      <c r="R47578" s="178"/>
      <c r="S47578" s="178"/>
    </row>
    <row r="47579" spans="18:19">
      <c r="R47579" s="178"/>
      <c r="S47579" s="178"/>
    </row>
    <row r="47580" spans="18:19">
      <c r="R47580" s="178"/>
      <c r="S47580" s="178"/>
    </row>
    <row r="47581" spans="18:19">
      <c r="R47581" s="178"/>
      <c r="S47581" s="178"/>
    </row>
    <row r="47582" spans="18:19">
      <c r="R47582" s="178"/>
      <c r="S47582" s="178"/>
    </row>
    <row r="47583" spans="18:19">
      <c r="R47583" s="178"/>
      <c r="S47583" s="178"/>
    </row>
    <row r="47584" spans="18:19">
      <c r="R47584" s="178"/>
      <c r="S47584" s="178"/>
    </row>
    <row r="47585" spans="18:19">
      <c r="R47585" s="178"/>
      <c r="S47585" s="178"/>
    </row>
    <row r="47586" spans="18:19">
      <c r="R47586" s="178"/>
      <c r="S47586" s="178"/>
    </row>
    <row r="47587" spans="18:19">
      <c r="R47587" s="178"/>
      <c r="S47587" s="178"/>
    </row>
    <row r="47588" spans="18:19">
      <c r="R47588" s="178"/>
      <c r="S47588" s="178"/>
    </row>
    <row r="47589" spans="18:19">
      <c r="R47589" s="178"/>
      <c r="S47589" s="178"/>
    </row>
    <row r="47590" spans="18:19">
      <c r="R47590" s="178"/>
      <c r="S47590" s="178"/>
    </row>
    <row r="47591" spans="18:19">
      <c r="R47591" s="178"/>
      <c r="S47591" s="178"/>
    </row>
    <row r="47592" spans="18:19">
      <c r="R47592" s="178"/>
      <c r="S47592" s="178"/>
    </row>
    <row r="47593" spans="18:19">
      <c r="R47593" s="178"/>
      <c r="S47593" s="178"/>
    </row>
    <row r="47594" spans="18:19">
      <c r="R47594" s="178"/>
      <c r="S47594" s="178"/>
    </row>
    <row r="47595" spans="18:19">
      <c r="R47595" s="178"/>
      <c r="S47595" s="178"/>
    </row>
    <row r="47596" spans="18:19">
      <c r="R47596" s="178"/>
      <c r="S47596" s="178"/>
    </row>
    <row r="47597" spans="18:19">
      <c r="R47597" s="178"/>
      <c r="S47597" s="178"/>
    </row>
    <row r="47598" spans="18:19">
      <c r="R47598" s="178"/>
      <c r="S47598" s="178"/>
    </row>
    <row r="47599" spans="18:19">
      <c r="R47599" s="178"/>
      <c r="S47599" s="178"/>
    </row>
    <row r="47600" spans="18:19">
      <c r="R47600" s="178"/>
      <c r="S47600" s="178"/>
    </row>
    <row r="47601" spans="18:19">
      <c r="R47601" s="178"/>
      <c r="S47601" s="178"/>
    </row>
    <row r="47602" spans="18:19">
      <c r="R47602" s="178"/>
      <c r="S47602" s="178"/>
    </row>
    <row r="47603" spans="18:19">
      <c r="R47603" s="178"/>
      <c r="S47603" s="178"/>
    </row>
    <row r="47604" spans="18:19">
      <c r="R47604" s="178"/>
      <c r="S47604" s="178"/>
    </row>
    <row r="47605" spans="18:19">
      <c r="R47605" s="178"/>
      <c r="S47605" s="178"/>
    </row>
    <row r="47606" spans="18:19">
      <c r="R47606" s="178"/>
      <c r="S47606" s="178"/>
    </row>
    <row r="47607" spans="18:19">
      <c r="R47607" s="178"/>
      <c r="S47607" s="178"/>
    </row>
    <row r="47608" spans="18:19">
      <c r="R47608" s="178"/>
      <c r="S47608" s="178"/>
    </row>
    <row r="47609" spans="18:19">
      <c r="R47609" s="178"/>
      <c r="S47609" s="178"/>
    </row>
    <row r="47610" spans="18:19">
      <c r="R47610" s="178"/>
      <c r="S47610" s="178"/>
    </row>
    <row r="47611" spans="18:19">
      <c r="R47611" s="178"/>
      <c r="S47611" s="178"/>
    </row>
    <row r="47612" spans="18:19">
      <c r="R47612" s="178"/>
      <c r="S47612" s="178"/>
    </row>
    <row r="47613" spans="18:19">
      <c r="R47613" s="178"/>
      <c r="S47613" s="178"/>
    </row>
    <row r="47614" spans="18:19">
      <c r="R47614" s="178"/>
      <c r="S47614" s="178"/>
    </row>
    <row r="47615" spans="18:19">
      <c r="R47615" s="178"/>
      <c r="S47615" s="178"/>
    </row>
    <row r="47616" spans="18:19">
      <c r="R47616" s="178"/>
      <c r="S47616" s="178"/>
    </row>
    <row r="47617" spans="18:19">
      <c r="R47617" s="178"/>
      <c r="S47617" s="178"/>
    </row>
    <row r="47618" spans="18:19">
      <c r="R47618" s="178"/>
      <c r="S47618" s="178"/>
    </row>
    <row r="47619" spans="18:19">
      <c r="R47619" s="178"/>
      <c r="S47619" s="178"/>
    </row>
    <row r="47620" spans="18:19">
      <c r="R47620" s="178"/>
      <c r="S47620" s="178"/>
    </row>
    <row r="47621" spans="18:19">
      <c r="R47621" s="178"/>
      <c r="S47621" s="178"/>
    </row>
    <row r="47622" spans="18:19">
      <c r="R47622" s="178"/>
      <c r="S47622" s="178"/>
    </row>
    <row r="47623" spans="18:19">
      <c r="R47623" s="178"/>
      <c r="S47623" s="178"/>
    </row>
    <row r="47624" spans="18:19">
      <c r="R47624" s="178"/>
      <c r="S47624" s="178"/>
    </row>
    <row r="47625" spans="18:19">
      <c r="R47625" s="178"/>
      <c r="S47625" s="178"/>
    </row>
    <row r="47626" spans="18:19">
      <c r="R47626" s="178"/>
      <c r="S47626" s="178"/>
    </row>
    <row r="47627" spans="18:19">
      <c r="R47627" s="178"/>
      <c r="S47627" s="178"/>
    </row>
    <row r="47628" spans="18:19">
      <c r="R47628" s="178"/>
      <c r="S47628" s="178"/>
    </row>
    <row r="47629" spans="18:19">
      <c r="R47629" s="178"/>
      <c r="S47629" s="178"/>
    </row>
    <row r="47630" spans="18:19">
      <c r="R47630" s="178"/>
      <c r="S47630" s="178"/>
    </row>
    <row r="47631" spans="18:19">
      <c r="R47631" s="178"/>
      <c r="S47631" s="178"/>
    </row>
    <row r="47632" spans="18:19">
      <c r="R47632" s="178"/>
      <c r="S47632" s="178"/>
    </row>
    <row r="47633" spans="18:19">
      <c r="R47633" s="178"/>
      <c r="S47633" s="178"/>
    </row>
    <row r="47634" spans="18:19">
      <c r="R47634" s="178"/>
      <c r="S47634" s="178"/>
    </row>
    <row r="47635" spans="18:19">
      <c r="R47635" s="178"/>
      <c r="S47635" s="178"/>
    </row>
    <row r="47636" spans="18:19">
      <c r="R47636" s="178"/>
      <c r="S47636" s="178"/>
    </row>
    <row r="47637" spans="18:19">
      <c r="R47637" s="178"/>
      <c r="S47637" s="178"/>
    </row>
    <row r="47638" spans="18:19">
      <c r="R47638" s="178"/>
      <c r="S47638" s="178"/>
    </row>
    <row r="47639" spans="18:19">
      <c r="R47639" s="178"/>
      <c r="S47639" s="178"/>
    </row>
    <row r="47640" spans="18:19">
      <c r="R47640" s="178"/>
      <c r="S47640" s="178"/>
    </row>
    <row r="47641" spans="18:19">
      <c r="R47641" s="178"/>
      <c r="S47641" s="178"/>
    </row>
    <row r="47642" spans="18:19">
      <c r="R47642" s="178"/>
      <c r="S47642" s="178"/>
    </row>
    <row r="47643" spans="18:19">
      <c r="R47643" s="178"/>
      <c r="S47643" s="178"/>
    </row>
    <row r="47644" spans="18:19">
      <c r="R47644" s="178"/>
      <c r="S47644" s="178"/>
    </row>
    <row r="47645" spans="18:19">
      <c r="R47645" s="178"/>
      <c r="S47645" s="178"/>
    </row>
    <row r="47646" spans="18:19">
      <c r="R47646" s="178"/>
      <c r="S47646" s="178"/>
    </row>
    <row r="47647" spans="18:19">
      <c r="R47647" s="178"/>
      <c r="S47647" s="178"/>
    </row>
    <row r="47648" spans="18:19">
      <c r="R47648" s="178"/>
      <c r="S47648" s="178"/>
    </row>
    <row r="47649" spans="18:19">
      <c r="R47649" s="178"/>
      <c r="S47649" s="178"/>
    </row>
    <row r="47650" spans="18:19">
      <c r="R47650" s="178"/>
      <c r="S47650" s="178"/>
    </row>
    <row r="47651" spans="18:19">
      <c r="R47651" s="178"/>
      <c r="S47651" s="178"/>
    </row>
    <row r="47652" spans="18:19">
      <c r="R47652" s="178"/>
      <c r="S47652" s="178"/>
    </row>
    <row r="47653" spans="18:19">
      <c r="R47653" s="178"/>
      <c r="S47653" s="178"/>
    </row>
    <row r="47654" spans="18:19">
      <c r="R47654" s="178"/>
      <c r="S47654" s="178"/>
    </row>
    <row r="47655" spans="18:19">
      <c r="R47655" s="178"/>
      <c r="S47655" s="178"/>
    </row>
    <row r="47656" spans="18:19">
      <c r="R47656" s="178"/>
      <c r="S47656" s="178"/>
    </row>
    <row r="47657" spans="18:19">
      <c r="R47657" s="178"/>
      <c r="S47657" s="178"/>
    </row>
    <row r="47658" spans="18:19">
      <c r="R47658" s="178"/>
      <c r="S47658" s="178"/>
    </row>
    <row r="47659" spans="18:19">
      <c r="R47659" s="178"/>
      <c r="S47659" s="178"/>
    </row>
    <row r="47660" spans="18:19">
      <c r="R47660" s="178"/>
      <c r="S47660" s="178"/>
    </row>
    <row r="47661" spans="18:19">
      <c r="R47661" s="178"/>
      <c r="S47661" s="178"/>
    </row>
    <row r="47662" spans="18:19">
      <c r="R47662" s="178"/>
      <c r="S47662" s="178"/>
    </row>
    <row r="47663" spans="18:19">
      <c r="R47663" s="178"/>
      <c r="S47663" s="178"/>
    </row>
    <row r="47664" spans="18:19">
      <c r="R47664" s="178"/>
      <c r="S47664" s="178"/>
    </row>
    <row r="47665" spans="18:19">
      <c r="R47665" s="178"/>
      <c r="S47665" s="178"/>
    </row>
    <row r="47666" spans="18:19">
      <c r="R47666" s="178"/>
      <c r="S47666" s="178"/>
    </row>
    <row r="47667" spans="18:19">
      <c r="R47667" s="178"/>
      <c r="S47667" s="178"/>
    </row>
    <row r="47668" spans="18:19">
      <c r="R47668" s="178"/>
      <c r="S47668" s="178"/>
    </row>
    <row r="47669" spans="18:19">
      <c r="R47669" s="178"/>
      <c r="S47669" s="178"/>
    </row>
    <row r="47670" spans="18:19">
      <c r="R47670" s="178"/>
      <c r="S47670" s="178"/>
    </row>
    <row r="47671" spans="18:19">
      <c r="R47671" s="178"/>
      <c r="S47671" s="178"/>
    </row>
    <row r="47672" spans="18:19">
      <c r="R47672" s="178"/>
      <c r="S47672" s="178"/>
    </row>
    <row r="47673" spans="18:19">
      <c r="R47673" s="178"/>
      <c r="S47673" s="178"/>
    </row>
    <row r="47674" spans="18:19">
      <c r="R47674" s="178"/>
      <c r="S47674" s="178"/>
    </row>
    <row r="47675" spans="18:19">
      <c r="R47675" s="178"/>
      <c r="S47675" s="178"/>
    </row>
    <row r="47676" spans="18:19">
      <c r="R47676" s="178"/>
      <c r="S47676" s="178"/>
    </row>
    <row r="47677" spans="18:19">
      <c r="R47677" s="178"/>
      <c r="S47677" s="178"/>
    </row>
    <row r="47678" spans="18:19">
      <c r="R47678" s="178"/>
      <c r="S47678" s="178"/>
    </row>
    <row r="47679" spans="18:19">
      <c r="R47679" s="178"/>
      <c r="S47679" s="178"/>
    </row>
    <row r="47680" spans="18:19">
      <c r="R47680" s="178"/>
      <c r="S47680" s="178"/>
    </row>
    <row r="47681" spans="18:19">
      <c r="R47681" s="178"/>
      <c r="S47681" s="178"/>
    </row>
    <row r="47682" spans="18:19">
      <c r="R47682" s="178"/>
      <c r="S47682" s="178"/>
    </row>
    <row r="47683" spans="18:19">
      <c r="R47683" s="178"/>
      <c r="S47683" s="178"/>
    </row>
    <row r="47684" spans="18:19">
      <c r="R47684" s="178"/>
      <c r="S47684" s="178"/>
    </row>
    <row r="47685" spans="18:19">
      <c r="R47685" s="178"/>
      <c r="S47685" s="178"/>
    </row>
    <row r="47686" spans="18:19">
      <c r="R47686" s="178"/>
      <c r="S47686" s="178"/>
    </row>
    <row r="47687" spans="18:19">
      <c r="R47687" s="178"/>
      <c r="S47687" s="178"/>
    </row>
    <row r="47688" spans="18:19">
      <c r="R47688" s="178"/>
      <c r="S47688" s="178"/>
    </row>
    <row r="47689" spans="18:19">
      <c r="R47689" s="178"/>
      <c r="S47689" s="178"/>
    </row>
    <row r="47690" spans="18:19">
      <c r="R47690" s="178"/>
      <c r="S47690" s="178"/>
    </row>
    <row r="47691" spans="18:19">
      <c r="R47691" s="178"/>
      <c r="S47691" s="178"/>
    </row>
    <row r="47692" spans="18:19">
      <c r="R47692" s="178"/>
      <c r="S47692" s="178"/>
    </row>
    <row r="47693" spans="18:19">
      <c r="R47693" s="178"/>
      <c r="S47693" s="178"/>
    </row>
    <row r="47694" spans="18:19">
      <c r="R47694" s="178"/>
      <c r="S47694" s="178"/>
    </row>
    <row r="47695" spans="18:19">
      <c r="R47695" s="178"/>
      <c r="S47695" s="178"/>
    </row>
    <row r="47696" spans="18:19">
      <c r="R47696" s="178"/>
      <c r="S47696" s="178"/>
    </row>
    <row r="47697" spans="18:19">
      <c r="R47697" s="178"/>
      <c r="S47697" s="178"/>
    </row>
    <row r="47698" spans="18:19">
      <c r="R47698" s="178"/>
      <c r="S47698" s="178"/>
    </row>
    <row r="47699" spans="18:19">
      <c r="R47699" s="178"/>
      <c r="S47699" s="178"/>
    </row>
    <row r="47700" spans="18:19">
      <c r="R47700" s="178"/>
      <c r="S47700" s="178"/>
    </row>
    <row r="47701" spans="18:19">
      <c r="R47701" s="178"/>
      <c r="S47701" s="178"/>
    </row>
    <row r="47702" spans="18:19">
      <c r="R47702" s="178"/>
      <c r="S47702" s="178"/>
    </row>
    <row r="47703" spans="18:19">
      <c r="R47703" s="178"/>
      <c r="S47703" s="178"/>
    </row>
    <row r="47704" spans="18:19">
      <c r="R47704" s="178"/>
      <c r="S47704" s="178"/>
    </row>
    <row r="47705" spans="18:19">
      <c r="R47705" s="178"/>
      <c r="S47705" s="178"/>
    </row>
    <row r="47706" spans="18:19">
      <c r="R47706" s="178"/>
      <c r="S47706" s="178"/>
    </row>
    <row r="47707" spans="18:19">
      <c r="R47707" s="178"/>
      <c r="S47707" s="178"/>
    </row>
    <row r="47708" spans="18:19">
      <c r="R47708" s="178"/>
      <c r="S47708" s="178"/>
    </row>
    <row r="47709" spans="18:19">
      <c r="R47709" s="178"/>
      <c r="S47709" s="178"/>
    </row>
    <row r="47710" spans="18:19">
      <c r="R47710" s="178"/>
      <c r="S47710" s="178"/>
    </row>
    <row r="47711" spans="18:19">
      <c r="R47711" s="178"/>
      <c r="S47711" s="178"/>
    </row>
    <row r="47712" spans="18:19">
      <c r="R47712" s="178"/>
      <c r="S47712" s="178"/>
    </row>
    <row r="47713" spans="18:19">
      <c r="R47713" s="178"/>
      <c r="S47713" s="178"/>
    </row>
    <row r="47714" spans="18:19">
      <c r="R47714" s="178"/>
      <c r="S47714" s="178"/>
    </row>
    <row r="47715" spans="18:19">
      <c r="R47715" s="178"/>
      <c r="S47715" s="178"/>
    </row>
    <row r="47716" spans="18:19">
      <c r="R47716" s="178"/>
      <c r="S47716" s="178"/>
    </row>
    <row r="47717" spans="18:19">
      <c r="R47717" s="178"/>
      <c r="S47717" s="178"/>
    </row>
    <row r="47718" spans="18:19">
      <c r="R47718" s="178"/>
      <c r="S47718" s="178"/>
    </row>
    <row r="47719" spans="18:19">
      <c r="R47719" s="178"/>
      <c r="S47719" s="178"/>
    </row>
    <row r="47720" spans="18:19">
      <c r="R47720" s="178"/>
      <c r="S47720" s="178"/>
    </row>
    <row r="47721" spans="18:19">
      <c r="R47721" s="178"/>
      <c r="S47721" s="178"/>
    </row>
    <row r="47722" spans="18:19">
      <c r="R47722" s="178"/>
      <c r="S47722" s="178"/>
    </row>
    <row r="47723" spans="18:19">
      <c r="R47723" s="178"/>
      <c r="S47723" s="178"/>
    </row>
    <row r="47724" spans="18:19">
      <c r="R47724" s="178"/>
      <c r="S47724" s="178"/>
    </row>
    <row r="47725" spans="18:19">
      <c r="R47725" s="178"/>
      <c r="S47725" s="178"/>
    </row>
    <row r="47726" spans="18:19">
      <c r="R47726" s="178"/>
      <c r="S47726" s="178"/>
    </row>
    <row r="47727" spans="18:19">
      <c r="R47727" s="178"/>
      <c r="S47727" s="178"/>
    </row>
    <row r="47728" spans="18:19">
      <c r="R47728" s="178"/>
      <c r="S47728" s="178"/>
    </row>
    <row r="47729" spans="18:19">
      <c r="R47729" s="178"/>
      <c r="S47729" s="178"/>
    </row>
    <row r="47730" spans="18:19">
      <c r="R47730" s="178"/>
      <c r="S47730" s="178"/>
    </row>
    <row r="47731" spans="18:19">
      <c r="R47731" s="178"/>
      <c r="S47731" s="178"/>
    </row>
    <row r="47732" spans="18:19">
      <c r="R47732" s="178"/>
      <c r="S47732" s="178"/>
    </row>
    <row r="47733" spans="18:19">
      <c r="R47733" s="178"/>
      <c r="S47733" s="178"/>
    </row>
    <row r="47734" spans="18:19">
      <c r="R47734" s="178"/>
      <c r="S47734" s="178"/>
    </row>
    <row r="47735" spans="18:19">
      <c r="R47735" s="178"/>
      <c r="S47735" s="178"/>
    </row>
    <row r="47736" spans="18:19">
      <c r="R47736" s="178"/>
      <c r="S47736" s="178"/>
    </row>
    <row r="47737" spans="18:19">
      <c r="R47737" s="178"/>
      <c r="S47737" s="178"/>
    </row>
    <row r="47738" spans="18:19">
      <c r="R47738" s="178"/>
      <c r="S47738" s="178"/>
    </row>
    <row r="47739" spans="18:19">
      <c r="R47739" s="178"/>
      <c r="S47739" s="178"/>
    </row>
    <row r="47740" spans="18:19">
      <c r="R47740" s="178"/>
      <c r="S47740" s="178"/>
    </row>
    <row r="47741" spans="18:19">
      <c r="R47741" s="178"/>
      <c r="S47741" s="178"/>
    </row>
    <row r="47742" spans="18:19">
      <c r="R47742" s="178"/>
      <c r="S47742" s="178"/>
    </row>
    <row r="47743" spans="18:19">
      <c r="R47743" s="178"/>
      <c r="S47743" s="178"/>
    </row>
    <row r="47744" spans="18:19">
      <c r="R47744" s="178"/>
      <c r="S47744" s="178"/>
    </row>
    <row r="47745" spans="18:19">
      <c r="R47745" s="178"/>
      <c r="S47745" s="178"/>
    </row>
    <row r="47746" spans="18:19">
      <c r="R47746" s="178"/>
      <c r="S47746" s="178"/>
    </row>
    <row r="47747" spans="18:19">
      <c r="R47747" s="178"/>
      <c r="S47747" s="178"/>
    </row>
    <row r="47748" spans="18:19">
      <c r="R47748" s="178"/>
      <c r="S47748" s="178"/>
    </row>
    <row r="47749" spans="18:19">
      <c r="R47749" s="178"/>
      <c r="S47749" s="178"/>
    </row>
    <row r="47750" spans="18:19">
      <c r="R47750" s="178"/>
      <c r="S47750" s="178"/>
    </row>
    <row r="47751" spans="18:19">
      <c r="R47751" s="178"/>
      <c r="S47751" s="178"/>
    </row>
    <row r="47752" spans="18:19">
      <c r="R47752" s="178"/>
      <c r="S47752" s="178"/>
    </row>
    <row r="47753" spans="18:19">
      <c r="R47753" s="178"/>
      <c r="S47753" s="178"/>
    </row>
    <row r="47754" spans="18:19">
      <c r="R47754" s="178"/>
      <c r="S47754" s="178"/>
    </row>
    <row r="47755" spans="18:19">
      <c r="R47755" s="178"/>
      <c r="S47755" s="178"/>
    </row>
    <row r="47756" spans="18:19">
      <c r="R47756" s="178"/>
      <c r="S47756" s="178"/>
    </row>
    <row r="47757" spans="18:19">
      <c r="R47757" s="178"/>
      <c r="S47757" s="178"/>
    </row>
    <row r="47758" spans="18:19">
      <c r="R47758" s="178"/>
      <c r="S47758" s="178"/>
    </row>
    <row r="47759" spans="18:19">
      <c r="R47759" s="178"/>
      <c r="S47759" s="178"/>
    </row>
    <row r="47760" spans="18:19">
      <c r="R47760" s="178"/>
      <c r="S47760" s="178"/>
    </row>
    <row r="47761" spans="18:19">
      <c r="R47761" s="178"/>
      <c r="S47761" s="178"/>
    </row>
    <row r="47762" spans="18:19">
      <c r="R47762" s="178"/>
      <c r="S47762" s="178"/>
    </row>
    <row r="47763" spans="18:19">
      <c r="R47763" s="178"/>
      <c r="S47763" s="178"/>
    </row>
    <row r="47764" spans="18:19">
      <c r="R47764" s="178"/>
      <c r="S47764" s="178"/>
    </row>
    <row r="47765" spans="18:19">
      <c r="R47765" s="178"/>
      <c r="S47765" s="178"/>
    </row>
    <row r="47766" spans="18:19">
      <c r="R47766" s="178"/>
      <c r="S47766" s="178"/>
    </row>
    <row r="47767" spans="18:19">
      <c r="R47767" s="178"/>
      <c r="S47767" s="178"/>
    </row>
    <row r="47768" spans="18:19">
      <c r="R47768" s="178"/>
      <c r="S47768" s="178"/>
    </row>
    <row r="47769" spans="18:19">
      <c r="R47769" s="178"/>
      <c r="S47769" s="178"/>
    </row>
    <row r="47770" spans="18:19">
      <c r="R47770" s="178"/>
      <c r="S47770" s="178"/>
    </row>
    <row r="47771" spans="18:19">
      <c r="R47771" s="178"/>
      <c r="S47771" s="178"/>
    </row>
    <row r="47772" spans="18:19">
      <c r="R47772" s="178"/>
      <c r="S47772" s="178"/>
    </row>
    <row r="47773" spans="18:19">
      <c r="R47773" s="178"/>
      <c r="S47773" s="178"/>
    </row>
    <row r="47774" spans="18:19">
      <c r="R47774" s="178"/>
      <c r="S47774" s="178"/>
    </row>
    <row r="47775" spans="18:19">
      <c r="R47775" s="178"/>
      <c r="S47775" s="178"/>
    </row>
    <row r="47776" spans="18:19">
      <c r="R47776" s="178"/>
      <c r="S47776" s="178"/>
    </row>
    <row r="47777" spans="18:19">
      <c r="R47777" s="178"/>
      <c r="S47777" s="178"/>
    </row>
    <row r="47778" spans="18:19">
      <c r="R47778" s="178"/>
      <c r="S47778" s="178"/>
    </row>
    <row r="47779" spans="18:19">
      <c r="R47779" s="178"/>
      <c r="S47779" s="178"/>
    </row>
    <row r="47780" spans="18:19">
      <c r="R47780" s="178"/>
      <c r="S47780" s="178"/>
    </row>
    <row r="47781" spans="18:19">
      <c r="R47781" s="178"/>
      <c r="S47781" s="178"/>
    </row>
    <row r="47782" spans="18:19">
      <c r="R47782" s="178"/>
      <c r="S47782" s="178"/>
    </row>
    <row r="47783" spans="18:19">
      <c r="R47783" s="178"/>
      <c r="S47783" s="178"/>
    </row>
    <row r="47784" spans="18:19">
      <c r="R47784" s="178"/>
      <c r="S47784" s="178"/>
    </row>
    <row r="47785" spans="18:19">
      <c r="R47785" s="178"/>
      <c r="S47785" s="178"/>
    </row>
    <row r="47786" spans="18:19">
      <c r="R47786" s="178"/>
      <c r="S47786" s="178"/>
    </row>
    <row r="47787" spans="18:19">
      <c r="R47787" s="178"/>
      <c r="S47787" s="178"/>
    </row>
    <row r="47788" spans="18:19">
      <c r="R47788" s="178"/>
      <c r="S47788" s="178"/>
    </row>
    <row r="47789" spans="18:19">
      <c r="R47789" s="178"/>
      <c r="S47789" s="178"/>
    </row>
    <row r="47790" spans="18:19">
      <c r="R47790" s="178"/>
      <c r="S47790" s="178"/>
    </row>
    <row r="47791" spans="18:19">
      <c r="R47791" s="178"/>
      <c r="S47791" s="178"/>
    </row>
    <row r="47792" spans="18:19">
      <c r="R47792" s="178"/>
      <c r="S47792" s="178"/>
    </row>
    <row r="47793" spans="18:19">
      <c r="R47793" s="178"/>
      <c r="S47793" s="178"/>
    </row>
    <row r="47794" spans="18:19">
      <c r="R47794" s="178"/>
      <c r="S47794" s="178"/>
    </row>
    <row r="47795" spans="18:19">
      <c r="R47795" s="178"/>
      <c r="S47795" s="178"/>
    </row>
    <row r="47796" spans="18:19">
      <c r="R47796" s="178"/>
      <c r="S47796" s="178"/>
    </row>
    <row r="47797" spans="18:19">
      <c r="R47797" s="178"/>
      <c r="S47797" s="178"/>
    </row>
    <row r="47798" spans="18:19">
      <c r="R47798" s="178"/>
      <c r="S47798" s="178"/>
    </row>
    <row r="47799" spans="18:19">
      <c r="R47799" s="178"/>
      <c r="S47799" s="178"/>
    </row>
    <row r="47800" spans="18:19">
      <c r="R47800" s="178"/>
      <c r="S47800" s="178"/>
    </row>
    <row r="47801" spans="18:19">
      <c r="R47801" s="178"/>
      <c r="S47801" s="178"/>
    </row>
    <row r="47802" spans="18:19">
      <c r="R47802" s="178"/>
      <c r="S47802" s="178"/>
    </row>
    <row r="47803" spans="18:19">
      <c r="R47803" s="178"/>
      <c r="S47803" s="178"/>
    </row>
    <row r="47804" spans="18:19">
      <c r="R47804" s="178"/>
      <c r="S47804" s="178"/>
    </row>
    <row r="47805" spans="18:19">
      <c r="R47805" s="178"/>
      <c r="S47805" s="178"/>
    </row>
    <row r="47806" spans="18:19">
      <c r="R47806" s="178"/>
      <c r="S47806" s="178"/>
    </row>
    <row r="47807" spans="18:19">
      <c r="R47807" s="178"/>
      <c r="S47807" s="178"/>
    </row>
    <row r="47808" spans="18:19">
      <c r="R47808" s="178"/>
      <c r="S47808" s="178"/>
    </row>
    <row r="47809" spans="18:19">
      <c r="R47809" s="178"/>
      <c r="S47809" s="178"/>
    </row>
    <row r="47810" spans="18:19">
      <c r="R47810" s="178"/>
      <c r="S47810" s="178"/>
    </row>
    <row r="47811" spans="18:19">
      <c r="R47811" s="178"/>
      <c r="S47811" s="178"/>
    </row>
    <row r="47812" spans="18:19">
      <c r="R47812" s="178"/>
      <c r="S47812" s="178"/>
    </row>
    <row r="47813" spans="18:19">
      <c r="R47813" s="178"/>
      <c r="S47813" s="178"/>
    </row>
    <row r="47814" spans="18:19">
      <c r="R47814" s="178"/>
      <c r="S47814" s="178"/>
    </row>
    <row r="47815" spans="18:19">
      <c r="R47815" s="178"/>
      <c r="S47815" s="178"/>
    </row>
    <row r="47816" spans="18:19">
      <c r="R47816" s="178"/>
      <c r="S47816" s="178"/>
    </row>
    <row r="47817" spans="18:19">
      <c r="R47817" s="178"/>
      <c r="S47817" s="178"/>
    </row>
    <row r="47818" spans="18:19">
      <c r="R47818" s="178"/>
      <c r="S47818" s="178"/>
    </row>
    <row r="47819" spans="18:19">
      <c r="R47819" s="178"/>
      <c r="S47819" s="178"/>
    </row>
    <row r="47820" spans="18:19">
      <c r="R47820" s="178"/>
      <c r="S47820" s="178"/>
    </row>
    <row r="47821" spans="18:19">
      <c r="R47821" s="178"/>
      <c r="S47821" s="178"/>
    </row>
    <row r="47822" spans="18:19">
      <c r="R47822" s="178"/>
      <c r="S47822" s="178"/>
    </row>
    <row r="47823" spans="18:19">
      <c r="R47823" s="178"/>
      <c r="S47823" s="178"/>
    </row>
    <row r="47824" spans="18:19">
      <c r="R47824" s="178"/>
      <c r="S47824" s="178"/>
    </row>
    <row r="47825" spans="18:19">
      <c r="R47825" s="178"/>
      <c r="S47825" s="178"/>
    </row>
    <row r="47826" spans="18:19">
      <c r="R47826" s="178"/>
      <c r="S47826" s="178"/>
    </row>
    <row r="47827" spans="18:19">
      <c r="R47827" s="178"/>
      <c r="S47827" s="178"/>
    </row>
    <row r="47828" spans="18:19">
      <c r="R47828" s="178"/>
      <c r="S47828" s="178"/>
    </row>
    <row r="47829" spans="18:19">
      <c r="R47829" s="178"/>
      <c r="S47829" s="178"/>
    </row>
    <row r="47830" spans="18:19">
      <c r="R47830" s="178"/>
      <c r="S47830" s="178"/>
    </row>
    <row r="47831" spans="18:19">
      <c r="R47831" s="178"/>
      <c r="S47831" s="178"/>
    </row>
    <row r="47832" spans="18:19">
      <c r="R47832" s="178"/>
      <c r="S47832" s="178"/>
    </row>
    <row r="47833" spans="18:19">
      <c r="R47833" s="178"/>
      <c r="S47833" s="178"/>
    </row>
    <row r="47834" spans="18:19">
      <c r="R47834" s="178"/>
      <c r="S47834" s="178"/>
    </row>
    <row r="47835" spans="18:19">
      <c r="R47835" s="178"/>
      <c r="S47835" s="178"/>
    </row>
    <row r="47836" spans="18:19">
      <c r="R47836" s="178"/>
      <c r="S47836" s="178"/>
    </row>
    <row r="47837" spans="18:19">
      <c r="R47837" s="178"/>
      <c r="S47837" s="178"/>
    </row>
    <row r="47838" spans="18:19">
      <c r="R47838" s="178"/>
      <c r="S47838" s="178"/>
    </row>
    <row r="47839" spans="18:19">
      <c r="R47839" s="178"/>
      <c r="S47839" s="178"/>
    </row>
    <row r="47840" spans="18:19">
      <c r="R47840" s="178"/>
      <c r="S47840" s="178"/>
    </row>
    <row r="47841" spans="18:19">
      <c r="R47841" s="178"/>
      <c r="S47841" s="178"/>
    </row>
    <row r="47842" spans="18:19">
      <c r="R47842" s="178"/>
      <c r="S47842" s="178"/>
    </row>
    <row r="47843" spans="18:19">
      <c r="R47843" s="178"/>
      <c r="S47843" s="178"/>
    </row>
    <row r="47844" spans="18:19">
      <c r="R47844" s="178"/>
      <c r="S47844" s="178"/>
    </row>
    <row r="47845" spans="18:19">
      <c r="R47845" s="178"/>
      <c r="S47845" s="178"/>
    </row>
    <row r="47846" spans="18:19">
      <c r="R47846" s="178"/>
      <c r="S47846" s="178"/>
    </row>
    <row r="47847" spans="18:19">
      <c r="R47847" s="178"/>
      <c r="S47847" s="178"/>
    </row>
    <row r="47848" spans="18:19">
      <c r="R47848" s="178"/>
      <c r="S47848" s="178"/>
    </row>
    <row r="47849" spans="18:19">
      <c r="R47849" s="178"/>
      <c r="S47849" s="178"/>
    </row>
    <row r="47850" spans="18:19">
      <c r="R47850" s="178"/>
      <c r="S47850" s="178"/>
    </row>
    <row r="47851" spans="18:19">
      <c r="R47851" s="178"/>
      <c r="S47851" s="178"/>
    </row>
    <row r="47852" spans="18:19">
      <c r="R47852" s="178"/>
      <c r="S47852" s="178"/>
    </row>
    <row r="47853" spans="18:19">
      <c r="R47853" s="178"/>
      <c r="S47853" s="178"/>
    </row>
    <row r="47854" spans="18:19">
      <c r="R47854" s="178"/>
      <c r="S47854" s="178"/>
    </row>
    <row r="47855" spans="18:19">
      <c r="R47855" s="178"/>
      <c r="S47855" s="178"/>
    </row>
    <row r="47856" spans="18:19">
      <c r="R47856" s="178"/>
      <c r="S47856" s="178"/>
    </row>
    <row r="47857" spans="18:19">
      <c r="R47857" s="178"/>
      <c r="S47857" s="178"/>
    </row>
    <row r="47858" spans="18:19">
      <c r="R47858" s="178"/>
      <c r="S47858" s="178"/>
    </row>
    <row r="47859" spans="18:19">
      <c r="R47859" s="178"/>
      <c r="S47859" s="178"/>
    </row>
    <row r="47860" spans="18:19">
      <c r="R47860" s="178"/>
      <c r="S47860" s="178"/>
    </row>
    <row r="47861" spans="18:19">
      <c r="R47861" s="178"/>
      <c r="S47861" s="178"/>
    </row>
    <row r="47862" spans="18:19">
      <c r="R47862" s="178"/>
      <c r="S47862" s="178"/>
    </row>
    <row r="47863" spans="18:19">
      <c r="R47863" s="178"/>
      <c r="S47863" s="178"/>
    </row>
    <row r="47864" spans="18:19">
      <c r="R47864" s="178"/>
      <c r="S47864" s="178"/>
    </row>
    <row r="47865" spans="18:19">
      <c r="R47865" s="178"/>
      <c r="S47865" s="178"/>
    </row>
    <row r="47866" spans="18:19">
      <c r="R47866" s="178"/>
      <c r="S47866" s="178"/>
    </row>
    <row r="47867" spans="18:19">
      <c r="R47867" s="178"/>
      <c r="S47867" s="178"/>
    </row>
    <row r="47868" spans="18:19">
      <c r="R47868" s="178"/>
      <c r="S47868" s="178"/>
    </row>
    <row r="47869" spans="18:19">
      <c r="R47869" s="178"/>
      <c r="S47869" s="178"/>
    </row>
    <row r="47870" spans="18:19">
      <c r="R47870" s="178"/>
      <c r="S47870" s="178"/>
    </row>
    <row r="47871" spans="18:19">
      <c r="R47871" s="178"/>
      <c r="S47871" s="178"/>
    </row>
    <row r="47872" spans="18:19">
      <c r="R47872" s="178"/>
      <c r="S47872" s="178"/>
    </row>
    <row r="47873" spans="18:19">
      <c r="R47873" s="178"/>
      <c r="S47873" s="178"/>
    </row>
    <row r="47874" spans="18:19">
      <c r="R47874" s="178"/>
      <c r="S47874" s="178"/>
    </row>
    <row r="47875" spans="18:19">
      <c r="R47875" s="178"/>
      <c r="S47875" s="178"/>
    </row>
    <row r="47876" spans="18:19">
      <c r="R47876" s="178"/>
      <c r="S47876" s="178"/>
    </row>
    <row r="47877" spans="18:19">
      <c r="R47877" s="178"/>
      <c r="S47877" s="178"/>
    </row>
    <row r="47878" spans="18:19">
      <c r="R47878" s="178"/>
      <c r="S47878" s="178"/>
    </row>
    <row r="47879" spans="18:19">
      <c r="R47879" s="178"/>
      <c r="S47879" s="178"/>
    </row>
    <row r="47880" spans="18:19">
      <c r="R47880" s="178"/>
      <c r="S47880" s="178"/>
    </row>
    <row r="47881" spans="18:19">
      <c r="R47881" s="178"/>
      <c r="S47881" s="178"/>
    </row>
    <row r="47882" spans="18:19">
      <c r="R47882" s="178"/>
      <c r="S47882" s="178"/>
    </row>
    <row r="47883" spans="18:19">
      <c r="R47883" s="178"/>
      <c r="S47883" s="178"/>
    </row>
    <row r="47884" spans="18:19">
      <c r="R47884" s="178"/>
      <c r="S47884" s="178"/>
    </row>
    <row r="47885" spans="18:19">
      <c r="R47885" s="178"/>
      <c r="S47885" s="178"/>
    </row>
    <row r="47886" spans="18:19">
      <c r="R47886" s="178"/>
      <c r="S47886" s="178"/>
    </row>
    <row r="47887" spans="18:19">
      <c r="R47887" s="178"/>
      <c r="S47887" s="178"/>
    </row>
    <row r="47888" spans="18:19">
      <c r="R47888" s="178"/>
      <c r="S47888" s="178"/>
    </row>
    <row r="47889" spans="18:19">
      <c r="R47889" s="178"/>
      <c r="S47889" s="178"/>
    </row>
    <row r="47890" spans="18:19">
      <c r="R47890" s="178"/>
      <c r="S47890" s="178"/>
    </row>
    <row r="47891" spans="18:19">
      <c r="R47891" s="178"/>
      <c r="S47891" s="178"/>
    </row>
    <row r="47892" spans="18:19">
      <c r="R47892" s="178"/>
      <c r="S47892" s="178"/>
    </row>
    <row r="47893" spans="18:19">
      <c r="R47893" s="178"/>
      <c r="S47893" s="178"/>
    </row>
    <row r="47894" spans="18:19">
      <c r="R47894" s="178"/>
      <c r="S47894" s="178"/>
    </row>
    <row r="47895" spans="18:19">
      <c r="R47895" s="178"/>
      <c r="S47895" s="178"/>
    </row>
    <row r="47896" spans="18:19">
      <c r="R47896" s="178"/>
      <c r="S47896" s="178"/>
    </row>
    <row r="47897" spans="18:19">
      <c r="R47897" s="178"/>
      <c r="S47897" s="178"/>
    </row>
    <row r="47898" spans="18:19">
      <c r="R47898" s="178"/>
      <c r="S47898" s="178"/>
    </row>
    <row r="47899" spans="18:19">
      <c r="R47899" s="178"/>
      <c r="S47899" s="178"/>
    </row>
    <row r="47900" spans="18:19">
      <c r="R47900" s="178"/>
      <c r="S47900" s="178"/>
    </row>
    <row r="47901" spans="18:19">
      <c r="R47901" s="178"/>
      <c r="S47901" s="178"/>
    </row>
    <row r="47902" spans="18:19">
      <c r="R47902" s="178"/>
      <c r="S47902" s="178"/>
    </row>
    <row r="47903" spans="18:19">
      <c r="R47903" s="178"/>
      <c r="S47903" s="178"/>
    </row>
    <row r="47904" spans="18:19">
      <c r="R47904" s="178"/>
      <c r="S47904" s="178"/>
    </row>
    <row r="47905" spans="18:19">
      <c r="R47905" s="178"/>
      <c r="S47905" s="178"/>
    </row>
    <row r="47906" spans="18:19">
      <c r="R47906" s="178"/>
      <c r="S47906" s="178"/>
    </row>
    <row r="47907" spans="18:19">
      <c r="R47907" s="178"/>
      <c r="S47907" s="178"/>
    </row>
    <row r="47908" spans="18:19">
      <c r="R47908" s="178"/>
      <c r="S47908" s="178"/>
    </row>
    <row r="47909" spans="18:19">
      <c r="R47909" s="178"/>
      <c r="S47909" s="178"/>
    </row>
    <row r="47910" spans="18:19">
      <c r="R47910" s="178"/>
      <c r="S47910" s="178"/>
    </row>
    <row r="47911" spans="18:19">
      <c r="R47911" s="178"/>
      <c r="S47911" s="178"/>
    </row>
    <row r="47912" spans="18:19">
      <c r="R47912" s="178"/>
      <c r="S47912" s="178"/>
    </row>
    <row r="47913" spans="18:19">
      <c r="R47913" s="178"/>
      <c r="S47913" s="178"/>
    </row>
    <row r="47914" spans="18:19">
      <c r="R47914" s="178"/>
      <c r="S47914" s="178"/>
    </row>
    <row r="47915" spans="18:19">
      <c r="R47915" s="178"/>
      <c r="S47915" s="178"/>
    </row>
    <row r="47916" spans="18:19">
      <c r="R47916" s="178"/>
      <c r="S47916" s="178"/>
    </row>
    <row r="47917" spans="18:19">
      <c r="R47917" s="178"/>
      <c r="S47917" s="178"/>
    </row>
    <row r="47918" spans="18:19">
      <c r="R47918" s="178"/>
      <c r="S47918" s="178"/>
    </row>
    <row r="47919" spans="18:19">
      <c r="R47919" s="178"/>
      <c r="S47919" s="178"/>
    </row>
    <row r="47920" spans="18:19">
      <c r="R47920" s="178"/>
      <c r="S47920" s="178"/>
    </row>
    <row r="47921" spans="18:19">
      <c r="R47921" s="178"/>
      <c r="S47921" s="178"/>
    </row>
    <row r="47922" spans="18:19">
      <c r="R47922" s="178"/>
      <c r="S47922" s="178"/>
    </row>
    <row r="47923" spans="18:19">
      <c r="R47923" s="178"/>
      <c r="S47923" s="178"/>
    </row>
    <row r="47924" spans="18:19">
      <c r="R47924" s="178"/>
      <c r="S47924" s="178"/>
    </row>
    <row r="47925" spans="18:19">
      <c r="R47925" s="178"/>
      <c r="S47925" s="178"/>
    </row>
    <row r="47926" spans="18:19">
      <c r="R47926" s="178"/>
      <c r="S47926" s="178"/>
    </row>
    <row r="47927" spans="18:19">
      <c r="R47927" s="178"/>
      <c r="S47927" s="178"/>
    </row>
    <row r="47928" spans="18:19">
      <c r="R47928" s="178"/>
      <c r="S47928" s="178"/>
    </row>
    <row r="47929" spans="18:19">
      <c r="R47929" s="178"/>
      <c r="S47929" s="178"/>
    </row>
    <row r="47930" spans="18:19">
      <c r="R47930" s="178"/>
      <c r="S47930" s="178"/>
    </row>
    <row r="47931" spans="18:19">
      <c r="R47931" s="178"/>
      <c r="S47931" s="178"/>
    </row>
    <row r="47932" spans="18:19">
      <c r="R47932" s="178"/>
      <c r="S47932" s="178"/>
    </row>
    <row r="47933" spans="18:19">
      <c r="R47933" s="178"/>
      <c r="S47933" s="178"/>
    </row>
    <row r="47934" spans="18:19">
      <c r="R47934" s="178"/>
      <c r="S47934" s="178"/>
    </row>
    <row r="47935" spans="18:19">
      <c r="R47935" s="178"/>
      <c r="S47935" s="178"/>
    </row>
    <row r="47936" spans="18:19">
      <c r="R47936" s="178"/>
      <c r="S47936" s="178"/>
    </row>
    <row r="47937" spans="18:19">
      <c r="R47937" s="178"/>
      <c r="S47937" s="178"/>
    </row>
    <row r="47938" spans="18:19">
      <c r="R47938" s="178"/>
      <c r="S47938" s="178"/>
    </row>
    <row r="47939" spans="18:19">
      <c r="R47939" s="178"/>
      <c r="S47939" s="178"/>
    </row>
    <row r="47940" spans="18:19">
      <c r="R47940" s="178"/>
      <c r="S47940" s="178"/>
    </row>
    <row r="47941" spans="18:19">
      <c r="R47941" s="178"/>
      <c r="S47941" s="178"/>
    </row>
    <row r="47942" spans="18:19">
      <c r="R47942" s="178"/>
      <c r="S47942" s="178"/>
    </row>
    <row r="47943" spans="18:19">
      <c r="R47943" s="178"/>
      <c r="S47943" s="178"/>
    </row>
    <row r="47944" spans="18:19">
      <c r="R47944" s="178"/>
      <c r="S47944" s="178"/>
    </row>
    <row r="47945" spans="18:19">
      <c r="R47945" s="178"/>
      <c r="S47945" s="178"/>
    </row>
    <row r="47946" spans="18:19">
      <c r="R47946" s="178"/>
      <c r="S47946" s="178"/>
    </row>
    <row r="47947" spans="18:19">
      <c r="R47947" s="178"/>
      <c r="S47947" s="178"/>
    </row>
    <row r="47948" spans="18:19">
      <c r="R47948" s="178"/>
      <c r="S47948" s="178"/>
    </row>
    <row r="47949" spans="18:19">
      <c r="R47949" s="178"/>
      <c r="S47949" s="178"/>
    </row>
    <row r="47950" spans="18:19">
      <c r="R47950" s="178"/>
      <c r="S47950" s="178"/>
    </row>
    <row r="47951" spans="18:19">
      <c r="R47951" s="178"/>
      <c r="S47951" s="178"/>
    </row>
    <row r="47952" spans="18:19">
      <c r="R47952" s="178"/>
      <c r="S47952" s="178"/>
    </row>
    <row r="47953" spans="18:19">
      <c r="R47953" s="178"/>
      <c r="S47953" s="178"/>
    </row>
    <row r="47954" spans="18:19">
      <c r="R47954" s="178"/>
      <c r="S47954" s="178"/>
    </row>
    <row r="47955" spans="18:19">
      <c r="R47955" s="178"/>
      <c r="S47955" s="178"/>
    </row>
    <row r="47956" spans="18:19">
      <c r="R47956" s="178"/>
      <c r="S47956" s="178"/>
    </row>
    <row r="47957" spans="18:19">
      <c r="R47957" s="178"/>
      <c r="S47957" s="178"/>
    </row>
    <row r="47958" spans="18:19">
      <c r="R47958" s="178"/>
      <c r="S47958" s="178"/>
    </row>
    <row r="47959" spans="18:19">
      <c r="R47959" s="178"/>
      <c r="S47959" s="178"/>
    </row>
    <row r="47960" spans="18:19">
      <c r="R47960" s="178"/>
      <c r="S47960" s="178"/>
    </row>
    <row r="47961" spans="18:19">
      <c r="R47961" s="178"/>
      <c r="S47961" s="178"/>
    </row>
    <row r="47962" spans="18:19">
      <c r="R47962" s="178"/>
      <c r="S47962" s="178"/>
    </row>
    <row r="47963" spans="18:19">
      <c r="R47963" s="178"/>
      <c r="S47963" s="178"/>
    </row>
    <row r="47964" spans="18:19">
      <c r="R47964" s="178"/>
      <c r="S47964" s="178"/>
    </row>
    <row r="47965" spans="18:19">
      <c r="R47965" s="178"/>
      <c r="S47965" s="178"/>
    </row>
    <row r="47966" spans="18:19">
      <c r="R47966" s="178"/>
      <c r="S47966" s="178"/>
    </row>
    <row r="47967" spans="18:19">
      <c r="R47967" s="178"/>
      <c r="S47967" s="178"/>
    </row>
    <row r="47968" spans="18:19">
      <c r="R47968" s="178"/>
      <c r="S47968" s="178"/>
    </row>
    <row r="47969" spans="18:19">
      <c r="R47969" s="178"/>
      <c r="S47969" s="178"/>
    </row>
    <row r="47970" spans="18:19">
      <c r="R47970" s="178"/>
      <c r="S47970" s="178"/>
    </row>
    <row r="47971" spans="18:19">
      <c r="R47971" s="178"/>
      <c r="S47971" s="178"/>
    </row>
    <row r="47972" spans="18:19">
      <c r="R47972" s="178"/>
      <c r="S47972" s="178"/>
    </row>
    <row r="47973" spans="18:19">
      <c r="R47973" s="178"/>
      <c r="S47973" s="178"/>
    </row>
    <row r="47974" spans="18:19">
      <c r="R47974" s="178"/>
      <c r="S47974" s="178"/>
    </row>
    <row r="47975" spans="18:19">
      <c r="R47975" s="178"/>
      <c r="S47975" s="178"/>
    </row>
    <row r="47976" spans="18:19">
      <c r="R47976" s="178"/>
      <c r="S47976" s="178"/>
    </row>
    <row r="47977" spans="18:19">
      <c r="R47977" s="178"/>
      <c r="S47977" s="178"/>
    </row>
    <row r="47978" spans="18:19">
      <c r="R47978" s="178"/>
      <c r="S47978" s="178"/>
    </row>
    <row r="47979" spans="18:19">
      <c r="R47979" s="178"/>
      <c r="S47979" s="178"/>
    </row>
    <row r="47980" spans="18:19">
      <c r="R47980" s="178"/>
      <c r="S47980" s="178"/>
    </row>
    <row r="47981" spans="18:19">
      <c r="R47981" s="178"/>
      <c r="S47981" s="178"/>
    </row>
    <row r="47982" spans="18:19">
      <c r="R47982" s="178"/>
      <c r="S47982" s="178"/>
    </row>
    <row r="47983" spans="18:19">
      <c r="R47983" s="178"/>
      <c r="S47983" s="178"/>
    </row>
    <row r="47984" spans="18:19">
      <c r="R47984" s="178"/>
      <c r="S47984" s="178"/>
    </row>
    <row r="47985" spans="18:19">
      <c r="R47985" s="178"/>
      <c r="S47985" s="178"/>
    </row>
    <row r="47986" spans="18:19">
      <c r="R47986" s="178"/>
      <c r="S47986" s="178"/>
    </row>
    <row r="47987" spans="18:19">
      <c r="R47987" s="178"/>
      <c r="S47987" s="178"/>
    </row>
    <row r="47988" spans="18:19">
      <c r="R47988" s="178"/>
      <c r="S47988" s="178"/>
    </row>
    <row r="47989" spans="18:19">
      <c r="R47989" s="178"/>
      <c r="S47989" s="178"/>
    </row>
    <row r="47990" spans="18:19">
      <c r="R47990" s="178"/>
      <c r="S47990" s="178"/>
    </row>
    <row r="47991" spans="18:19">
      <c r="R47991" s="178"/>
      <c r="S47991" s="178"/>
    </row>
    <row r="47992" spans="18:19">
      <c r="R47992" s="178"/>
      <c r="S47992" s="178"/>
    </row>
    <row r="47993" spans="18:19">
      <c r="R47993" s="178"/>
      <c r="S47993" s="178"/>
    </row>
    <row r="47994" spans="18:19">
      <c r="R47994" s="178"/>
      <c r="S47994" s="178"/>
    </row>
    <row r="47995" spans="18:19">
      <c r="R47995" s="178"/>
      <c r="S47995" s="178"/>
    </row>
    <row r="47996" spans="18:19">
      <c r="R47996" s="178"/>
      <c r="S47996" s="178"/>
    </row>
    <row r="47997" spans="18:19">
      <c r="R47997" s="178"/>
      <c r="S47997" s="178"/>
    </row>
    <row r="47998" spans="18:19">
      <c r="R47998" s="178"/>
      <c r="S47998" s="178"/>
    </row>
    <row r="47999" spans="18:19">
      <c r="R47999" s="178"/>
      <c r="S47999" s="178"/>
    </row>
    <row r="48000" spans="18:19">
      <c r="R48000" s="178"/>
      <c r="S48000" s="178"/>
    </row>
    <row r="48001" spans="18:19">
      <c r="R48001" s="178"/>
      <c r="S48001" s="178"/>
    </row>
    <row r="48002" spans="18:19">
      <c r="R48002" s="178"/>
      <c r="S48002" s="178"/>
    </row>
    <row r="48003" spans="18:19">
      <c r="R48003" s="178"/>
      <c r="S48003" s="178"/>
    </row>
    <row r="48004" spans="18:19">
      <c r="R48004" s="178"/>
      <c r="S48004" s="178"/>
    </row>
    <row r="48005" spans="18:19">
      <c r="R48005" s="178"/>
      <c r="S48005" s="178"/>
    </row>
    <row r="48006" spans="18:19">
      <c r="R48006" s="178"/>
      <c r="S48006" s="178"/>
    </row>
    <row r="48007" spans="18:19">
      <c r="R48007" s="178"/>
      <c r="S48007" s="178"/>
    </row>
    <row r="48008" spans="18:19">
      <c r="R48008" s="178"/>
      <c r="S48008" s="178"/>
    </row>
    <row r="48009" spans="18:19">
      <c r="R48009" s="178"/>
      <c r="S48009" s="178"/>
    </row>
    <row r="48010" spans="18:19">
      <c r="R48010" s="178"/>
      <c r="S48010" s="178"/>
    </row>
    <row r="48011" spans="18:19">
      <c r="R48011" s="178"/>
      <c r="S48011" s="178"/>
    </row>
    <row r="48012" spans="18:19">
      <c r="R48012" s="178"/>
      <c r="S48012" s="178"/>
    </row>
    <row r="48013" spans="18:19">
      <c r="R48013" s="178"/>
      <c r="S48013" s="178"/>
    </row>
    <row r="48014" spans="18:19">
      <c r="R48014" s="178"/>
      <c r="S48014" s="178"/>
    </row>
    <row r="48015" spans="18:19">
      <c r="R48015" s="178"/>
      <c r="S48015" s="178"/>
    </row>
    <row r="48016" spans="18:19">
      <c r="R48016" s="178"/>
      <c r="S48016" s="178"/>
    </row>
    <row r="48017" spans="18:19">
      <c r="R48017" s="178"/>
      <c r="S48017" s="178"/>
    </row>
    <row r="48018" spans="18:19">
      <c r="R48018" s="178"/>
      <c r="S48018" s="178"/>
    </row>
    <row r="48019" spans="18:19">
      <c r="R48019" s="178"/>
      <c r="S48019" s="178"/>
    </row>
    <row r="48020" spans="18:19">
      <c r="R48020" s="178"/>
      <c r="S48020" s="178"/>
    </row>
    <row r="48021" spans="18:19">
      <c r="R48021" s="178"/>
      <c r="S48021" s="178"/>
    </row>
    <row r="48022" spans="18:19">
      <c r="R48022" s="178"/>
      <c r="S48022" s="178"/>
    </row>
    <row r="48023" spans="18:19">
      <c r="R48023" s="178"/>
      <c r="S48023" s="178"/>
    </row>
    <row r="48024" spans="18:19">
      <c r="R48024" s="178"/>
      <c r="S48024" s="178"/>
    </row>
    <row r="48025" spans="18:19">
      <c r="R48025" s="178"/>
      <c r="S48025" s="178"/>
    </row>
    <row r="48026" spans="18:19">
      <c r="R48026" s="178"/>
      <c r="S48026" s="178"/>
    </row>
    <row r="48027" spans="18:19">
      <c r="R48027" s="178"/>
      <c r="S48027" s="178"/>
    </row>
    <row r="48028" spans="18:19">
      <c r="R48028" s="178"/>
      <c r="S48028" s="178"/>
    </row>
    <row r="48029" spans="18:19">
      <c r="R48029" s="178"/>
      <c r="S48029" s="178"/>
    </row>
    <row r="48030" spans="18:19">
      <c r="R48030" s="178"/>
      <c r="S48030" s="178"/>
    </row>
    <row r="48031" spans="18:19">
      <c r="R48031" s="178"/>
      <c r="S48031" s="178"/>
    </row>
    <row r="48032" spans="18:19">
      <c r="R48032" s="178"/>
      <c r="S48032" s="178"/>
    </row>
    <row r="48033" spans="18:19">
      <c r="R48033" s="178"/>
      <c r="S48033" s="178"/>
    </row>
    <row r="48034" spans="18:19">
      <c r="R48034" s="178"/>
      <c r="S48034" s="178"/>
    </row>
    <row r="48035" spans="18:19">
      <c r="R48035" s="178"/>
      <c r="S48035" s="178"/>
    </row>
    <row r="48036" spans="18:19">
      <c r="R48036" s="178"/>
      <c r="S48036" s="178"/>
    </row>
    <row r="48037" spans="18:19">
      <c r="R48037" s="178"/>
      <c r="S48037" s="178"/>
    </row>
    <row r="48038" spans="18:19">
      <c r="R48038" s="178"/>
      <c r="S48038" s="178"/>
    </row>
    <row r="48039" spans="18:19">
      <c r="R48039" s="178"/>
      <c r="S48039" s="178"/>
    </row>
    <row r="48040" spans="18:19">
      <c r="R48040" s="178"/>
      <c r="S48040" s="178"/>
    </row>
    <row r="48041" spans="18:19">
      <c r="R48041" s="178"/>
      <c r="S48041" s="178"/>
    </row>
    <row r="48042" spans="18:19">
      <c r="R48042" s="178"/>
      <c r="S48042" s="178"/>
    </row>
    <row r="48043" spans="18:19">
      <c r="R48043" s="178"/>
      <c r="S48043" s="178"/>
    </row>
    <row r="48044" spans="18:19">
      <c r="R48044" s="178"/>
      <c r="S48044" s="178"/>
    </row>
    <row r="48045" spans="18:19">
      <c r="R48045" s="178"/>
      <c r="S48045" s="178"/>
    </row>
    <row r="48046" spans="18:19">
      <c r="R48046" s="178"/>
      <c r="S48046" s="178"/>
    </row>
    <row r="48047" spans="18:19">
      <c r="R48047" s="178"/>
      <c r="S48047" s="178"/>
    </row>
    <row r="48048" spans="18:19">
      <c r="R48048" s="178"/>
      <c r="S48048" s="178"/>
    </row>
    <row r="48049" spans="18:19">
      <c r="R48049" s="178"/>
      <c r="S48049" s="178"/>
    </row>
    <row r="48050" spans="18:19">
      <c r="R48050" s="178"/>
      <c r="S48050" s="178"/>
    </row>
    <row r="48051" spans="18:19">
      <c r="R48051" s="178"/>
      <c r="S48051" s="178"/>
    </row>
    <row r="48052" spans="18:19">
      <c r="R48052" s="178"/>
      <c r="S48052" s="178"/>
    </row>
    <row r="48053" spans="18:19">
      <c r="R48053" s="178"/>
      <c r="S48053" s="178"/>
    </row>
    <row r="48054" spans="18:19">
      <c r="R48054" s="178"/>
      <c r="S48054" s="178"/>
    </row>
    <row r="48055" spans="18:19">
      <c r="R48055" s="178"/>
      <c r="S48055" s="178"/>
    </row>
    <row r="48056" spans="18:19">
      <c r="R48056" s="178"/>
      <c r="S48056" s="178"/>
    </row>
    <row r="48057" spans="18:19">
      <c r="R48057" s="178"/>
      <c r="S48057" s="178"/>
    </row>
    <row r="48058" spans="18:19">
      <c r="R48058" s="178"/>
      <c r="S48058" s="178"/>
    </row>
    <row r="48059" spans="18:19">
      <c r="R48059" s="178"/>
      <c r="S48059" s="178"/>
    </row>
    <row r="48060" spans="18:19">
      <c r="R48060" s="178"/>
      <c r="S48060" s="178"/>
    </row>
    <row r="48061" spans="18:19">
      <c r="R48061" s="178"/>
      <c r="S48061" s="178"/>
    </row>
    <row r="48062" spans="18:19">
      <c r="R48062" s="178"/>
      <c r="S48062" s="178"/>
    </row>
    <row r="48063" spans="18:19">
      <c r="R48063" s="178"/>
      <c r="S48063" s="178"/>
    </row>
    <row r="48064" spans="18:19">
      <c r="R48064" s="178"/>
      <c r="S48064" s="178"/>
    </row>
    <row r="48065" spans="18:19">
      <c r="R48065" s="178"/>
      <c r="S48065" s="178"/>
    </row>
    <row r="48066" spans="18:19">
      <c r="R48066" s="178"/>
      <c r="S48066" s="178"/>
    </row>
    <row r="48067" spans="18:19">
      <c r="R48067" s="178"/>
      <c r="S48067" s="178"/>
    </row>
    <row r="48068" spans="18:19">
      <c r="R48068" s="178"/>
      <c r="S48068" s="178"/>
    </row>
    <row r="48069" spans="18:19">
      <c r="R48069" s="178"/>
      <c r="S48069" s="178"/>
    </row>
    <row r="48070" spans="18:19">
      <c r="R48070" s="178"/>
      <c r="S48070" s="178"/>
    </row>
    <row r="48071" spans="18:19">
      <c r="R48071" s="178"/>
      <c r="S48071" s="178"/>
    </row>
    <row r="48072" spans="18:19">
      <c r="R48072" s="178"/>
      <c r="S48072" s="178"/>
    </row>
    <row r="48073" spans="18:19">
      <c r="R48073" s="178"/>
      <c r="S48073" s="178"/>
    </row>
    <row r="48074" spans="18:19">
      <c r="R48074" s="178"/>
      <c r="S48074" s="178"/>
    </row>
    <row r="48075" spans="18:19">
      <c r="R48075" s="178"/>
      <c r="S48075" s="178"/>
    </row>
    <row r="48076" spans="18:19">
      <c r="R48076" s="178"/>
      <c r="S48076" s="178"/>
    </row>
    <row r="48077" spans="18:19">
      <c r="R48077" s="178"/>
      <c r="S48077" s="178"/>
    </row>
    <row r="48078" spans="18:19">
      <c r="R48078" s="178"/>
      <c r="S48078" s="178"/>
    </row>
    <row r="48079" spans="18:19">
      <c r="R48079" s="178"/>
      <c r="S48079" s="178"/>
    </row>
    <row r="48080" spans="18:19">
      <c r="R48080" s="178"/>
      <c r="S48080" s="178"/>
    </row>
    <row r="48081" spans="18:19">
      <c r="R48081" s="178"/>
      <c r="S48081" s="178"/>
    </row>
    <row r="48082" spans="18:19">
      <c r="R48082" s="178"/>
      <c r="S48082" s="178"/>
    </row>
    <row r="48083" spans="18:19">
      <c r="R48083" s="178"/>
      <c r="S48083" s="178"/>
    </row>
    <row r="48084" spans="18:19">
      <c r="R48084" s="178"/>
      <c r="S48084" s="178"/>
    </row>
    <row r="48085" spans="18:19">
      <c r="R48085" s="178"/>
      <c r="S48085" s="178"/>
    </row>
    <row r="48086" spans="18:19">
      <c r="R48086" s="178"/>
      <c r="S48086" s="178"/>
    </row>
    <row r="48087" spans="18:19">
      <c r="R48087" s="178"/>
      <c r="S48087" s="178"/>
    </row>
    <row r="48088" spans="18:19">
      <c r="R48088" s="178"/>
      <c r="S48088" s="178"/>
    </row>
    <row r="48089" spans="18:19">
      <c r="R48089" s="178"/>
      <c r="S48089" s="178"/>
    </row>
    <row r="48090" spans="18:19">
      <c r="R48090" s="178"/>
      <c r="S48090" s="178"/>
    </row>
    <row r="48091" spans="18:19">
      <c r="R48091" s="178"/>
      <c r="S48091" s="178"/>
    </row>
    <row r="48092" spans="18:19">
      <c r="R48092" s="178"/>
      <c r="S48092" s="178"/>
    </row>
    <row r="48093" spans="18:19">
      <c r="R48093" s="178"/>
      <c r="S48093" s="178"/>
    </row>
    <row r="48094" spans="18:19">
      <c r="R48094" s="178"/>
      <c r="S48094" s="178"/>
    </row>
    <row r="48095" spans="18:19">
      <c r="R48095" s="178"/>
      <c r="S48095" s="178"/>
    </row>
    <row r="48096" spans="18:19">
      <c r="R48096" s="178"/>
      <c r="S48096" s="178"/>
    </row>
    <row r="48097" spans="18:19">
      <c r="R48097" s="178"/>
      <c r="S48097" s="178"/>
    </row>
    <row r="48098" spans="18:19">
      <c r="R48098" s="178"/>
      <c r="S48098" s="178"/>
    </row>
    <row r="48099" spans="18:19">
      <c r="R48099" s="178"/>
      <c r="S48099" s="178"/>
    </row>
    <row r="48100" spans="18:19">
      <c r="R48100" s="178"/>
      <c r="S48100" s="178"/>
    </row>
    <row r="48101" spans="18:19">
      <c r="R48101" s="178"/>
      <c r="S48101" s="178"/>
    </row>
    <row r="48102" spans="18:19">
      <c r="R48102" s="178"/>
      <c r="S48102" s="178"/>
    </row>
    <row r="48103" spans="18:19">
      <c r="R48103" s="178"/>
      <c r="S48103" s="178"/>
    </row>
    <row r="48104" spans="18:19">
      <c r="R48104" s="178"/>
      <c r="S48104" s="178"/>
    </row>
    <row r="48105" spans="18:19">
      <c r="R48105" s="178"/>
      <c r="S48105" s="178"/>
    </row>
    <row r="48106" spans="18:19">
      <c r="R48106" s="178"/>
      <c r="S48106" s="178"/>
    </row>
    <row r="48107" spans="18:19">
      <c r="R48107" s="178"/>
      <c r="S48107" s="178"/>
    </row>
    <row r="48108" spans="18:19">
      <c r="R48108" s="178"/>
      <c r="S48108" s="178"/>
    </row>
    <row r="48109" spans="18:19">
      <c r="R48109" s="178"/>
      <c r="S48109" s="178"/>
    </row>
    <row r="48110" spans="18:19">
      <c r="R48110" s="178"/>
      <c r="S48110" s="178"/>
    </row>
    <row r="48111" spans="18:19">
      <c r="R48111" s="178"/>
      <c r="S48111" s="178"/>
    </row>
    <row r="48112" spans="18:19">
      <c r="R48112" s="178"/>
      <c r="S48112" s="178"/>
    </row>
    <row r="48113" spans="18:19">
      <c r="R48113" s="178"/>
      <c r="S48113" s="178"/>
    </row>
    <row r="48114" spans="18:19">
      <c r="R48114" s="178"/>
      <c r="S48114" s="178"/>
    </row>
    <row r="48115" spans="18:19">
      <c r="R48115" s="178"/>
      <c r="S48115" s="178"/>
    </row>
    <row r="48116" spans="18:19">
      <c r="R48116" s="178"/>
      <c r="S48116" s="178"/>
    </row>
    <row r="48117" spans="18:19">
      <c r="R48117" s="178"/>
      <c r="S48117" s="178"/>
    </row>
    <row r="48118" spans="18:19">
      <c r="R48118" s="178"/>
      <c r="S48118" s="178"/>
    </row>
    <row r="48119" spans="18:19">
      <c r="R48119" s="178"/>
      <c r="S48119" s="178"/>
    </row>
    <row r="48120" spans="18:19">
      <c r="R48120" s="178"/>
      <c r="S48120" s="178"/>
    </row>
    <row r="48121" spans="18:19">
      <c r="R48121" s="178"/>
      <c r="S48121" s="178"/>
    </row>
    <row r="48122" spans="18:19">
      <c r="R48122" s="178"/>
      <c r="S48122" s="178"/>
    </row>
    <row r="48123" spans="18:19">
      <c r="R48123" s="178"/>
      <c r="S48123" s="178"/>
    </row>
    <row r="48124" spans="18:19">
      <c r="R48124" s="178"/>
      <c r="S48124" s="178"/>
    </row>
    <row r="48125" spans="18:19">
      <c r="R48125" s="178"/>
      <c r="S48125" s="178"/>
    </row>
    <row r="48126" spans="18:19">
      <c r="R48126" s="178"/>
      <c r="S48126" s="178"/>
    </row>
    <row r="48127" spans="18:19">
      <c r="R48127" s="178"/>
      <c r="S48127" s="178"/>
    </row>
    <row r="48128" spans="18:19">
      <c r="R48128" s="178"/>
      <c r="S48128" s="178"/>
    </row>
    <row r="48129" spans="18:19">
      <c r="R48129" s="178"/>
      <c r="S48129" s="178"/>
    </row>
    <row r="48130" spans="18:19">
      <c r="R48130" s="178"/>
      <c r="S48130" s="178"/>
    </row>
    <row r="48131" spans="18:19">
      <c r="R48131" s="178"/>
      <c r="S48131" s="178"/>
    </row>
    <row r="48132" spans="18:19">
      <c r="R48132" s="178"/>
      <c r="S48132" s="178"/>
    </row>
    <row r="48133" spans="18:19">
      <c r="R48133" s="178"/>
      <c r="S48133" s="178"/>
    </row>
    <row r="48134" spans="18:19">
      <c r="R48134" s="178"/>
      <c r="S48134" s="178"/>
    </row>
    <row r="48135" spans="18:19">
      <c r="R48135" s="178"/>
      <c r="S48135" s="178"/>
    </row>
    <row r="48136" spans="18:19">
      <c r="R48136" s="178"/>
      <c r="S48136" s="178"/>
    </row>
    <row r="48137" spans="18:19">
      <c r="R48137" s="178"/>
      <c r="S48137" s="178"/>
    </row>
    <row r="48138" spans="18:19">
      <c r="R48138" s="178"/>
      <c r="S48138" s="178"/>
    </row>
    <row r="48139" spans="18:19">
      <c r="R48139" s="178"/>
      <c r="S48139" s="178"/>
    </row>
    <row r="48140" spans="18:19">
      <c r="R48140" s="178"/>
      <c r="S48140" s="178"/>
    </row>
    <row r="48141" spans="18:19">
      <c r="R48141" s="178"/>
      <c r="S48141" s="178"/>
    </row>
    <row r="48142" spans="18:19">
      <c r="R48142" s="178"/>
      <c r="S48142" s="178"/>
    </row>
    <row r="48143" spans="18:19">
      <c r="R48143" s="178"/>
      <c r="S48143" s="178"/>
    </row>
    <row r="48144" spans="18:19">
      <c r="R48144" s="178"/>
      <c r="S48144" s="178"/>
    </row>
    <row r="48145" spans="18:19">
      <c r="R48145" s="178"/>
      <c r="S48145" s="178"/>
    </row>
    <row r="48146" spans="18:19">
      <c r="R48146" s="178"/>
      <c r="S48146" s="178"/>
    </row>
    <row r="48147" spans="18:19">
      <c r="R48147" s="178"/>
      <c r="S48147" s="178"/>
    </row>
    <row r="48148" spans="18:19">
      <c r="R48148" s="178"/>
      <c r="S48148" s="178"/>
    </row>
    <row r="48149" spans="18:19">
      <c r="R48149" s="178"/>
      <c r="S48149" s="178"/>
    </row>
    <row r="48150" spans="18:19">
      <c r="R48150" s="178"/>
      <c r="S48150" s="178"/>
    </row>
    <row r="48151" spans="18:19">
      <c r="R48151" s="178"/>
      <c r="S48151" s="178"/>
    </row>
    <row r="48152" spans="18:19">
      <c r="R48152" s="178"/>
      <c r="S48152" s="178"/>
    </row>
    <row r="48153" spans="18:19">
      <c r="R48153" s="178"/>
      <c r="S48153" s="178"/>
    </row>
    <row r="48154" spans="18:19">
      <c r="R48154" s="178"/>
      <c r="S48154" s="178"/>
    </row>
    <row r="48155" spans="18:19">
      <c r="R48155" s="178"/>
      <c r="S48155" s="178"/>
    </row>
    <row r="48156" spans="18:19">
      <c r="R48156" s="178"/>
      <c r="S48156" s="178"/>
    </row>
    <row r="48157" spans="18:19">
      <c r="R48157" s="178"/>
      <c r="S48157" s="178"/>
    </row>
    <row r="48158" spans="18:19">
      <c r="R48158" s="178"/>
      <c r="S48158" s="178"/>
    </row>
    <row r="48159" spans="18:19">
      <c r="R48159" s="178"/>
      <c r="S48159" s="178"/>
    </row>
    <row r="48160" spans="18:19">
      <c r="R48160" s="178"/>
      <c r="S48160" s="178"/>
    </row>
    <row r="48161" spans="18:19">
      <c r="R48161" s="178"/>
      <c r="S48161" s="178"/>
    </row>
    <row r="48162" spans="18:19">
      <c r="R48162" s="178"/>
      <c r="S48162" s="178"/>
    </row>
    <row r="48163" spans="18:19">
      <c r="R48163" s="178"/>
      <c r="S48163" s="178"/>
    </row>
    <row r="48164" spans="18:19">
      <c r="R48164" s="178"/>
      <c r="S48164" s="178"/>
    </row>
    <row r="48165" spans="18:19">
      <c r="R48165" s="178"/>
      <c r="S48165" s="178"/>
    </row>
    <row r="48166" spans="18:19">
      <c r="R48166" s="178"/>
      <c r="S48166" s="178"/>
    </row>
    <row r="48167" spans="18:19">
      <c r="R48167" s="178"/>
      <c r="S48167" s="178"/>
    </row>
    <row r="48168" spans="18:19">
      <c r="R48168" s="178"/>
      <c r="S48168" s="178"/>
    </row>
    <row r="48169" spans="18:19">
      <c r="R48169" s="178"/>
      <c r="S48169" s="178"/>
    </row>
    <row r="48170" spans="18:19">
      <c r="R48170" s="178"/>
      <c r="S48170" s="178"/>
    </row>
    <row r="48171" spans="18:19">
      <c r="R48171" s="178"/>
      <c r="S48171" s="178"/>
    </row>
    <row r="48172" spans="18:19">
      <c r="R48172" s="178"/>
      <c r="S48172" s="178"/>
    </row>
    <row r="48173" spans="18:19">
      <c r="R48173" s="178"/>
      <c r="S48173" s="178"/>
    </row>
    <row r="48174" spans="18:19">
      <c r="R48174" s="178"/>
      <c r="S48174" s="178"/>
    </row>
    <row r="48175" spans="18:19">
      <c r="R48175" s="178"/>
      <c r="S48175" s="178"/>
    </row>
    <row r="48176" spans="18:19">
      <c r="R48176" s="178"/>
      <c r="S48176" s="178"/>
    </row>
    <row r="48177" spans="18:19">
      <c r="R48177" s="178"/>
      <c r="S48177" s="178"/>
    </row>
    <row r="48178" spans="18:19">
      <c r="R48178" s="178"/>
      <c r="S48178" s="178"/>
    </row>
    <row r="48179" spans="18:19">
      <c r="R48179" s="178"/>
      <c r="S48179" s="178"/>
    </row>
    <row r="48180" spans="18:19">
      <c r="R48180" s="178"/>
      <c r="S48180" s="178"/>
    </row>
    <row r="48181" spans="18:19">
      <c r="R48181" s="178"/>
      <c r="S48181" s="178"/>
    </row>
    <row r="48182" spans="18:19">
      <c r="R48182" s="178"/>
      <c r="S48182" s="178"/>
    </row>
    <row r="48183" spans="18:19">
      <c r="R48183" s="178"/>
      <c r="S48183" s="178"/>
    </row>
    <row r="48184" spans="18:19">
      <c r="R48184" s="178"/>
      <c r="S48184" s="178"/>
    </row>
    <row r="48185" spans="18:19">
      <c r="R48185" s="178"/>
      <c r="S48185" s="178"/>
    </row>
    <row r="48186" spans="18:19">
      <c r="R48186" s="178"/>
      <c r="S48186" s="178"/>
    </row>
    <row r="48187" spans="18:19">
      <c r="R48187" s="178"/>
      <c r="S48187" s="178"/>
    </row>
    <row r="48188" spans="18:19">
      <c r="R48188" s="178"/>
      <c r="S48188" s="178"/>
    </row>
    <row r="48189" spans="18:19">
      <c r="R48189" s="178"/>
      <c r="S48189" s="178"/>
    </row>
    <row r="48190" spans="18:19">
      <c r="R48190" s="178"/>
      <c r="S48190" s="178"/>
    </row>
    <row r="48191" spans="18:19">
      <c r="R48191" s="178"/>
      <c r="S48191" s="178"/>
    </row>
    <row r="48192" spans="18:19">
      <c r="R48192" s="178"/>
      <c r="S48192" s="178"/>
    </row>
    <row r="48193" spans="18:19">
      <c r="R48193" s="178"/>
      <c r="S48193" s="178"/>
    </row>
    <row r="48194" spans="18:19">
      <c r="R48194" s="178"/>
      <c r="S48194" s="178"/>
    </row>
    <row r="48195" spans="18:19">
      <c r="R48195" s="178"/>
      <c r="S48195" s="178"/>
    </row>
    <row r="48196" spans="18:19">
      <c r="R48196" s="178"/>
      <c r="S48196" s="178"/>
    </row>
    <row r="48197" spans="18:19">
      <c r="R48197" s="178"/>
      <c r="S48197" s="178"/>
    </row>
    <row r="48198" spans="18:19">
      <c r="R48198" s="178"/>
      <c r="S48198" s="178"/>
    </row>
    <row r="48199" spans="18:19">
      <c r="R48199" s="178"/>
      <c r="S48199" s="178"/>
    </row>
    <row r="48200" spans="18:19">
      <c r="R48200" s="178"/>
      <c r="S48200" s="178"/>
    </row>
    <row r="48201" spans="18:19">
      <c r="R48201" s="178"/>
      <c r="S48201" s="178"/>
    </row>
    <row r="48202" spans="18:19">
      <c r="R48202" s="178"/>
      <c r="S48202" s="178"/>
    </row>
    <row r="48203" spans="18:19">
      <c r="R48203" s="178"/>
      <c r="S48203" s="178"/>
    </row>
    <row r="48204" spans="18:19">
      <c r="R48204" s="178"/>
      <c r="S48204" s="178"/>
    </row>
    <row r="48205" spans="18:19">
      <c r="R48205" s="178"/>
      <c r="S48205" s="178"/>
    </row>
    <row r="48206" spans="18:19">
      <c r="R48206" s="178"/>
      <c r="S48206" s="178"/>
    </row>
    <row r="48207" spans="18:19">
      <c r="R48207" s="178"/>
      <c r="S48207" s="178"/>
    </row>
    <row r="48208" spans="18:19">
      <c r="R48208" s="178"/>
      <c r="S48208" s="178"/>
    </row>
    <row r="48209" spans="18:19">
      <c r="R48209" s="178"/>
      <c r="S48209" s="178"/>
    </row>
    <row r="48210" spans="18:19">
      <c r="R48210" s="178"/>
      <c r="S48210" s="178"/>
    </row>
    <row r="48211" spans="18:19">
      <c r="R48211" s="178"/>
      <c r="S48211" s="178"/>
    </row>
    <row r="48212" spans="18:19">
      <c r="R48212" s="178"/>
      <c r="S48212" s="178"/>
    </row>
    <row r="48213" spans="18:19">
      <c r="R48213" s="178"/>
      <c r="S48213" s="178"/>
    </row>
    <row r="48214" spans="18:19">
      <c r="R48214" s="178"/>
      <c r="S48214" s="178"/>
    </row>
    <row r="48215" spans="18:19">
      <c r="R48215" s="178"/>
      <c r="S48215" s="178"/>
    </row>
    <row r="48216" spans="18:19">
      <c r="R48216" s="178"/>
      <c r="S48216" s="178"/>
    </row>
    <row r="48217" spans="18:19">
      <c r="R48217" s="178"/>
      <c r="S48217" s="178"/>
    </row>
    <row r="48218" spans="18:19">
      <c r="R48218" s="178"/>
      <c r="S48218" s="178"/>
    </row>
    <row r="48219" spans="18:19">
      <c r="R48219" s="178"/>
      <c r="S48219" s="178"/>
    </row>
    <row r="48220" spans="18:19">
      <c r="R48220" s="178"/>
      <c r="S48220" s="178"/>
    </row>
    <row r="48221" spans="18:19">
      <c r="R48221" s="178"/>
      <c r="S48221" s="178"/>
    </row>
    <row r="48222" spans="18:19">
      <c r="R48222" s="178"/>
      <c r="S48222" s="178"/>
    </row>
    <row r="48223" spans="18:19">
      <c r="R48223" s="178"/>
      <c r="S48223" s="178"/>
    </row>
    <row r="48224" spans="18:19">
      <c r="R48224" s="178"/>
      <c r="S48224" s="178"/>
    </row>
    <row r="48225" spans="18:19">
      <c r="R48225" s="178"/>
      <c r="S48225" s="178"/>
    </row>
    <row r="48226" spans="18:19">
      <c r="R48226" s="178"/>
      <c r="S48226" s="178"/>
    </row>
    <row r="48227" spans="18:19">
      <c r="R48227" s="178"/>
      <c r="S48227" s="178"/>
    </row>
    <row r="48228" spans="18:19">
      <c r="R48228" s="178"/>
      <c r="S48228" s="178"/>
    </row>
    <row r="48229" spans="18:19">
      <c r="R48229" s="178"/>
      <c r="S48229" s="178"/>
    </row>
    <row r="48230" spans="18:19">
      <c r="R48230" s="178"/>
      <c r="S48230" s="178"/>
    </row>
    <row r="48231" spans="18:19">
      <c r="R48231" s="178"/>
      <c r="S48231" s="178"/>
    </row>
    <row r="48232" spans="18:19">
      <c r="R48232" s="178"/>
      <c r="S48232" s="178"/>
    </row>
    <row r="48233" spans="18:19">
      <c r="R48233" s="178"/>
      <c r="S48233" s="178"/>
    </row>
    <row r="48234" spans="18:19">
      <c r="R48234" s="178"/>
      <c r="S48234" s="178"/>
    </row>
    <row r="48235" spans="18:19">
      <c r="R48235" s="178"/>
      <c r="S48235" s="178"/>
    </row>
    <row r="48236" spans="18:19">
      <c r="R48236" s="178"/>
      <c r="S48236" s="178"/>
    </row>
    <row r="48237" spans="18:19">
      <c r="R48237" s="178"/>
      <c r="S48237" s="178"/>
    </row>
    <row r="48238" spans="18:19">
      <c r="R48238" s="178"/>
      <c r="S48238" s="178"/>
    </row>
    <row r="48239" spans="18:19">
      <c r="R48239" s="178"/>
      <c r="S48239" s="178"/>
    </row>
    <row r="48240" spans="18:19">
      <c r="R48240" s="178"/>
      <c r="S48240" s="178"/>
    </row>
    <row r="48241" spans="18:19">
      <c r="R48241" s="178"/>
      <c r="S48241" s="178"/>
    </row>
    <row r="48242" spans="18:19">
      <c r="R48242" s="178"/>
      <c r="S48242" s="178"/>
    </row>
    <row r="48243" spans="18:19">
      <c r="R48243" s="178"/>
      <c r="S48243" s="178"/>
    </row>
    <row r="48244" spans="18:19">
      <c r="R48244" s="178"/>
      <c r="S48244" s="178"/>
    </row>
    <row r="48245" spans="18:19">
      <c r="R48245" s="178"/>
      <c r="S48245" s="178"/>
    </row>
    <row r="48246" spans="18:19">
      <c r="R48246" s="178"/>
      <c r="S48246" s="178"/>
    </row>
    <row r="48247" spans="18:19">
      <c r="R48247" s="178"/>
      <c r="S48247" s="178"/>
    </row>
    <row r="48248" spans="18:19">
      <c r="R48248" s="178"/>
      <c r="S48248" s="178"/>
    </row>
    <row r="48249" spans="18:19">
      <c r="R48249" s="178"/>
      <c r="S48249" s="178"/>
    </row>
    <row r="48250" spans="18:19">
      <c r="R48250" s="178"/>
      <c r="S48250" s="178"/>
    </row>
    <row r="48251" spans="18:19">
      <c r="R48251" s="178"/>
      <c r="S48251" s="178"/>
    </row>
    <row r="48252" spans="18:19">
      <c r="R48252" s="178"/>
      <c r="S48252" s="178"/>
    </row>
    <row r="48253" spans="18:19">
      <c r="R48253" s="178"/>
      <c r="S48253" s="178"/>
    </row>
    <row r="48254" spans="18:19">
      <c r="R48254" s="178"/>
      <c r="S48254" s="178"/>
    </row>
    <row r="48255" spans="18:19">
      <c r="R48255" s="178"/>
      <c r="S48255" s="178"/>
    </row>
    <row r="48256" spans="18:19">
      <c r="R48256" s="178"/>
      <c r="S48256" s="178"/>
    </row>
    <row r="48257" spans="18:19">
      <c r="R48257" s="178"/>
      <c r="S48257" s="178"/>
    </row>
    <row r="48258" spans="18:19">
      <c r="R48258" s="178"/>
      <c r="S48258" s="178"/>
    </row>
    <row r="48259" spans="18:19">
      <c r="R48259" s="178"/>
      <c r="S48259" s="178"/>
    </row>
    <row r="48260" spans="18:19">
      <c r="R48260" s="178"/>
      <c r="S48260" s="178"/>
    </row>
    <row r="48261" spans="18:19">
      <c r="R48261" s="178"/>
      <c r="S48261" s="178"/>
    </row>
    <row r="48262" spans="18:19">
      <c r="R48262" s="178"/>
      <c r="S48262" s="178"/>
    </row>
    <row r="48263" spans="18:19">
      <c r="R48263" s="178"/>
      <c r="S48263" s="178"/>
    </row>
    <row r="48264" spans="18:19">
      <c r="R48264" s="178"/>
      <c r="S48264" s="178"/>
    </row>
    <row r="48265" spans="18:19">
      <c r="R48265" s="178"/>
      <c r="S48265" s="178"/>
    </row>
    <row r="48266" spans="18:19">
      <c r="R48266" s="178"/>
      <c r="S48266" s="178"/>
    </row>
    <row r="48267" spans="18:19">
      <c r="R48267" s="178"/>
      <c r="S48267" s="178"/>
    </row>
    <row r="48268" spans="18:19">
      <c r="R48268" s="178"/>
      <c r="S48268" s="178"/>
    </row>
    <row r="48269" spans="18:19">
      <c r="R48269" s="178"/>
      <c r="S48269" s="178"/>
    </row>
    <row r="48270" spans="18:19">
      <c r="R48270" s="178"/>
      <c r="S48270" s="178"/>
    </row>
    <row r="48271" spans="18:19">
      <c r="R48271" s="178"/>
      <c r="S48271" s="178"/>
    </row>
    <row r="48272" spans="18:19">
      <c r="R48272" s="178"/>
      <c r="S48272" s="178"/>
    </row>
    <row r="48273" spans="18:19">
      <c r="R48273" s="178"/>
      <c r="S48273" s="178"/>
    </row>
    <row r="48274" spans="18:19">
      <c r="R48274" s="178"/>
      <c r="S48274" s="178"/>
    </row>
    <row r="48275" spans="18:19">
      <c r="R48275" s="178"/>
      <c r="S48275" s="178"/>
    </row>
    <row r="48276" spans="18:19">
      <c r="R48276" s="178"/>
      <c r="S48276" s="178"/>
    </row>
    <row r="48277" spans="18:19">
      <c r="R48277" s="178"/>
      <c r="S48277" s="178"/>
    </row>
    <row r="48278" spans="18:19">
      <c r="R48278" s="178"/>
      <c r="S48278" s="178"/>
    </row>
    <row r="48279" spans="18:19">
      <c r="R48279" s="178"/>
      <c r="S48279" s="178"/>
    </row>
    <row r="48280" spans="18:19">
      <c r="R48280" s="178"/>
      <c r="S48280" s="178"/>
    </row>
    <row r="48281" spans="18:19">
      <c r="R48281" s="178"/>
      <c r="S48281" s="178"/>
    </row>
    <row r="48282" spans="18:19">
      <c r="R48282" s="178"/>
      <c r="S48282" s="178"/>
    </row>
    <row r="48283" spans="18:19">
      <c r="R48283" s="178"/>
      <c r="S48283" s="178"/>
    </row>
    <row r="48284" spans="18:19">
      <c r="R48284" s="178"/>
      <c r="S48284" s="178"/>
    </row>
    <row r="48285" spans="18:19">
      <c r="R48285" s="178"/>
      <c r="S48285" s="178"/>
    </row>
    <row r="48286" spans="18:19">
      <c r="R48286" s="178"/>
      <c r="S48286" s="178"/>
    </row>
    <row r="48287" spans="18:19">
      <c r="R48287" s="178"/>
      <c r="S48287" s="178"/>
    </row>
    <row r="48288" spans="18:19">
      <c r="R48288" s="178"/>
      <c r="S48288" s="178"/>
    </row>
    <row r="48289" spans="18:19">
      <c r="R48289" s="178"/>
      <c r="S48289" s="178"/>
    </row>
    <row r="48290" spans="18:19">
      <c r="R48290" s="178"/>
      <c r="S48290" s="178"/>
    </row>
    <row r="48291" spans="18:19">
      <c r="R48291" s="178"/>
      <c r="S48291" s="178"/>
    </row>
    <row r="48292" spans="18:19">
      <c r="R48292" s="178"/>
      <c r="S48292" s="178"/>
    </row>
    <row r="48293" spans="18:19">
      <c r="R48293" s="178"/>
      <c r="S48293" s="178"/>
    </row>
    <row r="48294" spans="18:19">
      <c r="R48294" s="178"/>
      <c r="S48294" s="178"/>
    </row>
    <row r="48295" spans="18:19">
      <c r="R48295" s="178"/>
      <c r="S48295" s="178"/>
    </row>
    <row r="48296" spans="18:19">
      <c r="R48296" s="178"/>
      <c r="S48296" s="178"/>
    </row>
    <row r="48297" spans="18:19">
      <c r="R48297" s="178"/>
      <c r="S48297" s="178"/>
    </row>
    <row r="48298" spans="18:19">
      <c r="R48298" s="178"/>
      <c r="S48298" s="178"/>
    </row>
    <row r="48299" spans="18:19">
      <c r="R48299" s="178"/>
      <c r="S48299" s="178"/>
    </row>
    <row r="48300" spans="18:19">
      <c r="R48300" s="178"/>
      <c r="S48300" s="178"/>
    </row>
    <row r="48301" spans="18:19">
      <c r="R48301" s="178"/>
      <c r="S48301" s="178"/>
    </row>
    <row r="48302" spans="18:19">
      <c r="R48302" s="178"/>
      <c r="S48302" s="178"/>
    </row>
    <row r="48303" spans="18:19">
      <c r="R48303" s="178"/>
      <c r="S48303" s="178"/>
    </row>
    <row r="48304" spans="18:19">
      <c r="R48304" s="178"/>
      <c r="S48304" s="178"/>
    </row>
    <row r="48305" spans="18:19">
      <c r="R48305" s="178"/>
      <c r="S48305" s="178"/>
    </row>
    <row r="48306" spans="18:19">
      <c r="R48306" s="178"/>
      <c r="S48306" s="178"/>
    </row>
    <row r="48307" spans="18:19">
      <c r="R48307" s="178"/>
      <c r="S48307" s="178"/>
    </row>
    <row r="48308" spans="18:19">
      <c r="R48308" s="178"/>
      <c r="S48308" s="178"/>
    </row>
    <row r="48309" spans="18:19">
      <c r="R48309" s="178"/>
      <c r="S48309" s="178"/>
    </row>
    <row r="48310" spans="18:19">
      <c r="R48310" s="178"/>
      <c r="S48310" s="178"/>
    </row>
    <row r="48311" spans="18:19">
      <c r="R48311" s="178"/>
      <c r="S48311" s="178"/>
    </row>
    <row r="48312" spans="18:19">
      <c r="R48312" s="178"/>
      <c r="S48312" s="178"/>
    </row>
    <row r="48313" spans="18:19">
      <c r="R48313" s="178"/>
      <c r="S48313" s="178"/>
    </row>
    <row r="48314" spans="18:19">
      <c r="R48314" s="178"/>
      <c r="S48314" s="178"/>
    </row>
    <row r="48315" spans="18:19">
      <c r="R48315" s="178"/>
      <c r="S48315" s="178"/>
    </row>
    <row r="48316" spans="18:19">
      <c r="R48316" s="178"/>
      <c r="S48316" s="178"/>
    </row>
    <row r="48317" spans="18:19">
      <c r="R48317" s="178"/>
      <c r="S48317" s="178"/>
    </row>
    <row r="48318" spans="18:19">
      <c r="R48318" s="178"/>
      <c r="S48318" s="178"/>
    </row>
    <row r="48319" spans="18:19">
      <c r="R48319" s="178"/>
      <c r="S48319" s="178"/>
    </row>
    <row r="48320" spans="18:19">
      <c r="R48320" s="178"/>
      <c r="S48320" s="178"/>
    </row>
    <row r="48321" spans="18:19">
      <c r="R48321" s="178"/>
      <c r="S48321" s="178"/>
    </row>
    <row r="48322" spans="18:19">
      <c r="R48322" s="178"/>
      <c r="S48322" s="178"/>
    </row>
    <row r="48323" spans="18:19">
      <c r="R48323" s="178"/>
      <c r="S48323" s="178"/>
    </row>
    <row r="48324" spans="18:19">
      <c r="R48324" s="178"/>
      <c r="S48324" s="178"/>
    </row>
    <row r="48325" spans="18:19">
      <c r="R48325" s="178"/>
      <c r="S48325" s="178"/>
    </row>
    <row r="48326" spans="18:19">
      <c r="R48326" s="178"/>
      <c r="S48326" s="178"/>
    </row>
    <row r="48327" spans="18:19">
      <c r="R48327" s="178"/>
      <c r="S48327" s="178"/>
    </row>
    <row r="48328" spans="18:19">
      <c r="R48328" s="178"/>
      <c r="S48328" s="178"/>
    </row>
    <row r="48329" spans="18:19">
      <c r="R48329" s="178"/>
      <c r="S48329" s="178"/>
    </row>
    <row r="48330" spans="18:19">
      <c r="R48330" s="178"/>
      <c r="S48330" s="178"/>
    </row>
    <row r="48331" spans="18:19">
      <c r="R48331" s="178"/>
      <c r="S48331" s="178"/>
    </row>
    <row r="48332" spans="18:19">
      <c r="R48332" s="178"/>
      <c r="S48332" s="178"/>
    </row>
    <row r="48333" spans="18:19">
      <c r="R48333" s="178"/>
      <c r="S48333" s="178"/>
    </row>
    <row r="48334" spans="18:19">
      <c r="R48334" s="178"/>
      <c r="S48334" s="178"/>
    </row>
    <row r="48335" spans="18:19">
      <c r="R48335" s="178"/>
      <c r="S48335" s="178"/>
    </row>
    <row r="48336" spans="18:19">
      <c r="R48336" s="178"/>
      <c r="S48336" s="178"/>
    </row>
    <row r="48337" spans="18:19">
      <c r="R48337" s="178"/>
      <c r="S48337" s="178"/>
    </row>
    <row r="48338" spans="18:19">
      <c r="R48338" s="178"/>
      <c r="S48338" s="178"/>
    </row>
    <row r="48339" spans="18:19">
      <c r="R48339" s="178"/>
      <c r="S48339" s="178"/>
    </row>
    <row r="48340" spans="18:19">
      <c r="R48340" s="178"/>
      <c r="S48340" s="178"/>
    </row>
    <row r="48341" spans="18:19">
      <c r="R48341" s="178"/>
      <c r="S48341" s="178"/>
    </row>
    <row r="48342" spans="18:19">
      <c r="R48342" s="178"/>
      <c r="S48342" s="178"/>
    </row>
    <row r="48343" spans="18:19">
      <c r="R48343" s="178"/>
      <c r="S48343" s="178"/>
    </row>
    <row r="48344" spans="18:19">
      <c r="R48344" s="178"/>
      <c r="S48344" s="178"/>
    </row>
    <row r="48345" spans="18:19">
      <c r="R48345" s="178"/>
      <c r="S48345" s="178"/>
    </row>
    <row r="48346" spans="18:19">
      <c r="R48346" s="178"/>
      <c r="S48346" s="178"/>
    </row>
    <row r="48347" spans="18:19">
      <c r="R48347" s="178"/>
      <c r="S48347" s="178"/>
    </row>
    <row r="48348" spans="18:19">
      <c r="R48348" s="178"/>
      <c r="S48348" s="178"/>
    </row>
    <row r="48349" spans="18:19">
      <c r="R48349" s="178"/>
      <c r="S48349" s="178"/>
    </row>
    <row r="48350" spans="18:19">
      <c r="R48350" s="178"/>
      <c r="S48350" s="178"/>
    </row>
    <row r="48351" spans="18:19">
      <c r="R48351" s="178"/>
      <c r="S48351" s="178"/>
    </row>
    <row r="48352" spans="18:19">
      <c r="R48352" s="178"/>
      <c r="S48352" s="178"/>
    </row>
    <row r="48353" spans="18:19">
      <c r="R48353" s="178"/>
      <c r="S48353" s="178"/>
    </row>
    <row r="48354" spans="18:19">
      <c r="R48354" s="178"/>
      <c r="S48354" s="178"/>
    </row>
    <row r="48355" spans="18:19">
      <c r="R48355" s="178"/>
      <c r="S48355" s="178"/>
    </row>
    <row r="48356" spans="18:19">
      <c r="R48356" s="178"/>
      <c r="S48356" s="178"/>
    </row>
    <row r="48357" spans="18:19">
      <c r="R48357" s="178"/>
      <c r="S48357" s="178"/>
    </row>
    <row r="48358" spans="18:19">
      <c r="R48358" s="178"/>
      <c r="S48358" s="178"/>
    </row>
    <row r="48359" spans="18:19">
      <c r="R48359" s="178"/>
      <c r="S48359" s="178"/>
    </row>
    <row r="48360" spans="18:19">
      <c r="R48360" s="178"/>
      <c r="S48360" s="178"/>
    </row>
    <row r="48361" spans="18:19">
      <c r="R48361" s="178"/>
      <c r="S48361" s="178"/>
    </row>
    <row r="48362" spans="18:19">
      <c r="R48362" s="178"/>
      <c r="S48362" s="178"/>
    </row>
    <row r="48363" spans="18:19">
      <c r="R48363" s="178"/>
      <c r="S48363" s="178"/>
    </row>
    <row r="48364" spans="18:19">
      <c r="R48364" s="178"/>
      <c r="S48364" s="178"/>
    </row>
    <row r="48365" spans="18:19">
      <c r="R48365" s="178"/>
      <c r="S48365" s="178"/>
    </row>
    <row r="48366" spans="18:19">
      <c r="R48366" s="178"/>
      <c r="S48366" s="178"/>
    </row>
    <row r="48367" spans="18:19">
      <c r="R48367" s="178"/>
      <c r="S48367" s="178"/>
    </row>
    <row r="48368" spans="18:19">
      <c r="R48368" s="178"/>
      <c r="S48368" s="178"/>
    </row>
    <row r="48369" spans="18:19">
      <c r="R48369" s="178"/>
      <c r="S48369" s="178"/>
    </row>
    <row r="48370" spans="18:19">
      <c r="R48370" s="178"/>
      <c r="S48370" s="178"/>
    </row>
    <row r="48371" spans="18:19">
      <c r="R48371" s="178"/>
      <c r="S48371" s="178"/>
    </row>
    <row r="48372" spans="18:19">
      <c r="R48372" s="178"/>
      <c r="S48372" s="178"/>
    </row>
    <row r="48373" spans="18:19">
      <c r="R48373" s="178"/>
      <c r="S48373" s="178"/>
    </row>
    <row r="48374" spans="18:19">
      <c r="R48374" s="178"/>
      <c r="S48374" s="178"/>
    </row>
    <row r="48375" spans="18:19">
      <c r="R48375" s="178"/>
      <c r="S48375" s="178"/>
    </row>
    <row r="48376" spans="18:19">
      <c r="R48376" s="178"/>
      <c r="S48376" s="178"/>
    </row>
    <row r="48377" spans="18:19">
      <c r="R48377" s="178"/>
      <c r="S48377" s="178"/>
    </row>
    <row r="48378" spans="18:19">
      <c r="R48378" s="178"/>
      <c r="S48378" s="178"/>
    </row>
    <row r="48379" spans="18:19">
      <c r="R48379" s="178"/>
      <c r="S48379" s="178"/>
    </row>
    <row r="48380" spans="18:19">
      <c r="R48380" s="178"/>
      <c r="S48380" s="178"/>
    </row>
    <row r="48381" spans="18:19">
      <c r="R48381" s="178"/>
      <c r="S48381" s="178"/>
    </row>
    <row r="48382" spans="18:19">
      <c r="R48382" s="178"/>
      <c r="S48382" s="178"/>
    </row>
    <row r="48383" spans="18:19">
      <c r="R48383" s="178"/>
      <c r="S48383" s="178"/>
    </row>
    <row r="48384" spans="18:19">
      <c r="R48384" s="178"/>
      <c r="S48384" s="178"/>
    </row>
    <row r="48385" spans="18:19">
      <c r="R48385" s="178"/>
      <c r="S48385" s="178"/>
    </row>
    <row r="48386" spans="18:19">
      <c r="R48386" s="178"/>
      <c r="S48386" s="178"/>
    </row>
    <row r="48387" spans="18:19">
      <c r="R48387" s="178"/>
      <c r="S48387" s="178"/>
    </row>
    <row r="48388" spans="18:19">
      <c r="R48388" s="178"/>
      <c r="S48388" s="178"/>
    </row>
    <row r="48389" spans="18:19">
      <c r="R48389" s="178"/>
      <c r="S48389" s="178"/>
    </row>
    <row r="48390" spans="18:19">
      <c r="R48390" s="178"/>
      <c r="S48390" s="178"/>
    </row>
    <row r="48391" spans="18:19">
      <c r="R48391" s="178"/>
      <c r="S48391" s="178"/>
    </row>
    <row r="48392" spans="18:19">
      <c r="R48392" s="178"/>
      <c r="S48392" s="178"/>
    </row>
    <row r="48393" spans="18:19">
      <c r="R48393" s="178"/>
      <c r="S48393" s="178"/>
    </row>
    <row r="48394" spans="18:19">
      <c r="R48394" s="178"/>
      <c r="S48394" s="178"/>
    </row>
    <row r="48395" spans="18:19">
      <c r="R48395" s="178"/>
      <c r="S48395" s="178"/>
    </row>
    <row r="48396" spans="18:19">
      <c r="R48396" s="178"/>
      <c r="S48396" s="178"/>
    </row>
    <row r="48397" spans="18:19">
      <c r="R48397" s="178"/>
      <c r="S48397" s="178"/>
    </row>
    <row r="48398" spans="18:19">
      <c r="R48398" s="178"/>
      <c r="S48398" s="178"/>
    </row>
    <row r="48399" spans="18:19">
      <c r="R48399" s="178"/>
      <c r="S48399" s="178"/>
    </row>
    <row r="48400" spans="18:19">
      <c r="R48400" s="178"/>
      <c r="S48400" s="178"/>
    </row>
    <row r="48401" spans="18:19">
      <c r="R48401" s="178"/>
      <c r="S48401" s="178"/>
    </row>
    <row r="48402" spans="18:19">
      <c r="R48402" s="178"/>
      <c r="S48402" s="178"/>
    </row>
    <row r="48403" spans="18:19">
      <c r="R48403" s="178"/>
      <c r="S48403" s="178"/>
    </row>
    <row r="48404" spans="18:19">
      <c r="R48404" s="178"/>
      <c r="S48404" s="178"/>
    </row>
    <row r="48405" spans="18:19">
      <c r="R48405" s="178"/>
      <c r="S48405" s="178"/>
    </row>
    <row r="48406" spans="18:19">
      <c r="R48406" s="178"/>
      <c r="S48406" s="178"/>
    </row>
    <row r="48407" spans="18:19">
      <c r="R48407" s="178"/>
      <c r="S48407" s="178"/>
    </row>
    <row r="48408" spans="18:19">
      <c r="R48408" s="178"/>
      <c r="S48408" s="178"/>
    </row>
    <row r="48409" spans="18:19">
      <c r="R48409" s="178"/>
      <c r="S48409" s="178"/>
    </row>
    <row r="48410" spans="18:19">
      <c r="R48410" s="178"/>
      <c r="S48410" s="178"/>
    </row>
    <row r="48411" spans="18:19">
      <c r="R48411" s="178"/>
      <c r="S48411" s="178"/>
    </row>
    <row r="48412" spans="18:19">
      <c r="R48412" s="178"/>
      <c r="S48412" s="178"/>
    </row>
    <row r="48413" spans="18:19">
      <c r="R48413" s="178"/>
      <c r="S48413" s="178"/>
    </row>
    <row r="48414" spans="18:19">
      <c r="R48414" s="178"/>
      <c r="S48414" s="178"/>
    </row>
    <row r="48415" spans="18:19">
      <c r="R48415" s="178"/>
      <c r="S48415" s="178"/>
    </row>
    <row r="48416" spans="18:19">
      <c r="R48416" s="178"/>
      <c r="S48416" s="178"/>
    </row>
    <row r="48417" spans="18:19">
      <c r="R48417" s="178"/>
      <c r="S48417" s="178"/>
    </row>
    <row r="48418" spans="18:19">
      <c r="R48418" s="178"/>
      <c r="S48418" s="178"/>
    </row>
    <row r="48419" spans="18:19">
      <c r="R48419" s="178"/>
      <c r="S48419" s="178"/>
    </row>
    <row r="48420" spans="18:19">
      <c r="R48420" s="178"/>
      <c r="S48420" s="178"/>
    </row>
    <row r="48421" spans="18:19">
      <c r="R48421" s="178"/>
      <c r="S48421" s="178"/>
    </row>
    <row r="48422" spans="18:19">
      <c r="R48422" s="178"/>
      <c r="S48422" s="178"/>
    </row>
    <row r="48423" spans="18:19">
      <c r="R48423" s="178"/>
      <c r="S48423" s="178"/>
    </row>
    <row r="48424" spans="18:19">
      <c r="R48424" s="178"/>
      <c r="S48424" s="178"/>
    </row>
    <row r="48425" spans="18:19">
      <c r="R48425" s="178"/>
      <c r="S48425" s="178"/>
    </row>
    <row r="48426" spans="18:19">
      <c r="R48426" s="178"/>
      <c r="S48426" s="178"/>
    </row>
    <row r="48427" spans="18:19">
      <c r="R48427" s="178"/>
      <c r="S48427" s="178"/>
    </row>
    <row r="48428" spans="18:19">
      <c r="R48428" s="178"/>
      <c r="S48428" s="178"/>
    </row>
    <row r="48429" spans="18:19">
      <c r="R48429" s="178"/>
      <c r="S48429" s="178"/>
    </row>
    <row r="48430" spans="18:19">
      <c r="R48430" s="178"/>
      <c r="S48430" s="178"/>
    </row>
    <row r="48431" spans="18:19">
      <c r="R48431" s="178"/>
      <c r="S48431" s="178"/>
    </row>
    <row r="48432" spans="18:19">
      <c r="R48432" s="178"/>
      <c r="S48432" s="178"/>
    </row>
    <row r="48433" spans="18:19">
      <c r="R48433" s="178"/>
      <c r="S48433" s="178"/>
    </row>
    <row r="48434" spans="18:19">
      <c r="R48434" s="178"/>
      <c r="S48434" s="178"/>
    </row>
    <row r="48435" spans="18:19">
      <c r="R48435" s="178"/>
      <c r="S48435" s="178"/>
    </row>
    <row r="48436" spans="18:19">
      <c r="R48436" s="178"/>
      <c r="S48436" s="178"/>
    </row>
    <row r="48437" spans="18:19">
      <c r="R48437" s="178"/>
      <c r="S48437" s="178"/>
    </row>
    <row r="48438" spans="18:19">
      <c r="R48438" s="178"/>
      <c r="S48438" s="178"/>
    </row>
    <row r="48439" spans="18:19">
      <c r="R48439" s="178"/>
      <c r="S48439" s="178"/>
    </row>
    <row r="48440" spans="18:19">
      <c r="R48440" s="178"/>
      <c r="S48440" s="178"/>
    </row>
    <row r="48441" spans="18:19">
      <c r="R48441" s="178"/>
      <c r="S48441" s="178"/>
    </row>
    <row r="48442" spans="18:19">
      <c r="R48442" s="178"/>
      <c r="S48442" s="178"/>
    </row>
    <row r="48443" spans="18:19">
      <c r="R48443" s="178"/>
      <c r="S48443" s="178"/>
    </row>
    <row r="48444" spans="18:19">
      <c r="R48444" s="178"/>
      <c r="S48444" s="178"/>
    </row>
    <row r="48445" spans="18:19">
      <c r="R48445" s="178"/>
      <c r="S48445" s="178"/>
    </row>
    <row r="48446" spans="18:19">
      <c r="R48446" s="178"/>
      <c r="S48446" s="178"/>
    </row>
    <row r="48447" spans="18:19">
      <c r="R48447" s="178"/>
      <c r="S48447" s="178"/>
    </row>
    <row r="48448" spans="18:19">
      <c r="R48448" s="178"/>
      <c r="S48448" s="178"/>
    </row>
    <row r="48449" spans="18:19">
      <c r="R48449" s="178"/>
      <c r="S48449" s="178"/>
    </row>
    <row r="48450" spans="18:19">
      <c r="R48450" s="178"/>
      <c r="S48450" s="178"/>
    </row>
    <row r="48451" spans="18:19">
      <c r="R48451" s="178"/>
      <c r="S48451" s="178"/>
    </row>
    <row r="48452" spans="18:19">
      <c r="R48452" s="178"/>
      <c r="S48452" s="178"/>
    </row>
    <row r="48453" spans="18:19">
      <c r="R48453" s="178"/>
      <c r="S48453" s="178"/>
    </row>
    <row r="48454" spans="18:19">
      <c r="R48454" s="178"/>
      <c r="S48454" s="178"/>
    </row>
    <row r="48455" spans="18:19">
      <c r="R48455" s="178"/>
      <c r="S48455" s="178"/>
    </row>
    <row r="48456" spans="18:19">
      <c r="R48456" s="178"/>
      <c r="S48456" s="178"/>
    </row>
    <row r="48457" spans="18:19">
      <c r="R48457" s="178"/>
      <c r="S48457" s="178"/>
    </row>
    <row r="48458" spans="18:19">
      <c r="R48458" s="178"/>
      <c r="S48458" s="178"/>
    </row>
    <row r="48459" spans="18:19">
      <c r="R48459" s="178"/>
      <c r="S48459" s="178"/>
    </row>
    <row r="48460" spans="18:19">
      <c r="R48460" s="178"/>
      <c r="S48460" s="178"/>
    </row>
    <row r="48461" spans="18:19">
      <c r="R48461" s="178"/>
      <c r="S48461" s="178"/>
    </row>
    <row r="48462" spans="18:19">
      <c r="R48462" s="178"/>
      <c r="S48462" s="178"/>
    </row>
    <row r="48463" spans="18:19">
      <c r="R48463" s="178"/>
      <c r="S48463" s="178"/>
    </row>
    <row r="48464" spans="18:19">
      <c r="R48464" s="178"/>
      <c r="S48464" s="178"/>
    </row>
    <row r="48465" spans="18:19">
      <c r="R48465" s="178"/>
      <c r="S48465" s="178"/>
    </row>
    <row r="48466" spans="18:19">
      <c r="R48466" s="178"/>
      <c r="S48466" s="178"/>
    </row>
    <row r="48467" spans="18:19">
      <c r="R48467" s="178"/>
      <c r="S48467" s="178"/>
    </row>
    <row r="48468" spans="18:19">
      <c r="R48468" s="178"/>
      <c r="S48468" s="178"/>
    </row>
    <row r="48469" spans="18:19">
      <c r="R48469" s="178"/>
      <c r="S48469" s="178"/>
    </row>
    <row r="48470" spans="18:19">
      <c r="R48470" s="178"/>
      <c r="S48470" s="178"/>
    </row>
    <row r="48471" spans="18:19">
      <c r="R48471" s="178"/>
      <c r="S48471" s="178"/>
    </row>
    <row r="48472" spans="18:19">
      <c r="R48472" s="178"/>
      <c r="S48472" s="178"/>
    </row>
    <row r="48473" spans="18:19">
      <c r="R48473" s="178"/>
      <c r="S48473" s="178"/>
    </row>
    <row r="48474" spans="18:19">
      <c r="R48474" s="178"/>
      <c r="S48474" s="178"/>
    </row>
    <row r="48475" spans="18:19">
      <c r="R48475" s="178"/>
      <c r="S48475" s="178"/>
    </row>
    <row r="48476" spans="18:19">
      <c r="R48476" s="178"/>
      <c r="S48476" s="178"/>
    </row>
    <row r="48477" spans="18:19">
      <c r="R48477" s="178"/>
      <c r="S48477" s="178"/>
    </row>
    <row r="48478" spans="18:19">
      <c r="R48478" s="178"/>
      <c r="S48478" s="178"/>
    </row>
    <row r="48479" spans="18:19">
      <c r="R48479" s="178"/>
      <c r="S48479" s="178"/>
    </row>
    <row r="48480" spans="18:19">
      <c r="R48480" s="178"/>
      <c r="S48480" s="178"/>
    </row>
    <row r="48481" spans="18:19">
      <c r="R48481" s="178"/>
      <c r="S48481" s="178"/>
    </row>
    <row r="48482" spans="18:19">
      <c r="R48482" s="178"/>
      <c r="S48482" s="178"/>
    </row>
    <row r="48483" spans="18:19">
      <c r="R48483" s="178"/>
      <c r="S48483" s="178"/>
    </row>
    <row r="48484" spans="18:19">
      <c r="R48484" s="178"/>
      <c r="S48484" s="178"/>
    </row>
    <row r="48485" spans="18:19">
      <c r="R48485" s="178"/>
      <c r="S48485" s="178"/>
    </row>
    <row r="48486" spans="18:19">
      <c r="R48486" s="178"/>
      <c r="S48486" s="178"/>
    </row>
    <row r="48487" spans="18:19">
      <c r="R48487" s="178"/>
      <c r="S48487" s="178"/>
    </row>
    <row r="48488" spans="18:19">
      <c r="R48488" s="178"/>
      <c r="S48488" s="178"/>
    </row>
    <row r="48489" spans="18:19">
      <c r="R48489" s="178"/>
      <c r="S48489" s="178"/>
    </row>
    <row r="48490" spans="18:19">
      <c r="R48490" s="178"/>
      <c r="S48490" s="178"/>
    </row>
    <row r="48491" spans="18:19">
      <c r="R48491" s="178"/>
      <c r="S48491" s="178"/>
    </row>
    <row r="48492" spans="18:19">
      <c r="R48492" s="178"/>
      <c r="S48492" s="178"/>
    </row>
    <row r="48493" spans="18:19">
      <c r="R48493" s="178"/>
      <c r="S48493" s="178"/>
    </row>
    <row r="48494" spans="18:19">
      <c r="R48494" s="178"/>
      <c r="S48494" s="178"/>
    </row>
    <row r="48495" spans="18:19">
      <c r="R48495" s="178"/>
      <c r="S48495" s="178"/>
    </row>
    <row r="48496" spans="18:19">
      <c r="R48496" s="178"/>
      <c r="S48496" s="178"/>
    </row>
    <row r="48497" spans="18:19">
      <c r="R48497" s="178"/>
      <c r="S48497" s="178"/>
    </row>
    <row r="48498" spans="18:19">
      <c r="R48498" s="178"/>
      <c r="S48498" s="178"/>
    </row>
    <row r="48499" spans="18:19">
      <c r="R48499" s="178"/>
      <c r="S48499" s="178"/>
    </row>
    <row r="48500" spans="18:19">
      <c r="R48500" s="178"/>
      <c r="S48500" s="178"/>
    </row>
    <row r="48501" spans="18:19">
      <c r="R48501" s="178"/>
      <c r="S48501" s="178"/>
    </row>
    <row r="48502" spans="18:19">
      <c r="R48502" s="178"/>
      <c r="S48502" s="178"/>
    </row>
    <row r="48503" spans="18:19">
      <c r="R48503" s="178"/>
      <c r="S48503" s="178"/>
    </row>
    <row r="48504" spans="18:19">
      <c r="R48504" s="178"/>
      <c r="S48504" s="178"/>
    </row>
    <row r="48505" spans="18:19">
      <c r="R48505" s="178"/>
      <c r="S48505" s="178"/>
    </row>
    <row r="48506" spans="18:19">
      <c r="R48506" s="178"/>
      <c r="S48506" s="178"/>
    </row>
    <row r="48507" spans="18:19">
      <c r="R48507" s="178"/>
      <c r="S48507" s="178"/>
    </row>
    <row r="48508" spans="18:19">
      <c r="R48508" s="178"/>
      <c r="S48508" s="178"/>
    </row>
    <row r="48509" spans="18:19">
      <c r="R48509" s="178"/>
      <c r="S48509" s="178"/>
    </row>
    <row r="48510" spans="18:19">
      <c r="R48510" s="178"/>
      <c r="S48510" s="178"/>
    </row>
    <row r="48511" spans="18:19">
      <c r="R48511" s="178"/>
      <c r="S48511" s="178"/>
    </row>
    <row r="48512" spans="18:19">
      <c r="R48512" s="178"/>
      <c r="S48512" s="178"/>
    </row>
    <row r="48513" spans="18:19">
      <c r="R48513" s="178"/>
      <c r="S48513" s="178"/>
    </row>
    <row r="48514" spans="18:19">
      <c r="R48514" s="178"/>
      <c r="S48514" s="178"/>
    </row>
    <row r="48515" spans="18:19">
      <c r="R48515" s="178"/>
      <c r="S48515" s="178"/>
    </row>
    <row r="48516" spans="18:19">
      <c r="R48516" s="178"/>
      <c r="S48516" s="178"/>
    </row>
    <row r="48517" spans="18:19">
      <c r="R48517" s="178"/>
      <c r="S48517" s="178"/>
    </row>
    <row r="48518" spans="18:19">
      <c r="R48518" s="178"/>
      <c r="S48518" s="178"/>
    </row>
    <row r="48519" spans="18:19">
      <c r="R48519" s="178"/>
      <c r="S48519" s="178"/>
    </row>
    <row r="48520" spans="18:19">
      <c r="R48520" s="178"/>
      <c r="S48520" s="178"/>
    </row>
    <row r="48521" spans="18:19">
      <c r="R48521" s="178"/>
      <c r="S48521" s="178"/>
    </row>
    <row r="48522" spans="18:19">
      <c r="R48522" s="178"/>
      <c r="S48522" s="178"/>
    </row>
    <row r="48523" spans="18:19">
      <c r="R48523" s="178"/>
      <c r="S48523" s="178"/>
    </row>
    <row r="48524" spans="18:19">
      <c r="R48524" s="178"/>
      <c r="S48524" s="178"/>
    </row>
    <row r="48525" spans="18:19">
      <c r="R48525" s="178"/>
      <c r="S48525" s="178"/>
    </row>
    <row r="48526" spans="18:19">
      <c r="R48526" s="178"/>
      <c r="S48526" s="178"/>
    </row>
    <row r="48527" spans="18:19">
      <c r="R48527" s="178"/>
      <c r="S48527" s="178"/>
    </row>
    <row r="48528" spans="18:19">
      <c r="R48528" s="178"/>
      <c r="S48528" s="178"/>
    </row>
    <row r="48529" spans="18:19">
      <c r="R48529" s="178"/>
      <c r="S48529" s="178"/>
    </row>
    <row r="48530" spans="18:19">
      <c r="R48530" s="178"/>
      <c r="S48530" s="178"/>
    </row>
    <row r="48531" spans="18:19">
      <c r="R48531" s="178"/>
      <c r="S48531" s="178"/>
    </row>
    <row r="48532" spans="18:19">
      <c r="R48532" s="178"/>
      <c r="S48532" s="178"/>
    </row>
    <row r="48533" spans="18:19">
      <c r="R48533" s="178"/>
      <c r="S48533" s="178"/>
    </row>
    <row r="48534" spans="18:19">
      <c r="R48534" s="178"/>
      <c r="S48534" s="178"/>
    </row>
    <row r="48535" spans="18:19">
      <c r="R48535" s="178"/>
      <c r="S48535" s="178"/>
    </row>
    <row r="48536" spans="18:19">
      <c r="R48536" s="178"/>
      <c r="S48536" s="178"/>
    </row>
    <row r="48537" spans="18:19">
      <c r="R48537" s="178"/>
      <c r="S48537" s="178"/>
    </row>
    <row r="48538" spans="18:19">
      <c r="R48538" s="178"/>
      <c r="S48538" s="178"/>
    </row>
    <row r="48539" spans="18:19">
      <c r="R48539" s="178"/>
      <c r="S48539" s="178"/>
    </row>
    <row r="48540" spans="18:19">
      <c r="R48540" s="178"/>
      <c r="S48540" s="178"/>
    </row>
    <row r="48541" spans="18:19">
      <c r="R48541" s="178"/>
      <c r="S48541" s="178"/>
    </row>
    <row r="48542" spans="18:19">
      <c r="R48542" s="178"/>
      <c r="S48542" s="178"/>
    </row>
    <row r="48543" spans="18:19">
      <c r="R48543" s="178"/>
      <c r="S48543" s="178"/>
    </row>
    <row r="48544" spans="18:19">
      <c r="R48544" s="178"/>
      <c r="S48544" s="178"/>
    </row>
    <row r="48545" spans="18:19">
      <c r="R48545" s="178"/>
      <c r="S48545" s="178"/>
    </row>
    <row r="48546" spans="18:19">
      <c r="R48546" s="178"/>
      <c r="S48546" s="178"/>
    </row>
    <row r="48547" spans="18:19">
      <c r="R48547" s="178"/>
      <c r="S48547" s="178"/>
    </row>
    <row r="48548" spans="18:19">
      <c r="R48548" s="178"/>
      <c r="S48548" s="178"/>
    </row>
    <row r="48549" spans="18:19">
      <c r="R48549" s="178"/>
      <c r="S48549" s="178"/>
    </row>
    <row r="48550" spans="18:19">
      <c r="R48550" s="178"/>
      <c r="S48550" s="178"/>
    </row>
    <row r="48551" spans="18:19">
      <c r="R48551" s="178"/>
      <c r="S48551" s="178"/>
    </row>
    <row r="48552" spans="18:19">
      <c r="R48552" s="178"/>
      <c r="S48552" s="178"/>
    </row>
    <row r="48553" spans="18:19">
      <c r="R48553" s="178"/>
      <c r="S48553" s="178"/>
    </row>
    <row r="48554" spans="18:19">
      <c r="R48554" s="178"/>
      <c r="S48554" s="178"/>
    </row>
    <row r="48555" spans="18:19">
      <c r="R48555" s="178"/>
      <c r="S48555" s="178"/>
    </row>
    <row r="48556" spans="18:19">
      <c r="R48556" s="178"/>
      <c r="S48556" s="178"/>
    </row>
    <row r="48557" spans="18:19">
      <c r="R48557" s="178"/>
      <c r="S48557" s="178"/>
    </row>
    <row r="48558" spans="18:19">
      <c r="R48558" s="178"/>
      <c r="S48558" s="178"/>
    </row>
    <row r="48559" spans="18:19">
      <c r="R48559" s="178"/>
      <c r="S48559" s="178"/>
    </row>
    <row r="48560" spans="18:19">
      <c r="R48560" s="178"/>
      <c r="S48560" s="178"/>
    </row>
    <row r="48561" spans="18:19">
      <c r="R48561" s="178"/>
      <c r="S48561" s="178"/>
    </row>
    <row r="48562" spans="18:19">
      <c r="R48562" s="178"/>
      <c r="S48562" s="178"/>
    </row>
    <row r="48563" spans="18:19">
      <c r="R48563" s="178"/>
      <c r="S48563" s="178"/>
    </row>
    <row r="48564" spans="18:19">
      <c r="R48564" s="178"/>
      <c r="S48564" s="178"/>
    </row>
    <row r="48565" spans="18:19">
      <c r="R48565" s="178"/>
      <c r="S48565" s="178"/>
    </row>
    <row r="48566" spans="18:19">
      <c r="R48566" s="178"/>
      <c r="S48566" s="178"/>
    </row>
    <row r="48567" spans="18:19">
      <c r="R48567" s="178"/>
      <c r="S48567" s="178"/>
    </row>
    <row r="48568" spans="18:19">
      <c r="R48568" s="178"/>
      <c r="S48568" s="178"/>
    </row>
    <row r="48569" spans="18:19">
      <c r="R48569" s="178"/>
      <c r="S48569" s="178"/>
    </row>
    <row r="48570" spans="18:19">
      <c r="R48570" s="178"/>
      <c r="S48570" s="178"/>
    </row>
    <row r="48571" spans="18:19">
      <c r="R48571" s="178"/>
      <c r="S48571" s="178"/>
    </row>
    <row r="48572" spans="18:19">
      <c r="R48572" s="178"/>
      <c r="S48572" s="178"/>
    </row>
    <row r="48573" spans="18:19">
      <c r="R48573" s="178"/>
      <c r="S48573" s="178"/>
    </row>
    <row r="48574" spans="18:19">
      <c r="R48574" s="178"/>
      <c r="S48574" s="178"/>
    </row>
    <row r="48575" spans="18:19">
      <c r="R48575" s="178"/>
      <c r="S48575" s="178"/>
    </row>
    <row r="48576" spans="18:19">
      <c r="R48576" s="178"/>
      <c r="S48576" s="178"/>
    </row>
    <row r="48577" spans="18:19">
      <c r="R48577" s="178"/>
      <c r="S48577" s="178"/>
    </row>
    <row r="48578" spans="18:19">
      <c r="R48578" s="178"/>
      <c r="S48578" s="178"/>
    </row>
    <row r="48579" spans="18:19">
      <c r="R48579" s="178"/>
      <c r="S48579" s="178"/>
    </row>
    <row r="48580" spans="18:19">
      <c r="R48580" s="178"/>
      <c r="S48580" s="178"/>
    </row>
    <row r="48581" spans="18:19">
      <c r="R48581" s="178"/>
      <c r="S48581" s="178"/>
    </row>
    <row r="48582" spans="18:19">
      <c r="R48582" s="178"/>
      <c r="S48582" s="178"/>
    </row>
    <row r="48583" spans="18:19">
      <c r="R48583" s="178"/>
      <c r="S48583" s="178"/>
    </row>
    <row r="48584" spans="18:19">
      <c r="R48584" s="178"/>
      <c r="S48584" s="178"/>
    </row>
    <row r="48585" spans="18:19">
      <c r="R48585" s="178"/>
      <c r="S48585" s="178"/>
    </row>
    <row r="48586" spans="18:19">
      <c r="R48586" s="178"/>
      <c r="S48586" s="178"/>
    </row>
    <row r="48587" spans="18:19">
      <c r="R48587" s="178"/>
      <c r="S48587" s="178"/>
    </row>
    <row r="48588" spans="18:19">
      <c r="R48588" s="178"/>
      <c r="S48588" s="178"/>
    </row>
    <row r="48589" spans="18:19">
      <c r="R48589" s="178"/>
      <c r="S48589" s="178"/>
    </row>
    <row r="48590" spans="18:19">
      <c r="R48590" s="178"/>
      <c r="S48590" s="178"/>
    </row>
    <row r="48591" spans="18:19">
      <c r="R48591" s="178"/>
      <c r="S48591" s="178"/>
    </row>
    <row r="48592" spans="18:19">
      <c r="R48592" s="178"/>
      <c r="S48592" s="178"/>
    </row>
    <row r="48593" spans="18:19">
      <c r="R48593" s="178"/>
      <c r="S48593" s="178"/>
    </row>
    <row r="48594" spans="18:19">
      <c r="R48594" s="178"/>
      <c r="S48594" s="178"/>
    </row>
    <row r="48595" spans="18:19">
      <c r="R48595" s="178"/>
      <c r="S48595" s="178"/>
    </row>
    <row r="48596" spans="18:19">
      <c r="R48596" s="178"/>
      <c r="S48596" s="178"/>
    </row>
    <row r="48597" spans="18:19">
      <c r="R48597" s="178"/>
      <c r="S48597" s="178"/>
    </row>
    <row r="48598" spans="18:19">
      <c r="R48598" s="178"/>
      <c r="S48598" s="178"/>
    </row>
    <row r="48599" spans="18:19">
      <c r="R48599" s="178"/>
      <c r="S48599" s="178"/>
    </row>
    <row r="48600" spans="18:19">
      <c r="R48600" s="178"/>
      <c r="S48600" s="178"/>
    </row>
    <row r="48601" spans="18:19">
      <c r="R48601" s="178"/>
      <c r="S48601" s="178"/>
    </row>
    <row r="48602" spans="18:19">
      <c r="R48602" s="178"/>
      <c r="S48602" s="178"/>
    </row>
    <row r="48603" spans="18:19">
      <c r="R48603" s="178"/>
      <c r="S48603" s="178"/>
    </row>
    <row r="48604" spans="18:19">
      <c r="R48604" s="178"/>
      <c r="S48604" s="178"/>
    </row>
    <row r="48605" spans="18:19">
      <c r="R48605" s="178"/>
      <c r="S48605" s="178"/>
    </row>
    <row r="48606" spans="18:19">
      <c r="R48606" s="178"/>
      <c r="S48606" s="178"/>
    </row>
    <row r="48607" spans="18:19">
      <c r="R48607" s="178"/>
      <c r="S48607" s="178"/>
    </row>
    <row r="48608" spans="18:19">
      <c r="R48608" s="178"/>
      <c r="S48608" s="178"/>
    </row>
    <row r="48609" spans="18:19">
      <c r="R48609" s="178"/>
      <c r="S48609" s="178"/>
    </row>
    <row r="48610" spans="18:19">
      <c r="R48610" s="178"/>
      <c r="S48610" s="178"/>
    </row>
    <row r="48611" spans="18:19">
      <c r="R48611" s="178"/>
      <c r="S48611" s="178"/>
    </row>
    <row r="48612" spans="18:19">
      <c r="R48612" s="178"/>
      <c r="S48612" s="178"/>
    </row>
    <row r="48613" spans="18:19">
      <c r="R48613" s="178"/>
      <c r="S48613" s="178"/>
    </row>
    <row r="48614" spans="18:19">
      <c r="R48614" s="178"/>
      <c r="S48614" s="178"/>
    </row>
    <row r="48615" spans="18:19">
      <c r="R48615" s="178"/>
      <c r="S48615" s="178"/>
    </row>
    <row r="48616" spans="18:19">
      <c r="R48616" s="178"/>
      <c r="S48616" s="178"/>
    </row>
    <row r="48617" spans="18:19">
      <c r="R48617" s="178"/>
      <c r="S48617" s="178"/>
    </row>
    <row r="48618" spans="18:19">
      <c r="R48618" s="178"/>
      <c r="S48618" s="178"/>
    </row>
    <row r="48619" spans="18:19">
      <c r="R48619" s="178"/>
      <c r="S48619" s="178"/>
    </row>
    <row r="48620" spans="18:19">
      <c r="R48620" s="178"/>
      <c r="S48620" s="178"/>
    </row>
    <row r="48621" spans="18:19">
      <c r="R48621" s="178"/>
      <c r="S48621" s="178"/>
    </row>
    <row r="48622" spans="18:19">
      <c r="R48622" s="178"/>
      <c r="S48622" s="178"/>
    </row>
    <row r="48623" spans="18:19">
      <c r="R48623" s="178"/>
      <c r="S48623" s="178"/>
    </row>
    <row r="48624" spans="18:19">
      <c r="R48624" s="178"/>
      <c r="S48624" s="178"/>
    </row>
    <row r="48625" spans="18:19">
      <c r="R48625" s="178"/>
      <c r="S48625" s="178"/>
    </row>
    <row r="48626" spans="18:19">
      <c r="R48626" s="178"/>
      <c r="S48626" s="178"/>
    </row>
    <row r="48627" spans="18:19">
      <c r="R48627" s="178"/>
      <c r="S48627" s="178"/>
    </row>
    <row r="48628" spans="18:19">
      <c r="R48628" s="178"/>
      <c r="S48628" s="178"/>
    </row>
    <row r="48629" spans="18:19">
      <c r="R48629" s="178"/>
      <c r="S48629" s="178"/>
    </row>
    <row r="48630" spans="18:19">
      <c r="R48630" s="178"/>
      <c r="S48630" s="178"/>
    </row>
    <row r="48631" spans="18:19">
      <c r="R48631" s="178"/>
      <c r="S48631" s="178"/>
    </row>
    <row r="48632" spans="18:19">
      <c r="R48632" s="178"/>
      <c r="S48632" s="178"/>
    </row>
    <row r="48633" spans="18:19">
      <c r="R48633" s="178"/>
      <c r="S48633" s="178"/>
    </row>
    <row r="48634" spans="18:19">
      <c r="R48634" s="178"/>
      <c r="S48634" s="178"/>
    </row>
    <row r="48635" spans="18:19">
      <c r="R48635" s="178"/>
      <c r="S48635" s="178"/>
    </row>
    <row r="48636" spans="18:19">
      <c r="R48636" s="178"/>
      <c r="S48636" s="178"/>
    </row>
    <row r="48637" spans="18:19">
      <c r="R48637" s="178"/>
      <c r="S48637" s="178"/>
    </row>
    <row r="48638" spans="18:19">
      <c r="R48638" s="178"/>
      <c r="S48638" s="178"/>
    </row>
    <row r="48639" spans="18:19">
      <c r="R48639" s="178"/>
      <c r="S48639" s="178"/>
    </row>
    <row r="48640" spans="18:19">
      <c r="R48640" s="178"/>
      <c r="S48640" s="178"/>
    </row>
    <row r="48641" spans="18:19">
      <c r="R48641" s="178"/>
      <c r="S48641" s="178"/>
    </row>
    <row r="48642" spans="18:19">
      <c r="R48642" s="178"/>
      <c r="S48642" s="178"/>
    </row>
    <row r="48643" spans="18:19">
      <c r="R48643" s="178"/>
      <c r="S48643" s="178"/>
    </row>
    <row r="48644" spans="18:19">
      <c r="R48644" s="178"/>
      <c r="S48644" s="178"/>
    </row>
    <row r="48645" spans="18:19">
      <c r="R48645" s="178"/>
      <c r="S48645" s="178"/>
    </row>
    <row r="48646" spans="18:19">
      <c r="R48646" s="178"/>
      <c r="S48646" s="178"/>
    </row>
    <row r="48647" spans="18:19">
      <c r="R48647" s="178"/>
      <c r="S48647" s="178"/>
    </row>
    <row r="48648" spans="18:19">
      <c r="R48648" s="178"/>
      <c r="S48648" s="178"/>
    </row>
    <row r="48649" spans="18:19">
      <c r="R48649" s="178"/>
      <c r="S48649" s="178"/>
    </row>
    <row r="48650" spans="18:19">
      <c r="R48650" s="178"/>
      <c r="S48650" s="178"/>
    </row>
    <row r="48651" spans="18:19">
      <c r="R48651" s="178"/>
      <c r="S48651" s="178"/>
    </row>
    <row r="48652" spans="18:19">
      <c r="R48652" s="178"/>
      <c r="S48652" s="178"/>
    </row>
    <row r="48653" spans="18:19">
      <c r="R48653" s="178"/>
      <c r="S48653" s="178"/>
    </row>
    <row r="48654" spans="18:19">
      <c r="R48654" s="178"/>
      <c r="S48654" s="178"/>
    </row>
    <row r="48655" spans="18:19">
      <c r="R48655" s="178"/>
      <c r="S48655" s="178"/>
    </row>
    <row r="48656" spans="18:19">
      <c r="R48656" s="178"/>
      <c r="S48656" s="178"/>
    </row>
    <row r="48657" spans="18:19">
      <c r="R48657" s="178"/>
      <c r="S48657" s="178"/>
    </row>
    <row r="48658" spans="18:19">
      <c r="R48658" s="178"/>
      <c r="S48658" s="178"/>
    </row>
    <row r="48659" spans="18:19">
      <c r="R48659" s="178"/>
      <c r="S48659" s="178"/>
    </row>
    <row r="48660" spans="18:19">
      <c r="R48660" s="178"/>
      <c r="S48660" s="178"/>
    </row>
    <row r="48661" spans="18:19">
      <c r="R48661" s="178"/>
      <c r="S48661" s="178"/>
    </row>
    <row r="48662" spans="18:19">
      <c r="R48662" s="178"/>
      <c r="S48662" s="178"/>
    </row>
    <row r="48663" spans="18:19">
      <c r="R48663" s="178"/>
      <c r="S48663" s="178"/>
    </row>
    <row r="48664" spans="18:19">
      <c r="R48664" s="178"/>
      <c r="S48664" s="178"/>
    </row>
    <row r="48665" spans="18:19">
      <c r="R48665" s="178"/>
      <c r="S48665" s="178"/>
    </row>
    <row r="48666" spans="18:19">
      <c r="R48666" s="178"/>
      <c r="S48666" s="178"/>
    </row>
    <row r="48667" spans="18:19">
      <c r="R48667" s="178"/>
      <c r="S48667" s="178"/>
    </row>
    <row r="48668" spans="18:19">
      <c r="R48668" s="178"/>
      <c r="S48668" s="178"/>
    </row>
    <row r="48669" spans="18:19">
      <c r="R48669" s="178"/>
      <c r="S48669" s="178"/>
    </row>
    <row r="48670" spans="18:19">
      <c r="R48670" s="178"/>
      <c r="S48670" s="178"/>
    </row>
    <row r="48671" spans="18:19">
      <c r="R48671" s="178"/>
      <c r="S48671" s="178"/>
    </row>
    <row r="48672" spans="18:19">
      <c r="R48672" s="178"/>
      <c r="S48672" s="178"/>
    </row>
    <row r="48673" spans="18:19">
      <c r="R48673" s="178"/>
      <c r="S48673" s="178"/>
    </row>
    <row r="48674" spans="18:19">
      <c r="R48674" s="178"/>
      <c r="S48674" s="178"/>
    </row>
    <row r="48675" spans="18:19">
      <c r="R48675" s="178"/>
      <c r="S48675" s="178"/>
    </row>
    <row r="48676" spans="18:19">
      <c r="R48676" s="178"/>
      <c r="S48676" s="178"/>
    </row>
    <row r="48677" spans="18:19">
      <c r="R48677" s="178"/>
      <c r="S48677" s="178"/>
    </row>
    <row r="48678" spans="18:19">
      <c r="R48678" s="178"/>
      <c r="S48678" s="178"/>
    </row>
    <row r="48679" spans="18:19">
      <c r="R48679" s="178"/>
      <c r="S48679" s="178"/>
    </row>
    <row r="48680" spans="18:19">
      <c r="R48680" s="178"/>
      <c r="S48680" s="178"/>
    </row>
    <row r="48681" spans="18:19">
      <c r="R48681" s="178"/>
      <c r="S48681" s="178"/>
    </row>
    <row r="48682" spans="18:19">
      <c r="R48682" s="178"/>
      <c r="S48682" s="178"/>
    </row>
    <row r="48683" spans="18:19">
      <c r="R48683" s="178"/>
      <c r="S48683" s="178"/>
    </row>
    <row r="48684" spans="18:19">
      <c r="R48684" s="178"/>
      <c r="S48684" s="178"/>
    </row>
    <row r="48685" spans="18:19">
      <c r="R48685" s="178"/>
      <c r="S48685" s="178"/>
    </row>
    <row r="48686" spans="18:19">
      <c r="R48686" s="178"/>
      <c r="S48686" s="178"/>
    </row>
    <row r="48687" spans="18:19">
      <c r="R48687" s="178"/>
      <c r="S48687" s="178"/>
    </row>
    <row r="48688" spans="18:19">
      <c r="R48688" s="178"/>
      <c r="S48688" s="178"/>
    </row>
    <row r="48689" spans="18:19">
      <c r="R48689" s="178"/>
      <c r="S48689" s="178"/>
    </row>
    <row r="48690" spans="18:19">
      <c r="R48690" s="178"/>
      <c r="S48690" s="178"/>
    </row>
    <row r="48691" spans="18:19">
      <c r="R48691" s="178"/>
      <c r="S48691" s="178"/>
    </row>
    <row r="48692" spans="18:19">
      <c r="R48692" s="178"/>
      <c r="S48692" s="178"/>
    </row>
    <row r="48693" spans="18:19">
      <c r="R48693" s="178"/>
      <c r="S48693" s="178"/>
    </row>
    <row r="48694" spans="18:19">
      <c r="R48694" s="178"/>
      <c r="S48694" s="178"/>
    </row>
    <row r="48695" spans="18:19">
      <c r="R48695" s="178"/>
      <c r="S48695" s="178"/>
    </row>
    <row r="48696" spans="18:19">
      <c r="R48696" s="178"/>
      <c r="S48696" s="178"/>
    </row>
    <row r="48697" spans="18:19">
      <c r="R48697" s="178"/>
      <c r="S48697" s="178"/>
    </row>
    <row r="48698" spans="18:19">
      <c r="R48698" s="178"/>
      <c r="S48698" s="178"/>
    </row>
    <row r="48699" spans="18:19">
      <c r="R48699" s="178"/>
      <c r="S48699" s="178"/>
    </row>
    <row r="48700" spans="18:19">
      <c r="R48700" s="178"/>
      <c r="S48700" s="178"/>
    </row>
    <row r="48701" spans="18:19">
      <c r="R48701" s="178"/>
      <c r="S48701" s="178"/>
    </row>
    <row r="48702" spans="18:19">
      <c r="R48702" s="178"/>
      <c r="S48702" s="178"/>
    </row>
    <row r="48703" spans="18:19">
      <c r="R48703" s="178"/>
      <c r="S48703" s="178"/>
    </row>
    <row r="48704" spans="18:19">
      <c r="R48704" s="178"/>
      <c r="S48704" s="178"/>
    </row>
    <row r="48705" spans="18:19">
      <c r="R48705" s="178"/>
      <c r="S48705" s="178"/>
    </row>
    <row r="48706" spans="18:19">
      <c r="R48706" s="178"/>
      <c r="S48706" s="178"/>
    </row>
    <row r="48707" spans="18:19">
      <c r="R48707" s="178"/>
      <c r="S48707" s="178"/>
    </row>
    <row r="48708" spans="18:19">
      <c r="R48708" s="178"/>
      <c r="S48708" s="178"/>
    </row>
    <row r="48709" spans="18:19">
      <c r="R48709" s="178"/>
      <c r="S48709" s="178"/>
    </row>
    <row r="48710" spans="18:19">
      <c r="R48710" s="178"/>
      <c r="S48710" s="178"/>
    </row>
    <row r="48711" spans="18:19">
      <c r="R48711" s="178"/>
      <c r="S48711" s="178"/>
    </row>
    <row r="48712" spans="18:19">
      <c r="R48712" s="178"/>
      <c r="S48712" s="178"/>
    </row>
    <row r="48713" spans="18:19">
      <c r="R48713" s="178"/>
      <c r="S48713" s="178"/>
    </row>
    <row r="48714" spans="18:19">
      <c r="R48714" s="178"/>
      <c r="S48714" s="178"/>
    </row>
    <row r="48715" spans="18:19">
      <c r="R48715" s="178"/>
      <c r="S48715" s="178"/>
    </row>
    <row r="48716" spans="18:19">
      <c r="R48716" s="178"/>
      <c r="S48716" s="178"/>
    </row>
    <row r="48717" spans="18:19">
      <c r="R48717" s="178"/>
      <c r="S48717" s="178"/>
    </row>
    <row r="48718" spans="18:19">
      <c r="R48718" s="178"/>
      <c r="S48718" s="178"/>
    </row>
    <row r="48719" spans="18:19">
      <c r="R48719" s="178"/>
      <c r="S48719" s="178"/>
    </row>
    <row r="48720" spans="18:19">
      <c r="R48720" s="178"/>
      <c r="S48720" s="178"/>
    </row>
    <row r="48721" spans="18:19">
      <c r="R48721" s="178"/>
      <c r="S48721" s="178"/>
    </row>
    <row r="48722" spans="18:19">
      <c r="R48722" s="178"/>
      <c r="S48722" s="178"/>
    </row>
    <row r="48723" spans="18:19">
      <c r="R48723" s="178"/>
      <c r="S48723" s="178"/>
    </row>
    <row r="48724" spans="18:19">
      <c r="R48724" s="178"/>
      <c r="S48724" s="178"/>
    </row>
    <row r="48725" spans="18:19">
      <c r="R48725" s="178"/>
      <c r="S48725" s="178"/>
    </row>
    <row r="48726" spans="18:19">
      <c r="R48726" s="178"/>
      <c r="S48726" s="178"/>
    </row>
    <row r="48727" spans="18:19">
      <c r="R48727" s="178"/>
      <c r="S48727" s="178"/>
    </row>
    <row r="48728" spans="18:19">
      <c r="R48728" s="178"/>
      <c r="S48728" s="178"/>
    </row>
    <row r="48729" spans="18:19">
      <c r="R48729" s="178"/>
      <c r="S48729" s="178"/>
    </row>
    <row r="48730" spans="18:19">
      <c r="R48730" s="178"/>
      <c r="S48730" s="178"/>
    </row>
    <row r="48731" spans="18:19">
      <c r="R48731" s="178"/>
      <c r="S48731" s="178"/>
    </row>
    <row r="48732" spans="18:19">
      <c r="R48732" s="178"/>
      <c r="S48732" s="178"/>
    </row>
    <row r="48733" spans="18:19">
      <c r="R48733" s="178"/>
      <c r="S48733" s="178"/>
    </row>
    <row r="48734" spans="18:19">
      <c r="R48734" s="178"/>
      <c r="S48734" s="178"/>
    </row>
    <row r="48735" spans="18:19">
      <c r="R48735" s="178"/>
      <c r="S48735" s="178"/>
    </row>
    <row r="48736" spans="18:19">
      <c r="R48736" s="178"/>
      <c r="S48736" s="178"/>
    </row>
    <row r="48737" spans="18:19">
      <c r="R48737" s="178"/>
      <c r="S48737" s="178"/>
    </row>
    <row r="48738" spans="18:19">
      <c r="R48738" s="178"/>
      <c r="S48738" s="178"/>
    </row>
    <row r="48739" spans="18:19">
      <c r="R48739" s="178"/>
      <c r="S48739" s="178"/>
    </row>
    <row r="48740" spans="18:19">
      <c r="R48740" s="178"/>
      <c r="S48740" s="178"/>
    </row>
    <row r="48741" spans="18:19">
      <c r="R48741" s="178"/>
      <c r="S48741" s="178"/>
    </row>
    <row r="48742" spans="18:19">
      <c r="R48742" s="178"/>
      <c r="S48742" s="178"/>
    </row>
    <row r="48743" spans="18:19">
      <c r="R48743" s="178"/>
      <c r="S48743" s="178"/>
    </row>
    <row r="48744" spans="18:19">
      <c r="R48744" s="178"/>
      <c r="S48744" s="178"/>
    </row>
    <row r="48745" spans="18:19">
      <c r="R48745" s="178"/>
      <c r="S48745" s="178"/>
    </row>
    <row r="48746" spans="18:19">
      <c r="R48746" s="178"/>
      <c r="S48746" s="178"/>
    </row>
    <row r="48747" spans="18:19">
      <c r="R48747" s="178"/>
      <c r="S48747" s="178"/>
    </row>
    <row r="48748" spans="18:19">
      <c r="R48748" s="178"/>
      <c r="S48748" s="178"/>
    </row>
    <row r="48749" spans="18:19">
      <c r="R48749" s="178"/>
      <c r="S48749" s="178"/>
    </row>
    <row r="48750" spans="18:19">
      <c r="R48750" s="178"/>
      <c r="S48750" s="178"/>
    </row>
    <row r="48751" spans="18:19">
      <c r="R48751" s="178"/>
      <c r="S48751" s="178"/>
    </row>
    <row r="48752" spans="18:19">
      <c r="R48752" s="178"/>
      <c r="S48752" s="178"/>
    </row>
    <row r="48753" spans="18:19">
      <c r="R48753" s="178"/>
      <c r="S48753" s="178"/>
    </row>
    <row r="48754" spans="18:19">
      <c r="R48754" s="178"/>
      <c r="S48754" s="178"/>
    </row>
    <row r="48755" spans="18:19">
      <c r="R48755" s="178"/>
      <c r="S48755" s="178"/>
    </row>
    <row r="48756" spans="18:19">
      <c r="R48756" s="178"/>
      <c r="S48756" s="178"/>
    </row>
    <row r="48757" spans="18:19">
      <c r="R48757" s="178"/>
      <c r="S48757" s="178"/>
    </row>
    <row r="48758" spans="18:19">
      <c r="R48758" s="178"/>
      <c r="S48758" s="178"/>
    </row>
    <row r="48759" spans="18:19">
      <c r="R48759" s="178"/>
      <c r="S48759" s="178"/>
    </row>
    <row r="48760" spans="18:19">
      <c r="R48760" s="178"/>
      <c r="S48760" s="178"/>
    </row>
    <row r="48761" spans="18:19">
      <c r="R48761" s="178"/>
      <c r="S48761" s="178"/>
    </row>
    <row r="48762" spans="18:19">
      <c r="R48762" s="178"/>
      <c r="S48762" s="178"/>
    </row>
    <row r="48763" spans="18:19">
      <c r="R48763" s="178"/>
      <c r="S48763" s="178"/>
    </row>
    <row r="48764" spans="18:19">
      <c r="R48764" s="178"/>
      <c r="S48764" s="178"/>
    </row>
    <row r="48765" spans="18:19">
      <c r="R48765" s="178"/>
      <c r="S48765" s="178"/>
    </row>
    <row r="48766" spans="18:19">
      <c r="R48766" s="178"/>
      <c r="S48766" s="178"/>
    </row>
    <row r="48767" spans="18:19">
      <c r="R48767" s="178"/>
      <c r="S48767" s="178"/>
    </row>
    <row r="48768" spans="18:19">
      <c r="R48768" s="178"/>
      <c r="S48768" s="178"/>
    </row>
    <row r="48769" spans="18:19">
      <c r="R48769" s="178"/>
      <c r="S48769" s="178"/>
    </row>
    <row r="48770" spans="18:19">
      <c r="R48770" s="178"/>
      <c r="S48770" s="178"/>
    </row>
    <row r="48771" spans="18:19">
      <c r="R48771" s="178"/>
      <c r="S48771" s="178"/>
    </row>
    <row r="48772" spans="18:19">
      <c r="R48772" s="178"/>
      <c r="S48772" s="178"/>
    </row>
    <row r="48773" spans="18:19">
      <c r="R48773" s="178"/>
      <c r="S48773" s="178"/>
    </row>
    <row r="48774" spans="18:19">
      <c r="R48774" s="178"/>
      <c r="S48774" s="178"/>
    </row>
    <row r="48775" spans="18:19">
      <c r="R48775" s="178"/>
      <c r="S48775" s="178"/>
    </row>
    <row r="48776" spans="18:19">
      <c r="R48776" s="178"/>
      <c r="S48776" s="178"/>
    </row>
    <row r="48777" spans="18:19">
      <c r="R48777" s="178"/>
      <c r="S48777" s="178"/>
    </row>
    <row r="48778" spans="18:19">
      <c r="R48778" s="178"/>
      <c r="S48778" s="178"/>
    </row>
    <row r="48779" spans="18:19">
      <c r="R48779" s="178"/>
      <c r="S48779" s="178"/>
    </row>
    <row r="48780" spans="18:19">
      <c r="R48780" s="178"/>
      <c r="S48780" s="178"/>
    </row>
    <row r="48781" spans="18:19">
      <c r="R48781" s="178"/>
      <c r="S48781" s="178"/>
    </row>
    <row r="48782" spans="18:19">
      <c r="R48782" s="178"/>
      <c r="S48782" s="178"/>
    </row>
    <row r="48783" spans="18:19">
      <c r="R48783" s="178"/>
      <c r="S48783" s="178"/>
    </row>
    <row r="48784" spans="18:19">
      <c r="R48784" s="178"/>
      <c r="S48784" s="178"/>
    </row>
    <row r="48785" spans="18:19">
      <c r="R48785" s="178"/>
      <c r="S48785" s="178"/>
    </row>
    <row r="48786" spans="18:19">
      <c r="R48786" s="178"/>
      <c r="S48786" s="178"/>
    </row>
    <row r="48787" spans="18:19">
      <c r="R48787" s="178"/>
      <c r="S48787" s="178"/>
    </row>
    <row r="48788" spans="18:19">
      <c r="R48788" s="178"/>
      <c r="S48788" s="178"/>
    </row>
    <row r="48789" spans="18:19">
      <c r="R48789" s="178"/>
      <c r="S48789" s="178"/>
    </row>
    <row r="48790" spans="18:19">
      <c r="R48790" s="178"/>
      <c r="S48790" s="178"/>
    </row>
    <row r="48791" spans="18:19">
      <c r="R48791" s="178"/>
      <c r="S48791" s="178"/>
    </row>
    <row r="48792" spans="18:19">
      <c r="R48792" s="178"/>
      <c r="S48792" s="178"/>
    </row>
    <row r="48793" spans="18:19">
      <c r="R48793" s="178"/>
      <c r="S48793" s="178"/>
    </row>
    <row r="48794" spans="18:19">
      <c r="R48794" s="178"/>
      <c r="S48794" s="178"/>
    </row>
    <row r="48795" spans="18:19">
      <c r="R48795" s="178"/>
      <c r="S48795" s="178"/>
    </row>
    <row r="48796" spans="18:19">
      <c r="R48796" s="178"/>
      <c r="S48796" s="178"/>
    </row>
    <row r="48797" spans="18:19">
      <c r="R48797" s="178"/>
      <c r="S48797" s="178"/>
    </row>
    <row r="48798" spans="18:19">
      <c r="R48798" s="178"/>
      <c r="S48798" s="178"/>
    </row>
    <row r="48799" spans="18:19">
      <c r="R48799" s="178"/>
      <c r="S48799" s="178"/>
    </row>
    <row r="48800" spans="18:19">
      <c r="R48800" s="178"/>
      <c r="S48800" s="178"/>
    </row>
    <row r="48801" spans="18:19">
      <c r="R48801" s="178"/>
      <c r="S48801" s="178"/>
    </row>
    <row r="48802" spans="18:19">
      <c r="R48802" s="178"/>
      <c r="S48802" s="178"/>
    </row>
    <row r="48803" spans="18:19">
      <c r="R48803" s="178"/>
      <c r="S48803" s="178"/>
    </row>
    <row r="48804" spans="18:19">
      <c r="R48804" s="178"/>
      <c r="S48804" s="178"/>
    </row>
    <row r="48805" spans="18:19">
      <c r="R48805" s="178"/>
      <c r="S48805" s="178"/>
    </row>
    <row r="48806" spans="18:19">
      <c r="R48806" s="178"/>
      <c r="S48806" s="178"/>
    </row>
    <row r="48807" spans="18:19">
      <c r="R48807" s="178"/>
      <c r="S48807" s="178"/>
    </row>
    <row r="48808" spans="18:19">
      <c r="R48808" s="178"/>
      <c r="S48808" s="178"/>
    </row>
    <row r="48809" spans="18:19">
      <c r="R48809" s="178"/>
      <c r="S48809" s="178"/>
    </row>
    <row r="48810" spans="18:19">
      <c r="R48810" s="178"/>
      <c r="S48810" s="178"/>
    </row>
    <row r="48811" spans="18:19">
      <c r="R48811" s="178"/>
      <c r="S48811" s="178"/>
    </row>
    <row r="48812" spans="18:19">
      <c r="R48812" s="178"/>
      <c r="S48812" s="178"/>
    </row>
    <row r="48813" spans="18:19">
      <c r="R48813" s="178"/>
      <c r="S48813" s="178"/>
    </row>
    <row r="48814" spans="18:19">
      <c r="R48814" s="178"/>
      <c r="S48814" s="178"/>
    </row>
    <row r="48815" spans="18:19">
      <c r="R48815" s="178"/>
      <c r="S48815" s="178"/>
    </row>
    <row r="48816" spans="18:19">
      <c r="R48816" s="178"/>
      <c r="S48816" s="178"/>
    </row>
    <row r="48817" spans="18:19">
      <c r="R48817" s="178"/>
      <c r="S48817" s="178"/>
    </row>
    <row r="48818" spans="18:19">
      <c r="R48818" s="178"/>
      <c r="S48818" s="178"/>
    </row>
    <row r="48819" spans="18:19">
      <c r="R48819" s="178"/>
      <c r="S48819" s="178"/>
    </row>
    <row r="48820" spans="18:19">
      <c r="R48820" s="178"/>
      <c r="S48820" s="178"/>
    </row>
    <row r="48821" spans="18:19">
      <c r="R48821" s="178"/>
      <c r="S48821" s="178"/>
    </row>
    <row r="48822" spans="18:19">
      <c r="R48822" s="178"/>
      <c r="S48822" s="178"/>
    </row>
    <row r="48823" spans="18:19">
      <c r="R48823" s="178"/>
      <c r="S48823" s="178"/>
    </row>
    <row r="48824" spans="18:19">
      <c r="R48824" s="178"/>
      <c r="S48824" s="178"/>
    </row>
    <row r="48825" spans="18:19">
      <c r="R48825" s="178"/>
      <c r="S48825" s="178"/>
    </row>
    <row r="48826" spans="18:19">
      <c r="R48826" s="178"/>
      <c r="S48826" s="178"/>
    </row>
    <row r="48827" spans="18:19">
      <c r="R48827" s="178"/>
      <c r="S48827" s="178"/>
    </row>
    <row r="48828" spans="18:19">
      <c r="R48828" s="178"/>
      <c r="S48828" s="178"/>
    </row>
    <row r="48829" spans="18:19">
      <c r="R48829" s="178"/>
      <c r="S48829" s="178"/>
    </row>
    <row r="48830" spans="18:19">
      <c r="R48830" s="178"/>
      <c r="S48830" s="178"/>
    </row>
    <row r="48831" spans="18:19">
      <c r="R48831" s="178"/>
      <c r="S48831" s="178"/>
    </row>
    <row r="48832" spans="18:19">
      <c r="R48832" s="178"/>
      <c r="S48832" s="178"/>
    </row>
    <row r="48833" spans="18:19">
      <c r="R48833" s="178"/>
      <c r="S48833" s="178"/>
    </row>
    <row r="48834" spans="18:19">
      <c r="R48834" s="178"/>
      <c r="S48834" s="178"/>
    </row>
    <row r="48835" spans="18:19">
      <c r="R48835" s="178"/>
      <c r="S48835" s="178"/>
    </row>
    <row r="48836" spans="18:19">
      <c r="R48836" s="178"/>
      <c r="S48836" s="178"/>
    </row>
    <row r="48837" spans="18:19">
      <c r="R48837" s="178"/>
      <c r="S48837" s="178"/>
    </row>
    <row r="48838" spans="18:19">
      <c r="R48838" s="178"/>
      <c r="S48838" s="178"/>
    </row>
    <row r="48839" spans="18:19">
      <c r="R48839" s="178"/>
      <c r="S48839" s="178"/>
    </row>
    <row r="48840" spans="18:19">
      <c r="R48840" s="178"/>
      <c r="S48840" s="178"/>
    </row>
    <row r="48841" spans="18:19">
      <c r="R48841" s="178"/>
      <c r="S48841" s="178"/>
    </row>
    <row r="48842" spans="18:19">
      <c r="R48842" s="178"/>
      <c r="S48842" s="178"/>
    </row>
    <row r="48843" spans="18:19">
      <c r="R48843" s="178"/>
      <c r="S48843" s="178"/>
    </row>
    <row r="48844" spans="18:19">
      <c r="R48844" s="178"/>
      <c r="S48844" s="178"/>
    </row>
    <row r="48845" spans="18:19">
      <c r="R48845" s="178"/>
      <c r="S48845" s="178"/>
    </row>
    <row r="48846" spans="18:19">
      <c r="R48846" s="178"/>
      <c r="S48846" s="178"/>
    </row>
    <row r="48847" spans="18:19">
      <c r="R48847" s="178"/>
      <c r="S48847" s="178"/>
    </row>
    <row r="48848" spans="18:19">
      <c r="R48848" s="178"/>
      <c r="S48848" s="178"/>
    </row>
    <row r="48849" spans="18:19">
      <c r="R48849" s="178"/>
      <c r="S48849" s="178"/>
    </row>
    <row r="48850" spans="18:19">
      <c r="R48850" s="178"/>
      <c r="S48850" s="178"/>
    </row>
    <row r="48851" spans="18:19">
      <c r="R48851" s="178"/>
      <c r="S48851" s="178"/>
    </row>
    <row r="48852" spans="18:19">
      <c r="R48852" s="178"/>
      <c r="S48852" s="178"/>
    </row>
    <row r="48853" spans="18:19">
      <c r="R48853" s="178"/>
      <c r="S48853" s="178"/>
    </row>
    <row r="48854" spans="18:19">
      <c r="R48854" s="178"/>
      <c r="S48854" s="178"/>
    </row>
    <row r="48855" spans="18:19">
      <c r="R48855" s="178"/>
      <c r="S48855" s="178"/>
    </row>
    <row r="48856" spans="18:19">
      <c r="R48856" s="178"/>
      <c r="S48856" s="178"/>
    </row>
    <row r="48857" spans="18:19">
      <c r="R48857" s="178"/>
      <c r="S48857" s="178"/>
    </row>
    <row r="48858" spans="18:19">
      <c r="R48858" s="178"/>
      <c r="S48858" s="178"/>
    </row>
    <row r="48859" spans="18:19">
      <c r="R48859" s="178"/>
      <c r="S48859" s="178"/>
    </row>
    <row r="48860" spans="18:19">
      <c r="R48860" s="178"/>
      <c r="S48860" s="178"/>
    </row>
    <row r="48861" spans="18:19">
      <c r="R48861" s="178"/>
      <c r="S48861" s="178"/>
    </row>
    <row r="48862" spans="18:19">
      <c r="R48862" s="178"/>
      <c r="S48862" s="178"/>
    </row>
    <row r="48863" spans="18:19">
      <c r="R48863" s="178"/>
      <c r="S48863" s="178"/>
    </row>
    <row r="48864" spans="18:19">
      <c r="R48864" s="178"/>
      <c r="S48864" s="178"/>
    </row>
    <row r="48865" spans="18:19">
      <c r="R48865" s="178"/>
      <c r="S48865" s="178"/>
    </row>
    <row r="48866" spans="18:19">
      <c r="R48866" s="178"/>
      <c r="S48866" s="178"/>
    </row>
    <row r="48867" spans="18:19">
      <c r="R48867" s="178"/>
      <c r="S48867" s="178"/>
    </row>
    <row r="48868" spans="18:19">
      <c r="R48868" s="178"/>
      <c r="S48868" s="178"/>
    </row>
    <row r="48869" spans="18:19">
      <c r="R48869" s="178"/>
      <c r="S48869" s="178"/>
    </row>
    <row r="48870" spans="18:19">
      <c r="R48870" s="178"/>
      <c r="S48870" s="178"/>
    </row>
    <row r="48871" spans="18:19">
      <c r="R48871" s="178"/>
      <c r="S48871" s="178"/>
    </row>
    <row r="48872" spans="18:19">
      <c r="R48872" s="178"/>
      <c r="S48872" s="178"/>
    </row>
    <row r="48873" spans="18:19">
      <c r="R48873" s="178"/>
      <c r="S48873" s="178"/>
    </row>
    <row r="48874" spans="18:19">
      <c r="R48874" s="178"/>
      <c r="S48874" s="178"/>
    </row>
    <row r="48875" spans="18:19">
      <c r="R48875" s="178"/>
      <c r="S48875" s="178"/>
    </row>
    <row r="48876" spans="18:19">
      <c r="R48876" s="178"/>
      <c r="S48876" s="178"/>
    </row>
    <row r="48877" spans="18:19">
      <c r="R48877" s="178"/>
      <c r="S48877" s="178"/>
    </row>
    <row r="48878" spans="18:19">
      <c r="R48878" s="178"/>
      <c r="S48878" s="178"/>
    </row>
    <row r="48879" spans="18:19">
      <c r="R48879" s="178"/>
      <c r="S48879" s="178"/>
    </row>
    <row r="48880" spans="18:19">
      <c r="R48880" s="178"/>
      <c r="S48880" s="178"/>
    </row>
    <row r="48881" spans="18:19">
      <c r="R48881" s="178"/>
      <c r="S48881" s="178"/>
    </row>
    <row r="48882" spans="18:19">
      <c r="R48882" s="178"/>
      <c r="S48882" s="178"/>
    </row>
    <row r="48883" spans="18:19">
      <c r="R48883" s="178"/>
      <c r="S48883" s="178"/>
    </row>
    <row r="48884" spans="18:19">
      <c r="R48884" s="178"/>
      <c r="S48884" s="178"/>
    </row>
    <row r="48885" spans="18:19">
      <c r="R48885" s="178"/>
      <c r="S48885" s="178"/>
    </row>
    <row r="48886" spans="18:19">
      <c r="R48886" s="178"/>
      <c r="S48886" s="178"/>
    </row>
    <row r="48887" spans="18:19">
      <c r="R48887" s="178"/>
      <c r="S48887" s="178"/>
    </row>
    <row r="48888" spans="18:19">
      <c r="R48888" s="178"/>
      <c r="S48888" s="178"/>
    </row>
    <row r="48889" spans="18:19">
      <c r="R48889" s="178"/>
      <c r="S48889" s="178"/>
    </row>
    <row r="48890" spans="18:19">
      <c r="R48890" s="178"/>
      <c r="S48890" s="178"/>
    </row>
    <row r="48891" spans="18:19">
      <c r="R48891" s="178"/>
      <c r="S48891" s="178"/>
    </row>
    <row r="48892" spans="18:19">
      <c r="R48892" s="178"/>
      <c r="S48892" s="178"/>
    </row>
    <row r="48893" spans="18:19">
      <c r="R48893" s="178"/>
      <c r="S48893" s="178"/>
    </row>
    <row r="48894" spans="18:19">
      <c r="R48894" s="178"/>
      <c r="S48894" s="178"/>
    </row>
    <row r="48895" spans="18:19">
      <c r="R48895" s="178"/>
      <c r="S48895" s="178"/>
    </row>
    <row r="48896" spans="18:19">
      <c r="R48896" s="178"/>
      <c r="S48896" s="178"/>
    </row>
    <row r="48897" spans="18:19">
      <c r="R48897" s="178"/>
      <c r="S48897" s="178"/>
    </row>
    <row r="48898" spans="18:19">
      <c r="R48898" s="178"/>
      <c r="S48898" s="178"/>
    </row>
    <row r="48899" spans="18:19">
      <c r="R48899" s="178"/>
      <c r="S48899" s="178"/>
    </row>
    <row r="48900" spans="18:19">
      <c r="R48900" s="178"/>
      <c r="S48900" s="178"/>
    </row>
    <row r="48901" spans="18:19">
      <c r="R48901" s="178"/>
      <c r="S48901" s="178"/>
    </row>
    <row r="48902" spans="18:19">
      <c r="R48902" s="178"/>
      <c r="S48902" s="178"/>
    </row>
    <row r="48903" spans="18:19">
      <c r="R48903" s="178"/>
      <c r="S48903" s="178"/>
    </row>
    <row r="48904" spans="18:19">
      <c r="R48904" s="178"/>
      <c r="S48904" s="178"/>
    </row>
    <row r="48905" spans="18:19">
      <c r="R48905" s="178"/>
      <c r="S48905" s="178"/>
    </row>
    <row r="48906" spans="18:19">
      <c r="R48906" s="178"/>
      <c r="S48906" s="178"/>
    </row>
    <row r="48907" spans="18:19">
      <c r="R48907" s="178"/>
      <c r="S48907" s="178"/>
    </row>
    <row r="48908" spans="18:19">
      <c r="R48908" s="178"/>
      <c r="S48908" s="178"/>
    </row>
    <row r="48909" spans="18:19">
      <c r="R48909" s="178"/>
      <c r="S48909" s="178"/>
    </row>
    <row r="48910" spans="18:19">
      <c r="R48910" s="178"/>
      <c r="S48910" s="178"/>
    </row>
    <row r="48911" spans="18:19">
      <c r="R48911" s="178"/>
      <c r="S48911" s="178"/>
    </row>
    <row r="48912" spans="18:19">
      <c r="R48912" s="178"/>
      <c r="S48912" s="178"/>
    </row>
    <row r="48913" spans="18:19">
      <c r="R48913" s="178"/>
      <c r="S48913" s="178"/>
    </row>
    <row r="48914" spans="18:19">
      <c r="R48914" s="178"/>
      <c r="S48914" s="178"/>
    </row>
    <row r="48915" spans="18:19">
      <c r="R48915" s="178"/>
      <c r="S48915" s="178"/>
    </row>
    <row r="48916" spans="18:19">
      <c r="R48916" s="178"/>
      <c r="S48916" s="178"/>
    </row>
    <row r="48917" spans="18:19">
      <c r="R48917" s="178"/>
      <c r="S48917" s="178"/>
    </row>
    <row r="48918" spans="18:19">
      <c r="R48918" s="178"/>
      <c r="S48918" s="178"/>
    </row>
    <row r="48919" spans="18:19">
      <c r="R48919" s="178"/>
      <c r="S48919" s="178"/>
    </row>
    <row r="48920" spans="18:19">
      <c r="R48920" s="178"/>
      <c r="S48920" s="178"/>
    </row>
    <row r="48921" spans="18:19">
      <c r="R48921" s="178"/>
      <c r="S48921" s="178"/>
    </row>
    <row r="48922" spans="18:19">
      <c r="R48922" s="178"/>
      <c r="S48922" s="178"/>
    </row>
    <row r="48923" spans="18:19">
      <c r="R48923" s="178"/>
      <c r="S48923" s="178"/>
    </row>
    <row r="48924" spans="18:19">
      <c r="R48924" s="178"/>
      <c r="S48924" s="178"/>
    </row>
    <row r="48925" spans="18:19">
      <c r="R48925" s="178"/>
      <c r="S48925" s="178"/>
    </row>
    <row r="48926" spans="18:19">
      <c r="R48926" s="178"/>
      <c r="S48926" s="178"/>
    </row>
    <row r="48927" spans="18:19">
      <c r="R48927" s="178"/>
      <c r="S48927" s="178"/>
    </row>
    <row r="48928" spans="18:19">
      <c r="R48928" s="178"/>
      <c r="S48928" s="178"/>
    </row>
    <row r="48929" spans="18:19">
      <c r="R48929" s="178"/>
      <c r="S48929" s="178"/>
    </row>
    <row r="48930" spans="18:19">
      <c r="R48930" s="178"/>
      <c r="S48930" s="178"/>
    </row>
    <row r="48931" spans="18:19">
      <c r="R48931" s="178"/>
      <c r="S48931" s="178"/>
    </row>
    <row r="48932" spans="18:19">
      <c r="R48932" s="178"/>
      <c r="S48932" s="178"/>
    </row>
    <row r="48933" spans="18:19">
      <c r="R48933" s="178"/>
      <c r="S48933" s="178"/>
    </row>
    <row r="48934" spans="18:19">
      <c r="R48934" s="178"/>
      <c r="S48934" s="178"/>
    </row>
    <row r="48935" spans="18:19">
      <c r="R48935" s="178"/>
      <c r="S48935" s="178"/>
    </row>
    <row r="48936" spans="18:19">
      <c r="R48936" s="178"/>
      <c r="S48936" s="178"/>
    </row>
    <row r="48937" spans="18:19">
      <c r="R48937" s="178"/>
      <c r="S48937" s="178"/>
    </row>
    <row r="48938" spans="18:19">
      <c r="R48938" s="178"/>
      <c r="S48938" s="178"/>
    </row>
    <row r="48939" spans="18:19">
      <c r="R48939" s="178"/>
      <c r="S48939" s="178"/>
    </row>
    <row r="48940" spans="18:19">
      <c r="R48940" s="178"/>
      <c r="S48940" s="178"/>
    </row>
    <row r="48941" spans="18:19">
      <c r="R48941" s="178"/>
      <c r="S48941" s="178"/>
    </row>
    <row r="48942" spans="18:19">
      <c r="R48942" s="178"/>
      <c r="S48942" s="178"/>
    </row>
    <row r="48943" spans="18:19">
      <c r="R48943" s="178"/>
      <c r="S48943" s="178"/>
    </row>
    <row r="48944" spans="18:19">
      <c r="R48944" s="178"/>
      <c r="S48944" s="178"/>
    </row>
    <row r="48945" spans="18:19">
      <c r="R48945" s="178"/>
      <c r="S48945" s="178"/>
    </row>
    <row r="48946" spans="18:19">
      <c r="R48946" s="178"/>
      <c r="S48946" s="178"/>
    </row>
    <row r="48947" spans="18:19">
      <c r="R48947" s="178"/>
      <c r="S48947" s="178"/>
    </row>
    <row r="48948" spans="18:19">
      <c r="R48948" s="178"/>
      <c r="S48948" s="178"/>
    </row>
    <row r="48949" spans="18:19">
      <c r="R48949" s="178"/>
      <c r="S48949" s="178"/>
    </row>
    <row r="48950" spans="18:19">
      <c r="R48950" s="178"/>
      <c r="S48950" s="178"/>
    </row>
    <row r="48951" spans="18:19">
      <c r="R48951" s="178"/>
      <c r="S48951" s="178"/>
    </row>
    <row r="48952" spans="18:19">
      <c r="R48952" s="178"/>
      <c r="S48952" s="178"/>
    </row>
    <row r="48953" spans="18:19">
      <c r="R48953" s="178"/>
      <c r="S48953" s="178"/>
    </row>
    <row r="48954" spans="18:19">
      <c r="R48954" s="178"/>
      <c r="S48954" s="178"/>
    </row>
    <row r="48955" spans="18:19">
      <c r="R48955" s="178"/>
      <c r="S48955" s="178"/>
    </row>
    <row r="48956" spans="18:19">
      <c r="R48956" s="178"/>
      <c r="S48956" s="178"/>
    </row>
    <row r="48957" spans="18:19">
      <c r="R48957" s="178"/>
      <c r="S48957" s="178"/>
    </row>
    <row r="48958" spans="18:19">
      <c r="R48958" s="178"/>
      <c r="S48958" s="178"/>
    </row>
    <row r="48959" spans="18:19">
      <c r="R48959" s="178"/>
      <c r="S48959" s="178"/>
    </row>
    <row r="48960" spans="18:19">
      <c r="R48960" s="178"/>
      <c r="S48960" s="178"/>
    </row>
    <row r="48961" spans="18:19">
      <c r="R48961" s="178"/>
      <c r="S48961" s="178"/>
    </row>
    <row r="48962" spans="18:19">
      <c r="R48962" s="178"/>
      <c r="S48962" s="178"/>
    </row>
    <row r="48963" spans="18:19">
      <c r="R48963" s="178"/>
      <c r="S48963" s="178"/>
    </row>
    <row r="48964" spans="18:19">
      <c r="R48964" s="178"/>
      <c r="S48964" s="178"/>
    </row>
    <row r="48965" spans="18:19">
      <c r="R48965" s="178"/>
      <c r="S48965" s="178"/>
    </row>
    <row r="48966" spans="18:19">
      <c r="R48966" s="178"/>
      <c r="S48966" s="178"/>
    </row>
    <row r="48967" spans="18:19">
      <c r="R48967" s="178"/>
      <c r="S48967" s="178"/>
    </row>
    <row r="48968" spans="18:19">
      <c r="R48968" s="178"/>
      <c r="S48968" s="178"/>
    </row>
    <row r="48969" spans="18:19">
      <c r="R48969" s="178"/>
      <c r="S48969" s="178"/>
    </row>
    <row r="48970" spans="18:19">
      <c r="R48970" s="178"/>
      <c r="S48970" s="178"/>
    </row>
    <row r="48971" spans="18:19">
      <c r="R48971" s="178"/>
      <c r="S48971" s="178"/>
    </row>
    <row r="48972" spans="18:19">
      <c r="R48972" s="178"/>
      <c r="S48972" s="178"/>
    </row>
    <row r="48973" spans="18:19">
      <c r="R48973" s="178"/>
      <c r="S48973" s="178"/>
    </row>
    <row r="48974" spans="18:19">
      <c r="R48974" s="178"/>
      <c r="S48974" s="178"/>
    </row>
    <row r="48975" spans="18:19">
      <c r="R48975" s="178"/>
      <c r="S48975" s="178"/>
    </row>
    <row r="48976" spans="18:19">
      <c r="R48976" s="178"/>
      <c r="S48976" s="178"/>
    </row>
    <row r="48977" spans="18:19">
      <c r="R48977" s="178"/>
      <c r="S48977" s="178"/>
    </row>
    <row r="48978" spans="18:19">
      <c r="R48978" s="178"/>
      <c r="S48978" s="178"/>
    </row>
    <row r="48979" spans="18:19">
      <c r="R48979" s="178"/>
      <c r="S48979" s="178"/>
    </row>
    <row r="48980" spans="18:19">
      <c r="R48980" s="178"/>
      <c r="S48980" s="178"/>
    </row>
    <row r="48981" spans="18:19">
      <c r="R48981" s="178"/>
      <c r="S48981" s="178"/>
    </row>
    <row r="48982" spans="18:19">
      <c r="R48982" s="178"/>
      <c r="S48982" s="178"/>
    </row>
    <row r="48983" spans="18:19">
      <c r="R48983" s="178"/>
      <c r="S48983" s="178"/>
    </row>
    <row r="48984" spans="18:19">
      <c r="R48984" s="178"/>
      <c r="S48984" s="178"/>
    </row>
    <row r="48985" spans="18:19">
      <c r="R48985" s="178"/>
      <c r="S48985" s="178"/>
    </row>
    <row r="48986" spans="18:19">
      <c r="R48986" s="178"/>
      <c r="S48986" s="178"/>
    </row>
    <row r="48987" spans="18:19">
      <c r="R48987" s="178"/>
      <c r="S48987" s="178"/>
    </row>
    <row r="48988" spans="18:19">
      <c r="R48988" s="178"/>
      <c r="S48988" s="178"/>
    </row>
    <row r="48989" spans="18:19">
      <c r="R48989" s="178"/>
      <c r="S48989" s="178"/>
    </row>
    <row r="48990" spans="18:19">
      <c r="R48990" s="178"/>
      <c r="S48990" s="178"/>
    </row>
    <row r="48991" spans="18:19">
      <c r="R48991" s="178"/>
      <c r="S48991" s="178"/>
    </row>
    <row r="48992" spans="18:19">
      <c r="R48992" s="178"/>
      <c r="S48992" s="178"/>
    </row>
    <row r="48993" spans="18:19">
      <c r="R48993" s="178"/>
      <c r="S48993" s="178"/>
    </row>
    <row r="48994" spans="18:19">
      <c r="R48994" s="178"/>
      <c r="S48994" s="178"/>
    </row>
    <row r="48995" spans="18:19">
      <c r="R48995" s="178"/>
      <c r="S48995" s="178"/>
    </row>
    <row r="48996" spans="18:19">
      <c r="R48996" s="178"/>
      <c r="S48996" s="178"/>
    </row>
    <row r="48997" spans="18:19">
      <c r="R48997" s="178"/>
      <c r="S48997" s="178"/>
    </row>
    <row r="48998" spans="18:19">
      <c r="R48998" s="178"/>
      <c r="S48998" s="178"/>
    </row>
    <row r="48999" spans="18:19">
      <c r="R48999" s="178"/>
      <c r="S48999" s="178"/>
    </row>
    <row r="49000" spans="18:19">
      <c r="R49000" s="178"/>
      <c r="S49000" s="178"/>
    </row>
    <row r="49001" spans="18:19">
      <c r="R49001" s="178"/>
      <c r="S49001" s="178"/>
    </row>
    <row r="49002" spans="18:19">
      <c r="R49002" s="178"/>
      <c r="S49002" s="178"/>
    </row>
    <row r="49003" spans="18:19">
      <c r="R49003" s="178"/>
      <c r="S49003" s="178"/>
    </row>
    <row r="49004" spans="18:19">
      <c r="R49004" s="178"/>
      <c r="S49004" s="178"/>
    </row>
    <row r="49005" spans="18:19">
      <c r="R49005" s="178"/>
      <c r="S49005" s="178"/>
    </row>
    <row r="49006" spans="18:19">
      <c r="R49006" s="178"/>
      <c r="S49006" s="178"/>
    </row>
    <row r="49007" spans="18:19">
      <c r="R49007" s="178"/>
      <c r="S49007" s="178"/>
    </row>
    <row r="49008" spans="18:19">
      <c r="R49008" s="178"/>
      <c r="S49008" s="178"/>
    </row>
    <row r="49009" spans="18:19">
      <c r="R49009" s="178"/>
      <c r="S49009" s="178"/>
    </row>
    <row r="49010" spans="18:19">
      <c r="R49010" s="178"/>
      <c r="S49010" s="178"/>
    </row>
    <row r="49011" spans="18:19">
      <c r="R49011" s="178"/>
      <c r="S49011" s="178"/>
    </row>
    <row r="49012" spans="18:19">
      <c r="R49012" s="178"/>
      <c r="S49012" s="178"/>
    </row>
    <row r="49013" spans="18:19">
      <c r="R49013" s="178"/>
      <c r="S49013" s="178"/>
    </row>
    <row r="49014" spans="18:19">
      <c r="R49014" s="178"/>
      <c r="S49014" s="178"/>
    </row>
    <row r="49015" spans="18:19">
      <c r="R49015" s="178"/>
      <c r="S49015" s="178"/>
    </row>
    <row r="49016" spans="18:19">
      <c r="R49016" s="178"/>
      <c r="S49016" s="178"/>
    </row>
    <row r="49017" spans="18:19">
      <c r="R49017" s="178"/>
      <c r="S49017" s="178"/>
    </row>
    <row r="49018" spans="18:19">
      <c r="R49018" s="178"/>
      <c r="S49018" s="178"/>
    </row>
    <row r="49019" spans="18:19">
      <c r="R49019" s="178"/>
      <c r="S49019" s="178"/>
    </row>
    <row r="49020" spans="18:19">
      <c r="R49020" s="178"/>
      <c r="S49020" s="178"/>
    </row>
    <row r="49021" spans="18:19">
      <c r="R49021" s="178"/>
      <c r="S49021" s="178"/>
    </row>
    <row r="49022" spans="18:19">
      <c r="R49022" s="178"/>
      <c r="S49022" s="178"/>
    </row>
    <row r="49023" spans="18:19">
      <c r="R49023" s="178"/>
      <c r="S49023" s="178"/>
    </row>
    <row r="49024" spans="18:19">
      <c r="R49024" s="178"/>
      <c r="S49024" s="178"/>
    </row>
    <row r="49025" spans="18:19">
      <c r="R49025" s="178"/>
      <c r="S49025" s="178"/>
    </row>
    <row r="49026" spans="18:19">
      <c r="R49026" s="178"/>
      <c r="S49026" s="178"/>
    </row>
    <row r="49027" spans="18:19">
      <c r="R49027" s="178"/>
      <c r="S49027" s="178"/>
    </row>
    <row r="49028" spans="18:19">
      <c r="R49028" s="178"/>
      <c r="S49028" s="178"/>
    </row>
    <row r="49029" spans="18:19">
      <c r="R49029" s="178"/>
      <c r="S49029" s="178"/>
    </row>
    <row r="49030" spans="18:19">
      <c r="R49030" s="178"/>
      <c r="S49030" s="178"/>
    </row>
    <row r="49031" spans="18:19">
      <c r="R49031" s="178"/>
      <c r="S49031" s="178"/>
    </row>
    <row r="49032" spans="18:19">
      <c r="R49032" s="178"/>
      <c r="S49032" s="178"/>
    </row>
    <row r="49033" spans="18:19">
      <c r="R49033" s="178"/>
      <c r="S49033" s="178"/>
    </row>
    <row r="49034" spans="18:19">
      <c r="R49034" s="178"/>
      <c r="S49034" s="178"/>
    </row>
    <row r="49035" spans="18:19">
      <c r="R49035" s="178"/>
      <c r="S49035" s="178"/>
    </row>
    <row r="49036" spans="18:19">
      <c r="R49036" s="178"/>
      <c r="S49036" s="178"/>
    </row>
    <row r="49037" spans="18:19">
      <c r="R49037" s="178"/>
      <c r="S49037" s="178"/>
    </row>
    <row r="49038" spans="18:19">
      <c r="R49038" s="178"/>
      <c r="S49038" s="178"/>
    </row>
    <row r="49039" spans="18:19">
      <c r="R49039" s="178"/>
      <c r="S49039" s="178"/>
    </row>
    <row r="49040" spans="18:19">
      <c r="R49040" s="178"/>
      <c r="S49040" s="178"/>
    </row>
    <row r="49041" spans="18:19">
      <c r="R49041" s="178"/>
      <c r="S49041" s="178"/>
    </row>
    <row r="49042" spans="18:19">
      <c r="R49042" s="178"/>
      <c r="S49042" s="178"/>
    </row>
    <row r="49043" spans="18:19">
      <c r="R49043" s="178"/>
      <c r="S49043" s="178"/>
    </row>
    <row r="49044" spans="18:19">
      <c r="R49044" s="178"/>
      <c r="S49044" s="178"/>
    </row>
    <row r="49045" spans="18:19">
      <c r="R49045" s="178"/>
      <c r="S49045" s="178"/>
    </row>
    <row r="49046" spans="18:19">
      <c r="R49046" s="178"/>
      <c r="S49046" s="178"/>
    </row>
    <row r="49047" spans="18:19">
      <c r="R49047" s="178"/>
      <c r="S49047" s="178"/>
    </row>
    <row r="49048" spans="18:19">
      <c r="R49048" s="178"/>
      <c r="S49048" s="178"/>
    </row>
    <row r="49049" spans="18:19">
      <c r="R49049" s="178"/>
      <c r="S49049" s="178"/>
    </row>
    <row r="49050" spans="18:19">
      <c r="R49050" s="178"/>
      <c r="S49050" s="178"/>
    </row>
    <row r="49051" spans="18:19">
      <c r="R49051" s="178"/>
      <c r="S49051" s="178"/>
    </row>
    <row r="49052" spans="18:19">
      <c r="R49052" s="178"/>
      <c r="S49052" s="178"/>
    </row>
    <row r="49053" spans="18:19">
      <c r="R49053" s="178"/>
      <c r="S49053" s="178"/>
    </row>
    <row r="49054" spans="18:19">
      <c r="R49054" s="178"/>
      <c r="S49054" s="178"/>
    </row>
    <row r="49055" spans="18:19">
      <c r="R49055" s="178"/>
      <c r="S49055" s="178"/>
    </row>
    <row r="49056" spans="18:19">
      <c r="R49056" s="178"/>
      <c r="S49056" s="178"/>
    </row>
    <row r="49057" spans="18:19">
      <c r="R49057" s="178"/>
      <c r="S49057" s="178"/>
    </row>
    <row r="49058" spans="18:19">
      <c r="R49058" s="178"/>
      <c r="S49058" s="178"/>
    </row>
    <row r="49059" spans="18:19">
      <c r="R49059" s="178"/>
      <c r="S49059" s="178"/>
    </row>
    <row r="49060" spans="18:19">
      <c r="R49060" s="178"/>
      <c r="S49060" s="178"/>
    </row>
    <row r="49061" spans="18:19">
      <c r="R49061" s="178"/>
      <c r="S49061" s="178"/>
    </row>
    <row r="49062" spans="18:19">
      <c r="R49062" s="178"/>
      <c r="S49062" s="178"/>
    </row>
    <row r="49063" spans="18:19">
      <c r="R49063" s="178"/>
      <c r="S49063" s="178"/>
    </row>
    <row r="49064" spans="18:19">
      <c r="R49064" s="178"/>
      <c r="S49064" s="178"/>
    </row>
    <row r="49065" spans="18:19">
      <c r="R49065" s="178"/>
      <c r="S49065" s="178"/>
    </row>
    <row r="49066" spans="18:19">
      <c r="R49066" s="178"/>
      <c r="S49066" s="178"/>
    </row>
    <row r="49067" spans="18:19">
      <c r="R49067" s="178"/>
      <c r="S49067" s="178"/>
    </row>
    <row r="49068" spans="18:19">
      <c r="R49068" s="178"/>
      <c r="S49068" s="178"/>
    </row>
    <row r="49069" spans="18:19">
      <c r="R49069" s="178"/>
      <c r="S49069" s="178"/>
    </row>
    <row r="49070" spans="18:19">
      <c r="R49070" s="178"/>
      <c r="S49070" s="178"/>
    </row>
    <row r="49071" spans="18:19">
      <c r="R49071" s="178"/>
      <c r="S49071" s="178"/>
    </row>
    <row r="49072" spans="18:19">
      <c r="R49072" s="178"/>
      <c r="S49072" s="178"/>
    </row>
    <row r="49073" spans="18:19">
      <c r="R49073" s="178"/>
      <c r="S49073" s="178"/>
    </row>
    <row r="49074" spans="18:19">
      <c r="R49074" s="178"/>
      <c r="S49074" s="178"/>
    </row>
    <row r="49075" spans="18:19">
      <c r="R49075" s="178"/>
      <c r="S49075" s="178"/>
    </row>
    <row r="49076" spans="18:19">
      <c r="R49076" s="178"/>
      <c r="S49076" s="178"/>
    </row>
    <row r="49077" spans="18:19">
      <c r="R49077" s="178"/>
      <c r="S49077" s="178"/>
    </row>
    <row r="49078" spans="18:19">
      <c r="R49078" s="178"/>
      <c r="S49078" s="178"/>
    </row>
    <row r="49079" spans="18:19">
      <c r="R49079" s="178"/>
      <c r="S49079" s="178"/>
    </row>
    <row r="49080" spans="18:19">
      <c r="R49080" s="178"/>
      <c r="S49080" s="178"/>
    </row>
    <row r="49081" spans="18:19">
      <c r="R49081" s="178"/>
      <c r="S49081" s="178"/>
    </row>
    <row r="49082" spans="18:19">
      <c r="R49082" s="178"/>
      <c r="S49082" s="178"/>
    </row>
    <row r="49083" spans="18:19">
      <c r="R49083" s="178"/>
      <c r="S49083" s="178"/>
    </row>
    <row r="49084" spans="18:19">
      <c r="R49084" s="178"/>
      <c r="S49084" s="178"/>
    </row>
    <row r="49085" spans="18:19">
      <c r="R49085" s="178"/>
      <c r="S49085" s="178"/>
    </row>
    <row r="49086" spans="18:19">
      <c r="R49086" s="178"/>
      <c r="S49086" s="178"/>
    </row>
    <row r="49087" spans="18:19">
      <c r="R49087" s="178"/>
      <c r="S49087" s="178"/>
    </row>
    <row r="49088" spans="18:19">
      <c r="R49088" s="178"/>
      <c r="S49088" s="178"/>
    </row>
    <row r="49089" spans="18:19">
      <c r="R49089" s="178"/>
      <c r="S49089" s="178"/>
    </row>
    <row r="49090" spans="18:19">
      <c r="R49090" s="178"/>
      <c r="S49090" s="178"/>
    </row>
    <row r="49091" spans="18:19">
      <c r="R49091" s="178"/>
      <c r="S49091" s="178"/>
    </row>
    <row r="49092" spans="18:19">
      <c r="R49092" s="178"/>
      <c r="S49092" s="178"/>
    </row>
    <row r="49093" spans="18:19">
      <c r="R49093" s="178"/>
      <c r="S49093" s="178"/>
    </row>
    <row r="49094" spans="18:19">
      <c r="R49094" s="178"/>
      <c r="S49094" s="178"/>
    </row>
    <row r="49095" spans="18:19">
      <c r="R49095" s="178"/>
      <c r="S49095" s="178"/>
    </row>
    <row r="49096" spans="18:19">
      <c r="R49096" s="178"/>
      <c r="S49096" s="178"/>
    </row>
    <row r="49097" spans="18:19">
      <c r="R49097" s="178"/>
      <c r="S49097" s="178"/>
    </row>
    <row r="49098" spans="18:19">
      <c r="R49098" s="178"/>
      <c r="S49098" s="178"/>
    </row>
    <row r="49099" spans="18:19">
      <c r="R49099" s="178"/>
      <c r="S49099" s="178"/>
    </row>
    <row r="49100" spans="18:19">
      <c r="R49100" s="178"/>
      <c r="S49100" s="178"/>
    </row>
    <row r="49101" spans="18:19">
      <c r="R49101" s="178"/>
      <c r="S49101" s="178"/>
    </row>
    <row r="49102" spans="18:19">
      <c r="R49102" s="178"/>
      <c r="S49102" s="178"/>
    </row>
    <row r="49103" spans="18:19">
      <c r="R49103" s="178"/>
      <c r="S49103" s="178"/>
    </row>
    <row r="49104" spans="18:19">
      <c r="R49104" s="178"/>
      <c r="S49104" s="178"/>
    </row>
    <row r="49105" spans="18:19">
      <c r="R49105" s="178"/>
      <c r="S49105" s="178"/>
    </row>
    <row r="49106" spans="18:19">
      <c r="R49106" s="178"/>
      <c r="S49106" s="178"/>
    </row>
    <row r="49107" spans="18:19">
      <c r="R49107" s="178"/>
      <c r="S49107" s="178"/>
    </row>
    <row r="49108" spans="18:19">
      <c r="R49108" s="178"/>
      <c r="S49108" s="178"/>
    </row>
    <row r="49109" spans="18:19">
      <c r="R49109" s="178"/>
      <c r="S49109" s="178"/>
    </row>
    <row r="49110" spans="18:19">
      <c r="R49110" s="178"/>
      <c r="S49110" s="178"/>
    </row>
    <row r="49111" spans="18:19">
      <c r="R49111" s="178"/>
      <c r="S49111" s="178"/>
    </row>
    <row r="49112" spans="18:19">
      <c r="R49112" s="178"/>
      <c r="S49112" s="178"/>
    </row>
    <row r="49113" spans="18:19">
      <c r="R49113" s="178"/>
      <c r="S49113" s="178"/>
    </row>
    <row r="49114" spans="18:19">
      <c r="R49114" s="178"/>
      <c r="S49114" s="178"/>
    </row>
    <row r="49115" spans="18:19">
      <c r="R49115" s="178"/>
      <c r="S49115" s="178"/>
    </row>
    <row r="49116" spans="18:19">
      <c r="R49116" s="178"/>
      <c r="S49116" s="178"/>
    </row>
    <row r="49117" spans="18:19">
      <c r="R49117" s="178"/>
      <c r="S49117" s="178"/>
    </row>
    <row r="49118" spans="18:19">
      <c r="R49118" s="178"/>
      <c r="S49118" s="178"/>
    </row>
    <row r="49119" spans="18:19">
      <c r="R49119" s="178"/>
      <c r="S49119" s="178"/>
    </row>
    <row r="49120" spans="18:19">
      <c r="R49120" s="178"/>
      <c r="S49120" s="178"/>
    </row>
    <row r="49121" spans="18:19">
      <c r="R49121" s="178"/>
      <c r="S49121" s="178"/>
    </row>
    <row r="49122" spans="18:19">
      <c r="R49122" s="178"/>
      <c r="S49122" s="178"/>
    </row>
    <row r="49123" spans="18:19">
      <c r="R49123" s="178"/>
      <c r="S49123" s="178"/>
    </row>
    <row r="49124" spans="18:19">
      <c r="R49124" s="178"/>
      <c r="S49124" s="178"/>
    </row>
    <row r="49125" spans="18:19">
      <c r="R49125" s="178"/>
      <c r="S49125" s="178"/>
    </row>
    <row r="49126" spans="18:19">
      <c r="R49126" s="178"/>
      <c r="S49126" s="178"/>
    </row>
    <row r="49127" spans="18:19">
      <c r="R49127" s="178"/>
      <c r="S49127" s="178"/>
    </row>
    <row r="49128" spans="18:19">
      <c r="R49128" s="178"/>
      <c r="S49128" s="178"/>
    </row>
    <row r="49129" spans="18:19">
      <c r="R49129" s="178"/>
      <c r="S49129" s="178"/>
    </row>
    <row r="49130" spans="18:19">
      <c r="R49130" s="178"/>
      <c r="S49130" s="178"/>
    </row>
    <row r="49131" spans="18:19">
      <c r="R49131" s="178"/>
      <c r="S49131" s="178"/>
    </row>
    <row r="49132" spans="18:19">
      <c r="R49132" s="178"/>
      <c r="S49132" s="178"/>
    </row>
    <row r="49133" spans="18:19">
      <c r="R49133" s="178"/>
      <c r="S49133" s="178"/>
    </row>
    <row r="49134" spans="18:19">
      <c r="R49134" s="178"/>
      <c r="S49134" s="178"/>
    </row>
    <row r="49135" spans="18:19">
      <c r="R49135" s="178"/>
      <c r="S49135" s="178"/>
    </row>
    <row r="49136" spans="18:19">
      <c r="R49136" s="178"/>
      <c r="S49136" s="178"/>
    </row>
    <row r="49137" spans="18:19">
      <c r="R49137" s="178"/>
      <c r="S49137" s="178"/>
    </row>
    <row r="49138" spans="18:19">
      <c r="R49138" s="178"/>
      <c r="S49138" s="178"/>
    </row>
    <row r="49139" spans="18:19">
      <c r="R49139" s="178"/>
      <c r="S49139" s="178"/>
    </row>
    <row r="49140" spans="18:19">
      <c r="R49140" s="178"/>
      <c r="S49140" s="178"/>
    </row>
    <row r="49141" spans="18:19">
      <c r="R49141" s="178"/>
      <c r="S49141" s="178"/>
    </row>
    <row r="49142" spans="18:19">
      <c r="R49142" s="178"/>
      <c r="S49142" s="178"/>
    </row>
    <row r="49143" spans="18:19">
      <c r="R49143" s="178"/>
      <c r="S49143" s="178"/>
    </row>
    <row r="49144" spans="18:19">
      <c r="R49144" s="178"/>
      <c r="S49144" s="178"/>
    </row>
    <row r="49145" spans="18:19">
      <c r="R49145" s="178"/>
      <c r="S49145" s="178"/>
    </row>
    <row r="49146" spans="18:19">
      <c r="R49146" s="178"/>
      <c r="S49146" s="178"/>
    </row>
    <row r="49147" spans="18:19">
      <c r="R49147" s="178"/>
      <c r="S49147" s="178"/>
    </row>
    <row r="49148" spans="18:19">
      <c r="R49148" s="178"/>
      <c r="S49148" s="178"/>
    </row>
    <row r="49149" spans="18:19">
      <c r="R49149" s="178"/>
      <c r="S49149" s="178"/>
    </row>
    <row r="49150" spans="18:19">
      <c r="R49150" s="178"/>
      <c r="S49150" s="178"/>
    </row>
    <row r="49151" spans="18:19">
      <c r="R49151" s="178"/>
      <c r="S49151" s="178"/>
    </row>
    <row r="49152" spans="18:19">
      <c r="R49152" s="178"/>
      <c r="S49152" s="178"/>
    </row>
    <row r="49153" spans="18:19">
      <c r="R49153" s="178"/>
      <c r="S49153" s="178"/>
    </row>
    <row r="49154" spans="18:19">
      <c r="R49154" s="178"/>
      <c r="S49154" s="178"/>
    </row>
    <row r="49155" spans="18:19">
      <c r="R49155" s="178"/>
      <c r="S49155" s="178"/>
    </row>
    <row r="49156" spans="18:19">
      <c r="R49156" s="178"/>
      <c r="S49156" s="178"/>
    </row>
    <row r="49157" spans="18:19">
      <c r="R49157" s="178"/>
      <c r="S49157" s="178"/>
    </row>
    <row r="49158" spans="18:19">
      <c r="R49158" s="178"/>
      <c r="S49158" s="178"/>
    </row>
    <row r="49159" spans="18:19">
      <c r="R49159" s="178"/>
      <c r="S49159" s="178"/>
    </row>
    <row r="49160" spans="18:19">
      <c r="R49160" s="178"/>
      <c r="S49160" s="178"/>
    </row>
    <row r="49161" spans="18:19">
      <c r="R49161" s="178"/>
      <c r="S49161" s="178"/>
    </row>
    <row r="49162" spans="18:19">
      <c r="R49162" s="178"/>
      <c r="S49162" s="178"/>
    </row>
    <row r="49163" spans="18:19">
      <c r="R49163" s="178"/>
      <c r="S49163" s="178"/>
    </row>
    <row r="49164" spans="18:19">
      <c r="R49164" s="178"/>
      <c r="S49164" s="178"/>
    </row>
    <row r="49165" spans="18:19">
      <c r="R49165" s="178"/>
      <c r="S49165" s="178"/>
    </row>
    <row r="49166" spans="18:19">
      <c r="R49166" s="178"/>
      <c r="S49166" s="178"/>
    </row>
    <row r="49167" spans="18:19">
      <c r="R49167" s="178"/>
      <c r="S49167" s="178"/>
    </row>
    <row r="49168" spans="18:19">
      <c r="R49168" s="178"/>
      <c r="S49168" s="178"/>
    </row>
    <row r="49169" spans="18:19">
      <c r="R49169" s="178"/>
      <c r="S49169" s="178"/>
    </row>
    <row r="49170" spans="18:19">
      <c r="R49170" s="178"/>
      <c r="S49170" s="178"/>
    </row>
    <row r="49171" spans="18:19">
      <c r="R49171" s="178"/>
      <c r="S49171" s="178"/>
    </row>
    <row r="49172" spans="18:19">
      <c r="R49172" s="178"/>
      <c r="S49172" s="178"/>
    </row>
    <row r="49173" spans="18:19">
      <c r="R49173" s="178"/>
      <c r="S49173" s="178"/>
    </row>
    <row r="49174" spans="18:19">
      <c r="R49174" s="178"/>
      <c r="S49174" s="178"/>
    </row>
    <row r="49175" spans="18:19">
      <c r="R49175" s="178"/>
      <c r="S49175" s="178"/>
    </row>
    <row r="49176" spans="18:19">
      <c r="R49176" s="178"/>
      <c r="S49176" s="178"/>
    </row>
    <row r="49177" spans="18:19">
      <c r="R49177" s="178"/>
      <c r="S49177" s="178"/>
    </row>
    <row r="49178" spans="18:19">
      <c r="R49178" s="178"/>
      <c r="S49178" s="178"/>
    </row>
    <row r="49179" spans="18:19">
      <c r="R49179" s="178"/>
      <c r="S49179" s="178"/>
    </row>
    <row r="49180" spans="18:19">
      <c r="R49180" s="178"/>
      <c r="S49180" s="178"/>
    </row>
    <row r="49181" spans="18:19">
      <c r="R49181" s="178"/>
      <c r="S49181" s="178"/>
    </row>
    <row r="49182" spans="18:19">
      <c r="R49182" s="178"/>
      <c r="S49182" s="178"/>
    </row>
    <row r="49183" spans="18:19">
      <c r="R49183" s="178"/>
      <c r="S49183" s="178"/>
    </row>
    <row r="49184" spans="18:19">
      <c r="R49184" s="178"/>
      <c r="S49184" s="178"/>
    </row>
    <row r="49185" spans="18:19">
      <c r="R49185" s="178"/>
      <c r="S49185" s="178"/>
    </row>
    <row r="49186" spans="18:19">
      <c r="R49186" s="178"/>
      <c r="S49186" s="178"/>
    </row>
    <row r="49187" spans="18:19">
      <c r="R49187" s="178"/>
      <c r="S49187" s="178"/>
    </row>
    <row r="49188" spans="18:19">
      <c r="R49188" s="178"/>
      <c r="S49188" s="178"/>
    </row>
    <row r="49189" spans="18:19">
      <c r="R49189" s="178"/>
      <c r="S49189" s="178"/>
    </row>
    <row r="49190" spans="18:19">
      <c r="R49190" s="178"/>
      <c r="S49190" s="178"/>
    </row>
    <row r="49191" spans="18:19">
      <c r="R49191" s="178"/>
      <c r="S49191" s="178"/>
    </row>
    <row r="49192" spans="18:19">
      <c r="R49192" s="178"/>
      <c r="S49192" s="178"/>
    </row>
    <row r="49193" spans="18:19">
      <c r="R49193" s="178"/>
      <c r="S49193" s="178"/>
    </row>
    <row r="49194" spans="18:19">
      <c r="R49194" s="178"/>
      <c r="S49194" s="178"/>
    </row>
    <row r="49195" spans="18:19">
      <c r="R49195" s="178"/>
      <c r="S49195" s="178"/>
    </row>
    <row r="49196" spans="18:19">
      <c r="R49196" s="178"/>
      <c r="S49196" s="178"/>
    </row>
    <row r="49197" spans="18:19">
      <c r="R49197" s="178"/>
      <c r="S49197" s="178"/>
    </row>
    <row r="49198" spans="18:19">
      <c r="R49198" s="178"/>
      <c r="S49198" s="178"/>
    </row>
    <row r="49199" spans="18:19">
      <c r="R49199" s="178"/>
      <c r="S49199" s="178"/>
    </row>
    <row r="49200" spans="18:19">
      <c r="R49200" s="178"/>
      <c r="S49200" s="178"/>
    </row>
    <row r="49201" spans="18:19">
      <c r="R49201" s="178"/>
      <c r="S49201" s="178"/>
    </row>
    <row r="49202" spans="18:19">
      <c r="R49202" s="178"/>
      <c r="S49202" s="178"/>
    </row>
    <row r="49203" spans="18:19">
      <c r="R49203" s="178"/>
      <c r="S49203" s="178"/>
    </row>
    <row r="49204" spans="18:19">
      <c r="R49204" s="178"/>
      <c r="S49204" s="178"/>
    </row>
    <row r="49205" spans="18:19">
      <c r="R49205" s="178"/>
      <c r="S49205" s="178"/>
    </row>
    <row r="49206" spans="18:19">
      <c r="R49206" s="178"/>
      <c r="S49206" s="178"/>
    </row>
    <row r="49207" spans="18:19">
      <c r="R49207" s="178"/>
      <c r="S49207" s="178"/>
    </row>
    <row r="49208" spans="18:19">
      <c r="R49208" s="178"/>
      <c r="S49208" s="178"/>
    </row>
    <row r="49209" spans="18:19">
      <c r="R49209" s="178"/>
      <c r="S49209" s="178"/>
    </row>
    <row r="49210" spans="18:19">
      <c r="R49210" s="178"/>
      <c r="S49210" s="178"/>
    </row>
    <row r="49211" spans="18:19">
      <c r="R49211" s="178"/>
      <c r="S49211" s="178"/>
    </row>
    <row r="49212" spans="18:19">
      <c r="R49212" s="178"/>
      <c r="S49212" s="178"/>
    </row>
    <row r="49213" spans="18:19">
      <c r="R49213" s="178"/>
      <c r="S49213" s="178"/>
    </row>
    <row r="49214" spans="18:19">
      <c r="R49214" s="178"/>
      <c r="S49214" s="178"/>
    </row>
    <row r="49215" spans="18:19">
      <c r="R49215" s="178"/>
      <c r="S49215" s="178"/>
    </row>
    <row r="49216" spans="18:19">
      <c r="R49216" s="178"/>
      <c r="S49216" s="178"/>
    </row>
    <row r="49217" spans="18:19">
      <c r="R49217" s="178"/>
      <c r="S49217" s="178"/>
    </row>
    <row r="49218" spans="18:19">
      <c r="R49218" s="178"/>
      <c r="S49218" s="178"/>
    </row>
    <row r="49219" spans="18:19">
      <c r="R49219" s="178"/>
      <c r="S49219" s="178"/>
    </row>
    <row r="49220" spans="18:19">
      <c r="R49220" s="178"/>
      <c r="S49220" s="178"/>
    </row>
    <row r="49221" spans="18:19">
      <c r="R49221" s="178"/>
      <c r="S49221" s="178"/>
    </row>
    <row r="49222" spans="18:19">
      <c r="R49222" s="178"/>
      <c r="S49222" s="178"/>
    </row>
    <row r="49223" spans="18:19">
      <c r="R49223" s="178"/>
      <c r="S49223" s="178"/>
    </row>
    <row r="49224" spans="18:19">
      <c r="R49224" s="178"/>
      <c r="S49224" s="178"/>
    </row>
    <row r="49225" spans="18:19">
      <c r="R49225" s="178"/>
      <c r="S49225" s="178"/>
    </row>
    <row r="49226" spans="18:19">
      <c r="R49226" s="178"/>
      <c r="S49226" s="178"/>
    </row>
    <row r="49227" spans="18:19">
      <c r="R49227" s="178"/>
      <c r="S49227" s="178"/>
    </row>
    <row r="49228" spans="18:19">
      <c r="R49228" s="178"/>
      <c r="S49228" s="178"/>
    </row>
    <row r="49229" spans="18:19">
      <c r="R49229" s="178"/>
      <c r="S49229" s="178"/>
    </row>
    <row r="49230" spans="18:19">
      <c r="R49230" s="178"/>
      <c r="S49230" s="178"/>
    </row>
    <row r="49231" spans="18:19">
      <c r="R49231" s="178"/>
      <c r="S49231" s="178"/>
    </row>
    <row r="49232" spans="18:19">
      <c r="R49232" s="178"/>
      <c r="S49232" s="178"/>
    </row>
    <row r="49233" spans="18:19">
      <c r="R49233" s="178"/>
      <c r="S49233" s="178"/>
    </row>
    <row r="49234" spans="18:19">
      <c r="R49234" s="178"/>
      <c r="S49234" s="178"/>
    </row>
    <row r="49235" spans="18:19">
      <c r="R49235" s="178"/>
      <c r="S49235" s="178"/>
    </row>
    <row r="49236" spans="18:19">
      <c r="R49236" s="178"/>
      <c r="S49236" s="178"/>
    </row>
    <row r="49237" spans="18:19">
      <c r="R49237" s="178"/>
      <c r="S49237" s="178"/>
    </row>
    <row r="49238" spans="18:19">
      <c r="R49238" s="178"/>
      <c r="S49238" s="178"/>
    </row>
    <row r="49239" spans="18:19">
      <c r="R49239" s="178"/>
      <c r="S49239" s="178"/>
    </row>
    <row r="49240" spans="18:19">
      <c r="R49240" s="178"/>
      <c r="S49240" s="178"/>
    </row>
    <row r="49241" spans="18:19">
      <c r="R49241" s="178"/>
      <c r="S49241" s="178"/>
    </row>
    <row r="49242" spans="18:19">
      <c r="R49242" s="178"/>
      <c r="S49242" s="178"/>
    </row>
    <row r="49243" spans="18:19">
      <c r="R49243" s="178"/>
      <c r="S49243" s="178"/>
    </row>
    <row r="49244" spans="18:19">
      <c r="R49244" s="178"/>
      <c r="S49244" s="178"/>
    </row>
    <row r="49245" spans="18:19">
      <c r="R49245" s="178"/>
      <c r="S49245" s="178"/>
    </row>
    <row r="49246" spans="18:19">
      <c r="R49246" s="178"/>
      <c r="S49246" s="178"/>
    </row>
    <row r="49247" spans="18:19">
      <c r="R49247" s="178"/>
      <c r="S49247" s="178"/>
    </row>
    <row r="49248" spans="18:19">
      <c r="R49248" s="178"/>
      <c r="S49248" s="178"/>
    </row>
    <row r="49249" spans="18:19">
      <c r="R49249" s="178"/>
      <c r="S49249" s="178"/>
    </row>
    <row r="49250" spans="18:19">
      <c r="R49250" s="178"/>
      <c r="S49250" s="178"/>
    </row>
    <row r="49251" spans="18:19">
      <c r="R49251" s="178"/>
      <c r="S49251" s="178"/>
    </row>
    <row r="49252" spans="18:19">
      <c r="R49252" s="178"/>
      <c r="S49252" s="178"/>
    </row>
    <row r="49253" spans="18:19">
      <c r="R49253" s="178"/>
      <c r="S49253" s="178"/>
    </row>
    <row r="49254" spans="18:19">
      <c r="R49254" s="178"/>
      <c r="S49254" s="178"/>
    </row>
    <row r="49255" spans="18:19">
      <c r="R49255" s="178"/>
      <c r="S49255" s="178"/>
    </row>
    <row r="49256" spans="18:19">
      <c r="R49256" s="178"/>
      <c r="S49256" s="178"/>
    </row>
    <row r="49257" spans="18:19">
      <c r="R49257" s="178"/>
      <c r="S49257" s="178"/>
    </row>
    <row r="49258" spans="18:19">
      <c r="R49258" s="178"/>
      <c r="S49258" s="178"/>
    </row>
    <row r="49259" spans="18:19">
      <c r="R49259" s="178"/>
      <c r="S49259" s="178"/>
    </row>
    <row r="49260" spans="18:19">
      <c r="R49260" s="178"/>
      <c r="S49260" s="178"/>
    </row>
    <row r="49261" spans="18:19">
      <c r="R49261" s="178"/>
      <c r="S49261" s="178"/>
    </row>
    <row r="49262" spans="18:19">
      <c r="R49262" s="178"/>
      <c r="S49262" s="178"/>
    </row>
    <row r="49263" spans="18:19">
      <c r="R49263" s="178"/>
      <c r="S49263" s="178"/>
    </row>
    <row r="49264" spans="18:19">
      <c r="R49264" s="178"/>
      <c r="S49264" s="178"/>
    </row>
    <row r="49265" spans="18:19">
      <c r="R49265" s="178"/>
      <c r="S49265" s="178"/>
    </row>
    <row r="49266" spans="18:19">
      <c r="R49266" s="178"/>
      <c r="S49266" s="178"/>
    </row>
    <row r="49267" spans="18:19">
      <c r="R49267" s="178"/>
      <c r="S49267" s="178"/>
    </row>
    <row r="49268" spans="18:19">
      <c r="R49268" s="178"/>
      <c r="S49268" s="178"/>
    </row>
    <row r="49269" spans="18:19">
      <c r="R49269" s="178"/>
      <c r="S49269" s="178"/>
    </row>
    <row r="49270" spans="18:19">
      <c r="R49270" s="178"/>
      <c r="S49270" s="178"/>
    </row>
    <row r="49271" spans="18:19">
      <c r="R49271" s="178"/>
      <c r="S49271" s="178"/>
    </row>
    <row r="49272" spans="18:19">
      <c r="R49272" s="178"/>
      <c r="S49272" s="178"/>
    </row>
    <row r="49273" spans="18:19">
      <c r="R49273" s="178"/>
      <c r="S49273" s="178"/>
    </row>
    <row r="49274" spans="18:19">
      <c r="R49274" s="178"/>
      <c r="S49274" s="178"/>
    </row>
    <row r="49275" spans="18:19">
      <c r="R49275" s="178"/>
      <c r="S49275" s="178"/>
    </row>
    <row r="49276" spans="18:19">
      <c r="R49276" s="178"/>
      <c r="S49276" s="178"/>
    </row>
    <row r="49277" spans="18:19">
      <c r="R49277" s="178"/>
      <c r="S49277" s="178"/>
    </row>
    <row r="49278" spans="18:19">
      <c r="R49278" s="178"/>
      <c r="S49278" s="178"/>
    </row>
    <row r="49279" spans="18:19">
      <c r="R49279" s="178"/>
      <c r="S49279" s="178"/>
    </row>
    <row r="49280" spans="18:19">
      <c r="R49280" s="178"/>
      <c r="S49280" s="178"/>
    </row>
    <row r="49281" spans="18:19">
      <c r="R49281" s="178"/>
      <c r="S49281" s="178"/>
    </row>
    <row r="49282" spans="18:19">
      <c r="R49282" s="178"/>
      <c r="S49282" s="178"/>
    </row>
    <row r="49283" spans="18:19">
      <c r="R49283" s="178"/>
      <c r="S49283" s="178"/>
    </row>
    <row r="49284" spans="18:19">
      <c r="R49284" s="178"/>
      <c r="S49284" s="178"/>
    </row>
    <row r="49285" spans="18:19">
      <c r="R49285" s="178"/>
      <c r="S49285" s="178"/>
    </row>
    <row r="49286" spans="18:19">
      <c r="R49286" s="178"/>
      <c r="S49286" s="178"/>
    </row>
    <row r="49287" spans="18:19">
      <c r="R49287" s="178"/>
      <c r="S49287" s="178"/>
    </row>
    <row r="49288" spans="18:19">
      <c r="R49288" s="178"/>
      <c r="S49288" s="178"/>
    </row>
    <row r="49289" spans="18:19">
      <c r="R49289" s="178"/>
      <c r="S49289" s="178"/>
    </row>
    <row r="49290" spans="18:19">
      <c r="R49290" s="178"/>
      <c r="S49290" s="178"/>
    </row>
    <row r="49291" spans="18:19">
      <c r="R49291" s="178"/>
      <c r="S49291" s="178"/>
    </row>
    <row r="49292" spans="18:19">
      <c r="R49292" s="178"/>
      <c r="S49292" s="178"/>
    </row>
    <row r="49293" spans="18:19">
      <c r="R49293" s="178"/>
      <c r="S49293" s="178"/>
    </row>
    <row r="49294" spans="18:19">
      <c r="R49294" s="178"/>
      <c r="S49294" s="178"/>
    </row>
    <row r="49295" spans="18:19">
      <c r="R49295" s="178"/>
      <c r="S49295" s="178"/>
    </row>
    <row r="49296" spans="18:19">
      <c r="R49296" s="178"/>
      <c r="S49296" s="178"/>
    </row>
    <row r="49297" spans="18:19">
      <c r="R49297" s="178"/>
      <c r="S49297" s="178"/>
    </row>
    <row r="49298" spans="18:19">
      <c r="R49298" s="178"/>
      <c r="S49298" s="178"/>
    </row>
    <row r="49299" spans="18:19">
      <c r="R49299" s="178"/>
      <c r="S49299" s="178"/>
    </row>
    <row r="49300" spans="18:19">
      <c r="R49300" s="178"/>
      <c r="S49300" s="178"/>
    </row>
    <row r="49301" spans="18:19">
      <c r="R49301" s="178"/>
      <c r="S49301" s="178"/>
    </row>
    <row r="49302" spans="18:19">
      <c r="R49302" s="178"/>
      <c r="S49302" s="178"/>
    </row>
    <row r="49303" spans="18:19">
      <c r="R49303" s="178"/>
      <c r="S49303" s="178"/>
    </row>
    <row r="49304" spans="18:19">
      <c r="R49304" s="178"/>
      <c r="S49304" s="178"/>
    </row>
    <row r="49305" spans="18:19">
      <c r="R49305" s="178"/>
      <c r="S49305" s="178"/>
    </row>
    <row r="49306" spans="18:19">
      <c r="R49306" s="178"/>
      <c r="S49306" s="178"/>
    </row>
    <row r="49307" spans="18:19">
      <c r="R49307" s="178"/>
      <c r="S49307" s="178"/>
    </row>
    <row r="49308" spans="18:19">
      <c r="R49308" s="178"/>
      <c r="S49308" s="178"/>
    </row>
    <row r="49309" spans="18:19">
      <c r="R49309" s="178"/>
      <c r="S49309" s="178"/>
    </row>
    <row r="49310" spans="18:19">
      <c r="R49310" s="178"/>
      <c r="S49310" s="178"/>
    </row>
    <row r="49311" spans="18:19">
      <c r="R49311" s="178"/>
      <c r="S49311" s="178"/>
    </row>
    <row r="49312" spans="18:19">
      <c r="R49312" s="178"/>
      <c r="S49312" s="178"/>
    </row>
    <row r="49313" spans="18:19">
      <c r="R49313" s="178"/>
      <c r="S49313" s="178"/>
    </row>
    <row r="49314" spans="18:19">
      <c r="R49314" s="178"/>
      <c r="S49314" s="178"/>
    </row>
    <row r="49315" spans="18:19">
      <c r="R49315" s="178"/>
      <c r="S49315" s="178"/>
    </row>
    <row r="49316" spans="18:19">
      <c r="R49316" s="178"/>
      <c r="S49316" s="178"/>
    </row>
    <row r="49317" spans="18:19">
      <c r="R49317" s="178"/>
      <c r="S49317" s="178"/>
    </row>
    <row r="49318" spans="18:19">
      <c r="R49318" s="178"/>
      <c r="S49318" s="178"/>
    </row>
    <row r="49319" spans="18:19">
      <c r="R49319" s="178"/>
      <c r="S49319" s="178"/>
    </row>
    <row r="49320" spans="18:19">
      <c r="R49320" s="178"/>
      <c r="S49320" s="178"/>
    </row>
    <row r="49321" spans="18:19">
      <c r="R49321" s="178"/>
      <c r="S49321" s="178"/>
    </row>
    <row r="49322" spans="18:19">
      <c r="R49322" s="178"/>
      <c r="S49322" s="178"/>
    </row>
    <row r="49323" spans="18:19">
      <c r="R49323" s="178"/>
      <c r="S49323" s="178"/>
    </row>
    <row r="49324" spans="18:19">
      <c r="R49324" s="178"/>
      <c r="S49324" s="178"/>
    </row>
    <row r="49325" spans="18:19">
      <c r="R49325" s="178"/>
      <c r="S49325" s="178"/>
    </row>
    <row r="49326" spans="18:19">
      <c r="R49326" s="178"/>
      <c r="S49326" s="178"/>
    </row>
    <row r="49327" spans="18:19">
      <c r="R49327" s="178"/>
      <c r="S49327" s="178"/>
    </row>
    <row r="49328" spans="18:19">
      <c r="R49328" s="178"/>
      <c r="S49328" s="178"/>
    </row>
    <row r="49329" spans="18:19">
      <c r="R49329" s="178"/>
      <c r="S49329" s="178"/>
    </row>
    <row r="49330" spans="18:19">
      <c r="R49330" s="178"/>
      <c r="S49330" s="178"/>
    </row>
    <row r="49331" spans="18:19">
      <c r="R49331" s="178"/>
      <c r="S49331" s="178"/>
    </row>
    <row r="49332" spans="18:19">
      <c r="R49332" s="178"/>
      <c r="S49332" s="178"/>
    </row>
    <row r="49333" spans="18:19">
      <c r="R49333" s="178"/>
      <c r="S49333" s="178"/>
    </row>
    <row r="49334" spans="18:19">
      <c r="R49334" s="178"/>
      <c r="S49334" s="178"/>
    </row>
    <row r="49335" spans="18:19">
      <c r="R49335" s="178"/>
      <c r="S49335" s="178"/>
    </row>
    <row r="49336" spans="18:19">
      <c r="R49336" s="178"/>
      <c r="S49336" s="178"/>
    </row>
    <row r="49337" spans="18:19">
      <c r="R49337" s="178"/>
      <c r="S49337" s="178"/>
    </row>
    <row r="49338" spans="18:19">
      <c r="R49338" s="178"/>
      <c r="S49338" s="178"/>
    </row>
    <row r="49339" spans="18:19">
      <c r="R49339" s="178"/>
      <c r="S49339" s="178"/>
    </row>
    <row r="49340" spans="18:19">
      <c r="R49340" s="178"/>
      <c r="S49340" s="178"/>
    </row>
    <row r="49341" spans="18:19">
      <c r="R49341" s="178"/>
      <c r="S49341" s="178"/>
    </row>
    <row r="49342" spans="18:19">
      <c r="R49342" s="178"/>
      <c r="S49342" s="178"/>
    </row>
    <row r="49343" spans="18:19">
      <c r="R49343" s="178"/>
      <c r="S49343" s="178"/>
    </row>
    <row r="49344" spans="18:19">
      <c r="R49344" s="178"/>
      <c r="S49344" s="178"/>
    </row>
    <row r="49345" spans="18:19">
      <c r="R49345" s="178"/>
      <c r="S49345" s="178"/>
    </row>
    <row r="49346" spans="18:19">
      <c r="R49346" s="178"/>
      <c r="S49346" s="178"/>
    </row>
    <row r="49347" spans="18:19">
      <c r="R49347" s="178"/>
      <c r="S49347" s="178"/>
    </row>
    <row r="49348" spans="18:19">
      <c r="R49348" s="178"/>
      <c r="S49348" s="178"/>
    </row>
    <row r="49349" spans="18:19">
      <c r="R49349" s="178"/>
      <c r="S49349" s="178"/>
    </row>
    <row r="49350" spans="18:19">
      <c r="R49350" s="178"/>
      <c r="S49350" s="178"/>
    </row>
    <row r="49351" spans="18:19">
      <c r="R49351" s="178"/>
      <c r="S49351" s="178"/>
    </row>
    <row r="49352" spans="18:19">
      <c r="R49352" s="178"/>
      <c r="S49352" s="178"/>
    </row>
    <row r="49353" spans="18:19">
      <c r="R49353" s="178"/>
      <c r="S49353" s="178"/>
    </row>
    <row r="49354" spans="18:19">
      <c r="R49354" s="178"/>
      <c r="S49354" s="178"/>
    </row>
    <row r="49355" spans="18:19">
      <c r="R49355" s="178"/>
      <c r="S49355" s="178"/>
    </row>
    <row r="49356" spans="18:19">
      <c r="R49356" s="178"/>
      <c r="S49356" s="178"/>
    </row>
    <row r="49357" spans="18:19">
      <c r="R49357" s="178"/>
      <c r="S49357" s="178"/>
    </row>
    <row r="49358" spans="18:19">
      <c r="R49358" s="178"/>
      <c r="S49358" s="178"/>
    </row>
    <row r="49359" spans="18:19">
      <c r="R49359" s="178"/>
      <c r="S49359" s="178"/>
    </row>
    <row r="49360" spans="18:19">
      <c r="R49360" s="178"/>
      <c r="S49360" s="178"/>
    </row>
    <row r="49361" spans="18:19">
      <c r="R49361" s="178"/>
      <c r="S49361" s="178"/>
    </row>
    <row r="49362" spans="18:19">
      <c r="R49362" s="178"/>
      <c r="S49362" s="178"/>
    </row>
    <row r="49363" spans="18:19">
      <c r="R49363" s="178"/>
      <c r="S49363" s="178"/>
    </row>
    <row r="49364" spans="18:19">
      <c r="R49364" s="178"/>
      <c r="S49364" s="178"/>
    </row>
    <row r="49365" spans="18:19">
      <c r="R49365" s="178"/>
      <c r="S49365" s="178"/>
    </row>
    <row r="49366" spans="18:19">
      <c r="R49366" s="178"/>
      <c r="S49366" s="178"/>
    </row>
    <row r="49367" spans="18:19">
      <c r="R49367" s="178"/>
      <c r="S49367" s="178"/>
    </row>
    <row r="49368" spans="18:19">
      <c r="R49368" s="178"/>
      <c r="S49368" s="178"/>
    </row>
    <row r="49369" spans="18:19">
      <c r="R49369" s="178"/>
      <c r="S49369" s="178"/>
    </row>
    <row r="49370" spans="18:19">
      <c r="R49370" s="178"/>
      <c r="S49370" s="178"/>
    </row>
    <row r="49371" spans="18:19">
      <c r="R49371" s="178"/>
      <c r="S49371" s="178"/>
    </row>
    <row r="49372" spans="18:19">
      <c r="R49372" s="178"/>
      <c r="S49372" s="178"/>
    </row>
    <row r="49373" spans="18:19">
      <c r="R49373" s="178"/>
      <c r="S49373" s="178"/>
    </row>
    <row r="49374" spans="18:19">
      <c r="R49374" s="178"/>
      <c r="S49374" s="178"/>
    </row>
    <row r="49375" spans="18:19">
      <c r="R49375" s="178"/>
      <c r="S49375" s="178"/>
    </row>
    <row r="49376" spans="18:19">
      <c r="R49376" s="178"/>
      <c r="S49376" s="178"/>
    </row>
    <row r="49377" spans="18:19">
      <c r="R49377" s="178"/>
      <c r="S49377" s="178"/>
    </row>
    <row r="49378" spans="18:19">
      <c r="R49378" s="178"/>
      <c r="S49378" s="178"/>
    </row>
    <row r="49379" spans="18:19">
      <c r="R49379" s="178"/>
      <c r="S49379" s="178"/>
    </row>
    <row r="49380" spans="18:19">
      <c r="R49380" s="178"/>
      <c r="S49380" s="178"/>
    </row>
    <row r="49381" spans="18:19">
      <c r="R49381" s="178"/>
      <c r="S49381" s="178"/>
    </row>
    <row r="49382" spans="18:19">
      <c r="R49382" s="178"/>
      <c r="S49382" s="178"/>
    </row>
    <row r="49383" spans="18:19">
      <c r="R49383" s="178"/>
      <c r="S49383" s="178"/>
    </row>
    <row r="49384" spans="18:19">
      <c r="R49384" s="178"/>
      <c r="S49384" s="178"/>
    </row>
    <row r="49385" spans="18:19">
      <c r="R49385" s="178"/>
      <c r="S49385" s="178"/>
    </row>
    <row r="49386" spans="18:19">
      <c r="R49386" s="178"/>
      <c r="S49386" s="178"/>
    </row>
    <row r="49387" spans="18:19">
      <c r="R49387" s="178"/>
      <c r="S49387" s="178"/>
    </row>
    <row r="49388" spans="18:19">
      <c r="R49388" s="178"/>
      <c r="S49388" s="178"/>
    </row>
    <row r="49389" spans="18:19">
      <c r="R49389" s="178"/>
      <c r="S49389" s="178"/>
    </row>
    <row r="49390" spans="18:19">
      <c r="R49390" s="178"/>
      <c r="S49390" s="178"/>
    </row>
    <row r="49391" spans="18:19">
      <c r="R49391" s="178"/>
      <c r="S49391" s="178"/>
    </row>
    <row r="49392" spans="18:19">
      <c r="R49392" s="178"/>
      <c r="S49392" s="178"/>
    </row>
    <row r="49393" spans="18:19">
      <c r="R49393" s="178"/>
      <c r="S49393" s="178"/>
    </row>
    <row r="49394" spans="18:19">
      <c r="R49394" s="178"/>
      <c r="S49394" s="178"/>
    </row>
    <row r="49395" spans="18:19">
      <c r="R49395" s="178"/>
      <c r="S49395" s="178"/>
    </row>
    <row r="49396" spans="18:19">
      <c r="R49396" s="178"/>
      <c r="S49396" s="178"/>
    </row>
    <row r="49397" spans="18:19">
      <c r="R49397" s="178"/>
      <c r="S49397" s="178"/>
    </row>
    <row r="49398" spans="18:19">
      <c r="R49398" s="178"/>
      <c r="S49398" s="178"/>
    </row>
    <row r="49399" spans="18:19">
      <c r="R49399" s="178"/>
      <c r="S49399" s="178"/>
    </row>
    <row r="49400" spans="18:19">
      <c r="R49400" s="178"/>
      <c r="S49400" s="178"/>
    </row>
    <row r="49401" spans="18:19">
      <c r="R49401" s="178"/>
      <c r="S49401" s="178"/>
    </row>
    <row r="49402" spans="18:19">
      <c r="R49402" s="178"/>
      <c r="S49402" s="178"/>
    </row>
    <row r="49403" spans="18:19">
      <c r="R49403" s="178"/>
      <c r="S49403" s="178"/>
    </row>
    <row r="49404" spans="18:19">
      <c r="R49404" s="178"/>
      <c r="S49404" s="178"/>
    </row>
    <row r="49405" spans="18:19">
      <c r="R49405" s="178"/>
      <c r="S49405" s="178"/>
    </row>
    <row r="49406" spans="18:19">
      <c r="R49406" s="178"/>
      <c r="S49406" s="178"/>
    </row>
    <row r="49407" spans="18:19">
      <c r="R49407" s="178"/>
      <c r="S49407" s="178"/>
    </row>
    <row r="49408" spans="18:19">
      <c r="R49408" s="178"/>
      <c r="S49408" s="178"/>
    </row>
    <row r="49409" spans="18:19">
      <c r="R49409" s="178"/>
      <c r="S49409" s="178"/>
    </row>
    <row r="49410" spans="18:19">
      <c r="R49410" s="178"/>
      <c r="S49410" s="178"/>
    </row>
    <row r="49411" spans="18:19">
      <c r="R49411" s="178"/>
      <c r="S49411" s="178"/>
    </row>
    <row r="49412" spans="18:19">
      <c r="R49412" s="178"/>
      <c r="S49412" s="178"/>
    </row>
    <row r="49413" spans="18:19">
      <c r="R49413" s="178"/>
      <c r="S49413" s="178"/>
    </row>
    <row r="49414" spans="18:19">
      <c r="R49414" s="178"/>
      <c r="S49414" s="178"/>
    </row>
    <row r="49415" spans="18:19">
      <c r="R49415" s="178"/>
      <c r="S49415" s="178"/>
    </row>
    <row r="49416" spans="18:19">
      <c r="R49416" s="178"/>
      <c r="S49416" s="178"/>
    </row>
    <row r="49417" spans="18:19">
      <c r="R49417" s="178"/>
      <c r="S49417" s="178"/>
    </row>
    <row r="49418" spans="18:19">
      <c r="R49418" s="178"/>
      <c r="S49418" s="178"/>
    </row>
    <row r="49419" spans="18:19">
      <c r="R49419" s="178"/>
      <c r="S49419" s="178"/>
    </row>
    <row r="49420" spans="18:19">
      <c r="R49420" s="178"/>
      <c r="S49420" s="178"/>
    </row>
    <row r="49421" spans="18:19">
      <c r="R49421" s="178"/>
      <c r="S49421" s="178"/>
    </row>
    <row r="49422" spans="18:19">
      <c r="R49422" s="178"/>
      <c r="S49422" s="178"/>
    </row>
    <row r="49423" spans="18:19">
      <c r="R49423" s="178"/>
      <c r="S49423" s="178"/>
    </row>
    <row r="49424" spans="18:19">
      <c r="R49424" s="178"/>
      <c r="S49424" s="178"/>
    </row>
    <row r="49425" spans="18:19">
      <c r="R49425" s="178"/>
      <c r="S49425" s="178"/>
    </row>
    <row r="49426" spans="18:19">
      <c r="R49426" s="178"/>
      <c r="S49426" s="178"/>
    </row>
    <row r="49427" spans="18:19">
      <c r="R49427" s="178"/>
      <c r="S49427" s="178"/>
    </row>
    <row r="49428" spans="18:19">
      <c r="R49428" s="178"/>
      <c r="S49428" s="178"/>
    </row>
    <row r="49429" spans="18:19">
      <c r="R49429" s="178"/>
      <c r="S49429" s="178"/>
    </row>
    <row r="49430" spans="18:19">
      <c r="R49430" s="178"/>
      <c r="S49430" s="178"/>
    </row>
    <row r="49431" spans="18:19">
      <c r="R49431" s="178"/>
      <c r="S49431" s="178"/>
    </row>
    <row r="49432" spans="18:19">
      <c r="R49432" s="178"/>
      <c r="S49432" s="178"/>
    </row>
    <row r="49433" spans="18:19">
      <c r="R49433" s="178"/>
      <c r="S49433" s="178"/>
    </row>
    <row r="49434" spans="18:19">
      <c r="R49434" s="178"/>
      <c r="S49434" s="178"/>
    </row>
    <row r="49435" spans="18:19">
      <c r="R49435" s="178"/>
      <c r="S49435" s="178"/>
    </row>
    <row r="49436" spans="18:19">
      <c r="R49436" s="178"/>
      <c r="S49436" s="178"/>
    </row>
    <row r="49437" spans="18:19">
      <c r="R49437" s="178"/>
      <c r="S49437" s="178"/>
    </row>
    <row r="49438" spans="18:19">
      <c r="R49438" s="178"/>
      <c r="S49438" s="178"/>
    </row>
    <row r="49439" spans="18:19">
      <c r="R49439" s="178"/>
      <c r="S49439" s="178"/>
    </row>
    <row r="49440" spans="18:19">
      <c r="R49440" s="178"/>
      <c r="S49440" s="178"/>
    </row>
    <row r="49441" spans="18:19">
      <c r="R49441" s="178"/>
      <c r="S49441" s="178"/>
    </row>
    <row r="49442" spans="18:19">
      <c r="R49442" s="178"/>
      <c r="S49442" s="178"/>
    </row>
    <row r="49443" spans="18:19">
      <c r="R49443" s="178"/>
      <c r="S49443" s="178"/>
    </row>
    <row r="49444" spans="18:19">
      <c r="R49444" s="178"/>
      <c r="S49444" s="178"/>
    </row>
    <row r="49445" spans="18:19">
      <c r="R49445" s="178"/>
      <c r="S49445" s="178"/>
    </row>
    <row r="49446" spans="18:19">
      <c r="R49446" s="178"/>
      <c r="S49446" s="178"/>
    </row>
    <row r="49447" spans="18:19">
      <c r="R49447" s="178"/>
      <c r="S49447" s="178"/>
    </row>
    <row r="49448" spans="18:19">
      <c r="R49448" s="178"/>
      <c r="S49448" s="178"/>
    </row>
    <row r="49449" spans="18:19">
      <c r="R49449" s="178"/>
      <c r="S49449" s="178"/>
    </row>
    <row r="49450" spans="18:19">
      <c r="R49450" s="178"/>
      <c r="S49450" s="178"/>
    </row>
    <row r="49451" spans="18:19">
      <c r="R49451" s="178"/>
      <c r="S49451" s="178"/>
    </row>
    <row r="49452" spans="18:19">
      <c r="R49452" s="178"/>
      <c r="S49452" s="178"/>
    </row>
    <row r="49453" spans="18:19">
      <c r="R49453" s="178"/>
      <c r="S49453" s="178"/>
    </row>
    <row r="49454" spans="18:19">
      <c r="R49454" s="178"/>
      <c r="S49454" s="178"/>
    </row>
    <row r="49455" spans="18:19">
      <c r="R49455" s="178"/>
      <c r="S49455" s="178"/>
    </row>
    <row r="49456" spans="18:19">
      <c r="R49456" s="178"/>
      <c r="S49456" s="178"/>
    </row>
    <row r="49457" spans="18:19">
      <c r="R49457" s="178"/>
      <c r="S49457" s="178"/>
    </row>
    <row r="49458" spans="18:19">
      <c r="R49458" s="178"/>
      <c r="S49458" s="178"/>
    </row>
    <row r="49459" spans="18:19">
      <c r="R49459" s="178"/>
      <c r="S49459" s="178"/>
    </row>
    <row r="49460" spans="18:19">
      <c r="R49460" s="178"/>
      <c r="S49460" s="178"/>
    </row>
    <row r="49461" spans="18:19">
      <c r="R49461" s="178"/>
      <c r="S49461" s="178"/>
    </row>
    <row r="49462" spans="18:19">
      <c r="R49462" s="178"/>
      <c r="S49462" s="178"/>
    </row>
    <row r="49463" spans="18:19">
      <c r="R49463" s="178"/>
      <c r="S49463" s="178"/>
    </row>
    <row r="49464" spans="18:19">
      <c r="R49464" s="178"/>
      <c r="S49464" s="178"/>
    </row>
    <row r="49465" spans="18:19">
      <c r="R49465" s="178"/>
      <c r="S49465" s="178"/>
    </row>
    <row r="49466" spans="18:19">
      <c r="R49466" s="178"/>
      <c r="S49466" s="178"/>
    </row>
    <row r="49467" spans="18:19">
      <c r="R49467" s="178"/>
      <c r="S49467" s="178"/>
    </row>
    <row r="49468" spans="18:19">
      <c r="R49468" s="178"/>
      <c r="S49468" s="178"/>
    </row>
    <row r="49469" spans="18:19">
      <c r="R49469" s="178"/>
      <c r="S49469" s="178"/>
    </row>
    <row r="49470" spans="18:19">
      <c r="R49470" s="178"/>
      <c r="S49470" s="178"/>
    </row>
    <row r="49471" spans="18:19">
      <c r="R49471" s="178"/>
      <c r="S49471" s="178"/>
    </row>
    <row r="49472" spans="18:19">
      <c r="R49472" s="178"/>
      <c r="S49472" s="178"/>
    </row>
    <row r="49473" spans="18:19">
      <c r="R49473" s="178"/>
      <c r="S49473" s="178"/>
    </row>
    <row r="49474" spans="18:19">
      <c r="R49474" s="178"/>
      <c r="S49474" s="178"/>
    </row>
    <row r="49475" spans="18:19">
      <c r="R49475" s="178"/>
      <c r="S49475" s="178"/>
    </row>
    <row r="49476" spans="18:19">
      <c r="R49476" s="178"/>
      <c r="S49476" s="178"/>
    </row>
    <row r="49477" spans="18:19">
      <c r="R49477" s="178"/>
      <c r="S49477" s="178"/>
    </row>
    <row r="49478" spans="18:19">
      <c r="R49478" s="178"/>
      <c r="S49478" s="178"/>
    </row>
    <row r="49479" spans="18:19">
      <c r="R49479" s="178"/>
      <c r="S49479" s="178"/>
    </row>
    <row r="49480" spans="18:19">
      <c r="R49480" s="178"/>
      <c r="S49480" s="178"/>
    </row>
    <row r="49481" spans="18:19">
      <c r="R49481" s="178"/>
      <c r="S49481" s="178"/>
    </row>
    <row r="49482" spans="18:19">
      <c r="R49482" s="178"/>
      <c r="S49482" s="178"/>
    </row>
    <row r="49483" spans="18:19">
      <c r="R49483" s="178"/>
      <c r="S49483" s="178"/>
    </row>
    <row r="49484" spans="18:19">
      <c r="R49484" s="178"/>
      <c r="S49484" s="178"/>
    </row>
    <row r="49485" spans="18:19">
      <c r="R49485" s="178"/>
      <c r="S49485" s="178"/>
    </row>
    <row r="49486" spans="18:19">
      <c r="R49486" s="178"/>
      <c r="S49486" s="178"/>
    </row>
    <row r="49487" spans="18:19">
      <c r="R49487" s="178"/>
      <c r="S49487" s="178"/>
    </row>
    <row r="49488" spans="18:19">
      <c r="R49488" s="178"/>
      <c r="S49488" s="178"/>
    </row>
    <row r="49489" spans="18:19">
      <c r="R49489" s="178"/>
      <c r="S49489" s="178"/>
    </row>
    <row r="49490" spans="18:19">
      <c r="R49490" s="178"/>
      <c r="S49490" s="178"/>
    </row>
    <row r="49491" spans="18:19">
      <c r="R49491" s="178"/>
      <c r="S49491" s="178"/>
    </row>
    <row r="49492" spans="18:19">
      <c r="R49492" s="178"/>
      <c r="S49492" s="178"/>
    </row>
    <row r="49493" spans="18:19">
      <c r="R49493" s="178"/>
      <c r="S49493" s="178"/>
    </row>
    <row r="49494" spans="18:19">
      <c r="R49494" s="178"/>
      <c r="S49494" s="178"/>
    </row>
    <row r="49495" spans="18:19">
      <c r="R49495" s="178"/>
      <c r="S49495" s="178"/>
    </row>
    <row r="49496" spans="18:19">
      <c r="R49496" s="178"/>
      <c r="S49496" s="178"/>
    </row>
    <row r="49497" spans="18:19">
      <c r="R49497" s="178"/>
      <c r="S49497" s="178"/>
    </row>
    <row r="49498" spans="18:19">
      <c r="R49498" s="178"/>
      <c r="S49498" s="178"/>
    </row>
    <row r="49499" spans="18:19">
      <c r="R49499" s="178"/>
      <c r="S49499" s="178"/>
    </row>
    <row r="49500" spans="18:19">
      <c r="R49500" s="178"/>
      <c r="S49500" s="178"/>
    </row>
    <row r="49501" spans="18:19">
      <c r="R49501" s="178"/>
      <c r="S49501" s="178"/>
    </row>
    <row r="49502" spans="18:19">
      <c r="R49502" s="178"/>
      <c r="S49502" s="178"/>
    </row>
    <row r="49503" spans="18:19">
      <c r="R49503" s="178"/>
      <c r="S49503" s="178"/>
    </row>
    <row r="49504" spans="18:19">
      <c r="R49504" s="178"/>
      <c r="S49504" s="178"/>
    </row>
    <row r="49505" spans="18:19">
      <c r="R49505" s="178"/>
      <c r="S49505" s="178"/>
    </row>
    <row r="49506" spans="18:19">
      <c r="R49506" s="178"/>
      <c r="S49506" s="178"/>
    </row>
    <row r="49507" spans="18:19">
      <c r="R49507" s="178"/>
      <c r="S49507" s="178"/>
    </row>
    <row r="49508" spans="18:19">
      <c r="R49508" s="178"/>
      <c r="S49508" s="178"/>
    </row>
    <row r="49509" spans="18:19">
      <c r="R49509" s="178"/>
      <c r="S49509" s="178"/>
    </row>
    <row r="49510" spans="18:19">
      <c r="R49510" s="178"/>
      <c r="S49510" s="178"/>
    </row>
    <row r="49511" spans="18:19">
      <c r="R49511" s="178"/>
      <c r="S49511" s="178"/>
    </row>
    <row r="49512" spans="18:19">
      <c r="R49512" s="178"/>
      <c r="S49512" s="178"/>
    </row>
    <row r="49513" spans="18:19">
      <c r="R49513" s="178"/>
      <c r="S49513" s="178"/>
    </row>
    <row r="49514" spans="18:19">
      <c r="R49514" s="178"/>
      <c r="S49514" s="178"/>
    </row>
    <row r="49515" spans="18:19">
      <c r="R49515" s="178"/>
      <c r="S49515" s="178"/>
    </row>
    <row r="49516" spans="18:19">
      <c r="R49516" s="178"/>
      <c r="S49516" s="178"/>
    </row>
    <row r="49517" spans="18:19">
      <c r="R49517" s="178"/>
      <c r="S49517" s="178"/>
    </row>
    <row r="49518" spans="18:19">
      <c r="R49518" s="178"/>
      <c r="S49518" s="178"/>
    </row>
    <row r="49519" spans="18:19">
      <c r="R49519" s="178"/>
      <c r="S49519" s="178"/>
    </row>
    <row r="49520" spans="18:19">
      <c r="R49520" s="178"/>
      <c r="S49520" s="178"/>
    </row>
    <row r="49521" spans="18:19">
      <c r="R49521" s="178"/>
      <c r="S49521" s="178"/>
    </row>
    <row r="49522" spans="18:19">
      <c r="R49522" s="178"/>
      <c r="S49522" s="178"/>
    </row>
    <row r="49523" spans="18:19">
      <c r="R49523" s="178"/>
      <c r="S49523" s="178"/>
    </row>
    <row r="49524" spans="18:19">
      <c r="R49524" s="178"/>
      <c r="S49524" s="178"/>
    </row>
    <row r="49525" spans="18:19">
      <c r="R49525" s="178"/>
      <c r="S49525" s="178"/>
    </row>
    <row r="49526" spans="18:19">
      <c r="R49526" s="178"/>
      <c r="S49526" s="178"/>
    </row>
    <row r="49527" spans="18:19">
      <c r="R49527" s="178"/>
      <c r="S49527" s="178"/>
    </row>
    <row r="49528" spans="18:19">
      <c r="R49528" s="178"/>
      <c r="S49528" s="178"/>
    </row>
    <row r="49529" spans="18:19">
      <c r="R49529" s="178"/>
      <c r="S49529" s="178"/>
    </row>
    <row r="49530" spans="18:19">
      <c r="R49530" s="178"/>
      <c r="S49530" s="178"/>
    </row>
    <row r="49531" spans="18:19">
      <c r="R49531" s="178"/>
      <c r="S49531" s="178"/>
    </row>
    <row r="49532" spans="18:19">
      <c r="R49532" s="178"/>
      <c r="S49532" s="178"/>
    </row>
    <row r="49533" spans="18:19">
      <c r="R49533" s="178"/>
      <c r="S49533" s="178"/>
    </row>
    <row r="49534" spans="18:19">
      <c r="R49534" s="178"/>
      <c r="S49534" s="178"/>
    </row>
    <row r="49535" spans="18:19">
      <c r="R49535" s="178"/>
      <c r="S49535" s="178"/>
    </row>
    <row r="49536" spans="18:19">
      <c r="R49536" s="178"/>
      <c r="S49536" s="178"/>
    </row>
    <row r="49537" spans="18:19">
      <c r="R49537" s="178"/>
      <c r="S49537" s="178"/>
    </row>
    <row r="49538" spans="18:19">
      <c r="R49538" s="178"/>
      <c r="S49538" s="178"/>
    </row>
    <row r="49539" spans="18:19">
      <c r="R49539" s="178"/>
      <c r="S49539" s="178"/>
    </row>
    <row r="49540" spans="18:19">
      <c r="R49540" s="178"/>
      <c r="S49540" s="178"/>
    </row>
    <row r="49541" spans="18:19">
      <c r="R49541" s="178"/>
      <c r="S49541" s="178"/>
    </row>
    <row r="49542" spans="18:19">
      <c r="R49542" s="178"/>
      <c r="S49542" s="178"/>
    </row>
    <row r="49543" spans="18:19">
      <c r="R49543" s="178"/>
      <c r="S49543" s="178"/>
    </row>
    <row r="49544" spans="18:19">
      <c r="R49544" s="178"/>
      <c r="S49544" s="178"/>
    </row>
    <row r="49545" spans="18:19">
      <c r="R49545" s="178"/>
      <c r="S49545" s="178"/>
    </row>
    <row r="49546" spans="18:19">
      <c r="R49546" s="178"/>
      <c r="S49546" s="178"/>
    </row>
    <row r="49547" spans="18:19">
      <c r="R49547" s="178"/>
      <c r="S49547" s="178"/>
    </row>
    <row r="49548" spans="18:19">
      <c r="R49548" s="178"/>
      <c r="S49548" s="178"/>
    </row>
    <row r="49549" spans="18:19">
      <c r="R49549" s="178"/>
      <c r="S49549" s="178"/>
    </row>
    <row r="49550" spans="18:19">
      <c r="R49550" s="178"/>
      <c r="S49550" s="178"/>
    </row>
    <row r="49551" spans="18:19">
      <c r="R49551" s="178"/>
      <c r="S49551" s="178"/>
    </row>
    <row r="49552" spans="18:19">
      <c r="R49552" s="178"/>
      <c r="S49552" s="178"/>
    </row>
    <row r="49553" spans="18:19">
      <c r="R49553" s="178"/>
      <c r="S49553" s="178"/>
    </row>
    <row r="49554" spans="18:19">
      <c r="R49554" s="178"/>
      <c r="S49554" s="178"/>
    </row>
    <row r="49555" spans="18:19">
      <c r="R49555" s="178"/>
      <c r="S49555" s="178"/>
    </row>
    <row r="49556" spans="18:19">
      <c r="R49556" s="178"/>
      <c r="S49556" s="178"/>
    </row>
    <row r="49557" spans="18:19">
      <c r="R49557" s="178"/>
      <c r="S49557" s="178"/>
    </row>
    <row r="49558" spans="18:19">
      <c r="R49558" s="178"/>
      <c r="S49558" s="178"/>
    </row>
    <row r="49559" spans="18:19">
      <c r="R49559" s="178"/>
      <c r="S49559" s="178"/>
    </row>
    <row r="49560" spans="18:19">
      <c r="R49560" s="178"/>
      <c r="S49560" s="178"/>
    </row>
    <row r="49561" spans="18:19">
      <c r="R49561" s="178"/>
      <c r="S49561" s="178"/>
    </row>
    <row r="49562" spans="18:19">
      <c r="R49562" s="178"/>
      <c r="S49562" s="178"/>
    </row>
    <row r="49563" spans="18:19">
      <c r="R49563" s="178"/>
      <c r="S49563" s="178"/>
    </row>
    <row r="49564" spans="18:19">
      <c r="R49564" s="178"/>
      <c r="S49564" s="178"/>
    </row>
    <row r="49565" spans="18:19">
      <c r="R49565" s="178"/>
      <c r="S49565" s="178"/>
    </row>
    <row r="49566" spans="18:19">
      <c r="R49566" s="178"/>
      <c r="S49566" s="178"/>
    </row>
    <row r="49567" spans="18:19">
      <c r="R49567" s="178"/>
      <c r="S49567" s="178"/>
    </row>
    <row r="49568" spans="18:19">
      <c r="R49568" s="178"/>
      <c r="S49568" s="178"/>
    </row>
    <row r="49569" spans="18:19">
      <c r="R49569" s="178"/>
      <c r="S49569" s="178"/>
    </row>
    <row r="49570" spans="18:19">
      <c r="R49570" s="178"/>
      <c r="S49570" s="178"/>
    </row>
    <row r="49571" spans="18:19">
      <c r="R49571" s="178"/>
      <c r="S49571" s="178"/>
    </row>
    <row r="49572" spans="18:19">
      <c r="R49572" s="178"/>
      <c r="S49572" s="178"/>
    </row>
    <row r="49573" spans="18:19">
      <c r="R49573" s="178"/>
      <c r="S49573" s="178"/>
    </row>
    <row r="49574" spans="18:19">
      <c r="R49574" s="178"/>
      <c r="S49574" s="178"/>
    </row>
    <row r="49575" spans="18:19">
      <c r="R49575" s="178"/>
      <c r="S49575" s="178"/>
    </row>
    <row r="49576" spans="18:19">
      <c r="R49576" s="178"/>
      <c r="S49576" s="178"/>
    </row>
    <row r="49577" spans="18:19">
      <c r="R49577" s="178"/>
      <c r="S49577" s="178"/>
    </row>
    <row r="49578" spans="18:19">
      <c r="R49578" s="178"/>
      <c r="S49578" s="178"/>
    </row>
    <row r="49579" spans="18:19">
      <c r="R49579" s="178"/>
      <c r="S49579" s="178"/>
    </row>
    <row r="49580" spans="18:19">
      <c r="R49580" s="178"/>
      <c r="S49580" s="178"/>
    </row>
    <row r="49581" spans="18:19">
      <c r="R49581" s="178"/>
      <c r="S49581" s="178"/>
    </row>
    <row r="49582" spans="18:19">
      <c r="R49582" s="178"/>
      <c r="S49582" s="178"/>
    </row>
    <row r="49583" spans="18:19">
      <c r="R49583" s="178"/>
      <c r="S49583" s="178"/>
    </row>
    <row r="49584" spans="18:19">
      <c r="R49584" s="178"/>
      <c r="S49584" s="178"/>
    </row>
    <row r="49585" spans="18:19">
      <c r="R49585" s="178"/>
      <c r="S49585" s="178"/>
    </row>
    <row r="49586" spans="18:19">
      <c r="R49586" s="178"/>
      <c r="S49586" s="178"/>
    </row>
    <row r="49587" spans="18:19">
      <c r="R49587" s="178"/>
      <c r="S49587" s="178"/>
    </row>
    <row r="49588" spans="18:19">
      <c r="R49588" s="178"/>
      <c r="S49588" s="178"/>
    </row>
    <row r="49589" spans="18:19">
      <c r="R49589" s="178"/>
      <c r="S49589" s="178"/>
    </row>
    <row r="49590" spans="18:19">
      <c r="R49590" s="178"/>
      <c r="S49590" s="178"/>
    </row>
    <row r="49591" spans="18:19">
      <c r="R49591" s="178"/>
      <c r="S49591" s="178"/>
    </row>
    <row r="49592" spans="18:19">
      <c r="R49592" s="178"/>
      <c r="S49592" s="178"/>
    </row>
    <row r="49593" spans="18:19">
      <c r="R49593" s="178"/>
      <c r="S49593" s="178"/>
    </row>
    <row r="49594" spans="18:19">
      <c r="R49594" s="178"/>
      <c r="S49594" s="178"/>
    </row>
    <row r="49595" spans="18:19">
      <c r="R49595" s="178"/>
      <c r="S49595" s="178"/>
    </row>
    <row r="49596" spans="18:19">
      <c r="R49596" s="178"/>
      <c r="S49596" s="178"/>
    </row>
    <row r="49597" spans="18:19">
      <c r="R49597" s="178"/>
      <c r="S49597" s="178"/>
    </row>
    <row r="49598" spans="18:19">
      <c r="R49598" s="178"/>
      <c r="S49598" s="178"/>
    </row>
    <row r="49599" spans="18:19">
      <c r="R49599" s="178"/>
      <c r="S49599" s="178"/>
    </row>
    <row r="49600" spans="18:19">
      <c r="R49600" s="178"/>
      <c r="S49600" s="178"/>
    </row>
    <row r="49601" spans="18:19">
      <c r="R49601" s="178"/>
      <c r="S49601" s="178"/>
    </row>
    <row r="49602" spans="18:19">
      <c r="R49602" s="178"/>
      <c r="S49602" s="178"/>
    </row>
    <row r="49603" spans="18:19">
      <c r="R49603" s="178"/>
      <c r="S49603" s="178"/>
    </row>
    <row r="49604" spans="18:19">
      <c r="R49604" s="178"/>
      <c r="S49604" s="178"/>
    </row>
    <row r="49605" spans="18:19">
      <c r="R49605" s="178"/>
      <c r="S49605" s="178"/>
    </row>
    <row r="49606" spans="18:19">
      <c r="R49606" s="178"/>
      <c r="S49606" s="178"/>
    </row>
    <row r="49607" spans="18:19">
      <c r="R49607" s="178"/>
      <c r="S49607" s="178"/>
    </row>
    <row r="49608" spans="18:19">
      <c r="R49608" s="178"/>
      <c r="S49608" s="178"/>
    </row>
    <row r="49609" spans="18:19">
      <c r="R49609" s="178"/>
      <c r="S49609" s="178"/>
    </row>
    <row r="49610" spans="18:19">
      <c r="R49610" s="178"/>
      <c r="S49610" s="178"/>
    </row>
    <row r="49611" spans="18:19">
      <c r="R49611" s="178"/>
      <c r="S49611" s="178"/>
    </row>
    <row r="49612" spans="18:19">
      <c r="R49612" s="178"/>
      <c r="S49612" s="178"/>
    </row>
    <row r="49613" spans="18:19">
      <c r="R49613" s="178"/>
      <c r="S49613" s="178"/>
    </row>
    <row r="49614" spans="18:19">
      <c r="R49614" s="178"/>
      <c r="S49614" s="178"/>
    </row>
    <row r="49615" spans="18:19">
      <c r="R49615" s="178"/>
      <c r="S49615" s="178"/>
    </row>
    <row r="49616" spans="18:19">
      <c r="R49616" s="178"/>
      <c r="S49616" s="178"/>
    </row>
    <row r="49617" spans="18:19">
      <c r="R49617" s="178"/>
      <c r="S49617" s="178"/>
    </row>
    <row r="49618" spans="18:19">
      <c r="R49618" s="178"/>
      <c r="S49618" s="178"/>
    </row>
    <row r="49619" spans="18:19">
      <c r="R49619" s="178"/>
      <c r="S49619" s="178"/>
    </row>
    <row r="49620" spans="18:19">
      <c r="R49620" s="178"/>
      <c r="S49620" s="178"/>
    </row>
    <row r="49621" spans="18:19">
      <c r="R49621" s="178"/>
      <c r="S49621" s="178"/>
    </row>
    <row r="49622" spans="18:19">
      <c r="R49622" s="178"/>
      <c r="S49622" s="178"/>
    </row>
    <row r="49623" spans="18:19">
      <c r="R49623" s="178"/>
      <c r="S49623" s="178"/>
    </row>
    <row r="49624" spans="18:19">
      <c r="R49624" s="178"/>
      <c r="S49624" s="178"/>
    </row>
    <row r="49625" spans="18:19">
      <c r="R49625" s="178"/>
      <c r="S49625" s="178"/>
    </row>
    <row r="49626" spans="18:19">
      <c r="R49626" s="178"/>
      <c r="S49626" s="178"/>
    </row>
    <row r="49627" spans="18:19">
      <c r="R49627" s="178"/>
      <c r="S49627" s="178"/>
    </row>
    <row r="49628" spans="18:19">
      <c r="R49628" s="178"/>
      <c r="S49628" s="178"/>
    </row>
    <row r="49629" spans="18:19">
      <c r="R49629" s="178"/>
      <c r="S49629" s="178"/>
    </row>
    <row r="49630" spans="18:19">
      <c r="R49630" s="178"/>
      <c r="S49630" s="178"/>
    </row>
    <row r="49631" spans="18:19">
      <c r="R49631" s="178"/>
      <c r="S49631" s="178"/>
    </row>
    <row r="49632" spans="18:19">
      <c r="R49632" s="178"/>
      <c r="S49632" s="178"/>
    </row>
    <row r="49633" spans="18:19">
      <c r="R49633" s="178"/>
      <c r="S49633" s="178"/>
    </row>
    <row r="49634" spans="18:19">
      <c r="R49634" s="178"/>
      <c r="S49634" s="178"/>
    </row>
    <row r="49635" spans="18:19">
      <c r="R49635" s="178"/>
      <c r="S49635" s="178"/>
    </row>
    <row r="49636" spans="18:19">
      <c r="R49636" s="178"/>
      <c r="S49636" s="178"/>
    </row>
    <row r="49637" spans="18:19">
      <c r="R49637" s="178"/>
      <c r="S49637" s="178"/>
    </row>
    <row r="49638" spans="18:19">
      <c r="R49638" s="178"/>
      <c r="S49638" s="178"/>
    </row>
    <row r="49639" spans="18:19">
      <c r="R49639" s="178"/>
      <c r="S49639" s="178"/>
    </row>
    <row r="49640" spans="18:19">
      <c r="R49640" s="178"/>
      <c r="S49640" s="178"/>
    </row>
    <row r="49641" spans="18:19">
      <c r="R49641" s="178"/>
      <c r="S49641" s="178"/>
    </row>
    <row r="49642" spans="18:19">
      <c r="R49642" s="178"/>
      <c r="S49642" s="178"/>
    </row>
    <row r="49643" spans="18:19">
      <c r="R49643" s="178"/>
      <c r="S49643" s="178"/>
    </row>
    <row r="49644" spans="18:19">
      <c r="R49644" s="178"/>
      <c r="S49644" s="178"/>
    </row>
    <row r="49645" spans="18:19">
      <c r="R49645" s="178"/>
      <c r="S49645" s="178"/>
    </row>
    <row r="49646" spans="18:19">
      <c r="R49646" s="178"/>
      <c r="S49646" s="178"/>
    </row>
    <row r="49647" spans="18:19">
      <c r="R49647" s="178"/>
      <c r="S49647" s="178"/>
    </row>
    <row r="49648" spans="18:19">
      <c r="R49648" s="178"/>
      <c r="S49648" s="178"/>
    </row>
    <row r="49649" spans="18:19">
      <c r="R49649" s="178"/>
      <c r="S49649" s="178"/>
    </row>
    <row r="49650" spans="18:19">
      <c r="R49650" s="178"/>
      <c r="S49650" s="178"/>
    </row>
    <row r="49651" spans="18:19">
      <c r="R49651" s="178"/>
      <c r="S49651" s="178"/>
    </row>
    <row r="49652" spans="18:19">
      <c r="R49652" s="178"/>
      <c r="S49652" s="178"/>
    </row>
    <row r="49653" spans="18:19">
      <c r="R49653" s="178"/>
      <c r="S49653" s="178"/>
    </row>
    <row r="49654" spans="18:19">
      <c r="R49654" s="178"/>
      <c r="S49654" s="178"/>
    </row>
    <row r="49655" spans="18:19">
      <c r="R49655" s="178"/>
      <c r="S49655" s="178"/>
    </row>
    <row r="49656" spans="18:19">
      <c r="R49656" s="178"/>
      <c r="S49656" s="178"/>
    </row>
    <row r="49657" spans="18:19">
      <c r="R49657" s="178"/>
      <c r="S49657" s="178"/>
    </row>
    <row r="49658" spans="18:19">
      <c r="R49658" s="178"/>
      <c r="S49658" s="178"/>
    </row>
    <row r="49659" spans="18:19">
      <c r="R49659" s="178"/>
      <c r="S49659" s="178"/>
    </row>
    <row r="49660" spans="18:19">
      <c r="R49660" s="178"/>
      <c r="S49660" s="178"/>
    </row>
    <row r="49661" spans="18:19">
      <c r="R49661" s="178"/>
      <c r="S49661" s="178"/>
    </row>
    <row r="49662" spans="18:19">
      <c r="R49662" s="178"/>
      <c r="S49662" s="178"/>
    </row>
    <row r="49663" spans="18:19">
      <c r="R49663" s="178"/>
      <c r="S49663" s="178"/>
    </row>
    <row r="49664" spans="18:19">
      <c r="R49664" s="178"/>
      <c r="S49664" s="178"/>
    </row>
    <row r="49665" spans="18:19">
      <c r="R49665" s="178"/>
      <c r="S49665" s="178"/>
    </row>
    <row r="49666" spans="18:19">
      <c r="R49666" s="178"/>
      <c r="S49666" s="178"/>
    </row>
    <row r="49667" spans="18:19">
      <c r="R49667" s="178"/>
      <c r="S49667" s="178"/>
    </row>
    <row r="49668" spans="18:19">
      <c r="R49668" s="178"/>
      <c r="S49668" s="178"/>
    </row>
    <row r="49669" spans="18:19">
      <c r="R49669" s="178"/>
      <c r="S49669" s="178"/>
    </row>
    <row r="49670" spans="18:19">
      <c r="R49670" s="178"/>
      <c r="S49670" s="178"/>
    </row>
    <row r="49671" spans="18:19">
      <c r="R49671" s="178"/>
      <c r="S49671" s="178"/>
    </row>
    <row r="49672" spans="18:19">
      <c r="R49672" s="178"/>
      <c r="S49672" s="178"/>
    </row>
    <row r="49673" spans="18:19">
      <c r="R49673" s="178"/>
      <c r="S49673" s="178"/>
    </row>
    <row r="49674" spans="18:19">
      <c r="R49674" s="178"/>
      <c r="S49674" s="178"/>
    </row>
    <row r="49675" spans="18:19">
      <c r="R49675" s="178"/>
      <c r="S49675" s="178"/>
    </row>
    <row r="49676" spans="18:19">
      <c r="R49676" s="178"/>
      <c r="S49676" s="178"/>
    </row>
    <row r="49677" spans="18:19">
      <c r="R49677" s="178"/>
      <c r="S49677" s="178"/>
    </row>
    <row r="49678" spans="18:19">
      <c r="R49678" s="178"/>
      <c r="S49678" s="178"/>
    </row>
    <row r="49679" spans="18:19">
      <c r="R49679" s="178"/>
      <c r="S49679" s="178"/>
    </row>
    <row r="49680" spans="18:19">
      <c r="R49680" s="178"/>
      <c r="S49680" s="178"/>
    </row>
    <row r="49681" spans="18:19">
      <c r="R49681" s="178"/>
      <c r="S49681" s="178"/>
    </row>
    <row r="49682" spans="18:19">
      <c r="R49682" s="178"/>
      <c r="S49682" s="178"/>
    </row>
    <row r="49683" spans="18:19">
      <c r="R49683" s="178"/>
      <c r="S49683" s="178"/>
    </row>
    <row r="49684" spans="18:19">
      <c r="R49684" s="178"/>
      <c r="S49684" s="178"/>
    </row>
    <row r="49685" spans="18:19">
      <c r="R49685" s="178"/>
      <c r="S49685" s="178"/>
    </row>
    <row r="49686" spans="18:19">
      <c r="R49686" s="178"/>
      <c r="S49686" s="178"/>
    </row>
    <row r="49687" spans="18:19">
      <c r="R49687" s="178"/>
      <c r="S49687" s="178"/>
    </row>
    <row r="49688" spans="18:19">
      <c r="R49688" s="178"/>
      <c r="S49688" s="178"/>
    </row>
    <row r="49689" spans="18:19">
      <c r="R49689" s="178"/>
      <c r="S49689" s="178"/>
    </row>
    <row r="49690" spans="18:19">
      <c r="R49690" s="178"/>
      <c r="S49690" s="178"/>
    </row>
    <row r="49691" spans="18:19">
      <c r="R49691" s="178"/>
      <c r="S49691" s="178"/>
    </row>
    <row r="49692" spans="18:19">
      <c r="R49692" s="178"/>
      <c r="S49692" s="178"/>
    </row>
    <row r="49693" spans="18:19">
      <c r="R49693" s="178"/>
      <c r="S49693" s="178"/>
    </row>
    <row r="49694" spans="18:19">
      <c r="R49694" s="178"/>
      <c r="S49694" s="178"/>
    </row>
    <row r="49695" spans="18:19">
      <c r="R49695" s="178"/>
      <c r="S49695" s="178"/>
    </row>
    <row r="49696" spans="18:19">
      <c r="R49696" s="178"/>
      <c r="S49696" s="178"/>
    </row>
    <row r="49697" spans="18:19">
      <c r="R49697" s="178"/>
      <c r="S49697" s="178"/>
    </row>
    <row r="49698" spans="18:19">
      <c r="R49698" s="178"/>
      <c r="S49698" s="178"/>
    </row>
    <row r="49699" spans="18:19">
      <c r="R49699" s="178"/>
      <c r="S49699" s="178"/>
    </row>
    <row r="49700" spans="18:19">
      <c r="R49700" s="178"/>
      <c r="S49700" s="178"/>
    </row>
    <row r="49701" spans="18:19">
      <c r="R49701" s="178"/>
      <c r="S49701" s="178"/>
    </row>
    <row r="49702" spans="18:19">
      <c r="R49702" s="178"/>
      <c r="S49702" s="178"/>
    </row>
    <row r="49703" spans="18:19">
      <c r="R49703" s="178"/>
      <c r="S49703" s="178"/>
    </row>
    <row r="49704" spans="18:19">
      <c r="R49704" s="178"/>
      <c r="S49704" s="178"/>
    </row>
    <row r="49705" spans="18:19">
      <c r="R49705" s="178"/>
      <c r="S49705" s="178"/>
    </row>
    <row r="49706" spans="18:19">
      <c r="R49706" s="178"/>
      <c r="S49706" s="178"/>
    </row>
    <row r="49707" spans="18:19">
      <c r="R49707" s="178"/>
      <c r="S49707" s="178"/>
    </row>
    <row r="49708" spans="18:19">
      <c r="R49708" s="178"/>
      <c r="S49708" s="178"/>
    </row>
    <row r="49709" spans="18:19">
      <c r="R49709" s="178"/>
      <c r="S49709" s="178"/>
    </row>
    <row r="49710" spans="18:19">
      <c r="R49710" s="178"/>
      <c r="S49710" s="178"/>
    </row>
    <row r="49711" spans="18:19">
      <c r="R49711" s="178"/>
      <c r="S49711" s="178"/>
    </row>
    <row r="49712" spans="18:19">
      <c r="R49712" s="178"/>
      <c r="S49712" s="178"/>
    </row>
    <row r="49713" spans="18:19">
      <c r="R49713" s="178"/>
      <c r="S49713" s="178"/>
    </row>
    <row r="49714" spans="18:19">
      <c r="R49714" s="178"/>
      <c r="S49714" s="178"/>
    </row>
    <row r="49715" spans="18:19">
      <c r="R49715" s="178"/>
      <c r="S49715" s="178"/>
    </row>
    <row r="49716" spans="18:19">
      <c r="R49716" s="178"/>
      <c r="S49716" s="178"/>
    </row>
    <row r="49717" spans="18:19">
      <c r="R49717" s="178"/>
      <c r="S49717" s="178"/>
    </row>
    <row r="49718" spans="18:19">
      <c r="R49718" s="178"/>
      <c r="S49718" s="178"/>
    </row>
    <row r="49719" spans="18:19">
      <c r="R49719" s="178"/>
      <c r="S49719" s="178"/>
    </row>
    <row r="49720" spans="18:19">
      <c r="R49720" s="178"/>
      <c r="S49720" s="178"/>
    </row>
    <row r="49721" spans="18:19">
      <c r="R49721" s="178"/>
      <c r="S49721" s="178"/>
    </row>
    <row r="49722" spans="18:19">
      <c r="R49722" s="178"/>
      <c r="S49722" s="178"/>
    </row>
    <row r="49723" spans="18:19">
      <c r="R49723" s="178"/>
      <c r="S49723" s="178"/>
    </row>
    <row r="49724" spans="18:19">
      <c r="R49724" s="178"/>
      <c r="S49724" s="178"/>
    </row>
    <row r="49725" spans="18:19">
      <c r="R49725" s="178"/>
      <c r="S49725" s="178"/>
    </row>
    <row r="49726" spans="18:19">
      <c r="R49726" s="178"/>
      <c r="S49726" s="178"/>
    </row>
    <row r="49727" spans="18:19">
      <c r="R49727" s="178"/>
      <c r="S49727" s="178"/>
    </row>
    <row r="49728" spans="18:19">
      <c r="R49728" s="178"/>
      <c r="S49728" s="178"/>
    </row>
    <row r="49729" spans="18:19">
      <c r="R49729" s="178"/>
      <c r="S49729" s="178"/>
    </row>
    <row r="49730" spans="18:19">
      <c r="R49730" s="178"/>
      <c r="S49730" s="178"/>
    </row>
    <row r="49731" spans="18:19">
      <c r="R49731" s="178"/>
      <c r="S49731" s="178"/>
    </row>
    <row r="49732" spans="18:19">
      <c r="R49732" s="178"/>
      <c r="S49732" s="178"/>
    </row>
    <row r="49733" spans="18:19">
      <c r="R49733" s="178"/>
      <c r="S49733" s="178"/>
    </row>
    <row r="49734" spans="18:19">
      <c r="R49734" s="178"/>
      <c r="S49734" s="178"/>
    </row>
    <row r="49735" spans="18:19">
      <c r="R49735" s="178"/>
      <c r="S49735" s="178"/>
    </row>
    <row r="49736" spans="18:19">
      <c r="R49736" s="178"/>
      <c r="S49736" s="178"/>
    </row>
    <row r="49737" spans="18:19">
      <c r="R49737" s="178"/>
      <c r="S49737" s="178"/>
    </row>
    <row r="49738" spans="18:19">
      <c r="R49738" s="178"/>
      <c r="S49738" s="178"/>
    </row>
    <row r="49739" spans="18:19">
      <c r="R49739" s="178"/>
      <c r="S49739" s="178"/>
    </row>
    <row r="49740" spans="18:19">
      <c r="R49740" s="178"/>
      <c r="S49740" s="178"/>
    </row>
    <row r="49741" spans="18:19">
      <c r="R49741" s="178"/>
      <c r="S49741" s="178"/>
    </row>
    <row r="49742" spans="18:19">
      <c r="R49742" s="178"/>
      <c r="S49742" s="178"/>
    </row>
    <row r="49743" spans="18:19">
      <c r="R49743" s="178"/>
      <c r="S49743" s="178"/>
    </row>
    <row r="49744" spans="18:19">
      <c r="R49744" s="178"/>
      <c r="S49744" s="178"/>
    </row>
    <row r="49745" spans="18:19">
      <c r="R49745" s="178"/>
      <c r="S49745" s="178"/>
    </row>
    <row r="49746" spans="18:19">
      <c r="R49746" s="178"/>
      <c r="S49746" s="178"/>
    </row>
    <row r="49747" spans="18:19">
      <c r="R49747" s="178"/>
      <c r="S49747" s="178"/>
    </row>
    <row r="49748" spans="18:19">
      <c r="R49748" s="178"/>
      <c r="S49748" s="178"/>
    </row>
    <row r="49749" spans="18:19">
      <c r="R49749" s="178"/>
      <c r="S49749" s="178"/>
    </row>
    <row r="49750" spans="18:19">
      <c r="R49750" s="178"/>
      <c r="S49750" s="178"/>
    </row>
    <row r="49751" spans="18:19">
      <c r="R49751" s="178"/>
      <c r="S49751" s="178"/>
    </row>
    <row r="49752" spans="18:19">
      <c r="R49752" s="178"/>
      <c r="S49752" s="178"/>
    </row>
    <row r="49753" spans="18:19">
      <c r="R49753" s="178"/>
      <c r="S49753" s="178"/>
    </row>
    <row r="49754" spans="18:19">
      <c r="R49754" s="178"/>
      <c r="S49754" s="178"/>
    </row>
    <row r="49755" spans="18:19">
      <c r="R49755" s="178"/>
      <c r="S49755" s="178"/>
    </row>
    <row r="49756" spans="18:19">
      <c r="R49756" s="178"/>
      <c r="S49756" s="178"/>
    </row>
    <row r="49757" spans="18:19">
      <c r="R49757" s="178"/>
      <c r="S49757" s="178"/>
    </row>
    <row r="49758" spans="18:19">
      <c r="R49758" s="178"/>
      <c r="S49758" s="178"/>
    </row>
    <row r="49759" spans="18:19">
      <c r="R49759" s="178"/>
      <c r="S49759" s="178"/>
    </row>
    <row r="49760" spans="18:19">
      <c r="R49760" s="178"/>
      <c r="S49760" s="178"/>
    </row>
    <row r="49761" spans="18:19">
      <c r="R49761" s="178"/>
      <c r="S49761" s="178"/>
    </row>
    <row r="49762" spans="18:19">
      <c r="R49762" s="178"/>
      <c r="S49762" s="178"/>
    </row>
    <row r="49763" spans="18:19">
      <c r="R49763" s="178"/>
      <c r="S49763" s="178"/>
    </row>
    <row r="49764" spans="18:19">
      <c r="R49764" s="178"/>
      <c r="S49764" s="178"/>
    </row>
    <row r="49765" spans="18:19">
      <c r="R49765" s="178"/>
      <c r="S49765" s="178"/>
    </row>
    <row r="49766" spans="18:19">
      <c r="R49766" s="178"/>
      <c r="S49766" s="178"/>
    </row>
    <row r="49767" spans="18:19">
      <c r="R49767" s="178"/>
      <c r="S49767" s="178"/>
    </row>
    <row r="49768" spans="18:19">
      <c r="R49768" s="178"/>
      <c r="S49768" s="178"/>
    </row>
    <row r="49769" spans="18:19">
      <c r="R49769" s="178"/>
      <c r="S49769" s="178"/>
    </row>
    <row r="49770" spans="18:19">
      <c r="R49770" s="178"/>
      <c r="S49770" s="178"/>
    </row>
    <row r="49771" spans="18:19">
      <c r="R49771" s="178"/>
      <c r="S49771" s="178"/>
    </row>
    <row r="49772" spans="18:19">
      <c r="R49772" s="178"/>
      <c r="S49772" s="178"/>
    </row>
    <row r="49773" spans="18:19">
      <c r="R49773" s="178"/>
      <c r="S49773" s="178"/>
    </row>
    <row r="49774" spans="18:19">
      <c r="R49774" s="178"/>
      <c r="S49774" s="178"/>
    </row>
    <row r="49775" spans="18:19">
      <c r="R49775" s="178"/>
      <c r="S49775" s="178"/>
    </row>
    <row r="49776" spans="18:19">
      <c r="R49776" s="178"/>
      <c r="S49776" s="178"/>
    </row>
    <row r="49777" spans="18:19">
      <c r="R49777" s="178"/>
      <c r="S49777" s="178"/>
    </row>
    <row r="49778" spans="18:19">
      <c r="R49778" s="178"/>
      <c r="S49778" s="178"/>
    </row>
    <row r="49779" spans="18:19">
      <c r="R49779" s="178"/>
      <c r="S49779" s="178"/>
    </row>
    <row r="49780" spans="18:19">
      <c r="R49780" s="178"/>
      <c r="S49780" s="178"/>
    </row>
    <row r="49781" spans="18:19">
      <c r="R49781" s="178"/>
      <c r="S49781" s="178"/>
    </row>
    <row r="49782" spans="18:19">
      <c r="R49782" s="178"/>
      <c r="S49782" s="178"/>
    </row>
    <row r="49783" spans="18:19">
      <c r="R49783" s="178"/>
      <c r="S49783" s="178"/>
    </row>
    <row r="49784" spans="18:19">
      <c r="R49784" s="178"/>
      <c r="S49784" s="178"/>
    </row>
    <row r="49785" spans="18:19">
      <c r="R49785" s="178"/>
      <c r="S49785" s="178"/>
    </row>
    <row r="49786" spans="18:19">
      <c r="R49786" s="178"/>
      <c r="S49786" s="178"/>
    </row>
    <row r="49787" spans="18:19">
      <c r="R49787" s="178"/>
      <c r="S49787" s="178"/>
    </row>
    <row r="49788" spans="18:19">
      <c r="R49788" s="178"/>
      <c r="S49788" s="178"/>
    </row>
    <row r="49789" spans="18:19">
      <c r="R49789" s="178"/>
      <c r="S49789" s="178"/>
    </row>
    <row r="49790" spans="18:19">
      <c r="R49790" s="178"/>
      <c r="S49790" s="178"/>
    </row>
    <row r="49791" spans="18:19">
      <c r="R49791" s="178"/>
      <c r="S49791" s="178"/>
    </row>
    <row r="49792" spans="18:19">
      <c r="R49792" s="178"/>
      <c r="S49792" s="178"/>
    </row>
    <row r="49793" spans="18:19">
      <c r="R49793" s="178"/>
      <c r="S49793" s="178"/>
    </row>
    <row r="49794" spans="18:19">
      <c r="R49794" s="178"/>
      <c r="S49794" s="178"/>
    </row>
    <row r="49795" spans="18:19">
      <c r="R49795" s="178"/>
      <c r="S49795" s="178"/>
    </row>
    <row r="49796" spans="18:19">
      <c r="R49796" s="178"/>
      <c r="S49796" s="178"/>
    </row>
    <row r="49797" spans="18:19">
      <c r="R49797" s="178"/>
      <c r="S49797" s="178"/>
    </row>
    <row r="49798" spans="18:19">
      <c r="R49798" s="178"/>
      <c r="S49798" s="178"/>
    </row>
    <row r="49799" spans="18:19">
      <c r="R49799" s="178"/>
      <c r="S49799" s="178"/>
    </row>
    <row r="49800" spans="18:19">
      <c r="R49800" s="178"/>
      <c r="S49800" s="178"/>
    </row>
    <row r="49801" spans="18:19">
      <c r="R49801" s="178"/>
      <c r="S49801" s="178"/>
    </row>
    <row r="49802" spans="18:19">
      <c r="R49802" s="178"/>
      <c r="S49802" s="178"/>
    </row>
    <row r="49803" spans="18:19">
      <c r="R49803" s="178"/>
      <c r="S49803" s="178"/>
    </row>
    <row r="49804" spans="18:19">
      <c r="R49804" s="178"/>
      <c r="S49804" s="178"/>
    </row>
    <row r="49805" spans="18:19">
      <c r="R49805" s="178"/>
      <c r="S49805" s="178"/>
    </row>
    <row r="49806" spans="18:19">
      <c r="R49806" s="178"/>
      <c r="S49806" s="178"/>
    </row>
    <row r="49807" spans="18:19">
      <c r="R49807" s="178"/>
      <c r="S49807" s="178"/>
    </row>
    <row r="49808" spans="18:19">
      <c r="R49808" s="178"/>
      <c r="S49808" s="178"/>
    </row>
    <row r="49809" spans="18:19">
      <c r="R49809" s="178"/>
      <c r="S49809" s="178"/>
    </row>
    <row r="49810" spans="18:19">
      <c r="R49810" s="178"/>
      <c r="S49810" s="178"/>
    </row>
    <row r="49811" spans="18:19">
      <c r="R49811" s="178"/>
      <c r="S49811" s="178"/>
    </row>
    <row r="49812" spans="18:19">
      <c r="R49812" s="178"/>
      <c r="S49812" s="178"/>
    </row>
    <row r="49813" spans="18:19">
      <c r="R49813" s="178"/>
      <c r="S49813" s="178"/>
    </row>
    <row r="49814" spans="18:19">
      <c r="R49814" s="178"/>
      <c r="S49814" s="178"/>
    </row>
    <row r="49815" spans="18:19">
      <c r="R49815" s="178"/>
      <c r="S49815" s="178"/>
    </row>
    <row r="49816" spans="18:19">
      <c r="R49816" s="178"/>
      <c r="S49816" s="178"/>
    </row>
    <row r="49817" spans="18:19">
      <c r="R49817" s="178"/>
      <c r="S49817" s="178"/>
    </row>
    <row r="49818" spans="18:19">
      <c r="R49818" s="178"/>
      <c r="S49818" s="178"/>
    </row>
    <row r="49819" spans="18:19">
      <c r="R49819" s="178"/>
      <c r="S49819" s="178"/>
    </row>
    <row r="49820" spans="18:19">
      <c r="R49820" s="178"/>
      <c r="S49820" s="178"/>
    </row>
    <row r="49821" spans="18:19">
      <c r="R49821" s="178"/>
      <c r="S49821" s="178"/>
    </row>
    <row r="49822" spans="18:19">
      <c r="R49822" s="178"/>
      <c r="S49822" s="178"/>
    </row>
    <row r="49823" spans="18:19">
      <c r="R49823" s="178"/>
      <c r="S49823" s="178"/>
    </row>
    <row r="49824" spans="18:19">
      <c r="R49824" s="178"/>
      <c r="S49824" s="178"/>
    </row>
    <row r="49825" spans="18:19">
      <c r="R49825" s="178"/>
      <c r="S49825" s="178"/>
    </row>
    <row r="49826" spans="18:19">
      <c r="R49826" s="178"/>
      <c r="S49826" s="178"/>
    </row>
    <row r="49827" spans="18:19">
      <c r="R49827" s="178"/>
      <c r="S49827" s="178"/>
    </row>
    <row r="49828" spans="18:19">
      <c r="R49828" s="178"/>
      <c r="S49828" s="178"/>
    </row>
    <row r="49829" spans="18:19">
      <c r="R49829" s="178"/>
      <c r="S49829" s="178"/>
    </row>
    <row r="49830" spans="18:19">
      <c r="R49830" s="178"/>
      <c r="S49830" s="178"/>
    </row>
    <row r="49831" spans="18:19">
      <c r="R49831" s="178"/>
      <c r="S49831" s="178"/>
    </row>
    <row r="49832" spans="18:19">
      <c r="R49832" s="178"/>
      <c r="S49832" s="178"/>
    </row>
    <row r="49833" spans="18:19">
      <c r="R49833" s="178"/>
      <c r="S49833" s="178"/>
    </row>
    <row r="49834" spans="18:19">
      <c r="R49834" s="178"/>
      <c r="S49834" s="178"/>
    </row>
    <row r="49835" spans="18:19">
      <c r="R49835" s="178"/>
      <c r="S49835" s="178"/>
    </row>
    <row r="49836" spans="18:19">
      <c r="R49836" s="178"/>
      <c r="S49836" s="178"/>
    </row>
    <row r="49837" spans="18:19">
      <c r="R49837" s="178"/>
      <c r="S49837" s="178"/>
    </row>
    <row r="49838" spans="18:19">
      <c r="R49838" s="178"/>
      <c r="S49838" s="178"/>
    </row>
    <row r="49839" spans="18:19">
      <c r="R49839" s="178"/>
      <c r="S49839" s="178"/>
    </row>
    <row r="49840" spans="18:19">
      <c r="R49840" s="178"/>
      <c r="S49840" s="178"/>
    </row>
    <row r="49841" spans="18:19">
      <c r="R49841" s="178"/>
      <c r="S49841" s="178"/>
    </row>
    <row r="49842" spans="18:19">
      <c r="R49842" s="178"/>
      <c r="S49842" s="178"/>
    </row>
    <row r="49843" spans="18:19">
      <c r="R49843" s="178"/>
      <c r="S49843" s="178"/>
    </row>
    <row r="49844" spans="18:19">
      <c r="R49844" s="178"/>
      <c r="S49844" s="178"/>
    </row>
    <row r="49845" spans="18:19">
      <c r="R49845" s="178"/>
      <c r="S49845" s="178"/>
    </row>
    <row r="49846" spans="18:19">
      <c r="R49846" s="178"/>
      <c r="S49846" s="178"/>
    </row>
    <row r="49847" spans="18:19">
      <c r="R49847" s="178"/>
      <c r="S49847" s="178"/>
    </row>
    <row r="49848" spans="18:19">
      <c r="R49848" s="178"/>
      <c r="S49848" s="178"/>
    </row>
    <row r="49849" spans="18:19">
      <c r="R49849" s="178"/>
      <c r="S49849" s="178"/>
    </row>
    <row r="49850" spans="18:19">
      <c r="R49850" s="178"/>
      <c r="S49850" s="178"/>
    </row>
    <row r="49851" spans="18:19">
      <c r="R49851" s="178"/>
      <c r="S49851" s="178"/>
    </row>
    <row r="49852" spans="18:19">
      <c r="R49852" s="178"/>
      <c r="S49852" s="178"/>
    </row>
    <row r="49853" spans="18:19">
      <c r="R49853" s="178"/>
      <c r="S49853" s="178"/>
    </row>
    <row r="49854" spans="18:19">
      <c r="R49854" s="178"/>
      <c r="S49854" s="178"/>
    </row>
    <row r="49855" spans="18:19">
      <c r="R49855" s="178"/>
      <c r="S49855" s="178"/>
    </row>
    <row r="49856" spans="18:19">
      <c r="R49856" s="178"/>
      <c r="S49856" s="178"/>
    </row>
    <row r="49857" spans="18:19">
      <c r="R49857" s="178"/>
      <c r="S49857" s="178"/>
    </row>
    <row r="49858" spans="18:19">
      <c r="R49858" s="178"/>
      <c r="S49858" s="178"/>
    </row>
    <row r="49859" spans="18:19">
      <c r="R49859" s="178"/>
      <c r="S49859" s="178"/>
    </row>
    <row r="49860" spans="18:19">
      <c r="R49860" s="178"/>
      <c r="S49860" s="178"/>
    </row>
    <row r="49861" spans="18:19">
      <c r="R49861" s="178"/>
      <c r="S49861" s="178"/>
    </row>
    <row r="49862" spans="18:19">
      <c r="R49862" s="178"/>
      <c r="S49862" s="178"/>
    </row>
    <row r="49863" spans="18:19">
      <c r="R49863" s="178"/>
      <c r="S49863" s="178"/>
    </row>
    <row r="49864" spans="18:19">
      <c r="R49864" s="178"/>
      <c r="S49864" s="178"/>
    </row>
    <row r="49865" spans="18:19">
      <c r="R49865" s="178"/>
      <c r="S49865" s="178"/>
    </row>
    <row r="49866" spans="18:19">
      <c r="R49866" s="178"/>
      <c r="S49866" s="178"/>
    </row>
    <row r="49867" spans="18:19">
      <c r="R49867" s="178"/>
      <c r="S49867" s="178"/>
    </row>
    <row r="49868" spans="18:19">
      <c r="R49868" s="178"/>
      <c r="S49868" s="178"/>
    </row>
    <row r="49869" spans="18:19">
      <c r="R49869" s="178"/>
      <c r="S49869" s="178"/>
    </row>
    <row r="49870" spans="18:19">
      <c r="R49870" s="178"/>
      <c r="S49870" s="178"/>
    </row>
    <row r="49871" spans="18:19">
      <c r="R49871" s="178"/>
      <c r="S49871" s="178"/>
    </row>
    <row r="49872" spans="18:19">
      <c r="R49872" s="178"/>
      <c r="S49872" s="178"/>
    </row>
    <row r="49873" spans="18:19">
      <c r="R49873" s="178"/>
      <c r="S49873" s="178"/>
    </row>
    <row r="49874" spans="18:19">
      <c r="R49874" s="178"/>
      <c r="S49874" s="178"/>
    </row>
    <row r="49875" spans="18:19">
      <c r="R49875" s="178"/>
      <c r="S49875" s="178"/>
    </row>
    <row r="49876" spans="18:19">
      <c r="R49876" s="178"/>
      <c r="S49876" s="178"/>
    </row>
    <row r="49877" spans="18:19">
      <c r="R49877" s="178"/>
      <c r="S49877" s="178"/>
    </row>
    <row r="49878" spans="18:19">
      <c r="R49878" s="178"/>
      <c r="S49878" s="178"/>
    </row>
    <row r="49879" spans="18:19">
      <c r="R49879" s="178"/>
      <c r="S49879" s="178"/>
    </row>
    <row r="49880" spans="18:19">
      <c r="R49880" s="178"/>
      <c r="S49880" s="178"/>
    </row>
    <row r="49881" spans="18:19">
      <c r="R49881" s="178"/>
      <c r="S49881" s="178"/>
    </row>
    <row r="49882" spans="18:19">
      <c r="R49882" s="178"/>
      <c r="S49882" s="178"/>
    </row>
    <row r="49883" spans="18:19">
      <c r="R49883" s="178"/>
      <c r="S49883" s="178"/>
    </row>
    <row r="49884" spans="18:19">
      <c r="R49884" s="178"/>
      <c r="S49884" s="178"/>
    </row>
    <row r="49885" spans="18:19">
      <c r="R49885" s="178"/>
      <c r="S49885" s="178"/>
    </row>
    <row r="49886" spans="18:19">
      <c r="R49886" s="178"/>
      <c r="S49886" s="178"/>
    </row>
    <row r="49887" spans="18:19">
      <c r="R49887" s="178"/>
      <c r="S49887" s="178"/>
    </row>
    <row r="49888" spans="18:19">
      <c r="R49888" s="178"/>
      <c r="S49888" s="178"/>
    </row>
    <row r="49889" spans="18:19">
      <c r="R49889" s="178"/>
      <c r="S49889" s="178"/>
    </row>
    <row r="49890" spans="18:19">
      <c r="R49890" s="178"/>
      <c r="S49890" s="178"/>
    </row>
    <row r="49891" spans="18:19">
      <c r="R49891" s="178"/>
      <c r="S49891" s="178"/>
    </row>
    <row r="49892" spans="18:19">
      <c r="R49892" s="178"/>
      <c r="S49892" s="178"/>
    </row>
    <row r="49893" spans="18:19">
      <c r="R49893" s="178"/>
      <c r="S49893" s="178"/>
    </row>
    <row r="49894" spans="18:19">
      <c r="R49894" s="178"/>
      <c r="S49894" s="178"/>
    </row>
    <row r="49895" spans="18:19">
      <c r="R49895" s="178"/>
      <c r="S49895" s="178"/>
    </row>
    <row r="49896" spans="18:19">
      <c r="R49896" s="178"/>
      <c r="S49896" s="178"/>
    </row>
    <row r="49897" spans="18:19">
      <c r="R49897" s="178"/>
      <c r="S49897" s="178"/>
    </row>
    <row r="49898" spans="18:19">
      <c r="R49898" s="178"/>
      <c r="S49898" s="178"/>
    </row>
    <row r="49899" spans="18:19">
      <c r="R49899" s="178"/>
      <c r="S49899" s="178"/>
    </row>
    <row r="49900" spans="18:19">
      <c r="R49900" s="178"/>
      <c r="S49900" s="178"/>
    </row>
    <row r="49901" spans="18:19">
      <c r="R49901" s="178"/>
      <c r="S49901" s="178"/>
    </row>
    <row r="49902" spans="18:19">
      <c r="R49902" s="178"/>
      <c r="S49902" s="178"/>
    </row>
    <row r="49903" spans="18:19">
      <c r="R49903" s="178"/>
      <c r="S49903" s="178"/>
    </row>
    <row r="49904" spans="18:19">
      <c r="R49904" s="178"/>
      <c r="S49904" s="178"/>
    </row>
    <row r="49905" spans="18:19">
      <c r="R49905" s="178"/>
      <c r="S49905" s="178"/>
    </row>
    <row r="49906" spans="18:19">
      <c r="R49906" s="178"/>
      <c r="S49906" s="178"/>
    </row>
    <row r="49907" spans="18:19">
      <c r="R49907" s="178"/>
      <c r="S49907" s="178"/>
    </row>
    <row r="49908" spans="18:19">
      <c r="R49908" s="178"/>
      <c r="S49908" s="178"/>
    </row>
    <row r="49909" spans="18:19">
      <c r="R49909" s="178"/>
      <c r="S49909" s="178"/>
    </row>
    <row r="49910" spans="18:19">
      <c r="R49910" s="178"/>
      <c r="S49910" s="178"/>
    </row>
    <row r="49911" spans="18:19">
      <c r="R49911" s="178"/>
      <c r="S49911" s="178"/>
    </row>
    <row r="49912" spans="18:19">
      <c r="R49912" s="178"/>
      <c r="S49912" s="178"/>
    </row>
    <row r="49913" spans="18:19">
      <c r="R49913" s="178"/>
      <c r="S49913" s="178"/>
    </row>
    <row r="49914" spans="18:19">
      <c r="R49914" s="178"/>
      <c r="S49914" s="178"/>
    </row>
    <row r="49915" spans="18:19">
      <c r="R49915" s="178"/>
      <c r="S49915" s="178"/>
    </row>
    <row r="49916" spans="18:19">
      <c r="R49916" s="178"/>
      <c r="S49916" s="178"/>
    </row>
    <row r="49917" spans="18:19">
      <c r="R49917" s="178"/>
      <c r="S49917" s="178"/>
    </row>
    <row r="49918" spans="18:19">
      <c r="R49918" s="178"/>
      <c r="S49918" s="178"/>
    </row>
    <row r="49919" spans="18:19">
      <c r="R49919" s="178"/>
      <c r="S49919" s="178"/>
    </row>
    <row r="49920" spans="18:19">
      <c r="R49920" s="178"/>
      <c r="S49920" s="178"/>
    </row>
    <row r="49921" spans="18:19">
      <c r="R49921" s="178"/>
      <c r="S49921" s="178"/>
    </row>
    <row r="49922" spans="18:19">
      <c r="R49922" s="178"/>
      <c r="S49922" s="178"/>
    </row>
    <row r="49923" spans="18:19">
      <c r="R49923" s="178"/>
      <c r="S49923" s="178"/>
    </row>
    <row r="49924" spans="18:19">
      <c r="R49924" s="178"/>
      <c r="S49924" s="178"/>
    </row>
    <row r="49925" spans="18:19">
      <c r="R49925" s="178"/>
      <c r="S49925" s="178"/>
    </row>
    <row r="49926" spans="18:19">
      <c r="R49926" s="178"/>
      <c r="S49926" s="178"/>
    </row>
    <row r="49927" spans="18:19">
      <c r="R49927" s="178"/>
      <c r="S49927" s="178"/>
    </row>
    <row r="49928" spans="18:19">
      <c r="R49928" s="178"/>
      <c r="S49928" s="178"/>
    </row>
    <row r="49929" spans="18:19">
      <c r="R49929" s="178"/>
      <c r="S49929" s="178"/>
    </row>
    <row r="49930" spans="18:19">
      <c r="R49930" s="178"/>
      <c r="S49930" s="178"/>
    </row>
    <row r="49931" spans="18:19">
      <c r="R49931" s="178"/>
      <c r="S49931" s="178"/>
    </row>
    <row r="49932" spans="18:19">
      <c r="R49932" s="178"/>
      <c r="S49932" s="178"/>
    </row>
    <row r="49933" spans="18:19">
      <c r="R49933" s="178"/>
      <c r="S49933" s="178"/>
    </row>
    <row r="49934" spans="18:19">
      <c r="R49934" s="178"/>
      <c r="S49934" s="178"/>
    </row>
    <row r="49935" spans="18:19">
      <c r="R49935" s="178"/>
      <c r="S49935" s="178"/>
    </row>
    <row r="49936" spans="18:19">
      <c r="R49936" s="178"/>
      <c r="S49936" s="178"/>
    </row>
    <row r="49937" spans="18:19">
      <c r="R49937" s="178"/>
      <c r="S49937" s="178"/>
    </row>
    <row r="49938" spans="18:19">
      <c r="R49938" s="178"/>
      <c r="S49938" s="178"/>
    </row>
    <row r="49939" spans="18:19">
      <c r="R49939" s="178"/>
      <c r="S49939" s="178"/>
    </row>
    <row r="49940" spans="18:19">
      <c r="R49940" s="178"/>
      <c r="S49940" s="178"/>
    </row>
    <row r="49941" spans="18:19">
      <c r="R49941" s="178"/>
      <c r="S49941" s="178"/>
    </row>
    <row r="49942" spans="18:19">
      <c r="R49942" s="178"/>
      <c r="S49942" s="178"/>
    </row>
    <row r="49943" spans="18:19">
      <c r="R49943" s="178"/>
      <c r="S49943" s="178"/>
    </row>
    <row r="49944" spans="18:19">
      <c r="R49944" s="178"/>
      <c r="S49944" s="178"/>
    </row>
    <row r="49945" spans="18:19">
      <c r="R49945" s="178"/>
      <c r="S49945" s="178"/>
    </row>
    <row r="49946" spans="18:19">
      <c r="R49946" s="178"/>
      <c r="S49946" s="178"/>
    </row>
    <row r="49947" spans="18:19">
      <c r="R49947" s="178"/>
      <c r="S49947" s="178"/>
    </row>
    <row r="49948" spans="18:19">
      <c r="R49948" s="178"/>
      <c r="S49948" s="178"/>
    </row>
    <row r="49949" spans="18:19">
      <c r="R49949" s="178"/>
      <c r="S49949" s="178"/>
    </row>
    <row r="49950" spans="18:19">
      <c r="R49950" s="178"/>
      <c r="S49950" s="178"/>
    </row>
    <row r="49951" spans="18:19">
      <c r="R49951" s="178"/>
      <c r="S49951" s="178"/>
    </row>
    <row r="49952" spans="18:19">
      <c r="R49952" s="178"/>
      <c r="S49952" s="178"/>
    </row>
    <row r="49953" spans="18:19">
      <c r="R49953" s="178"/>
      <c r="S49953" s="178"/>
    </row>
    <row r="49954" spans="18:19">
      <c r="R49954" s="178"/>
      <c r="S49954" s="178"/>
    </row>
    <row r="49955" spans="18:19">
      <c r="R49955" s="178"/>
      <c r="S49955" s="178"/>
    </row>
    <row r="49956" spans="18:19">
      <c r="R49956" s="178"/>
      <c r="S49956" s="178"/>
    </row>
    <row r="49957" spans="18:19">
      <c r="R49957" s="178"/>
      <c r="S49957" s="178"/>
    </row>
    <row r="49958" spans="18:19">
      <c r="R49958" s="178"/>
      <c r="S49958" s="178"/>
    </row>
    <row r="49959" spans="18:19">
      <c r="R49959" s="178"/>
      <c r="S49959" s="178"/>
    </row>
    <row r="49960" spans="18:19">
      <c r="R49960" s="178"/>
      <c r="S49960" s="178"/>
    </row>
    <row r="49961" spans="18:19">
      <c r="R49961" s="178"/>
      <c r="S49961" s="178"/>
    </row>
    <row r="49962" spans="18:19">
      <c r="R49962" s="178"/>
      <c r="S49962" s="178"/>
    </row>
    <row r="49963" spans="18:19">
      <c r="R49963" s="178"/>
      <c r="S49963" s="178"/>
    </row>
    <row r="49964" spans="18:19">
      <c r="R49964" s="178"/>
      <c r="S49964" s="178"/>
    </row>
    <row r="49965" spans="18:19">
      <c r="R49965" s="178"/>
      <c r="S49965" s="178"/>
    </row>
    <row r="49966" spans="18:19">
      <c r="R49966" s="178"/>
      <c r="S49966" s="178"/>
    </row>
    <row r="49967" spans="18:19">
      <c r="R49967" s="178"/>
      <c r="S49967" s="178"/>
    </row>
    <row r="49968" spans="18:19">
      <c r="R49968" s="178"/>
      <c r="S49968" s="178"/>
    </row>
    <row r="49969" spans="18:19">
      <c r="R49969" s="178"/>
      <c r="S49969" s="178"/>
    </row>
    <row r="49970" spans="18:19">
      <c r="R49970" s="178"/>
      <c r="S49970" s="178"/>
    </row>
    <row r="49971" spans="18:19">
      <c r="R49971" s="178"/>
      <c r="S49971" s="178"/>
    </row>
    <row r="49972" spans="18:19">
      <c r="R49972" s="178"/>
      <c r="S49972" s="178"/>
    </row>
    <row r="49973" spans="18:19">
      <c r="R49973" s="178"/>
      <c r="S49973" s="178"/>
    </row>
    <row r="49974" spans="18:19">
      <c r="R49974" s="178"/>
      <c r="S49974" s="178"/>
    </row>
    <row r="49975" spans="18:19">
      <c r="R49975" s="178"/>
      <c r="S49975" s="178"/>
    </row>
    <row r="49976" spans="18:19">
      <c r="R49976" s="178"/>
      <c r="S49976" s="178"/>
    </row>
    <row r="49977" spans="18:19">
      <c r="R49977" s="178"/>
      <c r="S49977" s="178"/>
    </row>
    <row r="49978" spans="18:19">
      <c r="R49978" s="178"/>
      <c r="S49978" s="178"/>
    </row>
    <row r="49979" spans="18:19">
      <c r="R49979" s="178"/>
      <c r="S49979" s="178"/>
    </row>
    <row r="49980" spans="18:19">
      <c r="R49980" s="178"/>
      <c r="S49980" s="178"/>
    </row>
    <row r="49981" spans="18:19">
      <c r="R49981" s="178"/>
      <c r="S49981" s="178"/>
    </row>
    <row r="49982" spans="18:19">
      <c r="R49982" s="178"/>
      <c r="S49982" s="178"/>
    </row>
    <row r="49983" spans="18:19">
      <c r="R49983" s="178"/>
      <c r="S49983" s="178"/>
    </row>
    <row r="49984" spans="18:19">
      <c r="R49984" s="178"/>
      <c r="S49984" s="178"/>
    </row>
    <row r="49985" spans="18:19">
      <c r="R49985" s="178"/>
      <c r="S49985" s="178"/>
    </row>
    <row r="49986" spans="18:19">
      <c r="R49986" s="178"/>
      <c r="S49986" s="178"/>
    </row>
    <row r="49987" spans="18:19">
      <c r="R49987" s="178"/>
      <c r="S49987" s="178"/>
    </row>
    <row r="49988" spans="18:19">
      <c r="R49988" s="178"/>
      <c r="S49988" s="178"/>
    </row>
    <row r="49989" spans="18:19">
      <c r="R49989" s="178"/>
      <c r="S49989" s="178"/>
    </row>
    <row r="49990" spans="18:19">
      <c r="R49990" s="178"/>
      <c r="S49990" s="178"/>
    </row>
    <row r="49991" spans="18:19">
      <c r="R49991" s="178"/>
      <c r="S49991" s="178"/>
    </row>
    <row r="49992" spans="18:19">
      <c r="R49992" s="178"/>
      <c r="S49992" s="178"/>
    </row>
    <row r="49993" spans="18:19">
      <c r="R49993" s="178"/>
      <c r="S49993" s="178"/>
    </row>
    <row r="49994" spans="18:19">
      <c r="R49994" s="178"/>
      <c r="S49994" s="178"/>
    </row>
    <row r="49995" spans="18:19">
      <c r="R49995" s="178"/>
      <c r="S49995" s="178"/>
    </row>
    <row r="49996" spans="18:19">
      <c r="R49996" s="178"/>
      <c r="S49996" s="178"/>
    </row>
    <row r="49997" spans="18:19">
      <c r="R49997" s="178"/>
      <c r="S49997" s="178"/>
    </row>
    <row r="49998" spans="18:19">
      <c r="R49998" s="178"/>
      <c r="S49998" s="178"/>
    </row>
    <row r="49999" spans="18:19">
      <c r="R49999" s="178"/>
      <c r="S49999" s="178"/>
    </row>
    <row r="50000" spans="18:19">
      <c r="R50000" s="178"/>
      <c r="S50000" s="178"/>
    </row>
    <row r="50001" spans="18:19">
      <c r="R50001" s="178"/>
      <c r="S50001" s="178"/>
    </row>
    <row r="50002" spans="18:19">
      <c r="R50002" s="178"/>
      <c r="S50002" s="178"/>
    </row>
    <row r="50003" spans="18:19">
      <c r="R50003" s="178"/>
      <c r="S50003" s="178"/>
    </row>
    <row r="50004" spans="18:19">
      <c r="R50004" s="178"/>
      <c r="S50004" s="178"/>
    </row>
    <row r="50005" spans="18:19">
      <c r="R50005" s="178"/>
      <c r="S50005" s="178"/>
    </row>
    <row r="50006" spans="18:19">
      <c r="R50006" s="178"/>
      <c r="S50006" s="178"/>
    </row>
    <row r="50007" spans="18:19">
      <c r="R50007" s="178"/>
      <c r="S50007" s="178"/>
    </row>
    <row r="50008" spans="18:19">
      <c r="R50008" s="178"/>
      <c r="S50008" s="178"/>
    </row>
    <row r="50009" spans="18:19">
      <c r="R50009" s="178"/>
      <c r="S50009" s="178"/>
    </row>
    <row r="50010" spans="18:19">
      <c r="R50010" s="178"/>
      <c r="S50010" s="178"/>
    </row>
    <row r="50011" spans="18:19">
      <c r="R50011" s="178"/>
      <c r="S50011" s="178"/>
    </row>
    <row r="50012" spans="18:19">
      <c r="R50012" s="178"/>
      <c r="S50012" s="178"/>
    </row>
    <row r="50013" spans="18:19">
      <c r="R50013" s="178"/>
      <c r="S50013" s="178"/>
    </row>
    <row r="50014" spans="18:19">
      <c r="R50014" s="178"/>
      <c r="S50014" s="178"/>
    </row>
    <row r="50015" spans="18:19">
      <c r="R50015" s="178"/>
      <c r="S50015" s="178"/>
    </row>
    <row r="50016" spans="18:19">
      <c r="R50016" s="178"/>
      <c r="S50016" s="178"/>
    </row>
    <row r="50017" spans="18:19">
      <c r="R50017" s="178"/>
      <c r="S50017" s="178"/>
    </row>
    <row r="50018" spans="18:19">
      <c r="R50018" s="178"/>
      <c r="S50018" s="178"/>
    </row>
    <row r="50019" spans="18:19">
      <c r="R50019" s="178"/>
      <c r="S50019" s="178"/>
    </row>
    <row r="50020" spans="18:19">
      <c r="R50020" s="178"/>
      <c r="S50020" s="178"/>
    </row>
    <row r="50021" spans="18:19">
      <c r="R50021" s="178"/>
      <c r="S50021" s="178"/>
    </row>
    <row r="50022" spans="18:19">
      <c r="R50022" s="178"/>
      <c r="S50022" s="178"/>
    </row>
    <row r="50023" spans="18:19">
      <c r="R50023" s="178"/>
      <c r="S50023" s="178"/>
    </row>
    <row r="50024" spans="18:19">
      <c r="R50024" s="178"/>
      <c r="S50024" s="178"/>
    </row>
    <row r="50025" spans="18:19">
      <c r="R50025" s="178"/>
      <c r="S50025" s="178"/>
    </row>
    <row r="50026" spans="18:19">
      <c r="R50026" s="178"/>
      <c r="S50026" s="178"/>
    </row>
    <row r="50027" spans="18:19">
      <c r="R50027" s="178"/>
      <c r="S50027" s="178"/>
    </row>
    <row r="50028" spans="18:19">
      <c r="R50028" s="178"/>
      <c r="S50028" s="178"/>
    </row>
    <row r="50029" spans="18:19">
      <c r="R50029" s="178"/>
      <c r="S50029" s="178"/>
    </row>
    <row r="50030" spans="18:19">
      <c r="R50030" s="178"/>
      <c r="S50030" s="178"/>
    </row>
    <row r="50031" spans="18:19">
      <c r="R50031" s="178"/>
      <c r="S50031" s="178"/>
    </row>
    <row r="50032" spans="18:19">
      <c r="R50032" s="178"/>
      <c r="S50032" s="178"/>
    </row>
    <row r="50033" spans="18:19">
      <c r="R50033" s="178"/>
      <c r="S50033" s="178"/>
    </row>
    <row r="50034" spans="18:19">
      <c r="R50034" s="178"/>
      <c r="S50034" s="178"/>
    </row>
    <row r="50035" spans="18:19">
      <c r="R50035" s="178"/>
      <c r="S50035" s="178"/>
    </row>
    <row r="50036" spans="18:19">
      <c r="R50036" s="178"/>
      <c r="S50036" s="178"/>
    </row>
    <row r="50037" spans="18:19">
      <c r="R50037" s="178"/>
      <c r="S50037" s="178"/>
    </row>
    <row r="50038" spans="18:19">
      <c r="R50038" s="178"/>
      <c r="S50038" s="178"/>
    </row>
    <row r="50039" spans="18:19">
      <c r="R50039" s="178"/>
      <c r="S50039" s="178"/>
    </row>
    <row r="50040" spans="18:19">
      <c r="R50040" s="178"/>
      <c r="S50040" s="178"/>
    </row>
    <row r="50041" spans="18:19">
      <c r="R50041" s="178"/>
      <c r="S50041" s="178"/>
    </row>
    <row r="50042" spans="18:19">
      <c r="R50042" s="178"/>
      <c r="S50042" s="178"/>
    </row>
    <row r="50043" spans="18:19">
      <c r="R50043" s="178"/>
      <c r="S50043" s="178"/>
    </row>
    <row r="50044" spans="18:19">
      <c r="R50044" s="178"/>
      <c r="S50044" s="178"/>
    </row>
    <row r="50045" spans="18:19">
      <c r="R50045" s="178"/>
      <c r="S50045" s="178"/>
    </row>
    <row r="50046" spans="18:19">
      <c r="R50046" s="178"/>
      <c r="S50046" s="178"/>
    </row>
    <row r="50047" spans="18:19">
      <c r="R50047" s="178"/>
      <c r="S50047" s="178"/>
    </row>
    <row r="50048" spans="18:19">
      <c r="R50048" s="178"/>
      <c r="S50048" s="178"/>
    </row>
    <row r="50049" spans="18:19">
      <c r="R50049" s="178"/>
      <c r="S50049" s="178"/>
    </row>
    <row r="50050" spans="18:19">
      <c r="R50050" s="178"/>
      <c r="S50050" s="178"/>
    </row>
    <row r="50051" spans="18:19">
      <c r="R50051" s="178"/>
      <c r="S50051" s="178"/>
    </row>
    <row r="50052" spans="18:19">
      <c r="R50052" s="178"/>
      <c r="S50052" s="178"/>
    </row>
    <row r="50053" spans="18:19">
      <c r="R50053" s="178"/>
      <c r="S50053" s="178"/>
    </row>
    <row r="50054" spans="18:19">
      <c r="R50054" s="178"/>
      <c r="S50054" s="178"/>
    </row>
    <row r="50055" spans="18:19">
      <c r="R50055" s="178"/>
      <c r="S50055" s="178"/>
    </row>
    <row r="50056" spans="18:19">
      <c r="R50056" s="178"/>
      <c r="S50056" s="178"/>
    </row>
    <row r="50057" spans="18:19">
      <c r="R50057" s="178"/>
      <c r="S50057" s="178"/>
    </row>
    <row r="50058" spans="18:19">
      <c r="R50058" s="178"/>
      <c r="S50058" s="178"/>
    </row>
    <row r="50059" spans="18:19">
      <c r="R50059" s="178"/>
      <c r="S50059" s="178"/>
    </row>
    <row r="50060" spans="18:19">
      <c r="R50060" s="178"/>
      <c r="S50060" s="178"/>
    </row>
    <row r="50061" spans="18:19">
      <c r="R50061" s="178"/>
      <c r="S50061" s="178"/>
    </row>
    <row r="50062" spans="18:19">
      <c r="R50062" s="178"/>
      <c r="S50062" s="178"/>
    </row>
    <row r="50063" spans="18:19">
      <c r="R50063" s="178"/>
      <c r="S50063" s="178"/>
    </row>
    <row r="50064" spans="18:19">
      <c r="R50064" s="178"/>
      <c r="S50064" s="178"/>
    </row>
    <row r="50065" spans="18:19">
      <c r="R50065" s="178"/>
      <c r="S50065" s="178"/>
    </row>
    <row r="50066" spans="18:19">
      <c r="R50066" s="178"/>
      <c r="S50066" s="178"/>
    </row>
    <row r="50067" spans="18:19">
      <c r="R50067" s="178"/>
      <c r="S50067" s="178"/>
    </row>
    <row r="50068" spans="18:19">
      <c r="R50068" s="178"/>
      <c r="S50068" s="178"/>
    </row>
    <row r="50069" spans="18:19">
      <c r="R50069" s="178"/>
      <c r="S50069" s="178"/>
    </row>
    <row r="50070" spans="18:19">
      <c r="R50070" s="178"/>
      <c r="S50070" s="178"/>
    </row>
    <row r="50071" spans="18:19">
      <c r="R50071" s="178"/>
      <c r="S50071" s="178"/>
    </row>
    <row r="50072" spans="18:19">
      <c r="R50072" s="178"/>
      <c r="S50072" s="178"/>
    </row>
    <row r="50073" spans="18:19">
      <c r="R50073" s="178"/>
      <c r="S50073" s="178"/>
    </row>
    <row r="50074" spans="18:19">
      <c r="R50074" s="178"/>
      <c r="S50074" s="178"/>
    </row>
    <row r="50075" spans="18:19">
      <c r="R50075" s="178"/>
      <c r="S50075" s="178"/>
    </row>
    <row r="50076" spans="18:19">
      <c r="R50076" s="178"/>
      <c r="S50076" s="178"/>
    </row>
    <row r="50077" spans="18:19">
      <c r="R50077" s="178"/>
      <c r="S50077" s="178"/>
    </row>
    <row r="50078" spans="18:19">
      <c r="R50078" s="178"/>
      <c r="S50078" s="178"/>
    </row>
    <row r="50079" spans="18:19">
      <c r="R50079" s="178"/>
      <c r="S50079" s="178"/>
    </row>
    <row r="50080" spans="18:19">
      <c r="R50080" s="178"/>
      <c r="S50080" s="178"/>
    </row>
    <row r="50081" spans="18:19">
      <c r="R50081" s="178"/>
      <c r="S50081" s="178"/>
    </row>
    <row r="50082" spans="18:19">
      <c r="R50082" s="178"/>
      <c r="S50082" s="178"/>
    </row>
    <row r="50083" spans="18:19">
      <c r="R50083" s="178"/>
      <c r="S50083" s="178"/>
    </row>
    <row r="50084" spans="18:19">
      <c r="R50084" s="178"/>
      <c r="S50084" s="178"/>
    </row>
    <row r="50085" spans="18:19">
      <c r="R50085" s="178"/>
      <c r="S50085" s="178"/>
    </row>
    <row r="50086" spans="18:19">
      <c r="R50086" s="178"/>
      <c r="S50086" s="178"/>
    </row>
    <row r="50087" spans="18:19">
      <c r="R50087" s="178"/>
      <c r="S50087" s="178"/>
    </row>
    <row r="50088" spans="18:19">
      <c r="R50088" s="178"/>
      <c r="S50088" s="178"/>
    </row>
    <row r="50089" spans="18:19">
      <c r="R50089" s="178"/>
      <c r="S50089" s="178"/>
    </row>
    <row r="50090" spans="18:19">
      <c r="R50090" s="178"/>
      <c r="S50090" s="178"/>
    </row>
    <row r="50091" spans="18:19">
      <c r="R50091" s="178"/>
      <c r="S50091" s="178"/>
    </row>
    <row r="50092" spans="18:19">
      <c r="R50092" s="178"/>
      <c r="S50092" s="178"/>
    </row>
    <row r="50093" spans="18:19">
      <c r="R50093" s="178"/>
      <c r="S50093" s="178"/>
    </row>
    <row r="50094" spans="18:19">
      <c r="R50094" s="178"/>
      <c r="S50094" s="178"/>
    </row>
    <row r="50095" spans="18:19">
      <c r="R50095" s="178"/>
      <c r="S50095" s="178"/>
    </row>
    <row r="50096" spans="18:19">
      <c r="R50096" s="178"/>
      <c r="S50096" s="178"/>
    </row>
    <row r="50097" spans="18:19">
      <c r="R50097" s="178"/>
      <c r="S50097" s="178"/>
    </row>
    <row r="50098" spans="18:19">
      <c r="R50098" s="178"/>
      <c r="S50098" s="178"/>
    </row>
    <row r="50099" spans="18:19">
      <c r="R50099" s="178"/>
      <c r="S50099" s="178"/>
    </row>
    <row r="50100" spans="18:19">
      <c r="R50100" s="178"/>
      <c r="S50100" s="178"/>
    </row>
    <row r="50101" spans="18:19">
      <c r="R50101" s="178"/>
      <c r="S50101" s="178"/>
    </row>
    <row r="50102" spans="18:19">
      <c r="R50102" s="178"/>
      <c r="S50102" s="178"/>
    </row>
    <row r="50103" spans="18:19">
      <c r="R50103" s="178"/>
      <c r="S50103" s="178"/>
    </row>
    <row r="50104" spans="18:19">
      <c r="R50104" s="178"/>
      <c r="S50104" s="178"/>
    </row>
    <row r="50105" spans="18:19">
      <c r="R50105" s="178"/>
      <c r="S50105" s="178"/>
    </row>
    <row r="50106" spans="18:19">
      <c r="R50106" s="178"/>
      <c r="S50106" s="178"/>
    </row>
    <row r="50107" spans="18:19">
      <c r="R50107" s="178"/>
      <c r="S50107" s="178"/>
    </row>
    <row r="50108" spans="18:19">
      <c r="R50108" s="178"/>
      <c r="S50108" s="178"/>
    </row>
    <row r="50109" spans="18:19">
      <c r="R50109" s="178"/>
      <c r="S50109" s="178"/>
    </row>
    <row r="50110" spans="18:19">
      <c r="R50110" s="178"/>
      <c r="S50110" s="178"/>
    </row>
    <row r="50111" spans="18:19">
      <c r="R50111" s="178"/>
      <c r="S50111" s="178"/>
    </row>
    <row r="50112" spans="18:19">
      <c r="R50112" s="178"/>
      <c r="S50112" s="178"/>
    </row>
    <row r="50113" spans="18:19">
      <c r="R50113" s="178"/>
      <c r="S50113" s="178"/>
    </row>
    <row r="50114" spans="18:19">
      <c r="R50114" s="178"/>
      <c r="S50114" s="178"/>
    </row>
    <row r="50115" spans="18:19">
      <c r="R50115" s="178"/>
      <c r="S50115" s="178"/>
    </row>
    <row r="50116" spans="18:19">
      <c r="R50116" s="178"/>
      <c r="S50116" s="178"/>
    </row>
    <row r="50117" spans="18:19">
      <c r="R50117" s="178"/>
      <c r="S50117" s="178"/>
    </row>
    <row r="50118" spans="18:19">
      <c r="R50118" s="178"/>
      <c r="S50118" s="178"/>
    </row>
    <row r="50119" spans="18:19">
      <c r="R50119" s="178"/>
      <c r="S50119" s="178"/>
    </row>
    <row r="50120" spans="18:19">
      <c r="R50120" s="178"/>
      <c r="S50120" s="178"/>
    </row>
    <row r="50121" spans="18:19">
      <c r="R50121" s="178"/>
      <c r="S50121" s="178"/>
    </row>
    <row r="50122" spans="18:19">
      <c r="R50122" s="178"/>
      <c r="S50122" s="178"/>
    </row>
    <row r="50123" spans="18:19">
      <c r="R50123" s="178"/>
      <c r="S50123" s="178"/>
    </row>
    <row r="50124" spans="18:19">
      <c r="R50124" s="178"/>
      <c r="S50124" s="178"/>
    </row>
    <row r="50125" spans="18:19">
      <c r="R50125" s="178"/>
      <c r="S50125" s="178"/>
    </row>
    <row r="50126" spans="18:19">
      <c r="R50126" s="178"/>
      <c r="S50126" s="178"/>
    </row>
    <row r="50127" spans="18:19">
      <c r="R50127" s="178"/>
      <c r="S50127" s="178"/>
    </row>
    <row r="50128" spans="18:19">
      <c r="R50128" s="178"/>
      <c r="S50128" s="178"/>
    </row>
    <row r="50129" spans="18:19">
      <c r="R50129" s="178"/>
      <c r="S50129" s="178"/>
    </row>
    <row r="50130" spans="18:19">
      <c r="R50130" s="178"/>
      <c r="S50130" s="178"/>
    </row>
    <row r="50131" spans="18:19">
      <c r="R50131" s="178"/>
      <c r="S50131" s="178"/>
    </row>
    <row r="50132" spans="18:19">
      <c r="R50132" s="178"/>
      <c r="S50132" s="178"/>
    </row>
    <row r="50133" spans="18:19">
      <c r="R50133" s="178"/>
      <c r="S50133" s="178"/>
    </row>
    <row r="50134" spans="18:19">
      <c r="R50134" s="178"/>
      <c r="S50134" s="178"/>
    </row>
    <row r="50135" spans="18:19">
      <c r="R50135" s="178"/>
      <c r="S50135" s="178"/>
    </row>
    <row r="50136" spans="18:19">
      <c r="R50136" s="178"/>
      <c r="S50136" s="178"/>
    </row>
    <row r="50137" spans="18:19">
      <c r="R50137" s="178"/>
      <c r="S50137" s="178"/>
    </row>
    <row r="50138" spans="18:19">
      <c r="R50138" s="178"/>
      <c r="S50138" s="178"/>
    </row>
    <row r="50139" spans="18:19">
      <c r="R50139" s="178"/>
      <c r="S50139" s="178"/>
    </row>
    <row r="50140" spans="18:19">
      <c r="R50140" s="178"/>
      <c r="S50140" s="178"/>
    </row>
    <row r="50141" spans="18:19">
      <c r="R50141" s="178"/>
      <c r="S50141" s="178"/>
    </row>
    <row r="50142" spans="18:19">
      <c r="R50142" s="178"/>
      <c r="S50142" s="178"/>
    </row>
    <row r="50143" spans="18:19">
      <c r="R50143" s="178"/>
      <c r="S50143" s="178"/>
    </row>
    <row r="50144" spans="18:19">
      <c r="R50144" s="178"/>
      <c r="S50144" s="178"/>
    </row>
    <row r="50145" spans="18:19">
      <c r="R50145" s="178"/>
      <c r="S50145" s="178"/>
    </row>
    <row r="50146" spans="18:19">
      <c r="R50146" s="178"/>
      <c r="S50146" s="178"/>
    </row>
    <row r="50147" spans="18:19">
      <c r="R50147" s="178"/>
      <c r="S50147" s="178"/>
    </row>
    <row r="50148" spans="18:19">
      <c r="R50148" s="178"/>
      <c r="S50148" s="178"/>
    </row>
    <row r="50149" spans="18:19">
      <c r="R50149" s="178"/>
      <c r="S50149" s="178"/>
    </row>
    <row r="50150" spans="18:19">
      <c r="R50150" s="178"/>
      <c r="S50150" s="178"/>
    </row>
    <row r="50151" spans="18:19">
      <c r="R50151" s="178"/>
      <c r="S50151" s="178"/>
    </row>
    <row r="50152" spans="18:19">
      <c r="R50152" s="178"/>
      <c r="S50152" s="178"/>
    </row>
    <row r="50153" spans="18:19">
      <c r="R50153" s="178"/>
      <c r="S50153" s="178"/>
    </row>
    <row r="50154" spans="18:19">
      <c r="R50154" s="178"/>
      <c r="S50154" s="178"/>
    </row>
    <row r="50155" spans="18:19">
      <c r="R50155" s="178"/>
      <c r="S50155" s="178"/>
    </row>
    <row r="50156" spans="18:19">
      <c r="R50156" s="178"/>
      <c r="S50156" s="178"/>
    </row>
    <row r="50157" spans="18:19">
      <c r="R50157" s="178"/>
      <c r="S50157" s="178"/>
    </row>
    <row r="50158" spans="18:19">
      <c r="R50158" s="178"/>
      <c r="S50158" s="178"/>
    </row>
    <row r="50159" spans="18:19">
      <c r="R50159" s="178"/>
      <c r="S50159" s="178"/>
    </row>
    <row r="50160" spans="18:19">
      <c r="R50160" s="178"/>
      <c r="S50160" s="178"/>
    </row>
    <row r="50161" spans="18:19">
      <c r="R50161" s="178"/>
      <c r="S50161" s="178"/>
    </row>
    <row r="50162" spans="18:19">
      <c r="R50162" s="178"/>
      <c r="S50162" s="178"/>
    </row>
    <row r="50163" spans="18:19">
      <c r="R50163" s="178"/>
      <c r="S50163" s="178"/>
    </row>
    <row r="50164" spans="18:19">
      <c r="R50164" s="178"/>
      <c r="S50164" s="178"/>
    </row>
    <row r="50165" spans="18:19">
      <c r="R50165" s="178"/>
      <c r="S50165" s="178"/>
    </row>
    <row r="50166" spans="18:19">
      <c r="R50166" s="178"/>
      <c r="S50166" s="178"/>
    </row>
    <row r="50167" spans="18:19">
      <c r="R50167" s="178"/>
      <c r="S50167" s="178"/>
    </row>
    <row r="50168" spans="18:19">
      <c r="R50168" s="178"/>
      <c r="S50168" s="178"/>
    </row>
    <row r="50169" spans="18:19">
      <c r="R50169" s="178"/>
      <c r="S50169" s="178"/>
    </row>
    <row r="50170" spans="18:19">
      <c r="R50170" s="178"/>
      <c r="S50170" s="178"/>
    </row>
    <row r="50171" spans="18:19">
      <c r="R50171" s="178"/>
      <c r="S50171" s="178"/>
    </row>
    <row r="50172" spans="18:19">
      <c r="R50172" s="178"/>
      <c r="S50172" s="178"/>
    </row>
    <row r="50173" spans="18:19">
      <c r="R50173" s="178"/>
      <c r="S50173" s="178"/>
    </row>
    <row r="50174" spans="18:19">
      <c r="R50174" s="178"/>
      <c r="S50174" s="178"/>
    </row>
    <row r="50175" spans="18:19">
      <c r="R50175" s="178"/>
      <c r="S50175" s="178"/>
    </row>
    <row r="50176" spans="18:19">
      <c r="R50176" s="178"/>
      <c r="S50176" s="178"/>
    </row>
    <row r="50177" spans="18:19">
      <c r="R50177" s="178"/>
      <c r="S50177" s="178"/>
    </row>
    <row r="50178" spans="18:19">
      <c r="R50178" s="178"/>
      <c r="S50178" s="178"/>
    </row>
    <row r="50179" spans="18:19">
      <c r="R50179" s="178"/>
      <c r="S50179" s="178"/>
    </row>
    <row r="50180" spans="18:19">
      <c r="R50180" s="178"/>
      <c r="S50180" s="178"/>
    </row>
    <row r="50181" spans="18:19">
      <c r="R50181" s="178"/>
      <c r="S50181" s="178"/>
    </row>
    <row r="50182" spans="18:19">
      <c r="R50182" s="178"/>
      <c r="S50182" s="178"/>
    </row>
    <row r="50183" spans="18:19">
      <c r="R50183" s="178"/>
      <c r="S50183" s="178"/>
    </row>
    <row r="50184" spans="18:19">
      <c r="R50184" s="178"/>
      <c r="S50184" s="178"/>
    </row>
    <row r="50185" spans="18:19">
      <c r="R50185" s="178"/>
      <c r="S50185" s="178"/>
    </row>
    <row r="50186" spans="18:19">
      <c r="R50186" s="178"/>
      <c r="S50186" s="178"/>
    </row>
    <row r="50187" spans="18:19">
      <c r="R50187" s="178"/>
      <c r="S50187" s="178"/>
    </row>
    <row r="50188" spans="18:19">
      <c r="R50188" s="178"/>
      <c r="S50188" s="178"/>
    </row>
    <row r="50189" spans="18:19">
      <c r="R50189" s="178"/>
      <c r="S50189" s="178"/>
    </row>
    <row r="50190" spans="18:19">
      <c r="R50190" s="178"/>
      <c r="S50190" s="178"/>
    </row>
    <row r="50191" spans="18:19">
      <c r="R50191" s="178"/>
      <c r="S50191" s="178"/>
    </row>
    <row r="50192" spans="18:19">
      <c r="R50192" s="178"/>
      <c r="S50192" s="178"/>
    </row>
    <row r="50193" spans="18:19">
      <c r="R50193" s="178"/>
      <c r="S50193" s="178"/>
    </row>
    <row r="50194" spans="18:19">
      <c r="R50194" s="178"/>
      <c r="S50194" s="178"/>
    </row>
    <row r="50195" spans="18:19">
      <c r="R50195" s="178"/>
      <c r="S50195" s="178"/>
    </row>
    <row r="50196" spans="18:19">
      <c r="R50196" s="178"/>
      <c r="S50196" s="178"/>
    </row>
    <row r="50197" spans="18:19">
      <c r="R50197" s="178"/>
      <c r="S50197" s="178"/>
    </row>
    <row r="50198" spans="18:19">
      <c r="R50198" s="178"/>
      <c r="S50198" s="178"/>
    </row>
    <row r="50199" spans="18:19">
      <c r="R50199" s="178"/>
      <c r="S50199" s="178"/>
    </row>
    <row r="50200" spans="18:19">
      <c r="R50200" s="178"/>
      <c r="S50200" s="178"/>
    </row>
    <row r="50201" spans="18:19">
      <c r="R50201" s="178"/>
      <c r="S50201" s="178"/>
    </row>
    <row r="50202" spans="18:19">
      <c r="R50202" s="178"/>
      <c r="S50202" s="178"/>
    </row>
    <row r="50203" spans="18:19">
      <c r="R50203" s="178"/>
      <c r="S50203" s="178"/>
    </row>
    <row r="50204" spans="18:19">
      <c r="R50204" s="178"/>
      <c r="S50204" s="178"/>
    </row>
    <row r="50205" spans="18:19">
      <c r="R50205" s="178"/>
      <c r="S50205" s="178"/>
    </row>
    <row r="50206" spans="18:19">
      <c r="R50206" s="178"/>
      <c r="S50206" s="178"/>
    </row>
    <row r="50207" spans="18:19">
      <c r="R50207" s="178"/>
      <c r="S50207" s="178"/>
    </row>
    <row r="50208" spans="18:19">
      <c r="R50208" s="178"/>
      <c r="S50208" s="178"/>
    </row>
    <row r="50209" spans="18:19">
      <c r="R50209" s="178"/>
      <c r="S50209" s="178"/>
    </row>
    <row r="50210" spans="18:19">
      <c r="R50210" s="178"/>
      <c r="S50210" s="178"/>
    </row>
    <row r="50211" spans="18:19">
      <c r="R50211" s="178"/>
      <c r="S50211" s="178"/>
    </row>
    <row r="50212" spans="18:19">
      <c r="R50212" s="178"/>
      <c r="S50212" s="178"/>
    </row>
    <row r="50213" spans="18:19">
      <c r="R50213" s="178"/>
      <c r="S50213" s="178"/>
    </row>
    <row r="50214" spans="18:19">
      <c r="R50214" s="178"/>
      <c r="S50214" s="178"/>
    </row>
    <row r="50215" spans="18:19">
      <c r="R50215" s="178"/>
      <c r="S50215" s="178"/>
    </row>
    <row r="50216" spans="18:19">
      <c r="R50216" s="178"/>
      <c r="S50216" s="178"/>
    </row>
    <row r="50217" spans="18:19">
      <c r="R50217" s="178"/>
      <c r="S50217" s="178"/>
    </row>
    <row r="50218" spans="18:19">
      <c r="R50218" s="178"/>
      <c r="S50218" s="178"/>
    </row>
    <row r="50219" spans="18:19">
      <c r="R50219" s="178"/>
      <c r="S50219" s="178"/>
    </row>
    <row r="50220" spans="18:19">
      <c r="R50220" s="178"/>
      <c r="S50220" s="178"/>
    </row>
    <row r="50221" spans="18:19">
      <c r="R50221" s="178"/>
      <c r="S50221" s="178"/>
    </row>
    <row r="50222" spans="18:19">
      <c r="R50222" s="178"/>
      <c r="S50222" s="178"/>
    </row>
    <row r="50223" spans="18:19">
      <c r="R50223" s="178"/>
      <c r="S50223" s="178"/>
    </row>
    <row r="50224" spans="18:19">
      <c r="R50224" s="178"/>
      <c r="S50224" s="178"/>
    </row>
    <row r="50225" spans="18:19">
      <c r="R50225" s="178"/>
      <c r="S50225" s="178"/>
    </row>
    <row r="50226" spans="18:19">
      <c r="R50226" s="178"/>
      <c r="S50226" s="178"/>
    </row>
    <row r="50227" spans="18:19">
      <c r="R50227" s="178"/>
      <c r="S50227" s="178"/>
    </row>
    <row r="50228" spans="18:19">
      <c r="R50228" s="178"/>
      <c r="S50228" s="178"/>
    </row>
    <row r="50229" spans="18:19">
      <c r="R50229" s="178"/>
      <c r="S50229" s="178"/>
    </row>
    <row r="50230" spans="18:19">
      <c r="R50230" s="178"/>
      <c r="S50230" s="178"/>
    </row>
    <row r="50231" spans="18:19">
      <c r="R50231" s="178"/>
      <c r="S50231" s="178"/>
    </row>
    <row r="50232" spans="18:19">
      <c r="R50232" s="178"/>
      <c r="S50232" s="178"/>
    </row>
    <row r="50233" spans="18:19">
      <c r="R50233" s="178"/>
      <c r="S50233" s="178"/>
    </row>
    <row r="50234" spans="18:19">
      <c r="R50234" s="178"/>
      <c r="S50234" s="178"/>
    </row>
    <row r="50235" spans="18:19">
      <c r="R50235" s="178"/>
      <c r="S50235" s="178"/>
    </row>
    <row r="50236" spans="18:19">
      <c r="R50236" s="178"/>
      <c r="S50236" s="178"/>
    </row>
    <row r="50237" spans="18:19">
      <c r="R50237" s="178"/>
      <c r="S50237" s="178"/>
    </row>
    <row r="50238" spans="18:19">
      <c r="R50238" s="178"/>
      <c r="S50238" s="178"/>
    </row>
    <row r="50239" spans="18:19">
      <c r="R50239" s="178"/>
      <c r="S50239" s="178"/>
    </row>
    <row r="50240" spans="18:19">
      <c r="R50240" s="178"/>
      <c r="S50240" s="178"/>
    </row>
    <row r="50241" spans="18:19">
      <c r="R50241" s="178"/>
      <c r="S50241" s="178"/>
    </row>
    <row r="50242" spans="18:19">
      <c r="R50242" s="178"/>
      <c r="S50242" s="178"/>
    </row>
    <row r="50243" spans="18:19">
      <c r="R50243" s="178"/>
      <c r="S50243" s="178"/>
    </row>
    <row r="50244" spans="18:19">
      <c r="R50244" s="178"/>
      <c r="S50244" s="178"/>
    </row>
    <row r="50245" spans="18:19">
      <c r="R50245" s="178"/>
      <c r="S50245" s="178"/>
    </row>
    <row r="50246" spans="18:19">
      <c r="R50246" s="178"/>
      <c r="S50246" s="178"/>
    </row>
    <row r="50247" spans="18:19">
      <c r="R50247" s="178"/>
      <c r="S50247" s="178"/>
    </row>
    <row r="50248" spans="18:19">
      <c r="R50248" s="178"/>
      <c r="S50248" s="178"/>
    </row>
    <row r="50249" spans="18:19">
      <c r="R50249" s="178"/>
      <c r="S50249" s="178"/>
    </row>
    <row r="50250" spans="18:19">
      <c r="R50250" s="178"/>
      <c r="S50250" s="178"/>
    </row>
    <row r="50251" spans="18:19">
      <c r="R50251" s="178"/>
      <c r="S50251" s="178"/>
    </row>
    <row r="50252" spans="18:19">
      <c r="R50252" s="178"/>
      <c r="S50252" s="178"/>
    </row>
    <row r="50253" spans="18:19">
      <c r="R50253" s="178"/>
      <c r="S50253" s="178"/>
    </row>
    <row r="50254" spans="18:19">
      <c r="R50254" s="178"/>
      <c r="S50254" s="178"/>
    </row>
    <row r="50255" spans="18:19">
      <c r="R50255" s="178"/>
      <c r="S50255" s="178"/>
    </row>
    <row r="50256" spans="18:19">
      <c r="R50256" s="178"/>
      <c r="S50256" s="178"/>
    </row>
    <row r="50257" spans="18:19">
      <c r="R50257" s="178"/>
      <c r="S50257" s="178"/>
    </row>
    <row r="50258" spans="18:19">
      <c r="R50258" s="178"/>
      <c r="S50258" s="178"/>
    </row>
    <row r="50259" spans="18:19">
      <c r="R50259" s="178"/>
      <c r="S50259" s="178"/>
    </row>
    <row r="50260" spans="18:19">
      <c r="R50260" s="178"/>
      <c r="S50260" s="178"/>
    </row>
    <row r="50261" spans="18:19">
      <c r="R50261" s="178"/>
      <c r="S50261" s="178"/>
    </row>
    <row r="50262" spans="18:19">
      <c r="R50262" s="178"/>
      <c r="S50262" s="178"/>
    </row>
    <row r="50263" spans="18:19">
      <c r="R50263" s="178"/>
      <c r="S50263" s="178"/>
    </row>
    <row r="50264" spans="18:19">
      <c r="R50264" s="178"/>
      <c r="S50264" s="178"/>
    </row>
    <row r="50265" spans="18:19">
      <c r="R50265" s="178"/>
      <c r="S50265" s="178"/>
    </row>
    <row r="50266" spans="18:19">
      <c r="R50266" s="178"/>
      <c r="S50266" s="178"/>
    </row>
    <row r="50267" spans="18:19">
      <c r="R50267" s="178"/>
      <c r="S50267" s="178"/>
    </row>
    <row r="50268" spans="18:19">
      <c r="R50268" s="178"/>
      <c r="S50268" s="178"/>
    </row>
    <row r="50269" spans="18:19">
      <c r="R50269" s="178"/>
      <c r="S50269" s="178"/>
    </row>
    <row r="50270" spans="18:19">
      <c r="R50270" s="178"/>
      <c r="S50270" s="178"/>
    </row>
    <row r="50271" spans="18:19">
      <c r="R50271" s="178"/>
      <c r="S50271" s="178"/>
    </row>
    <row r="50272" spans="18:19">
      <c r="R50272" s="178"/>
      <c r="S50272" s="178"/>
    </row>
    <row r="50273" spans="18:19">
      <c r="R50273" s="178"/>
      <c r="S50273" s="178"/>
    </row>
    <row r="50274" spans="18:19">
      <c r="R50274" s="178"/>
      <c r="S50274" s="178"/>
    </row>
    <row r="50275" spans="18:19">
      <c r="R50275" s="178"/>
      <c r="S50275" s="178"/>
    </row>
    <row r="50276" spans="18:19">
      <c r="R50276" s="178"/>
      <c r="S50276" s="178"/>
    </row>
    <row r="50277" spans="18:19">
      <c r="R50277" s="178"/>
      <c r="S50277" s="178"/>
    </row>
    <row r="50278" spans="18:19">
      <c r="R50278" s="178"/>
      <c r="S50278" s="178"/>
    </row>
    <row r="50279" spans="18:19">
      <c r="R50279" s="178"/>
      <c r="S50279" s="178"/>
    </row>
    <row r="50280" spans="18:19">
      <c r="R50280" s="178"/>
      <c r="S50280" s="178"/>
    </row>
    <row r="50281" spans="18:19">
      <c r="R50281" s="178"/>
      <c r="S50281" s="178"/>
    </row>
    <row r="50282" spans="18:19">
      <c r="R50282" s="178"/>
      <c r="S50282" s="178"/>
    </row>
    <row r="50283" spans="18:19">
      <c r="R50283" s="178"/>
      <c r="S50283" s="178"/>
    </row>
    <row r="50284" spans="18:19">
      <c r="R50284" s="178"/>
      <c r="S50284" s="178"/>
    </row>
    <row r="50285" spans="18:19">
      <c r="R50285" s="178"/>
      <c r="S50285" s="178"/>
    </row>
    <row r="50286" spans="18:19">
      <c r="R50286" s="178"/>
      <c r="S50286" s="178"/>
    </row>
    <row r="50287" spans="18:19">
      <c r="R50287" s="178"/>
      <c r="S50287" s="178"/>
    </row>
    <row r="50288" spans="18:19">
      <c r="R50288" s="178"/>
      <c r="S50288" s="178"/>
    </row>
    <row r="50289" spans="18:19">
      <c r="R50289" s="178"/>
      <c r="S50289" s="178"/>
    </row>
    <row r="50290" spans="18:19">
      <c r="R50290" s="178"/>
      <c r="S50290" s="178"/>
    </row>
    <row r="50291" spans="18:19">
      <c r="R50291" s="178"/>
      <c r="S50291" s="178"/>
    </row>
    <row r="50292" spans="18:19">
      <c r="R50292" s="178"/>
      <c r="S50292" s="178"/>
    </row>
    <row r="50293" spans="18:19">
      <c r="R50293" s="178"/>
      <c r="S50293" s="178"/>
    </row>
    <row r="50294" spans="18:19">
      <c r="R50294" s="178"/>
      <c r="S50294" s="178"/>
    </row>
    <row r="50295" spans="18:19">
      <c r="R50295" s="178"/>
      <c r="S50295" s="178"/>
    </row>
    <row r="50296" spans="18:19">
      <c r="R50296" s="178"/>
      <c r="S50296" s="178"/>
    </row>
    <row r="50297" spans="18:19">
      <c r="R50297" s="178"/>
      <c r="S50297" s="178"/>
    </row>
    <row r="50298" spans="18:19">
      <c r="R50298" s="178"/>
      <c r="S50298" s="178"/>
    </row>
    <row r="50299" spans="18:19">
      <c r="R50299" s="178"/>
      <c r="S50299" s="178"/>
    </row>
    <row r="50300" spans="18:19">
      <c r="R50300" s="178"/>
      <c r="S50300" s="178"/>
    </row>
    <row r="50301" spans="18:19">
      <c r="R50301" s="178"/>
      <c r="S50301" s="178"/>
    </row>
    <row r="50302" spans="18:19">
      <c r="R50302" s="178"/>
      <c r="S50302" s="178"/>
    </row>
    <row r="50303" spans="18:19">
      <c r="R50303" s="178"/>
      <c r="S50303" s="178"/>
    </row>
    <row r="50304" spans="18:19">
      <c r="R50304" s="178"/>
      <c r="S50304" s="178"/>
    </row>
    <row r="50305" spans="18:19">
      <c r="R50305" s="178"/>
      <c r="S50305" s="178"/>
    </row>
    <row r="50306" spans="18:19">
      <c r="R50306" s="178"/>
      <c r="S50306" s="178"/>
    </row>
    <row r="50307" spans="18:19">
      <c r="R50307" s="178"/>
      <c r="S50307" s="178"/>
    </row>
    <row r="50308" spans="18:19">
      <c r="R50308" s="178"/>
      <c r="S50308" s="178"/>
    </row>
    <row r="50309" spans="18:19">
      <c r="R50309" s="178"/>
      <c r="S50309" s="178"/>
    </row>
    <row r="50310" spans="18:19">
      <c r="R50310" s="178"/>
      <c r="S50310" s="178"/>
    </row>
    <row r="50311" spans="18:19">
      <c r="R50311" s="178"/>
      <c r="S50311" s="178"/>
    </row>
    <row r="50312" spans="18:19">
      <c r="R50312" s="178"/>
      <c r="S50312" s="178"/>
    </row>
    <row r="50313" spans="18:19">
      <c r="R50313" s="178"/>
      <c r="S50313" s="178"/>
    </row>
    <row r="50314" spans="18:19">
      <c r="R50314" s="178"/>
      <c r="S50314" s="178"/>
    </row>
    <row r="50315" spans="18:19">
      <c r="R50315" s="178"/>
      <c r="S50315" s="178"/>
    </row>
    <row r="50316" spans="18:19">
      <c r="R50316" s="178"/>
      <c r="S50316" s="178"/>
    </row>
    <row r="50317" spans="18:19">
      <c r="R50317" s="178"/>
      <c r="S50317" s="178"/>
    </row>
    <row r="50318" spans="18:19">
      <c r="R50318" s="178"/>
      <c r="S50318" s="178"/>
    </row>
    <row r="50319" spans="18:19">
      <c r="R50319" s="178"/>
      <c r="S50319" s="178"/>
    </row>
    <row r="50320" spans="18:19">
      <c r="R50320" s="178"/>
      <c r="S50320" s="178"/>
    </row>
    <row r="50321" spans="18:19">
      <c r="R50321" s="178"/>
      <c r="S50321" s="178"/>
    </row>
    <row r="50322" spans="18:19">
      <c r="R50322" s="178"/>
      <c r="S50322" s="178"/>
    </row>
    <row r="50323" spans="18:19">
      <c r="R50323" s="178"/>
      <c r="S50323" s="178"/>
    </row>
    <row r="50324" spans="18:19">
      <c r="R50324" s="178"/>
      <c r="S50324" s="178"/>
    </row>
    <row r="50325" spans="18:19">
      <c r="R50325" s="178"/>
      <c r="S50325" s="178"/>
    </row>
    <row r="50326" spans="18:19">
      <c r="R50326" s="178"/>
      <c r="S50326" s="178"/>
    </row>
    <row r="50327" spans="18:19">
      <c r="R50327" s="178"/>
      <c r="S50327" s="178"/>
    </row>
    <row r="50328" spans="18:19">
      <c r="R50328" s="178"/>
      <c r="S50328" s="178"/>
    </row>
    <row r="50329" spans="18:19">
      <c r="R50329" s="178"/>
      <c r="S50329" s="178"/>
    </row>
    <row r="50330" spans="18:19">
      <c r="R50330" s="178"/>
      <c r="S50330" s="178"/>
    </row>
    <row r="50331" spans="18:19">
      <c r="R50331" s="178"/>
      <c r="S50331" s="178"/>
    </row>
    <row r="50332" spans="18:19">
      <c r="R50332" s="178"/>
      <c r="S50332" s="178"/>
    </row>
    <row r="50333" spans="18:19">
      <c r="R50333" s="178"/>
      <c r="S50333" s="178"/>
    </row>
    <row r="50334" spans="18:19">
      <c r="R50334" s="178"/>
      <c r="S50334" s="178"/>
    </row>
    <row r="50335" spans="18:19">
      <c r="R50335" s="178"/>
      <c r="S50335" s="178"/>
    </row>
    <row r="50336" spans="18:19">
      <c r="R50336" s="178"/>
      <c r="S50336" s="178"/>
    </row>
    <row r="50337" spans="18:19">
      <c r="R50337" s="178"/>
      <c r="S50337" s="178"/>
    </row>
    <row r="50338" spans="18:19">
      <c r="R50338" s="178"/>
      <c r="S50338" s="178"/>
    </row>
    <row r="50339" spans="18:19">
      <c r="R50339" s="178"/>
      <c r="S50339" s="178"/>
    </row>
    <row r="50340" spans="18:19">
      <c r="R50340" s="178"/>
      <c r="S50340" s="178"/>
    </row>
    <row r="50341" spans="18:19">
      <c r="R50341" s="178"/>
      <c r="S50341" s="178"/>
    </row>
    <row r="50342" spans="18:19">
      <c r="R50342" s="178"/>
      <c r="S50342" s="178"/>
    </row>
    <row r="50343" spans="18:19">
      <c r="R50343" s="178"/>
      <c r="S50343" s="178"/>
    </row>
    <row r="50344" spans="18:19">
      <c r="R50344" s="178"/>
      <c r="S50344" s="178"/>
    </row>
    <row r="50345" spans="18:19">
      <c r="R50345" s="178"/>
      <c r="S50345" s="178"/>
    </row>
    <row r="50346" spans="18:19">
      <c r="R50346" s="178"/>
      <c r="S50346" s="178"/>
    </row>
    <row r="50347" spans="18:19">
      <c r="R50347" s="178"/>
      <c r="S50347" s="178"/>
    </row>
    <row r="50348" spans="18:19">
      <c r="R50348" s="178"/>
      <c r="S50348" s="178"/>
    </row>
    <row r="50349" spans="18:19">
      <c r="R50349" s="178"/>
      <c r="S50349" s="178"/>
    </row>
    <row r="50350" spans="18:19">
      <c r="R50350" s="178"/>
      <c r="S50350" s="178"/>
    </row>
    <row r="50351" spans="18:19">
      <c r="R50351" s="178"/>
      <c r="S50351" s="178"/>
    </row>
    <row r="50352" spans="18:19">
      <c r="R50352" s="178"/>
      <c r="S50352" s="178"/>
    </row>
    <row r="50353" spans="18:19">
      <c r="R50353" s="178"/>
      <c r="S50353" s="178"/>
    </row>
    <row r="50354" spans="18:19">
      <c r="R50354" s="178"/>
      <c r="S50354" s="178"/>
    </row>
    <row r="50355" spans="18:19">
      <c r="R50355" s="178"/>
      <c r="S50355" s="178"/>
    </row>
    <row r="50356" spans="18:19">
      <c r="R50356" s="178"/>
      <c r="S50356" s="178"/>
    </row>
    <row r="50357" spans="18:19">
      <c r="R50357" s="178"/>
      <c r="S50357" s="178"/>
    </row>
    <row r="50358" spans="18:19">
      <c r="R50358" s="178"/>
      <c r="S50358" s="178"/>
    </row>
    <row r="50359" spans="18:19">
      <c r="R50359" s="178"/>
      <c r="S50359" s="178"/>
    </row>
    <row r="50360" spans="18:19">
      <c r="R50360" s="178"/>
      <c r="S50360" s="178"/>
    </row>
    <row r="50361" spans="18:19">
      <c r="R50361" s="178"/>
      <c r="S50361" s="178"/>
    </row>
    <row r="50362" spans="18:19">
      <c r="R50362" s="178"/>
      <c r="S50362" s="178"/>
    </row>
    <row r="50363" spans="18:19">
      <c r="R50363" s="178"/>
      <c r="S50363" s="178"/>
    </row>
    <row r="50364" spans="18:19">
      <c r="R50364" s="178"/>
      <c r="S50364" s="178"/>
    </row>
    <row r="50365" spans="18:19">
      <c r="R50365" s="178"/>
      <c r="S50365" s="178"/>
    </row>
    <row r="50366" spans="18:19">
      <c r="R50366" s="178"/>
      <c r="S50366" s="178"/>
    </row>
    <row r="50367" spans="18:19">
      <c r="R50367" s="178"/>
      <c r="S50367" s="178"/>
    </row>
    <row r="50368" spans="18:19">
      <c r="R50368" s="178"/>
      <c r="S50368" s="178"/>
    </row>
    <row r="50369" spans="18:19">
      <c r="R50369" s="178"/>
      <c r="S50369" s="178"/>
    </row>
    <row r="50370" spans="18:19">
      <c r="R50370" s="178"/>
      <c r="S50370" s="178"/>
    </row>
    <row r="50371" spans="18:19">
      <c r="R50371" s="178"/>
      <c r="S50371" s="178"/>
    </row>
    <row r="50372" spans="18:19">
      <c r="R50372" s="178"/>
      <c r="S50372" s="178"/>
    </row>
    <row r="50373" spans="18:19">
      <c r="R50373" s="178"/>
      <c r="S50373" s="178"/>
    </row>
    <row r="50374" spans="18:19">
      <c r="R50374" s="178"/>
      <c r="S50374" s="178"/>
    </row>
    <row r="50375" spans="18:19">
      <c r="R50375" s="178"/>
      <c r="S50375" s="178"/>
    </row>
    <row r="50376" spans="18:19">
      <c r="R50376" s="178"/>
      <c r="S50376" s="178"/>
    </row>
    <row r="50377" spans="18:19">
      <c r="R50377" s="178"/>
      <c r="S50377" s="178"/>
    </row>
    <row r="50378" spans="18:19">
      <c r="R50378" s="178"/>
      <c r="S50378" s="178"/>
    </row>
    <row r="50379" spans="18:19">
      <c r="R50379" s="178"/>
      <c r="S50379" s="178"/>
    </row>
    <row r="50380" spans="18:19">
      <c r="R50380" s="178"/>
      <c r="S50380" s="178"/>
    </row>
    <row r="50381" spans="18:19">
      <c r="R50381" s="178"/>
      <c r="S50381" s="178"/>
    </row>
    <row r="50382" spans="18:19">
      <c r="R50382" s="178"/>
      <c r="S50382" s="178"/>
    </row>
    <row r="50383" spans="18:19">
      <c r="R50383" s="178"/>
      <c r="S50383" s="178"/>
    </row>
    <row r="50384" spans="18:19">
      <c r="R50384" s="178"/>
      <c r="S50384" s="178"/>
    </row>
    <row r="50385" spans="18:19">
      <c r="R50385" s="178"/>
      <c r="S50385" s="178"/>
    </row>
    <row r="50386" spans="18:19">
      <c r="R50386" s="178"/>
      <c r="S50386" s="178"/>
    </row>
    <row r="50387" spans="18:19">
      <c r="R50387" s="178"/>
      <c r="S50387" s="178"/>
    </row>
    <row r="50388" spans="18:19">
      <c r="R50388" s="178"/>
      <c r="S50388" s="178"/>
    </row>
    <row r="50389" spans="18:19">
      <c r="R50389" s="178"/>
      <c r="S50389" s="178"/>
    </row>
    <row r="50390" spans="18:19">
      <c r="R50390" s="178"/>
      <c r="S50390" s="178"/>
    </row>
    <row r="50391" spans="18:19">
      <c r="R50391" s="178"/>
      <c r="S50391" s="178"/>
    </row>
    <row r="50392" spans="18:19">
      <c r="R50392" s="178"/>
      <c r="S50392" s="178"/>
    </row>
    <row r="50393" spans="18:19">
      <c r="R50393" s="178"/>
      <c r="S50393" s="178"/>
    </row>
    <row r="50394" spans="18:19">
      <c r="R50394" s="178"/>
      <c r="S50394" s="178"/>
    </row>
    <row r="50395" spans="18:19">
      <c r="R50395" s="178"/>
      <c r="S50395" s="178"/>
    </row>
    <row r="50396" spans="18:19">
      <c r="R50396" s="178"/>
      <c r="S50396" s="178"/>
    </row>
    <row r="50397" spans="18:19">
      <c r="R50397" s="178"/>
      <c r="S50397" s="178"/>
    </row>
    <row r="50398" spans="18:19">
      <c r="R50398" s="178"/>
      <c r="S50398" s="178"/>
    </row>
    <row r="50399" spans="18:19">
      <c r="R50399" s="178"/>
      <c r="S50399" s="178"/>
    </row>
    <row r="50400" spans="18:19">
      <c r="R50400" s="178"/>
      <c r="S50400" s="178"/>
    </row>
    <row r="50401" spans="18:19">
      <c r="R50401" s="178"/>
      <c r="S50401" s="178"/>
    </row>
    <row r="50402" spans="18:19">
      <c r="R50402" s="178"/>
      <c r="S50402" s="178"/>
    </row>
    <row r="50403" spans="18:19">
      <c r="R50403" s="178"/>
      <c r="S50403" s="178"/>
    </row>
    <row r="50404" spans="18:19">
      <c r="R50404" s="178"/>
      <c r="S50404" s="178"/>
    </row>
    <row r="50405" spans="18:19">
      <c r="R50405" s="178"/>
      <c r="S50405" s="178"/>
    </row>
    <row r="50406" spans="18:19">
      <c r="R50406" s="178"/>
      <c r="S50406" s="178"/>
    </row>
    <row r="50407" spans="18:19">
      <c r="R50407" s="178"/>
      <c r="S50407" s="178"/>
    </row>
    <row r="50408" spans="18:19">
      <c r="R50408" s="178"/>
      <c r="S50408" s="178"/>
    </row>
    <row r="50409" spans="18:19">
      <c r="R50409" s="178"/>
      <c r="S50409" s="178"/>
    </row>
    <row r="50410" spans="18:19">
      <c r="R50410" s="178"/>
      <c r="S50410" s="178"/>
    </row>
    <row r="50411" spans="18:19">
      <c r="R50411" s="178"/>
      <c r="S50411" s="178"/>
    </row>
    <row r="50412" spans="18:19">
      <c r="R50412" s="178"/>
      <c r="S50412" s="178"/>
    </row>
    <row r="50413" spans="18:19">
      <c r="R50413" s="178"/>
      <c r="S50413" s="178"/>
    </row>
    <row r="50414" spans="18:19">
      <c r="R50414" s="178"/>
      <c r="S50414" s="178"/>
    </row>
    <row r="50415" spans="18:19">
      <c r="R50415" s="178"/>
      <c r="S50415" s="178"/>
    </row>
    <row r="50416" spans="18:19">
      <c r="R50416" s="178"/>
      <c r="S50416" s="178"/>
    </row>
    <row r="50417" spans="18:19">
      <c r="R50417" s="178"/>
      <c r="S50417" s="178"/>
    </row>
    <row r="50418" spans="18:19">
      <c r="R50418" s="178"/>
      <c r="S50418" s="178"/>
    </row>
    <row r="50419" spans="18:19">
      <c r="R50419" s="178"/>
      <c r="S50419" s="178"/>
    </row>
    <row r="50420" spans="18:19">
      <c r="R50420" s="178"/>
      <c r="S50420" s="178"/>
    </row>
    <row r="50421" spans="18:19">
      <c r="R50421" s="178"/>
      <c r="S50421" s="178"/>
    </row>
    <row r="50422" spans="18:19">
      <c r="R50422" s="178"/>
      <c r="S50422" s="178"/>
    </row>
    <row r="50423" spans="18:19">
      <c r="R50423" s="178"/>
      <c r="S50423" s="178"/>
    </row>
    <row r="50424" spans="18:19">
      <c r="R50424" s="178"/>
      <c r="S50424" s="178"/>
    </row>
    <row r="50425" spans="18:19">
      <c r="R50425" s="178"/>
      <c r="S50425" s="178"/>
    </row>
    <row r="50426" spans="18:19">
      <c r="R50426" s="178"/>
      <c r="S50426" s="178"/>
    </row>
    <row r="50427" spans="18:19">
      <c r="R50427" s="178"/>
      <c r="S50427" s="178"/>
    </row>
    <row r="50428" spans="18:19">
      <c r="R50428" s="178"/>
      <c r="S50428" s="178"/>
    </row>
    <row r="50429" spans="18:19">
      <c r="R50429" s="178"/>
      <c r="S50429" s="178"/>
    </row>
    <row r="50430" spans="18:19">
      <c r="R50430" s="178"/>
      <c r="S50430" s="178"/>
    </row>
    <row r="50431" spans="18:19">
      <c r="R50431" s="178"/>
      <c r="S50431" s="178"/>
    </row>
    <row r="50432" spans="18:19">
      <c r="R50432" s="178"/>
      <c r="S50432" s="178"/>
    </row>
    <row r="50433" spans="18:19">
      <c r="R50433" s="178"/>
      <c r="S50433" s="178"/>
    </row>
    <row r="50434" spans="18:19">
      <c r="R50434" s="178"/>
      <c r="S50434" s="178"/>
    </row>
    <row r="50435" spans="18:19">
      <c r="R50435" s="178"/>
      <c r="S50435" s="178"/>
    </row>
    <row r="50436" spans="18:19">
      <c r="R50436" s="178"/>
      <c r="S50436" s="178"/>
    </row>
    <row r="50437" spans="18:19">
      <c r="R50437" s="178"/>
      <c r="S50437" s="178"/>
    </row>
    <row r="50438" spans="18:19">
      <c r="R50438" s="178"/>
      <c r="S50438" s="178"/>
    </row>
    <row r="50439" spans="18:19">
      <c r="R50439" s="178"/>
      <c r="S50439" s="178"/>
    </row>
    <row r="50440" spans="18:19">
      <c r="R50440" s="178"/>
      <c r="S50440" s="178"/>
    </row>
    <row r="50441" spans="18:19">
      <c r="R50441" s="178"/>
      <c r="S50441" s="178"/>
    </row>
    <row r="50442" spans="18:19">
      <c r="R50442" s="178"/>
      <c r="S50442" s="178"/>
    </row>
    <row r="50443" spans="18:19">
      <c r="R50443" s="178"/>
      <c r="S50443" s="178"/>
    </row>
    <row r="50444" spans="18:19">
      <c r="R50444" s="178"/>
      <c r="S50444" s="178"/>
    </row>
    <row r="50445" spans="18:19">
      <c r="R50445" s="178"/>
      <c r="S50445" s="178"/>
    </row>
    <row r="50446" spans="18:19">
      <c r="R50446" s="178"/>
      <c r="S50446" s="178"/>
    </row>
    <row r="50447" spans="18:19">
      <c r="R50447" s="178"/>
      <c r="S50447" s="178"/>
    </row>
    <row r="50448" spans="18:19">
      <c r="R50448" s="178"/>
      <c r="S50448" s="178"/>
    </row>
    <row r="50449" spans="18:19">
      <c r="R50449" s="178"/>
      <c r="S50449" s="178"/>
    </row>
    <row r="50450" spans="18:19">
      <c r="R50450" s="178"/>
      <c r="S50450" s="178"/>
    </row>
    <row r="50451" spans="18:19">
      <c r="R50451" s="178"/>
      <c r="S50451" s="178"/>
    </row>
    <row r="50452" spans="18:19">
      <c r="R50452" s="178"/>
      <c r="S50452" s="178"/>
    </row>
    <row r="50453" spans="18:19">
      <c r="R50453" s="178"/>
      <c r="S50453" s="178"/>
    </row>
    <row r="50454" spans="18:19">
      <c r="R50454" s="178"/>
      <c r="S50454" s="178"/>
    </row>
    <row r="50455" spans="18:19">
      <c r="R50455" s="178"/>
      <c r="S50455" s="178"/>
    </row>
    <row r="50456" spans="18:19">
      <c r="R50456" s="178"/>
      <c r="S50456" s="178"/>
    </row>
    <row r="50457" spans="18:19">
      <c r="R50457" s="178"/>
      <c r="S50457" s="178"/>
    </row>
    <row r="50458" spans="18:19">
      <c r="R50458" s="178"/>
      <c r="S50458" s="178"/>
    </row>
    <row r="50459" spans="18:19">
      <c r="R50459" s="178"/>
      <c r="S50459" s="178"/>
    </row>
    <row r="50460" spans="18:19">
      <c r="R50460" s="178"/>
      <c r="S50460" s="178"/>
    </row>
    <row r="50461" spans="18:19">
      <c r="R50461" s="178"/>
      <c r="S50461" s="178"/>
    </row>
    <row r="50462" spans="18:19">
      <c r="R50462" s="178"/>
      <c r="S50462" s="178"/>
    </row>
    <row r="50463" spans="18:19">
      <c r="R50463" s="178"/>
      <c r="S50463" s="178"/>
    </row>
    <row r="50464" spans="18:19">
      <c r="R50464" s="178"/>
      <c r="S50464" s="178"/>
    </row>
    <row r="50465" spans="18:19">
      <c r="R50465" s="178"/>
      <c r="S50465" s="178"/>
    </row>
    <row r="50466" spans="18:19">
      <c r="R50466" s="178"/>
      <c r="S50466" s="178"/>
    </row>
    <row r="50467" spans="18:19">
      <c r="R50467" s="178"/>
      <c r="S50467" s="178"/>
    </row>
    <row r="50468" spans="18:19">
      <c r="R50468" s="178"/>
      <c r="S50468" s="178"/>
    </row>
    <row r="50469" spans="18:19">
      <c r="R50469" s="178"/>
      <c r="S50469" s="178"/>
    </row>
    <row r="50470" spans="18:19">
      <c r="R50470" s="178"/>
      <c r="S50470" s="178"/>
    </row>
    <row r="50471" spans="18:19">
      <c r="R50471" s="178"/>
      <c r="S50471" s="178"/>
    </row>
    <row r="50472" spans="18:19">
      <c r="R50472" s="178"/>
      <c r="S50472" s="178"/>
    </row>
    <row r="50473" spans="18:19">
      <c r="R50473" s="178"/>
      <c r="S50473" s="178"/>
    </row>
    <row r="50474" spans="18:19">
      <c r="R50474" s="178"/>
      <c r="S50474" s="178"/>
    </row>
    <row r="50475" spans="18:19">
      <c r="R50475" s="178"/>
      <c r="S50475" s="178"/>
    </row>
    <row r="50476" spans="18:19">
      <c r="R50476" s="178"/>
      <c r="S50476" s="178"/>
    </row>
    <row r="50477" spans="18:19">
      <c r="R50477" s="178"/>
      <c r="S50477" s="178"/>
    </row>
    <row r="50478" spans="18:19">
      <c r="R50478" s="178"/>
      <c r="S50478" s="178"/>
    </row>
    <row r="50479" spans="18:19">
      <c r="R50479" s="178"/>
      <c r="S50479" s="178"/>
    </row>
    <row r="50480" spans="18:19">
      <c r="R50480" s="178"/>
      <c r="S50480" s="178"/>
    </row>
    <row r="50481" spans="18:19">
      <c r="R50481" s="178"/>
      <c r="S50481" s="178"/>
    </row>
    <row r="50482" spans="18:19">
      <c r="R50482" s="178"/>
      <c r="S50482" s="178"/>
    </row>
    <row r="50483" spans="18:19">
      <c r="R50483" s="178"/>
      <c r="S50483" s="178"/>
    </row>
    <row r="50484" spans="18:19">
      <c r="R50484" s="178"/>
      <c r="S50484" s="178"/>
    </row>
    <row r="50485" spans="18:19">
      <c r="R50485" s="178"/>
      <c r="S50485" s="178"/>
    </row>
    <row r="50486" spans="18:19">
      <c r="R50486" s="178"/>
      <c r="S50486" s="178"/>
    </row>
    <row r="50487" spans="18:19">
      <c r="R50487" s="178"/>
      <c r="S50487" s="178"/>
    </row>
    <row r="50488" spans="18:19">
      <c r="R50488" s="178"/>
      <c r="S50488" s="178"/>
    </row>
    <row r="50489" spans="18:19">
      <c r="R50489" s="178"/>
      <c r="S50489" s="178"/>
    </row>
    <row r="50490" spans="18:19">
      <c r="R50490" s="178"/>
      <c r="S50490" s="178"/>
    </row>
    <row r="50491" spans="18:19">
      <c r="R50491" s="178"/>
      <c r="S50491" s="178"/>
    </row>
    <row r="50492" spans="18:19">
      <c r="R50492" s="178"/>
      <c r="S50492" s="178"/>
    </row>
    <row r="50493" spans="18:19">
      <c r="R50493" s="178"/>
      <c r="S50493" s="178"/>
    </row>
    <row r="50494" spans="18:19">
      <c r="R50494" s="178"/>
      <c r="S50494" s="178"/>
    </row>
    <row r="50495" spans="18:19">
      <c r="R50495" s="178"/>
      <c r="S50495" s="178"/>
    </row>
    <row r="50496" spans="18:19">
      <c r="R50496" s="178"/>
      <c r="S50496" s="178"/>
    </row>
    <row r="50497" spans="18:19">
      <c r="R50497" s="178"/>
      <c r="S50497" s="178"/>
    </row>
    <row r="50498" spans="18:19">
      <c r="R50498" s="178"/>
      <c r="S50498" s="178"/>
    </row>
    <row r="50499" spans="18:19">
      <c r="R50499" s="178"/>
      <c r="S50499" s="178"/>
    </row>
    <row r="50500" spans="18:19">
      <c r="R50500" s="178"/>
      <c r="S50500" s="178"/>
    </row>
    <row r="50501" spans="18:19">
      <c r="R50501" s="178"/>
      <c r="S50501" s="178"/>
    </row>
    <row r="50502" spans="18:19">
      <c r="R50502" s="178"/>
      <c r="S50502" s="178"/>
    </row>
    <row r="50503" spans="18:19">
      <c r="R50503" s="178"/>
      <c r="S50503" s="178"/>
    </row>
    <row r="50504" spans="18:19">
      <c r="R50504" s="178"/>
      <c r="S50504" s="178"/>
    </row>
    <row r="50505" spans="18:19">
      <c r="R50505" s="178"/>
      <c r="S50505" s="178"/>
    </row>
    <row r="50506" spans="18:19">
      <c r="R50506" s="178"/>
      <c r="S50506" s="178"/>
    </row>
    <row r="50507" spans="18:19">
      <c r="R50507" s="178"/>
      <c r="S50507" s="178"/>
    </row>
    <row r="50508" spans="18:19">
      <c r="R50508" s="178"/>
      <c r="S50508" s="178"/>
    </row>
    <row r="50509" spans="18:19">
      <c r="R50509" s="178"/>
      <c r="S50509" s="178"/>
    </row>
    <row r="50510" spans="18:19">
      <c r="R50510" s="178"/>
      <c r="S50510" s="178"/>
    </row>
    <row r="50511" spans="18:19">
      <c r="R50511" s="178"/>
      <c r="S50511" s="178"/>
    </row>
    <row r="50512" spans="18:19">
      <c r="R50512" s="178"/>
      <c r="S50512" s="178"/>
    </row>
    <row r="50513" spans="18:19">
      <c r="R50513" s="178"/>
      <c r="S50513" s="178"/>
    </row>
    <row r="50514" spans="18:19">
      <c r="R50514" s="178"/>
      <c r="S50514" s="178"/>
    </row>
    <row r="50515" spans="18:19">
      <c r="R50515" s="178"/>
      <c r="S50515" s="178"/>
    </row>
    <row r="50516" spans="18:19">
      <c r="R50516" s="178"/>
      <c r="S50516" s="178"/>
    </row>
    <row r="50517" spans="18:19">
      <c r="R50517" s="178"/>
      <c r="S50517" s="178"/>
    </row>
    <row r="50518" spans="18:19">
      <c r="R50518" s="178"/>
      <c r="S50518" s="178"/>
    </row>
    <row r="50519" spans="18:19">
      <c r="R50519" s="178"/>
      <c r="S50519" s="178"/>
    </row>
    <row r="50520" spans="18:19">
      <c r="R50520" s="178"/>
      <c r="S50520" s="178"/>
    </row>
    <row r="50521" spans="18:19">
      <c r="R50521" s="178"/>
      <c r="S50521" s="178"/>
    </row>
    <row r="50522" spans="18:19">
      <c r="R50522" s="178"/>
      <c r="S50522" s="178"/>
    </row>
    <row r="50523" spans="18:19">
      <c r="R50523" s="178"/>
      <c r="S50523" s="178"/>
    </row>
    <row r="50524" spans="18:19">
      <c r="R50524" s="178"/>
      <c r="S50524" s="178"/>
    </row>
    <row r="50525" spans="18:19">
      <c r="R50525" s="178"/>
      <c r="S50525" s="178"/>
    </row>
    <row r="50526" spans="18:19">
      <c r="R50526" s="178"/>
      <c r="S50526" s="178"/>
    </row>
    <row r="50527" spans="18:19">
      <c r="R50527" s="178"/>
      <c r="S50527" s="178"/>
    </row>
    <row r="50528" spans="18:19">
      <c r="R50528" s="178"/>
      <c r="S50528" s="178"/>
    </row>
    <row r="50529" spans="18:19">
      <c r="R50529" s="178"/>
      <c r="S50529" s="178"/>
    </row>
    <row r="50530" spans="18:19">
      <c r="R50530" s="178"/>
      <c r="S50530" s="178"/>
    </row>
    <row r="50531" spans="18:19">
      <c r="R50531" s="178"/>
      <c r="S50531" s="178"/>
    </row>
    <row r="50532" spans="18:19">
      <c r="R50532" s="178"/>
      <c r="S50532" s="178"/>
    </row>
    <row r="50533" spans="18:19">
      <c r="R50533" s="178"/>
      <c r="S50533" s="178"/>
    </row>
    <row r="50534" spans="18:19">
      <c r="R50534" s="178"/>
      <c r="S50534" s="178"/>
    </row>
    <row r="50535" spans="18:19">
      <c r="R50535" s="178"/>
      <c r="S50535" s="178"/>
    </row>
    <row r="50536" spans="18:19">
      <c r="R50536" s="178"/>
      <c r="S50536" s="178"/>
    </row>
    <row r="50537" spans="18:19">
      <c r="R50537" s="178"/>
      <c r="S50537" s="178"/>
    </row>
    <row r="50538" spans="18:19">
      <c r="R50538" s="178"/>
      <c r="S50538" s="178"/>
    </row>
    <row r="50539" spans="18:19">
      <c r="R50539" s="178"/>
      <c r="S50539" s="178"/>
    </row>
    <row r="50540" spans="18:19">
      <c r="R50540" s="178"/>
      <c r="S50540" s="178"/>
    </row>
    <row r="50541" spans="18:19">
      <c r="R50541" s="178"/>
      <c r="S50541" s="178"/>
    </row>
    <row r="50542" spans="18:19">
      <c r="R50542" s="178"/>
      <c r="S50542" s="178"/>
    </row>
    <row r="50543" spans="18:19">
      <c r="R50543" s="178"/>
      <c r="S50543" s="178"/>
    </row>
    <row r="50544" spans="18:19">
      <c r="R50544" s="178"/>
      <c r="S50544" s="178"/>
    </row>
    <row r="50545" spans="18:19">
      <c r="R50545" s="178"/>
      <c r="S50545" s="178"/>
    </row>
    <row r="50546" spans="18:19">
      <c r="R50546" s="178"/>
      <c r="S50546" s="178"/>
    </row>
    <row r="50547" spans="18:19">
      <c r="R50547" s="178"/>
      <c r="S50547" s="178"/>
    </row>
    <row r="50548" spans="18:19">
      <c r="R50548" s="178"/>
      <c r="S50548" s="178"/>
    </row>
    <row r="50549" spans="18:19">
      <c r="R50549" s="178"/>
      <c r="S50549" s="178"/>
    </row>
    <row r="50550" spans="18:19">
      <c r="R50550" s="178"/>
      <c r="S50550" s="178"/>
    </row>
    <row r="50551" spans="18:19">
      <c r="R50551" s="178"/>
      <c r="S50551" s="178"/>
    </row>
    <row r="50552" spans="18:19">
      <c r="R50552" s="178"/>
      <c r="S50552" s="178"/>
    </row>
    <row r="50553" spans="18:19">
      <c r="R50553" s="178"/>
      <c r="S50553" s="178"/>
    </row>
    <row r="50554" spans="18:19">
      <c r="R50554" s="178"/>
      <c r="S50554" s="178"/>
    </row>
    <row r="50555" spans="18:19">
      <c r="R50555" s="178"/>
      <c r="S50555" s="178"/>
    </row>
    <row r="50556" spans="18:19">
      <c r="R50556" s="178"/>
      <c r="S50556" s="178"/>
    </row>
    <row r="50557" spans="18:19">
      <c r="R50557" s="178"/>
      <c r="S50557" s="178"/>
    </row>
    <row r="50558" spans="18:19">
      <c r="R50558" s="178"/>
      <c r="S50558" s="178"/>
    </row>
    <row r="50559" spans="18:19">
      <c r="R50559" s="178"/>
      <c r="S50559" s="178"/>
    </row>
    <row r="50560" spans="18:19">
      <c r="R50560" s="178"/>
      <c r="S50560" s="178"/>
    </row>
    <row r="50561" spans="18:19">
      <c r="R50561" s="178"/>
      <c r="S50561" s="178"/>
    </row>
    <row r="50562" spans="18:19">
      <c r="R50562" s="178"/>
      <c r="S50562" s="178"/>
    </row>
    <row r="50563" spans="18:19">
      <c r="R50563" s="178"/>
      <c r="S50563" s="178"/>
    </row>
    <row r="50564" spans="18:19">
      <c r="R50564" s="178"/>
      <c r="S50564" s="178"/>
    </row>
    <row r="50565" spans="18:19">
      <c r="R50565" s="178"/>
      <c r="S50565" s="178"/>
    </row>
    <row r="50566" spans="18:19">
      <c r="R50566" s="178"/>
      <c r="S50566" s="178"/>
    </row>
    <row r="50567" spans="18:19">
      <c r="R50567" s="178"/>
      <c r="S50567" s="178"/>
    </row>
    <row r="50568" spans="18:19">
      <c r="R50568" s="178"/>
      <c r="S50568" s="178"/>
    </row>
    <row r="50569" spans="18:19">
      <c r="R50569" s="178"/>
      <c r="S50569" s="178"/>
    </row>
    <row r="50570" spans="18:19">
      <c r="R50570" s="178"/>
      <c r="S50570" s="178"/>
    </row>
    <row r="50571" spans="18:19">
      <c r="R50571" s="178"/>
      <c r="S50571" s="178"/>
    </row>
    <row r="50572" spans="18:19">
      <c r="R50572" s="178"/>
      <c r="S50572" s="178"/>
    </row>
    <row r="50573" spans="18:19">
      <c r="R50573" s="178"/>
      <c r="S50573" s="178"/>
    </row>
    <row r="50574" spans="18:19">
      <c r="R50574" s="178"/>
      <c r="S50574" s="178"/>
    </row>
    <row r="50575" spans="18:19">
      <c r="R50575" s="178"/>
      <c r="S50575" s="178"/>
    </row>
    <row r="50576" spans="18:19">
      <c r="R50576" s="178"/>
      <c r="S50576" s="178"/>
    </row>
    <row r="50577" spans="18:19">
      <c r="R50577" s="178"/>
      <c r="S50577" s="178"/>
    </row>
    <row r="50578" spans="18:19">
      <c r="R50578" s="178"/>
      <c r="S50578" s="178"/>
    </row>
    <row r="50579" spans="18:19">
      <c r="R50579" s="178"/>
      <c r="S50579" s="178"/>
    </row>
    <row r="50580" spans="18:19">
      <c r="R50580" s="178"/>
      <c r="S50580" s="178"/>
    </row>
    <row r="50581" spans="18:19">
      <c r="R50581" s="178"/>
      <c r="S50581" s="178"/>
    </row>
    <row r="50582" spans="18:19">
      <c r="R50582" s="178"/>
      <c r="S50582" s="178"/>
    </row>
    <row r="50583" spans="18:19">
      <c r="R50583" s="178"/>
      <c r="S50583" s="178"/>
    </row>
    <row r="50584" spans="18:19">
      <c r="R50584" s="178"/>
      <c r="S50584" s="178"/>
    </row>
    <row r="50585" spans="18:19">
      <c r="R50585" s="178"/>
      <c r="S50585" s="178"/>
    </row>
    <row r="50586" spans="18:19">
      <c r="R50586" s="178"/>
      <c r="S50586" s="178"/>
    </row>
    <row r="50587" spans="18:19">
      <c r="R50587" s="178"/>
      <c r="S50587" s="178"/>
    </row>
    <row r="50588" spans="18:19">
      <c r="R50588" s="178"/>
      <c r="S50588" s="178"/>
    </row>
    <row r="50589" spans="18:19">
      <c r="R50589" s="178"/>
      <c r="S50589" s="178"/>
    </row>
    <row r="50590" spans="18:19">
      <c r="R50590" s="178"/>
      <c r="S50590" s="178"/>
    </row>
    <row r="50591" spans="18:19">
      <c r="R50591" s="178"/>
      <c r="S50591" s="178"/>
    </row>
    <row r="50592" spans="18:19">
      <c r="R50592" s="178"/>
      <c r="S50592" s="178"/>
    </row>
    <row r="50593" spans="18:19">
      <c r="R50593" s="178"/>
      <c r="S50593" s="178"/>
    </row>
    <row r="50594" spans="18:19">
      <c r="R50594" s="178"/>
      <c r="S50594" s="178"/>
    </row>
    <row r="50595" spans="18:19">
      <c r="R50595" s="178"/>
      <c r="S50595" s="178"/>
    </row>
    <row r="50596" spans="18:19">
      <c r="R50596" s="178"/>
      <c r="S50596" s="178"/>
    </row>
    <row r="50597" spans="18:19">
      <c r="R50597" s="178"/>
      <c r="S50597" s="178"/>
    </row>
    <row r="50598" spans="18:19">
      <c r="R50598" s="178"/>
      <c r="S50598" s="178"/>
    </row>
    <row r="50599" spans="18:19">
      <c r="R50599" s="178"/>
      <c r="S50599" s="178"/>
    </row>
    <row r="50600" spans="18:19">
      <c r="R50600" s="178"/>
      <c r="S50600" s="178"/>
    </row>
    <row r="50601" spans="18:19">
      <c r="R50601" s="178"/>
      <c r="S50601" s="178"/>
    </row>
    <row r="50602" spans="18:19">
      <c r="R50602" s="178"/>
      <c r="S50602" s="178"/>
    </row>
    <row r="50603" spans="18:19">
      <c r="R50603" s="178"/>
      <c r="S50603" s="178"/>
    </row>
    <row r="50604" spans="18:19">
      <c r="R50604" s="178"/>
      <c r="S50604" s="178"/>
    </row>
    <row r="50605" spans="18:19">
      <c r="R50605" s="178"/>
      <c r="S50605" s="178"/>
    </row>
    <row r="50606" spans="18:19">
      <c r="R50606" s="178"/>
      <c r="S50606" s="178"/>
    </row>
    <row r="50607" spans="18:19">
      <c r="R50607" s="178"/>
      <c r="S50607" s="178"/>
    </row>
    <row r="50608" spans="18:19">
      <c r="R50608" s="178"/>
      <c r="S50608" s="178"/>
    </row>
    <row r="50609" spans="18:19">
      <c r="R50609" s="178"/>
      <c r="S50609" s="178"/>
    </row>
    <row r="50610" spans="18:19">
      <c r="R50610" s="178"/>
      <c r="S50610" s="178"/>
    </row>
    <row r="50611" spans="18:19">
      <c r="R50611" s="178"/>
      <c r="S50611" s="178"/>
    </row>
    <row r="50612" spans="18:19">
      <c r="R50612" s="178"/>
      <c r="S50612" s="178"/>
    </row>
    <row r="50613" spans="18:19">
      <c r="R50613" s="178"/>
      <c r="S50613" s="178"/>
    </row>
    <row r="50614" spans="18:19">
      <c r="R50614" s="178"/>
      <c r="S50614" s="178"/>
    </row>
    <row r="50615" spans="18:19">
      <c r="R50615" s="178"/>
      <c r="S50615" s="178"/>
    </row>
    <row r="50616" spans="18:19">
      <c r="R50616" s="178"/>
      <c r="S50616" s="178"/>
    </row>
    <row r="50617" spans="18:19">
      <c r="R50617" s="178"/>
      <c r="S50617" s="178"/>
    </row>
    <row r="50618" spans="18:19">
      <c r="R50618" s="178"/>
      <c r="S50618" s="178"/>
    </row>
    <row r="50619" spans="18:19">
      <c r="R50619" s="178"/>
      <c r="S50619" s="178"/>
    </row>
    <row r="50620" spans="18:19">
      <c r="R50620" s="178"/>
      <c r="S50620" s="178"/>
    </row>
    <row r="50621" spans="18:19">
      <c r="R50621" s="178"/>
      <c r="S50621" s="178"/>
    </row>
    <row r="50622" spans="18:19">
      <c r="R50622" s="178"/>
      <c r="S50622" s="178"/>
    </row>
    <row r="50623" spans="18:19">
      <c r="R50623" s="178"/>
      <c r="S50623" s="178"/>
    </row>
    <row r="50624" spans="18:19">
      <c r="R50624" s="178"/>
      <c r="S50624" s="178"/>
    </row>
    <row r="50625" spans="18:19">
      <c r="R50625" s="178"/>
      <c r="S50625" s="178"/>
    </row>
    <row r="50626" spans="18:19">
      <c r="R50626" s="178"/>
      <c r="S50626" s="178"/>
    </row>
    <row r="50627" spans="18:19">
      <c r="R50627" s="178"/>
      <c r="S50627" s="178"/>
    </row>
    <row r="50628" spans="18:19">
      <c r="R50628" s="178"/>
      <c r="S50628" s="178"/>
    </row>
    <row r="50629" spans="18:19">
      <c r="R50629" s="178"/>
      <c r="S50629" s="178"/>
    </row>
    <row r="50630" spans="18:19">
      <c r="R50630" s="178"/>
      <c r="S50630" s="178"/>
    </row>
    <row r="50631" spans="18:19">
      <c r="R50631" s="178"/>
      <c r="S50631" s="178"/>
    </row>
    <row r="50632" spans="18:19">
      <c r="R50632" s="178"/>
      <c r="S50632" s="178"/>
    </row>
    <row r="50633" spans="18:19">
      <c r="R50633" s="178"/>
      <c r="S50633" s="178"/>
    </row>
    <row r="50634" spans="18:19">
      <c r="R50634" s="178"/>
      <c r="S50634" s="178"/>
    </row>
    <row r="50635" spans="18:19">
      <c r="R50635" s="178"/>
      <c r="S50635" s="178"/>
    </row>
    <row r="50636" spans="18:19">
      <c r="R50636" s="178"/>
      <c r="S50636" s="178"/>
    </row>
    <row r="50637" spans="18:19">
      <c r="R50637" s="178"/>
      <c r="S50637" s="178"/>
    </row>
    <row r="50638" spans="18:19">
      <c r="R50638" s="178"/>
      <c r="S50638" s="178"/>
    </row>
    <row r="50639" spans="18:19">
      <c r="R50639" s="178"/>
      <c r="S50639" s="178"/>
    </row>
    <row r="50640" spans="18:19">
      <c r="R50640" s="178"/>
      <c r="S50640" s="178"/>
    </row>
    <row r="50641" spans="18:19">
      <c r="R50641" s="178"/>
      <c r="S50641" s="178"/>
    </row>
    <row r="50642" spans="18:19">
      <c r="R50642" s="178"/>
      <c r="S50642" s="178"/>
    </row>
    <row r="50643" spans="18:19">
      <c r="R50643" s="178"/>
      <c r="S50643" s="178"/>
    </row>
    <row r="50644" spans="18:19">
      <c r="R50644" s="178"/>
      <c r="S50644" s="178"/>
    </row>
    <row r="50645" spans="18:19">
      <c r="R50645" s="178"/>
      <c r="S50645" s="178"/>
    </row>
    <row r="50646" spans="18:19">
      <c r="R50646" s="178"/>
      <c r="S50646" s="178"/>
    </row>
    <row r="50647" spans="18:19">
      <c r="R50647" s="178"/>
      <c r="S50647" s="178"/>
    </row>
    <row r="50648" spans="18:19">
      <c r="R50648" s="178"/>
      <c r="S50648" s="178"/>
    </row>
    <row r="50649" spans="18:19">
      <c r="R50649" s="178"/>
      <c r="S50649" s="178"/>
    </row>
    <row r="50650" spans="18:19">
      <c r="R50650" s="178"/>
      <c r="S50650" s="178"/>
    </row>
    <row r="50651" spans="18:19">
      <c r="R50651" s="178"/>
      <c r="S50651" s="178"/>
    </row>
    <row r="50652" spans="18:19">
      <c r="R50652" s="178"/>
      <c r="S50652" s="178"/>
    </row>
    <row r="50653" spans="18:19">
      <c r="R50653" s="178"/>
      <c r="S50653" s="178"/>
    </row>
    <row r="50654" spans="18:19">
      <c r="R50654" s="178"/>
      <c r="S50654" s="178"/>
    </row>
    <row r="50655" spans="18:19">
      <c r="R50655" s="178"/>
      <c r="S50655" s="178"/>
    </row>
    <row r="50656" spans="18:19">
      <c r="R50656" s="178"/>
      <c r="S50656" s="178"/>
    </row>
    <row r="50657" spans="18:19">
      <c r="R50657" s="178"/>
      <c r="S50657" s="178"/>
    </row>
    <row r="50658" spans="18:19">
      <c r="R50658" s="178"/>
      <c r="S50658" s="178"/>
    </row>
    <row r="50659" spans="18:19">
      <c r="R50659" s="178"/>
      <c r="S50659" s="178"/>
    </row>
    <row r="50660" spans="18:19">
      <c r="R50660" s="178"/>
      <c r="S50660" s="178"/>
    </row>
    <row r="50661" spans="18:19">
      <c r="R50661" s="178"/>
      <c r="S50661" s="178"/>
    </row>
    <row r="50662" spans="18:19">
      <c r="R50662" s="178"/>
      <c r="S50662" s="178"/>
    </row>
    <row r="50663" spans="18:19">
      <c r="R50663" s="178"/>
      <c r="S50663" s="178"/>
    </row>
    <row r="50664" spans="18:19">
      <c r="R50664" s="178"/>
      <c r="S50664" s="178"/>
    </row>
    <row r="50665" spans="18:19">
      <c r="R50665" s="178"/>
      <c r="S50665" s="178"/>
    </row>
    <row r="50666" spans="18:19">
      <c r="R50666" s="178"/>
      <c r="S50666" s="178"/>
    </row>
    <row r="50667" spans="18:19">
      <c r="R50667" s="178"/>
      <c r="S50667" s="178"/>
    </row>
    <row r="50668" spans="18:19">
      <c r="R50668" s="178"/>
      <c r="S50668" s="178"/>
    </row>
    <row r="50669" spans="18:19">
      <c r="R50669" s="178"/>
      <c r="S50669" s="178"/>
    </row>
    <row r="50670" spans="18:19">
      <c r="R50670" s="178"/>
      <c r="S50670" s="178"/>
    </row>
    <row r="50671" spans="18:19">
      <c r="R50671" s="178"/>
      <c r="S50671" s="178"/>
    </row>
    <row r="50672" spans="18:19">
      <c r="R50672" s="178"/>
      <c r="S50672" s="178"/>
    </row>
    <row r="50673" spans="18:19">
      <c r="R50673" s="178"/>
      <c r="S50673" s="178"/>
    </row>
    <row r="50674" spans="18:19">
      <c r="R50674" s="178"/>
      <c r="S50674" s="178"/>
    </row>
    <row r="50675" spans="18:19">
      <c r="R50675" s="178"/>
      <c r="S50675" s="178"/>
    </row>
    <row r="50676" spans="18:19">
      <c r="R50676" s="178"/>
      <c r="S50676" s="178"/>
    </row>
    <row r="50677" spans="18:19">
      <c r="R50677" s="178"/>
      <c r="S50677" s="178"/>
    </row>
    <row r="50678" spans="18:19">
      <c r="R50678" s="178"/>
      <c r="S50678" s="178"/>
    </row>
    <row r="50679" spans="18:19">
      <c r="R50679" s="178"/>
      <c r="S50679" s="178"/>
    </row>
    <row r="50680" spans="18:19">
      <c r="R50680" s="178"/>
      <c r="S50680" s="178"/>
    </row>
    <row r="50681" spans="18:19">
      <c r="R50681" s="178"/>
      <c r="S50681" s="178"/>
    </row>
    <row r="50682" spans="18:19">
      <c r="R50682" s="178"/>
      <c r="S50682" s="178"/>
    </row>
    <row r="50683" spans="18:19">
      <c r="R50683" s="178"/>
      <c r="S50683" s="178"/>
    </row>
    <row r="50684" spans="18:19">
      <c r="R50684" s="178"/>
      <c r="S50684" s="178"/>
    </row>
    <row r="50685" spans="18:19">
      <c r="R50685" s="178"/>
      <c r="S50685" s="178"/>
    </row>
    <row r="50686" spans="18:19">
      <c r="R50686" s="178"/>
      <c r="S50686" s="178"/>
    </row>
    <row r="50687" spans="18:19">
      <c r="R50687" s="178"/>
      <c r="S50687" s="178"/>
    </row>
    <row r="50688" spans="18:19">
      <c r="R50688" s="178"/>
      <c r="S50688" s="178"/>
    </row>
    <row r="50689" spans="18:19">
      <c r="R50689" s="178"/>
      <c r="S50689" s="178"/>
    </row>
    <row r="50690" spans="18:19">
      <c r="R50690" s="178"/>
      <c r="S50690" s="178"/>
    </row>
    <row r="50691" spans="18:19">
      <c r="R50691" s="178"/>
      <c r="S50691" s="178"/>
    </row>
    <row r="50692" spans="18:19">
      <c r="R50692" s="178"/>
      <c r="S50692" s="178"/>
    </row>
    <row r="50693" spans="18:19">
      <c r="R50693" s="178"/>
      <c r="S50693" s="178"/>
    </row>
    <row r="50694" spans="18:19">
      <c r="R50694" s="178"/>
      <c r="S50694" s="178"/>
    </row>
    <row r="50695" spans="18:19">
      <c r="R50695" s="178"/>
      <c r="S50695" s="178"/>
    </row>
    <row r="50696" spans="18:19">
      <c r="R50696" s="178"/>
      <c r="S50696" s="178"/>
    </row>
    <row r="50697" spans="18:19">
      <c r="R50697" s="178"/>
      <c r="S50697" s="178"/>
    </row>
    <row r="50698" spans="18:19">
      <c r="R50698" s="178"/>
      <c r="S50698" s="178"/>
    </row>
    <row r="50699" spans="18:19">
      <c r="R50699" s="178"/>
      <c r="S50699" s="178"/>
    </row>
    <row r="50700" spans="18:19">
      <c r="R50700" s="178"/>
      <c r="S50700" s="178"/>
    </row>
    <row r="50701" spans="18:19">
      <c r="R50701" s="178"/>
      <c r="S50701" s="178"/>
    </row>
    <row r="50702" spans="18:19">
      <c r="R50702" s="178"/>
      <c r="S50702" s="178"/>
    </row>
    <row r="50703" spans="18:19">
      <c r="R50703" s="178"/>
      <c r="S50703" s="178"/>
    </row>
    <row r="50704" spans="18:19">
      <c r="R50704" s="178"/>
      <c r="S50704" s="178"/>
    </row>
    <row r="50705" spans="18:19">
      <c r="R50705" s="178"/>
      <c r="S50705" s="178"/>
    </row>
    <row r="50706" spans="18:19">
      <c r="R50706" s="178"/>
      <c r="S50706" s="178"/>
    </row>
    <row r="50707" spans="18:19">
      <c r="R50707" s="178"/>
      <c r="S50707" s="178"/>
    </row>
    <row r="50708" spans="18:19">
      <c r="R50708" s="178"/>
      <c r="S50708" s="178"/>
    </row>
    <row r="50709" spans="18:19">
      <c r="R50709" s="178"/>
      <c r="S50709" s="178"/>
    </row>
    <row r="50710" spans="18:19">
      <c r="R50710" s="178"/>
      <c r="S50710" s="178"/>
    </row>
    <row r="50711" spans="18:19">
      <c r="R50711" s="178"/>
      <c r="S50711" s="178"/>
    </row>
    <row r="50712" spans="18:19">
      <c r="R50712" s="178"/>
      <c r="S50712" s="178"/>
    </row>
    <row r="50713" spans="18:19">
      <c r="R50713" s="178"/>
      <c r="S50713" s="178"/>
    </row>
    <row r="50714" spans="18:19">
      <c r="R50714" s="178"/>
      <c r="S50714" s="178"/>
    </row>
    <row r="50715" spans="18:19">
      <c r="R50715" s="178"/>
      <c r="S50715" s="178"/>
    </row>
    <row r="50716" spans="18:19">
      <c r="R50716" s="178"/>
      <c r="S50716" s="178"/>
    </row>
    <row r="50717" spans="18:19">
      <c r="R50717" s="178"/>
      <c r="S50717" s="178"/>
    </row>
    <row r="50718" spans="18:19">
      <c r="R50718" s="178"/>
      <c r="S50718" s="178"/>
    </row>
    <row r="50719" spans="18:19">
      <c r="R50719" s="178"/>
      <c r="S50719" s="178"/>
    </row>
    <row r="50720" spans="18:19">
      <c r="R50720" s="178"/>
      <c r="S50720" s="178"/>
    </row>
    <row r="50721" spans="18:19">
      <c r="R50721" s="178"/>
      <c r="S50721" s="178"/>
    </row>
    <row r="50722" spans="18:19">
      <c r="R50722" s="178"/>
      <c r="S50722" s="178"/>
    </row>
    <row r="50723" spans="18:19">
      <c r="R50723" s="178"/>
      <c r="S50723" s="178"/>
    </row>
    <row r="50724" spans="18:19">
      <c r="R50724" s="178"/>
      <c r="S50724" s="178"/>
    </row>
    <row r="50725" spans="18:19">
      <c r="R50725" s="178"/>
      <c r="S50725" s="178"/>
    </row>
    <row r="50726" spans="18:19">
      <c r="R50726" s="178"/>
      <c r="S50726" s="178"/>
    </row>
    <row r="50727" spans="18:19">
      <c r="R50727" s="178"/>
      <c r="S50727" s="178"/>
    </row>
    <row r="50728" spans="18:19">
      <c r="R50728" s="178"/>
      <c r="S50728" s="178"/>
    </row>
    <row r="50729" spans="18:19">
      <c r="R50729" s="178"/>
      <c r="S50729" s="178"/>
    </row>
    <row r="50730" spans="18:19">
      <c r="R50730" s="178"/>
      <c r="S50730" s="178"/>
    </row>
    <row r="50731" spans="18:19">
      <c r="R50731" s="178"/>
      <c r="S50731" s="178"/>
    </row>
    <row r="50732" spans="18:19">
      <c r="R50732" s="178"/>
      <c r="S50732" s="178"/>
    </row>
    <row r="50733" spans="18:19">
      <c r="R50733" s="178"/>
      <c r="S50733" s="178"/>
    </row>
    <row r="50734" spans="18:19">
      <c r="R50734" s="178"/>
      <c r="S50734" s="178"/>
    </row>
    <row r="50735" spans="18:19">
      <c r="R50735" s="178"/>
      <c r="S50735" s="178"/>
    </row>
    <row r="50736" spans="18:19">
      <c r="R50736" s="178"/>
      <c r="S50736" s="178"/>
    </row>
    <row r="50737" spans="18:19">
      <c r="R50737" s="178"/>
      <c r="S50737" s="178"/>
    </row>
    <row r="50738" spans="18:19">
      <c r="R50738" s="178"/>
      <c r="S50738" s="178"/>
    </row>
    <row r="50739" spans="18:19">
      <c r="R50739" s="178"/>
      <c r="S50739" s="178"/>
    </row>
    <row r="50740" spans="18:19">
      <c r="R50740" s="178"/>
      <c r="S50740" s="178"/>
    </row>
    <row r="50741" spans="18:19">
      <c r="R50741" s="178"/>
      <c r="S50741" s="178"/>
    </row>
    <row r="50742" spans="18:19">
      <c r="R50742" s="178"/>
      <c r="S50742" s="178"/>
    </row>
    <row r="50743" spans="18:19">
      <c r="R50743" s="178"/>
      <c r="S50743" s="178"/>
    </row>
    <row r="50744" spans="18:19">
      <c r="R50744" s="178"/>
      <c r="S50744" s="178"/>
    </row>
    <row r="50745" spans="18:19">
      <c r="R50745" s="178"/>
      <c r="S50745" s="178"/>
    </row>
    <row r="50746" spans="18:19">
      <c r="R50746" s="178"/>
      <c r="S50746" s="178"/>
    </row>
    <row r="50747" spans="18:19">
      <c r="R50747" s="178"/>
      <c r="S50747" s="178"/>
    </row>
    <row r="50748" spans="18:19">
      <c r="R50748" s="178"/>
      <c r="S50748" s="178"/>
    </row>
    <row r="50749" spans="18:19">
      <c r="R50749" s="178"/>
      <c r="S50749" s="178"/>
    </row>
    <row r="50750" spans="18:19">
      <c r="R50750" s="178"/>
      <c r="S50750" s="178"/>
    </row>
    <row r="50751" spans="18:19">
      <c r="R50751" s="178"/>
      <c r="S50751" s="178"/>
    </row>
    <row r="50752" spans="18:19">
      <c r="R50752" s="178"/>
      <c r="S50752" s="178"/>
    </row>
    <row r="50753" spans="18:19">
      <c r="R50753" s="178"/>
      <c r="S50753" s="178"/>
    </row>
    <row r="50754" spans="18:19">
      <c r="R50754" s="178"/>
      <c r="S50754" s="178"/>
    </row>
    <row r="50755" spans="18:19">
      <c r="R50755" s="178"/>
      <c r="S50755" s="178"/>
    </row>
    <row r="50756" spans="18:19">
      <c r="R50756" s="178"/>
      <c r="S50756" s="178"/>
    </row>
    <row r="50757" spans="18:19">
      <c r="R50757" s="178"/>
      <c r="S50757" s="178"/>
    </row>
    <row r="50758" spans="18:19">
      <c r="R50758" s="178"/>
      <c r="S50758" s="178"/>
    </row>
    <row r="50759" spans="18:19">
      <c r="R50759" s="178"/>
      <c r="S50759" s="178"/>
    </row>
    <row r="50760" spans="18:19">
      <c r="R50760" s="178"/>
      <c r="S50760" s="178"/>
    </row>
    <row r="50761" spans="18:19">
      <c r="R50761" s="178"/>
      <c r="S50761" s="178"/>
    </row>
    <row r="50762" spans="18:19">
      <c r="R50762" s="178"/>
      <c r="S50762" s="178"/>
    </row>
    <row r="50763" spans="18:19">
      <c r="R50763" s="178"/>
      <c r="S50763" s="178"/>
    </row>
    <row r="50764" spans="18:19">
      <c r="R50764" s="178"/>
      <c r="S50764" s="178"/>
    </row>
    <row r="50765" spans="18:19">
      <c r="R50765" s="178"/>
      <c r="S50765" s="178"/>
    </row>
    <row r="50766" spans="18:19">
      <c r="R50766" s="178"/>
      <c r="S50766" s="178"/>
    </row>
    <row r="50767" spans="18:19">
      <c r="R50767" s="178"/>
      <c r="S50767" s="178"/>
    </row>
    <row r="50768" spans="18:19">
      <c r="R50768" s="178"/>
      <c r="S50768" s="178"/>
    </row>
    <row r="50769" spans="18:19">
      <c r="R50769" s="178"/>
      <c r="S50769" s="178"/>
    </row>
    <row r="50770" spans="18:19">
      <c r="R50770" s="178"/>
      <c r="S50770" s="178"/>
    </row>
    <row r="50771" spans="18:19">
      <c r="R50771" s="178"/>
      <c r="S50771" s="178"/>
    </row>
    <row r="50772" spans="18:19">
      <c r="R50772" s="178"/>
      <c r="S50772" s="178"/>
    </row>
    <row r="50773" spans="18:19">
      <c r="R50773" s="178"/>
      <c r="S50773" s="178"/>
    </row>
    <row r="50774" spans="18:19">
      <c r="R50774" s="178"/>
      <c r="S50774" s="178"/>
    </row>
    <row r="50775" spans="18:19">
      <c r="R50775" s="178"/>
      <c r="S50775" s="178"/>
    </row>
    <row r="50776" spans="18:19">
      <c r="R50776" s="178"/>
      <c r="S50776" s="178"/>
    </row>
    <row r="50777" spans="18:19">
      <c r="R50777" s="178"/>
      <c r="S50777" s="178"/>
    </row>
    <row r="50778" spans="18:19">
      <c r="R50778" s="178"/>
      <c r="S50778" s="178"/>
    </row>
    <row r="50779" spans="18:19">
      <c r="R50779" s="178"/>
      <c r="S50779" s="178"/>
    </row>
    <row r="50780" spans="18:19">
      <c r="R50780" s="178"/>
      <c r="S50780" s="178"/>
    </row>
    <row r="50781" spans="18:19">
      <c r="R50781" s="178"/>
      <c r="S50781" s="178"/>
    </row>
    <row r="50782" spans="18:19">
      <c r="R50782" s="178"/>
      <c r="S50782" s="178"/>
    </row>
    <row r="50783" spans="18:19">
      <c r="R50783" s="178"/>
      <c r="S50783" s="178"/>
    </row>
    <row r="50784" spans="18:19">
      <c r="R50784" s="178"/>
      <c r="S50784" s="178"/>
    </row>
    <row r="50785" spans="18:19">
      <c r="R50785" s="178"/>
      <c r="S50785" s="178"/>
    </row>
    <row r="50786" spans="18:19">
      <c r="R50786" s="178"/>
      <c r="S50786" s="178"/>
    </row>
    <row r="50787" spans="18:19">
      <c r="R50787" s="178"/>
      <c r="S50787" s="178"/>
    </row>
    <row r="50788" spans="18:19">
      <c r="R50788" s="178"/>
      <c r="S50788" s="178"/>
    </row>
    <row r="50789" spans="18:19">
      <c r="R50789" s="178"/>
      <c r="S50789" s="178"/>
    </row>
    <row r="50790" spans="18:19">
      <c r="R50790" s="178"/>
      <c r="S50790" s="178"/>
    </row>
    <row r="50791" spans="18:19">
      <c r="R50791" s="178"/>
      <c r="S50791" s="178"/>
    </row>
    <row r="50792" spans="18:19">
      <c r="R50792" s="178"/>
      <c r="S50792" s="178"/>
    </row>
    <row r="50793" spans="18:19">
      <c r="R50793" s="178"/>
      <c r="S50793" s="178"/>
    </row>
    <row r="50794" spans="18:19">
      <c r="R50794" s="178"/>
      <c r="S50794" s="178"/>
    </row>
    <row r="50795" spans="18:19">
      <c r="R50795" s="178"/>
      <c r="S50795" s="178"/>
    </row>
    <row r="50796" spans="18:19">
      <c r="R50796" s="178"/>
      <c r="S50796" s="178"/>
    </row>
    <row r="50797" spans="18:19">
      <c r="R50797" s="178"/>
      <c r="S50797" s="178"/>
    </row>
    <row r="50798" spans="18:19">
      <c r="R50798" s="178"/>
      <c r="S50798" s="178"/>
    </row>
    <row r="50799" spans="18:19">
      <c r="R50799" s="178"/>
      <c r="S50799" s="178"/>
    </row>
    <row r="50800" spans="18:19">
      <c r="R50800" s="178"/>
      <c r="S50800" s="178"/>
    </row>
    <row r="50801" spans="18:19">
      <c r="R50801" s="178"/>
      <c r="S50801" s="178"/>
    </row>
    <row r="50802" spans="18:19">
      <c r="R50802" s="178"/>
      <c r="S50802" s="178"/>
    </row>
    <row r="50803" spans="18:19">
      <c r="R50803" s="178"/>
      <c r="S50803" s="178"/>
    </row>
    <row r="50804" spans="18:19">
      <c r="R50804" s="178"/>
      <c r="S50804" s="178"/>
    </row>
    <row r="50805" spans="18:19">
      <c r="R50805" s="178"/>
      <c r="S50805" s="178"/>
    </row>
    <row r="50806" spans="18:19">
      <c r="R50806" s="178"/>
      <c r="S50806" s="178"/>
    </row>
    <row r="50807" spans="18:19">
      <c r="R50807" s="178"/>
      <c r="S50807" s="178"/>
    </row>
    <row r="50808" spans="18:19">
      <c r="R50808" s="178"/>
      <c r="S50808" s="178"/>
    </row>
    <row r="50809" spans="18:19">
      <c r="R50809" s="178"/>
      <c r="S50809" s="178"/>
    </row>
    <row r="50810" spans="18:19">
      <c r="R50810" s="178"/>
      <c r="S50810" s="178"/>
    </row>
    <row r="50811" spans="18:19">
      <c r="R50811" s="178"/>
      <c r="S50811" s="178"/>
    </row>
    <row r="50812" spans="18:19">
      <c r="R50812" s="178"/>
      <c r="S50812" s="178"/>
    </row>
    <row r="50813" spans="18:19">
      <c r="R50813" s="178"/>
      <c r="S50813" s="178"/>
    </row>
    <row r="50814" spans="18:19">
      <c r="R50814" s="178"/>
      <c r="S50814" s="178"/>
    </row>
    <row r="50815" spans="18:19">
      <c r="R50815" s="178"/>
      <c r="S50815" s="178"/>
    </row>
    <row r="50816" spans="18:19">
      <c r="R50816" s="178"/>
      <c r="S50816" s="178"/>
    </row>
    <row r="50817" spans="18:19">
      <c r="R50817" s="178"/>
      <c r="S50817" s="178"/>
    </row>
    <row r="50818" spans="18:19">
      <c r="R50818" s="178"/>
      <c r="S50818" s="178"/>
    </row>
    <row r="50819" spans="18:19">
      <c r="R50819" s="178"/>
      <c r="S50819" s="178"/>
    </row>
    <row r="50820" spans="18:19">
      <c r="R50820" s="178"/>
      <c r="S50820" s="178"/>
    </row>
    <row r="50821" spans="18:19">
      <c r="R50821" s="178"/>
      <c r="S50821" s="178"/>
    </row>
    <row r="50822" spans="18:19">
      <c r="R50822" s="178"/>
      <c r="S50822" s="178"/>
    </row>
    <row r="50823" spans="18:19">
      <c r="R50823" s="178"/>
      <c r="S50823" s="178"/>
    </row>
    <row r="50824" spans="18:19">
      <c r="R50824" s="178"/>
      <c r="S50824" s="178"/>
    </row>
    <row r="50825" spans="18:19">
      <c r="R50825" s="178"/>
      <c r="S50825" s="178"/>
    </row>
    <row r="50826" spans="18:19">
      <c r="R50826" s="178"/>
      <c r="S50826" s="178"/>
    </row>
    <row r="50827" spans="18:19">
      <c r="R50827" s="178"/>
      <c r="S50827" s="178"/>
    </row>
    <row r="50828" spans="18:19">
      <c r="R50828" s="178"/>
      <c r="S50828" s="178"/>
    </row>
    <row r="50829" spans="18:19">
      <c r="R50829" s="178"/>
      <c r="S50829" s="178"/>
    </row>
    <row r="50830" spans="18:19">
      <c r="R50830" s="178"/>
      <c r="S50830" s="178"/>
    </row>
    <row r="50831" spans="18:19">
      <c r="R50831" s="178"/>
      <c r="S50831" s="178"/>
    </row>
    <row r="50832" spans="18:19">
      <c r="R50832" s="178"/>
      <c r="S50832" s="178"/>
    </row>
    <row r="50833" spans="18:19">
      <c r="R50833" s="178"/>
      <c r="S50833" s="178"/>
    </row>
    <row r="50834" spans="18:19">
      <c r="R50834" s="178"/>
      <c r="S50834" s="178"/>
    </row>
    <row r="50835" spans="18:19">
      <c r="R50835" s="178"/>
      <c r="S50835" s="178"/>
    </row>
    <row r="50836" spans="18:19">
      <c r="R50836" s="178"/>
      <c r="S50836" s="178"/>
    </row>
    <row r="50837" spans="18:19">
      <c r="R50837" s="178"/>
      <c r="S50837" s="178"/>
    </row>
    <row r="50838" spans="18:19">
      <c r="R50838" s="178"/>
      <c r="S50838" s="178"/>
    </row>
    <row r="50839" spans="18:19">
      <c r="R50839" s="178"/>
      <c r="S50839" s="178"/>
    </row>
    <row r="50840" spans="18:19">
      <c r="R50840" s="178"/>
      <c r="S50840" s="178"/>
    </row>
    <row r="50841" spans="18:19">
      <c r="R50841" s="178"/>
      <c r="S50841" s="178"/>
    </row>
    <row r="50842" spans="18:19">
      <c r="R50842" s="178"/>
      <c r="S50842" s="178"/>
    </row>
    <row r="50843" spans="18:19">
      <c r="R50843" s="178"/>
      <c r="S50843" s="178"/>
    </row>
    <row r="50844" spans="18:19">
      <c r="R50844" s="178"/>
      <c r="S50844" s="178"/>
    </row>
    <row r="50845" spans="18:19">
      <c r="R50845" s="178"/>
      <c r="S50845" s="178"/>
    </row>
    <row r="50846" spans="18:19">
      <c r="R50846" s="178"/>
      <c r="S50846" s="178"/>
    </row>
    <row r="50847" spans="18:19">
      <c r="R50847" s="178"/>
      <c r="S50847" s="178"/>
    </row>
    <row r="50848" spans="18:19">
      <c r="R50848" s="178"/>
      <c r="S50848" s="178"/>
    </row>
    <row r="50849" spans="18:19">
      <c r="R50849" s="178"/>
      <c r="S50849" s="178"/>
    </row>
    <row r="50850" spans="18:19">
      <c r="R50850" s="178"/>
      <c r="S50850" s="178"/>
    </row>
    <row r="50851" spans="18:19">
      <c r="R50851" s="178"/>
      <c r="S50851" s="178"/>
    </row>
    <row r="50852" spans="18:19">
      <c r="R50852" s="178"/>
      <c r="S50852" s="178"/>
    </row>
    <row r="50853" spans="18:19">
      <c r="R50853" s="178"/>
      <c r="S50853" s="178"/>
    </row>
    <row r="50854" spans="18:19">
      <c r="R50854" s="178"/>
      <c r="S50854" s="178"/>
    </row>
    <row r="50855" spans="18:19">
      <c r="R50855" s="178"/>
      <c r="S50855" s="178"/>
    </row>
    <row r="50856" spans="18:19">
      <c r="R50856" s="178"/>
      <c r="S50856" s="178"/>
    </row>
    <row r="50857" spans="18:19">
      <c r="R50857" s="178"/>
      <c r="S50857" s="178"/>
    </row>
    <row r="50858" spans="18:19">
      <c r="R50858" s="178"/>
      <c r="S50858" s="178"/>
    </row>
    <row r="50859" spans="18:19">
      <c r="R50859" s="178"/>
      <c r="S50859" s="178"/>
    </row>
    <row r="50860" spans="18:19">
      <c r="R50860" s="178"/>
      <c r="S50860" s="178"/>
    </row>
    <row r="50861" spans="18:19">
      <c r="R50861" s="178"/>
      <c r="S50861" s="178"/>
    </row>
    <row r="50862" spans="18:19">
      <c r="R50862" s="178"/>
      <c r="S50862" s="178"/>
    </row>
    <row r="50863" spans="18:19">
      <c r="R50863" s="178"/>
      <c r="S50863" s="178"/>
    </row>
    <row r="50864" spans="18:19">
      <c r="R50864" s="178"/>
      <c r="S50864" s="178"/>
    </row>
    <row r="50865" spans="18:19">
      <c r="R50865" s="178"/>
      <c r="S50865" s="178"/>
    </row>
    <row r="50866" spans="18:19">
      <c r="R50866" s="178"/>
      <c r="S50866" s="178"/>
    </row>
    <row r="50867" spans="18:19">
      <c r="R50867" s="178"/>
      <c r="S50867" s="178"/>
    </row>
    <row r="50868" spans="18:19">
      <c r="R50868" s="178"/>
      <c r="S50868" s="178"/>
    </row>
    <row r="50869" spans="18:19">
      <c r="R50869" s="178"/>
      <c r="S50869" s="178"/>
    </row>
    <row r="50870" spans="18:19">
      <c r="R50870" s="178"/>
      <c r="S50870" s="178"/>
    </row>
    <row r="50871" spans="18:19">
      <c r="R50871" s="178"/>
      <c r="S50871" s="178"/>
    </row>
    <row r="50872" spans="18:19">
      <c r="R50872" s="178"/>
      <c r="S50872" s="178"/>
    </row>
    <row r="50873" spans="18:19">
      <c r="R50873" s="178"/>
      <c r="S50873" s="178"/>
    </row>
    <row r="50874" spans="18:19">
      <c r="R50874" s="178"/>
      <c r="S50874" s="178"/>
    </row>
    <row r="50875" spans="18:19">
      <c r="R50875" s="178"/>
      <c r="S50875" s="178"/>
    </row>
    <row r="50876" spans="18:19">
      <c r="R50876" s="178"/>
      <c r="S50876" s="178"/>
    </row>
    <row r="50877" spans="18:19">
      <c r="R50877" s="178"/>
      <c r="S50877" s="178"/>
    </row>
    <row r="50878" spans="18:19">
      <c r="R50878" s="178"/>
      <c r="S50878" s="178"/>
    </row>
    <row r="50879" spans="18:19">
      <c r="R50879" s="178"/>
      <c r="S50879" s="178"/>
    </row>
    <row r="50880" spans="18:19">
      <c r="R50880" s="178"/>
      <c r="S50880" s="178"/>
    </row>
    <row r="50881" spans="18:19">
      <c r="R50881" s="178"/>
      <c r="S50881" s="178"/>
    </row>
    <row r="50882" spans="18:19">
      <c r="R50882" s="178"/>
      <c r="S50882" s="178"/>
    </row>
    <row r="50883" spans="18:19">
      <c r="R50883" s="178"/>
      <c r="S50883" s="178"/>
    </row>
    <row r="50884" spans="18:19">
      <c r="R50884" s="178"/>
      <c r="S50884" s="178"/>
    </row>
    <row r="50885" spans="18:19">
      <c r="R50885" s="178"/>
      <c r="S50885" s="178"/>
    </row>
    <row r="50886" spans="18:19">
      <c r="R50886" s="178"/>
      <c r="S50886" s="178"/>
    </row>
    <row r="50887" spans="18:19">
      <c r="R50887" s="178"/>
      <c r="S50887" s="178"/>
    </row>
    <row r="50888" spans="18:19">
      <c r="R50888" s="178"/>
      <c r="S50888" s="178"/>
    </row>
    <row r="50889" spans="18:19">
      <c r="R50889" s="178"/>
      <c r="S50889" s="178"/>
    </row>
    <row r="50890" spans="18:19">
      <c r="R50890" s="178"/>
      <c r="S50890" s="178"/>
    </row>
    <row r="50891" spans="18:19">
      <c r="R50891" s="178"/>
      <c r="S50891" s="178"/>
    </row>
    <row r="50892" spans="18:19">
      <c r="R50892" s="178"/>
      <c r="S50892" s="178"/>
    </row>
    <row r="50893" spans="18:19">
      <c r="R50893" s="178"/>
      <c r="S50893" s="178"/>
    </row>
    <row r="50894" spans="18:19">
      <c r="R50894" s="178"/>
      <c r="S50894" s="178"/>
    </row>
    <row r="50895" spans="18:19">
      <c r="R50895" s="178"/>
      <c r="S50895" s="178"/>
    </row>
    <row r="50896" spans="18:19">
      <c r="R50896" s="178"/>
      <c r="S50896" s="178"/>
    </row>
    <row r="50897" spans="18:19">
      <c r="R50897" s="178"/>
      <c r="S50897" s="178"/>
    </row>
    <row r="50898" spans="18:19">
      <c r="R50898" s="178"/>
      <c r="S50898" s="178"/>
    </row>
    <row r="50899" spans="18:19">
      <c r="R50899" s="178"/>
      <c r="S50899" s="178"/>
    </row>
    <row r="50900" spans="18:19">
      <c r="R50900" s="178"/>
      <c r="S50900" s="178"/>
    </row>
    <row r="50901" spans="18:19">
      <c r="R50901" s="178"/>
      <c r="S50901" s="178"/>
    </row>
    <row r="50902" spans="18:19">
      <c r="R50902" s="178"/>
      <c r="S50902" s="178"/>
    </row>
    <row r="50903" spans="18:19">
      <c r="R50903" s="178"/>
      <c r="S50903" s="178"/>
    </row>
    <row r="50904" spans="18:19">
      <c r="R50904" s="178"/>
      <c r="S50904" s="178"/>
    </row>
    <row r="50905" spans="18:19">
      <c r="R50905" s="178"/>
      <c r="S50905" s="178"/>
    </row>
    <row r="50906" spans="18:19">
      <c r="R50906" s="178"/>
      <c r="S50906" s="178"/>
    </row>
    <row r="50907" spans="18:19">
      <c r="R50907" s="178"/>
      <c r="S50907" s="178"/>
    </row>
    <row r="50908" spans="18:19">
      <c r="R50908" s="178"/>
      <c r="S50908" s="178"/>
    </row>
    <row r="50909" spans="18:19">
      <c r="R50909" s="178"/>
      <c r="S50909" s="178"/>
    </row>
    <row r="50910" spans="18:19">
      <c r="R50910" s="178"/>
      <c r="S50910" s="178"/>
    </row>
    <row r="50911" spans="18:19">
      <c r="R50911" s="178"/>
      <c r="S50911" s="178"/>
    </row>
    <row r="50912" spans="18:19">
      <c r="R50912" s="178"/>
      <c r="S50912" s="178"/>
    </row>
    <row r="50913" spans="18:19">
      <c r="R50913" s="178"/>
      <c r="S50913" s="178"/>
    </row>
    <row r="50914" spans="18:19">
      <c r="R50914" s="178"/>
      <c r="S50914" s="178"/>
    </row>
    <row r="50915" spans="18:19">
      <c r="R50915" s="178"/>
      <c r="S50915" s="178"/>
    </row>
    <row r="50916" spans="18:19">
      <c r="R50916" s="178"/>
      <c r="S50916" s="178"/>
    </row>
    <row r="50917" spans="18:19">
      <c r="R50917" s="178"/>
      <c r="S50917" s="178"/>
    </row>
    <row r="50918" spans="18:19">
      <c r="R50918" s="178"/>
      <c r="S50918" s="178"/>
    </row>
    <row r="50919" spans="18:19">
      <c r="R50919" s="178"/>
      <c r="S50919" s="178"/>
    </row>
    <row r="50920" spans="18:19">
      <c r="R50920" s="178"/>
      <c r="S50920" s="178"/>
    </row>
    <row r="50921" spans="18:19">
      <c r="R50921" s="178"/>
      <c r="S50921" s="178"/>
    </row>
    <row r="50922" spans="18:19">
      <c r="R50922" s="178"/>
      <c r="S50922" s="178"/>
    </row>
    <row r="50923" spans="18:19">
      <c r="R50923" s="178"/>
      <c r="S50923" s="178"/>
    </row>
    <row r="50924" spans="18:19">
      <c r="R50924" s="178"/>
      <c r="S50924" s="178"/>
    </row>
    <row r="50925" spans="18:19">
      <c r="R50925" s="178"/>
      <c r="S50925" s="178"/>
    </row>
    <row r="50926" spans="18:19">
      <c r="R50926" s="178"/>
      <c r="S50926" s="178"/>
    </row>
    <row r="50927" spans="18:19">
      <c r="R50927" s="178"/>
      <c r="S50927" s="178"/>
    </row>
    <row r="50928" spans="18:19">
      <c r="R50928" s="178"/>
      <c r="S50928" s="178"/>
    </row>
    <row r="50929" spans="18:19">
      <c r="R50929" s="178"/>
      <c r="S50929" s="178"/>
    </row>
    <row r="50930" spans="18:19">
      <c r="R50930" s="178"/>
      <c r="S50930" s="178"/>
    </row>
    <row r="50931" spans="18:19">
      <c r="R50931" s="178"/>
      <c r="S50931" s="178"/>
    </row>
    <row r="50932" spans="18:19">
      <c r="R50932" s="178"/>
      <c r="S50932" s="178"/>
    </row>
    <row r="50933" spans="18:19">
      <c r="R50933" s="178"/>
      <c r="S50933" s="178"/>
    </row>
    <row r="50934" spans="18:19">
      <c r="R50934" s="178"/>
      <c r="S50934" s="178"/>
    </row>
    <row r="50935" spans="18:19">
      <c r="R50935" s="178"/>
      <c r="S50935" s="178"/>
    </row>
    <row r="50936" spans="18:19">
      <c r="R50936" s="178"/>
      <c r="S50936" s="178"/>
    </row>
    <row r="50937" spans="18:19">
      <c r="R50937" s="178"/>
      <c r="S50937" s="178"/>
    </row>
    <row r="50938" spans="18:19">
      <c r="R50938" s="178"/>
      <c r="S50938" s="178"/>
    </row>
    <row r="50939" spans="18:19">
      <c r="R50939" s="178"/>
      <c r="S50939" s="178"/>
    </row>
    <row r="50940" spans="18:19">
      <c r="R50940" s="178"/>
      <c r="S50940" s="178"/>
    </row>
    <row r="50941" spans="18:19">
      <c r="R50941" s="178"/>
      <c r="S50941" s="178"/>
    </row>
    <row r="50942" spans="18:19">
      <c r="R50942" s="178"/>
      <c r="S50942" s="178"/>
    </row>
    <row r="50943" spans="18:19">
      <c r="R50943" s="178"/>
      <c r="S50943" s="178"/>
    </row>
    <row r="50944" spans="18:19">
      <c r="R50944" s="178"/>
      <c r="S50944" s="178"/>
    </row>
    <row r="50945" spans="18:19">
      <c r="R50945" s="178"/>
      <c r="S50945" s="178"/>
    </row>
    <row r="50946" spans="18:19">
      <c r="R50946" s="178"/>
      <c r="S50946" s="178"/>
    </row>
    <row r="50947" spans="18:19">
      <c r="R50947" s="178"/>
      <c r="S50947" s="178"/>
    </row>
    <row r="50948" spans="18:19">
      <c r="R50948" s="178"/>
      <c r="S50948" s="178"/>
    </row>
    <row r="50949" spans="18:19">
      <c r="R50949" s="178"/>
      <c r="S50949" s="178"/>
    </row>
    <row r="50950" spans="18:19">
      <c r="R50950" s="178"/>
      <c r="S50950" s="178"/>
    </row>
    <row r="50951" spans="18:19">
      <c r="R50951" s="178"/>
      <c r="S50951" s="178"/>
    </row>
    <row r="50952" spans="18:19">
      <c r="R50952" s="178"/>
      <c r="S50952" s="178"/>
    </row>
    <row r="50953" spans="18:19">
      <c r="R50953" s="178"/>
      <c r="S50953" s="178"/>
    </row>
    <row r="50954" spans="18:19">
      <c r="R50954" s="178"/>
      <c r="S50954" s="178"/>
    </row>
    <row r="50955" spans="18:19">
      <c r="R50955" s="178"/>
      <c r="S50955" s="178"/>
    </row>
    <row r="50956" spans="18:19">
      <c r="R50956" s="178"/>
      <c r="S50956" s="178"/>
    </row>
    <row r="50957" spans="18:19">
      <c r="R50957" s="178"/>
      <c r="S50957" s="178"/>
    </row>
    <row r="50958" spans="18:19">
      <c r="R50958" s="178"/>
      <c r="S50958" s="178"/>
    </row>
    <row r="50959" spans="18:19">
      <c r="R50959" s="178"/>
      <c r="S50959" s="178"/>
    </row>
    <row r="50960" spans="18:19">
      <c r="R50960" s="178"/>
      <c r="S50960" s="178"/>
    </row>
    <row r="50961" spans="18:19">
      <c r="R50961" s="178"/>
      <c r="S50961" s="178"/>
    </row>
    <row r="50962" spans="18:19">
      <c r="R50962" s="178"/>
      <c r="S50962" s="178"/>
    </row>
    <row r="50963" spans="18:19">
      <c r="R50963" s="178"/>
      <c r="S50963" s="178"/>
    </row>
    <row r="50964" spans="18:19">
      <c r="R50964" s="178"/>
      <c r="S50964" s="178"/>
    </row>
    <row r="50965" spans="18:19">
      <c r="R50965" s="178"/>
      <c r="S50965" s="178"/>
    </row>
    <row r="50966" spans="18:19">
      <c r="R50966" s="178"/>
      <c r="S50966" s="178"/>
    </row>
    <row r="50967" spans="18:19">
      <c r="R50967" s="178"/>
      <c r="S50967" s="178"/>
    </row>
    <row r="50968" spans="18:19">
      <c r="R50968" s="178"/>
      <c r="S50968" s="178"/>
    </row>
    <row r="50969" spans="18:19">
      <c r="R50969" s="178"/>
      <c r="S50969" s="178"/>
    </row>
    <row r="50970" spans="18:19">
      <c r="R50970" s="178"/>
      <c r="S50970" s="178"/>
    </row>
    <row r="50971" spans="18:19">
      <c r="R50971" s="178"/>
      <c r="S50971" s="178"/>
    </row>
    <row r="50972" spans="18:19">
      <c r="R50972" s="178"/>
      <c r="S50972" s="178"/>
    </row>
    <row r="50973" spans="18:19">
      <c r="R50973" s="178"/>
      <c r="S50973" s="178"/>
    </row>
    <row r="50974" spans="18:19">
      <c r="R50974" s="178"/>
      <c r="S50974" s="178"/>
    </row>
    <row r="50975" spans="18:19">
      <c r="R50975" s="178"/>
      <c r="S50975" s="178"/>
    </row>
    <row r="50976" spans="18:19">
      <c r="R50976" s="178"/>
      <c r="S50976" s="178"/>
    </row>
    <row r="50977" spans="18:19">
      <c r="R50977" s="178"/>
      <c r="S50977" s="178"/>
    </row>
    <row r="50978" spans="18:19">
      <c r="R50978" s="178"/>
      <c r="S50978" s="178"/>
    </row>
    <row r="50979" spans="18:19">
      <c r="R50979" s="178"/>
      <c r="S50979" s="178"/>
    </row>
    <row r="50980" spans="18:19">
      <c r="R50980" s="178"/>
      <c r="S50980" s="178"/>
    </row>
    <row r="50981" spans="18:19">
      <c r="R50981" s="178"/>
      <c r="S50981" s="178"/>
    </row>
    <row r="50982" spans="18:19">
      <c r="R50982" s="178"/>
      <c r="S50982" s="178"/>
    </row>
    <row r="50983" spans="18:19">
      <c r="R50983" s="178"/>
      <c r="S50983" s="178"/>
    </row>
    <row r="50984" spans="18:19">
      <c r="R50984" s="178"/>
      <c r="S50984" s="178"/>
    </row>
    <row r="50985" spans="18:19">
      <c r="R50985" s="178"/>
      <c r="S50985" s="178"/>
    </row>
    <row r="50986" spans="18:19">
      <c r="R50986" s="178"/>
      <c r="S50986" s="178"/>
    </row>
    <row r="50987" spans="18:19">
      <c r="R50987" s="178"/>
      <c r="S50987" s="178"/>
    </row>
    <row r="50988" spans="18:19">
      <c r="R50988" s="178"/>
      <c r="S50988" s="178"/>
    </row>
    <row r="50989" spans="18:19">
      <c r="R50989" s="178"/>
      <c r="S50989" s="178"/>
    </row>
    <row r="50990" spans="18:19">
      <c r="R50990" s="178"/>
      <c r="S50990" s="178"/>
    </row>
    <row r="50991" spans="18:19">
      <c r="R50991" s="178"/>
      <c r="S50991" s="178"/>
    </row>
    <row r="50992" spans="18:19">
      <c r="R50992" s="178"/>
      <c r="S50992" s="178"/>
    </row>
    <row r="50993" spans="18:19">
      <c r="R50993" s="178"/>
      <c r="S50993" s="178"/>
    </row>
    <row r="50994" spans="18:19">
      <c r="R50994" s="178"/>
      <c r="S50994" s="178"/>
    </row>
    <row r="50995" spans="18:19">
      <c r="R50995" s="178"/>
      <c r="S50995" s="178"/>
    </row>
    <row r="50996" spans="18:19">
      <c r="R50996" s="178"/>
      <c r="S50996" s="178"/>
    </row>
    <row r="50997" spans="18:19">
      <c r="R50997" s="178"/>
      <c r="S50997" s="178"/>
    </row>
    <row r="50998" spans="18:19">
      <c r="R50998" s="178"/>
      <c r="S50998" s="178"/>
    </row>
    <row r="50999" spans="18:19">
      <c r="R50999" s="178"/>
      <c r="S50999" s="178"/>
    </row>
    <row r="51000" spans="18:19">
      <c r="R51000" s="178"/>
      <c r="S51000" s="178"/>
    </row>
    <row r="51001" spans="18:19">
      <c r="R51001" s="178"/>
      <c r="S51001" s="178"/>
    </row>
    <row r="51002" spans="18:19">
      <c r="R51002" s="178"/>
      <c r="S51002" s="178"/>
    </row>
    <row r="51003" spans="18:19">
      <c r="R51003" s="178"/>
      <c r="S51003" s="178"/>
    </row>
    <row r="51004" spans="18:19">
      <c r="R51004" s="178"/>
      <c r="S51004" s="178"/>
    </row>
    <row r="51005" spans="18:19">
      <c r="R51005" s="178"/>
      <c r="S51005" s="178"/>
    </row>
    <row r="51006" spans="18:19">
      <c r="R51006" s="178"/>
      <c r="S51006" s="178"/>
    </row>
    <row r="51007" spans="18:19">
      <c r="R51007" s="178"/>
      <c r="S51007" s="178"/>
    </row>
    <row r="51008" spans="18:19">
      <c r="R51008" s="178"/>
      <c r="S51008" s="178"/>
    </row>
    <row r="51009" spans="18:19">
      <c r="R51009" s="178"/>
      <c r="S51009" s="178"/>
    </row>
    <row r="51010" spans="18:19">
      <c r="R51010" s="178"/>
      <c r="S51010" s="178"/>
    </row>
    <row r="51011" spans="18:19">
      <c r="R51011" s="178"/>
      <c r="S51011" s="178"/>
    </row>
    <row r="51012" spans="18:19">
      <c r="R51012" s="178"/>
      <c r="S51012" s="178"/>
    </row>
    <row r="51013" spans="18:19">
      <c r="R51013" s="178"/>
      <c r="S51013" s="178"/>
    </row>
    <row r="51014" spans="18:19">
      <c r="R51014" s="178"/>
      <c r="S51014" s="178"/>
    </row>
    <row r="51015" spans="18:19">
      <c r="R51015" s="178"/>
      <c r="S51015" s="178"/>
    </row>
    <row r="51016" spans="18:19">
      <c r="R51016" s="178"/>
      <c r="S51016" s="178"/>
    </row>
    <row r="51017" spans="18:19">
      <c r="R51017" s="178"/>
      <c r="S51017" s="178"/>
    </row>
    <row r="51018" spans="18:19">
      <c r="R51018" s="178"/>
      <c r="S51018" s="178"/>
    </row>
    <row r="51019" spans="18:19">
      <c r="R51019" s="178"/>
      <c r="S51019" s="178"/>
    </row>
    <row r="51020" spans="18:19">
      <c r="R51020" s="178"/>
      <c r="S51020" s="178"/>
    </row>
    <row r="51021" spans="18:19">
      <c r="R51021" s="178"/>
      <c r="S51021" s="178"/>
    </row>
    <row r="51022" spans="18:19">
      <c r="R51022" s="178"/>
      <c r="S51022" s="178"/>
    </row>
    <row r="51023" spans="18:19">
      <c r="R51023" s="178"/>
      <c r="S51023" s="178"/>
    </row>
    <row r="51024" spans="18:19">
      <c r="R51024" s="178"/>
      <c r="S51024" s="178"/>
    </row>
    <row r="51025" spans="18:19">
      <c r="R51025" s="178"/>
      <c r="S51025" s="178"/>
    </row>
    <row r="51026" spans="18:19">
      <c r="R51026" s="178"/>
      <c r="S51026" s="178"/>
    </row>
    <row r="51027" spans="18:19">
      <c r="R51027" s="178"/>
      <c r="S51027" s="178"/>
    </row>
    <row r="51028" spans="18:19">
      <c r="R51028" s="178"/>
      <c r="S51028" s="178"/>
    </row>
    <row r="51029" spans="18:19">
      <c r="R51029" s="178"/>
      <c r="S51029" s="178"/>
    </row>
    <row r="51030" spans="18:19">
      <c r="R51030" s="178"/>
      <c r="S51030" s="178"/>
    </row>
    <row r="51031" spans="18:19">
      <c r="R51031" s="178"/>
      <c r="S51031" s="178"/>
    </row>
    <row r="51032" spans="18:19">
      <c r="R51032" s="178"/>
      <c r="S51032" s="178"/>
    </row>
    <row r="51033" spans="18:19">
      <c r="R51033" s="178"/>
      <c r="S51033" s="178"/>
    </row>
    <row r="51034" spans="18:19">
      <c r="R51034" s="178"/>
      <c r="S51034" s="178"/>
    </row>
    <row r="51035" spans="18:19">
      <c r="R51035" s="178"/>
      <c r="S51035" s="178"/>
    </row>
    <row r="51036" spans="18:19">
      <c r="R51036" s="178"/>
      <c r="S51036" s="178"/>
    </row>
    <row r="51037" spans="18:19">
      <c r="R51037" s="178"/>
      <c r="S51037" s="178"/>
    </row>
    <row r="51038" spans="18:19">
      <c r="R51038" s="178"/>
      <c r="S51038" s="178"/>
    </row>
    <row r="51039" spans="18:19">
      <c r="R51039" s="178"/>
      <c r="S51039" s="178"/>
    </row>
    <row r="51040" spans="18:19">
      <c r="R51040" s="178"/>
      <c r="S51040" s="178"/>
    </row>
    <row r="51041" spans="18:19">
      <c r="R51041" s="178"/>
      <c r="S51041" s="178"/>
    </row>
    <row r="51042" spans="18:19">
      <c r="R51042" s="178"/>
      <c r="S51042" s="178"/>
    </row>
    <row r="51043" spans="18:19">
      <c r="R51043" s="178"/>
      <c r="S51043" s="178"/>
    </row>
    <row r="51044" spans="18:19">
      <c r="R51044" s="178"/>
      <c r="S51044" s="178"/>
    </row>
    <row r="51045" spans="18:19">
      <c r="R51045" s="178"/>
      <c r="S51045" s="178"/>
    </row>
    <row r="51046" spans="18:19">
      <c r="R51046" s="178"/>
      <c r="S51046" s="178"/>
    </row>
    <row r="51047" spans="18:19">
      <c r="R51047" s="178"/>
      <c r="S51047" s="178"/>
    </row>
    <row r="51048" spans="18:19">
      <c r="R51048" s="178"/>
      <c r="S51048" s="178"/>
    </row>
    <row r="51049" spans="18:19">
      <c r="R51049" s="178"/>
      <c r="S51049" s="178"/>
    </row>
    <row r="51050" spans="18:19">
      <c r="R51050" s="178"/>
      <c r="S51050" s="178"/>
    </row>
    <row r="51051" spans="18:19">
      <c r="R51051" s="178"/>
      <c r="S51051" s="178"/>
    </row>
    <row r="51052" spans="18:19">
      <c r="R51052" s="178"/>
      <c r="S51052" s="178"/>
    </row>
    <row r="51053" spans="18:19">
      <c r="R51053" s="178"/>
      <c r="S51053" s="178"/>
    </row>
    <row r="51054" spans="18:19">
      <c r="R51054" s="178"/>
      <c r="S51054" s="178"/>
    </row>
    <row r="51055" spans="18:19">
      <c r="R51055" s="178"/>
      <c r="S51055" s="178"/>
    </row>
    <row r="51056" spans="18:19">
      <c r="R51056" s="178"/>
      <c r="S51056" s="178"/>
    </row>
    <row r="51057" spans="18:19">
      <c r="R51057" s="178"/>
      <c r="S51057" s="178"/>
    </row>
    <row r="51058" spans="18:19">
      <c r="R51058" s="178"/>
      <c r="S51058" s="178"/>
    </row>
    <row r="51059" spans="18:19">
      <c r="R51059" s="178"/>
      <c r="S51059" s="178"/>
    </row>
    <row r="51060" spans="18:19">
      <c r="R51060" s="178"/>
      <c r="S51060" s="178"/>
    </row>
    <row r="51061" spans="18:19">
      <c r="R51061" s="178"/>
      <c r="S51061" s="178"/>
    </row>
    <row r="51062" spans="18:19">
      <c r="R51062" s="178"/>
      <c r="S51062" s="178"/>
    </row>
    <row r="51063" spans="18:19">
      <c r="R51063" s="178"/>
      <c r="S51063" s="178"/>
    </row>
    <row r="51064" spans="18:19">
      <c r="R51064" s="178"/>
      <c r="S51064" s="178"/>
    </row>
    <row r="51065" spans="18:19">
      <c r="R51065" s="178"/>
      <c r="S51065" s="178"/>
    </row>
    <row r="51066" spans="18:19">
      <c r="R51066" s="178"/>
      <c r="S51066" s="178"/>
    </row>
    <row r="51067" spans="18:19">
      <c r="R51067" s="178"/>
      <c r="S51067" s="178"/>
    </row>
    <row r="51068" spans="18:19">
      <c r="R51068" s="178"/>
      <c r="S51068" s="178"/>
    </row>
    <row r="51069" spans="18:19">
      <c r="R51069" s="178"/>
      <c r="S51069" s="178"/>
    </row>
    <row r="51070" spans="18:19">
      <c r="R51070" s="178"/>
      <c r="S51070" s="178"/>
    </row>
    <row r="51071" spans="18:19">
      <c r="R51071" s="178"/>
      <c r="S51071" s="178"/>
    </row>
    <row r="51072" spans="18:19">
      <c r="R51072" s="178"/>
      <c r="S51072" s="178"/>
    </row>
    <row r="51073" spans="18:19">
      <c r="R51073" s="178"/>
      <c r="S51073" s="178"/>
    </row>
    <row r="51074" spans="18:19">
      <c r="R51074" s="178"/>
      <c r="S51074" s="178"/>
    </row>
    <row r="51075" spans="18:19">
      <c r="R51075" s="178"/>
      <c r="S51075" s="178"/>
    </row>
    <row r="51076" spans="18:19">
      <c r="R51076" s="178"/>
      <c r="S51076" s="178"/>
    </row>
    <row r="51077" spans="18:19">
      <c r="R51077" s="178"/>
      <c r="S51077" s="178"/>
    </row>
    <row r="51078" spans="18:19">
      <c r="R51078" s="178"/>
      <c r="S51078" s="178"/>
    </row>
    <row r="51079" spans="18:19">
      <c r="R51079" s="178"/>
      <c r="S51079" s="178"/>
    </row>
    <row r="51080" spans="18:19">
      <c r="R51080" s="178"/>
      <c r="S51080" s="178"/>
    </row>
    <row r="51081" spans="18:19">
      <c r="R51081" s="178"/>
      <c r="S51081" s="178"/>
    </row>
    <row r="51082" spans="18:19">
      <c r="R51082" s="178"/>
      <c r="S51082" s="178"/>
    </row>
    <row r="51083" spans="18:19">
      <c r="R51083" s="178"/>
      <c r="S51083" s="178"/>
    </row>
    <row r="51084" spans="18:19">
      <c r="R51084" s="178"/>
      <c r="S51084" s="178"/>
    </row>
    <row r="51085" spans="18:19">
      <c r="R51085" s="178"/>
      <c r="S51085" s="178"/>
    </row>
    <row r="51086" spans="18:19">
      <c r="R51086" s="178"/>
      <c r="S51086" s="178"/>
    </row>
    <row r="51087" spans="18:19">
      <c r="R51087" s="178"/>
      <c r="S51087" s="178"/>
    </row>
    <row r="51088" spans="18:19">
      <c r="R51088" s="178"/>
      <c r="S51088" s="178"/>
    </row>
    <row r="51089" spans="18:19">
      <c r="R51089" s="178"/>
      <c r="S51089" s="178"/>
    </row>
    <row r="51090" spans="18:19">
      <c r="R51090" s="178"/>
      <c r="S51090" s="178"/>
    </row>
    <row r="51091" spans="18:19">
      <c r="R51091" s="178"/>
      <c r="S51091" s="178"/>
    </row>
    <row r="51092" spans="18:19">
      <c r="R51092" s="178"/>
      <c r="S51092" s="178"/>
    </row>
    <row r="51093" spans="18:19">
      <c r="R51093" s="178"/>
      <c r="S51093" s="178"/>
    </row>
    <row r="51094" spans="18:19">
      <c r="R51094" s="178"/>
      <c r="S51094" s="178"/>
    </row>
    <row r="51095" spans="18:19">
      <c r="R51095" s="178"/>
      <c r="S51095" s="178"/>
    </row>
    <row r="51096" spans="18:19">
      <c r="R51096" s="178"/>
      <c r="S51096" s="178"/>
    </row>
    <row r="51097" spans="18:19">
      <c r="R51097" s="178"/>
      <c r="S51097" s="178"/>
    </row>
    <row r="51098" spans="18:19">
      <c r="R51098" s="178"/>
      <c r="S51098" s="178"/>
    </row>
    <row r="51099" spans="18:19">
      <c r="R51099" s="178"/>
      <c r="S51099" s="178"/>
    </row>
    <row r="51100" spans="18:19">
      <c r="R51100" s="178"/>
      <c r="S51100" s="178"/>
    </row>
    <row r="51101" spans="18:19">
      <c r="R51101" s="178"/>
      <c r="S51101" s="178"/>
    </row>
    <row r="51102" spans="18:19">
      <c r="R51102" s="178"/>
      <c r="S51102" s="178"/>
    </row>
    <row r="51103" spans="18:19">
      <c r="R51103" s="178"/>
      <c r="S51103" s="178"/>
    </row>
    <row r="51104" spans="18:19">
      <c r="R51104" s="178"/>
      <c r="S51104" s="178"/>
    </row>
    <row r="51105" spans="18:19">
      <c r="R51105" s="178"/>
      <c r="S51105" s="178"/>
    </row>
    <row r="51106" spans="18:19">
      <c r="R51106" s="178"/>
      <c r="S51106" s="178"/>
    </row>
    <row r="51107" spans="18:19">
      <c r="R51107" s="178"/>
      <c r="S51107" s="178"/>
    </row>
    <row r="51108" spans="18:19">
      <c r="R51108" s="178"/>
      <c r="S51108" s="178"/>
    </row>
    <row r="51109" spans="18:19">
      <c r="R51109" s="178"/>
      <c r="S51109" s="178"/>
    </row>
    <row r="51110" spans="18:19">
      <c r="R51110" s="178"/>
      <c r="S51110" s="178"/>
    </row>
    <row r="51111" spans="18:19">
      <c r="R51111" s="178"/>
      <c r="S51111" s="178"/>
    </row>
    <row r="51112" spans="18:19">
      <c r="R51112" s="178"/>
      <c r="S51112" s="178"/>
    </row>
    <row r="51113" spans="18:19">
      <c r="R51113" s="178"/>
      <c r="S51113" s="178"/>
    </row>
    <row r="51114" spans="18:19">
      <c r="R51114" s="178"/>
      <c r="S51114" s="178"/>
    </row>
    <row r="51115" spans="18:19">
      <c r="R51115" s="178"/>
      <c r="S51115" s="178"/>
    </row>
    <row r="51116" spans="18:19">
      <c r="R51116" s="178"/>
      <c r="S51116" s="178"/>
    </row>
    <row r="51117" spans="18:19">
      <c r="R51117" s="178"/>
      <c r="S51117" s="178"/>
    </row>
    <row r="51118" spans="18:19">
      <c r="R51118" s="178"/>
      <c r="S51118" s="178"/>
    </row>
    <row r="51119" spans="18:19">
      <c r="R51119" s="178"/>
      <c r="S51119" s="178"/>
    </row>
    <row r="51120" spans="18:19">
      <c r="R51120" s="178"/>
      <c r="S51120" s="178"/>
    </row>
    <row r="51121" spans="18:19">
      <c r="R51121" s="178"/>
      <c r="S51121" s="178"/>
    </row>
    <row r="51122" spans="18:19">
      <c r="R51122" s="178"/>
      <c r="S51122" s="178"/>
    </row>
    <row r="51123" spans="18:19">
      <c r="R51123" s="178"/>
      <c r="S51123" s="178"/>
    </row>
    <row r="51124" spans="18:19">
      <c r="R51124" s="178"/>
      <c r="S51124" s="178"/>
    </row>
    <row r="51125" spans="18:19">
      <c r="R51125" s="178"/>
      <c r="S51125" s="178"/>
    </row>
    <row r="51126" spans="18:19">
      <c r="R51126" s="178"/>
      <c r="S51126" s="178"/>
    </row>
    <row r="51127" spans="18:19">
      <c r="R51127" s="178"/>
      <c r="S51127" s="178"/>
    </row>
    <row r="51128" spans="18:19">
      <c r="R51128" s="178"/>
      <c r="S51128" s="178"/>
    </row>
    <row r="51129" spans="18:19">
      <c r="R51129" s="178"/>
      <c r="S51129" s="178"/>
    </row>
    <row r="51130" spans="18:19">
      <c r="R51130" s="178"/>
      <c r="S51130" s="178"/>
    </row>
    <row r="51131" spans="18:19">
      <c r="R51131" s="178"/>
      <c r="S51131" s="178"/>
    </row>
    <row r="51132" spans="18:19">
      <c r="R51132" s="178"/>
      <c r="S51132" s="178"/>
    </row>
    <row r="51133" spans="18:19">
      <c r="R51133" s="178"/>
      <c r="S51133" s="178"/>
    </row>
    <row r="51134" spans="18:19">
      <c r="R51134" s="178"/>
      <c r="S51134" s="178"/>
    </row>
    <row r="51135" spans="18:19">
      <c r="R51135" s="178"/>
      <c r="S51135" s="178"/>
    </row>
    <row r="51136" spans="18:19">
      <c r="R51136" s="178"/>
      <c r="S51136" s="178"/>
    </row>
    <row r="51137" spans="18:19">
      <c r="R51137" s="178"/>
      <c r="S51137" s="178"/>
    </row>
    <row r="51138" spans="18:19">
      <c r="R51138" s="178"/>
      <c r="S51138" s="178"/>
    </row>
    <row r="51139" spans="18:19">
      <c r="R51139" s="178"/>
      <c r="S51139" s="178"/>
    </row>
    <row r="51140" spans="18:19">
      <c r="R51140" s="178"/>
      <c r="S51140" s="178"/>
    </row>
    <row r="51141" spans="18:19">
      <c r="R51141" s="178"/>
      <c r="S51141" s="178"/>
    </row>
    <row r="51142" spans="18:19">
      <c r="R51142" s="178"/>
      <c r="S51142" s="178"/>
    </row>
    <row r="51143" spans="18:19">
      <c r="R51143" s="178"/>
      <c r="S51143" s="178"/>
    </row>
    <row r="51144" spans="18:19">
      <c r="R51144" s="178"/>
      <c r="S51144" s="178"/>
    </row>
    <row r="51145" spans="18:19">
      <c r="R51145" s="178"/>
      <c r="S51145" s="178"/>
    </row>
    <row r="51146" spans="18:19">
      <c r="R51146" s="178"/>
      <c r="S51146" s="178"/>
    </row>
    <row r="51147" spans="18:19">
      <c r="R51147" s="178"/>
      <c r="S51147" s="178"/>
    </row>
    <row r="51148" spans="18:19">
      <c r="R51148" s="178"/>
      <c r="S51148" s="178"/>
    </row>
    <row r="51149" spans="18:19">
      <c r="R51149" s="178"/>
      <c r="S51149" s="178"/>
    </row>
    <row r="51150" spans="18:19">
      <c r="R51150" s="178"/>
      <c r="S51150" s="178"/>
    </row>
    <row r="51151" spans="18:19">
      <c r="R51151" s="178"/>
      <c r="S51151" s="178"/>
    </row>
    <row r="51152" spans="18:19">
      <c r="R51152" s="178"/>
      <c r="S51152" s="178"/>
    </row>
    <row r="51153" spans="18:19">
      <c r="R51153" s="178"/>
      <c r="S51153" s="178"/>
    </row>
    <row r="51154" spans="18:19">
      <c r="R51154" s="178"/>
      <c r="S51154" s="178"/>
    </row>
    <row r="51155" spans="18:19">
      <c r="R51155" s="178"/>
      <c r="S51155" s="178"/>
    </row>
    <row r="51156" spans="18:19">
      <c r="R51156" s="178"/>
      <c r="S51156" s="178"/>
    </row>
    <row r="51157" spans="18:19">
      <c r="R51157" s="178"/>
      <c r="S51157" s="178"/>
    </row>
    <row r="51158" spans="18:19">
      <c r="R51158" s="178"/>
      <c r="S51158" s="178"/>
    </row>
    <row r="51159" spans="18:19">
      <c r="R51159" s="178"/>
      <c r="S51159" s="178"/>
    </row>
    <row r="51160" spans="18:19">
      <c r="R51160" s="178"/>
      <c r="S51160" s="178"/>
    </row>
    <row r="51161" spans="18:19">
      <c r="R51161" s="178"/>
      <c r="S51161" s="178"/>
    </row>
    <row r="51162" spans="18:19">
      <c r="R51162" s="178"/>
      <c r="S51162" s="178"/>
    </row>
    <row r="51163" spans="18:19">
      <c r="R51163" s="178"/>
      <c r="S51163" s="178"/>
    </row>
    <row r="51164" spans="18:19">
      <c r="R51164" s="178"/>
      <c r="S51164" s="178"/>
    </row>
    <row r="51165" spans="18:19">
      <c r="R51165" s="178"/>
      <c r="S51165" s="178"/>
    </row>
    <row r="51166" spans="18:19">
      <c r="R51166" s="178"/>
      <c r="S51166" s="178"/>
    </row>
    <row r="51167" spans="18:19">
      <c r="R51167" s="178"/>
      <c r="S51167" s="178"/>
    </row>
    <row r="51168" spans="18:19">
      <c r="R51168" s="178"/>
      <c r="S51168" s="178"/>
    </row>
    <row r="51169" spans="18:19">
      <c r="R51169" s="178"/>
      <c r="S51169" s="178"/>
    </row>
    <row r="51170" spans="18:19">
      <c r="R51170" s="178"/>
      <c r="S51170" s="178"/>
    </row>
    <row r="51171" spans="18:19">
      <c r="R51171" s="178"/>
      <c r="S51171" s="178"/>
    </row>
    <row r="51172" spans="18:19">
      <c r="R51172" s="178"/>
      <c r="S51172" s="178"/>
    </row>
    <row r="51173" spans="18:19">
      <c r="R51173" s="178"/>
      <c r="S51173" s="178"/>
    </row>
    <row r="51174" spans="18:19">
      <c r="R51174" s="178"/>
      <c r="S51174" s="178"/>
    </row>
    <row r="51175" spans="18:19">
      <c r="R51175" s="178"/>
      <c r="S51175" s="178"/>
    </row>
    <row r="51176" spans="18:19">
      <c r="R51176" s="178"/>
      <c r="S51176" s="178"/>
    </row>
    <row r="51177" spans="18:19">
      <c r="R51177" s="178"/>
      <c r="S51177" s="178"/>
    </row>
    <row r="51178" spans="18:19">
      <c r="R51178" s="178"/>
      <c r="S51178" s="178"/>
    </row>
    <row r="51179" spans="18:19">
      <c r="R51179" s="178"/>
      <c r="S51179" s="178"/>
    </row>
    <row r="51180" spans="18:19">
      <c r="R51180" s="178"/>
      <c r="S51180" s="178"/>
    </row>
    <row r="51181" spans="18:19">
      <c r="R51181" s="178"/>
      <c r="S51181" s="178"/>
    </row>
    <row r="51182" spans="18:19">
      <c r="R51182" s="178"/>
      <c r="S51182" s="178"/>
    </row>
    <row r="51183" spans="18:19">
      <c r="R51183" s="178"/>
      <c r="S51183" s="178"/>
    </row>
    <row r="51184" spans="18:19">
      <c r="R51184" s="178"/>
      <c r="S51184" s="178"/>
    </row>
    <row r="51185" spans="18:19">
      <c r="R51185" s="178"/>
      <c r="S51185" s="178"/>
    </row>
    <row r="51186" spans="18:19">
      <c r="R51186" s="178"/>
      <c r="S51186" s="178"/>
    </row>
    <row r="51187" spans="18:19">
      <c r="R51187" s="178"/>
      <c r="S51187" s="178"/>
    </row>
    <row r="51188" spans="18:19">
      <c r="R51188" s="178"/>
      <c r="S51188" s="178"/>
    </row>
    <row r="51189" spans="18:19">
      <c r="R51189" s="178"/>
      <c r="S51189" s="178"/>
    </row>
    <row r="51190" spans="18:19">
      <c r="R51190" s="178"/>
      <c r="S51190" s="178"/>
    </row>
    <row r="51191" spans="18:19">
      <c r="R51191" s="178"/>
      <c r="S51191" s="178"/>
    </row>
    <row r="51192" spans="18:19">
      <c r="R51192" s="178"/>
      <c r="S51192" s="178"/>
    </row>
    <row r="51193" spans="18:19">
      <c r="R51193" s="178"/>
      <c r="S51193" s="178"/>
    </row>
    <row r="51194" spans="18:19">
      <c r="R51194" s="178"/>
      <c r="S51194" s="178"/>
    </row>
    <row r="51195" spans="18:19">
      <c r="R51195" s="178"/>
      <c r="S51195" s="178"/>
    </row>
    <row r="51196" spans="18:19">
      <c r="R51196" s="178"/>
      <c r="S51196" s="178"/>
    </row>
    <row r="51197" spans="18:19">
      <c r="R51197" s="178"/>
      <c r="S51197" s="178"/>
    </row>
    <row r="51198" spans="18:19">
      <c r="R51198" s="178"/>
      <c r="S51198" s="178"/>
    </row>
    <row r="51199" spans="18:19">
      <c r="R51199" s="178"/>
      <c r="S51199" s="178"/>
    </row>
    <row r="51200" spans="18:19">
      <c r="R51200" s="178"/>
      <c r="S51200" s="178"/>
    </row>
    <row r="51201" spans="18:19">
      <c r="R51201" s="178"/>
      <c r="S51201" s="178"/>
    </row>
    <row r="51202" spans="18:19">
      <c r="R51202" s="178"/>
      <c r="S51202" s="178"/>
    </row>
    <row r="51203" spans="18:19">
      <c r="R51203" s="178"/>
      <c r="S51203" s="178"/>
    </row>
    <row r="51204" spans="18:19">
      <c r="R51204" s="178"/>
      <c r="S51204" s="178"/>
    </row>
    <row r="51205" spans="18:19">
      <c r="R51205" s="178"/>
      <c r="S51205" s="178"/>
    </row>
    <row r="51206" spans="18:19">
      <c r="R51206" s="178"/>
      <c r="S51206" s="178"/>
    </row>
    <row r="51207" spans="18:19">
      <c r="R51207" s="178"/>
      <c r="S51207" s="178"/>
    </row>
    <row r="51208" spans="18:19">
      <c r="R51208" s="178"/>
      <c r="S51208" s="178"/>
    </row>
    <row r="51209" spans="18:19">
      <c r="R51209" s="178"/>
      <c r="S51209" s="178"/>
    </row>
    <row r="51210" spans="18:19">
      <c r="R51210" s="178"/>
      <c r="S51210" s="178"/>
    </row>
    <row r="51211" spans="18:19">
      <c r="R51211" s="178"/>
      <c r="S51211" s="178"/>
    </row>
    <row r="51212" spans="18:19">
      <c r="R51212" s="178"/>
      <c r="S51212" s="178"/>
    </row>
    <row r="51213" spans="18:19">
      <c r="R51213" s="178"/>
      <c r="S51213" s="178"/>
    </row>
    <row r="51214" spans="18:19">
      <c r="R51214" s="178"/>
      <c r="S51214" s="178"/>
    </row>
    <row r="51215" spans="18:19">
      <c r="R51215" s="178"/>
      <c r="S51215" s="178"/>
    </row>
    <row r="51216" spans="18:19">
      <c r="R51216" s="178"/>
      <c r="S51216" s="178"/>
    </row>
    <row r="51217" spans="18:19">
      <c r="R51217" s="178"/>
      <c r="S51217" s="178"/>
    </row>
    <row r="51218" spans="18:19">
      <c r="R51218" s="178"/>
      <c r="S51218" s="178"/>
    </row>
    <row r="51219" spans="18:19">
      <c r="R51219" s="178"/>
      <c r="S51219" s="178"/>
    </row>
    <row r="51220" spans="18:19">
      <c r="R51220" s="178"/>
      <c r="S51220" s="178"/>
    </row>
    <row r="51221" spans="18:19">
      <c r="R51221" s="178"/>
      <c r="S51221" s="178"/>
    </row>
    <row r="51222" spans="18:19">
      <c r="R51222" s="178"/>
      <c r="S51222" s="178"/>
    </row>
    <row r="51223" spans="18:19">
      <c r="R51223" s="178"/>
      <c r="S51223" s="178"/>
    </row>
    <row r="51224" spans="18:19">
      <c r="R51224" s="178"/>
      <c r="S51224" s="178"/>
    </row>
    <row r="51225" spans="18:19">
      <c r="R51225" s="178"/>
      <c r="S51225" s="178"/>
    </row>
    <row r="51226" spans="18:19">
      <c r="R51226" s="178"/>
      <c r="S51226" s="178"/>
    </row>
    <row r="51227" spans="18:19">
      <c r="R51227" s="178"/>
      <c r="S51227" s="178"/>
    </row>
    <row r="51228" spans="18:19">
      <c r="R51228" s="178"/>
      <c r="S51228" s="178"/>
    </row>
    <row r="51229" spans="18:19">
      <c r="R51229" s="178"/>
      <c r="S51229" s="178"/>
    </row>
    <row r="51230" spans="18:19">
      <c r="R51230" s="178"/>
      <c r="S51230" s="178"/>
    </row>
    <row r="51231" spans="18:19">
      <c r="R51231" s="178"/>
      <c r="S51231" s="178"/>
    </row>
    <row r="51232" spans="18:19">
      <c r="R51232" s="178"/>
      <c r="S51232" s="178"/>
    </row>
    <row r="51233" spans="18:19">
      <c r="R51233" s="178"/>
      <c r="S51233" s="178"/>
    </row>
    <row r="51234" spans="18:19">
      <c r="R51234" s="178"/>
      <c r="S51234" s="178"/>
    </row>
    <row r="51235" spans="18:19">
      <c r="R51235" s="178"/>
      <c r="S51235" s="178"/>
    </row>
    <row r="51236" spans="18:19">
      <c r="R51236" s="178"/>
      <c r="S51236" s="178"/>
    </row>
    <row r="51237" spans="18:19">
      <c r="R51237" s="178"/>
      <c r="S51237" s="178"/>
    </row>
    <row r="51238" spans="18:19">
      <c r="R51238" s="178"/>
      <c r="S51238" s="178"/>
    </row>
    <row r="51239" spans="18:19">
      <c r="R51239" s="178"/>
      <c r="S51239" s="178"/>
    </row>
    <row r="51240" spans="18:19">
      <c r="R51240" s="178"/>
      <c r="S51240" s="178"/>
    </row>
    <row r="51241" spans="18:19">
      <c r="R51241" s="178"/>
      <c r="S51241" s="178"/>
    </row>
    <row r="51242" spans="18:19">
      <c r="R51242" s="178"/>
      <c r="S51242" s="178"/>
    </row>
    <row r="51243" spans="18:19">
      <c r="R51243" s="178"/>
      <c r="S51243" s="178"/>
    </row>
    <row r="51244" spans="18:19">
      <c r="R51244" s="178"/>
      <c r="S51244" s="178"/>
    </row>
    <row r="51245" spans="18:19">
      <c r="R51245" s="178"/>
      <c r="S51245" s="178"/>
    </row>
    <row r="51246" spans="18:19">
      <c r="R51246" s="178"/>
      <c r="S51246" s="178"/>
    </row>
    <row r="51247" spans="18:19">
      <c r="R51247" s="178"/>
      <c r="S51247" s="178"/>
    </row>
    <row r="51248" spans="18:19">
      <c r="R51248" s="178"/>
      <c r="S51248" s="178"/>
    </row>
    <row r="51249" spans="18:19">
      <c r="R51249" s="178"/>
      <c r="S51249" s="178"/>
    </row>
    <row r="51250" spans="18:19">
      <c r="R51250" s="178"/>
      <c r="S51250" s="178"/>
    </row>
    <row r="51251" spans="18:19">
      <c r="R51251" s="178"/>
      <c r="S51251" s="178"/>
    </row>
    <row r="51252" spans="18:19">
      <c r="R51252" s="178"/>
      <c r="S51252" s="178"/>
    </row>
    <row r="51253" spans="18:19">
      <c r="R51253" s="178"/>
      <c r="S51253" s="178"/>
    </row>
    <row r="51254" spans="18:19">
      <c r="R51254" s="178"/>
      <c r="S51254" s="178"/>
    </row>
    <row r="51255" spans="18:19">
      <c r="R51255" s="178"/>
      <c r="S51255" s="178"/>
    </row>
    <row r="51256" spans="18:19">
      <c r="R51256" s="178"/>
      <c r="S51256" s="178"/>
    </row>
    <row r="51257" spans="18:19">
      <c r="R51257" s="178"/>
      <c r="S51257" s="178"/>
    </row>
    <row r="51258" spans="18:19">
      <c r="R51258" s="178"/>
      <c r="S51258" s="178"/>
    </row>
    <row r="51259" spans="18:19">
      <c r="R51259" s="178"/>
      <c r="S51259" s="178"/>
    </row>
    <row r="51260" spans="18:19">
      <c r="R51260" s="178"/>
      <c r="S51260" s="178"/>
    </row>
    <row r="51261" spans="18:19">
      <c r="R51261" s="178"/>
      <c r="S51261" s="178"/>
    </row>
    <row r="51262" spans="18:19">
      <c r="R51262" s="178"/>
      <c r="S51262" s="178"/>
    </row>
    <row r="51263" spans="18:19">
      <c r="R51263" s="178"/>
      <c r="S51263" s="178"/>
    </row>
    <row r="51264" spans="18:19">
      <c r="R51264" s="178"/>
      <c r="S51264" s="178"/>
    </row>
    <row r="51265" spans="18:19">
      <c r="R51265" s="178"/>
      <c r="S51265" s="178"/>
    </row>
    <row r="51266" spans="18:19">
      <c r="R51266" s="178"/>
      <c r="S51266" s="178"/>
    </row>
    <row r="51267" spans="18:19">
      <c r="R51267" s="178"/>
      <c r="S51267" s="178"/>
    </row>
    <row r="51268" spans="18:19">
      <c r="R51268" s="178"/>
      <c r="S51268" s="178"/>
    </row>
    <row r="51269" spans="18:19">
      <c r="R51269" s="178"/>
      <c r="S51269" s="178"/>
    </row>
    <row r="51270" spans="18:19">
      <c r="R51270" s="178"/>
      <c r="S51270" s="178"/>
    </row>
    <row r="51271" spans="18:19">
      <c r="R51271" s="178"/>
      <c r="S51271" s="178"/>
    </row>
    <row r="51272" spans="18:19">
      <c r="R51272" s="178"/>
      <c r="S51272" s="178"/>
    </row>
    <row r="51273" spans="18:19">
      <c r="R51273" s="178"/>
      <c r="S51273" s="178"/>
    </row>
    <row r="51274" spans="18:19">
      <c r="R51274" s="178"/>
      <c r="S51274" s="178"/>
    </row>
    <row r="51275" spans="18:19">
      <c r="R51275" s="178"/>
      <c r="S51275" s="178"/>
    </row>
    <row r="51276" spans="18:19">
      <c r="R51276" s="178"/>
      <c r="S51276" s="178"/>
    </row>
    <row r="51277" spans="18:19">
      <c r="R51277" s="178"/>
      <c r="S51277" s="178"/>
    </row>
    <row r="51278" spans="18:19">
      <c r="R51278" s="178"/>
      <c r="S51278" s="178"/>
    </row>
    <row r="51279" spans="18:19">
      <c r="R51279" s="178"/>
      <c r="S51279" s="178"/>
    </row>
    <row r="51280" spans="18:19">
      <c r="R51280" s="178"/>
      <c r="S51280" s="178"/>
    </row>
    <row r="51281" spans="18:19">
      <c r="R51281" s="178"/>
      <c r="S51281" s="178"/>
    </row>
    <row r="51282" spans="18:19">
      <c r="R51282" s="178"/>
      <c r="S51282" s="178"/>
    </row>
    <row r="51283" spans="18:19">
      <c r="R51283" s="178"/>
      <c r="S51283" s="178"/>
    </row>
    <row r="51284" spans="18:19">
      <c r="R51284" s="178"/>
      <c r="S51284" s="178"/>
    </row>
    <row r="51285" spans="18:19">
      <c r="R51285" s="178"/>
      <c r="S51285" s="178"/>
    </row>
    <row r="51286" spans="18:19">
      <c r="R51286" s="178"/>
      <c r="S51286" s="178"/>
    </row>
    <row r="51287" spans="18:19">
      <c r="R51287" s="178"/>
      <c r="S51287" s="178"/>
    </row>
    <row r="51288" spans="18:19">
      <c r="R51288" s="178"/>
      <c r="S51288" s="178"/>
    </row>
    <row r="51289" spans="18:19">
      <c r="R51289" s="178"/>
      <c r="S51289" s="178"/>
    </row>
    <row r="51290" spans="18:19">
      <c r="R51290" s="178"/>
      <c r="S51290" s="178"/>
    </row>
    <row r="51291" spans="18:19">
      <c r="R51291" s="178"/>
      <c r="S51291" s="178"/>
    </row>
    <row r="51292" spans="18:19">
      <c r="R51292" s="178"/>
      <c r="S51292" s="178"/>
    </row>
    <row r="51293" spans="18:19">
      <c r="R51293" s="178"/>
      <c r="S51293" s="178"/>
    </row>
    <row r="51294" spans="18:19">
      <c r="R51294" s="178"/>
      <c r="S51294" s="178"/>
    </row>
    <row r="51295" spans="18:19">
      <c r="R51295" s="178"/>
      <c r="S51295" s="178"/>
    </row>
    <row r="51296" spans="18:19">
      <c r="R51296" s="178"/>
      <c r="S51296" s="178"/>
    </row>
    <row r="51297" spans="18:19">
      <c r="R51297" s="178"/>
      <c r="S51297" s="178"/>
    </row>
    <row r="51298" spans="18:19">
      <c r="R51298" s="178"/>
      <c r="S51298" s="178"/>
    </row>
    <row r="51299" spans="18:19">
      <c r="R51299" s="178"/>
      <c r="S51299" s="178"/>
    </row>
    <row r="51300" spans="18:19">
      <c r="R51300" s="178"/>
      <c r="S51300" s="178"/>
    </row>
    <row r="51301" spans="18:19">
      <c r="R51301" s="178"/>
      <c r="S51301" s="178"/>
    </row>
    <row r="51302" spans="18:19">
      <c r="R51302" s="178"/>
      <c r="S51302" s="178"/>
    </row>
    <row r="51303" spans="18:19">
      <c r="R51303" s="178"/>
      <c r="S51303" s="178"/>
    </row>
    <row r="51304" spans="18:19">
      <c r="R51304" s="178"/>
      <c r="S51304" s="178"/>
    </row>
    <row r="51305" spans="18:19">
      <c r="R51305" s="178"/>
      <c r="S51305" s="178"/>
    </row>
    <row r="51306" spans="18:19">
      <c r="R51306" s="178"/>
      <c r="S51306" s="178"/>
    </row>
    <row r="51307" spans="18:19">
      <c r="R51307" s="178"/>
      <c r="S51307" s="178"/>
    </row>
    <row r="51308" spans="18:19">
      <c r="R51308" s="178"/>
      <c r="S51308" s="178"/>
    </row>
    <row r="51309" spans="18:19">
      <c r="R51309" s="178"/>
      <c r="S51309" s="178"/>
    </row>
    <row r="51310" spans="18:19">
      <c r="R51310" s="178"/>
      <c r="S51310" s="178"/>
    </row>
    <row r="51311" spans="18:19">
      <c r="R51311" s="178"/>
      <c r="S51311" s="178"/>
    </row>
    <row r="51312" spans="18:19">
      <c r="R51312" s="178"/>
      <c r="S51312" s="178"/>
    </row>
    <row r="51313" spans="18:19">
      <c r="R51313" s="178"/>
      <c r="S51313" s="178"/>
    </row>
    <row r="51314" spans="18:19">
      <c r="R51314" s="178"/>
      <c r="S51314" s="178"/>
    </row>
    <row r="51315" spans="18:19">
      <c r="R51315" s="178"/>
      <c r="S51315" s="178"/>
    </row>
    <row r="51316" spans="18:19">
      <c r="R51316" s="178"/>
      <c r="S51316" s="178"/>
    </row>
    <row r="51317" spans="18:19">
      <c r="R51317" s="178"/>
      <c r="S51317" s="178"/>
    </row>
    <row r="51318" spans="18:19">
      <c r="R51318" s="178"/>
      <c r="S51318" s="178"/>
    </row>
    <row r="51319" spans="18:19">
      <c r="R51319" s="178"/>
      <c r="S51319" s="178"/>
    </row>
    <row r="51320" spans="18:19">
      <c r="R51320" s="178"/>
      <c r="S51320" s="178"/>
    </row>
    <row r="51321" spans="18:19">
      <c r="R51321" s="178"/>
      <c r="S51321" s="178"/>
    </row>
    <row r="51322" spans="18:19">
      <c r="R51322" s="178"/>
      <c r="S51322" s="178"/>
    </row>
    <row r="51323" spans="18:19">
      <c r="R51323" s="178"/>
      <c r="S51323" s="178"/>
    </row>
    <row r="51324" spans="18:19">
      <c r="R51324" s="178"/>
      <c r="S51324" s="178"/>
    </row>
    <row r="51325" spans="18:19">
      <c r="R51325" s="178"/>
      <c r="S51325" s="178"/>
    </row>
    <row r="51326" spans="18:19">
      <c r="R51326" s="178"/>
      <c r="S51326" s="178"/>
    </row>
    <row r="51327" spans="18:19">
      <c r="R51327" s="178"/>
      <c r="S51327" s="178"/>
    </row>
    <row r="51328" spans="18:19">
      <c r="R51328" s="178"/>
      <c r="S51328" s="178"/>
    </row>
    <row r="51329" spans="18:19">
      <c r="R51329" s="178"/>
      <c r="S51329" s="178"/>
    </row>
    <row r="51330" spans="18:19">
      <c r="R51330" s="178"/>
      <c r="S51330" s="178"/>
    </row>
    <row r="51331" spans="18:19">
      <c r="R51331" s="178"/>
      <c r="S51331" s="178"/>
    </row>
    <row r="51332" spans="18:19">
      <c r="R51332" s="178"/>
      <c r="S51332" s="178"/>
    </row>
    <row r="51333" spans="18:19">
      <c r="R51333" s="178"/>
      <c r="S51333" s="178"/>
    </row>
    <row r="51334" spans="18:19">
      <c r="R51334" s="178"/>
      <c r="S51334" s="178"/>
    </row>
    <row r="51335" spans="18:19">
      <c r="R51335" s="178"/>
      <c r="S51335" s="178"/>
    </row>
    <row r="51336" spans="18:19">
      <c r="R51336" s="178"/>
      <c r="S51336" s="178"/>
    </row>
    <row r="51337" spans="18:19">
      <c r="R51337" s="178"/>
      <c r="S51337" s="178"/>
    </row>
    <row r="51338" spans="18:19">
      <c r="R51338" s="178"/>
      <c r="S51338" s="178"/>
    </row>
    <row r="51339" spans="18:19">
      <c r="R51339" s="178"/>
      <c r="S51339" s="178"/>
    </row>
    <row r="51340" spans="18:19">
      <c r="R51340" s="178"/>
      <c r="S51340" s="178"/>
    </row>
    <row r="51341" spans="18:19">
      <c r="R51341" s="178"/>
      <c r="S51341" s="178"/>
    </row>
    <row r="51342" spans="18:19">
      <c r="R51342" s="178"/>
      <c r="S51342" s="178"/>
    </row>
    <row r="51343" spans="18:19">
      <c r="R51343" s="178"/>
      <c r="S51343" s="178"/>
    </row>
    <row r="51344" spans="18:19">
      <c r="R51344" s="178"/>
      <c r="S51344" s="178"/>
    </row>
    <row r="51345" spans="18:19">
      <c r="R51345" s="178"/>
      <c r="S51345" s="178"/>
    </row>
    <row r="51346" spans="18:19">
      <c r="R51346" s="178"/>
      <c r="S51346" s="178"/>
    </row>
    <row r="51347" spans="18:19">
      <c r="R51347" s="178"/>
      <c r="S51347" s="178"/>
    </row>
    <row r="51348" spans="18:19">
      <c r="R51348" s="178"/>
      <c r="S51348" s="178"/>
    </row>
    <row r="51349" spans="18:19">
      <c r="R51349" s="178"/>
      <c r="S51349" s="178"/>
    </row>
    <row r="51350" spans="18:19">
      <c r="R51350" s="178"/>
      <c r="S51350" s="178"/>
    </row>
    <row r="51351" spans="18:19">
      <c r="R51351" s="178"/>
      <c r="S51351" s="178"/>
    </row>
    <row r="51352" spans="18:19">
      <c r="R51352" s="178"/>
      <c r="S51352" s="178"/>
    </row>
    <row r="51353" spans="18:19">
      <c r="R51353" s="178"/>
      <c r="S51353" s="178"/>
    </row>
    <row r="51354" spans="18:19">
      <c r="R51354" s="178"/>
      <c r="S51354" s="178"/>
    </row>
    <row r="51355" spans="18:19">
      <c r="R51355" s="178"/>
      <c r="S51355" s="178"/>
    </row>
    <row r="51356" spans="18:19">
      <c r="R51356" s="178"/>
      <c r="S51356" s="178"/>
    </row>
    <row r="51357" spans="18:19">
      <c r="R51357" s="178"/>
      <c r="S51357" s="178"/>
    </row>
    <row r="51358" spans="18:19">
      <c r="R51358" s="178"/>
      <c r="S51358" s="178"/>
    </row>
    <row r="51359" spans="18:19">
      <c r="R51359" s="178"/>
      <c r="S51359" s="178"/>
    </row>
    <row r="51360" spans="18:19">
      <c r="R51360" s="178"/>
      <c r="S51360" s="178"/>
    </row>
    <row r="51361" spans="18:19">
      <c r="R51361" s="178"/>
      <c r="S51361" s="178"/>
    </row>
    <row r="51362" spans="18:19">
      <c r="R51362" s="178"/>
      <c r="S51362" s="178"/>
    </row>
    <row r="51363" spans="18:19">
      <c r="R51363" s="178"/>
      <c r="S51363" s="178"/>
    </row>
    <row r="51364" spans="18:19">
      <c r="R51364" s="178"/>
      <c r="S51364" s="178"/>
    </row>
    <row r="51365" spans="18:19">
      <c r="R51365" s="178"/>
      <c r="S51365" s="178"/>
    </row>
    <row r="51366" spans="18:19">
      <c r="R51366" s="178"/>
      <c r="S51366" s="178"/>
    </row>
    <row r="51367" spans="18:19">
      <c r="R51367" s="178"/>
      <c r="S51367" s="178"/>
    </row>
    <row r="51368" spans="18:19">
      <c r="R51368" s="178"/>
      <c r="S51368" s="178"/>
    </row>
    <row r="51369" spans="18:19">
      <c r="R51369" s="178"/>
      <c r="S51369" s="178"/>
    </row>
    <row r="51370" spans="18:19">
      <c r="R51370" s="178"/>
      <c r="S51370" s="178"/>
    </row>
    <row r="51371" spans="18:19">
      <c r="R51371" s="178"/>
      <c r="S51371" s="178"/>
    </row>
    <row r="51372" spans="18:19">
      <c r="R51372" s="178"/>
      <c r="S51372" s="178"/>
    </row>
    <row r="51373" spans="18:19">
      <c r="R51373" s="178"/>
      <c r="S51373" s="178"/>
    </row>
    <row r="51374" spans="18:19">
      <c r="R51374" s="178"/>
      <c r="S51374" s="178"/>
    </row>
    <row r="51375" spans="18:19">
      <c r="R51375" s="178"/>
      <c r="S51375" s="178"/>
    </row>
    <row r="51376" spans="18:19">
      <c r="R51376" s="178"/>
      <c r="S51376" s="178"/>
    </row>
    <row r="51377" spans="18:19">
      <c r="R51377" s="178"/>
      <c r="S51377" s="178"/>
    </row>
    <row r="51378" spans="18:19">
      <c r="R51378" s="178"/>
      <c r="S51378" s="178"/>
    </row>
    <row r="51379" spans="18:19">
      <c r="R51379" s="178"/>
      <c r="S51379" s="178"/>
    </row>
    <row r="51380" spans="18:19">
      <c r="R51380" s="178"/>
      <c r="S51380" s="178"/>
    </row>
    <row r="51381" spans="18:19">
      <c r="R51381" s="178"/>
      <c r="S51381" s="178"/>
    </row>
    <row r="51382" spans="18:19">
      <c r="R51382" s="178"/>
      <c r="S51382" s="178"/>
    </row>
    <row r="51383" spans="18:19">
      <c r="R51383" s="178"/>
      <c r="S51383" s="178"/>
    </row>
    <row r="51384" spans="18:19">
      <c r="R51384" s="178"/>
      <c r="S51384" s="178"/>
    </row>
    <row r="51385" spans="18:19">
      <c r="R51385" s="178"/>
      <c r="S51385" s="178"/>
    </row>
    <row r="51386" spans="18:19">
      <c r="R51386" s="178"/>
      <c r="S51386" s="178"/>
    </row>
    <row r="51387" spans="18:19">
      <c r="R51387" s="178"/>
      <c r="S51387" s="178"/>
    </row>
    <row r="51388" spans="18:19">
      <c r="R51388" s="178"/>
      <c r="S51388" s="178"/>
    </row>
    <row r="51389" spans="18:19">
      <c r="R51389" s="178"/>
      <c r="S51389" s="178"/>
    </row>
    <row r="51390" spans="18:19">
      <c r="R51390" s="178"/>
      <c r="S51390" s="178"/>
    </row>
    <row r="51391" spans="18:19">
      <c r="R51391" s="178"/>
      <c r="S51391" s="178"/>
    </row>
    <row r="51392" spans="18:19">
      <c r="R51392" s="178"/>
      <c r="S51392" s="178"/>
    </row>
    <row r="51393" spans="18:19">
      <c r="R51393" s="178"/>
      <c r="S51393" s="178"/>
    </row>
    <row r="51394" spans="18:19">
      <c r="R51394" s="178"/>
      <c r="S51394" s="178"/>
    </row>
    <row r="51395" spans="18:19">
      <c r="R51395" s="178"/>
      <c r="S51395" s="178"/>
    </row>
    <row r="51396" spans="18:19">
      <c r="R51396" s="178"/>
      <c r="S51396" s="178"/>
    </row>
    <row r="51397" spans="18:19">
      <c r="R51397" s="178"/>
      <c r="S51397" s="178"/>
    </row>
    <row r="51398" spans="18:19">
      <c r="R51398" s="178"/>
      <c r="S51398" s="178"/>
    </row>
    <row r="51399" spans="18:19">
      <c r="R51399" s="178"/>
      <c r="S51399" s="178"/>
    </row>
    <row r="51400" spans="18:19">
      <c r="R51400" s="178"/>
      <c r="S51400" s="178"/>
    </row>
    <row r="51401" spans="18:19">
      <c r="R51401" s="178"/>
      <c r="S51401" s="178"/>
    </row>
    <row r="51402" spans="18:19">
      <c r="R51402" s="178"/>
      <c r="S51402" s="178"/>
    </row>
    <row r="51403" spans="18:19">
      <c r="R51403" s="178"/>
      <c r="S51403" s="178"/>
    </row>
    <row r="51404" spans="18:19">
      <c r="R51404" s="178"/>
      <c r="S51404" s="178"/>
    </row>
    <row r="51405" spans="18:19">
      <c r="R51405" s="178"/>
      <c r="S51405" s="178"/>
    </row>
    <row r="51406" spans="18:19">
      <c r="R51406" s="178"/>
      <c r="S51406" s="178"/>
    </row>
    <row r="51407" spans="18:19">
      <c r="R51407" s="178"/>
      <c r="S51407" s="178"/>
    </row>
    <row r="51408" spans="18:19">
      <c r="R51408" s="178"/>
      <c r="S51408" s="178"/>
    </row>
    <row r="51409" spans="18:19">
      <c r="R51409" s="178"/>
      <c r="S51409" s="178"/>
    </row>
    <row r="51410" spans="18:19">
      <c r="R51410" s="178"/>
      <c r="S51410" s="178"/>
    </row>
    <row r="51411" spans="18:19">
      <c r="R51411" s="178"/>
      <c r="S51411" s="178"/>
    </row>
    <row r="51412" spans="18:19">
      <c r="R51412" s="178"/>
      <c r="S51412" s="178"/>
    </row>
    <row r="51413" spans="18:19">
      <c r="R51413" s="178"/>
      <c r="S51413" s="178"/>
    </row>
    <row r="51414" spans="18:19">
      <c r="R51414" s="178"/>
      <c r="S51414" s="178"/>
    </row>
    <row r="51415" spans="18:19">
      <c r="R51415" s="178"/>
      <c r="S51415" s="178"/>
    </row>
    <row r="51416" spans="18:19">
      <c r="R51416" s="178"/>
      <c r="S51416" s="178"/>
    </row>
    <row r="51417" spans="18:19">
      <c r="R51417" s="178"/>
      <c r="S51417" s="178"/>
    </row>
    <row r="51418" spans="18:19">
      <c r="R51418" s="178"/>
      <c r="S51418" s="178"/>
    </row>
    <row r="51419" spans="18:19">
      <c r="R51419" s="178"/>
      <c r="S51419" s="178"/>
    </row>
    <row r="51420" spans="18:19">
      <c r="R51420" s="178"/>
      <c r="S51420" s="178"/>
    </row>
    <row r="51421" spans="18:19">
      <c r="R51421" s="178"/>
      <c r="S51421" s="178"/>
    </row>
    <row r="51422" spans="18:19">
      <c r="R51422" s="178"/>
      <c r="S51422" s="178"/>
    </row>
    <row r="51423" spans="18:19">
      <c r="R51423" s="178"/>
      <c r="S51423" s="178"/>
    </row>
    <row r="51424" spans="18:19">
      <c r="R51424" s="178"/>
      <c r="S51424" s="178"/>
    </row>
    <row r="51425" spans="18:19">
      <c r="R51425" s="178"/>
      <c r="S51425" s="178"/>
    </row>
    <row r="51426" spans="18:19">
      <c r="R51426" s="178"/>
      <c r="S51426" s="178"/>
    </row>
    <row r="51427" spans="18:19">
      <c r="R51427" s="178"/>
      <c r="S51427" s="178"/>
    </row>
    <row r="51428" spans="18:19">
      <c r="R51428" s="178"/>
      <c r="S51428" s="178"/>
    </row>
    <row r="51429" spans="18:19">
      <c r="R51429" s="178"/>
      <c r="S51429" s="178"/>
    </row>
    <row r="51430" spans="18:19">
      <c r="R51430" s="178"/>
      <c r="S51430" s="178"/>
    </row>
    <row r="51431" spans="18:19">
      <c r="R51431" s="178"/>
      <c r="S51431" s="178"/>
    </row>
    <row r="51432" spans="18:19">
      <c r="R51432" s="178"/>
      <c r="S51432" s="178"/>
    </row>
    <row r="51433" spans="18:19">
      <c r="R51433" s="178"/>
      <c r="S51433" s="178"/>
    </row>
    <row r="51434" spans="18:19">
      <c r="R51434" s="178"/>
      <c r="S51434" s="178"/>
    </row>
    <row r="51435" spans="18:19">
      <c r="R51435" s="178"/>
      <c r="S51435" s="178"/>
    </row>
    <row r="51436" spans="18:19">
      <c r="R51436" s="178"/>
      <c r="S51436" s="178"/>
    </row>
    <row r="51437" spans="18:19">
      <c r="R51437" s="178"/>
      <c r="S51437" s="178"/>
    </row>
    <row r="51438" spans="18:19">
      <c r="R51438" s="178"/>
      <c r="S51438" s="178"/>
    </row>
    <row r="51439" spans="18:19">
      <c r="R51439" s="178"/>
      <c r="S51439" s="178"/>
    </row>
    <row r="51440" spans="18:19">
      <c r="R51440" s="178"/>
      <c r="S51440" s="178"/>
    </row>
    <row r="51441" spans="18:19">
      <c r="R51441" s="178"/>
      <c r="S51441" s="178"/>
    </row>
    <row r="51442" spans="18:19">
      <c r="R51442" s="178"/>
      <c r="S51442" s="178"/>
    </row>
    <row r="51443" spans="18:19">
      <c r="R51443" s="178"/>
      <c r="S51443" s="178"/>
    </row>
    <row r="51444" spans="18:19">
      <c r="R51444" s="178"/>
      <c r="S51444" s="178"/>
    </row>
    <row r="51445" spans="18:19">
      <c r="R51445" s="178"/>
      <c r="S51445" s="178"/>
    </row>
    <row r="51446" spans="18:19">
      <c r="R51446" s="178"/>
      <c r="S51446" s="178"/>
    </row>
    <row r="51447" spans="18:19">
      <c r="R51447" s="178"/>
      <c r="S51447" s="178"/>
    </row>
    <row r="51448" spans="18:19">
      <c r="R51448" s="178"/>
      <c r="S51448" s="178"/>
    </row>
    <row r="51449" spans="18:19">
      <c r="R51449" s="178"/>
      <c r="S51449" s="178"/>
    </row>
    <row r="51450" spans="18:19">
      <c r="R51450" s="178"/>
      <c r="S51450" s="178"/>
    </row>
    <row r="51451" spans="18:19">
      <c r="R51451" s="178"/>
      <c r="S51451" s="178"/>
    </row>
    <row r="51452" spans="18:19">
      <c r="R51452" s="178"/>
      <c r="S51452" s="178"/>
    </row>
    <row r="51453" spans="18:19">
      <c r="R51453" s="178"/>
      <c r="S51453" s="178"/>
    </row>
    <row r="51454" spans="18:19">
      <c r="R51454" s="178"/>
      <c r="S51454" s="178"/>
    </row>
    <row r="51455" spans="18:19">
      <c r="R51455" s="178"/>
      <c r="S51455" s="178"/>
    </row>
    <row r="51456" spans="18:19">
      <c r="R51456" s="178"/>
      <c r="S51456" s="178"/>
    </row>
    <row r="51457" spans="18:19">
      <c r="R51457" s="178"/>
      <c r="S51457" s="178"/>
    </row>
    <row r="51458" spans="18:19">
      <c r="R51458" s="178"/>
      <c r="S51458" s="178"/>
    </row>
    <row r="51459" spans="18:19">
      <c r="R51459" s="178"/>
      <c r="S51459" s="178"/>
    </row>
    <row r="51460" spans="18:19">
      <c r="R51460" s="178"/>
      <c r="S51460" s="178"/>
    </row>
    <row r="51461" spans="18:19">
      <c r="R51461" s="178"/>
      <c r="S51461" s="178"/>
    </row>
    <row r="51462" spans="18:19">
      <c r="R51462" s="178"/>
      <c r="S51462" s="178"/>
    </row>
    <row r="51463" spans="18:19">
      <c r="R51463" s="178"/>
      <c r="S51463" s="178"/>
    </row>
    <row r="51464" spans="18:19">
      <c r="R51464" s="178"/>
      <c r="S51464" s="178"/>
    </row>
    <row r="51465" spans="18:19">
      <c r="R51465" s="178"/>
      <c r="S51465" s="178"/>
    </row>
    <row r="51466" spans="18:19">
      <c r="R51466" s="178"/>
      <c r="S51466" s="178"/>
    </row>
    <row r="51467" spans="18:19">
      <c r="R51467" s="178"/>
      <c r="S51467" s="178"/>
    </row>
    <row r="51468" spans="18:19">
      <c r="R51468" s="178"/>
      <c r="S51468" s="178"/>
    </row>
    <row r="51469" spans="18:19">
      <c r="R51469" s="178"/>
      <c r="S51469" s="178"/>
    </row>
    <row r="51470" spans="18:19">
      <c r="R51470" s="178"/>
      <c r="S51470" s="178"/>
    </row>
    <row r="51471" spans="18:19">
      <c r="R51471" s="178"/>
      <c r="S51471" s="178"/>
    </row>
    <row r="51472" spans="18:19">
      <c r="R51472" s="178"/>
      <c r="S51472" s="178"/>
    </row>
    <row r="51473" spans="18:19">
      <c r="R51473" s="178"/>
      <c r="S51473" s="178"/>
    </row>
    <row r="51474" spans="18:19">
      <c r="R51474" s="178"/>
      <c r="S51474" s="178"/>
    </row>
    <row r="51475" spans="18:19">
      <c r="R51475" s="178"/>
      <c r="S51475" s="178"/>
    </row>
    <row r="51476" spans="18:19">
      <c r="R51476" s="178"/>
      <c r="S51476" s="178"/>
    </row>
    <row r="51477" spans="18:19">
      <c r="R51477" s="178"/>
      <c r="S51477" s="178"/>
    </row>
    <row r="51478" spans="18:19">
      <c r="R51478" s="178"/>
      <c r="S51478" s="178"/>
    </row>
    <row r="51479" spans="18:19">
      <c r="R51479" s="178"/>
      <c r="S51479" s="178"/>
    </row>
    <row r="51480" spans="18:19">
      <c r="R51480" s="178"/>
      <c r="S51480" s="178"/>
    </row>
    <row r="51481" spans="18:19">
      <c r="R51481" s="178"/>
      <c r="S51481" s="178"/>
    </row>
    <row r="51482" spans="18:19">
      <c r="R51482" s="178"/>
      <c r="S51482" s="178"/>
    </row>
    <row r="51483" spans="18:19">
      <c r="R51483" s="178"/>
      <c r="S51483" s="178"/>
    </row>
    <row r="51484" spans="18:19">
      <c r="R51484" s="178"/>
      <c r="S51484" s="178"/>
    </row>
    <row r="51485" spans="18:19">
      <c r="R51485" s="178"/>
      <c r="S51485" s="178"/>
    </row>
    <row r="51486" spans="18:19">
      <c r="R51486" s="178"/>
      <c r="S51486" s="178"/>
    </row>
    <row r="51487" spans="18:19">
      <c r="R51487" s="178"/>
      <c r="S51487" s="178"/>
    </row>
    <row r="51488" spans="18:19">
      <c r="R51488" s="178"/>
      <c r="S51488" s="178"/>
    </row>
    <row r="51489" spans="18:19">
      <c r="R51489" s="178"/>
      <c r="S51489" s="178"/>
    </row>
    <row r="51490" spans="18:19">
      <c r="R51490" s="178"/>
      <c r="S51490" s="178"/>
    </row>
    <row r="51491" spans="18:19">
      <c r="R51491" s="178"/>
      <c r="S51491" s="178"/>
    </row>
    <row r="51492" spans="18:19">
      <c r="R51492" s="178"/>
      <c r="S51492" s="178"/>
    </row>
    <row r="51493" spans="18:19">
      <c r="R51493" s="178"/>
      <c r="S51493" s="178"/>
    </row>
    <row r="51494" spans="18:19">
      <c r="R51494" s="178"/>
      <c r="S51494" s="178"/>
    </row>
    <row r="51495" spans="18:19">
      <c r="R51495" s="178"/>
      <c r="S51495" s="178"/>
    </row>
    <row r="51496" spans="18:19">
      <c r="R51496" s="178"/>
      <c r="S51496" s="178"/>
    </row>
    <row r="51497" spans="18:19">
      <c r="R51497" s="178"/>
      <c r="S51497" s="178"/>
    </row>
    <row r="51498" spans="18:19">
      <c r="R51498" s="178"/>
      <c r="S51498" s="178"/>
    </row>
    <row r="51499" spans="18:19">
      <c r="R51499" s="178"/>
      <c r="S51499" s="178"/>
    </row>
    <row r="51500" spans="18:19">
      <c r="R51500" s="178"/>
      <c r="S51500" s="178"/>
    </row>
    <row r="51501" spans="18:19">
      <c r="R51501" s="178"/>
      <c r="S51501" s="178"/>
    </row>
    <row r="51502" spans="18:19">
      <c r="R51502" s="178"/>
      <c r="S51502" s="178"/>
    </row>
    <row r="51503" spans="18:19">
      <c r="R51503" s="178"/>
      <c r="S51503" s="178"/>
    </row>
    <row r="51504" spans="18:19">
      <c r="R51504" s="178"/>
      <c r="S51504" s="178"/>
    </row>
    <row r="51505" spans="18:19">
      <c r="R51505" s="178"/>
      <c r="S51505" s="178"/>
    </row>
    <row r="51506" spans="18:19">
      <c r="R51506" s="178"/>
      <c r="S51506" s="178"/>
    </row>
    <row r="51507" spans="18:19">
      <c r="R51507" s="178"/>
      <c r="S51507" s="178"/>
    </row>
    <row r="51508" spans="18:19">
      <c r="R51508" s="178"/>
      <c r="S51508" s="178"/>
    </row>
    <row r="51509" spans="18:19">
      <c r="R51509" s="178"/>
      <c r="S51509" s="178"/>
    </row>
    <row r="51510" spans="18:19">
      <c r="R51510" s="178"/>
      <c r="S51510" s="178"/>
    </row>
    <row r="51511" spans="18:19">
      <c r="R51511" s="178"/>
      <c r="S51511" s="178"/>
    </row>
    <row r="51512" spans="18:19">
      <c r="R51512" s="178"/>
      <c r="S51512" s="178"/>
    </row>
    <row r="51513" spans="18:19">
      <c r="R51513" s="178"/>
      <c r="S51513" s="178"/>
    </row>
    <row r="51514" spans="18:19">
      <c r="R51514" s="178"/>
      <c r="S51514" s="178"/>
    </row>
    <row r="51515" spans="18:19">
      <c r="R51515" s="178"/>
      <c r="S51515" s="178"/>
    </row>
    <row r="51516" spans="18:19">
      <c r="R51516" s="178"/>
      <c r="S51516" s="178"/>
    </row>
    <row r="51517" spans="18:19">
      <c r="R51517" s="178"/>
      <c r="S51517" s="178"/>
    </row>
    <row r="51518" spans="18:19">
      <c r="R51518" s="178"/>
      <c r="S51518" s="178"/>
    </row>
    <row r="51519" spans="18:19">
      <c r="R51519" s="178"/>
      <c r="S51519" s="178"/>
    </row>
    <row r="51520" spans="18:19">
      <c r="R51520" s="178"/>
      <c r="S51520" s="178"/>
    </row>
    <row r="51521" spans="18:19">
      <c r="R51521" s="178"/>
      <c r="S51521" s="178"/>
    </row>
    <row r="51522" spans="18:19">
      <c r="R51522" s="178"/>
      <c r="S51522" s="178"/>
    </row>
    <row r="51523" spans="18:19">
      <c r="R51523" s="178"/>
      <c r="S51523" s="178"/>
    </row>
    <row r="51524" spans="18:19">
      <c r="R51524" s="178"/>
      <c r="S51524" s="178"/>
    </row>
    <row r="51525" spans="18:19">
      <c r="R51525" s="178"/>
      <c r="S51525" s="178"/>
    </row>
    <row r="51526" spans="18:19">
      <c r="R51526" s="178"/>
      <c r="S51526" s="178"/>
    </row>
    <row r="51527" spans="18:19">
      <c r="R51527" s="178"/>
      <c r="S51527" s="178"/>
    </row>
    <row r="51528" spans="18:19">
      <c r="R51528" s="178"/>
      <c r="S51528" s="178"/>
    </row>
    <row r="51529" spans="18:19">
      <c r="R51529" s="178"/>
      <c r="S51529" s="178"/>
    </row>
    <row r="51530" spans="18:19">
      <c r="R51530" s="178"/>
      <c r="S51530" s="178"/>
    </row>
    <row r="51531" spans="18:19">
      <c r="R51531" s="178"/>
      <c r="S51531" s="178"/>
    </row>
    <row r="51532" spans="18:19">
      <c r="R51532" s="178"/>
      <c r="S51532" s="178"/>
    </row>
    <row r="51533" spans="18:19">
      <c r="R51533" s="178"/>
      <c r="S51533" s="178"/>
    </row>
    <row r="51534" spans="18:19">
      <c r="R51534" s="178"/>
      <c r="S51534" s="178"/>
    </row>
    <row r="51535" spans="18:19">
      <c r="R51535" s="178"/>
      <c r="S51535" s="178"/>
    </row>
    <row r="51536" spans="18:19">
      <c r="R51536" s="178"/>
      <c r="S51536" s="178"/>
    </row>
    <row r="51537" spans="18:19">
      <c r="R51537" s="178"/>
      <c r="S51537" s="178"/>
    </row>
    <row r="51538" spans="18:19">
      <c r="R51538" s="178"/>
      <c r="S51538" s="178"/>
    </row>
    <row r="51539" spans="18:19">
      <c r="R51539" s="178"/>
      <c r="S51539" s="178"/>
    </row>
    <row r="51540" spans="18:19">
      <c r="R51540" s="178"/>
      <c r="S51540" s="178"/>
    </row>
    <row r="51541" spans="18:19">
      <c r="R51541" s="178"/>
      <c r="S51541" s="178"/>
    </row>
    <row r="51542" spans="18:19">
      <c r="R51542" s="178"/>
      <c r="S51542" s="178"/>
    </row>
    <row r="51543" spans="18:19">
      <c r="R51543" s="178"/>
      <c r="S51543" s="178"/>
    </row>
    <row r="51544" spans="18:19">
      <c r="R51544" s="178"/>
      <c r="S51544" s="178"/>
    </row>
    <row r="51545" spans="18:19">
      <c r="R51545" s="178"/>
      <c r="S51545" s="178"/>
    </row>
    <row r="51546" spans="18:19">
      <c r="R51546" s="178"/>
      <c r="S51546" s="178"/>
    </row>
    <row r="51547" spans="18:19">
      <c r="R51547" s="178"/>
      <c r="S51547" s="178"/>
    </row>
    <row r="51548" spans="18:19">
      <c r="R51548" s="178"/>
      <c r="S51548" s="178"/>
    </row>
    <row r="51549" spans="18:19">
      <c r="R51549" s="178"/>
      <c r="S51549" s="178"/>
    </row>
    <row r="51550" spans="18:19">
      <c r="R51550" s="178"/>
      <c r="S51550" s="178"/>
    </row>
    <row r="51551" spans="18:19">
      <c r="R51551" s="178"/>
      <c r="S51551" s="178"/>
    </row>
    <row r="51552" spans="18:19">
      <c r="R51552" s="178"/>
      <c r="S51552" s="178"/>
    </row>
    <row r="51553" spans="18:19">
      <c r="R51553" s="178"/>
      <c r="S51553" s="178"/>
    </row>
    <row r="51554" spans="18:19">
      <c r="R51554" s="178"/>
      <c r="S51554" s="178"/>
    </row>
    <row r="51555" spans="18:19">
      <c r="R51555" s="178"/>
      <c r="S51555" s="178"/>
    </row>
    <row r="51556" spans="18:19">
      <c r="R51556" s="178"/>
      <c r="S51556" s="178"/>
    </row>
    <row r="51557" spans="18:19">
      <c r="R51557" s="178"/>
      <c r="S51557" s="178"/>
    </row>
    <row r="51558" spans="18:19">
      <c r="R51558" s="178"/>
      <c r="S51558" s="178"/>
    </row>
    <row r="51559" spans="18:19">
      <c r="R51559" s="178"/>
      <c r="S51559" s="178"/>
    </row>
    <row r="51560" spans="18:19">
      <c r="R51560" s="178"/>
      <c r="S51560" s="178"/>
    </row>
    <row r="51561" spans="18:19">
      <c r="R51561" s="178"/>
      <c r="S51561" s="178"/>
    </row>
    <row r="51562" spans="18:19">
      <c r="R51562" s="178"/>
      <c r="S51562" s="178"/>
    </row>
    <row r="51563" spans="18:19">
      <c r="R51563" s="178"/>
      <c r="S51563" s="178"/>
    </row>
    <row r="51564" spans="18:19">
      <c r="R51564" s="178"/>
      <c r="S51564" s="178"/>
    </row>
    <row r="51565" spans="18:19">
      <c r="R51565" s="178"/>
      <c r="S51565" s="178"/>
    </row>
    <row r="51566" spans="18:19">
      <c r="R51566" s="178"/>
      <c r="S51566" s="178"/>
    </row>
    <row r="51567" spans="18:19">
      <c r="R51567" s="178"/>
      <c r="S51567" s="178"/>
    </row>
    <row r="51568" spans="18:19">
      <c r="R51568" s="178"/>
      <c r="S51568" s="178"/>
    </row>
    <row r="51569" spans="18:19">
      <c r="R51569" s="178"/>
      <c r="S51569" s="178"/>
    </row>
    <row r="51570" spans="18:19">
      <c r="R51570" s="178"/>
      <c r="S51570" s="178"/>
    </row>
    <row r="51571" spans="18:19">
      <c r="R51571" s="178"/>
      <c r="S51571" s="178"/>
    </row>
    <row r="51572" spans="18:19">
      <c r="R51572" s="178"/>
      <c r="S51572" s="178"/>
    </row>
    <row r="51573" spans="18:19">
      <c r="R51573" s="178"/>
      <c r="S51573" s="178"/>
    </row>
    <row r="51574" spans="18:19">
      <c r="R51574" s="178"/>
      <c r="S51574" s="178"/>
    </row>
    <row r="51575" spans="18:19">
      <c r="R51575" s="178"/>
      <c r="S51575" s="178"/>
    </row>
    <row r="51576" spans="18:19">
      <c r="R51576" s="178"/>
      <c r="S51576" s="178"/>
    </row>
    <row r="51577" spans="18:19">
      <c r="R51577" s="178"/>
      <c r="S51577" s="178"/>
    </row>
    <row r="51578" spans="18:19">
      <c r="R51578" s="178"/>
      <c r="S51578" s="178"/>
    </row>
    <row r="51579" spans="18:19">
      <c r="R51579" s="178"/>
      <c r="S51579" s="178"/>
    </row>
    <row r="51580" spans="18:19">
      <c r="R51580" s="178"/>
      <c r="S51580" s="178"/>
    </row>
    <row r="51581" spans="18:19">
      <c r="R51581" s="178"/>
      <c r="S51581" s="178"/>
    </row>
    <row r="51582" spans="18:19">
      <c r="R51582" s="178"/>
      <c r="S51582" s="178"/>
    </row>
    <row r="51583" spans="18:19">
      <c r="R51583" s="178"/>
      <c r="S51583" s="178"/>
    </row>
    <row r="51584" spans="18:19">
      <c r="R51584" s="178"/>
      <c r="S51584" s="178"/>
    </row>
    <row r="51585" spans="18:19">
      <c r="R51585" s="178"/>
      <c r="S51585" s="178"/>
    </row>
    <row r="51586" spans="18:19">
      <c r="R51586" s="178"/>
      <c r="S51586" s="178"/>
    </row>
    <row r="51587" spans="18:19">
      <c r="R51587" s="178"/>
      <c r="S51587" s="178"/>
    </row>
    <row r="51588" spans="18:19">
      <c r="R51588" s="178"/>
      <c r="S51588" s="178"/>
    </row>
    <row r="51589" spans="18:19">
      <c r="R51589" s="178"/>
      <c r="S51589" s="178"/>
    </row>
    <row r="51590" spans="18:19">
      <c r="R51590" s="178"/>
      <c r="S51590" s="178"/>
    </row>
    <row r="51591" spans="18:19">
      <c r="R51591" s="178"/>
      <c r="S51591" s="178"/>
    </row>
    <row r="51592" spans="18:19">
      <c r="R51592" s="178"/>
      <c r="S51592" s="178"/>
    </row>
    <row r="51593" spans="18:19">
      <c r="R51593" s="178"/>
      <c r="S51593" s="178"/>
    </row>
    <row r="51594" spans="18:19">
      <c r="R51594" s="178"/>
      <c r="S51594" s="178"/>
    </row>
    <row r="51595" spans="18:19">
      <c r="R51595" s="178"/>
      <c r="S51595" s="178"/>
    </row>
    <row r="51596" spans="18:19">
      <c r="R51596" s="178"/>
      <c r="S51596" s="178"/>
    </row>
    <row r="51597" spans="18:19">
      <c r="R51597" s="178"/>
      <c r="S51597" s="178"/>
    </row>
    <row r="51598" spans="18:19">
      <c r="R51598" s="178"/>
      <c r="S51598" s="178"/>
    </row>
    <row r="51599" spans="18:19">
      <c r="R51599" s="178"/>
      <c r="S51599" s="178"/>
    </row>
    <row r="51600" spans="18:19">
      <c r="R51600" s="178"/>
      <c r="S51600" s="178"/>
    </row>
    <row r="51601" spans="18:19">
      <c r="R51601" s="178"/>
      <c r="S51601" s="178"/>
    </row>
    <row r="51602" spans="18:19">
      <c r="R51602" s="178"/>
      <c r="S51602" s="178"/>
    </row>
    <row r="51603" spans="18:19">
      <c r="R51603" s="178"/>
      <c r="S51603" s="178"/>
    </row>
    <row r="51604" spans="18:19">
      <c r="R51604" s="178"/>
      <c r="S51604" s="178"/>
    </row>
    <row r="51605" spans="18:19">
      <c r="R51605" s="178"/>
      <c r="S51605" s="178"/>
    </row>
    <row r="51606" spans="18:19">
      <c r="R51606" s="178"/>
      <c r="S51606" s="178"/>
    </row>
    <row r="51607" spans="18:19">
      <c r="R51607" s="178"/>
      <c r="S51607" s="178"/>
    </row>
    <row r="51608" spans="18:19">
      <c r="R51608" s="178"/>
      <c r="S51608" s="178"/>
    </row>
    <row r="51609" spans="18:19">
      <c r="R51609" s="178"/>
      <c r="S51609" s="178"/>
    </row>
    <row r="51610" spans="18:19">
      <c r="R51610" s="178"/>
      <c r="S51610" s="178"/>
    </row>
    <row r="51611" spans="18:19">
      <c r="R51611" s="178"/>
      <c r="S51611" s="178"/>
    </row>
    <row r="51612" spans="18:19">
      <c r="R51612" s="178"/>
      <c r="S51612" s="178"/>
    </row>
    <row r="51613" spans="18:19">
      <c r="R51613" s="178"/>
      <c r="S51613" s="178"/>
    </row>
    <row r="51614" spans="18:19">
      <c r="R51614" s="178"/>
      <c r="S51614" s="178"/>
    </row>
    <row r="51615" spans="18:19">
      <c r="R51615" s="178"/>
      <c r="S51615" s="178"/>
    </row>
    <row r="51616" spans="18:19">
      <c r="R51616" s="178"/>
      <c r="S51616" s="178"/>
    </row>
    <row r="51617" spans="18:19">
      <c r="R51617" s="178"/>
      <c r="S51617" s="178"/>
    </row>
    <row r="51618" spans="18:19">
      <c r="R51618" s="178"/>
      <c r="S51618" s="178"/>
    </row>
    <row r="51619" spans="18:19">
      <c r="R51619" s="178"/>
      <c r="S51619" s="178"/>
    </row>
    <row r="51620" spans="18:19">
      <c r="R51620" s="178"/>
      <c r="S51620" s="178"/>
    </row>
    <row r="51621" spans="18:19">
      <c r="R51621" s="178"/>
      <c r="S51621" s="178"/>
    </row>
    <row r="51622" spans="18:19">
      <c r="R51622" s="178"/>
      <c r="S51622" s="178"/>
    </row>
    <row r="51623" spans="18:19">
      <c r="R51623" s="178"/>
      <c r="S51623" s="178"/>
    </row>
    <row r="51624" spans="18:19">
      <c r="R51624" s="178"/>
      <c r="S51624" s="178"/>
    </row>
    <row r="51625" spans="18:19">
      <c r="R51625" s="178"/>
      <c r="S51625" s="178"/>
    </row>
    <row r="51626" spans="18:19">
      <c r="R51626" s="178"/>
      <c r="S51626" s="178"/>
    </row>
    <row r="51627" spans="18:19">
      <c r="R51627" s="178"/>
      <c r="S51627" s="178"/>
    </row>
    <row r="51628" spans="18:19">
      <c r="R51628" s="178"/>
      <c r="S51628" s="178"/>
    </row>
    <row r="51629" spans="18:19">
      <c r="R51629" s="178"/>
      <c r="S51629" s="178"/>
    </row>
    <row r="51630" spans="18:19">
      <c r="R51630" s="178"/>
      <c r="S51630" s="178"/>
    </row>
    <row r="51631" spans="18:19">
      <c r="R51631" s="178"/>
      <c r="S51631" s="178"/>
    </row>
    <row r="51632" spans="18:19">
      <c r="R51632" s="178"/>
      <c r="S51632" s="178"/>
    </row>
    <row r="51633" spans="18:19">
      <c r="R51633" s="178"/>
      <c r="S51633" s="178"/>
    </row>
    <row r="51634" spans="18:19">
      <c r="R51634" s="178"/>
      <c r="S51634" s="178"/>
    </row>
    <row r="51635" spans="18:19">
      <c r="R51635" s="178"/>
      <c r="S51635" s="178"/>
    </row>
    <row r="51636" spans="18:19">
      <c r="R51636" s="178"/>
      <c r="S51636" s="178"/>
    </row>
    <row r="51637" spans="18:19">
      <c r="R51637" s="178"/>
      <c r="S51637" s="178"/>
    </row>
    <row r="51638" spans="18:19">
      <c r="R51638" s="178"/>
      <c r="S51638" s="178"/>
    </row>
    <row r="51639" spans="18:19">
      <c r="R51639" s="178"/>
      <c r="S51639" s="178"/>
    </row>
    <row r="51640" spans="18:19">
      <c r="R51640" s="178"/>
      <c r="S51640" s="178"/>
    </row>
    <row r="51641" spans="18:19">
      <c r="R51641" s="178"/>
      <c r="S51641" s="178"/>
    </row>
    <row r="51642" spans="18:19">
      <c r="R51642" s="178"/>
      <c r="S51642" s="178"/>
    </row>
    <row r="51643" spans="18:19">
      <c r="R51643" s="178"/>
      <c r="S51643" s="178"/>
    </row>
    <row r="51644" spans="18:19">
      <c r="R51644" s="178"/>
      <c r="S51644" s="178"/>
    </row>
    <row r="51645" spans="18:19">
      <c r="R51645" s="178"/>
      <c r="S51645" s="178"/>
    </row>
    <row r="51646" spans="18:19">
      <c r="R51646" s="178"/>
      <c r="S51646" s="178"/>
    </row>
    <row r="51647" spans="18:19">
      <c r="R51647" s="178"/>
      <c r="S51647" s="178"/>
    </row>
    <row r="51648" spans="18:19">
      <c r="R51648" s="178"/>
      <c r="S51648" s="178"/>
    </row>
    <row r="51649" spans="18:19">
      <c r="R51649" s="178"/>
      <c r="S51649" s="178"/>
    </row>
    <row r="51650" spans="18:19">
      <c r="R51650" s="178"/>
      <c r="S51650" s="178"/>
    </row>
    <row r="51651" spans="18:19">
      <c r="R51651" s="178"/>
      <c r="S51651" s="178"/>
    </row>
    <row r="51652" spans="18:19">
      <c r="R51652" s="178"/>
      <c r="S51652" s="178"/>
    </row>
    <row r="51653" spans="18:19">
      <c r="R51653" s="178"/>
      <c r="S51653" s="178"/>
    </row>
    <row r="51654" spans="18:19">
      <c r="R51654" s="178"/>
      <c r="S51654" s="178"/>
    </row>
    <row r="51655" spans="18:19">
      <c r="R51655" s="178"/>
      <c r="S51655" s="178"/>
    </row>
    <row r="51656" spans="18:19">
      <c r="R51656" s="178"/>
      <c r="S51656" s="178"/>
    </row>
    <row r="51657" spans="18:19">
      <c r="R51657" s="178"/>
      <c r="S51657" s="178"/>
    </row>
    <row r="51658" spans="18:19">
      <c r="R51658" s="178"/>
      <c r="S51658" s="178"/>
    </row>
    <row r="51659" spans="18:19">
      <c r="R51659" s="178"/>
      <c r="S51659" s="178"/>
    </row>
    <row r="51660" spans="18:19">
      <c r="R51660" s="178"/>
      <c r="S51660" s="178"/>
    </row>
    <row r="51661" spans="18:19">
      <c r="R51661" s="178"/>
      <c r="S51661" s="178"/>
    </row>
    <row r="51662" spans="18:19">
      <c r="R51662" s="178"/>
      <c r="S51662" s="178"/>
    </row>
    <row r="51663" spans="18:19">
      <c r="R51663" s="178"/>
      <c r="S51663" s="178"/>
    </row>
    <row r="51664" spans="18:19">
      <c r="R51664" s="178"/>
      <c r="S51664" s="178"/>
    </row>
    <row r="51665" spans="18:19">
      <c r="R51665" s="178"/>
      <c r="S51665" s="178"/>
    </row>
    <row r="51666" spans="18:19">
      <c r="R51666" s="178"/>
      <c r="S51666" s="178"/>
    </row>
    <row r="51667" spans="18:19">
      <c r="R51667" s="178"/>
      <c r="S51667" s="178"/>
    </row>
    <row r="51668" spans="18:19">
      <c r="R51668" s="178"/>
      <c r="S51668" s="178"/>
    </row>
    <row r="51669" spans="18:19">
      <c r="R51669" s="178"/>
      <c r="S51669" s="178"/>
    </row>
    <row r="51670" spans="18:19">
      <c r="R51670" s="178"/>
      <c r="S51670" s="178"/>
    </row>
    <row r="51671" spans="18:19">
      <c r="R51671" s="178"/>
      <c r="S51671" s="178"/>
    </row>
    <row r="51672" spans="18:19">
      <c r="R51672" s="178"/>
      <c r="S51672" s="178"/>
    </row>
    <row r="51673" spans="18:19">
      <c r="R51673" s="178"/>
      <c r="S51673" s="178"/>
    </row>
    <row r="51674" spans="18:19">
      <c r="R51674" s="178"/>
      <c r="S51674" s="178"/>
    </row>
    <row r="51675" spans="18:19">
      <c r="R51675" s="178"/>
      <c r="S51675" s="178"/>
    </row>
    <row r="51676" spans="18:19">
      <c r="R51676" s="178"/>
      <c r="S51676" s="178"/>
    </row>
    <row r="51677" spans="18:19">
      <c r="R51677" s="178"/>
      <c r="S51677" s="178"/>
    </row>
    <row r="51678" spans="18:19">
      <c r="R51678" s="178"/>
      <c r="S51678" s="178"/>
    </row>
    <row r="51679" spans="18:19">
      <c r="R51679" s="178"/>
      <c r="S51679" s="178"/>
    </row>
    <row r="51680" spans="18:19">
      <c r="R51680" s="178"/>
      <c r="S51680" s="178"/>
    </row>
    <row r="51681" spans="18:19">
      <c r="R51681" s="178"/>
      <c r="S51681" s="178"/>
    </row>
    <row r="51682" spans="18:19">
      <c r="R51682" s="178"/>
      <c r="S51682" s="178"/>
    </row>
    <row r="51683" spans="18:19">
      <c r="R51683" s="178"/>
      <c r="S51683" s="178"/>
    </row>
    <row r="51684" spans="18:19">
      <c r="R51684" s="178"/>
      <c r="S51684" s="178"/>
    </row>
    <row r="51685" spans="18:19">
      <c r="R51685" s="178"/>
      <c r="S51685" s="178"/>
    </row>
    <row r="51686" spans="18:19">
      <c r="R51686" s="178"/>
      <c r="S51686" s="178"/>
    </row>
    <row r="51687" spans="18:19">
      <c r="R51687" s="178"/>
      <c r="S51687" s="178"/>
    </row>
    <row r="51688" spans="18:19">
      <c r="R51688" s="178"/>
      <c r="S51688" s="178"/>
    </row>
    <row r="51689" spans="18:19">
      <c r="R51689" s="178"/>
      <c r="S51689" s="178"/>
    </row>
    <row r="51690" spans="18:19">
      <c r="R51690" s="178"/>
      <c r="S51690" s="178"/>
    </row>
    <row r="51691" spans="18:19">
      <c r="R51691" s="178"/>
      <c r="S51691" s="178"/>
    </row>
    <row r="51692" spans="18:19">
      <c r="R51692" s="178"/>
      <c r="S51692" s="178"/>
    </row>
    <row r="51693" spans="18:19">
      <c r="R51693" s="178"/>
      <c r="S51693" s="178"/>
    </row>
    <row r="51694" spans="18:19">
      <c r="R51694" s="178"/>
      <c r="S51694" s="178"/>
    </row>
    <row r="51695" spans="18:19">
      <c r="R51695" s="178"/>
      <c r="S51695" s="178"/>
    </row>
    <row r="51696" spans="18:19">
      <c r="R51696" s="178"/>
      <c r="S51696" s="178"/>
    </row>
    <row r="51697" spans="18:19">
      <c r="R51697" s="178"/>
      <c r="S51697" s="178"/>
    </row>
    <row r="51698" spans="18:19">
      <c r="R51698" s="178"/>
      <c r="S51698" s="178"/>
    </row>
    <row r="51699" spans="18:19">
      <c r="R51699" s="178"/>
      <c r="S51699" s="178"/>
    </row>
    <row r="51700" spans="18:19">
      <c r="R51700" s="178"/>
      <c r="S51700" s="178"/>
    </row>
    <row r="51701" spans="18:19">
      <c r="R51701" s="178"/>
      <c r="S51701" s="178"/>
    </row>
    <row r="51702" spans="18:19">
      <c r="R51702" s="178"/>
      <c r="S51702" s="178"/>
    </row>
    <row r="51703" spans="18:19">
      <c r="R51703" s="178"/>
      <c r="S51703" s="178"/>
    </row>
    <row r="51704" spans="18:19">
      <c r="R51704" s="178"/>
      <c r="S51704" s="178"/>
    </row>
    <row r="51705" spans="18:19">
      <c r="R51705" s="178"/>
      <c r="S51705" s="178"/>
    </row>
    <row r="51706" spans="18:19">
      <c r="R51706" s="178"/>
      <c r="S51706" s="178"/>
    </row>
    <row r="51707" spans="18:19">
      <c r="R51707" s="178"/>
      <c r="S51707" s="178"/>
    </row>
    <row r="51708" spans="18:19">
      <c r="R51708" s="178"/>
      <c r="S51708" s="178"/>
    </row>
    <row r="51709" spans="18:19">
      <c r="R51709" s="178"/>
      <c r="S51709" s="178"/>
    </row>
    <row r="51710" spans="18:19">
      <c r="R51710" s="178"/>
      <c r="S51710" s="178"/>
    </row>
    <row r="51711" spans="18:19">
      <c r="R51711" s="178"/>
      <c r="S51711" s="178"/>
    </row>
    <row r="51712" spans="18:19">
      <c r="R51712" s="178"/>
      <c r="S51712" s="178"/>
    </row>
    <row r="51713" spans="18:19">
      <c r="R51713" s="178"/>
      <c r="S51713" s="178"/>
    </row>
    <row r="51714" spans="18:19">
      <c r="R51714" s="178"/>
      <c r="S51714" s="178"/>
    </row>
    <row r="51715" spans="18:19">
      <c r="R51715" s="178"/>
      <c r="S51715" s="178"/>
    </row>
    <row r="51716" spans="18:19">
      <c r="R51716" s="178"/>
      <c r="S51716" s="178"/>
    </row>
    <row r="51717" spans="18:19">
      <c r="R51717" s="178"/>
      <c r="S51717" s="178"/>
    </row>
    <row r="51718" spans="18:19">
      <c r="R51718" s="178"/>
      <c r="S51718" s="178"/>
    </row>
    <row r="51719" spans="18:19">
      <c r="R51719" s="178"/>
      <c r="S51719" s="178"/>
    </row>
    <row r="51720" spans="18:19">
      <c r="R51720" s="178"/>
      <c r="S51720" s="178"/>
    </row>
    <row r="51721" spans="18:19">
      <c r="R51721" s="178"/>
      <c r="S51721" s="178"/>
    </row>
    <row r="51722" spans="18:19">
      <c r="R51722" s="178"/>
      <c r="S51722" s="178"/>
    </row>
    <row r="51723" spans="18:19">
      <c r="R51723" s="178"/>
      <c r="S51723" s="178"/>
    </row>
    <row r="51724" spans="18:19">
      <c r="R51724" s="178"/>
      <c r="S51724" s="178"/>
    </row>
    <row r="51725" spans="18:19">
      <c r="R51725" s="178"/>
      <c r="S51725" s="178"/>
    </row>
    <row r="51726" spans="18:19">
      <c r="R51726" s="178"/>
      <c r="S51726" s="178"/>
    </row>
    <row r="51727" spans="18:19">
      <c r="R51727" s="178"/>
      <c r="S51727" s="178"/>
    </row>
    <row r="51728" spans="18:19">
      <c r="R51728" s="178"/>
      <c r="S51728" s="178"/>
    </row>
    <row r="51729" spans="18:19">
      <c r="R51729" s="178"/>
      <c r="S51729" s="178"/>
    </row>
    <row r="51730" spans="18:19">
      <c r="R51730" s="178"/>
      <c r="S51730" s="178"/>
    </row>
    <row r="51731" spans="18:19">
      <c r="R51731" s="178"/>
      <c r="S51731" s="178"/>
    </row>
    <row r="51732" spans="18:19">
      <c r="R51732" s="178"/>
      <c r="S51732" s="178"/>
    </row>
    <row r="51733" spans="18:19">
      <c r="R51733" s="178"/>
      <c r="S51733" s="178"/>
    </row>
    <row r="51734" spans="18:19">
      <c r="R51734" s="178"/>
      <c r="S51734" s="178"/>
    </row>
    <row r="51735" spans="18:19">
      <c r="R51735" s="178"/>
      <c r="S51735" s="178"/>
    </row>
    <row r="51736" spans="18:19">
      <c r="R51736" s="178"/>
      <c r="S51736" s="178"/>
    </row>
    <row r="51737" spans="18:19">
      <c r="R51737" s="178"/>
      <c r="S51737" s="178"/>
    </row>
    <row r="51738" spans="18:19">
      <c r="R51738" s="178"/>
      <c r="S51738" s="178"/>
    </row>
    <row r="51739" spans="18:19">
      <c r="R51739" s="178"/>
      <c r="S51739" s="178"/>
    </row>
    <row r="51740" spans="18:19">
      <c r="R51740" s="178"/>
      <c r="S51740" s="178"/>
    </row>
    <row r="51741" spans="18:19">
      <c r="R51741" s="178"/>
      <c r="S51741" s="178"/>
    </row>
    <row r="51742" spans="18:19">
      <c r="R51742" s="178"/>
      <c r="S51742" s="178"/>
    </row>
    <row r="51743" spans="18:19">
      <c r="R51743" s="178"/>
      <c r="S51743" s="178"/>
    </row>
    <row r="51744" spans="18:19">
      <c r="R51744" s="178"/>
      <c r="S51744" s="178"/>
    </row>
    <row r="51745" spans="18:19">
      <c r="R51745" s="178"/>
      <c r="S51745" s="178"/>
    </row>
    <row r="51746" spans="18:19">
      <c r="R51746" s="178"/>
      <c r="S51746" s="178"/>
    </row>
    <row r="51747" spans="18:19">
      <c r="R51747" s="178"/>
      <c r="S51747" s="178"/>
    </row>
    <row r="51748" spans="18:19">
      <c r="R51748" s="178"/>
      <c r="S51748" s="178"/>
    </row>
    <row r="51749" spans="18:19">
      <c r="R51749" s="178"/>
      <c r="S51749" s="178"/>
    </row>
    <row r="51750" spans="18:19">
      <c r="R51750" s="178"/>
      <c r="S51750" s="178"/>
    </row>
    <row r="51751" spans="18:19">
      <c r="R51751" s="178"/>
      <c r="S51751" s="178"/>
    </row>
    <row r="51752" spans="18:19">
      <c r="R51752" s="178"/>
      <c r="S51752" s="178"/>
    </row>
    <row r="51753" spans="18:19">
      <c r="R51753" s="178"/>
      <c r="S51753" s="178"/>
    </row>
    <row r="51754" spans="18:19">
      <c r="R51754" s="178"/>
      <c r="S51754" s="178"/>
    </row>
    <row r="51755" spans="18:19">
      <c r="R51755" s="178"/>
      <c r="S51755" s="178"/>
    </row>
    <row r="51756" spans="18:19">
      <c r="R51756" s="178"/>
      <c r="S51756" s="178"/>
    </row>
    <row r="51757" spans="18:19">
      <c r="R51757" s="178"/>
      <c r="S51757" s="178"/>
    </row>
    <row r="51758" spans="18:19">
      <c r="R51758" s="178"/>
      <c r="S51758" s="178"/>
    </row>
    <row r="51759" spans="18:19">
      <c r="R51759" s="178"/>
      <c r="S51759" s="178"/>
    </row>
    <row r="51760" spans="18:19">
      <c r="R51760" s="178"/>
      <c r="S51760" s="178"/>
    </row>
    <row r="51761" spans="18:19">
      <c r="R51761" s="178"/>
      <c r="S51761" s="178"/>
    </row>
    <row r="51762" spans="18:19">
      <c r="R51762" s="178"/>
      <c r="S51762" s="178"/>
    </row>
    <row r="51763" spans="18:19">
      <c r="R51763" s="178"/>
      <c r="S51763" s="178"/>
    </row>
    <row r="51764" spans="18:19">
      <c r="R51764" s="178"/>
      <c r="S51764" s="178"/>
    </row>
    <row r="51765" spans="18:19">
      <c r="R51765" s="178"/>
      <c r="S51765" s="178"/>
    </row>
    <row r="51766" spans="18:19">
      <c r="R51766" s="178"/>
      <c r="S51766" s="178"/>
    </row>
    <row r="51767" spans="18:19">
      <c r="R51767" s="178"/>
      <c r="S51767" s="178"/>
    </row>
    <row r="51768" spans="18:19">
      <c r="R51768" s="178"/>
      <c r="S51768" s="178"/>
    </row>
    <row r="51769" spans="18:19">
      <c r="R51769" s="178"/>
      <c r="S51769" s="178"/>
    </row>
    <row r="51770" spans="18:19">
      <c r="R51770" s="178"/>
      <c r="S51770" s="178"/>
    </row>
    <row r="51771" spans="18:19">
      <c r="R51771" s="178"/>
      <c r="S51771" s="178"/>
    </row>
    <row r="51772" spans="18:19">
      <c r="R51772" s="178"/>
      <c r="S51772" s="178"/>
    </row>
    <row r="51773" spans="18:19">
      <c r="R51773" s="178"/>
      <c r="S51773" s="178"/>
    </row>
    <row r="51774" spans="18:19">
      <c r="R51774" s="178"/>
      <c r="S51774" s="178"/>
    </row>
    <row r="51775" spans="18:19">
      <c r="R51775" s="178"/>
      <c r="S51775" s="178"/>
    </row>
    <row r="51776" spans="18:19">
      <c r="R51776" s="178"/>
      <c r="S51776" s="178"/>
    </row>
    <row r="51777" spans="18:19">
      <c r="R51777" s="178"/>
      <c r="S51777" s="178"/>
    </row>
    <row r="51778" spans="18:19">
      <c r="R51778" s="178"/>
      <c r="S51778" s="178"/>
    </row>
    <row r="51779" spans="18:19">
      <c r="R51779" s="178"/>
      <c r="S51779" s="178"/>
    </row>
    <row r="51780" spans="18:19">
      <c r="R51780" s="178"/>
      <c r="S51780" s="178"/>
    </row>
    <row r="51781" spans="18:19">
      <c r="R51781" s="178"/>
      <c r="S51781" s="178"/>
    </row>
    <row r="51782" spans="18:19">
      <c r="R51782" s="178"/>
      <c r="S51782" s="178"/>
    </row>
    <row r="51783" spans="18:19">
      <c r="R51783" s="178"/>
      <c r="S51783" s="178"/>
    </row>
    <row r="51784" spans="18:19">
      <c r="R51784" s="178"/>
      <c r="S51784" s="178"/>
    </row>
    <row r="51785" spans="18:19">
      <c r="R51785" s="178"/>
      <c r="S51785" s="178"/>
    </row>
    <row r="51786" spans="18:19">
      <c r="R51786" s="178"/>
      <c r="S51786" s="178"/>
    </row>
    <row r="51787" spans="18:19">
      <c r="R51787" s="178"/>
      <c r="S51787" s="178"/>
    </row>
    <row r="51788" spans="18:19">
      <c r="R51788" s="178"/>
      <c r="S51788" s="178"/>
    </row>
    <row r="51789" spans="18:19">
      <c r="R51789" s="178"/>
      <c r="S51789" s="178"/>
    </row>
    <row r="51790" spans="18:19">
      <c r="R51790" s="178"/>
      <c r="S51790" s="178"/>
    </row>
    <row r="51791" spans="18:19">
      <c r="R51791" s="178"/>
      <c r="S51791" s="178"/>
    </row>
    <row r="51792" spans="18:19">
      <c r="R51792" s="178"/>
      <c r="S51792" s="178"/>
    </row>
    <row r="51793" spans="18:19">
      <c r="R51793" s="178"/>
      <c r="S51793" s="178"/>
    </row>
    <row r="51794" spans="18:19">
      <c r="R51794" s="178"/>
      <c r="S51794" s="178"/>
    </row>
    <row r="51795" spans="18:19">
      <c r="R51795" s="178"/>
      <c r="S51795" s="178"/>
    </row>
    <row r="51796" spans="18:19">
      <c r="R51796" s="178"/>
      <c r="S51796" s="178"/>
    </row>
    <row r="51797" spans="18:19">
      <c r="R51797" s="178"/>
      <c r="S51797" s="178"/>
    </row>
    <row r="51798" spans="18:19">
      <c r="R51798" s="178"/>
      <c r="S51798" s="178"/>
    </row>
    <row r="51799" spans="18:19">
      <c r="R51799" s="178"/>
      <c r="S51799" s="178"/>
    </row>
    <row r="51800" spans="18:19">
      <c r="R51800" s="178"/>
      <c r="S51800" s="178"/>
    </row>
    <row r="51801" spans="18:19">
      <c r="R51801" s="178"/>
      <c r="S51801" s="178"/>
    </row>
    <row r="51802" spans="18:19">
      <c r="R51802" s="178"/>
      <c r="S51802" s="178"/>
    </row>
    <row r="51803" spans="18:19">
      <c r="R51803" s="178"/>
      <c r="S51803" s="178"/>
    </row>
    <row r="51804" spans="18:19">
      <c r="R51804" s="178"/>
      <c r="S51804" s="178"/>
    </row>
    <row r="51805" spans="18:19">
      <c r="R51805" s="178"/>
      <c r="S51805" s="178"/>
    </row>
    <row r="51806" spans="18:19">
      <c r="R51806" s="178"/>
      <c r="S51806" s="178"/>
    </row>
    <row r="51807" spans="18:19">
      <c r="R51807" s="178"/>
      <c r="S51807" s="178"/>
    </row>
    <row r="51808" spans="18:19">
      <c r="R51808" s="178"/>
      <c r="S51808" s="178"/>
    </row>
    <row r="51809" spans="18:19">
      <c r="R51809" s="178"/>
      <c r="S51809" s="178"/>
    </row>
    <row r="51810" spans="18:19">
      <c r="R51810" s="178"/>
      <c r="S51810" s="178"/>
    </row>
    <row r="51811" spans="18:19">
      <c r="R51811" s="178"/>
      <c r="S51811" s="178"/>
    </row>
    <row r="51812" spans="18:19">
      <c r="R51812" s="178"/>
      <c r="S51812" s="178"/>
    </row>
    <row r="51813" spans="18:19">
      <c r="R51813" s="178"/>
      <c r="S51813" s="178"/>
    </row>
    <row r="51814" spans="18:19">
      <c r="R51814" s="178"/>
      <c r="S51814" s="178"/>
    </row>
    <row r="51815" spans="18:19">
      <c r="R51815" s="178"/>
      <c r="S51815" s="178"/>
    </row>
    <row r="51816" spans="18:19">
      <c r="R51816" s="178"/>
      <c r="S51816" s="178"/>
    </row>
    <row r="51817" spans="18:19">
      <c r="R51817" s="178"/>
      <c r="S51817" s="178"/>
    </row>
    <row r="51818" spans="18:19">
      <c r="R51818" s="178"/>
      <c r="S51818" s="178"/>
    </row>
    <row r="51819" spans="18:19">
      <c r="R51819" s="178"/>
      <c r="S51819" s="178"/>
    </row>
    <row r="51820" spans="18:19">
      <c r="R51820" s="178"/>
      <c r="S51820" s="178"/>
    </row>
    <row r="51821" spans="18:19">
      <c r="R51821" s="178"/>
      <c r="S51821" s="178"/>
    </row>
    <row r="51822" spans="18:19">
      <c r="R51822" s="178"/>
      <c r="S51822" s="178"/>
    </row>
    <row r="51823" spans="18:19">
      <c r="R51823" s="178"/>
      <c r="S51823" s="178"/>
    </row>
    <row r="51824" spans="18:19">
      <c r="R51824" s="178"/>
      <c r="S51824" s="178"/>
    </row>
    <row r="51825" spans="18:19">
      <c r="R51825" s="178"/>
      <c r="S51825" s="178"/>
    </row>
    <row r="51826" spans="18:19">
      <c r="R51826" s="178"/>
      <c r="S51826" s="178"/>
    </row>
    <row r="51827" spans="18:19">
      <c r="R51827" s="178"/>
      <c r="S51827" s="178"/>
    </row>
    <row r="51828" spans="18:19">
      <c r="R51828" s="178"/>
      <c r="S51828" s="178"/>
    </row>
    <row r="51829" spans="18:19">
      <c r="R51829" s="178"/>
      <c r="S51829" s="178"/>
    </row>
    <row r="51830" spans="18:19">
      <c r="R51830" s="178"/>
      <c r="S51830" s="178"/>
    </row>
    <row r="51831" spans="18:19">
      <c r="R51831" s="178"/>
      <c r="S51831" s="178"/>
    </row>
    <row r="51832" spans="18:19">
      <c r="R51832" s="178"/>
      <c r="S51832" s="178"/>
    </row>
    <row r="51833" spans="18:19">
      <c r="R51833" s="178"/>
      <c r="S51833" s="178"/>
    </row>
    <row r="51834" spans="18:19">
      <c r="R51834" s="178"/>
      <c r="S51834" s="178"/>
    </row>
    <row r="51835" spans="18:19">
      <c r="R51835" s="178"/>
      <c r="S51835" s="178"/>
    </row>
    <row r="51836" spans="18:19">
      <c r="R51836" s="178"/>
      <c r="S51836" s="178"/>
    </row>
    <row r="51837" spans="18:19">
      <c r="R51837" s="178"/>
      <c r="S51837" s="178"/>
    </row>
    <row r="51838" spans="18:19">
      <c r="R51838" s="178"/>
      <c r="S51838" s="178"/>
    </row>
    <row r="51839" spans="18:19">
      <c r="R51839" s="178"/>
      <c r="S51839" s="178"/>
    </row>
    <row r="51840" spans="18:19">
      <c r="R51840" s="178"/>
      <c r="S51840" s="178"/>
    </row>
    <row r="51841" spans="18:19">
      <c r="R51841" s="178"/>
      <c r="S51841" s="178"/>
    </row>
    <row r="51842" spans="18:19">
      <c r="R51842" s="178"/>
      <c r="S51842" s="178"/>
    </row>
    <row r="51843" spans="18:19">
      <c r="R51843" s="178"/>
      <c r="S51843" s="178"/>
    </row>
    <row r="51844" spans="18:19">
      <c r="R51844" s="178"/>
      <c r="S51844" s="178"/>
    </row>
    <row r="51845" spans="18:19">
      <c r="R51845" s="178"/>
      <c r="S51845" s="178"/>
    </row>
    <row r="51846" spans="18:19">
      <c r="R51846" s="178"/>
      <c r="S51846" s="178"/>
    </row>
    <row r="51847" spans="18:19">
      <c r="R51847" s="178"/>
      <c r="S51847" s="178"/>
    </row>
    <row r="51848" spans="18:19">
      <c r="R51848" s="178"/>
      <c r="S51848" s="178"/>
    </row>
    <row r="51849" spans="18:19">
      <c r="R51849" s="178"/>
      <c r="S51849" s="178"/>
    </row>
    <row r="51850" spans="18:19">
      <c r="R51850" s="178"/>
      <c r="S51850" s="178"/>
    </row>
    <row r="51851" spans="18:19">
      <c r="R51851" s="178"/>
      <c r="S51851" s="178"/>
    </row>
    <row r="51852" spans="18:19">
      <c r="R51852" s="178"/>
      <c r="S51852" s="178"/>
    </row>
    <row r="51853" spans="18:19">
      <c r="R51853" s="178"/>
      <c r="S51853" s="178"/>
    </row>
    <row r="51854" spans="18:19">
      <c r="R51854" s="178"/>
      <c r="S51854" s="178"/>
    </row>
    <row r="51855" spans="18:19">
      <c r="R51855" s="178"/>
      <c r="S51855" s="178"/>
    </row>
    <row r="51856" spans="18:19">
      <c r="R51856" s="178"/>
      <c r="S51856" s="178"/>
    </row>
    <row r="51857" spans="18:19">
      <c r="R51857" s="178"/>
      <c r="S51857" s="178"/>
    </row>
    <row r="51858" spans="18:19">
      <c r="R51858" s="178"/>
      <c r="S51858" s="178"/>
    </row>
    <row r="51859" spans="18:19">
      <c r="R51859" s="178"/>
      <c r="S51859" s="178"/>
    </row>
    <row r="51860" spans="18:19">
      <c r="R51860" s="178"/>
      <c r="S51860" s="178"/>
    </row>
    <row r="51861" spans="18:19">
      <c r="R51861" s="178"/>
      <c r="S51861" s="178"/>
    </row>
    <row r="51862" spans="18:19">
      <c r="R51862" s="178"/>
      <c r="S51862" s="178"/>
    </row>
    <row r="51863" spans="18:19">
      <c r="R51863" s="178"/>
      <c r="S51863" s="178"/>
    </row>
    <row r="51864" spans="18:19">
      <c r="R51864" s="178"/>
      <c r="S51864" s="178"/>
    </row>
    <row r="51865" spans="18:19">
      <c r="R51865" s="178"/>
      <c r="S51865" s="178"/>
    </row>
    <row r="51866" spans="18:19">
      <c r="R51866" s="178"/>
      <c r="S51866" s="178"/>
    </row>
    <row r="51867" spans="18:19">
      <c r="R51867" s="178"/>
      <c r="S51867" s="178"/>
    </row>
    <row r="51868" spans="18:19">
      <c r="R51868" s="178"/>
      <c r="S51868" s="178"/>
    </row>
    <row r="51869" spans="18:19">
      <c r="R51869" s="178"/>
      <c r="S51869" s="178"/>
    </row>
    <row r="51870" spans="18:19">
      <c r="R51870" s="178"/>
      <c r="S51870" s="178"/>
    </row>
    <row r="51871" spans="18:19">
      <c r="R51871" s="178"/>
      <c r="S51871" s="178"/>
    </row>
    <row r="51872" spans="18:19">
      <c r="R51872" s="178"/>
      <c r="S51872" s="178"/>
    </row>
    <row r="51873" spans="18:19">
      <c r="R51873" s="178"/>
      <c r="S51873" s="178"/>
    </row>
    <row r="51874" spans="18:19">
      <c r="R51874" s="178"/>
      <c r="S51874" s="178"/>
    </row>
    <row r="51875" spans="18:19">
      <c r="R51875" s="178"/>
      <c r="S51875" s="178"/>
    </row>
    <row r="51876" spans="18:19">
      <c r="R51876" s="178"/>
      <c r="S51876" s="178"/>
    </row>
    <row r="51877" spans="18:19">
      <c r="R51877" s="178"/>
      <c r="S51877" s="178"/>
    </row>
    <row r="51878" spans="18:19">
      <c r="R51878" s="178"/>
      <c r="S51878" s="178"/>
    </row>
    <row r="51879" spans="18:19">
      <c r="R51879" s="178"/>
      <c r="S51879" s="178"/>
    </row>
    <row r="51880" spans="18:19">
      <c r="R51880" s="178"/>
      <c r="S51880" s="178"/>
    </row>
    <row r="51881" spans="18:19">
      <c r="R51881" s="178"/>
      <c r="S51881" s="178"/>
    </row>
    <row r="51882" spans="18:19">
      <c r="R51882" s="178"/>
      <c r="S51882" s="178"/>
    </row>
    <row r="51883" spans="18:19">
      <c r="R51883" s="178"/>
      <c r="S51883" s="178"/>
    </row>
    <row r="51884" spans="18:19">
      <c r="R51884" s="178"/>
      <c r="S51884" s="178"/>
    </row>
    <row r="51885" spans="18:19">
      <c r="R51885" s="178"/>
      <c r="S51885" s="178"/>
    </row>
    <row r="51886" spans="18:19">
      <c r="R51886" s="178"/>
      <c r="S51886" s="178"/>
    </row>
    <row r="51887" spans="18:19">
      <c r="R51887" s="178"/>
      <c r="S51887" s="178"/>
    </row>
    <row r="51888" spans="18:19">
      <c r="R51888" s="178"/>
      <c r="S51888" s="178"/>
    </row>
    <row r="51889" spans="18:19">
      <c r="R51889" s="178"/>
      <c r="S51889" s="178"/>
    </row>
    <row r="51890" spans="18:19">
      <c r="R51890" s="178"/>
      <c r="S51890" s="178"/>
    </row>
    <row r="51891" spans="18:19">
      <c r="R51891" s="178"/>
      <c r="S51891" s="178"/>
    </row>
    <row r="51892" spans="18:19">
      <c r="R51892" s="178"/>
      <c r="S51892" s="178"/>
    </row>
    <row r="51893" spans="18:19">
      <c r="R51893" s="178"/>
      <c r="S51893" s="178"/>
    </row>
    <row r="51894" spans="18:19">
      <c r="R51894" s="178"/>
      <c r="S51894" s="178"/>
    </row>
    <row r="51895" spans="18:19">
      <c r="R51895" s="178"/>
      <c r="S51895" s="178"/>
    </row>
    <row r="51896" spans="18:19">
      <c r="R51896" s="178"/>
      <c r="S51896" s="178"/>
    </row>
    <row r="51897" spans="18:19">
      <c r="R51897" s="178"/>
      <c r="S51897" s="178"/>
    </row>
    <row r="51898" spans="18:19">
      <c r="R51898" s="178"/>
      <c r="S51898" s="178"/>
    </row>
    <row r="51899" spans="18:19">
      <c r="R51899" s="178"/>
      <c r="S51899" s="178"/>
    </row>
    <row r="51900" spans="18:19">
      <c r="R51900" s="178"/>
      <c r="S51900" s="178"/>
    </row>
    <row r="51901" spans="18:19">
      <c r="R51901" s="178"/>
      <c r="S51901" s="178"/>
    </row>
    <row r="51902" spans="18:19">
      <c r="R51902" s="178"/>
      <c r="S51902" s="178"/>
    </row>
    <row r="51903" spans="18:19">
      <c r="R51903" s="178"/>
      <c r="S51903" s="178"/>
    </row>
    <row r="51904" spans="18:19">
      <c r="R51904" s="178"/>
      <c r="S51904" s="178"/>
    </row>
    <row r="51905" spans="18:19">
      <c r="R51905" s="178"/>
      <c r="S51905" s="178"/>
    </row>
    <row r="51906" spans="18:19">
      <c r="R51906" s="178"/>
      <c r="S51906" s="178"/>
    </row>
    <row r="51907" spans="18:19">
      <c r="R51907" s="178"/>
      <c r="S51907" s="178"/>
    </row>
    <row r="51908" spans="18:19">
      <c r="R51908" s="178"/>
      <c r="S51908" s="178"/>
    </row>
    <row r="51909" spans="18:19">
      <c r="R51909" s="178"/>
      <c r="S51909" s="178"/>
    </row>
    <row r="51910" spans="18:19">
      <c r="R51910" s="178"/>
      <c r="S51910" s="178"/>
    </row>
    <row r="51911" spans="18:19">
      <c r="R51911" s="178"/>
      <c r="S51911" s="178"/>
    </row>
    <row r="51912" spans="18:19">
      <c r="R51912" s="178"/>
      <c r="S51912" s="178"/>
    </row>
    <row r="51913" spans="18:19">
      <c r="R51913" s="178"/>
      <c r="S51913" s="178"/>
    </row>
    <row r="51914" spans="18:19">
      <c r="R51914" s="178"/>
      <c r="S51914" s="178"/>
    </row>
    <row r="51915" spans="18:19">
      <c r="R51915" s="178"/>
      <c r="S51915" s="178"/>
    </row>
    <row r="51916" spans="18:19">
      <c r="R51916" s="178"/>
      <c r="S51916" s="178"/>
    </row>
    <row r="51917" spans="18:19">
      <c r="R51917" s="178"/>
      <c r="S51917" s="178"/>
    </row>
    <row r="51918" spans="18:19">
      <c r="R51918" s="178"/>
      <c r="S51918" s="178"/>
    </row>
    <row r="51919" spans="18:19">
      <c r="R51919" s="178"/>
      <c r="S51919" s="178"/>
    </row>
    <row r="51920" spans="18:19">
      <c r="R51920" s="178"/>
      <c r="S51920" s="178"/>
    </row>
    <row r="51921" spans="18:19">
      <c r="R51921" s="178"/>
      <c r="S51921" s="178"/>
    </row>
    <row r="51922" spans="18:19">
      <c r="R51922" s="178"/>
      <c r="S51922" s="178"/>
    </row>
    <row r="51923" spans="18:19">
      <c r="R51923" s="178"/>
      <c r="S51923" s="178"/>
    </row>
    <row r="51924" spans="18:19">
      <c r="R51924" s="178"/>
      <c r="S51924" s="178"/>
    </row>
    <row r="51925" spans="18:19">
      <c r="R51925" s="178"/>
      <c r="S51925" s="178"/>
    </row>
    <row r="51926" spans="18:19">
      <c r="R51926" s="178"/>
      <c r="S51926" s="178"/>
    </row>
    <row r="51927" spans="18:19">
      <c r="R51927" s="178"/>
      <c r="S51927" s="178"/>
    </row>
    <row r="51928" spans="18:19">
      <c r="R51928" s="178"/>
      <c r="S51928" s="178"/>
    </row>
    <row r="51929" spans="18:19">
      <c r="R51929" s="178"/>
      <c r="S51929" s="178"/>
    </row>
    <row r="51930" spans="18:19">
      <c r="R51930" s="178"/>
      <c r="S51930" s="178"/>
    </row>
    <row r="51931" spans="18:19">
      <c r="R51931" s="178"/>
      <c r="S51931" s="178"/>
    </row>
    <row r="51932" spans="18:19">
      <c r="R51932" s="178"/>
      <c r="S51932" s="178"/>
    </row>
    <row r="51933" spans="18:19">
      <c r="R51933" s="178"/>
      <c r="S51933" s="178"/>
    </row>
    <row r="51934" spans="18:19">
      <c r="R51934" s="178"/>
      <c r="S51934" s="178"/>
    </row>
    <row r="51935" spans="18:19">
      <c r="R51935" s="178"/>
      <c r="S51935" s="178"/>
    </row>
    <row r="51936" spans="18:19">
      <c r="R51936" s="178"/>
      <c r="S51936" s="178"/>
    </row>
    <row r="51937" spans="18:19">
      <c r="R51937" s="178"/>
      <c r="S51937" s="178"/>
    </row>
    <row r="51938" spans="18:19">
      <c r="R51938" s="178"/>
      <c r="S51938" s="178"/>
    </row>
    <row r="51939" spans="18:19">
      <c r="R51939" s="178"/>
      <c r="S51939" s="178"/>
    </row>
    <row r="51940" spans="18:19">
      <c r="R51940" s="178"/>
      <c r="S51940" s="178"/>
    </row>
    <row r="51941" spans="18:19">
      <c r="R51941" s="178"/>
      <c r="S51941" s="178"/>
    </row>
    <row r="51942" spans="18:19">
      <c r="R51942" s="178"/>
      <c r="S51942" s="178"/>
    </row>
    <row r="51943" spans="18:19">
      <c r="R51943" s="178"/>
      <c r="S51943" s="178"/>
    </row>
    <row r="51944" spans="18:19">
      <c r="R51944" s="178"/>
      <c r="S51944" s="178"/>
    </row>
    <row r="51945" spans="18:19">
      <c r="R51945" s="178"/>
      <c r="S51945" s="178"/>
    </row>
    <row r="51946" spans="18:19">
      <c r="R51946" s="178"/>
      <c r="S51946" s="178"/>
    </row>
    <row r="51947" spans="18:19">
      <c r="R51947" s="178"/>
      <c r="S51947" s="178"/>
    </row>
    <row r="51948" spans="18:19">
      <c r="R51948" s="178"/>
      <c r="S51948" s="178"/>
    </row>
    <row r="51949" spans="18:19">
      <c r="R51949" s="178"/>
      <c r="S51949" s="178"/>
    </row>
    <row r="51950" spans="18:19">
      <c r="R51950" s="178"/>
      <c r="S51950" s="178"/>
    </row>
    <row r="51951" spans="18:19">
      <c r="R51951" s="178"/>
      <c r="S51951" s="178"/>
    </row>
    <row r="51952" spans="18:19">
      <c r="R51952" s="178"/>
      <c r="S51952" s="178"/>
    </row>
    <row r="51953" spans="18:19">
      <c r="R51953" s="178"/>
      <c r="S51953" s="178"/>
    </row>
    <row r="51954" spans="18:19">
      <c r="R51954" s="178"/>
      <c r="S51954" s="178"/>
    </row>
    <row r="51955" spans="18:19">
      <c r="R51955" s="178"/>
      <c r="S51955" s="178"/>
    </row>
    <row r="51956" spans="18:19">
      <c r="R51956" s="178"/>
      <c r="S51956" s="178"/>
    </row>
    <row r="51957" spans="18:19">
      <c r="R51957" s="178"/>
      <c r="S51957" s="178"/>
    </row>
    <row r="51958" spans="18:19">
      <c r="R51958" s="178"/>
      <c r="S51958" s="178"/>
    </row>
    <row r="51959" spans="18:19">
      <c r="R51959" s="178"/>
      <c r="S51959" s="178"/>
    </row>
    <row r="51960" spans="18:19">
      <c r="R51960" s="178"/>
      <c r="S51960" s="178"/>
    </row>
    <row r="51961" spans="18:19">
      <c r="R51961" s="178"/>
      <c r="S51961" s="178"/>
    </row>
    <row r="51962" spans="18:19">
      <c r="R51962" s="178"/>
      <c r="S51962" s="178"/>
    </row>
    <row r="51963" spans="18:19">
      <c r="R51963" s="178"/>
      <c r="S51963" s="178"/>
    </row>
    <row r="51964" spans="18:19">
      <c r="R51964" s="178"/>
      <c r="S51964" s="178"/>
    </row>
    <row r="51965" spans="18:19">
      <c r="R51965" s="178"/>
      <c r="S51965" s="178"/>
    </row>
    <row r="51966" spans="18:19">
      <c r="R51966" s="178"/>
      <c r="S51966" s="178"/>
    </row>
    <row r="51967" spans="18:19">
      <c r="R51967" s="178"/>
      <c r="S51967" s="178"/>
    </row>
    <row r="51968" spans="18:19">
      <c r="R51968" s="178"/>
      <c r="S51968" s="178"/>
    </row>
    <row r="51969" spans="18:19">
      <c r="R51969" s="178"/>
      <c r="S51969" s="178"/>
    </row>
    <row r="51970" spans="18:19">
      <c r="R51970" s="178"/>
      <c r="S51970" s="178"/>
    </row>
    <row r="51971" spans="18:19">
      <c r="R51971" s="178"/>
      <c r="S51971" s="178"/>
    </row>
    <row r="51972" spans="18:19">
      <c r="R51972" s="178"/>
      <c r="S51972" s="178"/>
    </row>
    <row r="51973" spans="18:19">
      <c r="R51973" s="178"/>
      <c r="S51973" s="178"/>
    </row>
    <row r="51974" spans="18:19">
      <c r="R51974" s="178"/>
      <c r="S51974" s="178"/>
    </row>
    <row r="51975" spans="18:19">
      <c r="R51975" s="178"/>
      <c r="S51975" s="178"/>
    </row>
    <row r="51976" spans="18:19">
      <c r="R51976" s="178"/>
      <c r="S51976" s="178"/>
    </row>
    <row r="51977" spans="18:19">
      <c r="R51977" s="178"/>
      <c r="S51977" s="178"/>
    </row>
    <row r="51978" spans="18:19">
      <c r="R51978" s="178"/>
      <c r="S51978" s="178"/>
    </row>
    <row r="51979" spans="18:19">
      <c r="R51979" s="178"/>
      <c r="S51979" s="178"/>
    </row>
    <row r="51980" spans="18:19">
      <c r="R51980" s="178"/>
      <c r="S51980" s="178"/>
    </row>
    <row r="51981" spans="18:19">
      <c r="R51981" s="178"/>
      <c r="S51981" s="178"/>
    </row>
    <row r="51982" spans="18:19">
      <c r="R51982" s="178"/>
      <c r="S51982" s="178"/>
    </row>
    <row r="51983" spans="18:19">
      <c r="R51983" s="178"/>
      <c r="S51983" s="178"/>
    </row>
    <row r="51984" spans="18:19">
      <c r="R51984" s="178"/>
      <c r="S51984" s="178"/>
    </row>
    <row r="51985" spans="18:19">
      <c r="R51985" s="178"/>
      <c r="S51985" s="178"/>
    </row>
    <row r="51986" spans="18:19">
      <c r="R51986" s="178"/>
      <c r="S51986" s="178"/>
    </row>
    <row r="51987" spans="18:19">
      <c r="R51987" s="178"/>
      <c r="S51987" s="178"/>
    </row>
    <row r="51988" spans="18:19">
      <c r="R51988" s="178"/>
      <c r="S51988" s="178"/>
    </row>
    <row r="51989" spans="18:19">
      <c r="R51989" s="178"/>
      <c r="S51989" s="178"/>
    </row>
    <row r="51990" spans="18:19">
      <c r="R51990" s="178"/>
      <c r="S51990" s="178"/>
    </row>
    <row r="51991" spans="18:19">
      <c r="R51991" s="178"/>
      <c r="S51991" s="178"/>
    </row>
    <row r="51992" spans="18:19">
      <c r="R51992" s="178"/>
      <c r="S51992" s="178"/>
    </row>
    <row r="51993" spans="18:19">
      <c r="R51993" s="178"/>
      <c r="S51993" s="178"/>
    </row>
    <row r="51994" spans="18:19">
      <c r="R51994" s="178"/>
      <c r="S51994" s="178"/>
    </row>
    <row r="51995" spans="18:19">
      <c r="R51995" s="178"/>
      <c r="S51995" s="178"/>
    </row>
    <row r="51996" spans="18:19">
      <c r="R51996" s="178"/>
      <c r="S51996" s="178"/>
    </row>
    <row r="51997" spans="18:19">
      <c r="R51997" s="178"/>
      <c r="S51997" s="178"/>
    </row>
    <row r="51998" spans="18:19">
      <c r="R51998" s="178"/>
      <c r="S51998" s="178"/>
    </row>
    <row r="51999" spans="18:19">
      <c r="R51999" s="178"/>
      <c r="S51999" s="178"/>
    </row>
    <row r="52000" spans="18:19">
      <c r="R52000" s="178"/>
      <c r="S52000" s="178"/>
    </row>
    <row r="52001" spans="18:19">
      <c r="R52001" s="178"/>
      <c r="S52001" s="178"/>
    </row>
    <row r="52002" spans="18:19">
      <c r="R52002" s="178"/>
      <c r="S52002" s="178"/>
    </row>
    <row r="52003" spans="18:19">
      <c r="R52003" s="178"/>
      <c r="S52003" s="178"/>
    </row>
    <row r="52004" spans="18:19">
      <c r="R52004" s="178"/>
      <c r="S52004" s="178"/>
    </row>
    <row r="52005" spans="18:19">
      <c r="R52005" s="178"/>
      <c r="S52005" s="178"/>
    </row>
    <row r="52006" spans="18:19">
      <c r="R52006" s="178"/>
      <c r="S52006" s="178"/>
    </row>
    <row r="52007" spans="18:19">
      <c r="R52007" s="178"/>
      <c r="S52007" s="178"/>
    </row>
    <row r="52008" spans="18:19">
      <c r="R52008" s="178"/>
      <c r="S52008" s="178"/>
    </row>
    <row r="52009" spans="18:19">
      <c r="R52009" s="178"/>
      <c r="S52009" s="178"/>
    </row>
    <row r="52010" spans="18:19">
      <c r="R52010" s="178"/>
      <c r="S52010" s="178"/>
    </row>
    <row r="52011" spans="18:19">
      <c r="R52011" s="178"/>
      <c r="S52011" s="178"/>
    </row>
    <row r="52012" spans="18:19">
      <c r="R52012" s="178"/>
      <c r="S52012" s="178"/>
    </row>
    <row r="52013" spans="18:19">
      <c r="R52013" s="178"/>
      <c r="S52013" s="178"/>
    </row>
    <row r="52014" spans="18:19">
      <c r="R52014" s="178"/>
      <c r="S52014" s="178"/>
    </row>
    <row r="52015" spans="18:19">
      <c r="R52015" s="178"/>
      <c r="S52015" s="178"/>
    </row>
    <row r="52016" spans="18:19">
      <c r="R52016" s="178"/>
      <c r="S52016" s="178"/>
    </row>
    <row r="52017" spans="18:19">
      <c r="R52017" s="178"/>
      <c r="S52017" s="178"/>
    </row>
    <row r="52018" spans="18:19">
      <c r="R52018" s="178"/>
      <c r="S52018" s="178"/>
    </row>
    <row r="52019" spans="18:19">
      <c r="R52019" s="178"/>
      <c r="S52019" s="178"/>
    </row>
    <row r="52020" spans="18:19">
      <c r="R52020" s="178"/>
      <c r="S52020" s="178"/>
    </row>
    <row r="52021" spans="18:19">
      <c r="R52021" s="178"/>
      <c r="S52021" s="178"/>
    </row>
    <row r="52022" spans="18:19">
      <c r="R52022" s="178"/>
      <c r="S52022" s="178"/>
    </row>
    <row r="52023" spans="18:19">
      <c r="R52023" s="178"/>
      <c r="S52023" s="178"/>
    </row>
    <row r="52024" spans="18:19">
      <c r="R52024" s="178"/>
      <c r="S52024" s="178"/>
    </row>
    <row r="52025" spans="18:19">
      <c r="R52025" s="178"/>
      <c r="S52025" s="178"/>
    </row>
    <row r="52026" spans="18:19">
      <c r="R52026" s="178"/>
      <c r="S52026" s="178"/>
    </row>
    <row r="52027" spans="18:19">
      <c r="R52027" s="178"/>
      <c r="S52027" s="178"/>
    </row>
    <row r="52028" spans="18:19">
      <c r="R52028" s="178"/>
      <c r="S52028" s="178"/>
    </row>
    <row r="52029" spans="18:19">
      <c r="R52029" s="178"/>
      <c r="S52029" s="178"/>
    </row>
    <row r="52030" spans="18:19">
      <c r="R52030" s="178"/>
      <c r="S52030" s="178"/>
    </row>
    <row r="52031" spans="18:19">
      <c r="R52031" s="178"/>
      <c r="S52031" s="178"/>
    </row>
    <row r="52032" spans="18:19">
      <c r="R52032" s="178"/>
      <c r="S52032" s="178"/>
    </row>
    <row r="52033" spans="18:19">
      <c r="R52033" s="178"/>
      <c r="S52033" s="178"/>
    </row>
    <row r="52034" spans="18:19">
      <c r="R52034" s="178"/>
      <c r="S52034" s="178"/>
    </row>
    <row r="52035" spans="18:19">
      <c r="R52035" s="178"/>
      <c r="S52035" s="178"/>
    </row>
    <row r="52036" spans="18:19">
      <c r="R52036" s="178"/>
      <c r="S52036" s="178"/>
    </row>
    <row r="52037" spans="18:19">
      <c r="R52037" s="178"/>
      <c r="S52037" s="178"/>
    </row>
    <row r="52038" spans="18:19">
      <c r="R52038" s="178"/>
      <c r="S52038" s="178"/>
    </row>
    <row r="52039" spans="18:19">
      <c r="R52039" s="178"/>
      <c r="S52039" s="178"/>
    </row>
    <row r="52040" spans="18:19">
      <c r="R52040" s="178"/>
      <c r="S52040" s="178"/>
    </row>
    <row r="52041" spans="18:19">
      <c r="R52041" s="178"/>
      <c r="S52041" s="178"/>
    </row>
    <row r="52042" spans="18:19">
      <c r="R52042" s="178"/>
      <c r="S52042" s="178"/>
    </row>
    <row r="52043" spans="18:19">
      <c r="R52043" s="178"/>
      <c r="S52043" s="178"/>
    </row>
    <row r="52044" spans="18:19">
      <c r="R52044" s="178"/>
      <c r="S52044" s="178"/>
    </row>
    <row r="52045" spans="18:19">
      <c r="R52045" s="178"/>
      <c r="S52045" s="178"/>
    </row>
    <row r="52046" spans="18:19">
      <c r="R52046" s="178"/>
      <c r="S52046" s="178"/>
    </row>
    <row r="52047" spans="18:19">
      <c r="R52047" s="178"/>
      <c r="S52047" s="178"/>
    </row>
    <row r="52048" spans="18:19">
      <c r="R52048" s="178"/>
      <c r="S52048" s="178"/>
    </row>
    <row r="52049" spans="18:19">
      <c r="R52049" s="178"/>
      <c r="S52049" s="178"/>
    </row>
    <row r="52050" spans="18:19">
      <c r="R52050" s="178"/>
      <c r="S52050" s="178"/>
    </row>
    <row r="52051" spans="18:19">
      <c r="R52051" s="178"/>
      <c r="S52051" s="178"/>
    </row>
    <row r="52052" spans="18:19">
      <c r="R52052" s="178"/>
      <c r="S52052" s="178"/>
    </row>
    <row r="52053" spans="18:19">
      <c r="R52053" s="178"/>
      <c r="S52053" s="178"/>
    </row>
    <row r="52054" spans="18:19">
      <c r="R52054" s="178"/>
      <c r="S52054" s="178"/>
    </row>
    <row r="52055" spans="18:19">
      <c r="R52055" s="178"/>
      <c r="S52055" s="178"/>
    </row>
    <row r="52056" spans="18:19">
      <c r="R52056" s="178"/>
      <c r="S52056" s="178"/>
    </row>
    <row r="52057" spans="18:19">
      <c r="R52057" s="178"/>
      <c r="S52057" s="178"/>
    </row>
    <row r="52058" spans="18:19">
      <c r="R52058" s="178"/>
      <c r="S52058" s="178"/>
    </row>
    <row r="52059" spans="18:19">
      <c r="R52059" s="178"/>
      <c r="S52059" s="178"/>
    </row>
    <row r="52060" spans="18:19">
      <c r="R52060" s="178"/>
      <c r="S52060" s="178"/>
    </row>
    <row r="52061" spans="18:19">
      <c r="R52061" s="178"/>
      <c r="S52061" s="178"/>
    </row>
    <row r="52062" spans="18:19">
      <c r="R52062" s="178"/>
      <c r="S52062" s="178"/>
    </row>
    <row r="52063" spans="18:19">
      <c r="R52063" s="178"/>
      <c r="S52063" s="178"/>
    </row>
    <row r="52064" spans="18:19">
      <c r="R52064" s="178"/>
      <c r="S52064" s="178"/>
    </row>
    <row r="52065" spans="18:19">
      <c r="R52065" s="178"/>
      <c r="S52065" s="178"/>
    </row>
    <row r="52066" spans="18:19">
      <c r="R52066" s="178"/>
      <c r="S52066" s="178"/>
    </row>
    <row r="52067" spans="18:19">
      <c r="R52067" s="178"/>
      <c r="S52067" s="178"/>
    </row>
    <row r="52068" spans="18:19">
      <c r="R52068" s="178"/>
      <c r="S52068" s="178"/>
    </row>
    <row r="52069" spans="18:19">
      <c r="R52069" s="178"/>
      <c r="S52069" s="178"/>
    </row>
    <row r="52070" spans="18:19">
      <c r="R52070" s="178"/>
      <c r="S52070" s="178"/>
    </row>
    <row r="52071" spans="18:19">
      <c r="R52071" s="178"/>
      <c r="S52071" s="178"/>
    </row>
    <row r="52072" spans="18:19">
      <c r="R52072" s="178"/>
      <c r="S52072" s="178"/>
    </row>
    <row r="52073" spans="18:19">
      <c r="R52073" s="178"/>
      <c r="S52073" s="178"/>
    </row>
    <row r="52074" spans="18:19">
      <c r="R52074" s="178"/>
      <c r="S52074" s="178"/>
    </row>
    <row r="52075" spans="18:19">
      <c r="R52075" s="178"/>
      <c r="S52075" s="178"/>
    </row>
    <row r="52076" spans="18:19">
      <c r="R52076" s="178"/>
      <c r="S52076" s="178"/>
    </row>
    <row r="52077" spans="18:19">
      <c r="R52077" s="178"/>
      <c r="S52077" s="178"/>
    </row>
    <row r="52078" spans="18:19">
      <c r="R52078" s="178"/>
      <c r="S52078" s="178"/>
    </row>
    <row r="52079" spans="18:19">
      <c r="R52079" s="178"/>
      <c r="S52079" s="178"/>
    </row>
    <row r="52080" spans="18:19">
      <c r="R52080" s="178"/>
      <c r="S52080" s="178"/>
    </row>
    <row r="52081" spans="18:19">
      <c r="R52081" s="178"/>
      <c r="S52081" s="178"/>
    </row>
    <row r="52082" spans="18:19">
      <c r="R52082" s="178"/>
      <c r="S52082" s="178"/>
    </row>
    <row r="52083" spans="18:19">
      <c r="R52083" s="178"/>
      <c r="S52083" s="178"/>
    </row>
    <row r="52084" spans="18:19">
      <c r="R52084" s="178"/>
      <c r="S52084" s="178"/>
    </row>
    <row r="52085" spans="18:19">
      <c r="R52085" s="178"/>
      <c r="S52085" s="178"/>
    </row>
    <row r="52086" spans="18:19">
      <c r="R52086" s="178"/>
      <c r="S52086" s="178"/>
    </row>
    <row r="52087" spans="18:19">
      <c r="R52087" s="178"/>
      <c r="S52087" s="178"/>
    </row>
    <row r="52088" spans="18:19">
      <c r="R52088" s="178"/>
      <c r="S52088" s="178"/>
    </row>
    <row r="52089" spans="18:19">
      <c r="R52089" s="178"/>
      <c r="S52089" s="178"/>
    </row>
    <row r="52090" spans="18:19">
      <c r="R52090" s="178"/>
      <c r="S52090" s="178"/>
    </row>
    <row r="52091" spans="18:19">
      <c r="R52091" s="178"/>
      <c r="S52091" s="178"/>
    </row>
    <row r="52092" spans="18:19">
      <c r="R52092" s="178"/>
      <c r="S52092" s="178"/>
    </row>
    <row r="52093" spans="18:19">
      <c r="R52093" s="178"/>
      <c r="S52093" s="178"/>
    </row>
    <row r="52094" spans="18:19">
      <c r="R52094" s="178"/>
      <c r="S52094" s="178"/>
    </row>
    <row r="52095" spans="18:19">
      <c r="R52095" s="178"/>
      <c r="S52095" s="178"/>
    </row>
    <row r="52096" spans="18:19">
      <c r="R52096" s="178"/>
      <c r="S52096" s="178"/>
    </row>
    <row r="52097" spans="18:19">
      <c r="R52097" s="178"/>
      <c r="S52097" s="178"/>
    </row>
    <row r="52098" spans="18:19">
      <c r="R52098" s="178"/>
      <c r="S52098" s="178"/>
    </row>
    <row r="52099" spans="18:19">
      <c r="R52099" s="178"/>
      <c r="S52099" s="178"/>
    </row>
    <row r="52100" spans="18:19">
      <c r="R52100" s="178"/>
      <c r="S52100" s="178"/>
    </row>
    <row r="52101" spans="18:19">
      <c r="R52101" s="178"/>
      <c r="S52101" s="178"/>
    </row>
    <row r="52102" spans="18:19">
      <c r="R52102" s="178"/>
      <c r="S52102" s="178"/>
    </row>
    <row r="52103" spans="18:19">
      <c r="R52103" s="178"/>
      <c r="S52103" s="178"/>
    </row>
    <row r="52104" spans="18:19">
      <c r="R52104" s="178"/>
      <c r="S52104" s="178"/>
    </row>
    <row r="52105" spans="18:19">
      <c r="R52105" s="178"/>
      <c r="S52105" s="178"/>
    </row>
    <row r="52106" spans="18:19">
      <c r="R52106" s="178"/>
      <c r="S52106" s="178"/>
    </row>
    <row r="52107" spans="18:19">
      <c r="R52107" s="178"/>
      <c r="S52107" s="178"/>
    </row>
    <row r="52108" spans="18:19">
      <c r="R52108" s="178"/>
      <c r="S52108" s="178"/>
    </row>
    <row r="52109" spans="18:19">
      <c r="R52109" s="178"/>
      <c r="S52109" s="178"/>
    </row>
    <row r="52110" spans="18:19">
      <c r="R52110" s="178"/>
      <c r="S52110" s="178"/>
    </row>
    <row r="52111" spans="18:19">
      <c r="R52111" s="178"/>
      <c r="S52111" s="178"/>
    </row>
    <row r="52112" spans="18:19">
      <c r="R52112" s="178"/>
      <c r="S52112" s="178"/>
    </row>
    <row r="52113" spans="18:19">
      <c r="R52113" s="178"/>
      <c r="S52113" s="178"/>
    </row>
    <row r="52114" spans="18:19">
      <c r="R52114" s="178"/>
      <c r="S52114" s="178"/>
    </row>
    <row r="52115" spans="18:19">
      <c r="R52115" s="178"/>
      <c r="S52115" s="178"/>
    </row>
    <row r="52116" spans="18:19">
      <c r="R52116" s="178"/>
      <c r="S52116" s="178"/>
    </row>
    <row r="52117" spans="18:19">
      <c r="R52117" s="178"/>
      <c r="S52117" s="178"/>
    </row>
    <row r="52118" spans="18:19">
      <c r="R52118" s="178"/>
      <c r="S52118" s="178"/>
    </row>
    <row r="52119" spans="18:19">
      <c r="R52119" s="178"/>
      <c r="S52119" s="178"/>
    </row>
    <row r="52120" spans="18:19">
      <c r="R52120" s="178"/>
      <c r="S52120" s="178"/>
    </row>
    <row r="52121" spans="18:19">
      <c r="R52121" s="178"/>
      <c r="S52121" s="178"/>
    </row>
    <row r="52122" spans="18:19">
      <c r="R52122" s="178"/>
      <c r="S52122" s="178"/>
    </row>
    <row r="52123" spans="18:19">
      <c r="R52123" s="178"/>
      <c r="S52123" s="178"/>
    </row>
    <row r="52124" spans="18:19">
      <c r="R52124" s="178"/>
      <c r="S52124" s="178"/>
    </row>
    <row r="52125" spans="18:19">
      <c r="R52125" s="178"/>
      <c r="S52125" s="178"/>
    </row>
    <row r="52126" spans="18:19">
      <c r="R52126" s="178"/>
      <c r="S52126" s="178"/>
    </row>
    <row r="52127" spans="18:19">
      <c r="R52127" s="178"/>
      <c r="S52127" s="178"/>
    </row>
    <row r="52128" spans="18:19">
      <c r="R52128" s="178"/>
      <c r="S52128" s="178"/>
    </row>
    <row r="52129" spans="18:19">
      <c r="R52129" s="178"/>
      <c r="S52129" s="178"/>
    </row>
    <row r="52130" spans="18:19">
      <c r="R52130" s="178"/>
      <c r="S52130" s="178"/>
    </row>
    <row r="52131" spans="18:19">
      <c r="R52131" s="178"/>
      <c r="S52131" s="178"/>
    </row>
    <row r="52132" spans="18:19">
      <c r="R52132" s="178"/>
      <c r="S52132" s="178"/>
    </row>
    <row r="52133" spans="18:19">
      <c r="R52133" s="178"/>
      <c r="S52133" s="178"/>
    </row>
    <row r="52134" spans="18:19">
      <c r="R52134" s="178"/>
      <c r="S52134" s="178"/>
    </row>
    <row r="52135" spans="18:19">
      <c r="R52135" s="178"/>
      <c r="S52135" s="178"/>
    </row>
    <row r="52136" spans="18:19">
      <c r="R52136" s="178"/>
      <c r="S52136" s="178"/>
    </row>
    <row r="52137" spans="18:19">
      <c r="R52137" s="178"/>
      <c r="S52137" s="178"/>
    </row>
    <row r="52138" spans="18:19">
      <c r="R52138" s="178"/>
      <c r="S52138" s="178"/>
    </row>
    <row r="52139" spans="18:19">
      <c r="R52139" s="178"/>
      <c r="S52139" s="178"/>
    </row>
    <row r="52140" spans="18:19">
      <c r="R52140" s="178"/>
      <c r="S52140" s="178"/>
    </row>
    <row r="52141" spans="18:19">
      <c r="R52141" s="178"/>
      <c r="S52141" s="178"/>
    </row>
    <row r="52142" spans="18:19">
      <c r="R52142" s="178"/>
      <c r="S52142" s="178"/>
    </row>
    <row r="52143" spans="18:19">
      <c r="R52143" s="178"/>
      <c r="S52143" s="178"/>
    </row>
    <row r="52144" spans="18:19">
      <c r="R52144" s="178"/>
      <c r="S52144" s="178"/>
    </row>
    <row r="52145" spans="18:19">
      <c r="R52145" s="178"/>
      <c r="S52145" s="178"/>
    </row>
    <row r="52146" spans="18:19">
      <c r="R52146" s="178"/>
      <c r="S52146" s="178"/>
    </row>
    <row r="52147" spans="18:19">
      <c r="R52147" s="178"/>
      <c r="S52147" s="178"/>
    </row>
    <row r="52148" spans="18:19">
      <c r="R52148" s="178"/>
      <c r="S52148" s="178"/>
    </row>
    <row r="52149" spans="18:19">
      <c r="R52149" s="178"/>
      <c r="S52149" s="178"/>
    </row>
    <row r="52150" spans="18:19">
      <c r="R52150" s="178"/>
      <c r="S52150" s="178"/>
    </row>
    <row r="52151" spans="18:19">
      <c r="R52151" s="178"/>
      <c r="S52151" s="178"/>
    </row>
    <row r="52152" spans="18:19">
      <c r="R52152" s="178"/>
      <c r="S52152" s="178"/>
    </row>
    <row r="52153" spans="18:19">
      <c r="R52153" s="178"/>
      <c r="S52153" s="178"/>
    </row>
    <row r="52154" spans="18:19">
      <c r="R52154" s="178"/>
      <c r="S52154" s="178"/>
    </row>
    <row r="52155" spans="18:19">
      <c r="R52155" s="178"/>
      <c r="S52155" s="178"/>
    </row>
    <row r="52156" spans="18:19">
      <c r="R52156" s="178"/>
      <c r="S52156" s="178"/>
    </row>
    <row r="52157" spans="18:19">
      <c r="R52157" s="178"/>
      <c r="S52157" s="178"/>
    </row>
    <row r="52158" spans="18:19">
      <c r="R52158" s="178"/>
      <c r="S52158" s="178"/>
    </row>
    <row r="52159" spans="18:19">
      <c r="R52159" s="178"/>
      <c r="S52159" s="178"/>
    </row>
    <row r="52160" spans="18:19">
      <c r="R52160" s="178"/>
      <c r="S52160" s="178"/>
    </row>
    <row r="52161" spans="18:19">
      <c r="R52161" s="178"/>
      <c r="S52161" s="178"/>
    </row>
    <row r="52162" spans="18:19">
      <c r="R52162" s="178"/>
      <c r="S52162" s="178"/>
    </row>
    <row r="52163" spans="18:19">
      <c r="R52163" s="178"/>
      <c r="S52163" s="178"/>
    </row>
    <row r="52164" spans="18:19">
      <c r="R52164" s="178"/>
      <c r="S52164" s="178"/>
    </row>
    <row r="52165" spans="18:19">
      <c r="R52165" s="178"/>
      <c r="S52165" s="178"/>
    </row>
    <row r="52166" spans="18:19">
      <c r="R52166" s="178"/>
      <c r="S52166" s="178"/>
    </row>
    <row r="52167" spans="18:19">
      <c r="R52167" s="178"/>
      <c r="S52167" s="178"/>
    </row>
    <row r="52168" spans="18:19">
      <c r="R52168" s="178"/>
      <c r="S52168" s="178"/>
    </row>
    <row r="52169" spans="18:19">
      <c r="R52169" s="178"/>
      <c r="S52169" s="178"/>
    </row>
    <row r="52170" spans="18:19">
      <c r="R52170" s="178"/>
      <c r="S52170" s="178"/>
    </row>
    <row r="52171" spans="18:19">
      <c r="R52171" s="178"/>
      <c r="S52171" s="178"/>
    </row>
    <row r="52172" spans="18:19">
      <c r="R52172" s="178"/>
      <c r="S52172" s="178"/>
    </row>
    <row r="52173" spans="18:19">
      <c r="R52173" s="178"/>
      <c r="S52173" s="178"/>
    </row>
    <row r="52174" spans="18:19">
      <c r="R52174" s="178"/>
      <c r="S52174" s="178"/>
    </row>
    <row r="52175" spans="18:19">
      <c r="R52175" s="178"/>
      <c r="S52175" s="178"/>
    </row>
    <row r="52176" spans="18:19">
      <c r="R52176" s="178"/>
      <c r="S52176" s="178"/>
    </row>
    <row r="52177" spans="18:19">
      <c r="R52177" s="178"/>
      <c r="S52177" s="178"/>
    </row>
    <row r="52178" spans="18:19">
      <c r="R52178" s="178"/>
      <c r="S52178" s="178"/>
    </row>
    <row r="52179" spans="18:19">
      <c r="R52179" s="178"/>
      <c r="S52179" s="178"/>
    </row>
    <row r="52180" spans="18:19">
      <c r="R52180" s="178"/>
      <c r="S52180" s="178"/>
    </row>
    <row r="52181" spans="18:19">
      <c r="R52181" s="178"/>
      <c r="S52181" s="178"/>
    </row>
    <row r="52182" spans="18:19">
      <c r="R52182" s="178"/>
      <c r="S52182" s="178"/>
    </row>
    <row r="52183" spans="18:19">
      <c r="R52183" s="178"/>
      <c r="S52183" s="178"/>
    </row>
    <row r="52184" spans="18:19">
      <c r="R52184" s="178"/>
      <c r="S52184" s="178"/>
    </row>
    <row r="52185" spans="18:19">
      <c r="R52185" s="178"/>
      <c r="S52185" s="178"/>
    </row>
    <row r="52186" spans="18:19">
      <c r="R52186" s="178"/>
      <c r="S52186" s="178"/>
    </row>
    <row r="52187" spans="18:19">
      <c r="R52187" s="178"/>
      <c r="S52187" s="178"/>
    </row>
    <row r="52188" spans="18:19">
      <c r="R52188" s="178"/>
      <c r="S52188" s="178"/>
    </row>
    <row r="52189" spans="18:19">
      <c r="R52189" s="178"/>
      <c r="S52189" s="178"/>
    </row>
    <row r="52190" spans="18:19">
      <c r="R52190" s="178"/>
      <c r="S52190" s="178"/>
    </row>
    <row r="52191" spans="18:19">
      <c r="R52191" s="178"/>
      <c r="S52191" s="178"/>
    </row>
    <row r="52192" spans="18:19">
      <c r="R52192" s="178"/>
      <c r="S52192" s="178"/>
    </row>
    <row r="52193" spans="18:19">
      <c r="R52193" s="178"/>
      <c r="S52193" s="178"/>
    </row>
    <row r="52194" spans="18:19">
      <c r="R52194" s="178"/>
      <c r="S52194" s="178"/>
    </row>
    <row r="52195" spans="18:19">
      <c r="R52195" s="178"/>
      <c r="S52195" s="178"/>
    </row>
    <row r="52196" spans="18:19">
      <c r="R52196" s="178"/>
      <c r="S52196" s="178"/>
    </row>
    <row r="52197" spans="18:19">
      <c r="R52197" s="178"/>
      <c r="S52197" s="178"/>
    </row>
    <row r="52198" spans="18:19">
      <c r="R52198" s="178"/>
      <c r="S52198" s="178"/>
    </row>
    <row r="52199" spans="18:19">
      <c r="R52199" s="178"/>
      <c r="S52199" s="178"/>
    </row>
    <row r="52200" spans="18:19">
      <c r="R52200" s="178"/>
      <c r="S52200" s="178"/>
    </row>
    <row r="52201" spans="18:19">
      <c r="R52201" s="178"/>
      <c r="S52201" s="178"/>
    </row>
    <row r="52202" spans="18:19">
      <c r="R52202" s="178"/>
      <c r="S52202" s="178"/>
    </row>
    <row r="52203" spans="18:19">
      <c r="R52203" s="178"/>
      <c r="S52203" s="178"/>
    </row>
    <row r="52204" spans="18:19">
      <c r="R52204" s="178"/>
      <c r="S52204" s="178"/>
    </row>
    <row r="52205" spans="18:19">
      <c r="R52205" s="178"/>
      <c r="S52205" s="178"/>
    </row>
    <row r="52206" spans="18:19">
      <c r="R52206" s="178"/>
      <c r="S52206" s="178"/>
    </row>
    <row r="52207" spans="18:19">
      <c r="R52207" s="178"/>
      <c r="S52207" s="178"/>
    </row>
    <row r="52208" spans="18:19">
      <c r="R52208" s="178"/>
      <c r="S52208" s="178"/>
    </row>
    <row r="52209" spans="18:19">
      <c r="R52209" s="178"/>
      <c r="S52209" s="178"/>
    </row>
    <row r="52210" spans="18:19">
      <c r="R52210" s="178"/>
      <c r="S52210" s="178"/>
    </row>
    <row r="52211" spans="18:19">
      <c r="R52211" s="178"/>
      <c r="S52211" s="178"/>
    </row>
    <row r="52212" spans="18:19">
      <c r="R52212" s="178"/>
      <c r="S52212" s="178"/>
    </row>
    <row r="52213" spans="18:19">
      <c r="R52213" s="178"/>
      <c r="S52213" s="178"/>
    </row>
    <row r="52214" spans="18:19">
      <c r="R52214" s="178"/>
      <c r="S52214" s="178"/>
    </row>
    <row r="52215" spans="18:19">
      <c r="R52215" s="178"/>
      <c r="S52215" s="178"/>
    </row>
    <row r="52216" spans="18:19">
      <c r="R52216" s="178"/>
      <c r="S52216" s="178"/>
    </row>
    <row r="52217" spans="18:19">
      <c r="R52217" s="178"/>
      <c r="S52217" s="178"/>
    </row>
    <row r="52218" spans="18:19">
      <c r="R52218" s="178"/>
      <c r="S52218" s="178"/>
    </row>
    <row r="52219" spans="18:19">
      <c r="R52219" s="178"/>
      <c r="S52219" s="178"/>
    </row>
    <row r="52220" spans="18:19">
      <c r="R52220" s="178"/>
      <c r="S52220" s="178"/>
    </row>
    <row r="52221" spans="18:19">
      <c r="R52221" s="178"/>
      <c r="S52221" s="178"/>
    </row>
    <row r="52222" spans="18:19">
      <c r="R52222" s="178"/>
      <c r="S52222" s="178"/>
    </row>
    <row r="52223" spans="18:19">
      <c r="R52223" s="178"/>
      <c r="S52223" s="178"/>
    </row>
    <row r="52224" spans="18:19">
      <c r="R52224" s="178"/>
      <c r="S52224" s="178"/>
    </row>
    <row r="52225" spans="18:19">
      <c r="R52225" s="178"/>
      <c r="S52225" s="178"/>
    </row>
    <row r="52226" spans="18:19">
      <c r="R52226" s="178"/>
      <c r="S52226" s="178"/>
    </row>
    <row r="52227" spans="18:19">
      <c r="R52227" s="178"/>
      <c r="S52227" s="178"/>
    </row>
    <row r="52228" spans="18:19">
      <c r="R52228" s="178"/>
      <c r="S52228" s="178"/>
    </row>
    <row r="52229" spans="18:19">
      <c r="R52229" s="178"/>
      <c r="S52229" s="178"/>
    </row>
    <row r="52230" spans="18:19">
      <c r="R52230" s="178"/>
      <c r="S52230" s="178"/>
    </row>
    <row r="52231" spans="18:19">
      <c r="R52231" s="178"/>
      <c r="S52231" s="178"/>
    </row>
    <row r="52232" spans="18:19">
      <c r="R52232" s="178"/>
      <c r="S52232" s="178"/>
    </row>
    <row r="52233" spans="18:19">
      <c r="R52233" s="178"/>
      <c r="S52233" s="178"/>
    </row>
    <row r="52234" spans="18:19">
      <c r="R52234" s="178"/>
      <c r="S52234" s="178"/>
    </row>
    <row r="52235" spans="18:19">
      <c r="R52235" s="178"/>
      <c r="S52235" s="178"/>
    </row>
    <row r="52236" spans="18:19">
      <c r="R52236" s="178"/>
      <c r="S52236" s="178"/>
    </row>
    <row r="52237" spans="18:19">
      <c r="R52237" s="178"/>
      <c r="S52237" s="178"/>
    </row>
    <row r="52238" spans="18:19">
      <c r="R52238" s="178"/>
      <c r="S52238" s="178"/>
    </row>
    <row r="52239" spans="18:19">
      <c r="R52239" s="178"/>
      <c r="S52239" s="178"/>
    </row>
    <row r="52240" spans="18:19">
      <c r="R52240" s="178"/>
      <c r="S52240" s="178"/>
    </row>
    <row r="52241" spans="18:19">
      <c r="R52241" s="178"/>
      <c r="S52241" s="178"/>
    </row>
    <row r="52242" spans="18:19">
      <c r="R52242" s="178"/>
      <c r="S52242" s="178"/>
    </row>
    <row r="52243" spans="18:19">
      <c r="R52243" s="178"/>
      <c r="S52243" s="178"/>
    </row>
    <row r="52244" spans="18:19">
      <c r="R52244" s="178"/>
      <c r="S52244" s="178"/>
    </row>
    <row r="52245" spans="18:19">
      <c r="R52245" s="178"/>
      <c r="S52245" s="178"/>
    </row>
    <row r="52246" spans="18:19">
      <c r="R52246" s="178"/>
      <c r="S52246" s="178"/>
    </row>
    <row r="52247" spans="18:19">
      <c r="R52247" s="178"/>
      <c r="S52247" s="178"/>
    </row>
    <row r="52248" spans="18:19">
      <c r="R52248" s="178"/>
      <c r="S52248" s="178"/>
    </row>
    <row r="52249" spans="18:19">
      <c r="R52249" s="178"/>
      <c r="S52249" s="178"/>
    </row>
    <row r="52250" spans="18:19">
      <c r="R52250" s="178"/>
      <c r="S52250" s="178"/>
    </row>
    <row r="52251" spans="18:19">
      <c r="R52251" s="178"/>
      <c r="S52251" s="178"/>
    </row>
    <row r="52252" spans="18:19">
      <c r="R52252" s="178"/>
      <c r="S52252" s="178"/>
    </row>
    <row r="52253" spans="18:19">
      <c r="R52253" s="178"/>
      <c r="S52253" s="178"/>
    </row>
    <row r="52254" spans="18:19">
      <c r="R52254" s="178"/>
      <c r="S52254" s="178"/>
    </row>
    <row r="52255" spans="18:19">
      <c r="R52255" s="178"/>
      <c r="S52255" s="178"/>
    </row>
    <row r="52256" spans="18:19">
      <c r="R52256" s="178"/>
      <c r="S52256" s="178"/>
    </row>
    <row r="52257" spans="18:19">
      <c r="R52257" s="178"/>
      <c r="S52257" s="178"/>
    </row>
    <row r="52258" spans="18:19">
      <c r="R52258" s="178"/>
      <c r="S52258" s="178"/>
    </row>
    <row r="52259" spans="18:19">
      <c r="R52259" s="178"/>
      <c r="S52259" s="178"/>
    </row>
    <row r="52260" spans="18:19">
      <c r="R52260" s="178"/>
      <c r="S52260" s="178"/>
    </row>
    <row r="52261" spans="18:19">
      <c r="R52261" s="178"/>
      <c r="S52261" s="178"/>
    </row>
    <row r="52262" spans="18:19">
      <c r="R52262" s="178"/>
      <c r="S52262" s="178"/>
    </row>
    <row r="52263" spans="18:19">
      <c r="R52263" s="178"/>
      <c r="S52263" s="178"/>
    </row>
    <row r="52264" spans="18:19">
      <c r="R52264" s="178"/>
      <c r="S52264" s="178"/>
    </row>
    <row r="52265" spans="18:19">
      <c r="R52265" s="178"/>
      <c r="S52265" s="178"/>
    </row>
    <row r="52266" spans="18:19">
      <c r="R52266" s="178"/>
      <c r="S52266" s="178"/>
    </row>
    <row r="52267" spans="18:19">
      <c r="R52267" s="178"/>
      <c r="S52267" s="178"/>
    </row>
    <row r="52268" spans="18:19">
      <c r="R52268" s="178"/>
      <c r="S52268" s="178"/>
    </row>
    <row r="52269" spans="18:19">
      <c r="R52269" s="178"/>
      <c r="S52269" s="178"/>
    </row>
    <row r="52270" spans="18:19">
      <c r="R52270" s="178"/>
      <c r="S52270" s="178"/>
    </row>
    <row r="52271" spans="18:19">
      <c r="R52271" s="178"/>
      <c r="S52271" s="178"/>
    </row>
    <row r="52272" spans="18:19">
      <c r="R52272" s="178"/>
      <c r="S52272" s="178"/>
    </row>
    <row r="52273" spans="18:19">
      <c r="R52273" s="178"/>
      <c r="S52273" s="178"/>
    </row>
    <row r="52274" spans="18:19">
      <c r="R52274" s="178"/>
      <c r="S52274" s="178"/>
    </row>
    <row r="52275" spans="18:19">
      <c r="R52275" s="178"/>
      <c r="S52275" s="178"/>
    </row>
    <row r="52276" spans="18:19">
      <c r="R52276" s="178"/>
      <c r="S52276" s="178"/>
    </row>
    <row r="52277" spans="18:19">
      <c r="R52277" s="178"/>
      <c r="S52277" s="178"/>
    </row>
    <row r="52278" spans="18:19">
      <c r="R52278" s="178"/>
      <c r="S52278" s="178"/>
    </row>
    <row r="52279" spans="18:19">
      <c r="R52279" s="178"/>
      <c r="S52279" s="178"/>
    </row>
    <row r="52280" spans="18:19">
      <c r="R52280" s="178"/>
      <c r="S52280" s="178"/>
    </row>
    <row r="52281" spans="18:19">
      <c r="R52281" s="178"/>
      <c r="S52281" s="178"/>
    </row>
    <row r="52282" spans="18:19">
      <c r="R52282" s="178"/>
      <c r="S52282" s="178"/>
    </row>
    <row r="52283" spans="18:19">
      <c r="R52283" s="178"/>
      <c r="S52283" s="178"/>
    </row>
    <row r="52284" spans="18:19">
      <c r="R52284" s="178"/>
      <c r="S52284" s="178"/>
    </row>
    <row r="52285" spans="18:19">
      <c r="R52285" s="178"/>
      <c r="S52285" s="178"/>
    </row>
    <row r="52286" spans="18:19">
      <c r="R52286" s="178"/>
      <c r="S52286" s="178"/>
    </row>
    <row r="52287" spans="18:19">
      <c r="R52287" s="178"/>
      <c r="S52287" s="178"/>
    </row>
    <row r="52288" spans="18:19">
      <c r="R52288" s="178"/>
      <c r="S52288" s="178"/>
    </row>
    <row r="52289" spans="18:19">
      <c r="R52289" s="178"/>
      <c r="S52289" s="178"/>
    </row>
    <row r="52290" spans="18:19">
      <c r="R52290" s="178"/>
      <c r="S52290" s="178"/>
    </row>
    <row r="52291" spans="18:19">
      <c r="R52291" s="178"/>
      <c r="S52291" s="178"/>
    </row>
    <row r="52292" spans="18:19">
      <c r="R52292" s="178"/>
      <c r="S52292" s="178"/>
    </row>
    <row r="52293" spans="18:19">
      <c r="R52293" s="178"/>
      <c r="S52293" s="178"/>
    </row>
    <row r="52294" spans="18:19">
      <c r="R52294" s="178"/>
      <c r="S52294" s="178"/>
    </row>
    <row r="52295" spans="18:19">
      <c r="R52295" s="178"/>
      <c r="S52295" s="178"/>
    </row>
    <row r="52296" spans="18:19">
      <c r="R52296" s="178"/>
      <c r="S52296" s="178"/>
    </row>
    <row r="52297" spans="18:19">
      <c r="R52297" s="178"/>
      <c r="S52297" s="178"/>
    </row>
    <row r="52298" spans="18:19">
      <c r="R52298" s="178"/>
      <c r="S52298" s="178"/>
    </row>
    <row r="52299" spans="18:19">
      <c r="R52299" s="178"/>
      <c r="S52299" s="178"/>
    </row>
    <row r="52300" spans="18:19">
      <c r="R52300" s="178"/>
      <c r="S52300" s="178"/>
    </row>
    <row r="52301" spans="18:19">
      <c r="R52301" s="178"/>
      <c r="S52301" s="178"/>
    </row>
    <row r="52302" spans="18:19">
      <c r="R52302" s="178"/>
      <c r="S52302" s="178"/>
    </row>
    <row r="52303" spans="18:19">
      <c r="R52303" s="178"/>
      <c r="S52303" s="178"/>
    </row>
    <row r="52304" spans="18:19">
      <c r="R52304" s="178"/>
      <c r="S52304" s="178"/>
    </row>
    <row r="52305" spans="18:19">
      <c r="R52305" s="178"/>
      <c r="S52305" s="178"/>
    </row>
    <row r="52306" spans="18:19">
      <c r="R52306" s="178"/>
      <c r="S52306" s="178"/>
    </row>
    <row r="52307" spans="18:19">
      <c r="R52307" s="178"/>
      <c r="S52307" s="178"/>
    </row>
    <row r="52308" spans="18:19">
      <c r="R52308" s="178"/>
      <c r="S52308" s="178"/>
    </row>
    <row r="52309" spans="18:19">
      <c r="R52309" s="178"/>
      <c r="S52309" s="178"/>
    </row>
    <row r="52310" spans="18:19">
      <c r="R52310" s="178"/>
      <c r="S52310" s="178"/>
    </row>
    <row r="52311" spans="18:19">
      <c r="R52311" s="178"/>
      <c r="S52311" s="178"/>
    </row>
    <row r="52312" spans="18:19">
      <c r="R52312" s="178"/>
      <c r="S52312" s="178"/>
    </row>
    <row r="52313" spans="18:19">
      <c r="R52313" s="178"/>
      <c r="S52313" s="178"/>
    </row>
    <row r="52314" spans="18:19">
      <c r="R52314" s="178"/>
      <c r="S52314" s="178"/>
    </row>
    <row r="52315" spans="18:19">
      <c r="R52315" s="178"/>
      <c r="S52315" s="178"/>
    </row>
    <row r="52316" spans="18:19">
      <c r="R52316" s="178"/>
      <c r="S52316" s="178"/>
    </row>
    <row r="52317" spans="18:19">
      <c r="R52317" s="178"/>
      <c r="S52317" s="178"/>
    </row>
    <row r="52318" spans="18:19">
      <c r="R52318" s="178"/>
      <c r="S52318" s="178"/>
    </row>
    <row r="52319" spans="18:19">
      <c r="R52319" s="178"/>
      <c r="S52319" s="178"/>
    </row>
    <row r="52320" spans="18:19">
      <c r="R52320" s="178"/>
      <c r="S52320" s="178"/>
    </row>
    <row r="52321" spans="18:19">
      <c r="R52321" s="178"/>
      <c r="S52321" s="178"/>
    </row>
    <row r="52322" spans="18:19">
      <c r="R52322" s="178"/>
      <c r="S52322" s="178"/>
    </row>
    <row r="52323" spans="18:19">
      <c r="R52323" s="178"/>
      <c r="S52323" s="178"/>
    </row>
    <row r="52324" spans="18:19">
      <c r="R52324" s="178"/>
      <c r="S52324" s="178"/>
    </row>
    <row r="52325" spans="18:19">
      <c r="R52325" s="178"/>
      <c r="S52325" s="178"/>
    </row>
    <row r="52326" spans="18:19">
      <c r="R52326" s="178"/>
      <c r="S52326" s="178"/>
    </row>
    <row r="52327" spans="18:19">
      <c r="R52327" s="178"/>
      <c r="S52327" s="178"/>
    </row>
    <row r="52328" spans="18:19">
      <c r="R52328" s="178"/>
      <c r="S52328" s="178"/>
    </row>
    <row r="52329" spans="18:19">
      <c r="R52329" s="178"/>
      <c r="S52329" s="178"/>
    </row>
    <row r="52330" spans="18:19">
      <c r="R52330" s="178"/>
      <c r="S52330" s="178"/>
    </row>
    <row r="52331" spans="18:19">
      <c r="R52331" s="178"/>
      <c r="S52331" s="178"/>
    </row>
    <row r="52332" spans="18:19">
      <c r="R52332" s="178"/>
      <c r="S52332" s="178"/>
    </row>
    <row r="52333" spans="18:19">
      <c r="R52333" s="178"/>
      <c r="S52333" s="178"/>
    </row>
    <row r="52334" spans="18:19">
      <c r="R52334" s="178"/>
      <c r="S52334" s="178"/>
    </row>
    <row r="52335" spans="18:19">
      <c r="R52335" s="178"/>
      <c r="S52335" s="178"/>
    </row>
    <row r="52336" spans="18:19">
      <c r="R52336" s="178"/>
      <c r="S52336" s="178"/>
    </row>
    <row r="52337" spans="18:19">
      <c r="R52337" s="178"/>
      <c r="S52337" s="178"/>
    </row>
    <row r="52338" spans="18:19">
      <c r="R52338" s="178"/>
      <c r="S52338" s="178"/>
    </row>
    <row r="52339" spans="18:19">
      <c r="R52339" s="178"/>
      <c r="S52339" s="178"/>
    </row>
    <row r="52340" spans="18:19">
      <c r="R52340" s="178"/>
      <c r="S52340" s="178"/>
    </row>
    <row r="52341" spans="18:19">
      <c r="R52341" s="178"/>
      <c r="S52341" s="178"/>
    </row>
    <row r="52342" spans="18:19">
      <c r="R52342" s="178"/>
      <c r="S52342" s="178"/>
    </row>
    <row r="52343" spans="18:19">
      <c r="R52343" s="178"/>
      <c r="S52343" s="178"/>
    </row>
    <row r="52344" spans="18:19">
      <c r="R52344" s="178"/>
      <c r="S52344" s="178"/>
    </row>
    <row r="52345" spans="18:19">
      <c r="R52345" s="178"/>
      <c r="S52345" s="178"/>
    </row>
    <row r="52346" spans="18:19">
      <c r="R52346" s="178"/>
      <c r="S52346" s="178"/>
    </row>
    <row r="52347" spans="18:19">
      <c r="R52347" s="178"/>
      <c r="S52347" s="178"/>
    </row>
    <row r="52348" spans="18:19">
      <c r="R52348" s="178"/>
      <c r="S52348" s="178"/>
    </row>
    <row r="52349" spans="18:19">
      <c r="R52349" s="178"/>
      <c r="S52349" s="178"/>
    </row>
    <row r="52350" spans="18:19">
      <c r="R52350" s="178"/>
      <c r="S52350" s="178"/>
    </row>
    <row r="52351" spans="18:19">
      <c r="R52351" s="178"/>
      <c r="S52351" s="178"/>
    </row>
    <row r="52352" spans="18:19">
      <c r="R52352" s="178"/>
      <c r="S52352" s="178"/>
    </row>
    <row r="52353" spans="18:19">
      <c r="R52353" s="178"/>
      <c r="S52353" s="178"/>
    </row>
    <row r="52354" spans="18:19">
      <c r="R52354" s="178"/>
      <c r="S52354" s="178"/>
    </row>
    <row r="52355" spans="18:19">
      <c r="R52355" s="178"/>
      <c r="S52355" s="178"/>
    </row>
    <row r="52356" spans="18:19">
      <c r="R52356" s="178"/>
      <c r="S52356" s="178"/>
    </row>
    <row r="52357" spans="18:19">
      <c r="R52357" s="178"/>
      <c r="S52357" s="178"/>
    </row>
    <row r="52358" spans="18:19">
      <c r="R52358" s="178"/>
      <c r="S52358" s="178"/>
    </row>
    <row r="52359" spans="18:19">
      <c r="R52359" s="178"/>
      <c r="S52359" s="178"/>
    </row>
    <row r="52360" spans="18:19">
      <c r="R52360" s="178"/>
      <c r="S52360" s="178"/>
    </row>
    <row r="52361" spans="18:19">
      <c r="R52361" s="178"/>
      <c r="S52361" s="178"/>
    </row>
    <row r="52362" spans="18:19">
      <c r="R52362" s="178"/>
      <c r="S52362" s="178"/>
    </row>
    <row r="52363" spans="18:19">
      <c r="R52363" s="178"/>
      <c r="S52363" s="178"/>
    </row>
    <row r="52364" spans="18:19">
      <c r="R52364" s="178"/>
      <c r="S52364" s="178"/>
    </row>
    <row r="52365" spans="18:19">
      <c r="R52365" s="178"/>
      <c r="S52365" s="178"/>
    </row>
    <row r="52366" spans="18:19">
      <c r="R52366" s="178"/>
      <c r="S52366" s="178"/>
    </row>
    <row r="52367" spans="18:19">
      <c r="R52367" s="178"/>
      <c r="S52367" s="178"/>
    </row>
    <row r="52368" spans="18:19">
      <c r="R52368" s="178"/>
      <c r="S52368" s="178"/>
    </row>
    <row r="52369" spans="18:19">
      <c r="R52369" s="178"/>
      <c r="S52369" s="178"/>
    </row>
    <row r="52370" spans="18:19">
      <c r="R52370" s="178"/>
      <c r="S52370" s="178"/>
    </row>
    <row r="52371" spans="18:19">
      <c r="R52371" s="178"/>
      <c r="S52371" s="178"/>
    </row>
    <row r="52372" spans="18:19">
      <c r="R52372" s="178"/>
      <c r="S52372" s="178"/>
    </row>
    <row r="52373" spans="18:19">
      <c r="R52373" s="178"/>
      <c r="S52373" s="178"/>
    </row>
    <row r="52374" spans="18:19">
      <c r="R52374" s="178"/>
      <c r="S52374" s="178"/>
    </row>
    <row r="52375" spans="18:19">
      <c r="R52375" s="178"/>
      <c r="S52375" s="178"/>
    </row>
    <row r="52376" spans="18:19">
      <c r="R52376" s="178"/>
      <c r="S52376" s="178"/>
    </row>
    <row r="52377" spans="18:19">
      <c r="R52377" s="178"/>
      <c r="S52377" s="178"/>
    </row>
    <row r="52378" spans="18:19">
      <c r="R52378" s="178"/>
      <c r="S52378" s="178"/>
    </row>
    <row r="52379" spans="18:19">
      <c r="R52379" s="178"/>
      <c r="S52379" s="178"/>
    </row>
    <row r="52380" spans="18:19">
      <c r="R52380" s="178"/>
      <c r="S52380" s="178"/>
    </row>
    <row r="52381" spans="18:19">
      <c r="R52381" s="178"/>
      <c r="S52381" s="178"/>
    </row>
    <row r="52382" spans="18:19">
      <c r="R52382" s="178"/>
      <c r="S52382" s="178"/>
    </row>
    <row r="52383" spans="18:19">
      <c r="R52383" s="178"/>
      <c r="S52383" s="178"/>
    </row>
    <row r="52384" spans="18:19">
      <c r="R52384" s="178"/>
      <c r="S52384" s="178"/>
    </row>
    <row r="52385" spans="18:19">
      <c r="R52385" s="178"/>
      <c r="S52385" s="178"/>
    </row>
    <row r="52386" spans="18:19">
      <c r="R52386" s="178"/>
      <c r="S52386" s="178"/>
    </row>
    <row r="52387" spans="18:19">
      <c r="R52387" s="178"/>
      <c r="S52387" s="178"/>
    </row>
    <row r="52388" spans="18:19">
      <c r="R52388" s="178"/>
      <c r="S52388" s="178"/>
    </row>
    <row r="52389" spans="18:19">
      <c r="R52389" s="178"/>
      <c r="S52389" s="178"/>
    </row>
    <row r="52390" spans="18:19">
      <c r="R52390" s="178"/>
      <c r="S52390" s="178"/>
    </row>
    <row r="52391" spans="18:19">
      <c r="R52391" s="178"/>
      <c r="S52391" s="178"/>
    </row>
    <row r="52392" spans="18:19">
      <c r="R52392" s="178"/>
      <c r="S52392" s="178"/>
    </row>
    <row r="52393" spans="18:19">
      <c r="R52393" s="178"/>
      <c r="S52393" s="178"/>
    </row>
    <row r="52394" spans="18:19">
      <c r="R52394" s="178"/>
      <c r="S52394" s="178"/>
    </row>
    <row r="52395" spans="18:19">
      <c r="R52395" s="178"/>
      <c r="S52395" s="178"/>
    </row>
    <row r="52396" spans="18:19">
      <c r="R52396" s="178"/>
      <c r="S52396" s="178"/>
    </row>
    <row r="52397" spans="18:19">
      <c r="R52397" s="178"/>
      <c r="S52397" s="178"/>
    </row>
    <row r="52398" spans="18:19">
      <c r="R52398" s="178"/>
      <c r="S52398" s="178"/>
    </row>
    <row r="52399" spans="18:19">
      <c r="R52399" s="178"/>
      <c r="S52399" s="178"/>
    </row>
    <row r="52400" spans="18:19">
      <c r="R52400" s="178"/>
      <c r="S52400" s="178"/>
    </row>
    <row r="52401" spans="18:19">
      <c r="R52401" s="178"/>
      <c r="S52401" s="178"/>
    </row>
    <row r="52402" spans="18:19">
      <c r="R52402" s="178"/>
      <c r="S52402" s="178"/>
    </row>
    <row r="52403" spans="18:19">
      <c r="R52403" s="178"/>
      <c r="S52403" s="178"/>
    </row>
    <row r="52404" spans="18:19">
      <c r="R52404" s="178"/>
      <c r="S52404" s="178"/>
    </row>
    <row r="52405" spans="18:19">
      <c r="R52405" s="178"/>
      <c r="S52405" s="178"/>
    </row>
    <row r="52406" spans="18:19">
      <c r="R52406" s="178"/>
      <c r="S52406" s="178"/>
    </row>
    <row r="52407" spans="18:19">
      <c r="R52407" s="178"/>
      <c r="S52407" s="178"/>
    </row>
    <row r="52408" spans="18:19">
      <c r="R52408" s="178"/>
      <c r="S52408" s="178"/>
    </row>
    <row r="52409" spans="18:19">
      <c r="R52409" s="178"/>
      <c r="S52409" s="178"/>
    </row>
    <row r="52410" spans="18:19">
      <c r="R52410" s="178"/>
      <c r="S52410" s="178"/>
    </row>
    <row r="52411" spans="18:19">
      <c r="R52411" s="178"/>
      <c r="S52411" s="178"/>
    </row>
    <row r="52412" spans="18:19">
      <c r="R52412" s="178"/>
      <c r="S52412" s="178"/>
    </row>
    <row r="52413" spans="18:19">
      <c r="R52413" s="178"/>
      <c r="S52413" s="178"/>
    </row>
    <row r="52414" spans="18:19">
      <c r="R52414" s="178"/>
      <c r="S52414" s="178"/>
    </row>
    <row r="52415" spans="18:19">
      <c r="R52415" s="178"/>
      <c r="S52415" s="178"/>
    </row>
    <row r="52416" spans="18:19">
      <c r="R52416" s="178"/>
      <c r="S52416" s="178"/>
    </row>
    <row r="52417" spans="18:19">
      <c r="R52417" s="178"/>
      <c r="S52417" s="178"/>
    </row>
    <row r="52418" spans="18:19">
      <c r="R52418" s="178"/>
      <c r="S52418" s="178"/>
    </row>
    <row r="52419" spans="18:19">
      <c r="R52419" s="178"/>
      <c r="S52419" s="178"/>
    </row>
    <row r="52420" spans="18:19">
      <c r="R52420" s="178"/>
      <c r="S52420" s="178"/>
    </row>
    <row r="52421" spans="18:19">
      <c r="R52421" s="178"/>
      <c r="S52421" s="178"/>
    </row>
    <row r="52422" spans="18:19">
      <c r="R52422" s="178"/>
      <c r="S52422" s="178"/>
    </row>
    <row r="52423" spans="18:19">
      <c r="R52423" s="178"/>
      <c r="S52423" s="178"/>
    </row>
    <row r="52424" spans="18:19">
      <c r="R52424" s="178"/>
      <c r="S52424" s="178"/>
    </row>
    <row r="52425" spans="18:19">
      <c r="R52425" s="178"/>
      <c r="S52425" s="178"/>
    </row>
    <row r="52426" spans="18:19">
      <c r="R52426" s="178"/>
      <c r="S52426" s="178"/>
    </row>
    <row r="52427" spans="18:19">
      <c r="R52427" s="178"/>
      <c r="S52427" s="178"/>
    </row>
    <row r="52428" spans="18:19">
      <c r="R52428" s="178"/>
      <c r="S52428" s="178"/>
    </row>
    <row r="52429" spans="18:19">
      <c r="R52429" s="178"/>
      <c r="S52429" s="178"/>
    </row>
    <row r="52430" spans="18:19">
      <c r="R52430" s="178"/>
      <c r="S52430" s="178"/>
    </row>
    <row r="52431" spans="18:19">
      <c r="R52431" s="178"/>
      <c r="S52431" s="178"/>
    </row>
    <row r="52432" spans="18:19">
      <c r="R52432" s="178"/>
      <c r="S52432" s="178"/>
    </row>
    <row r="52433" spans="18:19">
      <c r="R52433" s="178"/>
      <c r="S52433" s="178"/>
    </row>
    <row r="52434" spans="18:19">
      <c r="R52434" s="178"/>
      <c r="S52434" s="178"/>
    </row>
    <row r="52435" spans="18:19">
      <c r="R52435" s="178"/>
      <c r="S52435" s="178"/>
    </row>
    <row r="52436" spans="18:19">
      <c r="R52436" s="178"/>
      <c r="S52436" s="178"/>
    </row>
    <row r="52437" spans="18:19">
      <c r="R52437" s="178"/>
      <c r="S52437" s="178"/>
    </row>
    <row r="52438" spans="18:19">
      <c r="R52438" s="178"/>
      <c r="S52438" s="178"/>
    </row>
    <row r="52439" spans="18:19">
      <c r="R52439" s="178"/>
      <c r="S52439" s="178"/>
    </row>
    <row r="52440" spans="18:19">
      <c r="R52440" s="178"/>
      <c r="S52440" s="178"/>
    </row>
    <row r="52441" spans="18:19">
      <c r="R52441" s="178"/>
      <c r="S52441" s="178"/>
    </row>
    <row r="52442" spans="18:19">
      <c r="R52442" s="178"/>
      <c r="S52442" s="178"/>
    </row>
    <row r="52443" spans="18:19">
      <c r="R52443" s="178"/>
      <c r="S52443" s="178"/>
    </row>
    <row r="52444" spans="18:19">
      <c r="R52444" s="178"/>
      <c r="S52444" s="178"/>
    </row>
    <row r="52445" spans="18:19">
      <c r="R52445" s="178"/>
      <c r="S52445" s="178"/>
    </row>
    <row r="52446" spans="18:19">
      <c r="R52446" s="178"/>
      <c r="S52446" s="178"/>
    </row>
    <row r="52447" spans="18:19">
      <c r="R52447" s="178"/>
      <c r="S52447" s="178"/>
    </row>
    <row r="52448" spans="18:19">
      <c r="R52448" s="178"/>
      <c r="S52448" s="178"/>
    </row>
    <row r="52449" spans="18:19">
      <c r="R52449" s="178"/>
      <c r="S52449" s="178"/>
    </row>
    <row r="52450" spans="18:19">
      <c r="R52450" s="178"/>
      <c r="S52450" s="178"/>
    </row>
    <row r="52451" spans="18:19">
      <c r="R52451" s="178"/>
      <c r="S52451" s="178"/>
    </row>
    <row r="52452" spans="18:19">
      <c r="R52452" s="178"/>
      <c r="S52452" s="178"/>
    </row>
    <row r="52453" spans="18:19">
      <c r="R52453" s="178"/>
      <c r="S52453" s="178"/>
    </row>
    <row r="52454" spans="18:19">
      <c r="R52454" s="178"/>
      <c r="S52454" s="178"/>
    </row>
    <row r="52455" spans="18:19">
      <c r="R52455" s="178"/>
      <c r="S52455" s="178"/>
    </row>
    <row r="52456" spans="18:19">
      <c r="R52456" s="178"/>
      <c r="S52456" s="178"/>
    </row>
    <row r="52457" spans="18:19">
      <c r="R52457" s="178"/>
      <c r="S52457" s="178"/>
    </row>
    <row r="52458" spans="18:19">
      <c r="R52458" s="178"/>
      <c r="S52458" s="178"/>
    </row>
    <row r="52459" spans="18:19">
      <c r="R52459" s="178"/>
      <c r="S52459" s="178"/>
    </row>
    <row r="52460" spans="18:19">
      <c r="R52460" s="178"/>
      <c r="S52460" s="178"/>
    </row>
    <row r="52461" spans="18:19">
      <c r="R52461" s="178"/>
      <c r="S52461" s="178"/>
    </row>
    <row r="52462" spans="18:19">
      <c r="R52462" s="178"/>
      <c r="S52462" s="178"/>
    </row>
    <row r="52463" spans="18:19">
      <c r="R52463" s="178"/>
      <c r="S52463" s="178"/>
    </row>
    <row r="52464" spans="18:19">
      <c r="R52464" s="178"/>
      <c r="S52464" s="178"/>
    </row>
    <row r="52465" spans="18:19">
      <c r="R52465" s="178"/>
      <c r="S52465" s="178"/>
    </row>
    <row r="52466" spans="18:19">
      <c r="R52466" s="178"/>
      <c r="S52466" s="178"/>
    </row>
    <row r="52467" spans="18:19">
      <c r="R52467" s="178"/>
      <c r="S52467" s="178"/>
    </row>
    <row r="52468" spans="18:19">
      <c r="R52468" s="178"/>
      <c r="S52468" s="178"/>
    </row>
    <row r="52469" spans="18:19">
      <c r="R52469" s="178"/>
      <c r="S52469" s="178"/>
    </row>
    <row r="52470" spans="18:19">
      <c r="R52470" s="178"/>
      <c r="S52470" s="178"/>
    </row>
    <row r="52471" spans="18:19">
      <c r="R52471" s="178"/>
      <c r="S52471" s="178"/>
    </row>
    <row r="52472" spans="18:19">
      <c r="R52472" s="178"/>
      <c r="S52472" s="178"/>
    </row>
    <row r="52473" spans="18:19">
      <c r="R52473" s="178"/>
      <c r="S52473" s="178"/>
    </row>
    <row r="52474" spans="18:19">
      <c r="R52474" s="178"/>
      <c r="S52474" s="178"/>
    </row>
    <row r="52475" spans="18:19">
      <c r="R52475" s="178"/>
      <c r="S52475" s="178"/>
    </row>
    <row r="52476" spans="18:19">
      <c r="R52476" s="178"/>
      <c r="S52476" s="178"/>
    </row>
    <row r="52477" spans="18:19">
      <c r="R52477" s="178"/>
      <c r="S52477" s="178"/>
    </row>
    <row r="52478" spans="18:19">
      <c r="R52478" s="178"/>
      <c r="S52478" s="178"/>
    </row>
    <row r="52479" spans="18:19">
      <c r="R52479" s="178"/>
      <c r="S52479" s="178"/>
    </row>
    <row r="52480" spans="18:19">
      <c r="R52480" s="178"/>
      <c r="S52480" s="178"/>
    </row>
    <row r="52481" spans="18:19">
      <c r="R52481" s="178"/>
      <c r="S52481" s="178"/>
    </row>
    <row r="52482" spans="18:19">
      <c r="R52482" s="178"/>
      <c r="S52482" s="178"/>
    </row>
    <row r="52483" spans="18:19">
      <c r="R52483" s="178"/>
      <c r="S52483" s="178"/>
    </row>
    <row r="52484" spans="18:19">
      <c r="R52484" s="178"/>
      <c r="S52484" s="178"/>
    </row>
    <row r="52485" spans="18:19">
      <c r="R52485" s="178"/>
      <c r="S52485" s="178"/>
    </row>
    <row r="52486" spans="18:19">
      <c r="R52486" s="178"/>
      <c r="S52486" s="178"/>
    </row>
    <row r="52487" spans="18:19">
      <c r="R52487" s="178"/>
      <c r="S52487" s="178"/>
    </row>
    <row r="52488" spans="18:19">
      <c r="R52488" s="178"/>
      <c r="S52488" s="178"/>
    </row>
    <row r="52489" spans="18:19">
      <c r="R52489" s="178"/>
      <c r="S52489" s="178"/>
    </row>
    <row r="52490" spans="18:19">
      <c r="R52490" s="178"/>
      <c r="S52490" s="178"/>
    </row>
    <row r="52491" spans="18:19">
      <c r="R52491" s="178"/>
      <c r="S52491" s="178"/>
    </row>
    <row r="52492" spans="18:19">
      <c r="R52492" s="178"/>
      <c r="S52492" s="178"/>
    </row>
    <row r="52493" spans="18:19">
      <c r="R52493" s="178"/>
      <c r="S52493" s="178"/>
    </row>
    <row r="52494" spans="18:19">
      <c r="R52494" s="178"/>
      <c r="S52494" s="178"/>
    </row>
    <row r="52495" spans="18:19">
      <c r="R52495" s="178"/>
      <c r="S52495" s="178"/>
    </row>
    <row r="52496" spans="18:19">
      <c r="R52496" s="178"/>
      <c r="S52496" s="178"/>
    </row>
    <row r="52497" spans="18:19">
      <c r="R52497" s="178"/>
      <c r="S52497" s="178"/>
    </row>
    <row r="52498" spans="18:19">
      <c r="R52498" s="178"/>
      <c r="S52498" s="178"/>
    </row>
    <row r="52499" spans="18:19">
      <c r="R52499" s="178"/>
      <c r="S52499" s="178"/>
    </row>
    <row r="52500" spans="18:19">
      <c r="R52500" s="178"/>
      <c r="S52500" s="178"/>
    </row>
    <row r="52501" spans="18:19">
      <c r="R52501" s="178"/>
      <c r="S52501" s="178"/>
    </row>
    <row r="52502" spans="18:19">
      <c r="R52502" s="178"/>
      <c r="S52502" s="178"/>
    </row>
    <row r="52503" spans="18:19">
      <c r="R52503" s="178"/>
      <c r="S52503" s="178"/>
    </row>
    <row r="52504" spans="18:19">
      <c r="R52504" s="178"/>
      <c r="S52504" s="178"/>
    </row>
    <row r="52505" spans="18:19">
      <c r="R52505" s="178"/>
      <c r="S52505" s="178"/>
    </row>
    <row r="52506" spans="18:19">
      <c r="R52506" s="178"/>
      <c r="S52506" s="178"/>
    </row>
    <row r="52507" spans="18:19">
      <c r="R52507" s="178"/>
      <c r="S52507" s="178"/>
    </row>
    <row r="52508" spans="18:19">
      <c r="R52508" s="178"/>
      <c r="S52508" s="178"/>
    </row>
    <row r="52509" spans="18:19">
      <c r="R52509" s="178"/>
      <c r="S52509" s="178"/>
    </row>
    <row r="52510" spans="18:19">
      <c r="R52510" s="178"/>
      <c r="S52510" s="178"/>
    </row>
    <row r="52511" spans="18:19">
      <c r="R52511" s="178"/>
      <c r="S52511" s="178"/>
    </row>
    <row r="52512" spans="18:19">
      <c r="R52512" s="178"/>
      <c r="S52512" s="178"/>
    </row>
    <row r="52513" spans="18:19">
      <c r="R52513" s="178"/>
      <c r="S52513" s="178"/>
    </row>
    <row r="52514" spans="18:19">
      <c r="R52514" s="178"/>
      <c r="S52514" s="178"/>
    </row>
    <row r="52515" spans="18:19">
      <c r="R52515" s="178"/>
      <c r="S52515" s="178"/>
    </row>
    <row r="52516" spans="18:19">
      <c r="R52516" s="178"/>
      <c r="S52516" s="178"/>
    </row>
    <row r="52517" spans="18:19">
      <c r="R52517" s="178"/>
      <c r="S52517" s="178"/>
    </row>
    <row r="52518" spans="18:19">
      <c r="R52518" s="178"/>
      <c r="S52518" s="178"/>
    </row>
    <row r="52519" spans="18:19">
      <c r="R52519" s="178"/>
      <c r="S52519" s="178"/>
    </row>
    <row r="52520" spans="18:19">
      <c r="R52520" s="178"/>
      <c r="S52520" s="178"/>
    </row>
    <row r="52521" spans="18:19">
      <c r="R52521" s="178"/>
      <c r="S52521" s="178"/>
    </row>
    <row r="52522" spans="18:19">
      <c r="R52522" s="178"/>
      <c r="S52522" s="178"/>
    </row>
    <row r="52523" spans="18:19">
      <c r="R52523" s="178"/>
      <c r="S52523" s="178"/>
    </row>
    <row r="52524" spans="18:19">
      <c r="R52524" s="178"/>
      <c r="S52524" s="178"/>
    </row>
    <row r="52525" spans="18:19">
      <c r="R52525" s="178"/>
      <c r="S52525" s="178"/>
    </row>
    <row r="52526" spans="18:19">
      <c r="R52526" s="178"/>
      <c r="S52526" s="178"/>
    </row>
    <row r="52527" spans="18:19">
      <c r="R52527" s="178"/>
      <c r="S52527" s="178"/>
    </row>
    <row r="52528" spans="18:19">
      <c r="R52528" s="178"/>
      <c r="S52528" s="178"/>
    </row>
    <row r="52529" spans="18:19">
      <c r="R52529" s="178"/>
      <c r="S52529" s="178"/>
    </row>
    <row r="52530" spans="18:19">
      <c r="R52530" s="178"/>
      <c r="S52530" s="178"/>
    </row>
    <row r="52531" spans="18:19">
      <c r="R52531" s="178"/>
      <c r="S52531" s="178"/>
    </row>
    <row r="52532" spans="18:19">
      <c r="R52532" s="178"/>
      <c r="S52532" s="178"/>
    </row>
    <row r="52533" spans="18:19">
      <c r="R52533" s="178"/>
      <c r="S52533" s="178"/>
    </row>
    <row r="52534" spans="18:19">
      <c r="R52534" s="178"/>
      <c r="S52534" s="178"/>
    </row>
    <row r="52535" spans="18:19">
      <c r="R52535" s="178"/>
      <c r="S52535" s="178"/>
    </row>
    <row r="52536" spans="18:19">
      <c r="R52536" s="178"/>
      <c r="S52536" s="178"/>
    </row>
    <row r="52537" spans="18:19">
      <c r="R52537" s="178"/>
      <c r="S52537" s="178"/>
    </row>
    <row r="52538" spans="18:19">
      <c r="R52538" s="178"/>
      <c r="S52538" s="178"/>
    </row>
    <row r="52539" spans="18:19">
      <c r="R52539" s="178"/>
      <c r="S52539" s="178"/>
    </row>
    <row r="52540" spans="18:19">
      <c r="R52540" s="178"/>
      <c r="S52540" s="178"/>
    </row>
    <row r="52541" spans="18:19">
      <c r="R52541" s="178"/>
      <c r="S52541" s="178"/>
    </row>
    <row r="52542" spans="18:19">
      <c r="R52542" s="178"/>
      <c r="S52542" s="178"/>
    </row>
    <row r="52543" spans="18:19">
      <c r="R52543" s="178"/>
      <c r="S52543" s="178"/>
    </row>
    <row r="52544" spans="18:19">
      <c r="R52544" s="178"/>
      <c r="S52544" s="178"/>
    </row>
    <row r="52545" spans="18:19">
      <c r="R52545" s="178"/>
      <c r="S52545" s="178"/>
    </row>
    <row r="52546" spans="18:19">
      <c r="R52546" s="178"/>
      <c r="S52546" s="178"/>
    </row>
    <row r="52547" spans="18:19">
      <c r="R52547" s="178"/>
      <c r="S52547" s="178"/>
    </row>
    <row r="52548" spans="18:19">
      <c r="R52548" s="178"/>
      <c r="S52548" s="178"/>
    </row>
    <row r="52549" spans="18:19">
      <c r="R52549" s="178"/>
      <c r="S52549" s="178"/>
    </row>
    <row r="52550" spans="18:19">
      <c r="R52550" s="178"/>
      <c r="S52550" s="178"/>
    </row>
    <row r="52551" spans="18:19">
      <c r="R52551" s="178"/>
      <c r="S52551" s="178"/>
    </row>
    <row r="52552" spans="18:19">
      <c r="R52552" s="178"/>
      <c r="S52552" s="178"/>
    </row>
    <row r="52553" spans="18:19">
      <c r="R52553" s="178"/>
      <c r="S52553" s="178"/>
    </row>
    <row r="52554" spans="18:19">
      <c r="R52554" s="178"/>
      <c r="S52554" s="178"/>
    </row>
    <row r="52555" spans="18:19">
      <c r="R52555" s="178"/>
      <c r="S52555" s="178"/>
    </row>
    <row r="52556" spans="18:19">
      <c r="R52556" s="178"/>
      <c r="S52556" s="178"/>
    </row>
    <row r="52557" spans="18:19">
      <c r="R52557" s="178"/>
      <c r="S52557" s="178"/>
    </row>
    <row r="52558" spans="18:19">
      <c r="R52558" s="178"/>
      <c r="S52558" s="178"/>
    </row>
    <row r="52559" spans="18:19">
      <c r="R52559" s="178"/>
      <c r="S52559" s="178"/>
    </row>
    <row r="52560" spans="18:19">
      <c r="R52560" s="178"/>
      <c r="S52560" s="178"/>
    </row>
    <row r="52561" spans="18:19">
      <c r="R52561" s="178"/>
      <c r="S52561" s="178"/>
    </row>
    <row r="52562" spans="18:19">
      <c r="R52562" s="178"/>
      <c r="S52562" s="178"/>
    </row>
    <row r="52563" spans="18:19">
      <c r="R52563" s="178"/>
      <c r="S52563" s="178"/>
    </row>
    <row r="52564" spans="18:19">
      <c r="R52564" s="178"/>
      <c r="S52564" s="178"/>
    </row>
    <row r="52565" spans="18:19">
      <c r="R52565" s="178"/>
      <c r="S52565" s="178"/>
    </row>
    <row r="52566" spans="18:19">
      <c r="R52566" s="178"/>
      <c r="S52566" s="178"/>
    </row>
    <row r="52567" spans="18:19">
      <c r="R52567" s="178"/>
      <c r="S52567" s="178"/>
    </row>
    <row r="52568" spans="18:19">
      <c r="R52568" s="178"/>
      <c r="S52568" s="178"/>
    </row>
    <row r="52569" spans="18:19">
      <c r="R52569" s="178"/>
      <c r="S52569" s="178"/>
    </row>
    <row r="52570" spans="18:19">
      <c r="R52570" s="178"/>
      <c r="S52570" s="178"/>
    </row>
    <row r="52571" spans="18:19">
      <c r="R52571" s="178"/>
      <c r="S52571" s="178"/>
    </row>
    <row r="52572" spans="18:19">
      <c r="R52572" s="178"/>
      <c r="S52572" s="178"/>
    </row>
    <row r="52573" spans="18:19">
      <c r="R52573" s="178"/>
      <c r="S52573" s="178"/>
    </row>
    <row r="52574" spans="18:19">
      <c r="R52574" s="178"/>
      <c r="S52574" s="178"/>
    </row>
    <row r="52575" spans="18:19">
      <c r="R52575" s="178"/>
      <c r="S52575" s="178"/>
    </row>
    <row r="52576" spans="18:19">
      <c r="R52576" s="178"/>
      <c r="S52576" s="178"/>
    </row>
    <row r="52577" spans="18:19">
      <c r="R52577" s="178"/>
      <c r="S52577" s="178"/>
    </row>
    <row r="52578" spans="18:19">
      <c r="R52578" s="178"/>
      <c r="S52578" s="178"/>
    </row>
    <row r="52579" spans="18:19">
      <c r="R52579" s="178"/>
      <c r="S52579" s="178"/>
    </row>
    <row r="52580" spans="18:19">
      <c r="R52580" s="178"/>
      <c r="S52580" s="178"/>
    </row>
    <row r="52581" spans="18:19">
      <c r="R52581" s="178"/>
      <c r="S52581" s="178"/>
    </row>
    <row r="52582" spans="18:19">
      <c r="R52582" s="178"/>
      <c r="S52582" s="178"/>
    </row>
    <row r="52583" spans="18:19">
      <c r="R52583" s="178"/>
      <c r="S52583" s="178"/>
    </row>
    <row r="52584" spans="18:19">
      <c r="R52584" s="178"/>
      <c r="S52584" s="178"/>
    </row>
    <row r="52585" spans="18:19">
      <c r="R52585" s="178"/>
      <c r="S52585" s="178"/>
    </row>
    <row r="52586" spans="18:19">
      <c r="R52586" s="178"/>
      <c r="S52586" s="178"/>
    </row>
    <row r="52587" spans="18:19">
      <c r="R52587" s="178"/>
      <c r="S52587" s="178"/>
    </row>
    <row r="52588" spans="18:19">
      <c r="R52588" s="178"/>
      <c r="S52588" s="178"/>
    </row>
    <row r="52589" spans="18:19">
      <c r="R52589" s="178"/>
      <c r="S52589" s="178"/>
    </row>
    <row r="52590" spans="18:19">
      <c r="R52590" s="178"/>
      <c r="S52590" s="178"/>
    </row>
    <row r="52591" spans="18:19">
      <c r="R52591" s="178"/>
      <c r="S52591" s="178"/>
    </row>
    <row r="52592" spans="18:19">
      <c r="R52592" s="178"/>
      <c r="S52592" s="178"/>
    </row>
    <row r="52593" spans="18:19">
      <c r="R52593" s="178"/>
      <c r="S52593" s="178"/>
    </row>
    <row r="52594" spans="18:19">
      <c r="R52594" s="178"/>
      <c r="S52594" s="178"/>
    </row>
    <row r="52595" spans="18:19">
      <c r="R52595" s="178"/>
      <c r="S52595" s="178"/>
    </row>
    <row r="52596" spans="18:19">
      <c r="R52596" s="178"/>
      <c r="S52596" s="178"/>
    </row>
    <row r="52597" spans="18:19">
      <c r="R52597" s="178"/>
      <c r="S52597" s="178"/>
    </row>
    <row r="52598" spans="18:19">
      <c r="R52598" s="178"/>
      <c r="S52598" s="178"/>
    </row>
    <row r="52599" spans="18:19">
      <c r="R52599" s="178"/>
      <c r="S52599" s="178"/>
    </row>
    <row r="52600" spans="18:19">
      <c r="R52600" s="178"/>
      <c r="S52600" s="178"/>
    </row>
    <row r="52601" spans="18:19">
      <c r="R52601" s="178"/>
      <c r="S52601" s="178"/>
    </row>
    <row r="52602" spans="18:19">
      <c r="R52602" s="178"/>
      <c r="S52602" s="178"/>
    </row>
    <row r="52603" spans="18:19">
      <c r="R52603" s="178"/>
      <c r="S52603" s="178"/>
    </row>
    <row r="52604" spans="18:19">
      <c r="R52604" s="178"/>
      <c r="S52604" s="178"/>
    </row>
    <row r="52605" spans="18:19">
      <c r="R52605" s="178"/>
      <c r="S52605" s="178"/>
    </row>
    <row r="52606" spans="18:19">
      <c r="R52606" s="178"/>
      <c r="S52606" s="178"/>
    </row>
    <row r="52607" spans="18:19">
      <c r="R52607" s="178"/>
      <c r="S52607" s="178"/>
    </row>
    <row r="52608" spans="18:19">
      <c r="R52608" s="178"/>
      <c r="S52608" s="178"/>
    </row>
    <row r="52609" spans="18:19">
      <c r="R52609" s="178"/>
      <c r="S52609" s="178"/>
    </row>
    <row r="52610" spans="18:19">
      <c r="R52610" s="178"/>
      <c r="S52610" s="178"/>
    </row>
    <row r="52611" spans="18:19">
      <c r="R52611" s="178"/>
      <c r="S52611" s="178"/>
    </row>
    <row r="52612" spans="18:19">
      <c r="R52612" s="178"/>
      <c r="S52612" s="178"/>
    </row>
    <row r="52613" spans="18:19">
      <c r="R52613" s="178"/>
      <c r="S52613" s="178"/>
    </row>
    <row r="52614" spans="18:19">
      <c r="R52614" s="178"/>
      <c r="S52614" s="178"/>
    </row>
    <row r="52615" spans="18:19">
      <c r="R52615" s="178"/>
      <c r="S52615" s="178"/>
    </row>
    <row r="52616" spans="18:19">
      <c r="R52616" s="178"/>
      <c r="S52616" s="178"/>
    </row>
    <row r="52617" spans="18:19">
      <c r="R52617" s="178"/>
      <c r="S52617" s="178"/>
    </row>
    <row r="52618" spans="18:19">
      <c r="R52618" s="178"/>
      <c r="S52618" s="178"/>
    </row>
    <row r="52619" spans="18:19">
      <c r="R52619" s="178"/>
      <c r="S52619" s="178"/>
    </row>
    <row r="52620" spans="18:19">
      <c r="R52620" s="178"/>
      <c r="S52620" s="178"/>
    </row>
    <row r="52621" spans="18:19">
      <c r="R52621" s="178"/>
      <c r="S52621" s="178"/>
    </row>
    <row r="52622" spans="18:19">
      <c r="R52622" s="178"/>
      <c r="S52622" s="178"/>
    </row>
    <row r="52623" spans="18:19">
      <c r="R52623" s="178"/>
      <c r="S52623" s="178"/>
    </row>
    <row r="52624" spans="18:19">
      <c r="R52624" s="178"/>
      <c r="S52624" s="178"/>
    </row>
    <row r="52625" spans="18:19">
      <c r="R52625" s="178"/>
      <c r="S52625" s="178"/>
    </row>
    <row r="52626" spans="18:19">
      <c r="R52626" s="178"/>
      <c r="S52626" s="178"/>
    </row>
    <row r="52627" spans="18:19">
      <c r="R52627" s="178"/>
      <c r="S52627" s="178"/>
    </row>
    <row r="52628" spans="18:19">
      <c r="R52628" s="178"/>
      <c r="S52628" s="178"/>
    </row>
    <row r="52629" spans="18:19">
      <c r="R52629" s="178"/>
      <c r="S52629" s="178"/>
    </row>
    <row r="52630" spans="18:19">
      <c r="R52630" s="178"/>
      <c r="S52630" s="178"/>
    </row>
    <row r="52631" spans="18:19">
      <c r="R52631" s="178"/>
      <c r="S52631" s="178"/>
    </row>
    <row r="52632" spans="18:19">
      <c r="R52632" s="178"/>
      <c r="S52632" s="178"/>
    </row>
    <row r="52633" spans="18:19">
      <c r="R52633" s="178"/>
      <c r="S52633" s="178"/>
    </row>
    <row r="52634" spans="18:19">
      <c r="R52634" s="178"/>
      <c r="S52634" s="178"/>
    </row>
    <row r="52635" spans="18:19">
      <c r="R52635" s="178"/>
      <c r="S52635" s="178"/>
    </row>
    <row r="52636" spans="18:19">
      <c r="R52636" s="178"/>
      <c r="S52636" s="178"/>
    </row>
    <row r="52637" spans="18:19">
      <c r="R52637" s="178"/>
      <c r="S52637" s="178"/>
    </row>
    <row r="52638" spans="18:19">
      <c r="R52638" s="178"/>
      <c r="S52638" s="178"/>
    </row>
    <row r="52639" spans="18:19">
      <c r="R52639" s="178"/>
      <c r="S52639" s="178"/>
    </row>
    <row r="52640" spans="18:19">
      <c r="R52640" s="178"/>
      <c r="S52640" s="178"/>
    </row>
    <row r="52641" spans="18:19">
      <c r="R52641" s="178"/>
      <c r="S52641" s="178"/>
    </row>
    <row r="52642" spans="18:19">
      <c r="R52642" s="178"/>
      <c r="S52642" s="178"/>
    </row>
    <row r="52643" spans="18:19">
      <c r="R52643" s="178"/>
      <c r="S52643" s="178"/>
    </row>
    <row r="52644" spans="18:19">
      <c r="R52644" s="178"/>
      <c r="S52644" s="178"/>
    </row>
    <row r="52645" spans="18:19">
      <c r="R52645" s="178"/>
      <c r="S52645" s="178"/>
    </row>
    <row r="52646" spans="18:19">
      <c r="R52646" s="178"/>
      <c r="S52646" s="178"/>
    </row>
    <row r="52647" spans="18:19">
      <c r="R52647" s="178"/>
      <c r="S52647" s="178"/>
    </row>
    <row r="52648" spans="18:19">
      <c r="R52648" s="178"/>
      <c r="S52648" s="178"/>
    </row>
    <row r="52649" spans="18:19">
      <c r="R52649" s="178"/>
      <c r="S52649" s="178"/>
    </row>
    <row r="52650" spans="18:19">
      <c r="R52650" s="178"/>
      <c r="S52650" s="178"/>
    </row>
    <row r="52651" spans="18:19">
      <c r="R52651" s="178"/>
      <c r="S52651" s="178"/>
    </row>
    <row r="52652" spans="18:19">
      <c r="R52652" s="178"/>
      <c r="S52652" s="178"/>
    </row>
    <row r="52653" spans="18:19">
      <c r="R52653" s="178"/>
      <c r="S52653" s="178"/>
    </row>
    <row r="52654" spans="18:19">
      <c r="R52654" s="178"/>
      <c r="S52654" s="178"/>
    </row>
    <row r="52655" spans="18:19">
      <c r="R52655" s="178"/>
      <c r="S52655" s="178"/>
    </row>
    <row r="52656" spans="18:19">
      <c r="R52656" s="178"/>
      <c r="S52656" s="178"/>
    </row>
    <row r="52657" spans="18:19">
      <c r="R52657" s="178"/>
      <c r="S52657" s="178"/>
    </row>
    <row r="52658" spans="18:19">
      <c r="R52658" s="178"/>
      <c r="S52658" s="178"/>
    </row>
    <row r="52659" spans="18:19">
      <c r="R52659" s="178"/>
      <c r="S52659" s="178"/>
    </row>
    <row r="52660" spans="18:19">
      <c r="R52660" s="178"/>
      <c r="S52660" s="178"/>
    </row>
    <row r="52661" spans="18:19">
      <c r="R52661" s="178"/>
      <c r="S52661" s="178"/>
    </row>
    <row r="52662" spans="18:19">
      <c r="R52662" s="178"/>
      <c r="S52662" s="178"/>
    </row>
    <row r="52663" spans="18:19">
      <c r="R52663" s="178"/>
      <c r="S52663" s="178"/>
    </row>
    <row r="52664" spans="18:19">
      <c r="R52664" s="178"/>
      <c r="S52664" s="178"/>
    </row>
    <row r="52665" spans="18:19">
      <c r="R52665" s="178"/>
      <c r="S52665" s="178"/>
    </row>
    <row r="52666" spans="18:19">
      <c r="R52666" s="178"/>
      <c r="S52666" s="178"/>
    </row>
    <row r="52667" spans="18:19">
      <c r="R52667" s="178"/>
      <c r="S52667" s="178"/>
    </row>
    <row r="52668" spans="18:19">
      <c r="R52668" s="178"/>
      <c r="S52668" s="178"/>
    </row>
    <row r="52669" spans="18:19">
      <c r="R52669" s="178"/>
      <c r="S52669" s="178"/>
    </row>
    <row r="52670" spans="18:19">
      <c r="R52670" s="178"/>
      <c r="S52670" s="178"/>
    </row>
    <row r="52671" spans="18:19">
      <c r="R52671" s="178"/>
      <c r="S52671" s="178"/>
    </row>
    <row r="52672" spans="18:19">
      <c r="R52672" s="178"/>
      <c r="S52672" s="178"/>
    </row>
    <row r="52673" spans="18:19">
      <c r="R52673" s="178"/>
      <c r="S52673" s="178"/>
    </row>
    <row r="52674" spans="18:19">
      <c r="R52674" s="178"/>
      <c r="S52674" s="178"/>
    </row>
    <row r="52675" spans="18:19">
      <c r="R52675" s="178"/>
      <c r="S52675" s="178"/>
    </row>
    <row r="52676" spans="18:19">
      <c r="R52676" s="178"/>
      <c r="S52676" s="178"/>
    </row>
    <row r="52677" spans="18:19">
      <c r="R52677" s="178"/>
      <c r="S52677" s="178"/>
    </row>
    <row r="52678" spans="18:19">
      <c r="R52678" s="178"/>
      <c r="S52678" s="178"/>
    </row>
    <row r="52679" spans="18:19">
      <c r="R52679" s="178"/>
      <c r="S52679" s="178"/>
    </row>
    <row r="52680" spans="18:19">
      <c r="R52680" s="178"/>
      <c r="S52680" s="178"/>
    </row>
    <row r="52681" spans="18:19">
      <c r="R52681" s="178"/>
      <c r="S52681" s="178"/>
    </row>
    <row r="52682" spans="18:19">
      <c r="R52682" s="178"/>
      <c r="S52682" s="178"/>
    </row>
    <row r="52683" spans="18:19">
      <c r="R52683" s="178"/>
      <c r="S52683" s="178"/>
    </row>
    <row r="52684" spans="18:19">
      <c r="R52684" s="178"/>
      <c r="S52684" s="178"/>
    </row>
    <row r="52685" spans="18:19">
      <c r="R52685" s="178"/>
      <c r="S52685" s="178"/>
    </row>
    <row r="52686" spans="18:19">
      <c r="R52686" s="178"/>
      <c r="S52686" s="178"/>
    </row>
    <row r="52687" spans="18:19">
      <c r="R52687" s="178"/>
      <c r="S52687" s="178"/>
    </row>
    <row r="52688" spans="18:19">
      <c r="R52688" s="178"/>
      <c r="S52688" s="178"/>
    </row>
    <row r="52689" spans="18:19">
      <c r="R52689" s="178"/>
      <c r="S52689" s="178"/>
    </row>
    <row r="52690" spans="18:19">
      <c r="R52690" s="178"/>
      <c r="S52690" s="178"/>
    </row>
    <row r="52691" spans="18:19">
      <c r="R52691" s="178"/>
      <c r="S52691" s="178"/>
    </row>
    <row r="52692" spans="18:19">
      <c r="R52692" s="178"/>
      <c r="S52692" s="178"/>
    </row>
    <row r="52693" spans="18:19">
      <c r="R52693" s="178"/>
      <c r="S52693" s="178"/>
    </row>
    <row r="52694" spans="18:19">
      <c r="R52694" s="178"/>
      <c r="S52694" s="178"/>
    </row>
    <row r="52695" spans="18:19">
      <c r="R52695" s="178"/>
      <c r="S52695" s="178"/>
    </row>
    <row r="52696" spans="18:19">
      <c r="R52696" s="178"/>
      <c r="S52696" s="178"/>
    </row>
    <row r="52697" spans="18:19">
      <c r="R52697" s="178"/>
      <c r="S52697" s="178"/>
    </row>
    <row r="52698" spans="18:19">
      <c r="R52698" s="178"/>
      <c r="S52698" s="178"/>
    </row>
    <row r="52699" spans="18:19">
      <c r="R52699" s="178"/>
      <c r="S52699" s="178"/>
    </row>
    <row r="52700" spans="18:19">
      <c r="R52700" s="178"/>
      <c r="S52700" s="178"/>
    </row>
    <row r="52701" spans="18:19">
      <c r="R52701" s="178"/>
      <c r="S52701" s="178"/>
    </row>
    <row r="52702" spans="18:19">
      <c r="R52702" s="178"/>
      <c r="S52702" s="178"/>
    </row>
    <row r="52703" spans="18:19">
      <c r="R52703" s="178"/>
      <c r="S52703" s="178"/>
    </row>
    <row r="52704" spans="18:19">
      <c r="R52704" s="178"/>
      <c r="S52704" s="178"/>
    </row>
    <row r="52705" spans="18:19">
      <c r="R52705" s="178"/>
      <c r="S52705" s="178"/>
    </row>
    <row r="52706" spans="18:19">
      <c r="R52706" s="178"/>
      <c r="S52706" s="178"/>
    </row>
    <row r="52707" spans="18:19">
      <c r="R52707" s="178"/>
      <c r="S52707" s="178"/>
    </row>
    <row r="52708" spans="18:19">
      <c r="R52708" s="178"/>
      <c r="S52708" s="178"/>
    </row>
    <row r="52709" spans="18:19">
      <c r="R52709" s="178"/>
      <c r="S52709" s="178"/>
    </row>
    <row r="52710" spans="18:19">
      <c r="R52710" s="178"/>
      <c r="S52710" s="178"/>
    </row>
    <row r="52711" spans="18:19">
      <c r="R52711" s="178"/>
      <c r="S52711" s="178"/>
    </row>
    <row r="52712" spans="18:19">
      <c r="R52712" s="178"/>
      <c r="S52712" s="178"/>
    </row>
    <row r="52713" spans="18:19">
      <c r="R52713" s="178"/>
      <c r="S52713" s="178"/>
    </row>
    <row r="52714" spans="18:19">
      <c r="R52714" s="178"/>
      <c r="S52714" s="178"/>
    </row>
    <row r="52715" spans="18:19">
      <c r="R52715" s="178"/>
      <c r="S52715" s="178"/>
    </row>
    <row r="52716" spans="18:19">
      <c r="R52716" s="178"/>
      <c r="S52716" s="178"/>
    </row>
    <row r="52717" spans="18:19">
      <c r="R52717" s="178"/>
      <c r="S52717" s="178"/>
    </row>
    <row r="52718" spans="18:19">
      <c r="R52718" s="178"/>
      <c r="S52718" s="178"/>
    </row>
    <row r="52719" spans="18:19">
      <c r="R52719" s="178"/>
      <c r="S52719" s="178"/>
    </row>
    <row r="52720" spans="18:19">
      <c r="R52720" s="178"/>
      <c r="S52720" s="178"/>
    </row>
    <row r="52721" spans="18:19">
      <c r="R52721" s="178"/>
      <c r="S52721" s="178"/>
    </row>
    <row r="52722" spans="18:19">
      <c r="R52722" s="178"/>
      <c r="S52722" s="178"/>
    </row>
    <row r="52723" spans="18:19">
      <c r="R52723" s="178"/>
      <c r="S52723" s="178"/>
    </row>
    <row r="52724" spans="18:19">
      <c r="R52724" s="178"/>
      <c r="S52724" s="178"/>
    </row>
    <row r="52725" spans="18:19">
      <c r="R52725" s="178"/>
      <c r="S52725" s="178"/>
    </row>
    <row r="52726" spans="18:19">
      <c r="R52726" s="178"/>
      <c r="S52726" s="178"/>
    </row>
    <row r="52727" spans="18:19">
      <c r="R52727" s="178"/>
      <c r="S52727" s="178"/>
    </row>
    <row r="52728" spans="18:19">
      <c r="R52728" s="178"/>
      <c r="S52728" s="178"/>
    </row>
    <row r="52729" spans="18:19">
      <c r="R52729" s="178"/>
      <c r="S52729" s="178"/>
    </row>
    <row r="52730" spans="18:19">
      <c r="R52730" s="178"/>
      <c r="S52730" s="178"/>
    </row>
    <row r="52731" spans="18:19">
      <c r="R52731" s="178"/>
      <c r="S52731" s="178"/>
    </row>
    <row r="52732" spans="18:19">
      <c r="R52732" s="178"/>
      <c r="S52732" s="178"/>
    </row>
    <row r="52733" spans="18:19">
      <c r="R52733" s="178"/>
      <c r="S52733" s="178"/>
    </row>
    <row r="52734" spans="18:19">
      <c r="R52734" s="178"/>
      <c r="S52734" s="178"/>
    </row>
    <row r="52735" spans="18:19">
      <c r="R52735" s="178"/>
      <c r="S52735" s="178"/>
    </row>
    <row r="52736" spans="18:19">
      <c r="R52736" s="178"/>
      <c r="S52736" s="178"/>
    </row>
    <row r="52737" spans="18:19">
      <c r="R52737" s="178"/>
      <c r="S52737" s="178"/>
    </row>
    <row r="52738" spans="18:19">
      <c r="R52738" s="178"/>
      <c r="S52738" s="178"/>
    </row>
    <row r="52739" spans="18:19">
      <c r="R52739" s="178"/>
      <c r="S52739" s="178"/>
    </row>
    <row r="52740" spans="18:19">
      <c r="R52740" s="178"/>
      <c r="S52740" s="178"/>
    </row>
    <row r="52741" spans="18:19">
      <c r="R52741" s="178"/>
      <c r="S52741" s="178"/>
    </row>
    <row r="52742" spans="18:19">
      <c r="R52742" s="178"/>
      <c r="S52742" s="178"/>
    </row>
    <row r="52743" spans="18:19">
      <c r="R52743" s="178"/>
      <c r="S52743" s="178"/>
    </row>
    <row r="52744" spans="18:19">
      <c r="R52744" s="178"/>
      <c r="S52744" s="178"/>
    </row>
    <row r="52745" spans="18:19">
      <c r="R52745" s="178"/>
      <c r="S52745" s="178"/>
    </row>
    <row r="52746" spans="18:19">
      <c r="R52746" s="178"/>
      <c r="S52746" s="178"/>
    </row>
    <row r="52747" spans="18:19">
      <c r="R52747" s="178"/>
      <c r="S52747" s="178"/>
    </row>
    <row r="52748" spans="18:19">
      <c r="R52748" s="178"/>
      <c r="S52748" s="178"/>
    </row>
    <row r="52749" spans="18:19">
      <c r="R52749" s="178"/>
      <c r="S52749" s="178"/>
    </row>
    <row r="52750" spans="18:19">
      <c r="R52750" s="178"/>
      <c r="S52750" s="178"/>
    </row>
    <row r="52751" spans="18:19">
      <c r="R52751" s="178"/>
      <c r="S52751" s="178"/>
    </row>
    <row r="52752" spans="18:19">
      <c r="R52752" s="178"/>
      <c r="S52752" s="178"/>
    </row>
    <row r="52753" spans="18:19">
      <c r="R52753" s="178"/>
      <c r="S52753" s="178"/>
    </row>
    <row r="52754" spans="18:19">
      <c r="R52754" s="178"/>
      <c r="S52754" s="178"/>
    </row>
    <row r="52755" spans="18:19">
      <c r="R52755" s="178"/>
      <c r="S52755" s="178"/>
    </row>
    <row r="52756" spans="18:19">
      <c r="R52756" s="178"/>
      <c r="S52756" s="178"/>
    </row>
    <row r="52757" spans="18:19">
      <c r="R52757" s="178"/>
      <c r="S52757" s="178"/>
    </row>
    <row r="52758" spans="18:19">
      <c r="R52758" s="178"/>
      <c r="S52758" s="178"/>
    </row>
    <row r="52759" spans="18:19">
      <c r="R52759" s="178"/>
      <c r="S52759" s="178"/>
    </row>
    <row r="52760" spans="18:19">
      <c r="R52760" s="178"/>
      <c r="S52760" s="178"/>
    </row>
    <row r="52761" spans="18:19">
      <c r="R52761" s="178"/>
      <c r="S52761" s="178"/>
    </row>
    <row r="52762" spans="18:19">
      <c r="R52762" s="178"/>
      <c r="S52762" s="178"/>
    </row>
    <row r="52763" spans="18:19">
      <c r="R52763" s="178"/>
      <c r="S52763" s="178"/>
    </row>
    <row r="52764" spans="18:19">
      <c r="R52764" s="178"/>
      <c r="S52764" s="178"/>
    </row>
    <row r="52765" spans="18:19">
      <c r="R52765" s="178"/>
      <c r="S52765" s="178"/>
    </row>
    <row r="52766" spans="18:19">
      <c r="R52766" s="178"/>
      <c r="S52766" s="178"/>
    </row>
    <row r="52767" spans="18:19">
      <c r="R52767" s="178"/>
      <c r="S52767" s="178"/>
    </row>
    <row r="52768" spans="18:19">
      <c r="R52768" s="178"/>
      <c r="S52768" s="178"/>
    </row>
    <row r="52769" spans="18:19">
      <c r="R52769" s="178"/>
      <c r="S52769" s="178"/>
    </row>
    <row r="52770" spans="18:19">
      <c r="R52770" s="178"/>
      <c r="S52770" s="178"/>
    </row>
    <row r="52771" spans="18:19">
      <c r="R52771" s="178"/>
      <c r="S52771" s="178"/>
    </row>
    <row r="52772" spans="18:19">
      <c r="R52772" s="178"/>
      <c r="S52772" s="178"/>
    </row>
    <row r="52773" spans="18:19">
      <c r="R52773" s="178"/>
      <c r="S52773" s="178"/>
    </row>
    <row r="52774" spans="18:19">
      <c r="R52774" s="178"/>
      <c r="S52774" s="178"/>
    </row>
    <row r="52775" spans="18:19">
      <c r="R52775" s="178"/>
      <c r="S52775" s="178"/>
    </row>
    <row r="52776" spans="18:19">
      <c r="R52776" s="178"/>
      <c r="S52776" s="178"/>
    </row>
    <row r="52777" spans="18:19">
      <c r="R52777" s="178"/>
      <c r="S52777" s="178"/>
    </row>
    <row r="52778" spans="18:19">
      <c r="R52778" s="178"/>
      <c r="S52778" s="178"/>
    </row>
    <row r="52779" spans="18:19">
      <c r="R52779" s="178"/>
      <c r="S52779" s="178"/>
    </row>
    <row r="52780" spans="18:19">
      <c r="R52780" s="178"/>
      <c r="S52780" s="178"/>
    </row>
    <row r="52781" spans="18:19">
      <c r="R52781" s="178"/>
      <c r="S52781" s="178"/>
    </row>
    <row r="52782" spans="18:19">
      <c r="R52782" s="178"/>
      <c r="S52782" s="178"/>
    </row>
    <row r="52783" spans="18:19">
      <c r="R52783" s="178"/>
      <c r="S52783" s="178"/>
    </row>
    <row r="52784" spans="18:19">
      <c r="R52784" s="178"/>
      <c r="S52784" s="178"/>
    </row>
    <row r="52785" spans="18:19">
      <c r="R52785" s="178"/>
      <c r="S52785" s="178"/>
    </row>
    <row r="52786" spans="18:19">
      <c r="R52786" s="178"/>
      <c r="S52786" s="178"/>
    </row>
    <row r="52787" spans="18:19">
      <c r="R52787" s="178"/>
      <c r="S52787" s="178"/>
    </row>
    <row r="52788" spans="18:19">
      <c r="R52788" s="178"/>
      <c r="S52788" s="178"/>
    </row>
    <row r="52789" spans="18:19">
      <c r="R52789" s="178"/>
      <c r="S52789" s="178"/>
    </row>
    <row r="52790" spans="18:19">
      <c r="R52790" s="178"/>
      <c r="S52790" s="178"/>
    </row>
    <row r="52791" spans="18:19">
      <c r="R52791" s="178"/>
      <c r="S52791" s="178"/>
    </row>
    <row r="52792" spans="18:19">
      <c r="R52792" s="178"/>
      <c r="S52792" s="178"/>
    </row>
    <row r="52793" spans="18:19">
      <c r="R52793" s="178"/>
      <c r="S52793" s="178"/>
    </row>
    <row r="52794" spans="18:19">
      <c r="R52794" s="178"/>
      <c r="S52794" s="178"/>
    </row>
    <row r="52795" spans="18:19">
      <c r="R52795" s="178"/>
      <c r="S52795" s="178"/>
    </row>
    <row r="52796" spans="18:19">
      <c r="R52796" s="178"/>
      <c r="S52796" s="178"/>
    </row>
    <row r="52797" spans="18:19">
      <c r="R52797" s="178"/>
      <c r="S52797" s="178"/>
    </row>
    <row r="52798" spans="18:19">
      <c r="R52798" s="178"/>
      <c r="S52798" s="178"/>
    </row>
    <row r="52799" spans="18:19">
      <c r="R52799" s="178"/>
      <c r="S52799" s="178"/>
    </row>
    <row r="52800" spans="18:19">
      <c r="R52800" s="178"/>
      <c r="S52800" s="178"/>
    </row>
    <row r="52801" spans="18:19">
      <c r="R52801" s="178"/>
      <c r="S52801" s="178"/>
    </row>
    <row r="52802" spans="18:19">
      <c r="R52802" s="178"/>
      <c r="S52802" s="178"/>
    </row>
    <row r="52803" spans="18:19">
      <c r="R52803" s="178"/>
      <c r="S52803" s="178"/>
    </row>
    <row r="52804" spans="18:19">
      <c r="R52804" s="178"/>
      <c r="S52804" s="178"/>
    </row>
    <row r="52805" spans="18:19">
      <c r="R52805" s="178"/>
      <c r="S52805" s="178"/>
    </row>
    <row r="52806" spans="18:19">
      <c r="R52806" s="178"/>
      <c r="S52806" s="178"/>
    </row>
    <row r="52807" spans="18:19">
      <c r="R52807" s="178"/>
      <c r="S52807" s="178"/>
    </row>
    <row r="52808" spans="18:19">
      <c r="R52808" s="178"/>
      <c r="S52808" s="178"/>
    </row>
    <row r="52809" spans="18:19">
      <c r="R52809" s="178"/>
      <c r="S52809" s="178"/>
    </row>
    <row r="52810" spans="18:19">
      <c r="R52810" s="178"/>
      <c r="S52810" s="178"/>
    </row>
    <row r="52811" spans="18:19">
      <c r="R52811" s="178"/>
      <c r="S52811" s="178"/>
    </row>
    <row r="52812" spans="18:19">
      <c r="R52812" s="178"/>
      <c r="S52812" s="178"/>
    </row>
    <row r="52813" spans="18:19">
      <c r="R52813" s="178"/>
      <c r="S52813" s="178"/>
    </row>
    <row r="52814" spans="18:19">
      <c r="R52814" s="178"/>
      <c r="S52814" s="178"/>
    </row>
    <row r="52815" spans="18:19">
      <c r="R52815" s="178"/>
      <c r="S52815" s="178"/>
    </row>
    <row r="52816" spans="18:19">
      <c r="R52816" s="178"/>
      <c r="S52816" s="178"/>
    </row>
    <row r="52817" spans="18:19">
      <c r="R52817" s="178"/>
      <c r="S52817" s="178"/>
    </row>
    <row r="52818" spans="18:19">
      <c r="R52818" s="178"/>
      <c r="S52818" s="178"/>
    </row>
    <row r="52819" spans="18:19">
      <c r="R52819" s="178"/>
      <c r="S52819" s="178"/>
    </row>
    <row r="52820" spans="18:19">
      <c r="R52820" s="178"/>
      <c r="S52820" s="178"/>
    </row>
    <row r="52821" spans="18:19">
      <c r="R52821" s="178"/>
      <c r="S52821" s="178"/>
    </row>
    <row r="52822" spans="18:19">
      <c r="R52822" s="178"/>
      <c r="S52822" s="178"/>
    </row>
    <row r="52823" spans="18:19">
      <c r="R52823" s="178"/>
      <c r="S52823" s="178"/>
    </row>
    <row r="52824" spans="18:19">
      <c r="R52824" s="178"/>
      <c r="S52824" s="178"/>
    </row>
    <row r="52825" spans="18:19">
      <c r="R52825" s="178"/>
      <c r="S52825" s="178"/>
    </row>
    <row r="52826" spans="18:19">
      <c r="R52826" s="178"/>
      <c r="S52826" s="178"/>
    </row>
    <row r="52827" spans="18:19">
      <c r="R52827" s="178"/>
      <c r="S52827" s="178"/>
    </row>
    <row r="52828" spans="18:19">
      <c r="R52828" s="178"/>
      <c r="S52828" s="178"/>
    </row>
    <row r="52829" spans="18:19">
      <c r="R52829" s="178"/>
      <c r="S52829" s="178"/>
    </row>
    <row r="52830" spans="18:19">
      <c r="R52830" s="178"/>
      <c r="S52830" s="178"/>
    </row>
    <row r="52831" spans="18:19">
      <c r="R52831" s="178"/>
      <c r="S52831" s="178"/>
    </row>
    <row r="52832" spans="18:19">
      <c r="R52832" s="178"/>
      <c r="S52832" s="178"/>
    </row>
    <row r="52833" spans="18:19">
      <c r="R52833" s="178"/>
      <c r="S52833" s="178"/>
    </row>
    <row r="52834" spans="18:19">
      <c r="R52834" s="178"/>
      <c r="S52834" s="178"/>
    </row>
    <row r="52835" spans="18:19">
      <c r="R52835" s="178"/>
      <c r="S52835" s="178"/>
    </row>
    <row r="52836" spans="18:19">
      <c r="R52836" s="178"/>
      <c r="S52836" s="178"/>
    </row>
    <row r="52837" spans="18:19">
      <c r="R52837" s="178"/>
      <c r="S52837" s="178"/>
    </row>
    <row r="52838" spans="18:19">
      <c r="R52838" s="178"/>
      <c r="S52838" s="178"/>
    </row>
    <row r="52839" spans="18:19">
      <c r="R52839" s="178"/>
      <c r="S52839" s="178"/>
    </row>
    <row r="52840" spans="18:19">
      <c r="R52840" s="178"/>
      <c r="S52840" s="178"/>
    </row>
    <row r="52841" spans="18:19">
      <c r="R52841" s="178"/>
      <c r="S52841" s="178"/>
    </row>
    <row r="52842" spans="18:19">
      <c r="R52842" s="178"/>
      <c r="S52842" s="178"/>
    </row>
    <row r="52843" spans="18:19">
      <c r="R52843" s="178"/>
      <c r="S52843" s="178"/>
    </row>
    <row r="52844" spans="18:19">
      <c r="R52844" s="178"/>
      <c r="S52844" s="178"/>
    </row>
    <row r="52845" spans="18:19">
      <c r="R52845" s="178"/>
      <c r="S52845" s="178"/>
    </row>
    <row r="52846" spans="18:19">
      <c r="R52846" s="178"/>
      <c r="S52846" s="178"/>
    </row>
    <row r="52847" spans="18:19">
      <c r="R52847" s="178"/>
      <c r="S52847" s="178"/>
    </row>
    <row r="52848" spans="18:19">
      <c r="R52848" s="178"/>
      <c r="S52848" s="178"/>
    </row>
    <row r="52849" spans="18:19">
      <c r="R52849" s="178"/>
      <c r="S52849" s="178"/>
    </row>
    <row r="52850" spans="18:19">
      <c r="R52850" s="178"/>
      <c r="S52850" s="178"/>
    </row>
    <row r="52851" spans="18:19">
      <c r="R52851" s="178"/>
      <c r="S52851" s="178"/>
    </row>
    <row r="52852" spans="18:19">
      <c r="R52852" s="178"/>
      <c r="S52852" s="178"/>
    </row>
    <row r="52853" spans="18:19">
      <c r="R52853" s="178"/>
      <c r="S52853" s="178"/>
    </row>
    <row r="52854" spans="18:19">
      <c r="R52854" s="178"/>
      <c r="S52854" s="178"/>
    </row>
    <row r="52855" spans="18:19">
      <c r="R52855" s="178"/>
      <c r="S52855" s="178"/>
    </row>
    <row r="52856" spans="18:19">
      <c r="R52856" s="178"/>
      <c r="S52856" s="178"/>
    </row>
    <row r="52857" spans="18:19">
      <c r="R52857" s="178"/>
      <c r="S52857" s="178"/>
    </row>
    <row r="52858" spans="18:19">
      <c r="R52858" s="178"/>
      <c r="S52858" s="178"/>
    </row>
    <row r="52859" spans="18:19">
      <c r="R52859" s="178"/>
      <c r="S52859" s="178"/>
    </row>
    <row r="52860" spans="18:19">
      <c r="R52860" s="178"/>
      <c r="S52860" s="178"/>
    </row>
    <row r="52861" spans="18:19">
      <c r="R52861" s="178"/>
      <c r="S52861" s="178"/>
    </row>
    <row r="52862" spans="18:19">
      <c r="R52862" s="178"/>
      <c r="S52862" s="178"/>
    </row>
    <row r="52863" spans="18:19">
      <c r="R52863" s="178"/>
      <c r="S52863" s="178"/>
    </row>
    <row r="52864" spans="18:19">
      <c r="R52864" s="178"/>
      <c r="S52864" s="178"/>
    </row>
    <row r="52865" spans="18:19">
      <c r="R52865" s="178"/>
      <c r="S52865" s="178"/>
    </row>
    <row r="52866" spans="18:19">
      <c r="R52866" s="178"/>
      <c r="S52866" s="178"/>
    </row>
    <row r="52867" spans="18:19">
      <c r="R52867" s="178"/>
      <c r="S52867" s="178"/>
    </row>
    <row r="52868" spans="18:19">
      <c r="R52868" s="178"/>
      <c r="S52868" s="178"/>
    </row>
    <row r="52869" spans="18:19">
      <c r="R52869" s="178"/>
      <c r="S52869" s="178"/>
    </row>
    <row r="52870" spans="18:19">
      <c r="R52870" s="178"/>
      <c r="S52870" s="178"/>
    </row>
    <row r="52871" spans="18:19">
      <c r="R52871" s="178"/>
      <c r="S52871" s="178"/>
    </row>
    <row r="52872" spans="18:19">
      <c r="R52872" s="178"/>
      <c r="S52872" s="178"/>
    </row>
    <row r="52873" spans="18:19">
      <c r="R52873" s="178"/>
      <c r="S52873" s="178"/>
    </row>
    <row r="52874" spans="18:19">
      <c r="R52874" s="178"/>
      <c r="S52874" s="178"/>
    </row>
    <row r="52875" spans="18:19">
      <c r="R52875" s="178"/>
      <c r="S52875" s="178"/>
    </row>
    <row r="52876" spans="18:19">
      <c r="R52876" s="178"/>
      <c r="S52876" s="178"/>
    </row>
    <row r="52877" spans="18:19">
      <c r="R52877" s="178"/>
      <c r="S52877" s="178"/>
    </row>
    <row r="52878" spans="18:19">
      <c r="R52878" s="178"/>
      <c r="S52878" s="178"/>
    </row>
    <row r="52879" spans="18:19">
      <c r="R52879" s="178"/>
      <c r="S52879" s="178"/>
    </row>
    <row r="52880" spans="18:19">
      <c r="R52880" s="178"/>
      <c r="S52880" s="178"/>
    </row>
    <row r="52881" spans="18:19">
      <c r="R52881" s="178"/>
      <c r="S52881" s="178"/>
    </row>
    <row r="52882" spans="18:19">
      <c r="R52882" s="178"/>
      <c r="S52882" s="178"/>
    </row>
    <row r="52883" spans="18:19">
      <c r="R52883" s="178"/>
      <c r="S52883" s="178"/>
    </row>
    <row r="52884" spans="18:19">
      <c r="R52884" s="178"/>
      <c r="S52884" s="178"/>
    </row>
    <row r="52885" spans="18:19">
      <c r="R52885" s="178"/>
      <c r="S52885" s="178"/>
    </row>
    <row r="52886" spans="18:19">
      <c r="R52886" s="178"/>
      <c r="S52886" s="178"/>
    </row>
    <row r="52887" spans="18:19">
      <c r="R52887" s="178"/>
      <c r="S52887" s="178"/>
    </row>
    <row r="52888" spans="18:19">
      <c r="R52888" s="178"/>
      <c r="S52888" s="178"/>
    </row>
    <row r="52889" spans="18:19">
      <c r="R52889" s="178"/>
      <c r="S52889" s="178"/>
    </row>
    <row r="52890" spans="18:19">
      <c r="R52890" s="178"/>
      <c r="S52890" s="178"/>
    </row>
    <row r="52891" spans="18:19">
      <c r="R52891" s="178"/>
      <c r="S52891" s="178"/>
    </row>
    <row r="52892" spans="18:19">
      <c r="R52892" s="178"/>
      <c r="S52892" s="178"/>
    </row>
    <row r="52893" spans="18:19">
      <c r="R52893" s="178"/>
      <c r="S52893" s="178"/>
    </row>
    <row r="52894" spans="18:19">
      <c r="R52894" s="178"/>
      <c r="S52894" s="178"/>
    </row>
    <row r="52895" spans="18:19">
      <c r="R52895" s="178"/>
      <c r="S52895" s="178"/>
    </row>
    <row r="52896" spans="18:19">
      <c r="R52896" s="178"/>
      <c r="S52896" s="178"/>
    </row>
    <row r="52897" spans="18:19">
      <c r="R52897" s="178"/>
      <c r="S52897" s="178"/>
    </row>
    <row r="52898" spans="18:19">
      <c r="R52898" s="178"/>
      <c r="S52898" s="178"/>
    </row>
    <row r="52899" spans="18:19">
      <c r="R52899" s="178"/>
      <c r="S52899" s="178"/>
    </row>
    <row r="52900" spans="18:19">
      <c r="R52900" s="178"/>
      <c r="S52900" s="178"/>
    </row>
    <row r="52901" spans="18:19">
      <c r="R52901" s="178"/>
      <c r="S52901" s="178"/>
    </row>
    <row r="52902" spans="18:19">
      <c r="R52902" s="178"/>
      <c r="S52902" s="178"/>
    </row>
    <row r="52903" spans="18:19">
      <c r="R52903" s="178"/>
      <c r="S52903" s="178"/>
    </row>
    <row r="52904" spans="18:19">
      <c r="R52904" s="178"/>
      <c r="S52904" s="178"/>
    </row>
    <row r="52905" spans="18:19">
      <c r="R52905" s="178"/>
      <c r="S52905" s="178"/>
    </row>
    <row r="52906" spans="18:19">
      <c r="R52906" s="178"/>
      <c r="S52906" s="178"/>
    </row>
    <row r="52907" spans="18:19">
      <c r="R52907" s="178"/>
      <c r="S52907" s="178"/>
    </row>
    <row r="52908" spans="18:19">
      <c r="R52908" s="178"/>
      <c r="S52908" s="178"/>
    </row>
    <row r="52909" spans="18:19">
      <c r="R52909" s="178"/>
      <c r="S52909" s="178"/>
    </row>
    <row r="52910" spans="18:19">
      <c r="R52910" s="178"/>
      <c r="S52910" s="178"/>
    </row>
    <row r="52911" spans="18:19">
      <c r="R52911" s="178"/>
      <c r="S52911" s="178"/>
    </row>
    <row r="52912" spans="18:19">
      <c r="R52912" s="178"/>
      <c r="S52912" s="178"/>
    </row>
    <row r="52913" spans="18:19">
      <c r="R52913" s="178"/>
      <c r="S52913" s="178"/>
    </row>
    <row r="52914" spans="18:19">
      <c r="R52914" s="178"/>
      <c r="S52914" s="178"/>
    </row>
    <row r="52915" spans="18:19">
      <c r="R52915" s="178"/>
      <c r="S52915" s="178"/>
    </row>
    <row r="52916" spans="18:19">
      <c r="R52916" s="178"/>
      <c r="S52916" s="178"/>
    </row>
    <row r="52917" spans="18:19">
      <c r="R52917" s="178"/>
      <c r="S52917" s="178"/>
    </row>
    <row r="52918" spans="18:19">
      <c r="R52918" s="178"/>
      <c r="S52918" s="178"/>
    </row>
    <row r="52919" spans="18:19">
      <c r="R52919" s="178"/>
      <c r="S52919" s="178"/>
    </row>
    <row r="52920" spans="18:19">
      <c r="R52920" s="178"/>
      <c r="S52920" s="178"/>
    </row>
    <row r="52921" spans="18:19">
      <c r="R52921" s="178"/>
      <c r="S52921" s="178"/>
    </row>
    <row r="52922" spans="18:19">
      <c r="R52922" s="178"/>
      <c r="S52922" s="178"/>
    </row>
    <row r="52923" spans="18:19">
      <c r="R52923" s="178"/>
      <c r="S52923" s="178"/>
    </row>
    <row r="52924" spans="18:19">
      <c r="R52924" s="178"/>
      <c r="S52924" s="178"/>
    </row>
    <row r="52925" spans="18:19">
      <c r="R52925" s="178"/>
      <c r="S52925" s="178"/>
    </row>
    <row r="52926" spans="18:19">
      <c r="R52926" s="178"/>
      <c r="S52926" s="178"/>
    </row>
    <row r="52927" spans="18:19">
      <c r="R52927" s="178"/>
      <c r="S52927" s="178"/>
    </row>
    <row r="52928" spans="18:19">
      <c r="R52928" s="178"/>
      <c r="S52928" s="178"/>
    </row>
    <row r="52929" spans="18:19">
      <c r="R52929" s="178"/>
      <c r="S52929" s="178"/>
    </row>
    <row r="52930" spans="18:19">
      <c r="R52930" s="178"/>
      <c r="S52930" s="178"/>
    </row>
    <row r="52931" spans="18:19">
      <c r="R52931" s="178"/>
      <c r="S52931" s="178"/>
    </row>
    <row r="52932" spans="18:19">
      <c r="R52932" s="178"/>
      <c r="S52932" s="178"/>
    </row>
    <row r="52933" spans="18:19">
      <c r="R52933" s="178"/>
      <c r="S52933" s="178"/>
    </row>
    <row r="52934" spans="18:19">
      <c r="R52934" s="178"/>
      <c r="S52934" s="178"/>
    </row>
    <row r="52935" spans="18:19">
      <c r="R52935" s="178"/>
      <c r="S52935" s="178"/>
    </row>
    <row r="52936" spans="18:19">
      <c r="R52936" s="178"/>
      <c r="S52936" s="178"/>
    </row>
    <row r="52937" spans="18:19">
      <c r="R52937" s="178"/>
      <c r="S52937" s="178"/>
    </row>
    <row r="52938" spans="18:19">
      <c r="R52938" s="178"/>
      <c r="S52938" s="178"/>
    </row>
    <row r="52939" spans="18:19">
      <c r="R52939" s="178"/>
      <c r="S52939" s="178"/>
    </row>
    <row r="52940" spans="18:19">
      <c r="R52940" s="178"/>
      <c r="S52940" s="178"/>
    </row>
    <row r="52941" spans="18:19">
      <c r="R52941" s="178"/>
      <c r="S52941" s="178"/>
    </row>
    <row r="52942" spans="18:19">
      <c r="R52942" s="178"/>
      <c r="S52942" s="178"/>
    </row>
    <row r="52943" spans="18:19">
      <c r="R52943" s="178"/>
      <c r="S52943" s="178"/>
    </row>
    <row r="52944" spans="18:19">
      <c r="R52944" s="178"/>
      <c r="S52944" s="178"/>
    </row>
    <row r="52945" spans="18:19">
      <c r="R52945" s="178"/>
      <c r="S52945" s="178"/>
    </row>
    <row r="52946" spans="18:19">
      <c r="R52946" s="178"/>
      <c r="S52946" s="178"/>
    </row>
    <row r="52947" spans="18:19">
      <c r="R52947" s="178"/>
      <c r="S52947" s="178"/>
    </row>
    <row r="52948" spans="18:19">
      <c r="R52948" s="178"/>
      <c r="S52948" s="178"/>
    </row>
    <row r="52949" spans="18:19">
      <c r="R52949" s="178"/>
      <c r="S52949" s="178"/>
    </row>
    <row r="52950" spans="18:19">
      <c r="R52950" s="178"/>
      <c r="S52950" s="178"/>
    </row>
    <row r="52951" spans="18:19">
      <c r="R52951" s="178"/>
      <c r="S52951" s="178"/>
    </row>
    <row r="52952" spans="18:19">
      <c r="R52952" s="178"/>
      <c r="S52952" s="178"/>
    </row>
    <row r="52953" spans="18:19">
      <c r="R52953" s="178"/>
      <c r="S52953" s="178"/>
    </row>
    <row r="52954" spans="18:19">
      <c r="R52954" s="178"/>
      <c r="S52954" s="178"/>
    </row>
    <row r="52955" spans="18:19">
      <c r="R52955" s="178"/>
      <c r="S52955" s="178"/>
    </row>
    <row r="52956" spans="18:19">
      <c r="R52956" s="178"/>
      <c r="S52956" s="178"/>
    </row>
    <row r="52957" spans="18:19">
      <c r="R52957" s="178"/>
      <c r="S52957" s="178"/>
    </row>
    <row r="52958" spans="18:19">
      <c r="R52958" s="178"/>
      <c r="S52958" s="178"/>
    </row>
    <row r="52959" spans="18:19">
      <c r="R52959" s="178"/>
      <c r="S52959" s="178"/>
    </row>
    <row r="52960" spans="18:19">
      <c r="R52960" s="178"/>
      <c r="S52960" s="178"/>
    </row>
    <row r="52961" spans="18:19">
      <c r="R52961" s="178"/>
      <c r="S52961" s="178"/>
    </row>
    <row r="52962" spans="18:19">
      <c r="R52962" s="178"/>
      <c r="S52962" s="178"/>
    </row>
    <row r="52963" spans="18:19">
      <c r="R52963" s="178"/>
      <c r="S52963" s="178"/>
    </row>
    <row r="52964" spans="18:19">
      <c r="R52964" s="178"/>
      <c r="S52964" s="178"/>
    </row>
    <row r="52965" spans="18:19">
      <c r="R52965" s="178"/>
      <c r="S52965" s="178"/>
    </row>
    <row r="52966" spans="18:19">
      <c r="R52966" s="178"/>
      <c r="S52966" s="178"/>
    </row>
    <row r="52967" spans="18:19">
      <c r="R52967" s="178"/>
      <c r="S52967" s="178"/>
    </row>
    <row r="52968" spans="18:19">
      <c r="R52968" s="178"/>
      <c r="S52968" s="178"/>
    </row>
    <row r="52969" spans="18:19">
      <c r="R52969" s="178"/>
      <c r="S52969" s="178"/>
    </row>
    <row r="52970" spans="18:19">
      <c r="R52970" s="178"/>
      <c r="S52970" s="178"/>
    </row>
    <row r="52971" spans="18:19">
      <c r="R52971" s="178"/>
      <c r="S52971" s="178"/>
    </row>
    <row r="52972" spans="18:19">
      <c r="R52972" s="178"/>
      <c r="S52972" s="178"/>
    </row>
    <row r="52973" spans="18:19">
      <c r="R52973" s="178"/>
      <c r="S52973" s="178"/>
    </row>
    <row r="52974" spans="18:19">
      <c r="R52974" s="178"/>
      <c r="S52974" s="178"/>
    </row>
    <row r="52975" spans="18:19">
      <c r="R52975" s="178"/>
      <c r="S52975" s="178"/>
    </row>
    <row r="52976" spans="18:19">
      <c r="R52976" s="178"/>
      <c r="S52976" s="178"/>
    </row>
    <row r="52977" spans="18:19">
      <c r="R52977" s="178"/>
      <c r="S52977" s="178"/>
    </row>
    <row r="52978" spans="18:19">
      <c r="R52978" s="178"/>
      <c r="S52978" s="178"/>
    </row>
    <row r="52979" spans="18:19">
      <c r="R52979" s="178"/>
      <c r="S52979" s="178"/>
    </row>
    <row r="52980" spans="18:19">
      <c r="R52980" s="178"/>
      <c r="S52980" s="178"/>
    </row>
    <row r="52981" spans="18:19">
      <c r="R52981" s="178"/>
      <c r="S52981" s="178"/>
    </row>
    <row r="52982" spans="18:19">
      <c r="R52982" s="178"/>
      <c r="S52982" s="178"/>
    </row>
    <row r="52983" spans="18:19">
      <c r="R52983" s="178"/>
      <c r="S52983" s="178"/>
    </row>
    <row r="52984" spans="18:19">
      <c r="R52984" s="178"/>
      <c r="S52984" s="178"/>
    </row>
    <row r="52985" spans="18:19">
      <c r="R52985" s="178"/>
      <c r="S52985" s="178"/>
    </row>
    <row r="52986" spans="18:19">
      <c r="R52986" s="178"/>
      <c r="S52986" s="178"/>
    </row>
    <row r="52987" spans="18:19">
      <c r="R52987" s="178"/>
      <c r="S52987" s="178"/>
    </row>
    <row r="52988" spans="18:19">
      <c r="R52988" s="178"/>
      <c r="S52988" s="178"/>
    </row>
    <row r="52989" spans="18:19">
      <c r="R52989" s="178"/>
      <c r="S52989" s="178"/>
    </row>
    <row r="52990" spans="18:19">
      <c r="R52990" s="178"/>
      <c r="S52990" s="178"/>
    </row>
    <row r="52991" spans="18:19">
      <c r="R52991" s="178"/>
      <c r="S52991" s="178"/>
    </row>
    <row r="52992" spans="18:19">
      <c r="R52992" s="178"/>
      <c r="S52992" s="178"/>
    </row>
    <row r="52993" spans="18:19">
      <c r="R52993" s="178"/>
      <c r="S52993" s="178"/>
    </row>
    <row r="52994" spans="18:19">
      <c r="R52994" s="178"/>
      <c r="S52994" s="178"/>
    </row>
    <row r="52995" spans="18:19">
      <c r="R52995" s="178"/>
      <c r="S52995" s="178"/>
    </row>
    <row r="52996" spans="18:19">
      <c r="R52996" s="178"/>
      <c r="S52996" s="178"/>
    </row>
    <row r="52997" spans="18:19">
      <c r="R52997" s="178"/>
      <c r="S52997" s="178"/>
    </row>
    <row r="52998" spans="18:19">
      <c r="R52998" s="178"/>
      <c r="S52998" s="178"/>
    </row>
    <row r="52999" spans="18:19">
      <c r="R52999" s="178"/>
      <c r="S52999" s="178"/>
    </row>
    <row r="53000" spans="18:19">
      <c r="R53000" s="178"/>
      <c r="S53000" s="178"/>
    </row>
    <row r="53001" spans="18:19">
      <c r="R53001" s="178"/>
      <c r="S53001" s="178"/>
    </row>
    <row r="53002" spans="18:19">
      <c r="R53002" s="178"/>
      <c r="S53002" s="178"/>
    </row>
    <row r="53003" spans="18:19">
      <c r="R53003" s="178"/>
      <c r="S53003" s="178"/>
    </row>
    <row r="53004" spans="18:19">
      <c r="R53004" s="178"/>
      <c r="S53004" s="178"/>
    </row>
    <row r="53005" spans="18:19">
      <c r="R53005" s="178"/>
      <c r="S53005" s="178"/>
    </row>
    <row r="53006" spans="18:19">
      <c r="R53006" s="178"/>
      <c r="S53006" s="178"/>
    </row>
    <row r="53007" spans="18:19">
      <c r="R53007" s="178"/>
      <c r="S53007" s="178"/>
    </row>
    <row r="53008" spans="18:19">
      <c r="R53008" s="178"/>
      <c r="S53008" s="178"/>
    </row>
    <row r="53009" spans="18:19">
      <c r="R53009" s="178"/>
      <c r="S53009" s="178"/>
    </row>
    <row r="53010" spans="18:19">
      <c r="R53010" s="178"/>
      <c r="S53010" s="178"/>
    </row>
    <row r="53011" spans="18:19">
      <c r="R53011" s="178"/>
      <c r="S53011" s="178"/>
    </row>
    <row r="53012" spans="18:19">
      <c r="R53012" s="178"/>
      <c r="S53012" s="178"/>
    </row>
    <row r="53013" spans="18:19">
      <c r="R53013" s="178"/>
      <c r="S53013" s="178"/>
    </row>
    <row r="53014" spans="18:19">
      <c r="R53014" s="178"/>
      <c r="S53014" s="178"/>
    </row>
    <row r="53015" spans="18:19">
      <c r="R53015" s="178"/>
      <c r="S53015" s="178"/>
    </row>
    <row r="53016" spans="18:19">
      <c r="R53016" s="178"/>
      <c r="S53016" s="178"/>
    </row>
    <row r="53017" spans="18:19">
      <c r="R53017" s="178"/>
      <c r="S53017" s="178"/>
    </row>
    <row r="53018" spans="18:19">
      <c r="R53018" s="178"/>
      <c r="S53018" s="178"/>
    </row>
    <row r="53019" spans="18:19">
      <c r="R53019" s="178"/>
      <c r="S53019" s="178"/>
    </row>
    <row r="53020" spans="18:19">
      <c r="R53020" s="178"/>
      <c r="S53020" s="178"/>
    </row>
    <row r="53021" spans="18:19">
      <c r="R53021" s="178"/>
      <c r="S53021" s="178"/>
    </row>
    <row r="53022" spans="18:19">
      <c r="R53022" s="178"/>
      <c r="S53022" s="178"/>
    </row>
    <row r="53023" spans="18:19">
      <c r="R53023" s="178"/>
      <c r="S53023" s="178"/>
    </row>
    <row r="53024" spans="18:19">
      <c r="R53024" s="178"/>
      <c r="S53024" s="178"/>
    </row>
    <row r="53025" spans="18:19">
      <c r="R53025" s="178"/>
      <c r="S53025" s="178"/>
    </row>
    <row r="53026" spans="18:19">
      <c r="R53026" s="178"/>
      <c r="S53026" s="178"/>
    </row>
    <row r="53027" spans="18:19">
      <c r="R53027" s="178"/>
      <c r="S53027" s="178"/>
    </row>
    <row r="53028" spans="18:19">
      <c r="R53028" s="178"/>
      <c r="S53028" s="178"/>
    </row>
    <row r="53029" spans="18:19">
      <c r="R53029" s="178"/>
      <c r="S53029" s="178"/>
    </row>
    <row r="53030" spans="18:19">
      <c r="R53030" s="178"/>
      <c r="S53030" s="178"/>
    </row>
    <row r="53031" spans="18:19">
      <c r="R53031" s="178"/>
      <c r="S53031" s="178"/>
    </row>
    <row r="53032" spans="18:19">
      <c r="R53032" s="178"/>
      <c r="S53032" s="178"/>
    </row>
    <row r="53033" spans="18:19">
      <c r="R53033" s="178"/>
      <c r="S53033" s="178"/>
    </row>
    <row r="53034" spans="18:19">
      <c r="R53034" s="178"/>
      <c r="S53034" s="178"/>
    </row>
    <row r="53035" spans="18:19">
      <c r="R53035" s="178"/>
      <c r="S53035" s="178"/>
    </row>
    <row r="53036" spans="18:19">
      <c r="R53036" s="178"/>
      <c r="S53036" s="178"/>
    </row>
    <row r="53037" spans="18:19">
      <c r="R53037" s="178"/>
      <c r="S53037" s="178"/>
    </row>
    <row r="53038" spans="18:19">
      <c r="R53038" s="178"/>
      <c r="S53038" s="178"/>
    </row>
    <row r="53039" spans="18:19">
      <c r="R53039" s="178"/>
      <c r="S53039" s="178"/>
    </row>
    <row r="53040" spans="18:19">
      <c r="R53040" s="178"/>
      <c r="S53040" s="178"/>
    </row>
    <row r="53041" spans="18:19">
      <c r="R53041" s="178"/>
      <c r="S53041" s="178"/>
    </row>
    <row r="53042" spans="18:19">
      <c r="R53042" s="178"/>
      <c r="S53042" s="178"/>
    </row>
    <row r="53043" spans="18:19">
      <c r="R53043" s="178"/>
      <c r="S53043" s="178"/>
    </row>
    <row r="53044" spans="18:19">
      <c r="R53044" s="178"/>
      <c r="S53044" s="178"/>
    </row>
    <row r="53045" spans="18:19">
      <c r="R53045" s="178"/>
      <c r="S53045" s="178"/>
    </row>
    <row r="53046" spans="18:19">
      <c r="R53046" s="178"/>
      <c r="S53046" s="178"/>
    </row>
    <row r="53047" spans="18:19">
      <c r="R53047" s="178"/>
      <c r="S53047" s="178"/>
    </row>
    <row r="53048" spans="18:19">
      <c r="R53048" s="178"/>
      <c r="S53048" s="178"/>
    </row>
    <row r="53049" spans="18:19">
      <c r="R53049" s="178"/>
      <c r="S53049" s="178"/>
    </row>
    <row r="53050" spans="18:19">
      <c r="R53050" s="178"/>
      <c r="S53050" s="178"/>
    </row>
    <row r="53051" spans="18:19">
      <c r="R53051" s="178"/>
      <c r="S53051" s="178"/>
    </row>
    <row r="53052" spans="18:19">
      <c r="R53052" s="178"/>
      <c r="S53052" s="178"/>
    </row>
    <row r="53053" spans="18:19">
      <c r="R53053" s="178"/>
      <c r="S53053" s="178"/>
    </row>
    <row r="53054" spans="18:19">
      <c r="R53054" s="178"/>
      <c r="S53054" s="178"/>
    </row>
    <row r="53055" spans="18:19">
      <c r="R53055" s="178"/>
      <c r="S53055" s="178"/>
    </row>
    <row r="53056" spans="18:19">
      <c r="R53056" s="178"/>
      <c r="S53056" s="178"/>
    </row>
    <row r="53057" spans="18:19">
      <c r="R53057" s="178"/>
      <c r="S53057" s="178"/>
    </row>
    <row r="53058" spans="18:19">
      <c r="R53058" s="178"/>
      <c r="S53058" s="178"/>
    </row>
    <row r="53059" spans="18:19">
      <c r="R53059" s="178"/>
      <c r="S53059" s="178"/>
    </row>
    <row r="53060" spans="18:19">
      <c r="R53060" s="178"/>
      <c r="S53060" s="178"/>
    </row>
    <row r="53061" spans="18:19">
      <c r="R53061" s="178"/>
      <c r="S53061" s="178"/>
    </row>
    <row r="53062" spans="18:19">
      <c r="R53062" s="178"/>
      <c r="S53062" s="178"/>
    </row>
    <row r="53063" spans="18:19">
      <c r="R53063" s="178"/>
      <c r="S53063" s="178"/>
    </row>
    <row r="53064" spans="18:19">
      <c r="R53064" s="178"/>
      <c r="S53064" s="178"/>
    </row>
    <row r="53065" spans="18:19">
      <c r="R53065" s="178"/>
      <c r="S53065" s="178"/>
    </row>
    <row r="53066" spans="18:19">
      <c r="R53066" s="178"/>
      <c r="S53066" s="178"/>
    </row>
    <row r="53067" spans="18:19">
      <c r="R53067" s="178"/>
      <c r="S53067" s="178"/>
    </row>
    <row r="53068" spans="18:19">
      <c r="R53068" s="178"/>
      <c r="S53068" s="178"/>
    </row>
    <row r="53069" spans="18:19">
      <c r="R53069" s="178"/>
      <c r="S53069" s="178"/>
    </row>
    <row r="53070" spans="18:19">
      <c r="R53070" s="178"/>
      <c r="S53070" s="178"/>
    </row>
    <row r="53071" spans="18:19">
      <c r="R53071" s="178"/>
      <c r="S53071" s="178"/>
    </row>
    <row r="53072" spans="18:19">
      <c r="R53072" s="178"/>
      <c r="S53072" s="178"/>
    </row>
    <row r="53073" spans="18:19">
      <c r="R53073" s="178"/>
      <c r="S53073" s="178"/>
    </row>
    <row r="53074" spans="18:19">
      <c r="R53074" s="178"/>
      <c r="S53074" s="178"/>
    </row>
    <row r="53075" spans="18:19">
      <c r="R53075" s="178"/>
      <c r="S53075" s="178"/>
    </row>
    <row r="53076" spans="18:19">
      <c r="R53076" s="178"/>
      <c r="S53076" s="178"/>
    </row>
    <row r="53077" spans="18:19">
      <c r="R53077" s="178"/>
      <c r="S53077" s="178"/>
    </row>
    <row r="53078" spans="18:19">
      <c r="R53078" s="178"/>
      <c r="S53078" s="178"/>
    </row>
    <row r="53079" spans="18:19">
      <c r="R53079" s="178"/>
      <c r="S53079" s="178"/>
    </row>
    <row r="53080" spans="18:19">
      <c r="R53080" s="178"/>
      <c r="S53080" s="178"/>
    </row>
    <row r="53081" spans="18:19">
      <c r="R53081" s="178"/>
      <c r="S53081" s="178"/>
    </row>
    <row r="53082" spans="18:19">
      <c r="R53082" s="178"/>
      <c r="S53082" s="178"/>
    </row>
    <row r="53083" spans="18:19">
      <c r="R53083" s="178"/>
      <c r="S53083" s="178"/>
    </row>
    <row r="53084" spans="18:19">
      <c r="R53084" s="178"/>
      <c r="S53084" s="178"/>
    </row>
    <row r="53085" spans="18:19">
      <c r="R53085" s="178"/>
      <c r="S53085" s="178"/>
    </row>
    <row r="53086" spans="18:19">
      <c r="R53086" s="178"/>
      <c r="S53086" s="178"/>
    </row>
    <row r="53087" spans="18:19">
      <c r="R53087" s="178"/>
      <c r="S53087" s="178"/>
    </row>
    <row r="53088" spans="18:19">
      <c r="R53088" s="178"/>
      <c r="S53088" s="178"/>
    </row>
    <row r="53089" spans="18:19">
      <c r="R53089" s="178"/>
      <c r="S53089" s="178"/>
    </row>
    <row r="53090" spans="18:19">
      <c r="R53090" s="178"/>
      <c r="S53090" s="178"/>
    </row>
    <row r="53091" spans="18:19">
      <c r="R53091" s="178"/>
      <c r="S53091" s="178"/>
    </row>
    <row r="53092" spans="18:19">
      <c r="R53092" s="178"/>
      <c r="S53092" s="178"/>
    </row>
    <row r="53093" spans="18:19">
      <c r="R53093" s="178"/>
      <c r="S53093" s="178"/>
    </row>
    <row r="53094" spans="18:19">
      <c r="R53094" s="178"/>
      <c r="S53094" s="178"/>
    </row>
    <row r="53095" spans="18:19">
      <c r="R53095" s="178"/>
      <c r="S53095" s="178"/>
    </row>
    <row r="53096" spans="18:19">
      <c r="R53096" s="178"/>
      <c r="S53096" s="178"/>
    </row>
    <row r="53097" spans="18:19">
      <c r="R53097" s="178"/>
      <c r="S53097" s="178"/>
    </row>
    <row r="53098" spans="18:19">
      <c r="R53098" s="178"/>
      <c r="S53098" s="178"/>
    </row>
    <row r="53099" spans="18:19">
      <c r="R53099" s="178"/>
      <c r="S53099" s="178"/>
    </row>
    <row r="53100" spans="18:19">
      <c r="R53100" s="178"/>
      <c r="S53100" s="178"/>
    </row>
    <row r="53101" spans="18:19">
      <c r="R53101" s="178"/>
      <c r="S53101" s="178"/>
    </row>
    <row r="53102" spans="18:19">
      <c r="R53102" s="178"/>
      <c r="S53102" s="178"/>
    </row>
    <row r="53103" spans="18:19">
      <c r="R53103" s="178"/>
      <c r="S53103" s="178"/>
    </row>
    <row r="53104" spans="18:19">
      <c r="R53104" s="178"/>
      <c r="S53104" s="178"/>
    </row>
    <row r="53105" spans="18:19">
      <c r="R53105" s="178"/>
      <c r="S53105" s="178"/>
    </row>
    <row r="53106" spans="18:19">
      <c r="R53106" s="178"/>
      <c r="S53106" s="178"/>
    </row>
    <row r="53107" spans="18:19">
      <c r="R53107" s="178"/>
      <c r="S53107" s="178"/>
    </row>
    <row r="53108" spans="18:19">
      <c r="R53108" s="178"/>
      <c r="S53108" s="178"/>
    </row>
    <row r="53109" spans="18:19">
      <c r="R53109" s="178"/>
      <c r="S53109" s="178"/>
    </row>
    <row r="53110" spans="18:19">
      <c r="R53110" s="178"/>
      <c r="S53110" s="178"/>
    </row>
    <row r="53111" spans="18:19">
      <c r="R53111" s="178"/>
      <c r="S53111" s="178"/>
    </row>
    <row r="53112" spans="18:19">
      <c r="R53112" s="178"/>
      <c r="S53112" s="178"/>
    </row>
    <row r="53113" spans="18:19">
      <c r="R53113" s="178"/>
      <c r="S53113" s="178"/>
    </row>
    <row r="53114" spans="18:19">
      <c r="R53114" s="178"/>
      <c r="S53114" s="178"/>
    </row>
    <row r="53115" spans="18:19">
      <c r="R53115" s="178"/>
      <c r="S53115" s="178"/>
    </row>
    <row r="53116" spans="18:19">
      <c r="R53116" s="178"/>
      <c r="S53116" s="178"/>
    </row>
    <row r="53117" spans="18:19">
      <c r="R53117" s="178"/>
      <c r="S53117" s="178"/>
    </row>
    <row r="53118" spans="18:19">
      <c r="R53118" s="178"/>
      <c r="S53118" s="178"/>
    </row>
    <row r="53119" spans="18:19">
      <c r="R53119" s="178"/>
      <c r="S53119" s="178"/>
    </row>
    <row r="53120" spans="18:19">
      <c r="R53120" s="178"/>
      <c r="S53120" s="178"/>
    </row>
    <row r="53121" spans="18:19">
      <c r="R53121" s="178"/>
      <c r="S53121" s="178"/>
    </row>
    <row r="53122" spans="18:19">
      <c r="R53122" s="178"/>
      <c r="S53122" s="178"/>
    </row>
    <row r="53123" spans="18:19">
      <c r="R53123" s="178"/>
      <c r="S53123" s="178"/>
    </row>
    <row r="53124" spans="18:19">
      <c r="R53124" s="178"/>
      <c r="S53124" s="178"/>
    </row>
    <row r="53125" spans="18:19">
      <c r="R53125" s="178"/>
      <c r="S53125" s="178"/>
    </row>
    <row r="53126" spans="18:19">
      <c r="R53126" s="178"/>
      <c r="S53126" s="178"/>
    </row>
    <row r="53127" spans="18:19">
      <c r="R53127" s="178"/>
      <c r="S53127" s="178"/>
    </row>
    <row r="53128" spans="18:19">
      <c r="R53128" s="178"/>
      <c r="S53128" s="178"/>
    </row>
    <row r="53129" spans="18:19">
      <c r="R53129" s="178"/>
      <c r="S53129" s="178"/>
    </row>
    <row r="53130" spans="18:19">
      <c r="R53130" s="178"/>
      <c r="S53130" s="178"/>
    </row>
    <row r="53131" spans="18:19">
      <c r="R53131" s="178"/>
      <c r="S53131" s="178"/>
    </row>
    <row r="53132" spans="18:19">
      <c r="R53132" s="178"/>
      <c r="S53132" s="178"/>
    </row>
    <row r="53133" spans="18:19">
      <c r="R53133" s="178"/>
      <c r="S53133" s="178"/>
    </row>
    <row r="53134" spans="18:19">
      <c r="R53134" s="178"/>
      <c r="S53134" s="178"/>
    </row>
    <row r="53135" spans="18:19">
      <c r="R53135" s="178"/>
      <c r="S53135" s="178"/>
    </row>
    <row r="53136" spans="18:19">
      <c r="R53136" s="178"/>
      <c r="S53136" s="178"/>
    </row>
    <row r="53137" spans="18:19">
      <c r="R53137" s="178"/>
      <c r="S53137" s="178"/>
    </row>
    <row r="53138" spans="18:19">
      <c r="R53138" s="178"/>
      <c r="S53138" s="178"/>
    </row>
    <row r="53139" spans="18:19">
      <c r="R53139" s="178"/>
      <c r="S53139" s="178"/>
    </row>
    <row r="53140" spans="18:19">
      <c r="R53140" s="178"/>
      <c r="S53140" s="178"/>
    </row>
    <row r="53141" spans="18:19">
      <c r="R53141" s="178"/>
      <c r="S53141" s="178"/>
    </row>
    <row r="53142" spans="18:19">
      <c r="R53142" s="178"/>
      <c r="S53142" s="178"/>
    </row>
    <row r="53143" spans="18:19">
      <c r="R53143" s="178"/>
      <c r="S53143" s="178"/>
    </row>
    <row r="53144" spans="18:19">
      <c r="R53144" s="178"/>
      <c r="S53144" s="178"/>
    </row>
    <row r="53145" spans="18:19">
      <c r="R53145" s="178"/>
      <c r="S53145" s="178"/>
    </row>
    <row r="53146" spans="18:19">
      <c r="R53146" s="178"/>
      <c r="S53146" s="178"/>
    </row>
    <row r="53147" spans="18:19">
      <c r="R53147" s="178"/>
      <c r="S53147" s="178"/>
    </row>
    <row r="53148" spans="18:19">
      <c r="R53148" s="178"/>
      <c r="S53148" s="178"/>
    </row>
    <row r="53149" spans="18:19">
      <c r="R53149" s="178"/>
      <c r="S53149" s="178"/>
    </row>
    <row r="53150" spans="18:19">
      <c r="R53150" s="178"/>
      <c r="S53150" s="178"/>
    </row>
    <row r="53151" spans="18:19">
      <c r="R53151" s="178"/>
      <c r="S53151" s="178"/>
    </row>
    <row r="53152" spans="18:19">
      <c r="R53152" s="178"/>
      <c r="S53152" s="178"/>
    </row>
    <row r="53153" spans="18:19">
      <c r="R53153" s="178"/>
      <c r="S53153" s="178"/>
    </row>
    <row r="53154" spans="18:19">
      <c r="R53154" s="178"/>
      <c r="S53154" s="178"/>
    </row>
    <row r="53155" spans="18:19">
      <c r="R53155" s="178"/>
      <c r="S53155" s="178"/>
    </row>
    <row r="53156" spans="18:19">
      <c r="R53156" s="178"/>
      <c r="S53156" s="178"/>
    </row>
    <row r="53157" spans="18:19">
      <c r="R53157" s="178"/>
      <c r="S53157" s="178"/>
    </row>
    <row r="53158" spans="18:19">
      <c r="R53158" s="178"/>
      <c r="S53158" s="178"/>
    </row>
    <row r="53159" spans="18:19">
      <c r="R53159" s="178"/>
      <c r="S53159" s="178"/>
    </row>
    <row r="53160" spans="18:19">
      <c r="R53160" s="178"/>
      <c r="S53160" s="178"/>
    </row>
    <row r="53161" spans="18:19">
      <c r="R53161" s="178"/>
      <c r="S53161" s="178"/>
    </row>
    <row r="53162" spans="18:19">
      <c r="R53162" s="178"/>
      <c r="S53162" s="178"/>
    </row>
    <row r="53163" spans="18:19">
      <c r="R53163" s="178"/>
      <c r="S53163" s="178"/>
    </row>
    <row r="53164" spans="18:19">
      <c r="R53164" s="178"/>
      <c r="S53164" s="178"/>
    </row>
    <row r="53165" spans="18:19">
      <c r="R53165" s="178"/>
      <c r="S53165" s="178"/>
    </row>
    <row r="53166" spans="18:19">
      <c r="R53166" s="178"/>
      <c r="S53166" s="178"/>
    </row>
    <row r="53167" spans="18:19">
      <c r="R53167" s="178"/>
      <c r="S53167" s="178"/>
    </row>
    <row r="53168" spans="18:19">
      <c r="R53168" s="178"/>
      <c r="S53168" s="178"/>
    </row>
    <row r="53169" spans="18:19">
      <c r="R53169" s="178"/>
      <c r="S53169" s="178"/>
    </row>
    <row r="53170" spans="18:19">
      <c r="R53170" s="178"/>
      <c r="S53170" s="178"/>
    </row>
    <row r="53171" spans="18:19">
      <c r="R53171" s="178"/>
      <c r="S53171" s="178"/>
    </row>
    <row r="53172" spans="18:19">
      <c r="R53172" s="178"/>
      <c r="S53172" s="178"/>
    </row>
    <row r="53173" spans="18:19">
      <c r="R53173" s="178"/>
      <c r="S53173" s="178"/>
    </row>
    <row r="53174" spans="18:19">
      <c r="R53174" s="178"/>
      <c r="S53174" s="178"/>
    </row>
    <row r="53175" spans="18:19">
      <c r="R53175" s="178"/>
      <c r="S53175" s="178"/>
    </row>
    <row r="53176" spans="18:19">
      <c r="R53176" s="178"/>
      <c r="S53176" s="178"/>
    </row>
    <row r="53177" spans="18:19">
      <c r="R53177" s="178"/>
      <c r="S53177" s="178"/>
    </row>
    <row r="53178" spans="18:19">
      <c r="R53178" s="178"/>
      <c r="S53178" s="178"/>
    </row>
    <row r="53179" spans="18:19">
      <c r="R53179" s="178"/>
      <c r="S53179" s="178"/>
    </row>
    <row r="53180" spans="18:19">
      <c r="R53180" s="178"/>
      <c r="S53180" s="178"/>
    </row>
    <row r="53181" spans="18:19">
      <c r="R53181" s="178"/>
      <c r="S53181" s="178"/>
    </row>
    <row r="53182" spans="18:19">
      <c r="R53182" s="178"/>
      <c r="S53182" s="178"/>
    </row>
    <row r="53183" spans="18:19">
      <c r="R53183" s="178"/>
      <c r="S53183" s="178"/>
    </row>
    <row r="53184" spans="18:19">
      <c r="R53184" s="178"/>
      <c r="S53184" s="178"/>
    </row>
    <row r="53185" spans="18:19">
      <c r="R53185" s="178"/>
      <c r="S53185" s="178"/>
    </row>
    <row r="53186" spans="18:19">
      <c r="R53186" s="178"/>
      <c r="S53186" s="178"/>
    </row>
    <row r="53187" spans="18:19">
      <c r="R53187" s="178"/>
      <c r="S53187" s="178"/>
    </row>
    <row r="53188" spans="18:19">
      <c r="R53188" s="178"/>
      <c r="S53188" s="178"/>
    </row>
    <row r="53189" spans="18:19">
      <c r="R53189" s="178"/>
      <c r="S53189" s="178"/>
    </row>
    <row r="53190" spans="18:19">
      <c r="R53190" s="178"/>
      <c r="S53190" s="178"/>
    </row>
    <row r="53191" spans="18:19">
      <c r="R53191" s="178"/>
      <c r="S53191" s="178"/>
    </row>
    <row r="53192" spans="18:19">
      <c r="R53192" s="178"/>
      <c r="S53192" s="178"/>
    </row>
    <row r="53193" spans="18:19">
      <c r="R53193" s="178"/>
      <c r="S53193" s="178"/>
    </row>
    <row r="53194" spans="18:19">
      <c r="R53194" s="178"/>
      <c r="S53194" s="178"/>
    </row>
    <row r="53195" spans="18:19">
      <c r="R53195" s="178"/>
      <c r="S53195" s="178"/>
    </row>
    <row r="53196" spans="18:19">
      <c r="R53196" s="178"/>
      <c r="S53196" s="178"/>
    </row>
    <row r="53197" spans="18:19">
      <c r="R53197" s="178"/>
      <c r="S53197" s="178"/>
    </row>
    <row r="53198" spans="18:19">
      <c r="R53198" s="178"/>
      <c r="S53198" s="178"/>
    </row>
    <row r="53199" spans="18:19">
      <c r="R53199" s="178"/>
      <c r="S53199" s="178"/>
    </row>
    <row r="53200" spans="18:19">
      <c r="R53200" s="178"/>
      <c r="S53200" s="178"/>
    </row>
    <row r="53201" spans="18:19">
      <c r="R53201" s="178"/>
      <c r="S53201" s="178"/>
    </row>
    <row r="53202" spans="18:19">
      <c r="R53202" s="178"/>
      <c r="S53202" s="178"/>
    </row>
    <row r="53203" spans="18:19">
      <c r="R53203" s="178"/>
      <c r="S53203" s="178"/>
    </row>
    <row r="53204" spans="18:19">
      <c r="R53204" s="178"/>
      <c r="S53204" s="178"/>
    </row>
    <row r="53205" spans="18:19">
      <c r="R53205" s="178"/>
      <c r="S53205" s="178"/>
    </row>
    <row r="53206" spans="18:19">
      <c r="R53206" s="178"/>
      <c r="S53206" s="178"/>
    </row>
    <row r="53207" spans="18:19">
      <c r="R53207" s="178"/>
      <c r="S53207" s="178"/>
    </row>
    <row r="53208" spans="18:19">
      <c r="R53208" s="178"/>
      <c r="S53208" s="178"/>
    </row>
    <row r="53209" spans="18:19">
      <c r="R53209" s="178"/>
      <c r="S53209" s="178"/>
    </row>
    <row r="53210" spans="18:19">
      <c r="R53210" s="178"/>
      <c r="S53210" s="178"/>
    </row>
    <row r="53211" spans="18:19">
      <c r="R53211" s="178"/>
      <c r="S53211" s="178"/>
    </row>
    <row r="53212" spans="18:19">
      <c r="R53212" s="178"/>
      <c r="S53212" s="178"/>
    </row>
    <row r="53213" spans="18:19">
      <c r="R53213" s="178"/>
      <c r="S53213" s="178"/>
    </row>
    <row r="53214" spans="18:19">
      <c r="R53214" s="178"/>
      <c r="S53214" s="178"/>
    </row>
    <row r="53215" spans="18:19">
      <c r="R53215" s="178"/>
      <c r="S53215" s="178"/>
    </row>
    <row r="53216" spans="18:19">
      <c r="R53216" s="178"/>
      <c r="S53216" s="178"/>
    </row>
    <row r="53217" spans="18:19">
      <c r="R53217" s="178"/>
      <c r="S53217" s="178"/>
    </row>
    <row r="53218" spans="18:19">
      <c r="R53218" s="178"/>
      <c r="S53218" s="178"/>
    </row>
    <row r="53219" spans="18:19">
      <c r="R53219" s="178"/>
      <c r="S53219" s="178"/>
    </row>
    <row r="53220" spans="18:19">
      <c r="R53220" s="178"/>
      <c r="S53220" s="178"/>
    </row>
    <row r="53221" spans="18:19">
      <c r="R53221" s="178"/>
      <c r="S53221" s="178"/>
    </row>
    <row r="53222" spans="18:19">
      <c r="R53222" s="178"/>
      <c r="S53222" s="178"/>
    </row>
    <row r="53223" spans="18:19">
      <c r="R53223" s="178"/>
      <c r="S53223" s="178"/>
    </row>
    <row r="53224" spans="18:19">
      <c r="R53224" s="178"/>
      <c r="S53224" s="178"/>
    </row>
    <row r="53225" spans="18:19">
      <c r="R53225" s="178"/>
      <c r="S53225" s="178"/>
    </row>
    <row r="53226" spans="18:19">
      <c r="R53226" s="178"/>
      <c r="S53226" s="178"/>
    </row>
    <row r="53227" spans="18:19">
      <c r="R53227" s="178"/>
      <c r="S53227" s="178"/>
    </row>
    <row r="53228" spans="18:19">
      <c r="R53228" s="178"/>
      <c r="S53228" s="178"/>
    </row>
    <row r="53229" spans="18:19">
      <c r="R53229" s="178"/>
      <c r="S53229" s="178"/>
    </row>
    <row r="53230" spans="18:19">
      <c r="R53230" s="178"/>
      <c r="S53230" s="178"/>
    </row>
    <row r="53231" spans="18:19">
      <c r="R53231" s="178"/>
      <c r="S53231" s="178"/>
    </row>
    <row r="53232" spans="18:19">
      <c r="R53232" s="178"/>
      <c r="S53232" s="178"/>
    </row>
    <row r="53233" spans="18:19">
      <c r="R53233" s="178"/>
      <c r="S53233" s="178"/>
    </row>
    <row r="53234" spans="18:19">
      <c r="R53234" s="178"/>
      <c r="S53234" s="178"/>
    </row>
    <row r="53235" spans="18:19">
      <c r="R53235" s="178"/>
      <c r="S53235" s="178"/>
    </row>
    <row r="53236" spans="18:19">
      <c r="R53236" s="178"/>
      <c r="S53236" s="178"/>
    </row>
    <row r="53237" spans="18:19">
      <c r="R53237" s="178"/>
      <c r="S53237" s="178"/>
    </row>
    <row r="53238" spans="18:19">
      <c r="R53238" s="178"/>
      <c r="S53238" s="178"/>
    </row>
    <row r="53239" spans="18:19">
      <c r="R53239" s="178"/>
      <c r="S53239" s="178"/>
    </row>
    <row r="53240" spans="18:19">
      <c r="R53240" s="178"/>
      <c r="S53240" s="178"/>
    </row>
    <row r="53241" spans="18:19">
      <c r="R53241" s="178"/>
      <c r="S53241" s="178"/>
    </row>
    <row r="53242" spans="18:19">
      <c r="R53242" s="178"/>
      <c r="S53242" s="178"/>
    </row>
    <row r="53243" spans="18:19">
      <c r="R53243" s="178"/>
      <c r="S53243" s="178"/>
    </row>
    <row r="53244" spans="18:19">
      <c r="R53244" s="178"/>
      <c r="S53244" s="178"/>
    </row>
    <row r="53245" spans="18:19">
      <c r="R53245" s="178"/>
      <c r="S53245" s="178"/>
    </row>
    <row r="53246" spans="18:19">
      <c r="R53246" s="178"/>
      <c r="S53246" s="178"/>
    </row>
    <row r="53247" spans="18:19">
      <c r="R53247" s="178"/>
      <c r="S53247" s="178"/>
    </row>
    <row r="53248" spans="18:19">
      <c r="R53248" s="178"/>
      <c r="S53248" s="178"/>
    </row>
    <row r="53249" spans="18:19">
      <c r="R53249" s="178"/>
      <c r="S53249" s="178"/>
    </row>
    <row r="53250" spans="18:19">
      <c r="R53250" s="178"/>
      <c r="S53250" s="178"/>
    </row>
    <row r="53251" spans="18:19">
      <c r="R53251" s="178"/>
      <c r="S53251" s="178"/>
    </row>
    <row r="53252" spans="18:19">
      <c r="R53252" s="178"/>
      <c r="S53252" s="178"/>
    </row>
    <row r="53253" spans="18:19">
      <c r="R53253" s="178"/>
      <c r="S53253" s="178"/>
    </row>
    <row r="53254" spans="18:19">
      <c r="R53254" s="178"/>
      <c r="S53254" s="178"/>
    </row>
    <row r="53255" spans="18:19">
      <c r="R53255" s="178"/>
      <c r="S53255" s="178"/>
    </row>
    <row r="53256" spans="18:19">
      <c r="R53256" s="178"/>
      <c r="S53256" s="178"/>
    </row>
    <row r="53257" spans="18:19">
      <c r="R53257" s="178"/>
      <c r="S53257" s="178"/>
    </row>
    <row r="53258" spans="18:19">
      <c r="R53258" s="178"/>
      <c r="S53258" s="178"/>
    </row>
    <row r="53259" spans="18:19">
      <c r="R53259" s="178"/>
      <c r="S53259" s="178"/>
    </row>
    <row r="53260" spans="18:19">
      <c r="R53260" s="178"/>
      <c r="S53260" s="178"/>
    </row>
    <row r="53261" spans="18:19">
      <c r="R53261" s="178"/>
      <c r="S53261" s="178"/>
    </row>
    <row r="53262" spans="18:19">
      <c r="R53262" s="178"/>
      <c r="S53262" s="178"/>
    </row>
    <row r="53263" spans="18:19">
      <c r="R53263" s="178"/>
      <c r="S53263" s="178"/>
    </row>
    <row r="53264" spans="18:19">
      <c r="R53264" s="178"/>
      <c r="S53264" s="178"/>
    </row>
    <row r="53265" spans="18:19">
      <c r="R53265" s="178"/>
      <c r="S53265" s="178"/>
    </row>
    <row r="53266" spans="18:19">
      <c r="R53266" s="178"/>
      <c r="S53266" s="178"/>
    </row>
    <row r="53267" spans="18:19">
      <c r="R53267" s="178"/>
      <c r="S53267" s="178"/>
    </row>
    <row r="53268" spans="18:19">
      <c r="R53268" s="178"/>
      <c r="S53268" s="178"/>
    </row>
    <row r="53269" spans="18:19">
      <c r="R53269" s="178"/>
      <c r="S53269" s="178"/>
    </row>
    <row r="53270" spans="18:19">
      <c r="R53270" s="178"/>
      <c r="S53270" s="178"/>
    </row>
    <row r="53271" spans="18:19">
      <c r="R53271" s="178"/>
      <c r="S53271" s="178"/>
    </row>
    <row r="53272" spans="18:19">
      <c r="R53272" s="178"/>
      <c r="S53272" s="178"/>
    </row>
    <row r="53273" spans="18:19">
      <c r="R53273" s="178"/>
      <c r="S53273" s="178"/>
    </row>
    <row r="53274" spans="18:19">
      <c r="R53274" s="178"/>
      <c r="S53274" s="178"/>
    </row>
    <row r="53275" spans="18:19">
      <c r="R53275" s="178"/>
      <c r="S53275" s="178"/>
    </row>
    <row r="53276" spans="18:19">
      <c r="R53276" s="178"/>
      <c r="S53276" s="178"/>
    </row>
    <row r="53277" spans="18:19">
      <c r="R53277" s="178"/>
      <c r="S53277" s="178"/>
    </row>
    <row r="53278" spans="18:19">
      <c r="R53278" s="178"/>
      <c r="S53278" s="178"/>
    </row>
    <row r="53279" spans="18:19">
      <c r="R53279" s="178"/>
      <c r="S53279" s="178"/>
    </row>
    <row r="53280" spans="18:19">
      <c r="R53280" s="178"/>
      <c r="S53280" s="178"/>
    </row>
    <row r="53281" spans="18:19">
      <c r="R53281" s="178"/>
      <c r="S53281" s="178"/>
    </row>
    <row r="53282" spans="18:19">
      <c r="R53282" s="178"/>
      <c r="S53282" s="178"/>
    </row>
    <row r="53283" spans="18:19">
      <c r="R53283" s="178"/>
      <c r="S53283" s="178"/>
    </row>
    <row r="53284" spans="18:19">
      <c r="R53284" s="178"/>
      <c r="S53284" s="178"/>
    </row>
    <row r="53285" spans="18:19">
      <c r="R53285" s="178"/>
      <c r="S53285" s="178"/>
    </row>
    <row r="53286" spans="18:19">
      <c r="R53286" s="178"/>
      <c r="S53286" s="178"/>
    </row>
    <row r="53287" spans="18:19">
      <c r="R53287" s="178"/>
      <c r="S53287" s="178"/>
    </row>
    <row r="53288" spans="18:19">
      <c r="R53288" s="178"/>
      <c r="S53288" s="178"/>
    </row>
    <row r="53289" spans="18:19">
      <c r="R53289" s="178"/>
      <c r="S53289" s="178"/>
    </row>
    <row r="53290" spans="18:19">
      <c r="R53290" s="178"/>
      <c r="S53290" s="178"/>
    </row>
    <row r="53291" spans="18:19">
      <c r="R53291" s="178"/>
      <c r="S53291" s="178"/>
    </row>
    <row r="53292" spans="18:19">
      <c r="R53292" s="178"/>
      <c r="S53292" s="178"/>
    </row>
    <row r="53293" spans="18:19">
      <c r="R53293" s="178"/>
      <c r="S53293" s="178"/>
    </row>
    <row r="53294" spans="18:19">
      <c r="R53294" s="178"/>
      <c r="S53294" s="178"/>
    </row>
    <row r="53295" spans="18:19">
      <c r="R53295" s="178"/>
      <c r="S53295" s="178"/>
    </row>
    <row r="53296" spans="18:19">
      <c r="R53296" s="178"/>
      <c r="S53296" s="178"/>
    </row>
    <row r="53297" spans="18:19">
      <c r="R53297" s="178"/>
      <c r="S53297" s="178"/>
    </row>
    <row r="53298" spans="18:19">
      <c r="R53298" s="178"/>
      <c r="S53298" s="178"/>
    </row>
    <row r="53299" spans="18:19">
      <c r="R53299" s="178"/>
      <c r="S53299" s="178"/>
    </row>
    <row r="53300" spans="18:19">
      <c r="R53300" s="178"/>
      <c r="S53300" s="178"/>
    </row>
    <row r="53301" spans="18:19">
      <c r="R53301" s="178"/>
      <c r="S53301" s="178"/>
    </row>
    <row r="53302" spans="18:19">
      <c r="R53302" s="178"/>
      <c r="S53302" s="178"/>
    </row>
    <row r="53303" spans="18:19">
      <c r="R53303" s="178"/>
      <c r="S53303" s="178"/>
    </row>
    <row r="53304" spans="18:19">
      <c r="R53304" s="178"/>
      <c r="S53304" s="178"/>
    </row>
    <row r="53305" spans="18:19">
      <c r="R53305" s="178"/>
      <c r="S53305" s="178"/>
    </row>
    <row r="53306" spans="18:19">
      <c r="R53306" s="178"/>
      <c r="S53306" s="178"/>
    </row>
    <row r="53307" spans="18:19">
      <c r="R53307" s="178"/>
      <c r="S53307" s="178"/>
    </row>
    <row r="53308" spans="18:19">
      <c r="R53308" s="178"/>
      <c r="S53308" s="178"/>
    </row>
    <row r="53309" spans="18:19">
      <c r="R53309" s="178"/>
      <c r="S53309" s="178"/>
    </row>
    <row r="53310" spans="18:19">
      <c r="R53310" s="178"/>
      <c r="S53310" s="178"/>
    </row>
    <row r="53311" spans="18:19">
      <c r="R53311" s="178"/>
      <c r="S53311" s="178"/>
    </row>
    <row r="53312" spans="18:19">
      <c r="R53312" s="178"/>
      <c r="S53312" s="178"/>
    </row>
    <row r="53313" spans="18:19">
      <c r="R53313" s="178"/>
      <c r="S53313" s="178"/>
    </row>
    <row r="53314" spans="18:19">
      <c r="R53314" s="178"/>
      <c r="S53314" s="178"/>
    </row>
    <row r="53315" spans="18:19">
      <c r="R53315" s="178"/>
      <c r="S53315" s="178"/>
    </row>
    <row r="53316" spans="18:19">
      <c r="R53316" s="178"/>
      <c r="S53316" s="178"/>
    </row>
    <row r="53317" spans="18:19">
      <c r="R53317" s="178"/>
      <c r="S53317" s="178"/>
    </row>
    <row r="53318" spans="18:19">
      <c r="R53318" s="178"/>
      <c r="S53318" s="178"/>
    </row>
    <row r="53319" spans="18:19">
      <c r="R53319" s="178"/>
      <c r="S53319" s="178"/>
    </row>
    <row r="53320" spans="18:19">
      <c r="R53320" s="178"/>
      <c r="S53320" s="178"/>
    </row>
    <row r="53321" spans="18:19">
      <c r="R53321" s="178"/>
      <c r="S53321" s="178"/>
    </row>
    <row r="53322" spans="18:19">
      <c r="R53322" s="178"/>
      <c r="S53322" s="178"/>
    </row>
    <row r="53323" spans="18:19">
      <c r="R53323" s="178"/>
      <c r="S53323" s="178"/>
    </row>
    <row r="53324" spans="18:19">
      <c r="R53324" s="178"/>
      <c r="S53324" s="178"/>
    </row>
    <row r="53325" spans="18:19">
      <c r="R53325" s="178"/>
      <c r="S53325" s="178"/>
    </row>
    <row r="53326" spans="18:19">
      <c r="R53326" s="178"/>
      <c r="S53326" s="178"/>
    </row>
    <row r="53327" spans="18:19">
      <c r="R53327" s="178"/>
      <c r="S53327" s="178"/>
    </row>
    <row r="53328" spans="18:19">
      <c r="R53328" s="178"/>
      <c r="S53328" s="178"/>
    </row>
    <row r="53329" spans="18:19">
      <c r="R53329" s="178"/>
      <c r="S53329" s="178"/>
    </row>
    <row r="53330" spans="18:19">
      <c r="R53330" s="178"/>
      <c r="S53330" s="178"/>
    </row>
    <row r="53331" spans="18:19">
      <c r="R53331" s="178"/>
      <c r="S53331" s="178"/>
    </row>
    <row r="53332" spans="18:19">
      <c r="R53332" s="178"/>
      <c r="S53332" s="178"/>
    </row>
    <row r="53333" spans="18:19">
      <c r="R53333" s="178"/>
      <c r="S53333" s="178"/>
    </row>
    <row r="53334" spans="18:19">
      <c r="R53334" s="178"/>
      <c r="S53334" s="178"/>
    </row>
    <row r="53335" spans="18:19">
      <c r="R53335" s="178"/>
      <c r="S53335" s="178"/>
    </row>
    <row r="53336" spans="18:19">
      <c r="R53336" s="178"/>
      <c r="S53336" s="178"/>
    </row>
    <row r="53337" spans="18:19">
      <c r="R53337" s="178"/>
      <c r="S53337" s="178"/>
    </row>
    <row r="53338" spans="18:19">
      <c r="R53338" s="178"/>
      <c r="S53338" s="178"/>
    </row>
    <row r="53339" spans="18:19">
      <c r="R53339" s="178"/>
      <c r="S53339" s="178"/>
    </row>
    <row r="53340" spans="18:19">
      <c r="R53340" s="178"/>
      <c r="S53340" s="178"/>
    </row>
    <row r="53341" spans="18:19">
      <c r="R53341" s="178"/>
      <c r="S53341" s="178"/>
    </row>
    <row r="53342" spans="18:19">
      <c r="R53342" s="178"/>
      <c r="S53342" s="178"/>
    </row>
    <row r="53343" spans="18:19">
      <c r="R53343" s="178"/>
      <c r="S53343" s="178"/>
    </row>
    <row r="53344" spans="18:19">
      <c r="R53344" s="178"/>
      <c r="S53344" s="178"/>
    </row>
    <row r="53345" spans="18:19">
      <c r="R53345" s="178"/>
      <c r="S53345" s="178"/>
    </row>
    <row r="53346" spans="18:19">
      <c r="R53346" s="178"/>
      <c r="S53346" s="178"/>
    </row>
    <row r="53347" spans="18:19">
      <c r="R53347" s="178"/>
      <c r="S53347" s="178"/>
    </row>
    <row r="53348" spans="18:19">
      <c r="R53348" s="178"/>
      <c r="S53348" s="178"/>
    </row>
    <row r="53349" spans="18:19">
      <c r="R53349" s="178"/>
      <c r="S53349" s="178"/>
    </row>
    <row r="53350" spans="18:19">
      <c r="R53350" s="178"/>
      <c r="S53350" s="178"/>
    </row>
    <row r="53351" spans="18:19">
      <c r="R53351" s="178"/>
      <c r="S53351" s="178"/>
    </row>
    <row r="53352" spans="18:19">
      <c r="R53352" s="178"/>
      <c r="S53352" s="178"/>
    </row>
    <row r="53353" spans="18:19">
      <c r="R53353" s="178"/>
      <c r="S53353" s="178"/>
    </row>
    <row r="53354" spans="18:19">
      <c r="R53354" s="178"/>
      <c r="S53354" s="178"/>
    </row>
    <row r="53355" spans="18:19">
      <c r="R53355" s="178"/>
      <c r="S53355" s="178"/>
    </row>
    <row r="53356" spans="18:19">
      <c r="R53356" s="178"/>
      <c r="S53356" s="178"/>
    </row>
    <row r="53357" spans="18:19">
      <c r="R53357" s="178"/>
      <c r="S53357" s="178"/>
    </row>
    <row r="53358" spans="18:19">
      <c r="R53358" s="178"/>
      <c r="S53358" s="178"/>
    </row>
    <row r="53359" spans="18:19">
      <c r="R53359" s="178"/>
      <c r="S53359" s="178"/>
    </row>
    <row r="53360" spans="18:19">
      <c r="R53360" s="178"/>
      <c r="S53360" s="178"/>
    </row>
    <row r="53361" spans="18:19">
      <c r="R53361" s="178"/>
      <c r="S53361" s="178"/>
    </row>
    <row r="53362" spans="18:19">
      <c r="R53362" s="178"/>
      <c r="S53362" s="178"/>
    </row>
    <row r="53363" spans="18:19">
      <c r="R53363" s="178"/>
      <c r="S53363" s="178"/>
    </row>
    <row r="53364" spans="18:19">
      <c r="R53364" s="178"/>
      <c r="S53364" s="178"/>
    </row>
    <row r="53365" spans="18:19">
      <c r="R53365" s="178"/>
      <c r="S53365" s="178"/>
    </row>
    <row r="53366" spans="18:19">
      <c r="R53366" s="178"/>
      <c r="S53366" s="178"/>
    </row>
    <row r="53367" spans="18:19">
      <c r="R53367" s="178"/>
      <c r="S53367" s="178"/>
    </row>
    <row r="53368" spans="18:19">
      <c r="R53368" s="178"/>
      <c r="S53368" s="178"/>
    </row>
    <row r="53369" spans="18:19">
      <c r="R53369" s="178"/>
      <c r="S53369" s="178"/>
    </row>
    <row r="53370" spans="18:19">
      <c r="R53370" s="178"/>
      <c r="S53370" s="178"/>
    </row>
    <row r="53371" spans="18:19">
      <c r="R53371" s="178"/>
      <c r="S53371" s="178"/>
    </row>
    <row r="53372" spans="18:19">
      <c r="R53372" s="178"/>
      <c r="S53372" s="178"/>
    </row>
    <row r="53373" spans="18:19">
      <c r="R53373" s="178"/>
      <c r="S53373" s="178"/>
    </row>
    <row r="53374" spans="18:19">
      <c r="R53374" s="178"/>
      <c r="S53374" s="178"/>
    </row>
    <row r="53375" spans="18:19">
      <c r="R53375" s="178"/>
      <c r="S53375" s="178"/>
    </row>
    <row r="53376" spans="18:19">
      <c r="R53376" s="178"/>
      <c r="S53376" s="178"/>
    </row>
    <row r="53377" spans="18:19">
      <c r="R53377" s="178"/>
      <c r="S53377" s="178"/>
    </row>
    <row r="53378" spans="18:19">
      <c r="R53378" s="178"/>
      <c r="S53378" s="178"/>
    </row>
    <row r="53379" spans="18:19">
      <c r="R53379" s="178"/>
      <c r="S53379" s="178"/>
    </row>
    <row r="53380" spans="18:19">
      <c r="R53380" s="178"/>
      <c r="S53380" s="178"/>
    </row>
    <row r="53381" spans="18:19">
      <c r="R53381" s="178"/>
      <c r="S53381" s="178"/>
    </row>
    <row r="53382" spans="18:19">
      <c r="R53382" s="178"/>
      <c r="S53382" s="178"/>
    </row>
    <row r="53383" spans="18:19">
      <c r="R53383" s="178"/>
      <c r="S53383" s="178"/>
    </row>
    <row r="53384" spans="18:19">
      <c r="R53384" s="178"/>
      <c r="S53384" s="178"/>
    </row>
    <row r="53385" spans="18:19">
      <c r="R53385" s="178"/>
      <c r="S53385" s="178"/>
    </row>
    <row r="53386" spans="18:19">
      <c r="R53386" s="178"/>
      <c r="S53386" s="178"/>
    </row>
    <row r="53387" spans="18:19">
      <c r="R53387" s="178"/>
      <c r="S53387" s="178"/>
    </row>
    <row r="53388" spans="18:19">
      <c r="R53388" s="178"/>
      <c r="S53388" s="178"/>
    </row>
    <row r="53389" spans="18:19">
      <c r="R53389" s="178"/>
      <c r="S53389" s="178"/>
    </row>
    <row r="53390" spans="18:19">
      <c r="R53390" s="178"/>
      <c r="S53390" s="178"/>
    </row>
    <row r="53391" spans="18:19">
      <c r="R53391" s="178"/>
      <c r="S53391" s="178"/>
    </row>
    <row r="53392" spans="18:19">
      <c r="R53392" s="178"/>
      <c r="S53392" s="178"/>
    </row>
    <row r="53393" spans="18:19">
      <c r="R53393" s="178"/>
      <c r="S53393" s="178"/>
    </row>
    <row r="53394" spans="18:19">
      <c r="R53394" s="178"/>
      <c r="S53394" s="178"/>
    </row>
    <row r="53395" spans="18:19">
      <c r="R53395" s="178"/>
      <c r="S53395" s="178"/>
    </row>
    <row r="53396" spans="18:19">
      <c r="R53396" s="178"/>
      <c r="S53396" s="178"/>
    </row>
    <row r="53397" spans="18:19">
      <c r="R53397" s="178"/>
      <c r="S53397" s="178"/>
    </row>
    <row r="53398" spans="18:19">
      <c r="R53398" s="178"/>
      <c r="S53398" s="178"/>
    </row>
    <row r="53399" spans="18:19">
      <c r="R53399" s="178"/>
      <c r="S53399" s="178"/>
    </row>
    <row r="53400" spans="18:19">
      <c r="R53400" s="178"/>
      <c r="S53400" s="178"/>
    </row>
    <row r="53401" spans="18:19">
      <c r="R53401" s="178"/>
      <c r="S53401" s="178"/>
    </row>
    <row r="53402" spans="18:19">
      <c r="R53402" s="178"/>
      <c r="S53402" s="178"/>
    </row>
    <row r="53403" spans="18:19">
      <c r="R53403" s="178"/>
      <c r="S53403" s="178"/>
    </row>
    <row r="53404" spans="18:19">
      <c r="R53404" s="178"/>
      <c r="S53404" s="178"/>
    </row>
    <row r="53405" spans="18:19">
      <c r="R53405" s="178"/>
      <c r="S53405" s="178"/>
    </row>
    <row r="53406" spans="18:19">
      <c r="R53406" s="178"/>
      <c r="S53406" s="178"/>
    </row>
    <row r="53407" spans="18:19">
      <c r="R53407" s="178"/>
      <c r="S53407" s="178"/>
    </row>
    <row r="53408" spans="18:19">
      <c r="R53408" s="178"/>
      <c r="S53408" s="178"/>
    </row>
    <row r="53409" spans="18:19">
      <c r="R53409" s="178"/>
      <c r="S53409" s="178"/>
    </row>
    <row r="53410" spans="18:19">
      <c r="R53410" s="178"/>
      <c r="S53410" s="178"/>
    </row>
    <row r="53411" spans="18:19">
      <c r="R53411" s="178"/>
      <c r="S53411" s="178"/>
    </row>
    <row r="53412" spans="18:19">
      <c r="R53412" s="178"/>
      <c r="S53412" s="178"/>
    </row>
    <row r="53413" spans="18:19">
      <c r="R53413" s="178"/>
      <c r="S53413" s="178"/>
    </row>
    <row r="53414" spans="18:19">
      <c r="R53414" s="178"/>
      <c r="S53414" s="178"/>
    </row>
    <row r="53415" spans="18:19">
      <c r="R53415" s="178"/>
      <c r="S53415" s="178"/>
    </row>
    <row r="53416" spans="18:19">
      <c r="R53416" s="178"/>
      <c r="S53416" s="178"/>
    </row>
    <row r="53417" spans="18:19">
      <c r="R53417" s="178"/>
      <c r="S53417" s="178"/>
    </row>
    <row r="53418" spans="18:19">
      <c r="R53418" s="178"/>
      <c r="S53418" s="178"/>
    </row>
    <row r="53419" spans="18:19">
      <c r="R53419" s="178"/>
      <c r="S53419" s="178"/>
    </row>
    <row r="53420" spans="18:19">
      <c r="R53420" s="178"/>
      <c r="S53420" s="178"/>
    </row>
    <row r="53421" spans="18:19">
      <c r="R53421" s="178"/>
      <c r="S53421" s="178"/>
    </row>
    <row r="53422" spans="18:19">
      <c r="R53422" s="178"/>
      <c r="S53422" s="178"/>
    </row>
    <row r="53423" spans="18:19">
      <c r="R53423" s="178"/>
      <c r="S53423" s="178"/>
    </row>
    <row r="53424" spans="18:19">
      <c r="R53424" s="178"/>
      <c r="S53424" s="178"/>
    </row>
    <row r="53425" spans="18:19">
      <c r="R53425" s="178"/>
      <c r="S53425" s="178"/>
    </row>
    <row r="53426" spans="18:19">
      <c r="R53426" s="178"/>
      <c r="S53426" s="178"/>
    </row>
    <row r="53427" spans="18:19">
      <c r="R53427" s="178"/>
      <c r="S53427" s="178"/>
    </row>
    <row r="53428" spans="18:19">
      <c r="R53428" s="178"/>
      <c r="S53428" s="178"/>
    </row>
    <row r="53429" spans="18:19">
      <c r="R53429" s="178"/>
      <c r="S53429" s="178"/>
    </row>
    <row r="53430" spans="18:19">
      <c r="R53430" s="178"/>
      <c r="S53430" s="178"/>
    </row>
    <row r="53431" spans="18:19">
      <c r="R53431" s="178"/>
      <c r="S53431" s="178"/>
    </row>
    <row r="53432" spans="18:19">
      <c r="R53432" s="178"/>
      <c r="S53432" s="178"/>
    </row>
    <row r="53433" spans="18:19">
      <c r="R53433" s="178"/>
      <c r="S53433" s="178"/>
    </row>
    <row r="53434" spans="18:19">
      <c r="R53434" s="178"/>
      <c r="S53434" s="178"/>
    </row>
    <row r="53435" spans="18:19">
      <c r="R53435" s="178"/>
      <c r="S53435" s="178"/>
    </row>
    <row r="53436" spans="18:19">
      <c r="R53436" s="178"/>
      <c r="S53436" s="178"/>
    </row>
    <row r="53437" spans="18:19">
      <c r="R53437" s="178"/>
      <c r="S53437" s="178"/>
    </row>
    <row r="53438" spans="18:19">
      <c r="R53438" s="178"/>
      <c r="S53438" s="178"/>
    </row>
    <row r="53439" spans="18:19">
      <c r="R53439" s="178"/>
      <c r="S53439" s="178"/>
    </row>
    <row r="53440" spans="18:19">
      <c r="R53440" s="178"/>
      <c r="S53440" s="178"/>
    </row>
    <row r="53441" spans="18:19">
      <c r="R53441" s="178"/>
      <c r="S53441" s="178"/>
    </row>
    <row r="53442" spans="18:19">
      <c r="R53442" s="178"/>
      <c r="S53442" s="178"/>
    </row>
    <row r="53443" spans="18:19">
      <c r="R53443" s="178"/>
      <c r="S53443" s="178"/>
    </row>
    <row r="53444" spans="18:19">
      <c r="R53444" s="178"/>
      <c r="S53444" s="178"/>
    </row>
    <row r="53445" spans="18:19">
      <c r="R53445" s="178"/>
      <c r="S53445" s="178"/>
    </row>
    <row r="53446" spans="18:19">
      <c r="R53446" s="178"/>
      <c r="S53446" s="178"/>
    </row>
    <row r="53447" spans="18:19">
      <c r="R53447" s="178"/>
      <c r="S53447" s="178"/>
    </row>
    <row r="53448" spans="18:19">
      <c r="R53448" s="178"/>
      <c r="S53448" s="178"/>
    </row>
    <row r="53449" spans="18:19">
      <c r="R53449" s="178"/>
      <c r="S53449" s="178"/>
    </row>
    <row r="53450" spans="18:19">
      <c r="R53450" s="178"/>
      <c r="S53450" s="178"/>
    </row>
    <row r="53451" spans="18:19">
      <c r="R53451" s="178"/>
      <c r="S53451" s="178"/>
    </row>
    <row r="53452" spans="18:19">
      <c r="R53452" s="178"/>
      <c r="S53452" s="178"/>
    </row>
    <row r="53453" spans="18:19">
      <c r="R53453" s="178"/>
      <c r="S53453" s="178"/>
    </row>
    <row r="53454" spans="18:19">
      <c r="R53454" s="178"/>
      <c r="S53454" s="178"/>
    </row>
    <row r="53455" spans="18:19">
      <c r="R53455" s="178"/>
      <c r="S53455" s="178"/>
    </row>
    <row r="53456" spans="18:19">
      <c r="R53456" s="178"/>
      <c r="S53456" s="178"/>
    </row>
    <row r="53457" spans="18:19">
      <c r="R53457" s="178"/>
      <c r="S53457" s="178"/>
    </row>
    <row r="53458" spans="18:19">
      <c r="R53458" s="178"/>
      <c r="S53458" s="178"/>
    </row>
    <row r="53459" spans="18:19">
      <c r="R53459" s="178"/>
      <c r="S53459" s="178"/>
    </row>
    <row r="53460" spans="18:19">
      <c r="R53460" s="178"/>
      <c r="S53460" s="178"/>
    </row>
    <row r="53461" spans="18:19">
      <c r="R53461" s="178"/>
      <c r="S53461" s="178"/>
    </row>
    <row r="53462" spans="18:19">
      <c r="R53462" s="178"/>
      <c r="S53462" s="178"/>
    </row>
    <row r="53463" spans="18:19">
      <c r="R53463" s="178"/>
      <c r="S53463" s="178"/>
    </row>
    <row r="53464" spans="18:19">
      <c r="R53464" s="178"/>
      <c r="S53464" s="178"/>
    </row>
    <row r="53465" spans="18:19">
      <c r="R53465" s="178"/>
      <c r="S53465" s="178"/>
    </row>
    <row r="53466" spans="18:19">
      <c r="R53466" s="178"/>
      <c r="S53466" s="178"/>
    </row>
    <row r="53467" spans="18:19">
      <c r="R53467" s="178"/>
      <c r="S53467" s="178"/>
    </row>
    <row r="53468" spans="18:19">
      <c r="R53468" s="178"/>
      <c r="S53468" s="178"/>
    </row>
    <row r="53469" spans="18:19">
      <c r="R53469" s="178"/>
      <c r="S53469" s="178"/>
    </row>
    <row r="53470" spans="18:19">
      <c r="R53470" s="178"/>
      <c r="S53470" s="178"/>
    </row>
    <row r="53471" spans="18:19">
      <c r="R53471" s="178"/>
      <c r="S53471" s="178"/>
    </row>
    <row r="53472" spans="18:19">
      <c r="R53472" s="178"/>
      <c r="S53472" s="178"/>
    </row>
    <row r="53473" spans="18:19">
      <c r="R53473" s="178"/>
      <c r="S53473" s="178"/>
    </row>
    <row r="53474" spans="18:19">
      <c r="R53474" s="178"/>
      <c r="S53474" s="178"/>
    </row>
    <row r="53475" spans="18:19">
      <c r="R53475" s="178"/>
      <c r="S53475" s="178"/>
    </row>
    <row r="53476" spans="18:19">
      <c r="R53476" s="178"/>
      <c r="S53476" s="178"/>
    </row>
    <row r="53477" spans="18:19">
      <c r="R53477" s="178"/>
      <c r="S53477" s="178"/>
    </row>
    <row r="53478" spans="18:19">
      <c r="R53478" s="178"/>
      <c r="S53478" s="178"/>
    </row>
    <row r="53479" spans="18:19">
      <c r="R53479" s="178"/>
      <c r="S53479" s="178"/>
    </row>
    <row r="53480" spans="18:19">
      <c r="R53480" s="178"/>
      <c r="S53480" s="178"/>
    </row>
    <row r="53481" spans="18:19">
      <c r="R53481" s="178"/>
      <c r="S53481" s="178"/>
    </row>
    <row r="53482" spans="18:19">
      <c r="R53482" s="178"/>
      <c r="S53482" s="178"/>
    </row>
    <row r="53483" spans="18:19">
      <c r="R53483" s="178"/>
      <c r="S53483" s="178"/>
    </row>
    <row r="53484" spans="18:19">
      <c r="R53484" s="178"/>
      <c r="S53484" s="178"/>
    </row>
    <row r="53485" spans="18:19">
      <c r="R53485" s="178"/>
      <c r="S53485" s="178"/>
    </row>
    <row r="53486" spans="18:19">
      <c r="R53486" s="178"/>
      <c r="S53486" s="178"/>
    </row>
    <row r="53487" spans="18:19">
      <c r="R53487" s="178"/>
      <c r="S53487" s="178"/>
    </row>
    <row r="53488" spans="18:19">
      <c r="R53488" s="178"/>
      <c r="S53488" s="178"/>
    </row>
    <row r="53489" spans="18:19">
      <c r="R53489" s="178"/>
      <c r="S53489" s="178"/>
    </row>
    <row r="53490" spans="18:19">
      <c r="R53490" s="178"/>
      <c r="S53490" s="178"/>
    </row>
    <row r="53491" spans="18:19">
      <c r="R53491" s="178"/>
      <c r="S53491" s="178"/>
    </row>
    <row r="53492" spans="18:19">
      <c r="R53492" s="178"/>
      <c r="S53492" s="178"/>
    </row>
    <row r="53493" spans="18:19">
      <c r="R53493" s="178"/>
      <c r="S53493" s="178"/>
    </row>
    <row r="53494" spans="18:19">
      <c r="R53494" s="178"/>
      <c r="S53494" s="178"/>
    </row>
    <row r="53495" spans="18:19">
      <c r="R53495" s="178"/>
      <c r="S53495" s="178"/>
    </row>
    <row r="53496" spans="18:19">
      <c r="R53496" s="178"/>
      <c r="S53496" s="178"/>
    </row>
    <row r="53497" spans="18:19">
      <c r="R53497" s="178"/>
      <c r="S53497" s="178"/>
    </row>
    <row r="53498" spans="18:19">
      <c r="R53498" s="178"/>
      <c r="S53498" s="178"/>
    </row>
    <row r="53499" spans="18:19">
      <c r="R53499" s="178"/>
      <c r="S53499" s="178"/>
    </row>
    <row r="53500" spans="18:19">
      <c r="R53500" s="178"/>
      <c r="S53500" s="178"/>
    </row>
    <row r="53501" spans="18:19">
      <c r="R53501" s="178"/>
      <c r="S53501" s="178"/>
    </row>
    <row r="53502" spans="18:19">
      <c r="R53502" s="178"/>
      <c r="S53502" s="178"/>
    </row>
    <row r="53503" spans="18:19">
      <c r="R53503" s="178"/>
      <c r="S53503" s="178"/>
    </row>
    <row r="53504" spans="18:19">
      <c r="R53504" s="178"/>
      <c r="S53504" s="178"/>
    </row>
    <row r="53505" spans="18:19">
      <c r="R53505" s="178"/>
      <c r="S53505" s="178"/>
    </row>
    <row r="53506" spans="18:19">
      <c r="R53506" s="178"/>
      <c r="S53506" s="178"/>
    </row>
    <row r="53507" spans="18:19">
      <c r="R53507" s="178"/>
      <c r="S53507" s="178"/>
    </row>
    <row r="53508" spans="18:19">
      <c r="R53508" s="178"/>
      <c r="S53508" s="178"/>
    </row>
    <row r="53509" spans="18:19">
      <c r="R53509" s="178"/>
      <c r="S53509" s="178"/>
    </row>
    <row r="53510" spans="18:19">
      <c r="R53510" s="178"/>
      <c r="S53510" s="178"/>
    </row>
    <row r="53511" spans="18:19">
      <c r="R53511" s="178"/>
      <c r="S53511" s="178"/>
    </row>
    <row r="53512" spans="18:19">
      <c r="R53512" s="178"/>
      <c r="S53512" s="178"/>
    </row>
    <row r="53513" spans="18:19">
      <c r="R53513" s="178"/>
      <c r="S53513" s="178"/>
    </row>
    <row r="53514" spans="18:19">
      <c r="R53514" s="178"/>
      <c r="S53514" s="178"/>
    </row>
    <row r="53515" spans="18:19">
      <c r="R53515" s="178"/>
      <c r="S53515" s="178"/>
    </row>
    <row r="53516" spans="18:19">
      <c r="R53516" s="178"/>
      <c r="S53516" s="178"/>
    </row>
    <row r="53517" spans="18:19">
      <c r="R53517" s="178"/>
      <c r="S53517" s="178"/>
    </row>
    <row r="53518" spans="18:19">
      <c r="R53518" s="178"/>
      <c r="S53518" s="178"/>
    </row>
    <row r="53519" spans="18:19">
      <c r="R53519" s="178"/>
      <c r="S53519" s="178"/>
    </row>
    <row r="53520" spans="18:19">
      <c r="R53520" s="178"/>
      <c r="S53520" s="178"/>
    </row>
    <row r="53521" spans="18:19">
      <c r="R53521" s="178"/>
      <c r="S53521" s="178"/>
    </row>
    <row r="53522" spans="18:19">
      <c r="R53522" s="178"/>
      <c r="S53522" s="178"/>
    </row>
    <row r="53523" spans="18:19">
      <c r="R53523" s="178"/>
      <c r="S53523" s="178"/>
    </row>
    <row r="53524" spans="18:19">
      <c r="R53524" s="178"/>
      <c r="S53524" s="178"/>
    </row>
    <row r="53525" spans="18:19">
      <c r="R53525" s="178"/>
      <c r="S53525" s="178"/>
    </row>
    <row r="53526" spans="18:19">
      <c r="R53526" s="178"/>
      <c r="S53526" s="178"/>
    </row>
    <row r="53527" spans="18:19">
      <c r="R53527" s="178"/>
      <c r="S53527" s="178"/>
    </row>
    <row r="53528" spans="18:19">
      <c r="R53528" s="178"/>
      <c r="S53528" s="178"/>
    </row>
    <row r="53529" spans="18:19">
      <c r="R53529" s="178"/>
      <c r="S53529" s="178"/>
    </row>
    <row r="53530" spans="18:19">
      <c r="R53530" s="178"/>
      <c r="S53530" s="178"/>
    </row>
    <row r="53531" spans="18:19">
      <c r="R53531" s="178"/>
      <c r="S53531" s="178"/>
    </row>
    <row r="53532" spans="18:19">
      <c r="R53532" s="178"/>
      <c r="S53532" s="178"/>
    </row>
    <row r="53533" spans="18:19">
      <c r="R53533" s="178"/>
      <c r="S53533" s="178"/>
    </row>
    <row r="53534" spans="18:19">
      <c r="R53534" s="178"/>
      <c r="S53534" s="178"/>
    </row>
    <row r="53535" spans="18:19">
      <c r="R53535" s="178"/>
      <c r="S53535" s="178"/>
    </row>
    <row r="53536" spans="18:19">
      <c r="R53536" s="178"/>
      <c r="S53536" s="178"/>
    </row>
    <row r="53537" spans="18:19">
      <c r="R53537" s="178"/>
      <c r="S53537" s="178"/>
    </row>
    <row r="53538" spans="18:19">
      <c r="R53538" s="178"/>
      <c r="S53538" s="178"/>
    </row>
    <row r="53539" spans="18:19">
      <c r="R53539" s="178"/>
      <c r="S53539" s="178"/>
    </row>
    <row r="53540" spans="18:19">
      <c r="R53540" s="178"/>
      <c r="S53540" s="178"/>
    </row>
    <row r="53541" spans="18:19">
      <c r="R53541" s="178"/>
      <c r="S53541" s="178"/>
    </row>
    <row r="53542" spans="18:19">
      <c r="R53542" s="178"/>
      <c r="S53542" s="178"/>
    </row>
    <row r="53543" spans="18:19">
      <c r="R53543" s="178"/>
      <c r="S53543" s="178"/>
    </row>
    <row r="53544" spans="18:19">
      <c r="R53544" s="178"/>
      <c r="S53544" s="178"/>
    </row>
    <row r="53545" spans="18:19">
      <c r="R53545" s="178"/>
      <c r="S53545" s="178"/>
    </row>
    <row r="53546" spans="18:19">
      <c r="R53546" s="178"/>
      <c r="S53546" s="178"/>
    </row>
    <row r="53547" spans="18:19">
      <c r="R53547" s="178"/>
      <c r="S53547" s="178"/>
    </row>
    <row r="53548" spans="18:19">
      <c r="R53548" s="178"/>
      <c r="S53548" s="178"/>
    </row>
    <row r="53549" spans="18:19">
      <c r="R53549" s="178"/>
      <c r="S53549" s="178"/>
    </row>
    <row r="53550" spans="18:19">
      <c r="R53550" s="178"/>
      <c r="S53550" s="178"/>
    </row>
    <row r="53551" spans="18:19">
      <c r="R53551" s="178"/>
      <c r="S53551" s="178"/>
    </row>
    <row r="53552" spans="18:19">
      <c r="R53552" s="178"/>
      <c r="S53552" s="178"/>
    </row>
    <row r="53553" spans="18:19">
      <c r="R53553" s="178"/>
      <c r="S53553" s="178"/>
    </row>
    <row r="53554" spans="18:19">
      <c r="R53554" s="178"/>
      <c r="S53554" s="178"/>
    </row>
    <row r="53555" spans="18:19">
      <c r="R53555" s="178"/>
      <c r="S53555" s="178"/>
    </row>
    <row r="53556" spans="18:19">
      <c r="R53556" s="178"/>
      <c r="S53556" s="178"/>
    </row>
    <row r="53557" spans="18:19">
      <c r="R53557" s="178"/>
      <c r="S53557" s="178"/>
    </row>
    <row r="53558" spans="18:19">
      <c r="R53558" s="178"/>
      <c r="S53558" s="178"/>
    </row>
    <row r="53559" spans="18:19">
      <c r="R53559" s="178"/>
      <c r="S53559" s="178"/>
    </row>
    <row r="53560" spans="18:19">
      <c r="R53560" s="178"/>
      <c r="S53560" s="178"/>
    </row>
    <row r="53561" spans="18:19">
      <c r="R53561" s="178"/>
      <c r="S53561" s="178"/>
    </row>
    <row r="53562" spans="18:19">
      <c r="R53562" s="178"/>
      <c r="S53562" s="178"/>
    </row>
    <row r="53563" spans="18:19">
      <c r="R53563" s="178"/>
      <c r="S53563" s="178"/>
    </row>
    <row r="53564" spans="18:19">
      <c r="R53564" s="178"/>
      <c r="S53564" s="178"/>
    </row>
    <row r="53565" spans="18:19">
      <c r="R53565" s="178"/>
      <c r="S53565" s="178"/>
    </row>
    <row r="53566" spans="18:19">
      <c r="R53566" s="178"/>
      <c r="S53566" s="178"/>
    </row>
    <row r="53567" spans="18:19">
      <c r="R53567" s="178"/>
      <c r="S53567" s="178"/>
    </row>
    <row r="53568" spans="18:19">
      <c r="R53568" s="178"/>
      <c r="S53568" s="178"/>
    </row>
    <row r="53569" spans="18:19">
      <c r="R53569" s="178"/>
      <c r="S53569" s="178"/>
    </row>
    <row r="53570" spans="18:19">
      <c r="R53570" s="178"/>
      <c r="S53570" s="178"/>
    </row>
    <row r="53571" spans="18:19">
      <c r="R53571" s="178"/>
      <c r="S53571" s="178"/>
    </row>
    <row r="53572" spans="18:19">
      <c r="R53572" s="178"/>
      <c r="S53572" s="178"/>
    </row>
    <row r="53573" spans="18:19">
      <c r="R53573" s="178"/>
      <c r="S53573" s="178"/>
    </row>
    <row r="53574" spans="18:19">
      <c r="R53574" s="178"/>
      <c r="S53574" s="178"/>
    </row>
    <row r="53575" spans="18:19">
      <c r="R53575" s="178"/>
      <c r="S53575" s="178"/>
    </row>
    <row r="53576" spans="18:19">
      <c r="R53576" s="178"/>
      <c r="S53576" s="178"/>
    </row>
    <row r="53577" spans="18:19">
      <c r="R53577" s="178"/>
      <c r="S53577" s="178"/>
    </row>
    <row r="53578" spans="18:19">
      <c r="R53578" s="178"/>
      <c r="S53578" s="178"/>
    </row>
    <row r="53579" spans="18:19">
      <c r="R53579" s="178"/>
      <c r="S53579" s="178"/>
    </row>
    <row r="53580" spans="18:19">
      <c r="R53580" s="178"/>
      <c r="S53580" s="178"/>
    </row>
    <row r="53581" spans="18:19">
      <c r="R53581" s="178"/>
      <c r="S53581" s="178"/>
    </row>
    <row r="53582" spans="18:19">
      <c r="R53582" s="178"/>
      <c r="S53582" s="178"/>
    </row>
    <row r="53583" spans="18:19">
      <c r="R53583" s="178"/>
      <c r="S53583" s="178"/>
    </row>
    <row r="53584" spans="18:19">
      <c r="R53584" s="178"/>
      <c r="S53584" s="178"/>
    </row>
    <row r="53585" spans="18:19">
      <c r="R53585" s="178"/>
      <c r="S53585" s="178"/>
    </row>
    <row r="53586" spans="18:19">
      <c r="R53586" s="178"/>
      <c r="S53586" s="178"/>
    </row>
    <row r="53587" spans="18:19">
      <c r="R53587" s="178"/>
      <c r="S53587" s="178"/>
    </row>
    <row r="53588" spans="18:19">
      <c r="R53588" s="178"/>
      <c r="S53588" s="178"/>
    </row>
    <row r="53589" spans="18:19">
      <c r="R53589" s="178"/>
      <c r="S53589" s="178"/>
    </row>
    <row r="53590" spans="18:19">
      <c r="R53590" s="178"/>
      <c r="S53590" s="178"/>
    </row>
    <row r="53591" spans="18:19">
      <c r="R53591" s="178"/>
      <c r="S53591" s="178"/>
    </row>
    <row r="53592" spans="18:19">
      <c r="R53592" s="178"/>
      <c r="S53592" s="178"/>
    </row>
    <row r="53593" spans="18:19">
      <c r="R53593" s="178"/>
      <c r="S53593" s="178"/>
    </row>
    <row r="53594" spans="18:19">
      <c r="R53594" s="178"/>
      <c r="S53594" s="178"/>
    </row>
    <row r="53595" spans="18:19">
      <c r="R53595" s="178"/>
      <c r="S53595" s="178"/>
    </row>
    <row r="53596" spans="18:19">
      <c r="R53596" s="178"/>
      <c r="S53596" s="178"/>
    </row>
    <row r="53597" spans="18:19">
      <c r="R53597" s="178"/>
      <c r="S53597" s="178"/>
    </row>
    <row r="53598" spans="18:19">
      <c r="R53598" s="178"/>
      <c r="S53598" s="178"/>
    </row>
    <row r="53599" spans="18:19">
      <c r="R53599" s="178"/>
      <c r="S53599" s="178"/>
    </row>
    <row r="53600" spans="18:19">
      <c r="R53600" s="178"/>
      <c r="S53600" s="178"/>
    </row>
    <row r="53601" spans="18:19">
      <c r="R53601" s="178"/>
      <c r="S53601" s="178"/>
    </row>
    <row r="53602" spans="18:19">
      <c r="R53602" s="178"/>
      <c r="S53602" s="178"/>
    </row>
    <row r="53603" spans="18:19">
      <c r="R53603" s="178"/>
      <c r="S53603" s="178"/>
    </row>
    <row r="53604" spans="18:19">
      <c r="R53604" s="178"/>
      <c r="S53604" s="178"/>
    </row>
    <row r="53605" spans="18:19">
      <c r="R53605" s="178"/>
      <c r="S53605" s="178"/>
    </row>
    <row r="53606" spans="18:19">
      <c r="R53606" s="178"/>
      <c r="S53606" s="178"/>
    </row>
    <row r="53607" spans="18:19">
      <c r="R53607" s="178"/>
      <c r="S53607" s="178"/>
    </row>
    <row r="53608" spans="18:19">
      <c r="R53608" s="178"/>
      <c r="S53608" s="178"/>
    </row>
    <row r="53609" spans="18:19">
      <c r="R53609" s="178"/>
      <c r="S53609" s="178"/>
    </row>
    <row r="53610" spans="18:19">
      <c r="R53610" s="178"/>
      <c r="S53610" s="178"/>
    </row>
    <row r="53611" spans="18:19">
      <c r="R53611" s="178"/>
      <c r="S53611" s="178"/>
    </row>
    <row r="53612" spans="18:19">
      <c r="R53612" s="178"/>
      <c r="S53612" s="178"/>
    </row>
    <row r="53613" spans="18:19">
      <c r="R53613" s="178"/>
      <c r="S53613" s="178"/>
    </row>
    <row r="53614" spans="18:19">
      <c r="R53614" s="178"/>
      <c r="S53614" s="178"/>
    </row>
    <row r="53615" spans="18:19">
      <c r="R53615" s="178"/>
      <c r="S53615" s="178"/>
    </row>
    <row r="53616" spans="18:19">
      <c r="R53616" s="178"/>
      <c r="S53616" s="178"/>
    </row>
    <row r="53617" spans="18:19">
      <c r="R53617" s="178"/>
      <c r="S53617" s="178"/>
    </row>
    <row r="53618" spans="18:19">
      <c r="R53618" s="178"/>
      <c r="S53618" s="178"/>
    </row>
    <row r="53619" spans="18:19">
      <c r="R53619" s="178"/>
      <c r="S53619" s="178"/>
    </row>
    <row r="53620" spans="18:19">
      <c r="R53620" s="178"/>
      <c r="S53620" s="178"/>
    </row>
    <row r="53621" spans="18:19">
      <c r="R53621" s="178"/>
      <c r="S53621" s="178"/>
    </row>
    <row r="53622" spans="18:19">
      <c r="R53622" s="178"/>
      <c r="S53622" s="178"/>
    </row>
    <row r="53623" spans="18:19">
      <c r="R53623" s="178"/>
      <c r="S53623" s="178"/>
    </row>
    <row r="53624" spans="18:19">
      <c r="R53624" s="178"/>
      <c r="S53624" s="178"/>
    </row>
    <row r="53625" spans="18:19">
      <c r="R53625" s="178"/>
      <c r="S53625" s="178"/>
    </row>
    <row r="53626" spans="18:19">
      <c r="R53626" s="178"/>
      <c r="S53626" s="178"/>
    </row>
    <row r="53627" spans="18:19">
      <c r="R53627" s="178"/>
      <c r="S53627" s="178"/>
    </row>
    <row r="53628" spans="18:19">
      <c r="R53628" s="178"/>
      <c r="S53628" s="178"/>
    </row>
    <row r="53629" spans="18:19">
      <c r="R53629" s="178"/>
      <c r="S53629" s="178"/>
    </row>
    <row r="53630" spans="18:19">
      <c r="R53630" s="178"/>
      <c r="S53630" s="178"/>
    </row>
    <row r="53631" spans="18:19">
      <c r="R53631" s="178"/>
      <c r="S53631" s="178"/>
    </row>
    <row r="53632" spans="18:19">
      <c r="R53632" s="178"/>
      <c r="S53632" s="178"/>
    </row>
    <row r="53633" spans="18:19">
      <c r="R53633" s="178"/>
      <c r="S53633" s="178"/>
    </row>
    <row r="53634" spans="18:19">
      <c r="R53634" s="178"/>
      <c r="S53634" s="178"/>
    </row>
    <row r="53635" spans="18:19">
      <c r="R53635" s="178"/>
      <c r="S53635" s="178"/>
    </row>
    <row r="53636" spans="18:19">
      <c r="R53636" s="178"/>
      <c r="S53636" s="178"/>
    </row>
    <row r="53637" spans="18:19">
      <c r="R53637" s="178"/>
      <c r="S53637" s="178"/>
    </row>
    <row r="53638" spans="18:19">
      <c r="R53638" s="178"/>
      <c r="S53638" s="178"/>
    </row>
    <row r="53639" spans="18:19">
      <c r="R53639" s="178"/>
      <c r="S53639" s="178"/>
    </row>
    <row r="53640" spans="18:19">
      <c r="R53640" s="178"/>
      <c r="S53640" s="178"/>
    </row>
    <row r="53641" spans="18:19">
      <c r="R53641" s="178"/>
      <c r="S53641" s="178"/>
    </row>
    <row r="53642" spans="18:19">
      <c r="R53642" s="178"/>
      <c r="S53642" s="178"/>
    </row>
    <row r="53643" spans="18:19">
      <c r="R53643" s="178"/>
      <c r="S53643" s="178"/>
    </row>
    <row r="53644" spans="18:19">
      <c r="R53644" s="178"/>
      <c r="S53644" s="178"/>
    </row>
    <row r="53645" spans="18:19">
      <c r="R53645" s="178"/>
      <c r="S53645" s="178"/>
    </row>
    <row r="53646" spans="18:19">
      <c r="R53646" s="178"/>
      <c r="S53646" s="178"/>
    </row>
    <row r="53647" spans="18:19">
      <c r="R53647" s="178"/>
      <c r="S53647" s="178"/>
    </row>
    <row r="53648" spans="18:19">
      <c r="R53648" s="178"/>
      <c r="S53648" s="178"/>
    </row>
    <row r="53649" spans="18:19">
      <c r="R53649" s="178"/>
      <c r="S53649" s="178"/>
    </row>
    <row r="53650" spans="18:19">
      <c r="R53650" s="178"/>
      <c r="S53650" s="178"/>
    </row>
    <row r="53651" spans="18:19">
      <c r="R53651" s="178"/>
      <c r="S53651" s="178"/>
    </row>
    <row r="53652" spans="18:19">
      <c r="R53652" s="178"/>
      <c r="S53652" s="178"/>
    </row>
    <row r="53653" spans="18:19">
      <c r="R53653" s="178"/>
      <c r="S53653" s="178"/>
    </row>
    <row r="53654" spans="18:19">
      <c r="R53654" s="178"/>
      <c r="S53654" s="178"/>
    </row>
    <row r="53655" spans="18:19">
      <c r="R53655" s="178"/>
      <c r="S53655" s="178"/>
    </row>
    <row r="53656" spans="18:19">
      <c r="R53656" s="178"/>
      <c r="S53656" s="178"/>
    </row>
    <row r="53657" spans="18:19">
      <c r="R53657" s="178"/>
      <c r="S53657" s="178"/>
    </row>
    <row r="53658" spans="18:19">
      <c r="R53658" s="178"/>
      <c r="S53658" s="178"/>
    </row>
    <row r="53659" spans="18:19">
      <c r="R53659" s="178"/>
      <c r="S53659" s="178"/>
    </row>
    <row r="53660" spans="18:19">
      <c r="R53660" s="178"/>
      <c r="S53660" s="178"/>
    </row>
    <row r="53661" spans="18:19">
      <c r="R53661" s="178"/>
      <c r="S53661" s="178"/>
    </row>
    <row r="53662" spans="18:19">
      <c r="R53662" s="178"/>
      <c r="S53662" s="178"/>
    </row>
    <row r="53663" spans="18:19">
      <c r="R53663" s="178"/>
      <c r="S53663" s="178"/>
    </row>
    <row r="53664" spans="18:19">
      <c r="R53664" s="178"/>
      <c r="S53664" s="178"/>
    </row>
    <row r="53665" spans="18:19">
      <c r="R53665" s="178"/>
      <c r="S53665" s="178"/>
    </row>
    <row r="53666" spans="18:19">
      <c r="R53666" s="178"/>
      <c r="S53666" s="178"/>
    </row>
    <row r="53667" spans="18:19">
      <c r="R53667" s="178"/>
      <c r="S53667" s="178"/>
    </row>
    <row r="53668" spans="18:19">
      <c r="R53668" s="178"/>
      <c r="S53668" s="178"/>
    </row>
    <row r="53669" spans="18:19">
      <c r="R53669" s="178"/>
      <c r="S53669" s="178"/>
    </row>
    <row r="53670" spans="18:19">
      <c r="R53670" s="178"/>
      <c r="S53670" s="178"/>
    </row>
    <row r="53671" spans="18:19">
      <c r="R53671" s="178"/>
      <c r="S53671" s="178"/>
    </row>
    <row r="53672" spans="18:19">
      <c r="R53672" s="178"/>
      <c r="S53672" s="178"/>
    </row>
    <row r="53673" spans="18:19">
      <c r="R53673" s="178"/>
      <c r="S53673" s="178"/>
    </row>
    <row r="53674" spans="18:19">
      <c r="R53674" s="178"/>
      <c r="S53674" s="178"/>
    </row>
    <row r="53675" spans="18:19">
      <c r="R53675" s="178"/>
      <c r="S53675" s="178"/>
    </row>
    <row r="53676" spans="18:19">
      <c r="R53676" s="178"/>
      <c r="S53676" s="178"/>
    </row>
    <row r="53677" spans="18:19">
      <c r="R53677" s="178"/>
      <c r="S53677" s="178"/>
    </row>
    <row r="53678" spans="18:19">
      <c r="R53678" s="178"/>
      <c r="S53678" s="178"/>
    </row>
    <row r="53679" spans="18:19">
      <c r="R53679" s="178"/>
      <c r="S53679" s="178"/>
    </row>
    <row r="53680" spans="18:19">
      <c r="R53680" s="178"/>
      <c r="S53680" s="178"/>
    </row>
    <row r="53681" spans="18:19">
      <c r="R53681" s="178"/>
      <c r="S53681" s="178"/>
    </row>
    <row r="53682" spans="18:19">
      <c r="R53682" s="178"/>
      <c r="S53682" s="178"/>
    </row>
    <row r="53683" spans="18:19">
      <c r="R53683" s="178"/>
      <c r="S53683" s="178"/>
    </row>
    <row r="53684" spans="18:19">
      <c r="R53684" s="178"/>
      <c r="S53684" s="178"/>
    </row>
    <row r="53685" spans="18:19">
      <c r="R53685" s="178"/>
      <c r="S53685" s="178"/>
    </row>
    <row r="53686" spans="18:19">
      <c r="R53686" s="178"/>
      <c r="S53686" s="178"/>
    </row>
    <row r="53687" spans="18:19">
      <c r="R53687" s="178"/>
      <c r="S53687" s="178"/>
    </row>
    <row r="53688" spans="18:19">
      <c r="R53688" s="178"/>
      <c r="S53688" s="178"/>
    </row>
    <row r="53689" spans="18:19">
      <c r="R53689" s="178"/>
      <c r="S53689" s="178"/>
    </row>
    <row r="53690" spans="18:19">
      <c r="R53690" s="178"/>
      <c r="S53690" s="178"/>
    </row>
    <row r="53691" spans="18:19">
      <c r="R53691" s="178"/>
      <c r="S53691" s="178"/>
    </row>
    <row r="53692" spans="18:19">
      <c r="R53692" s="178"/>
      <c r="S53692" s="178"/>
    </row>
    <row r="53693" spans="18:19">
      <c r="R53693" s="178"/>
      <c r="S53693" s="178"/>
    </row>
    <row r="53694" spans="18:19">
      <c r="R53694" s="178"/>
      <c r="S53694" s="178"/>
    </row>
    <row r="53695" spans="18:19">
      <c r="R53695" s="178"/>
      <c r="S53695" s="178"/>
    </row>
    <row r="53696" spans="18:19">
      <c r="R53696" s="178"/>
      <c r="S53696" s="178"/>
    </row>
    <row r="53697" spans="18:19">
      <c r="R53697" s="178"/>
      <c r="S53697" s="178"/>
    </row>
    <row r="53698" spans="18:19">
      <c r="R53698" s="178"/>
      <c r="S53698" s="178"/>
    </row>
    <row r="53699" spans="18:19">
      <c r="R53699" s="178"/>
      <c r="S53699" s="178"/>
    </row>
    <row r="53700" spans="18:19">
      <c r="R53700" s="178"/>
      <c r="S53700" s="178"/>
    </row>
    <row r="53701" spans="18:19">
      <c r="R53701" s="178"/>
      <c r="S53701" s="178"/>
    </row>
    <row r="53702" spans="18:19">
      <c r="R53702" s="178"/>
      <c r="S53702" s="178"/>
    </row>
    <row r="53703" spans="18:19">
      <c r="R53703" s="178"/>
      <c r="S53703" s="178"/>
    </row>
    <row r="53704" spans="18:19">
      <c r="R53704" s="178"/>
      <c r="S53704" s="178"/>
    </row>
    <row r="53705" spans="18:19">
      <c r="R53705" s="178"/>
      <c r="S53705" s="178"/>
    </row>
    <row r="53706" spans="18:19">
      <c r="R53706" s="178"/>
      <c r="S53706" s="178"/>
    </row>
    <row r="53707" spans="18:19">
      <c r="R53707" s="178"/>
      <c r="S53707" s="178"/>
    </row>
    <row r="53708" spans="18:19">
      <c r="R53708" s="178"/>
      <c r="S53708" s="178"/>
    </row>
    <row r="53709" spans="18:19">
      <c r="R53709" s="178"/>
      <c r="S53709" s="178"/>
    </row>
    <row r="53710" spans="18:19">
      <c r="R53710" s="178"/>
      <c r="S53710" s="178"/>
    </row>
    <row r="53711" spans="18:19">
      <c r="R53711" s="178"/>
      <c r="S53711" s="178"/>
    </row>
    <row r="53712" spans="18:19">
      <c r="R53712" s="178"/>
      <c r="S53712" s="178"/>
    </row>
    <row r="53713" spans="18:19">
      <c r="R53713" s="178"/>
      <c r="S53713" s="178"/>
    </row>
    <row r="53714" spans="18:19">
      <c r="R53714" s="178"/>
      <c r="S53714" s="178"/>
    </row>
    <row r="53715" spans="18:19">
      <c r="R53715" s="178"/>
      <c r="S53715" s="178"/>
    </row>
    <row r="53716" spans="18:19">
      <c r="R53716" s="178"/>
      <c r="S53716" s="178"/>
    </row>
    <row r="53717" spans="18:19">
      <c r="R53717" s="178"/>
      <c r="S53717" s="178"/>
    </row>
    <row r="53718" spans="18:19">
      <c r="R53718" s="178"/>
      <c r="S53718" s="178"/>
    </row>
    <row r="53719" spans="18:19">
      <c r="R53719" s="178"/>
      <c r="S53719" s="178"/>
    </row>
    <row r="53720" spans="18:19">
      <c r="R53720" s="178"/>
      <c r="S53720" s="178"/>
    </row>
    <row r="53721" spans="18:19">
      <c r="R53721" s="178"/>
      <c r="S53721" s="178"/>
    </row>
    <row r="53722" spans="18:19">
      <c r="R53722" s="178"/>
      <c r="S53722" s="178"/>
    </row>
    <row r="53723" spans="18:19">
      <c r="R53723" s="178"/>
      <c r="S53723" s="178"/>
    </row>
    <row r="53724" spans="18:19">
      <c r="R53724" s="178"/>
      <c r="S53724" s="178"/>
    </row>
    <row r="53725" spans="18:19">
      <c r="R53725" s="178"/>
      <c r="S53725" s="178"/>
    </row>
    <row r="53726" spans="18:19">
      <c r="R53726" s="178"/>
      <c r="S53726" s="178"/>
    </row>
    <row r="53727" spans="18:19">
      <c r="R53727" s="178"/>
      <c r="S53727" s="178"/>
    </row>
    <row r="53728" spans="18:19">
      <c r="R53728" s="178"/>
      <c r="S53728" s="178"/>
    </row>
    <row r="53729" spans="18:19">
      <c r="R53729" s="178"/>
      <c r="S53729" s="178"/>
    </row>
    <row r="53730" spans="18:19">
      <c r="R53730" s="178"/>
      <c r="S53730" s="178"/>
    </row>
    <row r="53731" spans="18:19">
      <c r="R53731" s="178"/>
      <c r="S53731" s="178"/>
    </row>
    <row r="53732" spans="18:19">
      <c r="R53732" s="178"/>
      <c r="S53732" s="178"/>
    </row>
    <row r="53733" spans="18:19">
      <c r="R53733" s="178"/>
      <c r="S53733" s="178"/>
    </row>
    <row r="53734" spans="18:19">
      <c r="R53734" s="178"/>
      <c r="S53734" s="178"/>
    </row>
    <row r="53735" spans="18:19">
      <c r="R53735" s="178"/>
      <c r="S53735" s="178"/>
    </row>
    <row r="53736" spans="18:19">
      <c r="R53736" s="178"/>
      <c r="S53736" s="178"/>
    </row>
    <row r="53737" spans="18:19">
      <c r="R53737" s="178"/>
      <c r="S53737" s="178"/>
    </row>
    <row r="53738" spans="18:19">
      <c r="R53738" s="178"/>
      <c r="S53738" s="178"/>
    </row>
    <row r="53739" spans="18:19">
      <c r="R53739" s="178"/>
      <c r="S53739" s="178"/>
    </row>
    <row r="53740" spans="18:19">
      <c r="R53740" s="178"/>
      <c r="S53740" s="178"/>
    </row>
    <row r="53741" spans="18:19">
      <c r="R53741" s="178"/>
      <c r="S53741" s="178"/>
    </row>
    <row r="53742" spans="18:19">
      <c r="R53742" s="178"/>
      <c r="S53742" s="178"/>
    </row>
    <row r="53743" spans="18:19">
      <c r="R53743" s="178"/>
      <c r="S53743" s="178"/>
    </row>
    <row r="53744" spans="18:19">
      <c r="R53744" s="178"/>
      <c r="S53744" s="178"/>
    </row>
    <row r="53745" spans="18:19">
      <c r="R53745" s="178"/>
      <c r="S53745" s="178"/>
    </row>
    <row r="53746" spans="18:19">
      <c r="R53746" s="178"/>
      <c r="S53746" s="178"/>
    </row>
    <row r="53747" spans="18:19">
      <c r="R53747" s="178"/>
      <c r="S53747" s="178"/>
    </row>
    <row r="53748" spans="18:19">
      <c r="R53748" s="178"/>
      <c r="S53748" s="178"/>
    </row>
    <row r="53749" spans="18:19">
      <c r="R53749" s="178"/>
      <c r="S53749" s="178"/>
    </row>
    <row r="53750" spans="18:19">
      <c r="R53750" s="178"/>
      <c r="S53750" s="178"/>
    </row>
    <row r="53751" spans="18:19">
      <c r="R53751" s="178"/>
      <c r="S53751" s="178"/>
    </row>
    <row r="53752" spans="18:19">
      <c r="R53752" s="178"/>
      <c r="S53752" s="178"/>
    </row>
    <row r="53753" spans="18:19">
      <c r="R53753" s="178"/>
      <c r="S53753" s="178"/>
    </row>
    <row r="53754" spans="18:19">
      <c r="R53754" s="178"/>
      <c r="S53754" s="178"/>
    </row>
    <row r="53755" spans="18:19">
      <c r="R53755" s="178"/>
      <c r="S53755" s="178"/>
    </row>
    <row r="53756" spans="18:19">
      <c r="R53756" s="178"/>
      <c r="S53756" s="178"/>
    </row>
    <row r="53757" spans="18:19">
      <c r="R53757" s="178"/>
      <c r="S53757" s="178"/>
    </row>
    <row r="53758" spans="18:19">
      <c r="R53758" s="178"/>
      <c r="S53758" s="178"/>
    </row>
    <row r="53759" spans="18:19">
      <c r="R53759" s="178"/>
      <c r="S53759" s="178"/>
    </row>
    <row r="53760" spans="18:19">
      <c r="R53760" s="178"/>
      <c r="S53760" s="178"/>
    </row>
    <row r="53761" spans="18:19">
      <c r="R53761" s="178"/>
      <c r="S53761" s="178"/>
    </row>
    <row r="53762" spans="18:19">
      <c r="R53762" s="178"/>
      <c r="S53762" s="178"/>
    </row>
    <row r="53763" spans="18:19">
      <c r="R53763" s="178"/>
      <c r="S53763" s="178"/>
    </row>
    <row r="53764" spans="18:19">
      <c r="R53764" s="178"/>
      <c r="S53764" s="178"/>
    </row>
    <row r="53765" spans="18:19">
      <c r="R53765" s="178"/>
      <c r="S53765" s="178"/>
    </row>
    <row r="53766" spans="18:19">
      <c r="R53766" s="178"/>
      <c r="S53766" s="178"/>
    </row>
    <row r="53767" spans="18:19">
      <c r="R53767" s="178"/>
      <c r="S53767" s="178"/>
    </row>
    <row r="53768" spans="18:19">
      <c r="R53768" s="178"/>
      <c r="S53768" s="178"/>
    </row>
    <row r="53769" spans="18:19">
      <c r="R53769" s="178"/>
      <c r="S53769" s="178"/>
    </row>
    <row r="53770" spans="18:19">
      <c r="R53770" s="178"/>
      <c r="S53770" s="178"/>
    </row>
    <row r="53771" spans="18:19">
      <c r="R53771" s="178"/>
      <c r="S53771" s="178"/>
    </row>
    <row r="53772" spans="18:19">
      <c r="R53772" s="178"/>
      <c r="S53772" s="178"/>
    </row>
    <row r="53773" spans="18:19">
      <c r="R53773" s="178"/>
      <c r="S53773" s="178"/>
    </row>
    <row r="53774" spans="18:19">
      <c r="R53774" s="178"/>
      <c r="S53774" s="178"/>
    </row>
    <row r="53775" spans="18:19">
      <c r="R53775" s="178"/>
      <c r="S53775" s="178"/>
    </row>
    <row r="53776" spans="18:19">
      <c r="R53776" s="178"/>
      <c r="S53776" s="178"/>
    </row>
    <row r="53777" spans="18:19">
      <c r="R53777" s="178"/>
      <c r="S53777" s="178"/>
    </row>
    <row r="53778" spans="18:19">
      <c r="R53778" s="178"/>
      <c r="S53778" s="178"/>
    </row>
    <row r="53779" spans="18:19">
      <c r="R53779" s="178"/>
      <c r="S53779" s="178"/>
    </row>
    <row r="53780" spans="18:19">
      <c r="R53780" s="178"/>
      <c r="S53780" s="178"/>
    </row>
    <row r="53781" spans="18:19">
      <c r="R53781" s="178"/>
      <c r="S53781" s="178"/>
    </row>
    <row r="53782" spans="18:19">
      <c r="R53782" s="178"/>
      <c r="S53782" s="178"/>
    </row>
    <row r="53783" spans="18:19">
      <c r="R53783" s="178"/>
      <c r="S53783" s="178"/>
    </row>
    <row r="53784" spans="18:19">
      <c r="R53784" s="178"/>
      <c r="S53784" s="178"/>
    </row>
    <row r="53785" spans="18:19">
      <c r="R53785" s="178"/>
      <c r="S53785" s="178"/>
    </row>
    <row r="53786" spans="18:19">
      <c r="R53786" s="178"/>
      <c r="S53786" s="178"/>
    </row>
    <row r="53787" spans="18:19">
      <c r="R53787" s="178"/>
      <c r="S53787" s="178"/>
    </row>
    <row r="53788" spans="18:19">
      <c r="R53788" s="178"/>
      <c r="S53788" s="178"/>
    </row>
    <row r="53789" spans="18:19">
      <c r="R53789" s="178"/>
      <c r="S53789" s="178"/>
    </row>
    <row r="53790" spans="18:19">
      <c r="R53790" s="178"/>
      <c r="S53790" s="178"/>
    </row>
    <row r="53791" spans="18:19">
      <c r="R53791" s="178"/>
      <c r="S53791" s="178"/>
    </row>
    <row r="53792" spans="18:19">
      <c r="R53792" s="178"/>
      <c r="S53792" s="178"/>
    </row>
    <row r="53793" spans="18:19">
      <c r="R53793" s="178"/>
      <c r="S53793" s="178"/>
    </row>
    <row r="53794" spans="18:19">
      <c r="R53794" s="178"/>
      <c r="S53794" s="178"/>
    </row>
    <row r="53795" spans="18:19">
      <c r="R53795" s="178"/>
      <c r="S53795" s="178"/>
    </row>
    <row r="53796" spans="18:19">
      <c r="R53796" s="178"/>
      <c r="S53796" s="178"/>
    </row>
    <row r="53797" spans="18:19">
      <c r="R53797" s="178"/>
      <c r="S53797" s="178"/>
    </row>
    <row r="53798" spans="18:19">
      <c r="R53798" s="178"/>
      <c r="S53798" s="178"/>
    </row>
    <row r="53799" spans="18:19">
      <c r="R53799" s="178"/>
      <c r="S53799" s="178"/>
    </row>
    <row r="53800" spans="18:19">
      <c r="R53800" s="178"/>
      <c r="S53800" s="178"/>
    </row>
    <row r="53801" spans="18:19">
      <c r="R53801" s="178"/>
      <c r="S53801" s="178"/>
    </row>
    <row r="53802" spans="18:19">
      <c r="R53802" s="178"/>
      <c r="S53802" s="178"/>
    </row>
    <row r="53803" spans="18:19">
      <c r="R53803" s="178"/>
      <c r="S53803" s="178"/>
    </row>
    <row r="53804" spans="18:19">
      <c r="R53804" s="178"/>
      <c r="S53804" s="178"/>
    </row>
    <row r="53805" spans="18:19">
      <c r="R53805" s="178"/>
      <c r="S53805" s="178"/>
    </row>
    <row r="53806" spans="18:19">
      <c r="R53806" s="178"/>
      <c r="S53806" s="178"/>
    </row>
    <row r="53807" spans="18:19">
      <c r="R53807" s="178"/>
      <c r="S53807" s="178"/>
    </row>
    <row r="53808" spans="18:19">
      <c r="R53808" s="178"/>
      <c r="S53808" s="178"/>
    </row>
    <row r="53809" spans="18:19">
      <c r="R53809" s="178"/>
      <c r="S53809" s="178"/>
    </row>
    <row r="53810" spans="18:19">
      <c r="R53810" s="178"/>
      <c r="S53810" s="178"/>
    </row>
    <row r="53811" spans="18:19">
      <c r="R53811" s="178"/>
      <c r="S53811" s="178"/>
    </row>
    <row r="53812" spans="18:19">
      <c r="R53812" s="178"/>
      <c r="S53812" s="178"/>
    </row>
    <row r="53813" spans="18:19">
      <c r="R53813" s="178"/>
      <c r="S53813" s="178"/>
    </row>
    <row r="53814" spans="18:19">
      <c r="R53814" s="178"/>
      <c r="S53814" s="178"/>
    </row>
    <row r="53815" spans="18:19">
      <c r="R53815" s="178"/>
      <c r="S53815" s="178"/>
    </row>
    <row r="53816" spans="18:19">
      <c r="R53816" s="178"/>
      <c r="S53816" s="178"/>
    </row>
    <row r="53817" spans="18:19">
      <c r="R53817" s="178"/>
      <c r="S53817" s="178"/>
    </row>
    <row r="53818" spans="18:19">
      <c r="R53818" s="178"/>
      <c r="S53818" s="178"/>
    </row>
    <row r="53819" spans="18:19">
      <c r="R53819" s="178"/>
      <c r="S53819" s="178"/>
    </row>
    <row r="53820" spans="18:19">
      <c r="R53820" s="178"/>
      <c r="S53820" s="178"/>
    </row>
    <row r="53821" spans="18:19">
      <c r="R53821" s="178"/>
      <c r="S53821" s="178"/>
    </row>
    <row r="53822" spans="18:19">
      <c r="R53822" s="178"/>
      <c r="S53822" s="178"/>
    </row>
    <row r="53823" spans="18:19">
      <c r="R53823" s="178"/>
      <c r="S53823" s="178"/>
    </row>
    <row r="53824" spans="18:19">
      <c r="R53824" s="178"/>
      <c r="S53824" s="178"/>
    </row>
    <row r="53825" spans="18:19">
      <c r="R53825" s="178"/>
      <c r="S53825" s="178"/>
    </row>
    <row r="53826" spans="18:19">
      <c r="R53826" s="178"/>
      <c r="S53826" s="178"/>
    </row>
    <row r="53827" spans="18:19">
      <c r="R53827" s="178"/>
      <c r="S53827" s="178"/>
    </row>
    <row r="53828" spans="18:19">
      <c r="R53828" s="178"/>
      <c r="S53828" s="178"/>
    </row>
    <row r="53829" spans="18:19">
      <c r="R53829" s="178"/>
      <c r="S53829" s="178"/>
    </row>
    <row r="53830" spans="18:19">
      <c r="R53830" s="178"/>
      <c r="S53830" s="178"/>
    </row>
    <row r="53831" spans="18:19">
      <c r="R53831" s="178"/>
      <c r="S53831" s="178"/>
    </row>
    <row r="53832" spans="18:19">
      <c r="R53832" s="178"/>
      <c r="S53832" s="178"/>
    </row>
    <row r="53833" spans="18:19">
      <c r="R53833" s="178"/>
      <c r="S53833" s="178"/>
    </row>
    <row r="53834" spans="18:19">
      <c r="R53834" s="178"/>
      <c r="S53834" s="178"/>
    </row>
    <row r="53835" spans="18:19">
      <c r="R53835" s="178"/>
      <c r="S53835" s="178"/>
    </row>
    <row r="53836" spans="18:19">
      <c r="R53836" s="178"/>
      <c r="S53836" s="178"/>
    </row>
    <row r="53837" spans="18:19">
      <c r="R53837" s="178"/>
      <c r="S53837" s="178"/>
    </row>
    <row r="53838" spans="18:19">
      <c r="R53838" s="178"/>
      <c r="S53838" s="178"/>
    </row>
    <row r="53839" spans="18:19">
      <c r="R53839" s="178"/>
      <c r="S53839" s="178"/>
    </row>
    <row r="53840" spans="18:19">
      <c r="R53840" s="178"/>
      <c r="S53840" s="178"/>
    </row>
    <row r="53841" spans="18:19">
      <c r="R53841" s="178"/>
      <c r="S53841" s="178"/>
    </row>
    <row r="53842" spans="18:19">
      <c r="R53842" s="178"/>
      <c r="S53842" s="178"/>
    </row>
    <row r="53843" spans="18:19">
      <c r="R53843" s="178"/>
      <c r="S53843" s="178"/>
    </row>
    <row r="53844" spans="18:19">
      <c r="R53844" s="178"/>
      <c r="S53844" s="178"/>
    </row>
    <row r="53845" spans="18:19">
      <c r="R53845" s="178"/>
      <c r="S53845" s="178"/>
    </row>
    <row r="53846" spans="18:19">
      <c r="R53846" s="178"/>
      <c r="S53846" s="178"/>
    </row>
    <row r="53847" spans="18:19">
      <c r="R53847" s="178"/>
      <c r="S53847" s="178"/>
    </row>
    <row r="53848" spans="18:19">
      <c r="R53848" s="178"/>
      <c r="S53848" s="178"/>
    </row>
    <row r="53849" spans="18:19">
      <c r="R53849" s="178"/>
      <c r="S53849" s="178"/>
    </row>
    <row r="53850" spans="18:19">
      <c r="R53850" s="178"/>
      <c r="S53850" s="178"/>
    </row>
    <row r="53851" spans="18:19">
      <c r="R53851" s="178"/>
      <c r="S53851" s="178"/>
    </row>
    <row r="53852" spans="18:19">
      <c r="R53852" s="178"/>
      <c r="S53852" s="178"/>
    </row>
    <row r="53853" spans="18:19">
      <c r="R53853" s="178"/>
      <c r="S53853" s="178"/>
    </row>
    <row r="53854" spans="18:19">
      <c r="R53854" s="178"/>
      <c r="S53854" s="178"/>
    </row>
    <row r="53855" spans="18:19">
      <c r="R53855" s="178"/>
      <c r="S53855" s="178"/>
    </row>
    <row r="53856" spans="18:19">
      <c r="R53856" s="178"/>
      <c r="S53856" s="178"/>
    </row>
    <row r="53857" spans="18:19">
      <c r="R53857" s="178"/>
      <c r="S53857" s="178"/>
    </row>
    <row r="53858" spans="18:19">
      <c r="R53858" s="178"/>
      <c r="S53858" s="178"/>
    </row>
    <row r="53859" spans="18:19">
      <c r="R53859" s="178"/>
      <c r="S53859" s="178"/>
    </row>
    <row r="53860" spans="18:19">
      <c r="R53860" s="178"/>
      <c r="S53860" s="178"/>
    </row>
    <row r="53861" spans="18:19">
      <c r="R53861" s="178"/>
      <c r="S53861" s="178"/>
    </row>
    <row r="53862" spans="18:19">
      <c r="R53862" s="178"/>
      <c r="S53862" s="178"/>
    </row>
    <row r="53863" spans="18:19">
      <c r="R53863" s="178"/>
      <c r="S53863" s="178"/>
    </row>
    <row r="53864" spans="18:19">
      <c r="R53864" s="178"/>
      <c r="S53864" s="178"/>
    </row>
    <row r="53865" spans="18:19">
      <c r="R53865" s="178"/>
      <c r="S53865" s="178"/>
    </row>
    <row r="53866" spans="18:19">
      <c r="R53866" s="178"/>
      <c r="S53866" s="178"/>
    </row>
    <row r="53867" spans="18:19">
      <c r="R53867" s="178"/>
      <c r="S53867" s="178"/>
    </row>
    <row r="53868" spans="18:19">
      <c r="R53868" s="178"/>
      <c r="S53868" s="178"/>
    </row>
    <row r="53869" spans="18:19">
      <c r="R53869" s="178"/>
      <c r="S53869" s="178"/>
    </row>
    <row r="53870" spans="18:19">
      <c r="R53870" s="178"/>
      <c r="S53870" s="178"/>
    </row>
    <row r="53871" spans="18:19">
      <c r="R53871" s="178"/>
      <c r="S53871" s="178"/>
    </row>
    <row r="53872" spans="18:19">
      <c r="R53872" s="178"/>
      <c r="S53872" s="178"/>
    </row>
    <row r="53873" spans="18:19">
      <c r="R53873" s="178"/>
      <c r="S53873" s="178"/>
    </row>
    <row r="53874" spans="18:19">
      <c r="R53874" s="178"/>
      <c r="S53874" s="178"/>
    </row>
    <row r="53875" spans="18:19">
      <c r="R53875" s="178"/>
      <c r="S53875" s="178"/>
    </row>
    <row r="53876" spans="18:19">
      <c r="R53876" s="178"/>
      <c r="S53876" s="178"/>
    </row>
    <row r="53877" spans="18:19">
      <c r="R53877" s="178"/>
      <c r="S53877" s="178"/>
    </row>
    <row r="53878" spans="18:19">
      <c r="R53878" s="178"/>
      <c r="S53878" s="178"/>
    </row>
    <row r="53879" spans="18:19">
      <c r="R53879" s="178"/>
      <c r="S53879" s="178"/>
    </row>
    <row r="53880" spans="18:19">
      <c r="R53880" s="178"/>
      <c r="S53880" s="178"/>
    </row>
    <row r="53881" spans="18:19">
      <c r="R53881" s="178"/>
      <c r="S53881" s="178"/>
    </row>
    <row r="53882" spans="18:19">
      <c r="R53882" s="178"/>
      <c r="S53882" s="178"/>
    </row>
    <row r="53883" spans="18:19">
      <c r="R53883" s="178"/>
      <c r="S53883" s="178"/>
    </row>
    <row r="53884" spans="18:19">
      <c r="R53884" s="178"/>
      <c r="S53884" s="178"/>
    </row>
    <row r="53885" spans="18:19">
      <c r="R53885" s="178"/>
      <c r="S53885" s="178"/>
    </row>
    <row r="53886" spans="18:19">
      <c r="R53886" s="178"/>
      <c r="S53886" s="178"/>
    </row>
    <row r="53887" spans="18:19">
      <c r="R53887" s="178"/>
      <c r="S53887" s="178"/>
    </row>
    <row r="53888" spans="18:19">
      <c r="R53888" s="178"/>
      <c r="S53888" s="178"/>
    </row>
    <row r="53889" spans="18:19">
      <c r="R53889" s="178"/>
      <c r="S53889" s="178"/>
    </row>
    <row r="53890" spans="18:19">
      <c r="R53890" s="178"/>
      <c r="S53890" s="178"/>
    </row>
    <row r="53891" spans="18:19">
      <c r="R53891" s="178"/>
      <c r="S53891" s="178"/>
    </row>
    <row r="53892" spans="18:19">
      <c r="R53892" s="178"/>
      <c r="S53892" s="178"/>
    </row>
    <row r="53893" spans="18:19">
      <c r="R53893" s="178"/>
      <c r="S53893" s="178"/>
    </row>
    <row r="53894" spans="18:19">
      <c r="R53894" s="178"/>
      <c r="S53894" s="178"/>
    </row>
    <row r="53895" spans="18:19">
      <c r="R53895" s="178"/>
      <c r="S53895" s="178"/>
    </row>
    <row r="53896" spans="18:19">
      <c r="R53896" s="178"/>
      <c r="S53896" s="178"/>
    </row>
    <row r="53897" spans="18:19">
      <c r="R53897" s="178"/>
      <c r="S53897" s="178"/>
    </row>
    <row r="53898" spans="18:19">
      <c r="R53898" s="178"/>
      <c r="S53898" s="178"/>
    </row>
    <row r="53899" spans="18:19">
      <c r="R53899" s="178"/>
      <c r="S53899" s="178"/>
    </row>
    <row r="53900" spans="18:19">
      <c r="R53900" s="178"/>
      <c r="S53900" s="178"/>
    </row>
    <row r="53901" spans="18:19">
      <c r="R53901" s="178"/>
      <c r="S53901" s="178"/>
    </row>
    <row r="53902" spans="18:19">
      <c r="R53902" s="178"/>
      <c r="S53902" s="178"/>
    </row>
    <row r="53903" spans="18:19">
      <c r="R53903" s="178"/>
      <c r="S53903" s="178"/>
    </row>
    <row r="53904" spans="18:19">
      <c r="R53904" s="178"/>
      <c r="S53904" s="178"/>
    </row>
    <row r="53905" spans="18:19">
      <c r="R53905" s="178"/>
      <c r="S53905" s="178"/>
    </row>
    <row r="53906" spans="18:19">
      <c r="R53906" s="178"/>
      <c r="S53906" s="178"/>
    </row>
    <row r="53907" spans="18:19">
      <c r="R53907" s="178"/>
      <c r="S53907" s="178"/>
    </row>
    <row r="53908" spans="18:19">
      <c r="R53908" s="178"/>
      <c r="S53908" s="178"/>
    </row>
    <row r="53909" spans="18:19">
      <c r="R53909" s="178"/>
      <c r="S53909" s="178"/>
    </row>
    <row r="53910" spans="18:19">
      <c r="R53910" s="178"/>
      <c r="S53910" s="178"/>
    </row>
    <row r="53911" spans="18:19">
      <c r="R53911" s="178"/>
      <c r="S53911" s="178"/>
    </row>
    <row r="53912" spans="18:19">
      <c r="R53912" s="178"/>
      <c r="S53912" s="178"/>
    </row>
    <row r="53913" spans="18:19">
      <c r="R53913" s="178"/>
      <c r="S53913" s="178"/>
    </row>
    <row r="53914" spans="18:19">
      <c r="R53914" s="178"/>
      <c r="S53914" s="178"/>
    </row>
    <row r="53915" spans="18:19">
      <c r="R53915" s="178"/>
      <c r="S53915" s="178"/>
    </row>
    <row r="53916" spans="18:19">
      <c r="R53916" s="178"/>
      <c r="S53916" s="178"/>
    </row>
    <row r="53917" spans="18:19">
      <c r="R53917" s="178"/>
      <c r="S53917" s="178"/>
    </row>
    <row r="53918" spans="18:19">
      <c r="R53918" s="178"/>
      <c r="S53918" s="178"/>
    </row>
    <row r="53919" spans="18:19">
      <c r="R53919" s="178"/>
      <c r="S53919" s="178"/>
    </row>
    <row r="53920" spans="18:19">
      <c r="R53920" s="178"/>
      <c r="S53920" s="178"/>
    </row>
    <row r="53921" spans="18:19">
      <c r="R53921" s="178"/>
      <c r="S53921" s="178"/>
    </row>
    <row r="53922" spans="18:19">
      <c r="R53922" s="178"/>
      <c r="S53922" s="178"/>
    </row>
    <row r="53923" spans="18:19">
      <c r="R53923" s="178"/>
      <c r="S53923" s="178"/>
    </row>
    <row r="53924" spans="18:19">
      <c r="R53924" s="178"/>
      <c r="S53924" s="178"/>
    </row>
    <row r="53925" spans="18:19">
      <c r="R53925" s="178"/>
      <c r="S53925" s="178"/>
    </row>
    <row r="53926" spans="18:19">
      <c r="R53926" s="178"/>
      <c r="S53926" s="178"/>
    </row>
    <row r="53927" spans="18:19">
      <c r="R53927" s="178"/>
      <c r="S53927" s="178"/>
    </row>
    <row r="53928" spans="18:19">
      <c r="R53928" s="178"/>
      <c r="S53928" s="178"/>
    </row>
    <row r="53929" spans="18:19">
      <c r="R53929" s="178"/>
      <c r="S53929" s="178"/>
    </row>
    <row r="53930" spans="18:19">
      <c r="R53930" s="178"/>
      <c r="S53930" s="178"/>
    </row>
    <row r="53931" spans="18:19">
      <c r="R53931" s="178"/>
      <c r="S53931" s="178"/>
    </row>
    <row r="53932" spans="18:19">
      <c r="R53932" s="178"/>
      <c r="S53932" s="178"/>
    </row>
    <row r="53933" spans="18:19">
      <c r="R53933" s="178"/>
      <c r="S53933" s="178"/>
    </row>
    <row r="53934" spans="18:19">
      <c r="R53934" s="178"/>
      <c r="S53934" s="178"/>
    </row>
    <row r="53935" spans="18:19">
      <c r="R53935" s="178"/>
      <c r="S53935" s="178"/>
    </row>
    <row r="53936" spans="18:19">
      <c r="R53936" s="178"/>
      <c r="S53936" s="178"/>
    </row>
    <row r="53937" spans="18:19">
      <c r="R53937" s="178"/>
      <c r="S53937" s="178"/>
    </row>
    <row r="53938" spans="18:19">
      <c r="R53938" s="178"/>
      <c r="S53938" s="178"/>
    </row>
    <row r="53939" spans="18:19">
      <c r="R53939" s="178"/>
      <c r="S53939" s="178"/>
    </row>
    <row r="53940" spans="18:19">
      <c r="R53940" s="178"/>
      <c r="S53940" s="178"/>
    </row>
    <row r="53941" spans="18:19">
      <c r="R53941" s="178"/>
      <c r="S53941" s="178"/>
    </row>
    <row r="53942" spans="18:19">
      <c r="R53942" s="178"/>
      <c r="S53942" s="178"/>
    </row>
    <row r="53943" spans="18:19">
      <c r="R53943" s="178"/>
      <c r="S53943" s="178"/>
    </row>
    <row r="53944" spans="18:19">
      <c r="R53944" s="178"/>
      <c r="S53944" s="178"/>
    </row>
    <row r="53945" spans="18:19">
      <c r="R53945" s="178"/>
      <c r="S53945" s="178"/>
    </row>
    <row r="53946" spans="18:19">
      <c r="R53946" s="178"/>
      <c r="S53946" s="178"/>
    </row>
    <row r="53947" spans="18:19">
      <c r="R53947" s="178"/>
      <c r="S53947" s="178"/>
    </row>
    <row r="53948" spans="18:19">
      <c r="R53948" s="178"/>
      <c r="S53948" s="178"/>
    </row>
    <row r="53949" spans="18:19">
      <c r="R53949" s="178"/>
      <c r="S53949" s="178"/>
    </row>
    <row r="53950" spans="18:19">
      <c r="R53950" s="178"/>
      <c r="S53950" s="178"/>
    </row>
    <row r="53951" spans="18:19">
      <c r="R53951" s="178"/>
      <c r="S53951" s="178"/>
    </row>
    <row r="53952" spans="18:19">
      <c r="R53952" s="178"/>
      <c r="S53952" s="178"/>
    </row>
    <row r="53953" spans="18:19">
      <c r="R53953" s="178"/>
      <c r="S53953" s="178"/>
    </row>
    <row r="53954" spans="18:19">
      <c r="R53954" s="178"/>
      <c r="S53954" s="178"/>
    </row>
    <row r="53955" spans="18:19">
      <c r="R53955" s="178"/>
      <c r="S53955" s="178"/>
    </row>
    <row r="53956" spans="18:19">
      <c r="R53956" s="178"/>
      <c r="S53956" s="178"/>
    </row>
    <row r="53957" spans="18:19">
      <c r="R53957" s="178"/>
      <c r="S53957" s="178"/>
    </row>
    <row r="53958" spans="18:19">
      <c r="R53958" s="178"/>
      <c r="S53958" s="178"/>
    </row>
    <row r="53959" spans="18:19">
      <c r="R53959" s="178"/>
      <c r="S53959" s="178"/>
    </row>
    <row r="53960" spans="18:19">
      <c r="R53960" s="178"/>
      <c r="S53960" s="178"/>
    </row>
    <row r="53961" spans="18:19">
      <c r="R53961" s="178"/>
      <c r="S53961" s="178"/>
    </row>
    <row r="53962" spans="18:19">
      <c r="R53962" s="178"/>
      <c r="S53962" s="178"/>
    </row>
    <row r="53963" spans="18:19">
      <c r="R53963" s="178"/>
      <c r="S53963" s="178"/>
    </row>
    <row r="53964" spans="18:19">
      <c r="R53964" s="178"/>
      <c r="S53964" s="178"/>
    </row>
    <row r="53965" spans="18:19">
      <c r="R53965" s="178"/>
      <c r="S53965" s="178"/>
    </row>
    <row r="53966" spans="18:19">
      <c r="R53966" s="178"/>
      <c r="S53966" s="178"/>
    </row>
    <row r="53967" spans="18:19">
      <c r="R53967" s="178"/>
      <c r="S53967" s="178"/>
    </row>
    <row r="53968" spans="18:19">
      <c r="R53968" s="178"/>
      <c r="S53968" s="178"/>
    </row>
    <row r="53969" spans="18:19">
      <c r="R53969" s="178"/>
      <c r="S53969" s="178"/>
    </row>
    <row r="53970" spans="18:19">
      <c r="R53970" s="178"/>
      <c r="S53970" s="178"/>
    </row>
    <row r="53971" spans="18:19">
      <c r="R53971" s="178"/>
      <c r="S53971" s="178"/>
    </row>
    <row r="53972" spans="18:19">
      <c r="R53972" s="178"/>
      <c r="S53972" s="178"/>
    </row>
    <row r="53973" spans="18:19">
      <c r="R53973" s="178"/>
      <c r="S53973" s="178"/>
    </row>
    <row r="53974" spans="18:19">
      <c r="R53974" s="178"/>
      <c r="S53974" s="178"/>
    </row>
    <row r="53975" spans="18:19">
      <c r="R53975" s="178"/>
      <c r="S53975" s="178"/>
    </row>
    <row r="53976" spans="18:19">
      <c r="R53976" s="178"/>
      <c r="S53976" s="178"/>
    </row>
    <row r="53977" spans="18:19">
      <c r="R53977" s="178"/>
      <c r="S53977" s="178"/>
    </row>
    <row r="53978" spans="18:19">
      <c r="R53978" s="178"/>
      <c r="S53978" s="178"/>
    </row>
    <row r="53979" spans="18:19">
      <c r="R53979" s="178"/>
      <c r="S53979" s="178"/>
    </row>
    <row r="53980" spans="18:19">
      <c r="R53980" s="178"/>
      <c r="S53980" s="178"/>
    </row>
    <row r="53981" spans="18:19">
      <c r="R53981" s="178"/>
      <c r="S53981" s="178"/>
    </row>
    <row r="53982" spans="18:19">
      <c r="R53982" s="178"/>
      <c r="S53982" s="178"/>
    </row>
    <row r="53983" spans="18:19">
      <c r="R53983" s="178"/>
      <c r="S53983" s="178"/>
    </row>
    <row r="53984" spans="18:19">
      <c r="R53984" s="178"/>
      <c r="S53984" s="178"/>
    </row>
    <row r="53985" spans="18:19">
      <c r="R53985" s="178"/>
      <c r="S53985" s="178"/>
    </row>
    <row r="53986" spans="18:19">
      <c r="R53986" s="178"/>
      <c r="S53986" s="178"/>
    </row>
    <row r="53987" spans="18:19">
      <c r="R53987" s="178"/>
      <c r="S53987" s="178"/>
    </row>
    <row r="53988" spans="18:19">
      <c r="R53988" s="178"/>
      <c r="S53988" s="178"/>
    </row>
    <row r="53989" spans="18:19">
      <c r="R53989" s="178"/>
      <c r="S53989" s="178"/>
    </row>
    <row r="53990" spans="18:19">
      <c r="R53990" s="178"/>
      <c r="S53990" s="178"/>
    </row>
    <row r="53991" spans="18:19">
      <c r="R53991" s="178"/>
      <c r="S53991" s="178"/>
    </row>
    <row r="53992" spans="18:19">
      <c r="R53992" s="178"/>
      <c r="S53992" s="178"/>
    </row>
    <row r="53993" spans="18:19">
      <c r="R53993" s="178"/>
      <c r="S53993" s="178"/>
    </row>
    <row r="53994" spans="18:19">
      <c r="R53994" s="178"/>
      <c r="S53994" s="178"/>
    </row>
    <row r="53995" spans="18:19">
      <c r="R53995" s="178"/>
      <c r="S53995" s="178"/>
    </row>
    <row r="53996" spans="18:19">
      <c r="R53996" s="178"/>
      <c r="S53996" s="178"/>
    </row>
    <row r="53997" spans="18:19">
      <c r="R53997" s="178"/>
      <c r="S53997" s="178"/>
    </row>
    <row r="53998" spans="18:19">
      <c r="R53998" s="178"/>
      <c r="S53998" s="178"/>
    </row>
    <row r="53999" spans="18:19">
      <c r="R53999" s="178"/>
      <c r="S53999" s="178"/>
    </row>
    <row r="54000" spans="18:19">
      <c r="R54000" s="178"/>
      <c r="S54000" s="178"/>
    </row>
    <row r="54001" spans="18:19">
      <c r="R54001" s="178"/>
      <c r="S54001" s="178"/>
    </row>
    <row r="54002" spans="18:19">
      <c r="R54002" s="178"/>
      <c r="S54002" s="178"/>
    </row>
    <row r="54003" spans="18:19">
      <c r="R54003" s="178"/>
      <c r="S54003" s="178"/>
    </row>
    <row r="54004" spans="18:19">
      <c r="R54004" s="178"/>
      <c r="S54004" s="178"/>
    </row>
    <row r="54005" spans="18:19">
      <c r="R54005" s="178"/>
      <c r="S54005" s="178"/>
    </row>
    <row r="54006" spans="18:19">
      <c r="R54006" s="178"/>
      <c r="S54006" s="178"/>
    </row>
    <row r="54007" spans="18:19">
      <c r="R54007" s="178"/>
      <c r="S54007" s="178"/>
    </row>
    <row r="54008" spans="18:19">
      <c r="R54008" s="178"/>
      <c r="S54008" s="178"/>
    </row>
    <row r="54009" spans="18:19">
      <c r="R54009" s="178"/>
      <c r="S54009" s="178"/>
    </row>
    <row r="54010" spans="18:19">
      <c r="R54010" s="178"/>
      <c r="S54010" s="178"/>
    </row>
    <row r="54011" spans="18:19">
      <c r="R54011" s="178"/>
      <c r="S54011" s="178"/>
    </row>
    <row r="54012" spans="18:19">
      <c r="R54012" s="178"/>
      <c r="S54012" s="178"/>
    </row>
    <row r="54013" spans="18:19">
      <c r="R54013" s="178"/>
      <c r="S54013" s="178"/>
    </row>
    <row r="54014" spans="18:19">
      <c r="R54014" s="178"/>
      <c r="S54014" s="178"/>
    </row>
    <row r="54015" spans="18:19">
      <c r="R54015" s="178"/>
      <c r="S54015" s="178"/>
    </row>
    <row r="54016" spans="18:19">
      <c r="R54016" s="178"/>
      <c r="S54016" s="178"/>
    </row>
    <row r="54017" spans="18:19">
      <c r="R54017" s="178"/>
      <c r="S54017" s="178"/>
    </row>
    <row r="54018" spans="18:19">
      <c r="R54018" s="178"/>
      <c r="S54018" s="178"/>
    </row>
    <row r="54019" spans="18:19">
      <c r="R54019" s="178"/>
      <c r="S54019" s="178"/>
    </row>
    <row r="54020" spans="18:19">
      <c r="R54020" s="178"/>
      <c r="S54020" s="178"/>
    </row>
    <row r="54021" spans="18:19">
      <c r="R54021" s="178"/>
      <c r="S54021" s="178"/>
    </row>
    <row r="54022" spans="18:19">
      <c r="R54022" s="178"/>
      <c r="S54022" s="178"/>
    </row>
    <row r="54023" spans="18:19">
      <c r="R54023" s="178"/>
      <c r="S54023" s="178"/>
    </row>
    <row r="54024" spans="18:19">
      <c r="R54024" s="178"/>
      <c r="S54024" s="178"/>
    </row>
    <row r="54025" spans="18:19">
      <c r="R54025" s="178"/>
      <c r="S54025" s="178"/>
    </row>
    <row r="54026" spans="18:19">
      <c r="R54026" s="178"/>
      <c r="S54026" s="178"/>
    </row>
    <row r="54027" spans="18:19">
      <c r="R54027" s="178"/>
      <c r="S54027" s="178"/>
    </row>
    <row r="54028" spans="18:19">
      <c r="R54028" s="178"/>
      <c r="S54028" s="178"/>
    </row>
    <row r="54029" spans="18:19">
      <c r="R54029" s="178"/>
      <c r="S54029" s="178"/>
    </row>
    <row r="54030" spans="18:19">
      <c r="R54030" s="178"/>
      <c r="S54030" s="178"/>
    </row>
    <row r="54031" spans="18:19">
      <c r="R54031" s="178"/>
      <c r="S54031" s="178"/>
    </row>
    <row r="54032" spans="18:19">
      <c r="R54032" s="178"/>
      <c r="S54032" s="178"/>
    </row>
    <row r="54033" spans="18:19">
      <c r="R54033" s="178"/>
      <c r="S54033" s="178"/>
    </row>
    <row r="54034" spans="18:19">
      <c r="R54034" s="178"/>
      <c r="S54034" s="178"/>
    </row>
    <row r="54035" spans="18:19">
      <c r="R54035" s="178"/>
      <c r="S54035" s="178"/>
    </row>
    <row r="54036" spans="18:19">
      <c r="R54036" s="178"/>
      <c r="S54036" s="178"/>
    </row>
    <row r="54037" spans="18:19">
      <c r="R54037" s="178"/>
      <c r="S54037" s="178"/>
    </row>
    <row r="54038" spans="18:19">
      <c r="R54038" s="178"/>
      <c r="S54038" s="178"/>
    </row>
    <row r="54039" spans="18:19">
      <c r="R54039" s="178"/>
      <c r="S54039" s="178"/>
    </row>
    <row r="54040" spans="18:19">
      <c r="R54040" s="178"/>
      <c r="S54040" s="178"/>
    </row>
    <row r="54041" spans="18:19">
      <c r="R54041" s="178"/>
      <c r="S54041" s="178"/>
    </row>
    <row r="54042" spans="18:19">
      <c r="R54042" s="178"/>
      <c r="S54042" s="178"/>
    </row>
    <row r="54043" spans="18:19">
      <c r="R54043" s="178"/>
      <c r="S54043" s="178"/>
    </row>
    <row r="54044" spans="18:19">
      <c r="R54044" s="178"/>
      <c r="S54044" s="178"/>
    </row>
    <row r="54045" spans="18:19">
      <c r="R54045" s="178"/>
      <c r="S54045" s="178"/>
    </row>
    <row r="54046" spans="18:19">
      <c r="R54046" s="178"/>
      <c r="S54046" s="178"/>
    </row>
    <row r="54047" spans="18:19">
      <c r="R54047" s="178"/>
      <c r="S54047" s="178"/>
    </row>
    <row r="54048" spans="18:19">
      <c r="R54048" s="178"/>
      <c r="S54048" s="178"/>
    </row>
    <row r="54049" spans="18:19">
      <c r="R54049" s="178"/>
      <c r="S54049" s="178"/>
    </row>
    <row r="54050" spans="18:19">
      <c r="R54050" s="178"/>
      <c r="S54050" s="178"/>
    </row>
    <row r="54051" spans="18:19">
      <c r="R54051" s="178"/>
      <c r="S54051" s="178"/>
    </row>
    <row r="54052" spans="18:19">
      <c r="R54052" s="178"/>
      <c r="S54052" s="178"/>
    </row>
    <row r="54053" spans="18:19">
      <c r="R54053" s="178"/>
      <c r="S54053" s="178"/>
    </row>
    <row r="54054" spans="18:19">
      <c r="R54054" s="178"/>
      <c r="S54054" s="178"/>
    </row>
    <row r="54055" spans="18:19">
      <c r="R54055" s="178"/>
      <c r="S54055" s="178"/>
    </row>
    <row r="54056" spans="18:19">
      <c r="R54056" s="178"/>
      <c r="S54056" s="178"/>
    </row>
    <row r="54057" spans="18:19">
      <c r="R54057" s="178"/>
      <c r="S54057" s="178"/>
    </row>
    <row r="54058" spans="18:19">
      <c r="R54058" s="178"/>
      <c r="S54058" s="178"/>
    </row>
    <row r="54059" spans="18:19">
      <c r="R54059" s="178"/>
      <c r="S54059" s="178"/>
    </row>
    <row r="54060" spans="18:19">
      <c r="R54060" s="178"/>
      <c r="S54060" s="178"/>
    </row>
    <row r="54061" spans="18:19">
      <c r="R54061" s="178"/>
      <c r="S54061" s="178"/>
    </row>
    <row r="54062" spans="18:19">
      <c r="R54062" s="178"/>
      <c r="S54062" s="178"/>
    </row>
    <row r="54063" spans="18:19">
      <c r="R54063" s="178"/>
      <c r="S54063" s="178"/>
    </row>
    <row r="54064" spans="18:19">
      <c r="R54064" s="178"/>
      <c r="S54064" s="178"/>
    </row>
    <row r="54065" spans="18:19">
      <c r="R54065" s="178"/>
      <c r="S54065" s="178"/>
    </row>
    <row r="54066" spans="18:19">
      <c r="R54066" s="178"/>
      <c r="S54066" s="178"/>
    </row>
    <row r="54067" spans="18:19">
      <c r="R54067" s="178"/>
      <c r="S54067" s="178"/>
    </row>
    <row r="54068" spans="18:19">
      <c r="R54068" s="178"/>
      <c r="S54068" s="178"/>
    </row>
    <row r="54069" spans="18:19">
      <c r="R54069" s="178"/>
      <c r="S54069" s="178"/>
    </row>
    <row r="54070" spans="18:19">
      <c r="R54070" s="178"/>
      <c r="S54070" s="178"/>
    </row>
    <row r="54071" spans="18:19">
      <c r="R54071" s="178"/>
      <c r="S54071" s="178"/>
    </row>
    <row r="54072" spans="18:19">
      <c r="R54072" s="178"/>
      <c r="S54072" s="178"/>
    </row>
    <row r="54073" spans="18:19">
      <c r="R54073" s="178"/>
      <c r="S54073" s="178"/>
    </row>
    <row r="54074" spans="18:19">
      <c r="R54074" s="178"/>
      <c r="S54074" s="178"/>
    </row>
    <row r="54075" spans="18:19">
      <c r="R54075" s="178"/>
      <c r="S54075" s="178"/>
    </row>
    <row r="54076" spans="18:19">
      <c r="R54076" s="178"/>
      <c r="S54076" s="178"/>
    </row>
    <row r="54077" spans="18:19">
      <c r="R54077" s="178"/>
      <c r="S54077" s="178"/>
    </row>
    <row r="54078" spans="18:19">
      <c r="R54078" s="178"/>
      <c r="S54078" s="178"/>
    </row>
    <row r="54079" spans="18:19">
      <c r="R54079" s="178"/>
      <c r="S54079" s="178"/>
    </row>
    <row r="54080" spans="18:19">
      <c r="R54080" s="178"/>
      <c r="S54080" s="178"/>
    </row>
    <row r="54081" spans="18:19">
      <c r="R54081" s="178"/>
      <c r="S54081" s="178"/>
    </row>
    <row r="54082" spans="18:19">
      <c r="R54082" s="178"/>
      <c r="S54082" s="178"/>
    </row>
    <row r="54083" spans="18:19">
      <c r="R54083" s="178"/>
      <c r="S54083" s="178"/>
    </row>
    <row r="54084" spans="18:19">
      <c r="R54084" s="178"/>
      <c r="S54084" s="178"/>
    </row>
    <row r="54085" spans="18:19">
      <c r="R54085" s="178"/>
      <c r="S54085" s="178"/>
    </row>
    <row r="54086" spans="18:19">
      <c r="R54086" s="178"/>
      <c r="S54086" s="178"/>
    </row>
    <row r="54087" spans="18:19">
      <c r="R54087" s="178"/>
      <c r="S54087" s="178"/>
    </row>
    <row r="54088" spans="18:19">
      <c r="R54088" s="178"/>
      <c r="S54088" s="178"/>
    </row>
    <row r="54089" spans="18:19">
      <c r="R54089" s="178"/>
      <c r="S54089" s="178"/>
    </row>
    <row r="54090" spans="18:19">
      <c r="R54090" s="178"/>
      <c r="S54090" s="178"/>
    </row>
    <row r="54091" spans="18:19">
      <c r="R54091" s="178"/>
      <c r="S54091" s="178"/>
    </row>
    <row r="54092" spans="18:19">
      <c r="R54092" s="178"/>
      <c r="S54092" s="178"/>
    </row>
    <row r="54093" spans="18:19">
      <c r="R54093" s="178"/>
      <c r="S54093" s="178"/>
    </row>
    <row r="54094" spans="18:19">
      <c r="R54094" s="178"/>
      <c r="S54094" s="178"/>
    </row>
    <row r="54095" spans="18:19">
      <c r="R54095" s="178"/>
      <c r="S54095" s="178"/>
    </row>
    <row r="54096" spans="18:19">
      <c r="R54096" s="178"/>
      <c r="S54096" s="178"/>
    </row>
    <row r="54097" spans="18:19">
      <c r="R54097" s="178"/>
      <c r="S54097" s="178"/>
    </row>
    <row r="54098" spans="18:19">
      <c r="R54098" s="178"/>
      <c r="S54098" s="178"/>
    </row>
    <row r="54099" spans="18:19">
      <c r="R54099" s="178"/>
      <c r="S54099" s="178"/>
    </row>
    <row r="54100" spans="18:19">
      <c r="R54100" s="178"/>
      <c r="S54100" s="178"/>
    </row>
    <row r="54101" spans="18:19">
      <c r="R54101" s="178"/>
      <c r="S54101" s="178"/>
    </row>
    <row r="54102" spans="18:19">
      <c r="R54102" s="178"/>
      <c r="S54102" s="178"/>
    </row>
    <row r="54103" spans="18:19">
      <c r="R54103" s="178"/>
      <c r="S54103" s="178"/>
    </row>
    <row r="54104" spans="18:19">
      <c r="R54104" s="178"/>
      <c r="S54104" s="178"/>
    </row>
    <row r="54105" spans="18:19">
      <c r="R54105" s="178"/>
      <c r="S54105" s="178"/>
    </row>
    <row r="54106" spans="18:19">
      <c r="R54106" s="178"/>
      <c r="S54106" s="178"/>
    </row>
    <row r="54107" spans="18:19">
      <c r="R54107" s="178"/>
      <c r="S54107" s="178"/>
    </row>
    <row r="54108" spans="18:19">
      <c r="R54108" s="178"/>
      <c r="S54108" s="178"/>
    </row>
    <row r="54109" spans="18:19">
      <c r="R54109" s="178"/>
      <c r="S54109" s="178"/>
    </row>
    <row r="54110" spans="18:19">
      <c r="R54110" s="178"/>
      <c r="S54110" s="178"/>
    </row>
    <row r="54111" spans="18:19">
      <c r="R54111" s="178"/>
      <c r="S54111" s="178"/>
    </row>
    <row r="54112" spans="18:19">
      <c r="R54112" s="178"/>
      <c r="S54112" s="178"/>
    </row>
    <row r="54113" spans="18:19">
      <c r="R54113" s="178"/>
      <c r="S54113" s="178"/>
    </row>
    <row r="54114" spans="18:19">
      <c r="R54114" s="178"/>
      <c r="S54114" s="178"/>
    </row>
    <row r="54115" spans="18:19">
      <c r="R54115" s="178"/>
      <c r="S54115" s="178"/>
    </row>
    <row r="54116" spans="18:19">
      <c r="R54116" s="178"/>
      <c r="S54116" s="178"/>
    </row>
    <row r="54117" spans="18:19">
      <c r="R54117" s="178"/>
      <c r="S54117" s="178"/>
    </row>
    <row r="54118" spans="18:19">
      <c r="R54118" s="178"/>
      <c r="S54118" s="178"/>
    </row>
    <row r="54119" spans="18:19">
      <c r="R54119" s="178"/>
      <c r="S54119" s="178"/>
    </row>
    <row r="54120" spans="18:19">
      <c r="R54120" s="178"/>
      <c r="S54120" s="178"/>
    </row>
    <row r="54121" spans="18:19">
      <c r="R54121" s="178"/>
      <c r="S54121" s="178"/>
    </row>
    <row r="54122" spans="18:19">
      <c r="R54122" s="178"/>
      <c r="S54122" s="178"/>
    </row>
    <row r="54123" spans="18:19">
      <c r="R54123" s="178"/>
      <c r="S54123" s="178"/>
    </row>
    <row r="54124" spans="18:19">
      <c r="R54124" s="178"/>
      <c r="S54124" s="178"/>
    </row>
    <row r="54125" spans="18:19">
      <c r="R54125" s="178"/>
      <c r="S54125" s="178"/>
    </row>
    <row r="54126" spans="18:19">
      <c r="R54126" s="178"/>
      <c r="S54126" s="178"/>
    </row>
    <row r="54127" spans="18:19">
      <c r="R54127" s="178"/>
      <c r="S54127" s="178"/>
    </row>
    <row r="54128" spans="18:19">
      <c r="R54128" s="178"/>
      <c r="S54128" s="178"/>
    </row>
    <row r="54129" spans="18:19">
      <c r="R54129" s="178"/>
      <c r="S54129" s="178"/>
    </row>
    <row r="54130" spans="18:19">
      <c r="R54130" s="178"/>
      <c r="S54130" s="178"/>
    </row>
    <row r="54131" spans="18:19">
      <c r="R54131" s="178"/>
      <c r="S54131" s="178"/>
    </row>
    <row r="54132" spans="18:19">
      <c r="R54132" s="178"/>
      <c r="S54132" s="178"/>
    </row>
    <row r="54133" spans="18:19">
      <c r="R54133" s="178"/>
      <c r="S54133" s="178"/>
    </row>
    <row r="54134" spans="18:19">
      <c r="R54134" s="178"/>
      <c r="S54134" s="178"/>
    </row>
    <row r="54135" spans="18:19">
      <c r="R54135" s="178"/>
      <c r="S54135" s="178"/>
    </row>
    <row r="54136" spans="18:19">
      <c r="R54136" s="178"/>
      <c r="S54136" s="178"/>
    </row>
    <row r="54137" spans="18:19">
      <c r="R54137" s="178"/>
      <c r="S54137" s="178"/>
    </row>
    <row r="54138" spans="18:19">
      <c r="R54138" s="178"/>
      <c r="S54138" s="178"/>
    </row>
    <row r="54139" spans="18:19">
      <c r="R54139" s="178"/>
      <c r="S54139" s="178"/>
    </row>
    <row r="54140" spans="18:19">
      <c r="R54140" s="178"/>
      <c r="S54140" s="178"/>
    </row>
    <row r="54141" spans="18:19">
      <c r="R54141" s="178"/>
      <c r="S54141" s="178"/>
    </row>
    <row r="54142" spans="18:19">
      <c r="R54142" s="178"/>
      <c r="S54142" s="178"/>
    </row>
    <row r="54143" spans="18:19">
      <c r="R54143" s="178"/>
      <c r="S54143" s="178"/>
    </row>
    <row r="54144" spans="18:19">
      <c r="R54144" s="178"/>
      <c r="S54144" s="178"/>
    </row>
    <row r="54145" spans="18:19">
      <c r="R54145" s="178"/>
      <c r="S54145" s="178"/>
    </row>
    <row r="54146" spans="18:19">
      <c r="R54146" s="178"/>
      <c r="S54146" s="178"/>
    </row>
    <row r="54147" spans="18:19">
      <c r="R54147" s="178"/>
      <c r="S54147" s="178"/>
    </row>
    <row r="54148" spans="18:19">
      <c r="R54148" s="178"/>
      <c r="S54148" s="178"/>
    </row>
    <row r="54149" spans="18:19">
      <c r="R54149" s="178"/>
      <c r="S54149" s="178"/>
    </row>
    <row r="54150" spans="18:19">
      <c r="R54150" s="178"/>
      <c r="S54150" s="178"/>
    </row>
    <row r="54151" spans="18:19">
      <c r="R54151" s="178"/>
      <c r="S54151" s="178"/>
    </row>
    <row r="54152" spans="18:19">
      <c r="R54152" s="178"/>
      <c r="S54152" s="178"/>
    </row>
    <row r="54153" spans="18:19">
      <c r="R54153" s="178"/>
      <c r="S54153" s="178"/>
    </row>
    <row r="54154" spans="18:19">
      <c r="R54154" s="178"/>
      <c r="S54154" s="178"/>
    </row>
    <row r="54155" spans="18:19">
      <c r="R54155" s="178"/>
      <c r="S54155" s="178"/>
    </row>
    <row r="54156" spans="18:19">
      <c r="R54156" s="178"/>
      <c r="S54156" s="178"/>
    </row>
    <row r="54157" spans="18:19">
      <c r="R54157" s="178"/>
      <c r="S54157" s="178"/>
    </row>
    <row r="54158" spans="18:19">
      <c r="R54158" s="178"/>
      <c r="S54158" s="178"/>
    </row>
    <row r="54159" spans="18:19">
      <c r="R54159" s="178"/>
      <c r="S54159" s="178"/>
    </row>
    <row r="54160" spans="18:19">
      <c r="R54160" s="178"/>
      <c r="S54160" s="178"/>
    </row>
    <row r="54161" spans="18:19">
      <c r="R54161" s="178"/>
      <c r="S54161" s="178"/>
    </row>
    <row r="54162" spans="18:19">
      <c r="R54162" s="178"/>
      <c r="S54162" s="178"/>
    </row>
    <row r="54163" spans="18:19">
      <c r="R54163" s="178"/>
      <c r="S54163" s="178"/>
    </row>
    <row r="54164" spans="18:19">
      <c r="R54164" s="178"/>
      <c r="S54164" s="178"/>
    </row>
    <row r="54165" spans="18:19">
      <c r="R54165" s="178"/>
      <c r="S54165" s="178"/>
    </row>
    <row r="54166" spans="18:19">
      <c r="R54166" s="178"/>
      <c r="S54166" s="178"/>
    </row>
    <row r="54167" spans="18:19">
      <c r="R54167" s="178"/>
      <c r="S54167" s="178"/>
    </row>
    <row r="54168" spans="18:19">
      <c r="R54168" s="178"/>
      <c r="S54168" s="178"/>
    </row>
    <row r="54169" spans="18:19">
      <c r="R54169" s="178"/>
      <c r="S54169" s="178"/>
    </row>
    <row r="54170" spans="18:19">
      <c r="R54170" s="178"/>
      <c r="S54170" s="178"/>
    </row>
    <row r="54171" spans="18:19">
      <c r="R54171" s="178"/>
      <c r="S54171" s="178"/>
    </row>
    <row r="54172" spans="18:19">
      <c r="R54172" s="178"/>
      <c r="S54172" s="178"/>
    </row>
    <row r="54173" spans="18:19">
      <c r="R54173" s="178"/>
      <c r="S54173" s="178"/>
    </row>
    <row r="54174" spans="18:19">
      <c r="R54174" s="178"/>
      <c r="S54174" s="178"/>
    </row>
    <row r="54175" spans="18:19">
      <c r="R54175" s="178"/>
      <c r="S54175" s="178"/>
    </row>
    <row r="54176" spans="18:19">
      <c r="R54176" s="178"/>
      <c r="S54176" s="178"/>
    </row>
    <row r="54177" spans="18:19">
      <c r="R54177" s="178"/>
      <c r="S54177" s="178"/>
    </row>
    <row r="54178" spans="18:19">
      <c r="R54178" s="178"/>
      <c r="S54178" s="178"/>
    </row>
    <row r="54179" spans="18:19">
      <c r="R54179" s="178"/>
      <c r="S54179" s="178"/>
    </row>
    <row r="54180" spans="18:19">
      <c r="R54180" s="178"/>
      <c r="S54180" s="178"/>
    </row>
    <row r="54181" spans="18:19">
      <c r="R54181" s="178"/>
      <c r="S54181" s="178"/>
    </row>
    <row r="54182" spans="18:19">
      <c r="R54182" s="178"/>
      <c r="S54182" s="178"/>
    </row>
    <row r="54183" spans="18:19">
      <c r="R54183" s="178"/>
      <c r="S54183" s="178"/>
    </row>
    <row r="54184" spans="18:19">
      <c r="R54184" s="178"/>
      <c r="S54184" s="178"/>
    </row>
    <row r="54185" spans="18:19">
      <c r="R54185" s="178"/>
      <c r="S54185" s="178"/>
    </row>
    <row r="54186" spans="18:19">
      <c r="R54186" s="178"/>
      <c r="S54186" s="178"/>
    </row>
    <row r="54187" spans="18:19">
      <c r="R54187" s="178"/>
      <c r="S54187" s="178"/>
    </row>
    <row r="54188" spans="18:19">
      <c r="R54188" s="178"/>
      <c r="S54188" s="178"/>
    </row>
    <row r="54189" spans="18:19">
      <c r="R54189" s="178"/>
      <c r="S54189" s="178"/>
    </row>
    <row r="54190" spans="18:19">
      <c r="R54190" s="178"/>
      <c r="S54190" s="178"/>
    </row>
    <row r="54191" spans="18:19">
      <c r="R54191" s="178"/>
      <c r="S54191" s="178"/>
    </row>
    <row r="54192" spans="18:19">
      <c r="R54192" s="178"/>
      <c r="S54192" s="178"/>
    </row>
    <row r="54193" spans="18:19">
      <c r="R54193" s="178"/>
      <c r="S54193" s="178"/>
    </row>
    <row r="54194" spans="18:19">
      <c r="R54194" s="178"/>
      <c r="S54194" s="178"/>
    </row>
    <row r="54195" spans="18:19">
      <c r="R54195" s="178"/>
      <c r="S54195" s="178"/>
    </row>
    <row r="54196" spans="18:19">
      <c r="R54196" s="178"/>
      <c r="S54196" s="178"/>
    </row>
    <row r="54197" spans="18:19">
      <c r="R54197" s="178"/>
      <c r="S54197" s="178"/>
    </row>
    <row r="54198" spans="18:19">
      <c r="R54198" s="178"/>
      <c r="S54198" s="178"/>
    </row>
    <row r="54199" spans="18:19">
      <c r="R54199" s="178"/>
      <c r="S54199" s="178"/>
    </row>
    <row r="54200" spans="18:19">
      <c r="R54200" s="178"/>
      <c r="S54200" s="178"/>
    </row>
    <row r="54201" spans="18:19">
      <c r="R54201" s="178"/>
      <c r="S54201" s="178"/>
    </row>
    <row r="54202" spans="18:19">
      <c r="R54202" s="178"/>
      <c r="S54202" s="178"/>
    </row>
    <row r="54203" spans="18:19">
      <c r="R54203" s="178"/>
      <c r="S54203" s="178"/>
    </row>
    <row r="54204" spans="18:19">
      <c r="R54204" s="178"/>
      <c r="S54204" s="178"/>
    </row>
    <row r="54205" spans="18:19">
      <c r="R54205" s="178"/>
      <c r="S54205" s="178"/>
    </row>
    <row r="54206" spans="18:19">
      <c r="R54206" s="178"/>
      <c r="S54206" s="178"/>
    </row>
    <row r="54207" spans="18:19">
      <c r="R54207" s="178"/>
      <c r="S54207" s="178"/>
    </row>
    <row r="54208" spans="18:19">
      <c r="R54208" s="178"/>
      <c r="S54208" s="178"/>
    </row>
    <row r="54209" spans="18:19">
      <c r="R54209" s="178"/>
      <c r="S54209" s="178"/>
    </row>
    <row r="54210" spans="18:19">
      <c r="R54210" s="178"/>
      <c r="S54210" s="178"/>
    </row>
    <row r="54211" spans="18:19">
      <c r="R54211" s="178"/>
      <c r="S54211" s="178"/>
    </row>
    <row r="54212" spans="18:19">
      <c r="R54212" s="178"/>
      <c r="S54212" s="178"/>
    </row>
    <row r="54213" spans="18:19">
      <c r="R54213" s="178"/>
      <c r="S54213" s="178"/>
    </row>
    <row r="54214" spans="18:19">
      <c r="R54214" s="178"/>
      <c r="S54214" s="178"/>
    </row>
    <row r="54215" spans="18:19">
      <c r="R54215" s="178"/>
      <c r="S54215" s="178"/>
    </row>
    <row r="54216" spans="18:19">
      <c r="R54216" s="178"/>
      <c r="S54216" s="178"/>
    </row>
    <row r="54217" spans="18:19">
      <c r="R54217" s="178"/>
      <c r="S54217" s="178"/>
    </row>
    <row r="54218" spans="18:19">
      <c r="R54218" s="178"/>
      <c r="S54218" s="178"/>
    </row>
    <row r="54219" spans="18:19">
      <c r="R54219" s="178"/>
      <c r="S54219" s="178"/>
    </row>
    <row r="54220" spans="18:19">
      <c r="R54220" s="178"/>
      <c r="S54220" s="178"/>
    </row>
    <row r="54221" spans="18:19">
      <c r="R54221" s="178"/>
      <c r="S54221" s="178"/>
    </row>
    <row r="54222" spans="18:19">
      <c r="R54222" s="178"/>
      <c r="S54222" s="178"/>
    </row>
    <row r="54223" spans="18:19">
      <c r="R54223" s="178"/>
      <c r="S54223" s="178"/>
    </row>
    <row r="54224" spans="18:19">
      <c r="R54224" s="178"/>
      <c r="S54224" s="178"/>
    </row>
    <row r="54225" spans="18:19">
      <c r="R54225" s="178"/>
      <c r="S54225" s="178"/>
    </row>
    <row r="54226" spans="18:19">
      <c r="R54226" s="178"/>
      <c r="S54226" s="178"/>
    </row>
    <row r="54227" spans="18:19">
      <c r="R54227" s="178"/>
      <c r="S54227" s="178"/>
    </row>
    <row r="54228" spans="18:19">
      <c r="R54228" s="178"/>
      <c r="S54228" s="178"/>
    </row>
    <row r="54229" spans="18:19">
      <c r="R54229" s="178"/>
      <c r="S54229" s="178"/>
    </row>
    <row r="54230" spans="18:19">
      <c r="R54230" s="178"/>
      <c r="S54230" s="178"/>
    </row>
    <row r="54231" spans="18:19">
      <c r="R54231" s="178"/>
      <c r="S54231" s="178"/>
    </row>
    <row r="54232" spans="18:19">
      <c r="R54232" s="178"/>
      <c r="S54232" s="178"/>
    </row>
    <row r="54233" spans="18:19">
      <c r="R54233" s="178"/>
      <c r="S54233" s="178"/>
    </row>
    <row r="54234" spans="18:19">
      <c r="R54234" s="178"/>
      <c r="S54234" s="178"/>
    </row>
    <row r="54235" spans="18:19">
      <c r="R54235" s="178"/>
      <c r="S54235" s="178"/>
    </row>
    <row r="54236" spans="18:19">
      <c r="R54236" s="178"/>
      <c r="S54236" s="178"/>
    </row>
    <row r="54237" spans="18:19">
      <c r="R54237" s="178"/>
      <c r="S54237" s="178"/>
    </row>
    <row r="54238" spans="18:19">
      <c r="R54238" s="178"/>
      <c r="S54238" s="178"/>
    </row>
    <row r="54239" spans="18:19">
      <c r="R54239" s="178"/>
      <c r="S54239" s="178"/>
    </row>
    <row r="54240" spans="18:19">
      <c r="R54240" s="178"/>
      <c r="S54240" s="178"/>
    </row>
    <row r="54241" spans="18:19">
      <c r="R54241" s="178"/>
      <c r="S54241" s="178"/>
    </row>
    <row r="54242" spans="18:19">
      <c r="R54242" s="178"/>
      <c r="S54242" s="178"/>
    </row>
    <row r="54243" spans="18:19">
      <c r="R54243" s="178"/>
      <c r="S54243" s="178"/>
    </row>
    <row r="54244" spans="18:19">
      <c r="R54244" s="178"/>
      <c r="S54244" s="178"/>
    </row>
    <row r="54245" spans="18:19">
      <c r="R54245" s="178"/>
      <c r="S54245" s="178"/>
    </row>
    <row r="54246" spans="18:19">
      <c r="R54246" s="178"/>
      <c r="S54246" s="178"/>
    </row>
    <row r="54247" spans="18:19">
      <c r="R54247" s="178"/>
      <c r="S54247" s="178"/>
    </row>
    <row r="54248" spans="18:19">
      <c r="R54248" s="178"/>
      <c r="S54248" s="178"/>
    </row>
    <row r="54249" spans="18:19">
      <c r="R54249" s="178"/>
      <c r="S54249" s="178"/>
    </row>
    <row r="54250" spans="18:19">
      <c r="R54250" s="178"/>
      <c r="S54250" s="178"/>
    </row>
    <row r="54251" spans="18:19">
      <c r="R54251" s="178"/>
      <c r="S54251" s="178"/>
    </row>
    <row r="54252" spans="18:19">
      <c r="R54252" s="178"/>
      <c r="S54252" s="178"/>
    </row>
    <row r="54253" spans="18:19">
      <c r="R54253" s="178"/>
      <c r="S54253" s="178"/>
    </row>
    <row r="54254" spans="18:19">
      <c r="R54254" s="178"/>
      <c r="S54254" s="178"/>
    </row>
    <row r="54255" spans="18:19">
      <c r="R54255" s="178"/>
      <c r="S54255" s="178"/>
    </row>
    <row r="54256" spans="18:19">
      <c r="R54256" s="178"/>
      <c r="S54256" s="178"/>
    </row>
    <row r="54257" spans="18:19">
      <c r="R54257" s="178"/>
      <c r="S54257" s="178"/>
    </row>
    <row r="54258" spans="18:19">
      <c r="R54258" s="178"/>
      <c r="S54258" s="178"/>
    </row>
    <row r="54259" spans="18:19">
      <c r="R54259" s="178"/>
      <c r="S54259" s="178"/>
    </row>
    <row r="54260" spans="18:19">
      <c r="R54260" s="178"/>
      <c r="S54260" s="178"/>
    </row>
    <row r="54261" spans="18:19">
      <c r="R54261" s="178"/>
      <c r="S54261" s="178"/>
    </row>
    <row r="54262" spans="18:19">
      <c r="R54262" s="178"/>
      <c r="S54262" s="178"/>
    </row>
    <row r="54263" spans="18:19">
      <c r="R54263" s="178"/>
      <c r="S54263" s="178"/>
    </row>
    <row r="54264" spans="18:19">
      <c r="R54264" s="178"/>
      <c r="S54264" s="178"/>
    </row>
    <row r="54265" spans="18:19">
      <c r="R54265" s="178"/>
      <c r="S54265" s="178"/>
    </row>
    <row r="54266" spans="18:19">
      <c r="R54266" s="178"/>
      <c r="S54266" s="178"/>
    </row>
    <row r="54267" spans="18:19">
      <c r="R54267" s="178"/>
      <c r="S54267" s="178"/>
    </row>
    <row r="54268" spans="18:19">
      <c r="R54268" s="178"/>
      <c r="S54268" s="178"/>
    </row>
    <row r="54269" spans="18:19">
      <c r="R54269" s="178"/>
      <c r="S54269" s="178"/>
    </row>
    <row r="54270" spans="18:19">
      <c r="R54270" s="178"/>
      <c r="S54270" s="178"/>
    </row>
    <row r="54271" spans="18:19">
      <c r="R54271" s="178"/>
      <c r="S54271" s="178"/>
    </row>
    <row r="54272" spans="18:19">
      <c r="R54272" s="178"/>
      <c r="S54272" s="178"/>
    </row>
    <row r="54273" spans="18:19">
      <c r="R54273" s="178"/>
      <c r="S54273" s="178"/>
    </row>
    <row r="54274" spans="18:19">
      <c r="R54274" s="178"/>
      <c r="S54274" s="178"/>
    </row>
    <row r="54275" spans="18:19">
      <c r="R54275" s="178"/>
      <c r="S54275" s="178"/>
    </row>
    <row r="54276" spans="18:19">
      <c r="R54276" s="178"/>
      <c r="S54276" s="178"/>
    </row>
    <row r="54277" spans="18:19">
      <c r="R54277" s="178"/>
      <c r="S54277" s="178"/>
    </row>
    <row r="54278" spans="18:19">
      <c r="R54278" s="178"/>
      <c r="S54278" s="178"/>
    </row>
    <row r="54279" spans="18:19">
      <c r="R54279" s="178"/>
      <c r="S54279" s="178"/>
    </row>
    <row r="54280" spans="18:19">
      <c r="R54280" s="178"/>
      <c r="S54280" s="178"/>
    </row>
    <row r="54281" spans="18:19">
      <c r="R54281" s="178"/>
      <c r="S54281" s="178"/>
    </row>
    <row r="54282" spans="18:19">
      <c r="R54282" s="178"/>
      <c r="S54282" s="178"/>
    </row>
    <row r="54283" spans="18:19">
      <c r="R54283" s="178"/>
      <c r="S54283" s="178"/>
    </row>
    <row r="54284" spans="18:19">
      <c r="R54284" s="178"/>
      <c r="S54284" s="178"/>
    </row>
    <row r="54285" spans="18:19">
      <c r="R54285" s="178"/>
      <c r="S54285" s="178"/>
    </row>
    <row r="54286" spans="18:19">
      <c r="R54286" s="178"/>
      <c r="S54286" s="178"/>
    </row>
    <row r="54287" spans="18:19">
      <c r="R54287" s="178"/>
      <c r="S54287" s="178"/>
    </row>
    <row r="54288" spans="18:19">
      <c r="R54288" s="178"/>
      <c r="S54288" s="178"/>
    </row>
    <row r="54289" spans="18:19">
      <c r="R54289" s="178"/>
      <c r="S54289" s="178"/>
    </row>
    <row r="54290" spans="18:19">
      <c r="R54290" s="178"/>
      <c r="S54290" s="178"/>
    </row>
    <row r="54291" spans="18:19">
      <c r="R54291" s="178"/>
      <c r="S54291" s="178"/>
    </row>
    <row r="54292" spans="18:19">
      <c r="R54292" s="178"/>
      <c r="S54292" s="178"/>
    </row>
    <row r="54293" spans="18:19">
      <c r="R54293" s="178"/>
      <c r="S54293" s="178"/>
    </row>
    <row r="54294" spans="18:19">
      <c r="R54294" s="178"/>
      <c r="S54294" s="178"/>
    </row>
    <row r="54295" spans="18:19">
      <c r="R54295" s="178"/>
      <c r="S54295" s="178"/>
    </row>
    <row r="54296" spans="18:19">
      <c r="R54296" s="178"/>
      <c r="S54296" s="178"/>
    </row>
    <row r="54297" spans="18:19">
      <c r="R54297" s="178"/>
      <c r="S54297" s="178"/>
    </row>
    <row r="54298" spans="18:19">
      <c r="R54298" s="178"/>
      <c r="S54298" s="178"/>
    </row>
    <row r="54299" spans="18:19">
      <c r="R54299" s="178"/>
      <c r="S54299" s="178"/>
    </row>
    <row r="54300" spans="18:19">
      <c r="R54300" s="178"/>
      <c r="S54300" s="178"/>
    </row>
    <row r="54301" spans="18:19">
      <c r="R54301" s="178"/>
      <c r="S54301" s="178"/>
    </row>
    <row r="54302" spans="18:19">
      <c r="R54302" s="178"/>
      <c r="S54302" s="178"/>
    </row>
    <row r="54303" spans="18:19">
      <c r="R54303" s="178"/>
      <c r="S54303" s="178"/>
    </row>
    <row r="54304" spans="18:19">
      <c r="R54304" s="178"/>
      <c r="S54304" s="178"/>
    </row>
    <row r="54305" spans="18:19">
      <c r="R54305" s="178"/>
      <c r="S54305" s="178"/>
    </row>
    <row r="54306" spans="18:19">
      <c r="R54306" s="178"/>
      <c r="S54306" s="178"/>
    </row>
    <row r="54307" spans="18:19">
      <c r="R54307" s="178"/>
      <c r="S54307" s="178"/>
    </row>
    <row r="54308" spans="18:19">
      <c r="R54308" s="178"/>
      <c r="S54308" s="178"/>
    </row>
    <row r="54309" spans="18:19">
      <c r="R54309" s="178"/>
      <c r="S54309" s="178"/>
    </row>
    <row r="54310" spans="18:19">
      <c r="R54310" s="178"/>
      <c r="S54310" s="178"/>
    </row>
    <row r="54311" spans="18:19">
      <c r="R54311" s="178"/>
      <c r="S54311" s="178"/>
    </row>
    <row r="54312" spans="18:19">
      <c r="R54312" s="178"/>
      <c r="S54312" s="178"/>
    </row>
    <row r="54313" spans="18:19">
      <c r="R54313" s="178"/>
      <c r="S54313" s="178"/>
    </row>
    <row r="54314" spans="18:19">
      <c r="R54314" s="178"/>
      <c r="S54314" s="178"/>
    </row>
    <row r="54315" spans="18:19">
      <c r="R54315" s="178"/>
      <c r="S54315" s="178"/>
    </row>
    <row r="54316" spans="18:19">
      <c r="R54316" s="178"/>
      <c r="S54316" s="178"/>
    </row>
    <row r="54317" spans="18:19">
      <c r="R54317" s="178"/>
      <c r="S54317" s="178"/>
    </row>
    <row r="54318" spans="18:19">
      <c r="R54318" s="178"/>
      <c r="S54318" s="178"/>
    </row>
    <row r="54319" spans="18:19">
      <c r="R54319" s="178"/>
      <c r="S54319" s="178"/>
    </row>
    <row r="54320" spans="18:19">
      <c r="R54320" s="178"/>
      <c r="S54320" s="178"/>
    </row>
    <row r="54321" spans="18:19">
      <c r="R54321" s="178"/>
      <c r="S54321" s="178"/>
    </row>
    <row r="54322" spans="18:19">
      <c r="R54322" s="178"/>
      <c r="S54322" s="178"/>
    </row>
    <row r="54323" spans="18:19">
      <c r="R54323" s="178"/>
      <c r="S54323" s="178"/>
    </row>
    <row r="54324" spans="18:19">
      <c r="R54324" s="178"/>
      <c r="S54324" s="178"/>
    </row>
    <row r="54325" spans="18:19">
      <c r="R54325" s="178"/>
      <c r="S54325" s="178"/>
    </row>
    <row r="54326" spans="18:19">
      <c r="R54326" s="178"/>
      <c r="S54326" s="178"/>
    </row>
    <row r="54327" spans="18:19">
      <c r="R54327" s="178"/>
      <c r="S54327" s="178"/>
    </row>
    <row r="54328" spans="18:19">
      <c r="R54328" s="178"/>
      <c r="S54328" s="178"/>
    </row>
    <row r="54329" spans="18:19">
      <c r="R54329" s="178"/>
      <c r="S54329" s="178"/>
    </row>
    <row r="54330" spans="18:19">
      <c r="R54330" s="178"/>
      <c r="S54330" s="178"/>
    </row>
    <row r="54331" spans="18:19">
      <c r="R54331" s="178"/>
      <c r="S54331" s="178"/>
    </row>
    <row r="54332" spans="18:19">
      <c r="R54332" s="178"/>
      <c r="S54332" s="178"/>
    </row>
    <row r="54333" spans="18:19">
      <c r="R54333" s="178"/>
      <c r="S54333" s="178"/>
    </row>
    <row r="54334" spans="18:19">
      <c r="R54334" s="178"/>
      <c r="S54334" s="178"/>
    </row>
    <row r="54335" spans="18:19">
      <c r="R54335" s="178"/>
      <c r="S54335" s="178"/>
    </row>
    <row r="54336" spans="18:19">
      <c r="R54336" s="178"/>
      <c r="S54336" s="178"/>
    </row>
    <row r="54337" spans="18:19">
      <c r="R54337" s="178"/>
      <c r="S54337" s="178"/>
    </row>
    <row r="54338" spans="18:19">
      <c r="R54338" s="178"/>
      <c r="S54338" s="178"/>
    </row>
    <row r="54339" spans="18:19">
      <c r="R54339" s="178"/>
      <c r="S54339" s="178"/>
    </row>
    <row r="54340" spans="18:19">
      <c r="R54340" s="178"/>
      <c r="S54340" s="178"/>
    </row>
    <row r="54341" spans="18:19">
      <c r="R54341" s="178"/>
      <c r="S54341" s="178"/>
    </row>
    <row r="54342" spans="18:19">
      <c r="R54342" s="178"/>
      <c r="S54342" s="178"/>
    </row>
    <row r="54343" spans="18:19">
      <c r="R54343" s="178"/>
      <c r="S54343" s="178"/>
    </row>
    <row r="54344" spans="18:19">
      <c r="R54344" s="178"/>
      <c r="S54344" s="178"/>
    </row>
    <row r="54345" spans="18:19">
      <c r="R54345" s="178"/>
      <c r="S54345" s="178"/>
    </row>
    <row r="54346" spans="18:19">
      <c r="R54346" s="178"/>
      <c r="S54346" s="178"/>
    </row>
    <row r="54347" spans="18:19">
      <c r="R54347" s="178"/>
      <c r="S54347" s="178"/>
    </row>
    <row r="54348" spans="18:19">
      <c r="R54348" s="178"/>
      <c r="S54348" s="178"/>
    </row>
    <row r="54349" spans="18:19">
      <c r="R54349" s="178"/>
      <c r="S54349" s="178"/>
    </row>
    <row r="54350" spans="18:19">
      <c r="R54350" s="178"/>
      <c r="S54350" s="178"/>
    </row>
    <row r="54351" spans="18:19">
      <c r="R54351" s="178"/>
      <c r="S54351" s="178"/>
    </row>
    <row r="54352" spans="18:19">
      <c r="R54352" s="178"/>
      <c r="S54352" s="178"/>
    </row>
    <row r="54353" spans="18:19">
      <c r="R54353" s="178"/>
      <c r="S54353" s="178"/>
    </row>
    <row r="54354" spans="18:19">
      <c r="R54354" s="178"/>
      <c r="S54354" s="178"/>
    </row>
    <row r="54355" spans="18:19">
      <c r="R54355" s="178"/>
      <c r="S54355" s="178"/>
    </row>
    <row r="54356" spans="18:19">
      <c r="R54356" s="178"/>
      <c r="S54356" s="178"/>
    </row>
    <row r="54357" spans="18:19">
      <c r="R54357" s="178"/>
      <c r="S54357" s="178"/>
    </row>
    <row r="54358" spans="18:19">
      <c r="R54358" s="178"/>
      <c r="S54358" s="178"/>
    </row>
    <row r="54359" spans="18:19">
      <c r="R54359" s="178"/>
      <c r="S54359" s="178"/>
    </row>
    <row r="54360" spans="18:19">
      <c r="R54360" s="178"/>
      <c r="S54360" s="178"/>
    </row>
    <row r="54361" spans="18:19">
      <c r="R54361" s="178"/>
      <c r="S54361" s="178"/>
    </row>
    <row r="54362" spans="18:19">
      <c r="R54362" s="178"/>
      <c r="S54362" s="178"/>
    </row>
    <row r="54363" spans="18:19">
      <c r="R54363" s="178"/>
      <c r="S54363" s="178"/>
    </row>
    <row r="54364" spans="18:19">
      <c r="R54364" s="178"/>
      <c r="S54364" s="178"/>
    </row>
    <row r="54365" spans="18:19">
      <c r="R54365" s="178"/>
      <c r="S54365" s="178"/>
    </row>
    <row r="54366" spans="18:19">
      <c r="R54366" s="178"/>
      <c r="S54366" s="178"/>
    </row>
    <row r="54367" spans="18:19">
      <c r="R54367" s="178"/>
      <c r="S54367" s="178"/>
    </row>
    <row r="54368" spans="18:19">
      <c r="R54368" s="178"/>
      <c r="S54368" s="178"/>
    </row>
    <row r="54369" spans="18:19">
      <c r="R54369" s="178"/>
      <c r="S54369" s="178"/>
    </row>
    <row r="54370" spans="18:19">
      <c r="R54370" s="178"/>
      <c r="S54370" s="178"/>
    </row>
    <row r="54371" spans="18:19">
      <c r="R54371" s="178"/>
      <c r="S54371" s="178"/>
    </row>
    <row r="54372" spans="18:19">
      <c r="R54372" s="178"/>
      <c r="S54372" s="178"/>
    </row>
    <row r="54373" spans="18:19">
      <c r="R54373" s="178"/>
      <c r="S54373" s="178"/>
    </row>
    <row r="54374" spans="18:19">
      <c r="R54374" s="178"/>
      <c r="S54374" s="178"/>
    </row>
    <row r="54375" spans="18:19">
      <c r="R54375" s="178"/>
      <c r="S54375" s="178"/>
    </row>
    <row r="54376" spans="18:19">
      <c r="R54376" s="178"/>
      <c r="S54376" s="178"/>
    </row>
    <row r="54377" spans="18:19">
      <c r="R54377" s="178"/>
      <c r="S54377" s="178"/>
    </row>
    <row r="54378" spans="18:19">
      <c r="R54378" s="178"/>
      <c r="S54378" s="178"/>
    </row>
    <row r="54379" spans="18:19">
      <c r="R54379" s="178"/>
      <c r="S54379" s="178"/>
    </row>
    <row r="54380" spans="18:19">
      <c r="R54380" s="178"/>
      <c r="S54380" s="178"/>
    </row>
    <row r="54381" spans="18:19">
      <c r="R54381" s="178"/>
      <c r="S54381" s="178"/>
    </row>
    <row r="54382" spans="18:19">
      <c r="R54382" s="178"/>
      <c r="S54382" s="178"/>
    </row>
    <row r="54383" spans="18:19">
      <c r="R54383" s="178"/>
      <c r="S54383" s="178"/>
    </row>
    <row r="54384" spans="18:19">
      <c r="R54384" s="178"/>
      <c r="S54384" s="178"/>
    </row>
    <row r="54385" spans="18:19">
      <c r="R54385" s="178"/>
      <c r="S54385" s="178"/>
    </row>
    <row r="54386" spans="18:19">
      <c r="R54386" s="178"/>
      <c r="S54386" s="178"/>
    </row>
    <row r="54387" spans="18:19">
      <c r="R54387" s="178"/>
      <c r="S54387" s="178"/>
    </row>
    <row r="54388" spans="18:19">
      <c r="R54388" s="178"/>
      <c r="S54388" s="178"/>
    </row>
    <row r="54389" spans="18:19">
      <c r="R54389" s="178"/>
      <c r="S54389" s="178"/>
    </row>
    <row r="54390" spans="18:19">
      <c r="R54390" s="178"/>
      <c r="S54390" s="178"/>
    </row>
    <row r="54391" spans="18:19">
      <c r="R54391" s="178"/>
      <c r="S54391" s="178"/>
    </row>
    <row r="54392" spans="18:19">
      <c r="R54392" s="178"/>
      <c r="S54392" s="178"/>
    </row>
    <row r="54393" spans="18:19">
      <c r="R54393" s="178"/>
      <c r="S54393" s="178"/>
    </row>
    <row r="54394" spans="18:19">
      <c r="R54394" s="178"/>
      <c r="S54394" s="178"/>
    </row>
    <row r="54395" spans="18:19">
      <c r="R54395" s="178"/>
      <c r="S54395" s="178"/>
    </row>
    <row r="54396" spans="18:19">
      <c r="R54396" s="178"/>
      <c r="S54396" s="178"/>
    </row>
    <row r="54397" spans="18:19">
      <c r="R54397" s="178"/>
      <c r="S54397" s="178"/>
    </row>
    <row r="54398" spans="18:19">
      <c r="R54398" s="178"/>
      <c r="S54398" s="178"/>
    </row>
    <row r="54399" spans="18:19">
      <c r="R54399" s="178"/>
      <c r="S54399" s="178"/>
    </row>
    <row r="54400" spans="18:19">
      <c r="R54400" s="178"/>
      <c r="S54400" s="178"/>
    </row>
    <row r="54401" spans="18:19">
      <c r="R54401" s="178"/>
      <c r="S54401" s="178"/>
    </row>
    <row r="54402" spans="18:19">
      <c r="R54402" s="178"/>
      <c r="S54402" s="178"/>
    </row>
    <row r="54403" spans="18:19">
      <c r="R54403" s="178"/>
      <c r="S54403" s="178"/>
    </row>
    <row r="54404" spans="18:19">
      <c r="R54404" s="178"/>
      <c r="S54404" s="178"/>
    </row>
    <row r="54405" spans="18:19">
      <c r="R54405" s="178"/>
      <c r="S54405" s="178"/>
    </row>
    <row r="54406" spans="18:19">
      <c r="R54406" s="178"/>
      <c r="S54406" s="178"/>
    </row>
    <row r="54407" spans="18:19">
      <c r="R54407" s="178"/>
      <c r="S54407" s="178"/>
    </row>
    <row r="54408" spans="18:19">
      <c r="R54408" s="178"/>
      <c r="S54408" s="178"/>
    </row>
    <row r="54409" spans="18:19">
      <c r="R54409" s="178"/>
      <c r="S54409" s="178"/>
    </row>
    <row r="54410" spans="18:19">
      <c r="R54410" s="178"/>
      <c r="S54410" s="178"/>
    </row>
    <row r="54411" spans="18:19">
      <c r="R54411" s="178"/>
      <c r="S54411" s="178"/>
    </row>
    <row r="54412" spans="18:19">
      <c r="R54412" s="178"/>
      <c r="S54412" s="178"/>
    </row>
    <row r="54413" spans="18:19">
      <c r="R54413" s="178"/>
      <c r="S54413" s="178"/>
    </row>
    <row r="54414" spans="18:19">
      <c r="R54414" s="178"/>
      <c r="S54414" s="178"/>
    </row>
    <row r="54415" spans="18:19">
      <c r="R54415" s="178"/>
      <c r="S54415" s="178"/>
    </row>
    <row r="54416" spans="18:19">
      <c r="R54416" s="178"/>
      <c r="S54416" s="178"/>
    </row>
    <row r="54417" spans="18:19">
      <c r="R54417" s="178"/>
      <c r="S54417" s="178"/>
    </row>
    <row r="54418" spans="18:19">
      <c r="R54418" s="178"/>
      <c r="S54418" s="178"/>
    </row>
    <row r="54419" spans="18:19">
      <c r="R54419" s="178"/>
      <c r="S54419" s="178"/>
    </row>
    <row r="54420" spans="18:19">
      <c r="R54420" s="178"/>
      <c r="S54420" s="178"/>
    </row>
    <row r="54421" spans="18:19">
      <c r="R54421" s="178"/>
      <c r="S54421" s="178"/>
    </row>
    <row r="54422" spans="18:19">
      <c r="R54422" s="178"/>
      <c r="S54422" s="178"/>
    </row>
    <row r="54423" spans="18:19">
      <c r="R54423" s="178"/>
      <c r="S54423" s="178"/>
    </row>
    <row r="54424" spans="18:19">
      <c r="R54424" s="178"/>
      <c r="S54424" s="178"/>
    </row>
    <row r="54425" spans="18:19">
      <c r="R54425" s="178"/>
      <c r="S54425" s="178"/>
    </row>
    <row r="54426" spans="18:19">
      <c r="R54426" s="178"/>
      <c r="S54426" s="178"/>
    </row>
    <row r="54427" spans="18:19">
      <c r="R54427" s="178"/>
      <c r="S54427" s="178"/>
    </row>
    <row r="54428" spans="18:19">
      <c r="R54428" s="178"/>
      <c r="S54428" s="178"/>
    </row>
    <row r="54429" spans="18:19">
      <c r="R54429" s="178"/>
      <c r="S54429" s="178"/>
    </row>
    <row r="54430" spans="18:19">
      <c r="R54430" s="178"/>
      <c r="S54430" s="178"/>
    </row>
    <row r="54431" spans="18:19">
      <c r="R54431" s="178"/>
      <c r="S54431" s="178"/>
    </row>
    <row r="54432" spans="18:19">
      <c r="R54432" s="178"/>
      <c r="S54432" s="178"/>
    </row>
    <row r="54433" spans="18:19">
      <c r="R54433" s="178"/>
      <c r="S54433" s="178"/>
    </row>
    <row r="54434" spans="18:19">
      <c r="R54434" s="178"/>
      <c r="S54434" s="178"/>
    </row>
    <row r="54435" spans="18:19">
      <c r="R54435" s="178"/>
      <c r="S54435" s="178"/>
    </row>
    <row r="54436" spans="18:19">
      <c r="R54436" s="178"/>
      <c r="S54436" s="178"/>
    </row>
    <row r="54437" spans="18:19">
      <c r="R54437" s="178"/>
      <c r="S54437" s="178"/>
    </row>
    <row r="54438" spans="18:19">
      <c r="R54438" s="178"/>
      <c r="S54438" s="178"/>
    </row>
    <row r="54439" spans="18:19">
      <c r="R54439" s="178"/>
      <c r="S54439" s="178"/>
    </row>
    <row r="54440" spans="18:19">
      <c r="R54440" s="178"/>
      <c r="S54440" s="178"/>
    </row>
    <row r="54441" spans="18:19">
      <c r="R54441" s="178"/>
      <c r="S54441" s="178"/>
    </row>
    <row r="54442" spans="18:19">
      <c r="R54442" s="178"/>
      <c r="S54442" s="178"/>
    </row>
    <row r="54443" spans="18:19">
      <c r="R54443" s="178"/>
      <c r="S54443" s="178"/>
    </row>
    <row r="54444" spans="18:19">
      <c r="R54444" s="178"/>
      <c r="S54444" s="178"/>
    </row>
    <row r="54445" spans="18:19">
      <c r="R54445" s="178"/>
      <c r="S54445" s="178"/>
    </row>
    <row r="54446" spans="18:19">
      <c r="R54446" s="178"/>
      <c r="S54446" s="178"/>
    </row>
    <row r="54447" spans="18:19">
      <c r="R54447" s="178"/>
      <c r="S54447" s="178"/>
    </row>
    <row r="54448" spans="18:19">
      <c r="R54448" s="178"/>
      <c r="S54448" s="178"/>
    </row>
    <row r="54449" spans="18:19">
      <c r="R54449" s="178"/>
      <c r="S54449" s="178"/>
    </row>
    <row r="54450" spans="18:19">
      <c r="R54450" s="178"/>
      <c r="S54450" s="178"/>
    </row>
    <row r="54451" spans="18:19">
      <c r="R54451" s="178"/>
      <c r="S54451" s="178"/>
    </row>
    <row r="54452" spans="18:19">
      <c r="R54452" s="178"/>
      <c r="S54452" s="178"/>
    </row>
    <row r="54453" spans="18:19">
      <c r="R54453" s="178"/>
      <c r="S54453" s="178"/>
    </row>
    <row r="54454" spans="18:19">
      <c r="R54454" s="178"/>
      <c r="S54454" s="178"/>
    </row>
    <row r="54455" spans="18:19">
      <c r="R54455" s="178"/>
      <c r="S54455" s="178"/>
    </row>
    <row r="54456" spans="18:19">
      <c r="R54456" s="178"/>
      <c r="S54456" s="178"/>
    </row>
    <row r="54457" spans="18:19">
      <c r="R54457" s="178"/>
      <c r="S54457" s="178"/>
    </row>
    <row r="54458" spans="18:19">
      <c r="R54458" s="178"/>
      <c r="S54458" s="178"/>
    </row>
    <row r="54459" spans="18:19">
      <c r="R54459" s="178"/>
      <c r="S54459" s="178"/>
    </row>
    <row r="54460" spans="18:19">
      <c r="R54460" s="178"/>
      <c r="S54460" s="178"/>
    </row>
    <row r="54461" spans="18:19">
      <c r="R54461" s="178"/>
      <c r="S54461" s="178"/>
    </row>
    <row r="54462" spans="18:19">
      <c r="R54462" s="178"/>
      <c r="S54462" s="178"/>
    </row>
    <row r="54463" spans="18:19">
      <c r="R54463" s="178"/>
      <c r="S54463" s="178"/>
    </row>
    <row r="54464" spans="18:19">
      <c r="R54464" s="178"/>
      <c r="S54464" s="178"/>
    </row>
    <row r="54465" spans="18:19">
      <c r="R54465" s="178"/>
      <c r="S54465" s="178"/>
    </row>
    <row r="54466" spans="18:19">
      <c r="R54466" s="178"/>
      <c r="S54466" s="178"/>
    </row>
    <row r="54467" spans="18:19">
      <c r="R54467" s="178"/>
      <c r="S54467" s="178"/>
    </row>
    <row r="54468" spans="18:19">
      <c r="R54468" s="178"/>
      <c r="S54468" s="178"/>
    </row>
    <row r="54469" spans="18:19">
      <c r="R54469" s="178"/>
      <c r="S54469" s="178"/>
    </row>
    <row r="54470" spans="18:19">
      <c r="R54470" s="178"/>
      <c r="S54470" s="178"/>
    </row>
    <row r="54471" spans="18:19">
      <c r="R54471" s="178"/>
      <c r="S54471" s="178"/>
    </row>
    <row r="54472" spans="18:19">
      <c r="R54472" s="178"/>
      <c r="S54472" s="178"/>
    </row>
    <row r="54473" spans="18:19">
      <c r="R54473" s="178"/>
      <c r="S54473" s="178"/>
    </row>
    <row r="54474" spans="18:19">
      <c r="R54474" s="178"/>
      <c r="S54474" s="178"/>
    </row>
    <row r="54475" spans="18:19">
      <c r="R54475" s="178"/>
      <c r="S54475" s="178"/>
    </row>
    <row r="54476" spans="18:19">
      <c r="R54476" s="178"/>
      <c r="S54476" s="178"/>
    </row>
    <row r="54477" spans="18:19">
      <c r="R54477" s="178"/>
      <c r="S54477" s="178"/>
    </row>
    <row r="54478" spans="18:19">
      <c r="R54478" s="178"/>
      <c r="S54478" s="178"/>
    </row>
    <row r="54479" spans="18:19">
      <c r="R54479" s="178"/>
      <c r="S54479" s="178"/>
    </row>
    <row r="54480" spans="18:19">
      <c r="R54480" s="178"/>
      <c r="S54480" s="178"/>
    </row>
    <row r="54481" spans="18:19">
      <c r="R54481" s="178"/>
      <c r="S54481" s="178"/>
    </row>
    <row r="54482" spans="18:19">
      <c r="R54482" s="178"/>
      <c r="S54482" s="178"/>
    </row>
    <row r="54483" spans="18:19">
      <c r="R54483" s="178"/>
      <c r="S54483" s="178"/>
    </row>
    <row r="54484" spans="18:19">
      <c r="R54484" s="178"/>
      <c r="S54484" s="178"/>
    </row>
    <row r="54485" spans="18:19">
      <c r="R54485" s="178"/>
      <c r="S54485" s="178"/>
    </row>
    <row r="54486" spans="18:19">
      <c r="R54486" s="178"/>
      <c r="S54486" s="178"/>
    </row>
    <row r="54487" spans="18:19">
      <c r="R54487" s="178"/>
      <c r="S54487" s="178"/>
    </row>
    <row r="54488" spans="18:19">
      <c r="R54488" s="178"/>
      <c r="S54488" s="178"/>
    </row>
    <row r="54489" spans="18:19">
      <c r="R54489" s="178"/>
      <c r="S54489" s="178"/>
    </row>
    <row r="54490" spans="18:19">
      <c r="R54490" s="178"/>
      <c r="S54490" s="178"/>
    </row>
    <row r="54491" spans="18:19">
      <c r="R54491" s="178"/>
      <c r="S54491" s="178"/>
    </row>
    <row r="54492" spans="18:19">
      <c r="R54492" s="178"/>
      <c r="S54492" s="178"/>
    </row>
    <row r="54493" spans="18:19">
      <c r="R54493" s="178"/>
      <c r="S54493" s="178"/>
    </row>
    <row r="54494" spans="18:19">
      <c r="R54494" s="178"/>
      <c r="S54494" s="178"/>
    </row>
    <row r="54495" spans="18:19">
      <c r="R54495" s="178"/>
      <c r="S54495" s="178"/>
    </row>
    <row r="54496" spans="18:19">
      <c r="R54496" s="178"/>
      <c r="S54496" s="178"/>
    </row>
    <row r="54497" spans="18:19">
      <c r="R54497" s="178"/>
      <c r="S54497" s="178"/>
    </row>
    <row r="54498" spans="18:19">
      <c r="R54498" s="178"/>
      <c r="S54498" s="178"/>
    </row>
    <row r="54499" spans="18:19">
      <c r="R54499" s="178"/>
      <c r="S54499" s="178"/>
    </row>
    <row r="54500" spans="18:19">
      <c r="R54500" s="178"/>
      <c r="S54500" s="178"/>
    </row>
    <row r="54501" spans="18:19">
      <c r="R54501" s="178"/>
      <c r="S54501" s="178"/>
    </row>
    <row r="54502" spans="18:19">
      <c r="R54502" s="178"/>
      <c r="S54502" s="178"/>
    </row>
    <row r="54503" spans="18:19">
      <c r="R54503" s="178"/>
      <c r="S54503" s="178"/>
    </row>
    <row r="54504" spans="18:19">
      <c r="R54504" s="178"/>
      <c r="S54504" s="178"/>
    </row>
    <row r="54505" spans="18:19">
      <c r="R54505" s="178"/>
      <c r="S54505" s="178"/>
    </row>
    <row r="54506" spans="18:19">
      <c r="R54506" s="178"/>
      <c r="S54506" s="178"/>
    </row>
    <row r="54507" spans="18:19">
      <c r="R54507" s="178"/>
      <c r="S54507" s="178"/>
    </row>
    <row r="54508" spans="18:19">
      <c r="R54508" s="178"/>
      <c r="S54508" s="178"/>
    </row>
    <row r="54509" spans="18:19">
      <c r="R54509" s="178"/>
      <c r="S54509" s="178"/>
    </row>
    <row r="54510" spans="18:19">
      <c r="R54510" s="178"/>
      <c r="S54510" s="178"/>
    </row>
    <row r="54511" spans="18:19">
      <c r="R54511" s="178"/>
      <c r="S54511" s="178"/>
    </row>
    <row r="54512" spans="18:19">
      <c r="R54512" s="178"/>
      <c r="S54512" s="178"/>
    </row>
    <row r="54513" spans="18:19">
      <c r="R54513" s="178"/>
      <c r="S54513" s="178"/>
    </row>
    <row r="54514" spans="18:19">
      <c r="R54514" s="178"/>
      <c r="S54514" s="178"/>
    </row>
    <row r="54515" spans="18:19">
      <c r="R54515" s="178"/>
      <c r="S54515" s="178"/>
    </row>
    <row r="54516" spans="18:19">
      <c r="R54516" s="178"/>
      <c r="S54516" s="178"/>
    </row>
    <row r="54517" spans="18:19">
      <c r="R54517" s="178"/>
      <c r="S54517" s="178"/>
    </row>
    <row r="54518" spans="18:19">
      <c r="R54518" s="178"/>
      <c r="S54518" s="178"/>
    </row>
    <row r="54519" spans="18:19">
      <c r="R54519" s="178"/>
      <c r="S54519" s="178"/>
    </row>
    <row r="54520" spans="18:19">
      <c r="R54520" s="178"/>
      <c r="S54520" s="178"/>
    </row>
    <row r="54521" spans="18:19">
      <c r="R54521" s="178"/>
      <c r="S54521" s="178"/>
    </row>
    <row r="54522" spans="18:19">
      <c r="R54522" s="178"/>
      <c r="S54522" s="178"/>
    </row>
    <row r="54523" spans="18:19">
      <c r="R54523" s="178"/>
      <c r="S54523" s="178"/>
    </row>
    <row r="54524" spans="18:19">
      <c r="R54524" s="178"/>
      <c r="S54524" s="178"/>
    </row>
    <row r="54525" spans="18:19">
      <c r="R54525" s="178"/>
      <c r="S54525" s="178"/>
    </row>
    <row r="54526" spans="18:19">
      <c r="R54526" s="178"/>
      <c r="S54526" s="178"/>
    </row>
    <row r="54527" spans="18:19">
      <c r="R54527" s="178"/>
      <c r="S54527" s="178"/>
    </row>
    <row r="54528" spans="18:19">
      <c r="R54528" s="178"/>
      <c r="S54528" s="178"/>
    </row>
    <row r="54529" spans="18:19">
      <c r="R54529" s="178"/>
      <c r="S54529" s="178"/>
    </row>
    <row r="54530" spans="18:19">
      <c r="R54530" s="178"/>
      <c r="S54530" s="178"/>
    </row>
    <row r="54531" spans="18:19">
      <c r="R54531" s="178"/>
      <c r="S54531" s="178"/>
    </row>
    <row r="54532" spans="18:19">
      <c r="R54532" s="178"/>
      <c r="S54532" s="178"/>
    </row>
    <row r="54533" spans="18:19">
      <c r="R54533" s="178"/>
      <c r="S54533" s="178"/>
    </row>
    <row r="54534" spans="18:19">
      <c r="R54534" s="178"/>
      <c r="S54534" s="178"/>
    </row>
    <row r="54535" spans="18:19">
      <c r="R54535" s="178"/>
      <c r="S54535" s="178"/>
    </row>
    <row r="54536" spans="18:19">
      <c r="R54536" s="178"/>
      <c r="S54536" s="178"/>
    </row>
    <row r="54537" spans="18:19">
      <c r="R54537" s="178"/>
      <c r="S54537" s="178"/>
    </row>
    <row r="54538" spans="18:19">
      <c r="R54538" s="178"/>
      <c r="S54538" s="178"/>
    </row>
    <row r="54539" spans="18:19">
      <c r="R54539" s="178"/>
      <c r="S54539" s="178"/>
    </row>
    <row r="54540" spans="18:19">
      <c r="R54540" s="178"/>
      <c r="S54540" s="178"/>
    </row>
    <row r="54541" spans="18:19">
      <c r="R54541" s="178"/>
      <c r="S54541" s="178"/>
    </row>
    <row r="54542" spans="18:19">
      <c r="R54542" s="178"/>
      <c r="S54542" s="178"/>
    </row>
    <row r="54543" spans="18:19">
      <c r="R54543" s="178"/>
      <c r="S54543" s="178"/>
    </row>
    <row r="54544" spans="18:19">
      <c r="R54544" s="178"/>
      <c r="S54544" s="178"/>
    </row>
    <row r="54545" spans="18:19">
      <c r="R54545" s="178"/>
      <c r="S54545" s="178"/>
    </row>
    <row r="54546" spans="18:19">
      <c r="R54546" s="178"/>
      <c r="S54546" s="178"/>
    </row>
    <row r="54547" spans="18:19">
      <c r="R54547" s="178"/>
      <c r="S54547" s="178"/>
    </row>
    <row r="54548" spans="18:19">
      <c r="R54548" s="178"/>
      <c r="S54548" s="178"/>
    </row>
    <row r="54549" spans="18:19">
      <c r="R54549" s="178"/>
      <c r="S54549" s="178"/>
    </row>
    <row r="54550" spans="18:19">
      <c r="R54550" s="178"/>
      <c r="S54550" s="178"/>
    </row>
    <row r="54551" spans="18:19">
      <c r="R54551" s="178"/>
      <c r="S54551" s="178"/>
    </row>
    <row r="54552" spans="18:19">
      <c r="R54552" s="178"/>
      <c r="S54552" s="178"/>
    </row>
    <row r="54553" spans="18:19">
      <c r="R54553" s="178"/>
      <c r="S54553" s="178"/>
    </row>
    <row r="54554" spans="18:19">
      <c r="R54554" s="178"/>
      <c r="S54554" s="178"/>
    </row>
    <row r="54555" spans="18:19">
      <c r="R54555" s="178"/>
      <c r="S54555" s="178"/>
    </row>
    <row r="54556" spans="18:19">
      <c r="R54556" s="178"/>
      <c r="S54556" s="178"/>
    </row>
    <row r="54557" spans="18:19">
      <c r="R54557" s="178"/>
      <c r="S54557" s="178"/>
    </row>
    <row r="54558" spans="18:19">
      <c r="R54558" s="178"/>
      <c r="S54558" s="178"/>
    </row>
    <row r="54559" spans="18:19">
      <c r="R54559" s="178"/>
      <c r="S54559" s="178"/>
    </row>
    <row r="54560" spans="18:19">
      <c r="R54560" s="178"/>
      <c r="S54560" s="178"/>
    </row>
    <row r="54561" spans="18:19">
      <c r="R54561" s="178"/>
      <c r="S54561" s="178"/>
    </row>
    <row r="54562" spans="18:19">
      <c r="R54562" s="178"/>
      <c r="S54562" s="178"/>
    </row>
    <row r="54563" spans="18:19">
      <c r="R54563" s="178"/>
      <c r="S54563" s="178"/>
    </row>
    <row r="54564" spans="18:19">
      <c r="R54564" s="178"/>
      <c r="S54564" s="178"/>
    </row>
    <row r="54565" spans="18:19">
      <c r="R54565" s="178"/>
      <c r="S54565" s="178"/>
    </row>
    <row r="54566" spans="18:19">
      <c r="R54566" s="178"/>
      <c r="S54566" s="178"/>
    </row>
    <row r="54567" spans="18:19">
      <c r="R54567" s="178"/>
      <c r="S54567" s="178"/>
    </row>
    <row r="54568" spans="18:19">
      <c r="R54568" s="178"/>
      <c r="S54568" s="178"/>
    </row>
    <row r="54569" spans="18:19">
      <c r="R54569" s="178"/>
      <c r="S54569" s="178"/>
    </row>
    <row r="54570" spans="18:19">
      <c r="R54570" s="178"/>
      <c r="S54570" s="178"/>
    </row>
    <row r="54571" spans="18:19">
      <c r="R54571" s="178"/>
      <c r="S54571" s="178"/>
    </row>
    <row r="54572" spans="18:19">
      <c r="R54572" s="178"/>
      <c r="S54572" s="178"/>
    </row>
    <row r="54573" spans="18:19">
      <c r="R54573" s="178"/>
      <c r="S54573" s="178"/>
    </row>
    <row r="54574" spans="18:19">
      <c r="R54574" s="178"/>
      <c r="S54574" s="178"/>
    </row>
    <row r="54575" spans="18:19">
      <c r="R54575" s="178"/>
      <c r="S54575" s="178"/>
    </row>
    <row r="54576" spans="18:19">
      <c r="R54576" s="178"/>
      <c r="S54576" s="178"/>
    </row>
    <row r="54577" spans="18:19">
      <c r="R54577" s="178"/>
      <c r="S54577" s="178"/>
    </row>
    <row r="54578" spans="18:19">
      <c r="R54578" s="178"/>
      <c r="S54578" s="178"/>
    </row>
    <row r="54579" spans="18:19">
      <c r="R54579" s="178"/>
      <c r="S54579" s="178"/>
    </row>
    <row r="54580" spans="18:19">
      <c r="R54580" s="178"/>
      <c r="S54580" s="178"/>
    </row>
    <row r="54581" spans="18:19">
      <c r="R54581" s="178"/>
      <c r="S54581" s="178"/>
    </row>
    <row r="54582" spans="18:19">
      <c r="R54582" s="178"/>
      <c r="S54582" s="178"/>
    </row>
    <row r="54583" spans="18:19">
      <c r="R54583" s="178"/>
      <c r="S54583" s="178"/>
    </row>
    <row r="54584" spans="18:19">
      <c r="R54584" s="178"/>
      <c r="S54584" s="178"/>
    </row>
    <row r="54585" spans="18:19">
      <c r="R54585" s="178"/>
      <c r="S54585" s="178"/>
    </row>
    <row r="54586" spans="18:19">
      <c r="R54586" s="178"/>
      <c r="S54586" s="178"/>
    </row>
    <row r="54587" spans="18:19">
      <c r="R54587" s="178"/>
      <c r="S54587" s="178"/>
    </row>
    <row r="54588" spans="18:19">
      <c r="R54588" s="178"/>
      <c r="S54588" s="178"/>
    </row>
    <row r="54589" spans="18:19">
      <c r="R54589" s="178"/>
      <c r="S54589" s="178"/>
    </row>
    <row r="54590" spans="18:19">
      <c r="R54590" s="178"/>
      <c r="S54590" s="178"/>
    </row>
    <row r="54591" spans="18:19">
      <c r="R54591" s="178"/>
      <c r="S54591" s="178"/>
    </row>
    <row r="54592" spans="18:19">
      <c r="R54592" s="178"/>
      <c r="S54592" s="178"/>
    </row>
    <row r="54593" spans="18:19">
      <c r="R54593" s="178"/>
      <c r="S54593" s="178"/>
    </row>
    <row r="54594" spans="18:19">
      <c r="R54594" s="178"/>
      <c r="S54594" s="178"/>
    </row>
    <row r="54595" spans="18:19">
      <c r="R54595" s="178"/>
      <c r="S54595" s="178"/>
    </row>
    <row r="54596" spans="18:19">
      <c r="R54596" s="178"/>
      <c r="S54596" s="178"/>
    </row>
    <row r="54597" spans="18:19">
      <c r="R54597" s="178"/>
      <c r="S54597" s="178"/>
    </row>
    <row r="54598" spans="18:19">
      <c r="R54598" s="178"/>
      <c r="S54598" s="178"/>
    </row>
    <row r="54599" spans="18:19">
      <c r="R54599" s="178"/>
      <c r="S54599" s="178"/>
    </row>
    <row r="54600" spans="18:19">
      <c r="R54600" s="178"/>
      <c r="S54600" s="178"/>
    </row>
    <row r="54601" spans="18:19">
      <c r="R54601" s="178"/>
      <c r="S54601" s="178"/>
    </row>
    <row r="54602" spans="18:19">
      <c r="R54602" s="178"/>
      <c r="S54602" s="178"/>
    </row>
    <row r="54603" spans="18:19">
      <c r="R54603" s="178"/>
      <c r="S54603" s="178"/>
    </row>
    <row r="54604" spans="18:19">
      <c r="R54604" s="178"/>
      <c r="S54604" s="178"/>
    </row>
    <row r="54605" spans="18:19">
      <c r="R54605" s="178"/>
      <c r="S54605" s="178"/>
    </row>
    <row r="54606" spans="18:19">
      <c r="R54606" s="178"/>
      <c r="S54606" s="178"/>
    </row>
    <row r="54607" spans="18:19">
      <c r="R54607" s="178"/>
      <c r="S54607" s="178"/>
    </row>
    <row r="54608" spans="18:19">
      <c r="R54608" s="178"/>
      <c r="S54608" s="178"/>
    </row>
    <row r="54609" spans="18:19">
      <c r="R54609" s="178"/>
      <c r="S54609" s="178"/>
    </row>
    <row r="54610" spans="18:19">
      <c r="R54610" s="178"/>
      <c r="S54610" s="178"/>
    </row>
    <row r="54611" spans="18:19">
      <c r="R54611" s="178"/>
      <c r="S54611" s="178"/>
    </row>
    <row r="54612" spans="18:19">
      <c r="R54612" s="178"/>
      <c r="S54612" s="178"/>
    </row>
    <row r="54613" spans="18:19">
      <c r="R54613" s="178"/>
      <c r="S54613" s="178"/>
    </row>
    <row r="54614" spans="18:19">
      <c r="R54614" s="178"/>
      <c r="S54614" s="178"/>
    </row>
    <row r="54615" spans="18:19">
      <c r="R54615" s="178"/>
      <c r="S54615" s="178"/>
    </row>
    <row r="54616" spans="18:19">
      <c r="R54616" s="178"/>
      <c r="S54616" s="178"/>
    </row>
    <row r="54617" spans="18:19">
      <c r="R54617" s="178"/>
      <c r="S54617" s="178"/>
    </row>
    <row r="54618" spans="18:19">
      <c r="R54618" s="178"/>
      <c r="S54618" s="178"/>
    </row>
    <row r="54619" spans="18:19">
      <c r="R54619" s="178"/>
      <c r="S54619" s="178"/>
    </row>
    <row r="54620" spans="18:19">
      <c r="R54620" s="178"/>
      <c r="S54620" s="178"/>
    </row>
    <row r="54621" spans="18:19">
      <c r="R54621" s="178"/>
      <c r="S54621" s="178"/>
    </row>
    <row r="54622" spans="18:19">
      <c r="R54622" s="178"/>
      <c r="S54622" s="178"/>
    </row>
    <row r="54623" spans="18:19">
      <c r="R54623" s="178"/>
      <c r="S54623" s="178"/>
    </row>
    <row r="54624" spans="18:19">
      <c r="R54624" s="178"/>
      <c r="S54624" s="178"/>
    </row>
    <row r="54625" spans="18:19">
      <c r="R54625" s="178"/>
      <c r="S54625" s="178"/>
    </row>
    <row r="54626" spans="18:19">
      <c r="R54626" s="178"/>
      <c r="S54626" s="178"/>
    </row>
    <row r="54627" spans="18:19">
      <c r="R54627" s="178"/>
      <c r="S54627" s="178"/>
    </row>
    <row r="54628" spans="18:19">
      <c r="R54628" s="178"/>
      <c r="S54628" s="178"/>
    </row>
    <row r="54629" spans="18:19">
      <c r="R54629" s="178"/>
      <c r="S54629" s="178"/>
    </row>
    <row r="54630" spans="18:19">
      <c r="R54630" s="178"/>
      <c r="S54630" s="178"/>
    </row>
    <row r="54631" spans="18:19">
      <c r="R54631" s="178"/>
      <c r="S54631" s="178"/>
    </row>
    <row r="54632" spans="18:19">
      <c r="R54632" s="178"/>
      <c r="S54632" s="178"/>
    </row>
    <row r="54633" spans="18:19">
      <c r="R54633" s="178"/>
      <c r="S54633" s="178"/>
    </row>
    <row r="54634" spans="18:19">
      <c r="R54634" s="178"/>
      <c r="S54634" s="178"/>
    </row>
    <row r="54635" spans="18:19">
      <c r="R54635" s="178"/>
      <c r="S54635" s="178"/>
    </row>
    <row r="54636" spans="18:19">
      <c r="R54636" s="178"/>
      <c r="S54636" s="178"/>
    </row>
    <row r="54637" spans="18:19">
      <c r="R54637" s="178"/>
      <c r="S54637" s="178"/>
    </row>
    <row r="54638" spans="18:19">
      <c r="R54638" s="178"/>
      <c r="S54638" s="178"/>
    </row>
    <row r="54639" spans="18:19">
      <c r="R54639" s="178"/>
      <c r="S54639" s="178"/>
    </row>
    <row r="54640" spans="18:19">
      <c r="R54640" s="178"/>
      <c r="S54640" s="178"/>
    </row>
    <row r="54641" spans="18:19">
      <c r="R54641" s="178"/>
      <c r="S54641" s="178"/>
    </row>
    <row r="54642" spans="18:19">
      <c r="R54642" s="178"/>
      <c r="S54642" s="178"/>
    </row>
    <row r="54643" spans="18:19">
      <c r="R54643" s="178"/>
      <c r="S54643" s="178"/>
    </row>
    <row r="54644" spans="18:19">
      <c r="R54644" s="178"/>
      <c r="S54644" s="178"/>
    </row>
    <row r="54645" spans="18:19">
      <c r="R54645" s="178"/>
      <c r="S54645" s="178"/>
    </row>
    <row r="54646" spans="18:19">
      <c r="R54646" s="178"/>
      <c r="S54646" s="178"/>
    </row>
    <row r="54647" spans="18:19">
      <c r="R54647" s="178"/>
      <c r="S54647" s="178"/>
    </row>
    <row r="54648" spans="18:19">
      <c r="R54648" s="178"/>
      <c r="S54648" s="178"/>
    </row>
    <row r="54649" spans="18:19">
      <c r="R54649" s="178"/>
      <c r="S54649" s="178"/>
    </row>
    <row r="54650" spans="18:19">
      <c r="R54650" s="178"/>
      <c r="S54650" s="178"/>
    </row>
    <row r="54651" spans="18:19">
      <c r="R54651" s="178"/>
      <c r="S54651" s="178"/>
    </row>
    <row r="54652" spans="18:19">
      <c r="R54652" s="178"/>
      <c r="S54652" s="178"/>
    </row>
    <row r="54653" spans="18:19">
      <c r="R54653" s="178"/>
      <c r="S54653" s="178"/>
    </row>
    <row r="54654" spans="18:19">
      <c r="R54654" s="178"/>
      <c r="S54654" s="178"/>
    </row>
    <row r="54655" spans="18:19">
      <c r="R54655" s="178"/>
      <c r="S54655" s="178"/>
    </row>
    <row r="54656" spans="18:19">
      <c r="R54656" s="178"/>
      <c r="S54656" s="178"/>
    </row>
    <row r="54657" spans="18:19">
      <c r="R54657" s="178"/>
      <c r="S54657" s="178"/>
    </row>
    <row r="54658" spans="18:19">
      <c r="R54658" s="178"/>
      <c r="S54658" s="178"/>
    </row>
    <row r="54659" spans="18:19">
      <c r="R54659" s="178"/>
      <c r="S54659" s="178"/>
    </row>
    <row r="54660" spans="18:19">
      <c r="R54660" s="178"/>
      <c r="S54660" s="178"/>
    </row>
    <row r="54661" spans="18:19">
      <c r="R54661" s="178"/>
      <c r="S54661" s="178"/>
    </row>
    <row r="54662" spans="18:19">
      <c r="R54662" s="178"/>
      <c r="S54662" s="178"/>
    </row>
    <row r="54663" spans="18:19">
      <c r="R54663" s="178"/>
      <c r="S54663" s="178"/>
    </row>
    <row r="54664" spans="18:19">
      <c r="R54664" s="178"/>
      <c r="S54664" s="178"/>
    </row>
    <row r="54665" spans="18:19">
      <c r="R54665" s="178"/>
      <c r="S54665" s="178"/>
    </row>
    <row r="54666" spans="18:19">
      <c r="R54666" s="178"/>
      <c r="S54666" s="178"/>
    </row>
    <row r="54667" spans="18:19">
      <c r="R54667" s="178"/>
      <c r="S54667" s="178"/>
    </row>
    <row r="54668" spans="18:19">
      <c r="R54668" s="178"/>
      <c r="S54668" s="178"/>
    </row>
    <row r="54669" spans="18:19">
      <c r="R54669" s="178"/>
      <c r="S54669" s="178"/>
    </row>
    <row r="54670" spans="18:19">
      <c r="R54670" s="178"/>
      <c r="S54670" s="178"/>
    </row>
    <row r="54671" spans="18:19">
      <c r="R54671" s="178"/>
      <c r="S54671" s="178"/>
    </row>
    <row r="54672" spans="18:19">
      <c r="R54672" s="178"/>
      <c r="S54672" s="178"/>
    </row>
    <row r="54673" spans="18:19">
      <c r="R54673" s="178"/>
      <c r="S54673" s="178"/>
    </row>
    <row r="54674" spans="18:19">
      <c r="R54674" s="178"/>
      <c r="S54674" s="178"/>
    </row>
    <row r="54675" spans="18:19">
      <c r="R54675" s="178"/>
      <c r="S54675" s="178"/>
    </row>
    <row r="54676" spans="18:19">
      <c r="R54676" s="178"/>
      <c r="S54676" s="178"/>
    </row>
    <row r="54677" spans="18:19">
      <c r="R54677" s="178"/>
      <c r="S54677" s="178"/>
    </row>
    <row r="54678" spans="18:19">
      <c r="R54678" s="178"/>
      <c r="S54678" s="178"/>
    </row>
    <row r="54679" spans="18:19">
      <c r="R54679" s="178"/>
      <c r="S54679" s="178"/>
    </row>
    <row r="54680" spans="18:19">
      <c r="R54680" s="178"/>
      <c r="S54680" s="178"/>
    </row>
    <row r="54681" spans="18:19">
      <c r="R54681" s="178"/>
      <c r="S54681" s="178"/>
    </row>
    <row r="54682" spans="18:19">
      <c r="R54682" s="178"/>
      <c r="S54682" s="178"/>
    </row>
    <row r="54683" spans="18:19">
      <c r="R54683" s="178"/>
      <c r="S54683" s="178"/>
    </row>
    <row r="54684" spans="18:19">
      <c r="R54684" s="178"/>
      <c r="S54684" s="178"/>
    </row>
    <row r="54685" spans="18:19">
      <c r="R54685" s="178"/>
      <c r="S54685" s="178"/>
    </row>
    <row r="54686" spans="18:19">
      <c r="R54686" s="178"/>
      <c r="S54686" s="178"/>
    </row>
    <row r="54687" spans="18:19">
      <c r="R54687" s="178"/>
      <c r="S54687" s="178"/>
    </row>
    <row r="54688" spans="18:19">
      <c r="R54688" s="178"/>
      <c r="S54688" s="178"/>
    </row>
    <row r="54689" spans="18:19">
      <c r="R54689" s="178"/>
      <c r="S54689" s="178"/>
    </row>
    <row r="54690" spans="18:19">
      <c r="R54690" s="178"/>
      <c r="S54690" s="178"/>
    </row>
    <row r="54691" spans="18:19">
      <c r="R54691" s="178"/>
      <c r="S54691" s="178"/>
    </row>
    <row r="54692" spans="18:19">
      <c r="R54692" s="178"/>
      <c r="S54692" s="178"/>
    </row>
    <row r="54693" spans="18:19">
      <c r="R54693" s="178"/>
      <c r="S54693" s="178"/>
    </row>
    <row r="54694" spans="18:19">
      <c r="R54694" s="178"/>
      <c r="S54694" s="178"/>
    </row>
    <row r="54695" spans="18:19">
      <c r="R54695" s="178"/>
      <c r="S54695" s="178"/>
    </row>
    <row r="54696" spans="18:19">
      <c r="R54696" s="178"/>
      <c r="S54696" s="178"/>
    </row>
    <row r="54697" spans="18:19">
      <c r="R54697" s="178"/>
      <c r="S54697" s="178"/>
    </row>
    <row r="54698" spans="18:19">
      <c r="R54698" s="178"/>
      <c r="S54698" s="178"/>
    </row>
    <row r="54699" spans="18:19">
      <c r="R54699" s="178"/>
      <c r="S54699" s="178"/>
    </row>
    <row r="54700" spans="18:19">
      <c r="R54700" s="178"/>
      <c r="S54700" s="178"/>
    </row>
    <row r="54701" spans="18:19">
      <c r="R54701" s="178"/>
      <c r="S54701" s="178"/>
    </row>
    <row r="54702" spans="18:19">
      <c r="R54702" s="178"/>
      <c r="S54702" s="178"/>
    </row>
    <row r="54703" spans="18:19">
      <c r="R54703" s="178"/>
      <c r="S54703" s="178"/>
    </row>
    <row r="54704" spans="18:19">
      <c r="R54704" s="178"/>
      <c r="S54704" s="178"/>
    </row>
    <row r="54705" spans="18:19">
      <c r="R54705" s="178"/>
      <c r="S54705" s="178"/>
    </row>
    <row r="54706" spans="18:19">
      <c r="R54706" s="178"/>
      <c r="S54706" s="178"/>
    </row>
    <row r="54707" spans="18:19">
      <c r="R54707" s="178"/>
      <c r="S54707" s="178"/>
    </row>
    <row r="54708" spans="18:19">
      <c r="R54708" s="178"/>
      <c r="S54708" s="178"/>
    </row>
    <row r="54709" spans="18:19">
      <c r="R54709" s="178"/>
      <c r="S54709" s="178"/>
    </row>
    <row r="54710" spans="18:19">
      <c r="R54710" s="178"/>
      <c r="S54710" s="178"/>
    </row>
    <row r="54711" spans="18:19">
      <c r="R54711" s="178"/>
      <c r="S54711" s="178"/>
    </row>
    <row r="54712" spans="18:19">
      <c r="R54712" s="178"/>
      <c r="S54712" s="178"/>
    </row>
    <row r="54713" spans="18:19">
      <c r="R54713" s="178"/>
      <c r="S54713" s="178"/>
    </row>
    <row r="54714" spans="18:19">
      <c r="R54714" s="178"/>
      <c r="S54714" s="178"/>
    </row>
    <row r="54715" spans="18:19">
      <c r="R54715" s="178"/>
      <c r="S54715" s="178"/>
    </row>
    <row r="54716" spans="18:19">
      <c r="R54716" s="178"/>
      <c r="S54716" s="178"/>
    </row>
    <row r="54717" spans="18:19">
      <c r="R54717" s="178"/>
      <c r="S54717" s="178"/>
    </row>
    <row r="54718" spans="18:19">
      <c r="R54718" s="178"/>
      <c r="S54718" s="178"/>
    </row>
    <row r="54719" spans="18:19">
      <c r="R54719" s="178"/>
      <c r="S54719" s="178"/>
    </row>
    <row r="54720" spans="18:19">
      <c r="R54720" s="178"/>
      <c r="S54720" s="178"/>
    </row>
    <row r="54721" spans="18:19">
      <c r="R54721" s="178"/>
      <c r="S54721" s="178"/>
    </row>
    <row r="54722" spans="18:19">
      <c r="R54722" s="178"/>
      <c r="S54722" s="178"/>
    </row>
    <row r="54723" spans="18:19">
      <c r="R54723" s="178"/>
      <c r="S54723" s="178"/>
    </row>
    <row r="54724" spans="18:19">
      <c r="R54724" s="178"/>
      <c r="S54724" s="178"/>
    </row>
    <row r="54725" spans="18:19">
      <c r="R54725" s="178"/>
      <c r="S54725" s="178"/>
    </row>
    <row r="54726" spans="18:19">
      <c r="R54726" s="178"/>
      <c r="S54726" s="178"/>
    </row>
    <row r="54727" spans="18:19">
      <c r="R54727" s="178"/>
      <c r="S54727" s="178"/>
    </row>
    <row r="54728" spans="18:19">
      <c r="R54728" s="178"/>
      <c r="S54728" s="178"/>
    </row>
    <row r="54729" spans="18:19">
      <c r="R54729" s="178"/>
      <c r="S54729" s="178"/>
    </row>
    <row r="54730" spans="18:19">
      <c r="R54730" s="178"/>
      <c r="S54730" s="178"/>
    </row>
    <row r="54731" spans="18:19">
      <c r="R54731" s="178"/>
      <c r="S54731" s="178"/>
    </row>
    <row r="54732" spans="18:19">
      <c r="R54732" s="178"/>
      <c r="S54732" s="178"/>
    </row>
    <row r="54733" spans="18:19">
      <c r="R54733" s="178"/>
      <c r="S54733" s="178"/>
    </row>
    <row r="54734" spans="18:19">
      <c r="R54734" s="178"/>
      <c r="S54734" s="178"/>
    </row>
    <row r="54735" spans="18:19">
      <c r="R54735" s="178"/>
      <c r="S54735" s="178"/>
    </row>
    <row r="54736" spans="18:19">
      <c r="R54736" s="178"/>
      <c r="S54736" s="178"/>
    </row>
    <row r="54737" spans="18:19">
      <c r="R54737" s="178"/>
      <c r="S54737" s="178"/>
    </row>
    <row r="54738" spans="18:19">
      <c r="R54738" s="178"/>
      <c r="S54738" s="178"/>
    </row>
    <row r="54739" spans="18:19">
      <c r="R54739" s="178"/>
      <c r="S54739" s="178"/>
    </row>
    <row r="54740" spans="18:19">
      <c r="R54740" s="178"/>
      <c r="S54740" s="178"/>
    </row>
    <row r="54741" spans="18:19">
      <c r="R54741" s="178"/>
      <c r="S54741" s="178"/>
    </row>
    <row r="54742" spans="18:19">
      <c r="R54742" s="178"/>
      <c r="S54742" s="178"/>
    </row>
    <row r="54743" spans="18:19">
      <c r="R54743" s="178"/>
      <c r="S54743" s="178"/>
    </row>
    <row r="54744" spans="18:19">
      <c r="R54744" s="178"/>
      <c r="S54744" s="178"/>
    </row>
    <row r="54745" spans="18:19">
      <c r="R54745" s="178"/>
      <c r="S54745" s="178"/>
    </row>
    <row r="54746" spans="18:19">
      <c r="R54746" s="178"/>
      <c r="S54746" s="178"/>
    </row>
    <row r="54747" spans="18:19">
      <c r="R54747" s="178"/>
      <c r="S54747" s="178"/>
    </row>
    <row r="54748" spans="18:19">
      <c r="R54748" s="178"/>
      <c r="S54748" s="178"/>
    </row>
    <row r="54749" spans="18:19">
      <c r="R54749" s="178"/>
      <c r="S54749" s="178"/>
    </row>
    <row r="54750" spans="18:19">
      <c r="R54750" s="178"/>
      <c r="S54750" s="178"/>
    </row>
    <row r="54751" spans="18:19">
      <c r="R54751" s="178"/>
      <c r="S54751" s="178"/>
    </row>
    <row r="54752" spans="18:19">
      <c r="R54752" s="178"/>
      <c r="S54752" s="178"/>
    </row>
    <row r="54753" spans="18:19">
      <c r="R54753" s="178"/>
      <c r="S54753" s="178"/>
    </row>
    <row r="54754" spans="18:19">
      <c r="R54754" s="178"/>
      <c r="S54754" s="178"/>
    </row>
    <row r="54755" spans="18:19">
      <c r="R54755" s="178"/>
      <c r="S54755" s="178"/>
    </row>
    <row r="54756" spans="18:19">
      <c r="R54756" s="178"/>
      <c r="S54756" s="178"/>
    </row>
    <row r="54757" spans="18:19">
      <c r="R54757" s="178"/>
      <c r="S54757" s="178"/>
    </row>
    <row r="54758" spans="18:19">
      <c r="R54758" s="178"/>
      <c r="S54758" s="178"/>
    </row>
    <row r="54759" spans="18:19">
      <c r="R54759" s="178"/>
      <c r="S54759" s="178"/>
    </row>
    <row r="54760" spans="18:19">
      <c r="R54760" s="178"/>
      <c r="S54760" s="178"/>
    </row>
    <row r="54761" spans="18:19">
      <c r="R54761" s="178"/>
      <c r="S54761" s="178"/>
    </row>
    <row r="54762" spans="18:19">
      <c r="R54762" s="178"/>
      <c r="S54762" s="178"/>
    </row>
    <row r="54763" spans="18:19">
      <c r="R54763" s="178"/>
      <c r="S54763" s="178"/>
    </row>
    <row r="54764" spans="18:19">
      <c r="R54764" s="178"/>
      <c r="S54764" s="178"/>
    </row>
    <row r="54765" spans="18:19">
      <c r="R54765" s="178"/>
      <c r="S54765" s="178"/>
    </row>
    <row r="54766" spans="18:19">
      <c r="R54766" s="178"/>
      <c r="S54766" s="178"/>
    </row>
    <row r="54767" spans="18:19">
      <c r="R54767" s="178"/>
      <c r="S54767" s="178"/>
    </row>
    <row r="54768" spans="18:19">
      <c r="R54768" s="178"/>
      <c r="S54768" s="178"/>
    </row>
    <row r="54769" spans="18:19">
      <c r="R54769" s="178"/>
      <c r="S54769" s="178"/>
    </row>
    <row r="54770" spans="18:19">
      <c r="R54770" s="178"/>
      <c r="S54770" s="178"/>
    </row>
    <row r="54771" spans="18:19">
      <c r="R54771" s="178"/>
      <c r="S54771" s="178"/>
    </row>
    <row r="54772" spans="18:19">
      <c r="R54772" s="178"/>
      <c r="S54772" s="178"/>
    </row>
    <row r="54773" spans="18:19">
      <c r="R54773" s="178"/>
      <c r="S54773" s="178"/>
    </row>
    <row r="54774" spans="18:19">
      <c r="R54774" s="178"/>
      <c r="S54774" s="178"/>
    </row>
    <row r="54775" spans="18:19">
      <c r="R54775" s="178"/>
      <c r="S54775" s="178"/>
    </row>
    <row r="54776" spans="18:19">
      <c r="R54776" s="178"/>
      <c r="S54776" s="178"/>
    </row>
    <row r="54777" spans="18:19">
      <c r="R54777" s="178"/>
      <c r="S54777" s="178"/>
    </row>
    <row r="54778" spans="18:19">
      <c r="R54778" s="178"/>
      <c r="S54778" s="178"/>
    </row>
    <row r="54779" spans="18:19">
      <c r="R54779" s="178"/>
      <c r="S54779" s="178"/>
    </row>
    <row r="54780" spans="18:19">
      <c r="R54780" s="178"/>
      <c r="S54780" s="178"/>
    </row>
    <row r="54781" spans="18:19">
      <c r="R54781" s="178"/>
      <c r="S54781" s="178"/>
    </row>
    <row r="54782" spans="18:19">
      <c r="R54782" s="178"/>
      <c r="S54782" s="178"/>
    </row>
    <row r="54783" spans="18:19">
      <c r="R54783" s="178"/>
      <c r="S54783" s="178"/>
    </row>
    <row r="54784" spans="18:19">
      <c r="R54784" s="178"/>
      <c r="S54784" s="178"/>
    </row>
    <row r="54785" spans="18:19">
      <c r="R54785" s="178"/>
      <c r="S54785" s="178"/>
    </row>
    <row r="54786" spans="18:19">
      <c r="R54786" s="178"/>
      <c r="S54786" s="178"/>
    </row>
    <row r="54787" spans="18:19">
      <c r="R54787" s="178"/>
      <c r="S54787" s="178"/>
    </row>
    <row r="54788" spans="18:19">
      <c r="R54788" s="178"/>
      <c r="S54788" s="178"/>
    </row>
    <row r="54789" spans="18:19">
      <c r="R54789" s="178"/>
      <c r="S54789" s="178"/>
    </row>
    <row r="54790" spans="18:19">
      <c r="R54790" s="178"/>
      <c r="S54790" s="178"/>
    </row>
    <row r="54791" spans="18:19">
      <c r="R54791" s="178"/>
      <c r="S54791" s="178"/>
    </row>
    <row r="54792" spans="18:19">
      <c r="R54792" s="178"/>
      <c r="S54792" s="178"/>
    </row>
    <row r="54793" spans="18:19">
      <c r="R54793" s="178"/>
      <c r="S54793" s="178"/>
    </row>
    <row r="54794" spans="18:19">
      <c r="R54794" s="178"/>
      <c r="S54794" s="178"/>
    </row>
    <row r="54795" spans="18:19">
      <c r="R54795" s="178"/>
      <c r="S54795" s="178"/>
    </row>
    <row r="54796" spans="18:19">
      <c r="R54796" s="178"/>
      <c r="S54796" s="178"/>
    </row>
    <row r="54797" spans="18:19">
      <c r="R54797" s="178"/>
      <c r="S54797" s="178"/>
    </row>
    <row r="54798" spans="18:19">
      <c r="R54798" s="178"/>
      <c r="S54798" s="178"/>
    </row>
    <row r="54799" spans="18:19">
      <c r="R54799" s="178"/>
      <c r="S54799" s="178"/>
    </row>
    <row r="54800" spans="18:19">
      <c r="R54800" s="178"/>
      <c r="S54800" s="178"/>
    </row>
    <row r="54801" spans="18:19">
      <c r="R54801" s="178"/>
      <c r="S54801" s="178"/>
    </row>
    <row r="54802" spans="18:19">
      <c r="R54802" s="178"/>
      <c r="S54802" s="178"/>
    </row>
    <row r="54803" spans="18:19">
      <c r="R54803" s="178"/>
      <c r="S54803" s="178"/>
    </row>
    <row r="54804" spans="18:19">
      <c r="R54804" s="178"/>
      <c r="S54804" s="178"/>
    </row>
    <row r="54805" spans="18:19">
      <c r="R54805" s="178"/>
      <c r="S54805" s="178"/>
    </row>
    <row r="54806" spans="18:19">
      <c r="R54806" s="178"/>
      <c r="S54806" s="178"/>
    </row>
    <row r="54807" spans="18:19">
      <c r="R54807" s="178"/>
      <c r="S54807" s="178"/>
    </row>
    <row r="54808" spans="18:19">
      <c r="R54808" s="178"/>
      <c r="S54808" s="178"/>
    </row>
    <row r="54809" spans="18:19">
      <c r="R54809" s="178"/>
      <c r="S54809" s="178"/>
    </row>
    <row r="54810" spans="18:19">
      <c r="R54810" s="178"/>
      <c r="S54810" s="178"/>
    </row>
    <row r="54811" spans="18:19">
      <c r="R54811" s="178"/>
      <c r="S54811" s="178"/>
    </row>
    <row r="54812" spans="18:19">
      <c r="R54812" s="178"/>
      <c r="S54812" s="178"/>
    </row>
    <row r="54813" spans="18:19">
      <c r="R54813" s="178"/>
      <c r="S54813" s="178"/>
    </row>
    <row r="54814" spans="18:19">
      <c r="R54814" s="178"/>
      <c r="S54814" s="178"/>
    </row>
    <row r="54815" spans="18:19">
      <c r="R54815" s="178"/>
      <c r="S54815" s="178"/>
    </row>
    <row r="54816" spans="18:19">
      <c r="R54816" s="178"/>
      <c r="S54816" s="178"/>
    </row>
    <row r="54817" spans="18:19">
      <c r="R54817" s="178"/>
      <c r="S54817" s="178"/>
    </row>
    <row r="54818" spans="18:19">
      <c r="R54818" s="178"/>
      <c r="S54818" s="178"/>
    </row>
    <row r="54819" spans="18:19">
      <c r="R54819" s="178"/>
      <c r="S54819" s="178"/>
    </row>
    <row r="54820" spans="18:19">
      <c r="R54820" s="178"/>
      <c r="S54820" s="178"/>
    </row>
    <row r="54821" spans="18:19">
      <c r="R54821" s="178"/>
      <c r="S54821" s="178"/>
    </row>
    <row r="54822" spans="18:19">
      <c r="R54822" s="178"/>
      <c r="S54822" s="178"/>
    </row>
    <row r="54823" spans="18:19">
      <c r="R54823" s="178"/>
      <c r="S54823" s="178"/>
    </row>
    <row r="54824" spans="18:19">
      <c r="R54824" s="178"/>
      <c r="S54824" s="178"/>
    </row>
    <row r="54825" spans="18:19">
      <c r="R54825" s="178"/>
      <c r="S54825" s="178"/>
    </row>
    <row r="54826" spans="18:19">
      <c r="R54826" s="178"/>
      <c r="S54826" s="178"/>
    </row>
    <row r="54827" spans="18:19">
      <c r="R54827" s="178"/>
      <c r="S54827" s="178"/>
    </row>
    <row r="54828" spans="18:19">
      <c r="R54828" s="178"/>
      <c r="S54828" s="178"/>
    </row>
    <row r="54829" spans="18:19">
      <c r="R54829" s="178"/>
      <c r="S54829" s="178"/>
    </row>
    <row r="54830" spans="18:19">
      <c r="R54830" s="178"/>
      <c r="S54830" s="178"/>
    </row>
    <row r="54831" spans="18:19">
      <c r="R54831" s="178"/>
      <c r="S54831" s="178"/>
    </row>
    <row r="54832" spans="18:19">
      <c r="R54832" s="178"/>
      <c r="S54832" s="178"/>
    </row>
    <row r="54833" spans="18:19">
      <c r="R54833" s="178"/>
      <c r="S54833" s="178"/>
    </row>
    <row r="54834" spans="18:19">
      <c r="R54834" s="178"/>
      <c r="S54834" s="178"/>
    </row>
    <row r="54835" spans="18:19">
      <c r="R54835" s="178"/>
      <c r="S54835" s="178"/>
    </row>
    <row r="54836" spans="18:19">
      <c r="R54836" s="178"/>
      <c r="S54836" s="178"/>
    </row>
    <row r="54837" spans="18:19">
      <c r="R54837" s="178"/>
      <c r="S54837" s="178"/>
    </row>
    <row r="54838" spans="18:19">
      <c r="R54838" s="178"/>
      <c r="S54838" s="178"/>
    </row>
    <row r="54839" spans="18:19">
      <c r="R54839" s="178"/>
      <c r="S54839" s="178"/>
    </row>
    <row r="54840" spans="18:19">
      <c r="R54840" s="178"/>
      <c r="S54840" s="178"/>
    </row>
    <row r="54841" spans="18:19">
      <c r="R54841" s="178"/>
      <c r="S54841" s="178"/>
    </row>
    <row r="54842" spans="18:19">
      <c r="R54842" s="178"/>
      <c r="S54842" s="178"/>
    </row>
    <row r="54843" spans="18:19">
      <c r="R54843" s="178"/>
      <c r="S54843" s="178"/>
    </row>
    <row r="54844" spans="18:19">
      <c r="R54844" s="178"/>
      <c r="S54844" s="178"/>
    </row>
    <row r="54845" spans="18:19">
      <c r="R54845" s="178"/>
      <c r="S54845" s="178"/>
    </row>
    <row r="54846" spans="18:19">
      <c r="R54846" s="178"/>
      <c r="S54846" s="178"/>
    </row>
    <row r="54847" spans="18:19">
      <c r="R54847" s="178"/>
      <c r="S54847" s="178"/>
    </row>
    <row r="54848" spans="18:19">
      <c r="R54848" s="178"/>
      <c r="S54848" s="178"/>
    </row>
    <row r="54849" spans="18:19">
      <c r="R54849" s="178"/>
      <c r="S54849" s="178"/>
    </row>
    <row r="54850" spans="18:19">
      <c r="R54850" s="178"/>
      <c r="S54850" s="178"/>
    </row>
    <row r="54851" spans="18:19">
      <c r="R54851" s="178"/>
      <c r="S54851" s="178"/>
    </row>
    <row r="54852" spans="18:19">
      <c r="R54852" s="178"/>
      <c r="S54852" s="178"/>
    </row>
    <row r="54853" spans="18:19">
      <c r="R54853" s="178"/>
      <c r="S54853" s="178"/>
    </row>
    <row r="54854" spans="18:19">
      <c r="R54854" s="178"/>
      <c r="S54854" s="178"/>
    </row>
    <row r="54855" spans="18:19">
      <c r="R54855" s="178"/>
      <c r="S54855" s="178"/>
    </row>
    <row r="54856" spans="18:19">
      <c r="R54856" s="178"/>
      <c r="S54856" s="178"/>
    </row>
    <row r="54857" spans="18:19">
      <c r="R54857" s="178"/>
      <c r="S54857" s="178"/>
    </row>
    <row r="54858" spans="18:19">
      <c r="R54858" s="178"/>
      <c r="S54858" s="178"/>
    </row>
    <row r="54859" spans="18:19">
      <c r="R54859" s="178"/>
      <c r="S54859" s="178"/>
    </row>
    <row r="54860" spans="18:19">
      <c r="R54860" s="178"/>
      <c r="S54860" s="178"/>
    </row>
    <row r="54861" spans="18:19">
      <c r="R54861" s="178"/>
      <c r="S54861" s="178"/>
    </row>
    <row r="54862" spans="18:19">
      <c r="R54862" s="178"/>
      <c r="S54862" s="178"/>
    </row>
    <row r="54863" spans="18:19">
      <c r="R54863" s="178"/>
      <c r="S54863" s="178"/>
    </row>
    <row r="54864" spans="18:19">
      <c r="R54864" s="178"/>
      <c r="S54864" s="178"/>
    </row>
    <row r="54865" spans="18:19">
      <c r="R54865" s="178"/>
      <c r="S54865" s="178"/>
    </row>
    <row r="54866" spans="18:19">
      <c r="R54866" s="178"/>
      <c r="S54866" s="178"/>
    </row>
    <row r="54867" spans="18:19">
      <c r="R54867" s="178"/>
      <c r="S54867" s="178"/>
    </row>
    <row r="54868" spans="18:19">
      <c r="R54868" s="178"/>
      <c r="S54868" s="178"/>
    </row>
    <row r="54869" spans="18:19">
      <c r="R54869" s="178"/>
      <c r="S54869" s="178"/>
    </row>
    <row r="54870" spans="18:19">
      <c r="R54870" s="178"/>
      <c r="S54870" s="178"/>
    </row>
    <row r="54871" spans="18:19">
      <c r="R54871" s="178"/>
      <c r="S54871" s="178"/>
    </row>
    <row r="54872" spans="18:19">
      <c r="R54872" s="178"/>
      <c r="S54872" s="178"/>
    </row>
    <row r="54873" spans="18:19">
      <c r="R54873" s="178"/>
      <c r="S54873" s="178"/>
    </row>
    <row r="54874" spans="18:19">
      <c r="R54874" s="178"/>
      <c r="S54874" s="178"/>
    </row>
    <row r="54875" spans="18:19">
      <c r="R54875" s="178"/>
      <c r="S54875" s="178"/>
    </row>
    <row r="54876" spans="18:19">
      <c r="R54876" s="178"/>
      <c r="S54876" s="178"/>
    </row>
    <row r="54877" spans="18:19">
      <c r="R54877" s="178"/>
      <c r="S54877" s="178"/>
    </row>
    <row r="54878" spans="18:19">
      <c r="R54878" s="178"/>
      <c r="S54878" s="178"/>
    </row>
    <row r="54879" spans="18:19">
      <c r="R54879" s="178"/>
      <c r="S54879" s="178"/>
    </row>
    <row r="54880" spans="18:19">
      <c r="R54880" s="178"/>
      <c r="S54880" s="178"/>
    </row>
    <row r="54881" spans="18:19">
      <c r="R54881" s="178"/>
      <c r="S54881" s="178"/>
    </row>
    <row r="54882" spans="18:19">
      <c r="R54882" s="178"/>
      <c r="S54882" s="178"/>
    </row>
    <row r="54883" spans="18:19">
      <c r="R54883" s="178"/>
      <c r="S54883" s="178"/>
    </row>
    <row r="54884" spans="18:19">
      <c r="R54884" s="178"/>
      <c r="S54884" s="178"/>
    </row>
    <row r="54885" spans="18:19">
      <c r="R54885" s="178"/>
      <c r="S54885" s="178"/>
    </row>
    <row r="54886" spans="18:19">
      <c r="R54886" s="178"/>
      <c r="S54886" s="178"/>
    </row>
    <row r="54887" spans="18:19">
      <c r="R54887" s="178"/>
      <c r="S54887" s="178"/>
    </row>
    <row r="54888" spans="18:19">
      <c r="R54888" s="178"/>
      <c r="S54888" s="178"/>
    </row>
    <row r="54889" spans="18:19">
      <c r="R54889" s="178"/>
      <c r="S54889" s="178"/>
    </row>
    <row r="54890" spans="18:19">
      <c r="R54890" s="178"/>
      <c r="S54890" s="178"/>
    </row>
    <row r="54891" spans="18:19">
      <c r="R54891" s="178"/>
      <c r="S54891" s="178"/>
    </row>
    <row r="54892" spans="18:19">
      <c r="R54892" s="178"/>
      <c r="S54892" s="178"/>
    </row>
    <row r="54893" spans="18:19">
      <c r="R54893" s="178"/>
      <c r="S54893" s="178"/>
    </row>
    <row r="54894" spans="18:19">
      <c r="R54894" s="178"/>
      <c r="S54894" s="178"/>
    </row>
    <row r="54895" spans="18:19">
      <c r="R54895" s="178"/>
      <c r="S54895" s="178"/>
    </row>
    <row r="54896" spans="18:19">
      <c r="R54896" s="178"/>
      <c r="S54896" s="178"/>
    </row>
    <row r="54897" spans="18:19">
      <c r="R54897" s="178"/>
      <c r="S54897" s="178"/>
    </row>
    <row r="54898" spans="18:19">
      <c r="R54898" s="178"/>
      <c r="S54898" s="178"/>
    </row>
    <row r="54899" spans="18:19">
      <c r="R54899" s="178"/>
      <c r="S54899" s="178"/>
    </row>
    <row r="54900" spans="18:19">
      <c r="R54900" s="178"/>
      <c r="S54900" s="178"/>
    </row>
    <row r="54901" spans="18:19">
      <c r="R54901" s="178"/>
      <c r="S54901" s="178"/>
    </row>
    <row r="54902" spans="18:19">
      <c r="R54902" s="178"/>
      <c r="S54902" s="178"/>
    </row>
    <row r="54903" spans="18:19">
      <c r="R54903" s="178"/>
      <c r="S54903" s="178"/>
    </row>
    <row r="54904" spans="18:19">
      <c r="R54904" s="178"/>
      <c r="S54904" s="178"/>
    </row>
    <row r="54905" spans="18:19">
      <c r="R54905" s="178"/>
      <c r="S54905" s="178"/>
    </row>
    <row r="54906" spans="18:19">
      <c r="R54906" s="178"/>
      <c r="S54906" s="178"/>
    </row>
    <row r="54907" spans="18:19">
      <c r="R54907" s="178"/>
      <c r="S54907" s="178"/>
    </row>
    <row r="54908" spans="18:19">
      <c r="R54908" s="178"/>
      <c r="S54908" s="178"/>
    </row>
    <row r="54909" spans="18:19">
      <c r="R54909" s="178"/>
      <c r="S54909" s="178"/>
    </row>
    <row r="54910" spans="18:19">
      <c r="R54910" s="178"/>
      <c r="S54910" s="178"/>
    </row>
    <row r="54911" spans="18:19">
      <c r="R54911" s="178"/>
      <c r="S54911" s="178"/>
    </row>
    <row r="54912" spans="18:19">
      <c r="R54912" s="178"/>
      <c r="S54912" s="178"/>
    </row>
    <row r="54913" spans="18:19">
      <c r="R54913" s="178"/>
      <c r="S54913" s="178"/>
    </row>
    <row r="54914" spans="18:19">
      <c r="R54914" s="178"/>
      <c r="S54914" s="178"/>
    </row>
    <row r="54915" spans="18:19">
      <c r="R54915" s="178"/>
      <c r="S54915" s="178"/>
    </row>
    <row r="54916" spans="18:19">
      <c r="R54916" s="178"/>
      <c r="S54916" s="178"/>
    </row>
    <row r="54917" spans="18:19">
      <c r="R54917" s="178"/>
      <c r="S54917" s="178"/>
    </row>
    <row r="54918" spans="18:19">
      <c r="R54918" s="178"/>
      <c r="S54918" s="178"/>
    </row>
    <row r="54919" spans="18:19">
      <c r="R54919" s="178"/>
      <c r="S54919" s="178"/>
    </row>
    <row r="54920" spans="18:19">
      <c r="R54920" s="178"/>
      <c r="S54920" s="178"/>
    </row>
    <row r="54921" spans="18:19">
      <c r="R54921" s="178"/>
      <c r="S54921" s="178"/>
    </row>
    <row r="54922" spans="18:19">
      <c r="R54922" s="178"/>
      <c r="S54922" s="178"/>
    </row>
    <row r="54923" spans="18:19">
      <c r="R54923" s="178"/>
      <c r="S54923" s="178"/>
    </row>
    <row r="54924" spans="18:19">
      <c r="R54924" s="178"/>
      <c r="S54924" s="178"/>
    </row>
    <row r="54925" spans="18:19">
      <c r="R54925" s="178"/>
      <c r="S54925" s="178"/>
    </row>
    <row r="54926" spans="18:19">
      <c r="R54926" s="178"/>
      <c r="S54926" s="178"/>
    </row>
    <row r="54927" spans="18:19">
      <c r="R54927" s="178"/>
      <c r="S54927" s="178"/>
    </row>
    <row r="54928" spans="18:19">
      <c r="R54928" s="178"/>
      <c r="S54928" s="178"/>
    </row>
    <row r="54929" spans="18:19">
      <c r="R54929" s="178"/>
      <c r="S54929" s="178"/>
    </row>
    <row r="54930" spans="18:19">
      <c r="R54930" s="178"/>
      <c r="S54930" s="178"/>
    </row>
    <row r="54931" spans="18:19">
      <c r="R54931" s="178"/>
      <c r="S54931" s="178"/>
    </row>
    <row r="54932" spans="18:19">
      <c r="R54932" s="178"/>
      <c r="S54932" s="178"/>
    </row>
    <row r="54933" spans="18:19">
      <c r="R54933" s="178"/>
      <c r="S54933" s="178"/>
    </row>
    <row r="54934" spans="18:19">
      <c r="R54934" s="178"/>
      <c r="S54934" s="178"/>
    </row>
    <row r="54935" spans="18:19">
      <c r="R54935" s="178"/>
      <c r="S54935" s="178"/>
    </row>
    <row r="54936" spans="18:19">
      <c r="R54936" s="178"/>
      <c r="S54936" s="178"/>
    </row>
    <row r="54937" spans="18:19">
      <c r="R54937" s="178"/>
      <c r="S54937" s="178"/>
    </row>
    <row r="54938" spans="18:19">
      <c r="R54938" s="178"/>
      <c r="S54938" s="178"/>
    </row>
    <row r="54939" spans="18:19">
      <c r="R54939" s="178"/>
      <c r="S54939" s="178"/>
    </row>
    <row r="54940" spans="18:19">
      <c r="R54940" s="178"/>
      <c r="S54940" s="178"/>
    </row>
    <row r="54941" spans="18:19">
      <c r="R54941" s="178"/>
      <c r="S54941" s="178"/>
    </row>
    <row r="54942" spans="18:19">
      <c r="R54942" s="178"/>
      <c r="S54942" s="178"/>
    </row>
    <row r="54943" spans="18:19">
      <c r="R54943" s="178"/>
      <c r="S54943" s="178"/>
    </row>
    <row r="54944" spans="18:19">
      <c r="R54944" s="178"/>
      <c r="S54944" s="178"/>
    </row>
    <row r="54945" spans="18:19">
      <c r="R54945" s="178"/>
      <c r="S54945" s="178"/>
    </row>
    <row r="54946" spans="18:19">
      <c r="R54946" s="178"/>
      <c r="S54946" s="178"/>
    </row>
    <row r="54947" spans="18:19">
      <c r="R54947" s="178"/>
      <c r="S54947" s="178"/>
    </row>
    <row r="54948" spans="18:19">
      <c r="R54948" s="178"/>
      <c r="S54948" s="178"/>
    </row>
    <row r="54949" spans="18:19">
      <c r="R54949" s="178"/>
      <c r="S54949" s="178"/>
    </row>
    <row r="54950" spans="18:19">
      <c r="R54950" s="178"/>
      <c r="S54950" s="178"/>
    </row>
    <row r="54951" spans="18:19">
      <c r="R54951" s="178"/>
      <c r="S54951" s="178"/>
    </row>
    <row r="54952" spans="18:19">
      <c r="R54952" s="178"/>
      <c r="S54952" s="178"/>
    </row>
    <row r="54953" spans="18:19">
      <c r="R54953" s="178"/>
      <c r="S54953" s="178"/>
    </row>
    <row r="54954" spans="18:19">
      <c r="R54954" s="178"/>
      <c r="S54954" s="178"/>
    </row>
    <row r="54955" spans="18:19">
      <c r="R54955" s="178"/>
      <c r="S54955" s="178"/>
    </row>
    <row r="54956" spans="18:19">
      <c r="R54956" s="178"/>
      <c r="S54956" s="178"/>
    </row>
    <row r="54957" spans="18:19">
      <c r="R54957" s="178"/>
      <c r="S54957" s="178"/>
    </row>
    <row r="54958" spans="18:19">
      <c r="R54958" s="178"/>
      <c r="S54958" s="178"/>
    </row>
    <row r="54959" spans="18:19">
      <c r="R54959" s="178"/>
      <c r="S54959" s="178"/>
    </row>
    <row r="54960" spans="18:19">
      <c r="R54960" s="178"/>
      <c r="S54960" s="178"/>
    </row>
    <row r="54961" spans="18:19">
      <c r="R54961" s="178"/>
      <c r="S54961" s="178"/>
    </row>
    <row r="54962" spans="18:19">
      <c r="R54962" s="178"/>
      <c r="S54962" s="178"/>
    </row>
    <row r="54963" spans="18:19">
      <c r="R54963" s="178"/>
      <c r="S54963" s="178"/>
    </row>
    <row r="54964" spans="18:19">
      <c r="R54964" s="178"/>
      <c r="S54964" s="178"/>
    </row>
    <row r="54965" spans="18:19">
      <c r="R54965" s="178"/>
      <c r="S54965" s="178"/>
    </row>
    <row r="54966" spans="18:19">
      <c r="R54966" s="178"/>
      <c r="S54966" s="178"/>
    </row>
    <row r="54967" spans="18:19">
      <c r="R54967" s="178"/>
      <c r="S54967" s="178"/>
    </row>
    <row r="54968" spans="18:19">
      <c r="R54968" s="178"/>
      <c r="S54968" s="178"/>
    </row>
    <row r="54969" spans="18:19">
      <c r="R54969" s="178"/>
      <c r="S54969" s="178"/>
    </row>
    <row r="54970" spans="18:19">
      <c r="R54970" s="178"/>
      <c r="S54970" s="178"/>
    </row>
    <row r="54971" spans="18:19">
      <c r="R54971" s="178"/>
      <c r="S54971" s="178"/>
    </row>
    <row r="54972" spans="18:19">
      <c r="R54972" s="178"/>
      <c r="S54972" s="178"/>
    </row>
    <row r="54973" spans="18:19">
      <c r="R54973" s="178"/>
      <c r="S54973" s="178"/>
    </row>
    <row r="54974" spans="18:19">
      <c r="R54974" s="178"/>
      <c r="S54974" s="178"/>
    </row>
    <row r="54975" spans="18:19">
      <c r="R54975" s="178"/>
      <c r="S54975" s="178"/>
    </row>
    <row r="54976" spans="18:19">
      <c r="R54976" s="178"/>
      <c r="S54976" s="178"/>
    </row>
    <row r="54977" spans="18:19">
      <c r="R54977" s="178"/>
      <c r="S54977" s="178"/>
    </row>
    <row r="54978" spans="18:19">
      <c r="R54978" s="178"/>
      <c r="S54978" s="178"/>
    </row>
    <row r="54979" spans="18:19">
      <c r="R54979" s="178"/>
      <c r="S54979" s="178"/>
    </row>
    <row r="54980" spans="18:19">
      <c r="R54980" s="178"/>
      <c r="S54980" s="178"/>
    </row>
    <row r="54981" spans="18:19">
      <c r="R54981" s="178"/>
      <c r="S54981" s="178"/>
    </row>
    <row r="54982" spans="18:19">
      <c r="R54982" s="178"/>
      <c r="S54982" s="178"/>
    </row>
    <row r="54983" spans="18:19">
      <c r="R54983" s="178"/>
      <c r="S54983" s="178"/>
    </row>
    <row r="54984" spans="18:19">
      <c r="R54984" s="178"/>
      <c r="S54984" s="178"/>
    </row>
    <row r="54985" spans="18:19">
      <c r="R54985" s="178"/>
      <c r="S54985" s="178"/>
    </row>
    <row r="54986" spans="18:19">
      <c r="R54986" s="178"/>
      <c r="S54986" s="178"/>
    </row>
    <row r="54987" spans="18:19">
      <c r="R54987" s="178"/>
      <c r="S54987" s="178"/>
    </row>
    <row r="54988" spans="18:19">
      <c r="R54988" s="178"/>
      <c r="S54988" s="178"/>
    </row>
    <row r="54989" spans="18:19">
      <c r="R54989" s="178"/>
      <c r="S54989" s="178"/>
    </row>
    <row r="54990" spans="18:19">
      <c r="R54990" s="178"/>
      <c r="S54990" s="178"/>
    </row>
    <row r="54991" spans="18:19">
      <c r="R54991" s="178"/>
      <c r="S54991" s="178"/>
    </row>
    <row r="54992" spans="18:19">
      <c r="R54992" s="178"/>
      <c r="S54992" s="178"/>
    </row>
    <row r="54993" spans="18:19">
      <c r="R54993" s="178"/>
      <c r="S54993" s="178"/>
    </row>
    <row r="54994" spans="18:19">
      <c r="R54994" s="178"/>
      <c r="S54994" s="178"/>
    </row>
    <row r="54995" spans="18:19">
      <c r="R54995" s="178"/>
      <c r="S54995" s="178"/>
    </row>
    <row r="54996" spans="18:19">
      <c r="R54996" s="178"/>
      <c r="S54996" s="178"/>
    </row>
    <row r="54997" spans="18:19">
      <c r="R54997" s="178"/>
      <c r="S54997" s="178"/>
    </row>
    <row r="54998" spans="18:19">
      <c r="R54998" s="178"/>
      <c r="S54998" s="178"/>
    </row>
    <row r="54999" spans="18:19">
      <c r="R54999" s="178"/>
      <c r="S54999" s="178"/>
    </row>
    <row r="55000" spans="18:19">
      <c r="R55000" s="178"/>
      <c r="S55000" s="178"/>
    </row>
    <row r="55001" spans="18:19">
      <c r="R55001" s="178"/>
      <c r="S55001" s="178"/>
    </row>
    <row r="55002" spans="18:19">
      <c r="R55002" s="178"/>
      <c r="S55002" s="178"/>
    </row>
    <row r="55003" spans="18:19">
      <c r="R55003" s="178"/>
      <c r="S55003" s="178"/>
    </row>
    <row r="55004" spans="18:19">
      <c r="R55004" s="178"/>
      <c r="S55004" s="178"/>
    </row>
    <row r="55005" spans="18:19">
      <c r="R55005" s="178"/>
      <c r="S55005" s="178"/>
    </row>
    <row r="55006" spans="18:19">
      <c r="R55006" s="178"/>
      <c r="S55006" s="178"/>
    </row>
    <row r="55007" spans="18:19">
      <c r="R55007" s="178"/>
      <c r="S55007" s="178"/>
    </row>
    <row r="55008" spans="18:19">
      <c r="R55008" s="178"/>
      <c r="S55008" s="178"/>
    </row>
    <row r="55009" spans="18:19">
      <c r="R55009" s="178"/>
      <c r="S55009" s="178"/>
    </row>
    <row r="55010" spans="18:19">
      <c r="R55010" s="178"/>
      <c r="S55010" s="178"/>
    </row>
    <row r="55011" spans="18:19">
      <c r="R55011" s="178"/>
      <c r="S55011" s="178"/>
    </row>
    <row r="55012" spans="18:19">
      <c r="R55012" s="178"/>
      <c r="S55012" s="178"/>
    </row>
    <row r="55013" spans="18:19">
      <c r="R55013" s="178"/>
      <c r="S55013" s="178"/>
    </row>
    <row r="55014" spans="18:19">
      <c r="R55014" s="178"/>
      <c r="S55014" s="178"/>
    </row>
    <row r="55015" spans="18:19">
      <c r="R55015" s="178"/>
      <c r="S55015" s="178"/>
    </row>
    <row r="55016" spans="18:19">
      <c r="R55016" s="178"/>
      <c r="S55016" s="178"/>
    </row>
    <row r="55017" spans="18:19">
      <c r="R55017" s="178"/>
      <c r="S55017" s="178"/>
    </row>
    <row r="55018" spans="18:19">
      <c r="R55018" s="178"/>
      <c r="S55018" s="178"/>
    </row>
    <row r="55019" spans="18:19">
      <c r="R55019" s="178"/>
      <c r="S55019" s="178"/>
    </row>
    <row r="55020" spans="18:19">
      <c r="R55020" s="178"/>
      <c r="S55020" s="178"/>
    </row>
    <row r="55021" spans="18:19">
      <c r="R55021" s="178"/>
      <c r="S55021" s="178"/>
    </row>
    <row r="55022" spans="18:19">
      <c r="R55022" s="178"/>
      <c r="S55022" s="178"/>
    </row>
    <row r="55023" spans="18:19">
      <c r="R55023" s="178"/>
      <c r="S55023" s="178"/>
    </row>
    <row r="55024" spans="18:19">
      <c r="R55024" s="178"/>
      <c r="S55024" s="178"/>
    </row>
    <row r="55025" spans="18:19">
      <c r="R55025" s="178"/>
      <c r="S55025" s="178"/>
    </row>
    <row r="55026" spans="18:19">
      <c r="R55026" s="178"/>
      <c r="S55026" s="178"/>
    </row>
    <row r="55027" spans="18:19">
      <c r="R55027" s="178"/>
      <c r="S55027" s="178"/>
    </row>
    <row r="55028" spans="18:19">
      <c r="R55028" s="178"/>
      <c r="S55028" s="178"/>
    </row>
    <row r="55029" spans="18:19">
      <c r="R55029" s="178"/>
      <c r="S55029" s="178"/>
    </row>
    <row r="55030" spans="18:19">
      <c r="R55030" s="178"/>
      <c r="S55030" s="178"/>
    </row>
    <row r="55031" spans="18:19">
      <c r="R55031" s="178"/>
      <c r="S55031" s="178"/>
    </row>
    <row r="55032" spans="18:19">
      <c r="R55032" s="178"/>
      <c r="S55032" s="178"/>
    </row>
    <row r="55033" spans="18:19">
      <c r="R55033" s="178"/>
      <c r="S55033" s="178"/>
    </row>
    <row r="55034" spans="18:19">
      <c r="R55034" s="178"/>
      <c r="S55034" s="178"/>
    </row>
    <row r="55035" spans="18:19">
      <c r="R55035" s="178"/>
      <c r="S55035" s="178"/>
    </row>
    <row r="55036" spans="18:19">
      <c r="R55036" s="178"/>
      <c r="S55036" s="178"/>
    </row>
    <row r="55037" spans="18:19">
      <c r="R55037" s="178"/>
      <c r="S55037" s="178"/>
    </row>
    <row r="55038" spans="18:19">
      <c r="R55038" s="178"/>
      <c r="S55038" s="178"/>
    </row>
    <row r="55039" spans="18:19">
      <c r="R55039" s="178"/>
      <c r="S55039" s="178"/>
    </row>
    <row r="55040" spans="18:19">
      <c r="R55040" s="178"/>
      <c r="S55040" s="178"/>
    </row>
    <row r="55041" spans="18:19">
      <c r="R55041" s="178"/>
      <c r="S55041" s="178"/>
    </row>
    <row r="55042" spans="18:19">
      <c r="R55042" s="178"/>
      <c r="S55042" s="178"/>
    </row>
    <row r="55043" spans="18:19">
      <c r="R55043" s="178"/>
      <c r="S55043" s="178"/>
    </row>
    <row r="55044" spans="18:19">
      <c r="R55044" s="178"/>
      <c r="S55044" s="178"/>
    </row>
    <row r="55045" spans="18:19">
      <c r="R55045" s="178"/>
      <c r="S55045" s="178"/>
    </row>
    <row r="55046" spans="18:19">
      <c r="R55046" s="178"/>
      <c r="S55046" s="178"/>
    </row>
    <row r="55047" spans="18:19">
      <c r="R55047" s="178"/>
      <c r="S55047" s="178"/>
    </row>
    <row r="55048" spans="18:19">
      <c r="R55048" s="178"/>
      <c r="S55048" s="178"/>
    </row>
    <row r="55049" spans="18:19">
      <c r="R55049" s="178"/>
      <c r="S55049" s="178"/>
    </row>
    <row r="55050" spans="18:19">
      <c r="R55050" s="178"/>
      <c r="S55050" s="178"/>
    </row>
    <row r="55051" spans="18:19">
      <c r="R55051" s="178"/>
      <c r="S55051" s="178"/>
    </row>
    <row r="55052" spans="18:19">
      <c r="R55052" s="178"/>
      <c r="S55052" s="178"/>
    </row>
    <row r="55053" spans="18:19">
      <c r="R55053" s="178"/>
      <c r="S55053" s="178"/>
    </row>
    <row r="55054" spans="18:19">
      <c r="R55054" s="178"/>
      <c r="S55054" s="178"/>
    </row>
    <row r="55055" spans="18:19">
      <c r="R55055" s="178"/>
      <c r="S55055" s="178"/>
    </row>
    <row r="55056" spans="18:19">
      <c r="R55056" s="178"/>
      <c r="S55056" s="178"/>
    </row>
    <row r="55057" spans="18:19">
      <c r="R55057" s="178"/>
      <c r="S55057" s="178"/>
    </row>
    <row r="55058" spans="18:19">
      <c r="R55058" s="178"/>
      <c r="S55058" s="178"/>
    </row>
    <row r="55059" spans="18:19">
      <c r="R55059" s="178"/>
      <c r="S55059" s="178"/>
    </row>
    <row r="55060" spans="18:19">
      <c r="R55060" s="178"/>
      <c r="S55060" s="178"/>
    </row>
    <row r="55061" spans="18:19">
      <c r="R55061" s="178"/>
      <c r="S55061" s="178"/>
    </row>
    <row r="55062" spans="18:19">
      <c r="R55062" s="178"/>
      <c r="S55062" s="178"/>
    </row>
    <row r="55063" spans="18:19">
      <c r="R55063" s="178"/>
      <c r="S55063" s="178"/>
    </row>
    <row r="55064" spans="18:19">
      <c r="R55064" s="178"/>
      <c r="S55064" s="178"/>
    </row>
    <row r="55065" spans="18:19">
      <c r="R55065" s="178"/>
      <c r="S55065" s="178"/>
    </row>
    <row r="55066" spans="18:19">
      <c r="R55066" s="178"/>
      <c r="S55066" s="178"/>
    </row>
    <row r="55067" spans="18:19">
      <c r="R55067" s="178"/>
      <c r="S55067" s="178"/>
    </row>
    <row r="55068" spans="18:19">
      <c r="R55068" s="178"/>
      <c r="S55068" s="178"/>
    </row>
    <row r="55069" spans="18:19">
      <c r="R55069" s="178"/>
      <c r="S55069" s="178"/>
    </row>
    <row r="55070" spans="18:19">
      <c r="R55070" s="178"/>
      <c r="S55070" s="178"/>
    </row>
    <row r="55071" spans="18:19">
      <c r="R55071" s="178"/>
      <c r="S55071" s="178"/>
    </row>
    <row r="55072" spans="18:19">
      <c r="R55072" s="178"/>
      <c r="S55072" s="178"/>
    </row>
    <row r="55073" spans="18:19">
      <c r="R55073" s="178"/>
      <c r="S55073" s="178"/>
    </row>
    <row r="55074" spans="18:19">
      <c r="R55074" s="178"/>
      <c r="S55074" s="178"/>
    </row>
    <row r="55075" spans="18:19">
      <c r="R55075" s="178"/>
      <c r="S55075" s="178"/>
    </row>
    <row r="55076" spans="18:19">
      <c r="R55076" s="178"/>
      <c r="S55076" s="178"/>
    </row>
    <row r="55077" spans="18:19">
      <c r="R55077" s="178"/>
      <c r="S55077" s="178"/>
    </row>
    <row r="55078" spans="18:19">
      <c r="R55078" s="178"/>
      <c r="S55078" s="178"/>
    </row>
    <row r="55079" spans="18:19">
      <c r="R55079" s="178"/>
      <c r="S55079" s="178"/>
    </row>
    <row r="55080" spans="18:19">
      <c r="R55080" s="178"/>
      <c r="S55080" s="178"/>
    </row>
    <row r="55081" spans="18:19">
      <c r="R55081" s="178"/>
      <c r="S55081" s="178"/>
    </row>
    <row r="55082" spans="18:19">
      <c r="R55082" s="178"/>
      <c r="S55082" s="178"/>
    </row>
    <row r="55083" spans="18:19">
      <c r="R55083" s="178"/>
      <c r="S55083" s="178"/>
    </row>
    <row r="55084" spans="18:19">
      <c r="R55084" s="178"/>
      <c r="S55084" s="178"/>
    </row>
    <row r="55085" spans="18:19">
      <c r="R55085" s="178"/>
      <c r="S55085" s="178"/>
    </row>
    <row r="55086" spans="18:19">
      <c r="R55086" s="178"/>
      <c r="S55086" s="178"/>
    </row>
    <row r="55087" spans="18:19">
      <c r="R55087" s="178"/>
      <c r="S55087" s="178"/>
    </row>
    <row r="55088" spans="18:19">
      <c r="R55088" s="178"/>
      <c r="S55088" s="178"/>
    </row>
    <row r="55089" spans="18:19">
      <c r="R55089" s="178"/>
      <c r="S55089" s="178"/>
    </row>
    <row r="55090" spans="18:19">
      <c r="R55090" s="178"/>
      <c r="S55090" s="178"/>
    </row>
    <row r="55091" spans="18:19">
      <c r="R55091" s="178"/>
      <c r="S55091" s="178"/>
    </row>
    <row r="55092" spans="18:19">
      <c r="R55092" s="178"/>
      <c r="S55092" s="178"/>
    </row>
    <row r="55093" spans="18:19">
      <c r="R55093" s="178"/>
      <c r="S55093" s="178"/>
    </row>
    <row r="55094" spans="18:19">
      <c r="R55094" s="178"/>
      <c r="S55094" s="178"/>
    </row>
    <row r="55095" spans="18:19">
      <c r="R55095" s="178"/>
      <c r="S55095" s="178"/>
    </row>
    <row r="55096" spans="18:19">
      <c r="R55096" s="178"/>
      <c r="S55096" s="178"/>
    </row>
    <row r="55097" spans="18:19">
      <c r="R55097" s="178"/>
      <c r="S55097" s="178"/>
    </row>
    <row r="55098" spans="18:19">
      <c r="R55098" s="178"/>
      <c r="S55098" s="178"/>
    </row>
    <row r="55099" spans="18:19">
      <c r="R55099" s="178"/>
      <c r="S55099" s="178"/>
    </row>
    <row r="55100" spans="18:19">
      <c r="R55100" s="178"/>
      <c r="S55100" s="178"/>
    </row>
    <row r="55101" spans="18:19">
      <c r="R55101" s="178"/>
      <c r="S55101" s="178"/>
    </row>
    <row r="55102" spans="18:19">
      <c r="R55102" s="178"/>
      <c r="S55102" s="178"/>
    </row>
    <row r="55103" spans="18:19">
      <c r="R55103" s="178"/>
      <c r="S55103" s="178"/>
    </row>
    <row r="55104" spans="18:19">
      <c r="R55104" s="178"/>
      <c r="S55104" s="178"/>
    </row>
    <row r="55105" spans="18:19">
      <c r="R55105" s="178"/>
      <c r="S55105" s="178"/>
    </row>
    <row r="55106" spans="18:19">
      <c r="R55106" s="178"/>
      <c r="S55106" s="178"/>
    </row>
    <row r="55107" spans="18:19">
      <c r="R55107" s="178"/>
      <c r="S55107" s="178"/>
    </row>
    <row r="55108" spans="18:19">
      <c r="R55108" s="178"/>
      <c r="S55108" s="178"/>
    </row>
    <row r="55109" spans="18:19">
      <c r="R55109" s="178"/>
      <c r="S55109" s="178"/>
    </row>
    <row r="55110" spans="18:19">
      <c r="R55110" s="178"/>
      <c r="S55110" s="178"/>
    </row>
    <row r="55111" spans="18:19">
      <c r="R55111" s="178"/>
      <c r="S55111" s="178"/>
    </row>
    <row r="55112" spans="18:19">
      <c r="R55112" s="178"/>
      <c r="S55112" s="178"/>
    </row>
    <row r="55113" spans="18:19">
      <c r="R55113" s="178"/>
      <c r="S55113" s="178"/>
    </row>
    <row r="55114" spans="18:19">
      <c r="R55114" s="178"/>
      <c r="S55114" s="178"/>
    </row>
    <row r="55115" spans="18:19">
      <c r="R55115" s="178"/>
      <c r="S55115" s="178"/>
    </row>
    <row r="55116" spans="18:19">
      <c r="R55116" s="178"/>
      <c r="S55116" s="178"/>
    </row>
    <row r="55117" spans="18:19">
      <c r="R55117" s="178"/>
      <c r="S55117" s="178"/>
    </row>
    <row r="55118" spans="18:19">
      <c r="R55118" s="178"/>
      <c r="S55118" s="178"/>
    </row>
    <row r="55119" spans="18:19">
      <c r="R55119" s="178"/>
      <c r="S55119" s="178"/>
    </row>
    <row r="55120" spans="18:19">
      <c r="R55120" s="178"/>
      <c r="S55120" s="178"/>
    </row>
    <row r="55121" spans="18:19">
      <c r="R55121" s="178"/>
      <c r="S55121" s="178"/>
    </row>
    <row r="55122" spans="18:19">
      <c r="R55122" s="178"/>
      <c r="S55122" s="178"/>
    </row>
    <row r="55123" spans="18:19">
      <c r="R55123" s="178"/>
      <c r="S55123" s="178"/>
    </row>
    <row r="55124" spans="18:19">
      <c r="R55124" s="178"/>
      <c r="S55124" s="178"/>
    </row>
    <row r="55125" spans="18:19">
      <c r="R55125" s="178"/>
      <c r="S55125" s="178"/>
    </row>
    <row r="55126" spans="18:19">
      <c r="R55126" s="178"/>
      <c r="S55126" s="178"/>
    </row>
    <row r="55127" spans="18:19">
      <c r="R55127" s="178"/>
      <c r="S55127" s="178"/>
    </row>
    <row r="55128" spans="18:19">
      <c r="R55128" s="178"/>
      <c r="S55128" s="178"/>
    </row>
    <row r="55129" spans="18:19">
      <c r="R55129" s="178"/>
      <c r="S55129" s="178"/>
    </row>
    <row r="55130" spans="18:19">
      <c r="R55130" s="178"/>
      <c r="S55130" s="178"/>
    </row>
    <row r="55131" spans="18:19">
      <c r="R55131" s="178"/>
      <c r="S55131" s="178"/>
    </row>
    <row r="55132" spans="18:19">
      <c r="R55132" s="178"/>
      <c r="S55132" s="178"/>
    </row>
    <row r="55133" spans="18:19">
      <c r="R55133" s="178"/>
      <c r="S55133" s="178"/>
    </row>
    <row r="55134" spans="18:19">
      <c r="R55134" s="178"/>
      <c r="S55134" s="178"/>
    </row>
    <row r="55135" spans="18:19">
      <c r="R55135" s="178"/>
      <c r="S55135" s="178"/>
    </row>
    <row r="55136" spans="18:19">
      <c r="R55136" s="178"/>
      <c r="S55136" s="178"/>
    </row>
    <row r="55137" spans="18:19">
      <c r="R55137" s="178"/>
      <c r="S55137" s="178"/>
    </row>
    <row r="55138" spans="18:19">
      <c r="R55138" s="178"/>
      <c r="S55138" s="178"/>
    </row>
    <row r="55139" spans="18:19">
      <c r="R55139" s="178"/>
      <c r="S55139" s="178"/>
    </row>
    <row r="55140" spans="18:19">
      <c r="R55140" s="178"/>
      <c r="S55140" s="178"/>
    </row>
    <row r="55141" spans="18:19">
      <c r="R55141" s="178"/>
      <c r="S55141" s="178"/>
    </row>
    <row r="55142" spans="18:19">
      <c r="R55142" s="178"/>
      <c r="S55142" s="178"/>
    </row>
    <row r="55143" spans="18:19">
      <c r="R55143" s="178"/>
      <c r="S55143" s="178"/>
    </row>
    <row r="55144" spans="18:19">
      <c r="R55144" s="178"/>
      <c r="S55144" s="178"/>
    </row>
    <row r="55145" spans="18:19">
      <c r="R55145" s="178"/>
      <c r="S55145" s="178"/>
    </row>
    <row r="55146" spans="18:19">
      <c r="R55146" s="178"/>
      <c r="S55146" s="178"/>
    </row>
    <row r="55147" spans="18:19">
      <c r="R55147" s="178"/>
      <c r="S55147" s="178"/>
    </row>
    <row r="55148" spans="18:19">
      <c r="R55148" s="178"/>
      <c r="S55148" s="178"/>
    </row>
    <row r="55149" spans="18:19">
      <c r="R55149" s="178"/>
      <c r="S55149" s="178"/>
    </row>
    <row r="55150" spans="18:19">
      <c r="R55150" s="178"/>
      <c r="S55150" s="178"/>
    </row>
    <row r="55151" spans="18:19">
      <c r="R55151" s="178"/>
      <c r="S55151" s="178"/>
    </row>
    <row r="55152" spans="18:19">
      <c r="R55152" s="178"/>
      <c r="S55152" s="178"/>
    </row>
    <row r="55153" spans="18:19">
      <c r="R55153" s="178"/>
      <c r="S55153" s="178"/>
    </row>
    <row r="55154" spans="18:19">
      <c r="R55154" s="178"/>
      <c r="S55154" s="178"/>
    </row>
    <row r="55155" spans="18:19">
      <c r="R55155" s="178"/>
      <c r="S55155" s="178"/>
    </row>
    <row r="55156" spans="18:19">
      <c r="R55156" s="178"/>
      <c r="S55156" s="178"/>
    </row>
    <row r="55157" spans="18:19">
      <c r="R55157" s="178"/>
      <c r="S55157" s="178"/>
    </row>
    <row r="55158" spans="18:19">
      <c r="R55158" s="178"/>
      <c r="S55158" s="178"/>
    </row>
    <row r="55159" spans="18:19">
      <c r="R55159" s="178"/>
      <c r="S55159" s="178"/>
    </row>
    <row r="55160" spans="18:19">
      <c r="R55160" s="178"/>
      <c r="S55160" s="178"/>
    </row>
    <row r="55161" spans="18:19">
      <c r="R55161" s="178"/>
      <c r="S55161" s="178"/>
    </row>
    <row r="55162" spans="18:19">
      <c r="R55162" s="178"/>
      <c r="S55162" s="178"/>
    </row>
    <row r="55163" spans="18:19">
      <c r="R55163" s="178"/>
      <c r="S55163" s="178"/>
    </row>
    <row r="55164" spans="18:19">
      <c r="R55164" s="178"/>
      <c r="S55164" s="178"/>
    </row>
    <row r="55165" spans="18:19">
      <c r="R55165" s="178"/>
      <c r="S55165" s="178"/>
    </row>
    <row r="55166" spans="18:19">
      <c r="R55166" s="178"/>
      <c r="S55166" s="178"/>
    </row>
    <row r="55167" spans="18:19">
      <c r="R55167" s="178"/>
      <c r="S55167" s="178"/>
    </row>
    <row r="55168" spans="18:19">
      <c r="R55168" s="178"/>
      <c r="S55168" s="178"/>
    </row>
    <row r="55169" spans="18:19">
      <c r="R55169" s="178"/>
      <c r="S55169" s="178"/>
    </row>
    <row r="55170" spans="18:19">
      <c r="R55170" s="178"/>
      <c r="S55170" s="178"/>
    </row>
    <row r="55171" spans="18:19">
      <c r="R55171" s="178"/>
      <c r="S55171" s="178"/>
    </row>
    <row r="55172" spans="18:19">
      <c r="R55172" s="178"/>
      <c r="S55172" s="178"/>
    </row>
    <row r="55173" spans="18:19">
      <c r="R55173" s="178"/>
      <c r="S55173" s="178"/>
    </row>
    <row r="55174" spans="18:19">
      <c r="R55174" s="178"/>
      <c r="S55174" s="178"/>
    </row>
    <row r="55175" spans="18:19">
      <c r="R55175" s="178"/>
      <c r="S55175" s="178"/>
    </row>
    <row r="55176" spans="18:19">
      <c r="R55176" s="178"/>
      <c r="S55176" s="178"/>
    </row>
    <row r="55177" spans="18:19">
      <c r="R55177" s="178"/>
      <c r="S55177" s="178"/>
    </row>
    <row r="55178" spans="18:19">
      <c r="R55178" s="178"/>
      <c r="S55178" s="178"/>
    </row>
    <row r="55179" spans="18:19">
      <c r="R55179" s="178"/>
      <c r="S55179" s="178"/>
    </row>
    <row r="55180" spans="18:19">
      <c r="R55180" s="178"/>
      <c r="S55180" s="178"/>
    </row>
    <row r="55181" spans="18:19">
      <c r="R55181" s="178"/>
      <c r="S55181" s="178"/>
    </row>
    <row r="55182" spans="18:19">
      <c r="R55182" s="178"/>
      <c r="S55182" s="178"/>
    </row>
    <row r="55183" spans="18:19">
      <c r="R55183" s="178"/>
      <c r="S55183" s="178"/>
    </row>
    <row r="55184" spans="18:19">
      <c r="R55184" s="178"/>
      <c r="S55184" s="178"/>
    </row>
    <row r="55185" spans="18:19">
      <c r="R55185" s="178"/>
      <c r="S55185" s="178"/>
    </row>
    <row r="55186" spans="18:19">
      <c r="R55186" s="178"/>
      <c r="S55186" s="178"/>
    </row>
    <row r="55187" spans="18:19">
      <c r="R55187" s="178"/>
      <c r="S55187" s="178"/>
    </row>
    <row r="55188" spans="18:19">
      <c r="R55188" s="178"/>
      <c r="S55188" s="178"/>
    </row>
    <row r="55189" spans="18:19">
      <c r="R55189" s="178"/>
      <c r="S55189" s="178"/>
    </row>
    <row r="55190" spans="18:19">
      <c r="R55190" s="178"/>
      <c r="S55190" s="178"/>
    </row>
    <row r="55191" spans="18:19">
      <c r="R55191" s="178"/>
      <c r="S55191" s="178"/>
    </row>
    <row r="55192" spans="18:19">
      <c r="R55192" s="178"/>
      <c r="S55192" s="178"/>
    </row>
    <row r="55193" spans="18:19">
      <c r="R55193" s="178"/>
      <c r="S55193" s="178"/>
    </row>
    <row r="55194" spans="18:19">
      <c r="R55194" s="178"/>
      <c r="S55194" s="178"/>
    </row>
    <row r="55195" spans="18:19">
      <c r="R55195" s="178"/>
      <c r="S55195" s="178"/>
    </row>
    <row r="55196" spans="18:19">
      <c r="R55196" s="178"/>
      <c r="S55196" s="178"/>
    </row>
    <row r="55197" spans="18:19">
      <c r="R55197" s="178"/>
      <c r="S55197" s="178"/>
    </row>
    <row r="55198" spans="18:19">
      <c r="R55198" s="178"/>
      <c r="S55198" s="178"/>
    </row>
    <row r="55199" spans="18:19">
      <c r="R55199" s="178"/>
      <c r="S55199" s="178"/>
    </row>
    <row r="55200" spans="18:19">
      <c r="R55200" s="178"/>
      <c r="S55200" s="178"/>
    </row>
    <row r="55201" spans="18:19">
      <c r="R55201" s="178"/>
      <c r="S55201" s="178"/>
    </row>
    <row r="55202" spans="18:19">
      <c r="R55202" s="178"/>
      <c r="S55202" s="178"/>
    </row>
    <row r="55203" spans="18:19">
      <c r="R55203" s="178"/>
      <c r="S55203" s="178"/>
    </row>
    <row r="55204" spans="18:19">
      <c r="R55204" s="178"/>
      <c r="S55204" s="178"/>
    </row>
    <row r="55205" spans="18:19">
      <c r="R55205" s="178"/>
      <c r="S55205" s="178"/>
    </row>
    <row r="55206" spans="18:19">
      <c r="R55206" s="178"/>
      <c r="S55206" s="178"/>
    </row>
    <row r="55207" spans="18:19">
      <c r="R55207" s="178"/>
      <c r="S55207" s="178"/>
    </row>
    <row r="55208" spans="18:19">
      <c r="R55208" s="178"/>
      <c r="S55208" s="178"/>
    </row>
    <row r="55209" spans="18:19">
      <c r="R55209" s="178"/>
      <c r="S55209" s="178"/>
    </row>
    <row r="55210" spans="18:19">
      <c r="R55210" s="178"/>
      <c r="S55210" s="178"/>
    </row>
    <row r="55211" spans="18:19">
      <c r="R55211" s="178"/>
      <c r="S55211" s="178"/>
    </row>
    <row r="55212" spans="18:19">
      <c r="R55212" s="178"/>
      <c r="S55212" s="178"/>
    </row>
    <row r="55213" spans="18:19">
      <c r="R55213" s="178"/>
      <c r="S55213" s="178"/>
    </row>
    <row r="55214" spans="18:19">
      <c r="R55214" s="178"/>
      <c r="S55214" s="178"/>
    </row>
    <row r="55215" spans="18:19">
      <c r="R55215" s="178"/>
      <c r="S55215" s="178"/>
    </row>
    <row r="55216" spans="18:19">
      <c r="R55216" s="178"/>
      <c r="S55216" s="178"/>
    </row>
    <row r="55217" spans="18:19">
      <c r="R55217" s="178"/>
      <c r="S55217" s="178"/>
    </row>
    <row r="55218" spans="18:19">
      <c r="R55218" s="178"/>
      <c r="S55218" s="178"/>
    </row>
    <row r="55219" spans="18:19">
      <c r="R55219" s="178"/>
      <c r="S55219" s="178"/>
    </row>
    <row r="55220" spans="18:19">
      <c r="R55220" s="178"/>
      <c r="S55220" s="178"/>
    </row>
    <row r="55221" spans="18:19">
      <c r="R55221" s="178"/>
      <c r="S55221" s="178"/>
    </row>
    <row r="55222" spans="18:19">
      <c r="R55222" s="178"/>
      <c r="S55222" s="178"/>
    </row>
    <row r="55223" spans="18:19">
      <c r="R55223" s="178"/>
      <c r="S55223" s="178"/>
    </row>
    <row r="55224" spans="18:19">
      <c r="R55224" s="178"/>
      <c r="S55224" s="178"/>
    </row>
    <row r="55225" spans="18:19">
      <c r="R55225" s="178"/>
      <c r="S55225" s="178"/>
    </row>
    <row r="55226" spans="18:19">
      <c r="R55226" s="178"/>
      <c r="S55226" s="178"/>
    </row>
    <row r="55227" spans="18:19">
      <c r="R55227" s="178"/>
      <c r="S55227" s="178"/>
    </row>
    <row r="55228" spans="18:19">
      <c r="R55228" s="178"/>
      <c r="S55228" s="178"/>
    </row>
    <row r="55229" spans="18:19">
      <c r="R55229" s="178"/>
      <c r="S55229" s="178"/>
    </row>
    <row r="55230" spans="18:19">
      <c r="R55230" s="178"/>
      <c r="S55230" s="178"/>
    </row>
    <row r="55231" spans="18:19">
      <c r="R55231" s="178"/>
      <c r="S55231" s="178"/>
    </row>
    <row r="55232" spans="18:19">
      <c r="R55232" s="178"/>
      <c r="S55232" s="178"/>
    </row>
    <row r="55233" spans="18:19">
      <c r="R55233" s="178"/>
      <c r="S55233" s="178"/>
    </row>
    <row r="55234" spans="18:19">
      <c r="R55234" s="178"/>
      <c r="S55234" s="178"/>
    </row>
    <row r="55235" spans="18:19">
      <c r="R55235" s="178"/>
      <c r="S55235" s="178"/>
    </row>
    <row r="55236" spans="18:19">
      <c r="R55236" s="178"/>
      <c r="S55236" s="178"/>
    </row>
    <row r="55237" spans="18:19">
      <c r="R55237" s="178"/>
      <c r="S55237" s="178"/>
    </row>
    <row r="55238" spans="18:19">
      <c r="R55238" s="178"/>
      <c r="S55238" s="178"/>
    </row>
    <row r="55239" spans="18:19">
      <c r="R55239" s="178"/>
      <c r="S55239" s="178"/>
    </row>
    <row r="55240" spans="18:19">
      <c r="R55240" s="178"/>
      <c r="S55240" s="178"/>
    </row>
    <row r="55241" spans="18:19">
      <c r="R55241" s="178"/>
      <c r="S55241" s="178"/>
    </row>
    <row r="55242" spans="18:19">
      <c r="R55242" s="178"/>
      <c r="S55242" s="178"/>
    </row>
    <row r="55243" spans="18:19">
      <c r="R55243" s="178"/>
      <c r="S55243" s="178"/>
    </row>
    <row r="55244" spans="18:19">
      <c r="R55244" s="178"/>
      <c r="S55244" s="178"/>
    </row>
    <row r="55245" spans="18:19">
      <c r="R55245" s="178"/>
      <c r="S55245" s="178"/>
    </row>
    <row r="55246" spans="18:19">
      <c r="R55246" s="178"/>
      <c r="S55246" s="178"/>
    </row>
    <row r="55247" spans="18:19">
      <c r="R55247" s="178"/>
      <c r="S55247" s="178"/>
    </row>
    <row r="55248" spans="18:19">
      <c r="R55248" s="178"/>
      <c r="S55248" s="178"/>
    </row>
    <row r="55249" spans="18:19">
      <c r="R55249" s="178"/>
      <c r="S55249" s="178"/>
    </row>
    <row r="55250" spans="18:19">
      <c r="R55250" s="178"/>
      <c r="S55250" s="178"/>
    </row>
    <row r="55251" spans="18:19">
      <c r="R55251" s="178"/>
      <c r="S55251" s="178"/>
    </row>
    <row r="55252" spans="18:19">
      <c r="R55252" s="178"/>
      <c r="S55252" s="178"/>
    </row>
    <row r="55253" spans="18:19">
      <c r="R55253" s="178"/>
      <c r="S55253" s="178"/>
    </row>
    <row r="55254" spans="18:19">
      <c r="R55254" s="178"/>
      <c r="S55254" s="178"/>
    </row>
    <row r="55255" spans="18:19">
      <c r="R55255" s="178"/>
      <c r="S55255" s="178"/>
    </row>
    <row r="55256" spans="18:19">
      <c r="R55256" s="178"/>
      <c r="S55256" s="178"/>
    </row>
    <row r="55257" spans="18:19">
      <c r="R55257" s="178"/>
      <c r="S55257" s="178"/>
    </row>
    <row r="55258" spans="18:19">
      <c r="R55258" s="178"/>
      <c r="S55258" s="178"/>
    </row>
    <row r="55259" spans="18:19">
      <c r="R55259" s="178"/>
      <c r="S55259" s="178"/>
    </row>
    <row r="55260" spans="18:19">
      <c r="R55260" s="178"/>
      <c r="S55260" s="178"/>
    </row>
    <row r="55261" spans="18:19">
      <c r="R55261" s="178"/>
      <c r="S55261" s="178"/>
    </row>
    <row r="55262" spans="18:19">
      <c r="R55262" s="178"/>
      <c r="S55262" s="178"/>
    </row>
    <row r="55263" spans="18:19">
      <c r="R55263" s="178"/>
      <c r="S55263" s="178"/>
    </row>
    <row r="55264" spans="18:19">
      <c r="R55264" s="178"/>
      <c r="S55264" s="178"/>
    </row>
    <row r="55265" spans="18:19">
      <c r="R55265" s="178"/>
      <c r="S55265" s="178"/>
    </row>
    <row r="55266" spans="18:19">
      <c r="R55266" s="178"/>
      <c r="S55266" s="178"/>
    </row>
    <row r="55267" spans="18:19">
      <c r="R55267" s="178"/>
      <c r="S55267" s="178"/>
    </row>
    <row r="55268" spans="18:19">
      <c r="R55268" s="178"/>
      <c r="S55268" s="178"/>
    </row>
    <row r="55269" spans="18:19">
      <c r="R55269" s="178"/>
      <c r="S55269" s="178"/>
    </row>
    <row r="55270" spans="18:19">
      <c r="R55270" s="178"/>
      <c r="S55270" s="178"/>
    </row>
    <row r="55271" spans="18:19">
      <c r="R55271" s="178"/>
      <c r="S55271" s="178"/>
    </row>
    <row r="55272" spans="18:19">
      <c r="R55272" s="178"/>
      <c r="S55272" s="178"/>
    </row>
    <row r="55273" spans="18:19">
      <c r="R55273" s="178"/>
      <c r="S55273" s="178"/>
    </row>
    <row r="55274" spans="18:19">
      <c r="R55274" s="178"/>
      <c r="S55274" s="178"/>
    </row>
    <row r="55275" spans="18:19">
      <c r="R55275" s="178"/>
      <c r="S55275" s="178"/>
    </row>
    <row r="55276" spans="18:19">
      <c r="R55276" s="178"/>
      <c r="S55276" s="178"/>
    </row>
    <row r="55277" spans="18:19">
      <c r="R55277" s="178"/>
      <c r="S55277" s="178"/>
    </row>
    <row r="55278" spans="18:19">
      <c r="R55278" s="178"/>
      <c r="S55278" s="178"/>
    </row>
    <row r="55279" spans="18:19">
      <c r="R55279" s="178"/>
      <c r="S55279" s="178"/>
    </row>
    <row r="55280" spans="18:19">
      <c r="R55280" s="178"/>
      <c r="S55280" s="178"/>
    </row>
    <row r="55281" spans="18:19">
      <c r="R55281" s="178"/>
      <c r="S55281" s="178"/>
    </row>
    <row r="55282" spans="18:19">
      <c r="R55282" s="178"/>
      <c r="S55282" s="178"/>
    </row>
    <row r="55283" spans="18:19">
      <c r="R55283" s="178"/>
      <c r="S55283" s="178"/>
    </row>
    <row r="55284" spans="18:19">
      <c r="R55284" s="178"/>
      <c r="S55284" s="178"/>
    </row>
    <row r="55285" spans="18:19">
      <c r="R55285" s="178"/>
      <c r="S55285" s="178"/>
    </row>
    <row r="55286" spans="18:19">
      <c r="R55286" s="178"/>
      <c r="S55286" s="178"/>
    </row>
    <row r="55287" spans="18:19">
      <c r="R55287" s="178"/>
      <c r="S55287" s="178"/>
    </row>
    <row r="55288" spans="18:19">
      <c r="R55288" s="178"/>
      <c r="S55288" s="178"/>
    </row>
    <row r="55289" spans="18:19">
      <c r="R55289" s="178"/>
      <c r="S55289" s="178"/>
    </row>
    <row r="55290" spans="18:19">
      <c r="R55290" s="178"/>
      <c r="S55290" s="178"/>
    </row>
    <row r="55291" spans="18:19">
      <c r="R55291" s="178"/>
      <c r="S55291" s="178"/>
    </row>
    <row r="55292" spans="18:19">
      <c r="R55292" s="178"/>
      <c r="S55292" s="178"/>
    </row>
    <row r="55293" spans="18:19">
      <c r="R55293" s="178"/>
      <c r="S55293" s="178"/>
    </row>
    <row r="55294" spans="18:19">
      <c r="R55294" s="178"/>
      <c r="S55294" s="178"/>
    </row>
    <row r="55295" spans="18:19">
      <c r="R55295" s="178"/>
      <c r="S55295" s="178"/>
    </row>
    <row r="55296" spans="18:19">
      <c r="R55296" s="178"/>
      <c r="S55296" s="178"/>
    </row>
    <row r="55297" spans="18:19">
      <c r="R55297" s="178"/>
      <c r="S55297" s="178"/>
    </row>
    <row r="55298" spans="18:19">
      <c r="R55298" s="178"/>
      <c r="S55298" s="178"/>
    </row>
    <row r="55299" spans="18:19">
      <c r="R55299" s="178"/>
      <c r="S55299" s="178"/>
    </row>
    <row r="55300" spans="18:19">
      <c r="R55300" s="178"/>
      <c r="S55300" s="178"/>
    </row>
    <row r="55301" spans="18:19">
      <c r="R55301" s="178"/>
      <c r="S55301" s="178"/>
    </row>
    <row r="55302" spans="18:19">
      <c r="R55302" s="178"/>
      <c r="S55302" s="178"/>
    </row>
    <row r="55303" spans="18:19">
      <c r="R55303" s="178"/>
      <c r="S55303" s="178"/>
    </row>
    <row r="55304" spans="18:19">
      <c r="R55304" s="178"/>
      <c r="S55304" s="178"/>
    </row>
    <row r="55305" spans="18:19">
      <c r="R55305" s="178"/>
      <c r="S55305" s="178"/>
    </row>
    <row r="55306" spans="18:19">
      <c r="R55306" s="178"/>
      <c r="S55306" s="178"/>
    </row>
    <row r="55307" spans="18:19">
      <c r="R55307" s="178"/>
      <c r="S55307" s="178"/>
    </row>
    <row r="55308" spans="18:19">
      <c r="R55308" s="178"/>
      <c r="S55308" s="178"/>
    </row>
    <row r="55309" spans="18:19">
      <c r="R55309" s="178"/>
      <c r="S55309" s="178"/>
    </row>
    <row r="55310" spans="18:19">
      <c r="R55310" s="178"/>
      <c r="S55310" s="178"/>
    </row>
    <row r="55311" spans="18:19">
      <c r="R55311" s="178"/>
      <c r="S55311" s="178"/>
    </row>
    <row r="55312" spans="18:19">
      <c r="R55312" s="178"/>
      <c r="S55312" s="178"/>
    </row>
    <row r="55313" spans="18:19">
      <c r="R55313" s="178"/>
      <c r="S55313" s="178"/>
    </row>
    <row r="55314" spans="18:19">
      <c r="R55314" s="178"/>
      <c r="S55314" s="178"/>
    </row>
    <row r="55315" spans="18:19">
      <c r="R55315" s="178"/>
      <c r="S55315" s="178"/>
    </row>
    <row r="55316" spans="18:19">
      <c r="R55316" s="178"/>
      <c r="S55316" s="178"/>
    </row>
    <row r="55317" spans="18:19">
      <c r="R55317" s="178"/>
      <c r="S55317" s="178"/>
    </row>
    <row r="55318" spans="18:19">
      <c r="R55318" s="178"/>
      <c r="S55318" s="178"/>
    </row>
    <row r="55319" spans="18:19">
      <c r="R55319" s="178"/>
      <c r="S55319" s="178"/>
    </row>
    <row r="55320" spans="18:19">
      <c r="R55320" s="178"/>
      <c r="S55320" s="178"/>
    </row>
    <row r="55321" spans="18:19">
      <c r="R55321" s="178"/>
      <c r="S55321" s="178"/>
    </row>
    <row r="55322" spans="18:19">
      <c r="R55322" s="178"/>
      <c r="S55322" s="178"/>
    </row>
    <row r="55323" spans="18:19">
      <c r="R55323" s="178"/>
      <c r="S55323" s="178"/>
    </row>
    <row r="55324" spans="18:19">
      <c r="R55324" s="178"/>
      <c r="S55324" s="178"/>
    </row>
    <row r="55325" spans="18:19">
      <c r="R55325" s="178"/>
      <c r="S55325" s="178"/>
    </row>
    <row r="55326" spans="18:19">
      <c r="R55326" s="178"/>
      <c r="S55326" s="178"/>
    </row>
    <row r="55327" spans="18:19">
      <c r="R55327" s="178"/>
      <c r="S55327" s="178"/>
    </row>
    <row r="55328" spans="18:19">
      <c r="R55328" s="178"/>
      <c r="S55328" s="178"/>
    </row>
    <row r="55329" spans="18:19">
      <c r="R55329" s="178"/>
      <c r="S55329" s="178"/>
    </row>
    <row r="55330" spans="18:19">
      <c r="R55330" s="178"/>
      <c r="S55330" s="178"/>
    </row>
    <row r="55331" spans="18:19">
      <c r="R55331" s="178"/>
      <c r="S55331" s="178"/>
    </row>
    <row r="55332" spans="18:19">
      <c r="R55332" s="178"/>
      <c r="S55332" s="178"/>
    </row>
    <row r="55333" spans="18:19">
      <c r="R55333" s="178"/>
      <c r="S55333" s="178"/>
    </row>
    <row r="55334" spans="18:19">
      <c r="R55334" s="178"/>
      <c r="S55334" s="178"/>
    </row>
    <row r="55335" spans="18:19">
      <c r="R55335" s="178"/>
      <c r="S55335" s="178"/>
    </row>
    <row r="55336" spans="18:19">
      <c r="R55336" s="178"/>
      <c r="S55336" s="178"/>
    </row>
    <row r="55337" spans="18:19">
      <c r="R55337" s="178"/>
      <c r="S55337" s="178"/>
    </row>
    <row r="55338" spans="18:19">
      <c r="R55338" s="178"/>
      <c r="S55338" s="178"/>
    </row>
    <row r="55339" spans="18:19">
      <c r="R55339" s="178"/>
      <c r="S55339" s="178"/>
    </row>
    <row r="55340" spans="18:19">
      <c r="R55340" s="178"/>
      <c r="S55340" s="178"/>
    </row>
    <row r="55341" spans="18:19">
      <c r="R55341" s="178"/>
      <c r="S55341" s="178"/>
    </row>
    <row r="55342" spans="18:19">
      <c r="R55342" s="178"/>
      <c r="S55342" s="178"/>
    </row>
    <row r="55343" spans="18:19">
      <c r="R55343" s="178"/>
      <c r="S55343" s="178"/>
    </row>
    <row r="55344" spans="18:19">
      <c r="R55344" s="178"/>
      <c r="S55344" s="178"/>
    </row>
    <row r="55345" spans="18:19">
      <c r="R55345" s="178"/>
      <c r="S55345" s="178"/>
    </row>
    <row r="55346" spans="18:19">
      <c r="R55346" s="178"/>
      <c r="S55346" s="178"/>
    </row>
    <row r="55347" spans="18:19">
      <c r="R55347" s="178"/>
      <c r="S55347" s="178"/>
    </row>
    <row r="55348" spans="18:19">
      <c r="R55348" s="178"/>
      <c r="S55348" s="178"/>
    </row>
    <row r="55349" spans="18:19">
      <c r="R55349" s="178"/>
      <c r="S55349" s="178"/>
    </row>
    <row r="55350" spans="18:19">
      <c r="R55350" s="178"/>
      <c r="S55350" s="178"/>
    </row>
    <row r="55351" spans="18:19">
      <c r="R55351" s="178"/>
      <c r="S55351" s="178"/>
    </row>
    <row r="55352" spans="18:19">
      <c r="R55352" s="178"/>
      <c r="S55352" s="178"/>
    </row>
    <row r="55353" spans="18:19">
      <c r="R55353" s="178"/>
      <c r="S55353" s="178"/>
    </row>
    <row r="55354" spans="18:19">
      <c r="R55354" s="178"/>
      <c r="S55354" s="178"/>
    </row>
    <row r="55355" spans="18:19">
      <c r="R55355" s="178"/>
      <c r="S55355" s="178"/>
    </row>
    <row r="55356" spans="18:19">
      <c r="R55356" s="178"/>
      <c r="S55356" s="178"/>
    </row>
    <row r="55357" spans="18:19">
      <c r="R55357" s="178"/>
      <c r="S55357" s="178"/>
    </row>
    <row r="55358" spans="18:19">
      <c r="R55358" s="178"/>
      <c r="S55358" s="178"/>
    </row>
    <row r="55359" spans="18:19">
      <c r="R55359" s="178"/>
      <c r="S55359" s="178"/>
    </row>
    <row r="55360" spans="18:19">
      <c r="R55360" s="178"/>
      <c r="S55360" s="178"/>
    </row>
    <row r="55361" spans="18:19">
      <c r="R55361" s="178"/>
      <c r="S55361" s="178"/>
    </row>
    <row r="55362" spans="18:19">
      <c r="R55362" s="178"/>
      <c r="S55362" s="178"/>
    </row>
    <row r="55363" spans="18:19">
      <c r="R55363" s="178"/>
      <c r="S55363" s="178"/>
    </row>
    <row r="55364" spans="18:19">
      <c r="R55364" s="178"/>
      <c r="S55364" s="178"/>
    </row>
    <row r="55365" spans="18:19">
      <c r="R55365" s="178"/>
      <c r="S55365" s="178"/>
    </row>
    <row r="55366" spans="18:19">
      <c r="R55366" s="178"/>
      <c r="S55366" s="178"/>
    </row>
    <row r="55367" spans="18:19">
      <c r="R55367" s="178"/>
      <c r="S55367" s="178"/>
    </row>
    <row r="55368" spans="18:19">
      <c r="R55368" s="178"/>
      <c r="S55368" s="178"/>
    </row>
    <row r="55369" spans="18:19">
      <c r="R55369" s="178"/>
      <c r="S55369" s="178"/>
    </row>
    <row r="55370" spans="18:19">
      <c r="R55370" s="178"/>
      <c r="S55370" s="178"/>
    </row>
    <row r="55371" spans="18:19">
      <c r="R55371" s="178"/>
      <c r="S55371" s="178"/>
    </row>
    <row r="55372" spans="18:19">
      <c r="R55372" s="178"/>
      <c r="S55372" s="178"/>
    </row>
    <row r="55373" spans="18:19">
      <c r="R55373" s="178"/>
      <c r="S55373" s="178"/>
    </row>
    <row r="55374" spans="18:19">
      <c r="R55374" s="178"/>
      <c r="S55374" s="178"/>
    </row>
    <row r="55375" spans="18:19">
      <c r="R55375" s="178"/>
      <c r="S55375" s="178"/>
    </row>
    <row r="55376" spans="18:19">
      <c r="R55376" s="178"/>
      <c r="S55376" s="178"/>
    </row>
    <row r="55377" spans="18:19">
      <c r="R55377" s="178"/>
      <c r="S55377" s="178"/>
    </row>
    <row r="55378" spans="18:19">
      <c r="R55378" s="178"/>
      <c r="S55378" s="178"/>
    </row>
    <row r="55379" spans="18:19">
      <c r="R55379" s="178"/>
      <c r="S55379" s="178"/>
    </row>
    <row r="55380" spans="18:19">
      <c r="R55380" s="178"/>
      <c r="S55380" s="178"/>
    </row>
    <row r="55381" spans="18:19">
      <c r="R55381" s="178"/>
      <c r="S55381" s="178"/>
    </row>
    <row r="55382" spans="18:19">
      <c r="R55382" s="178"/>
      <c r="S55382" s="178"/>
    </row>
    <row r="55383" spans="18:19">
      <c r="R55383" s="178"/>
      <c r="S55383" s="178"/>
    </row>
    <row r="55384" spans="18:19">
      <c r="R55384" s="178"/>
      <c r="S55384" s="178"/>
    </row>
    <row r="55385" spans="18:19">
      <c r="R55385" s="178"/>
      <c r="S55385" s="178"/>
    </row>
    <row r="55386" spans="18:19">
      <c r="R55386" s="178"/>
      <c r="S55386" s="178"/>
    </row>
    <row r="55387" spans="18:19">
      <c r="R55387" s="178"/>
      <c r="S55387" s="178"/>
    </row>
    <row r="55388" spans="18:19">
      <c r="R55388" s="178"/>
      <c r="S55388" s="178"/>
    </row>
    <row r="55389" spans="18:19">
      <c r="R55389" s="178"/>
      <c r="S55389" s="178"/>
    </row>
    <row r="55390" spans="18:19">
      <c r="R55390" s="178"/>
      <c r="S55390" s="178"/>
    </row>
    <row r="55391" spans="18:19">
      <c r="R55391" s="178"/>
      <c r="S55391" s="178"/>
    </row>
    <row r="55392" spans="18:19">
      <c r="R55392" s="178"/>
      <c r="S55392" s="178"/>
    </row>
    <row r="55393" spans="18:19">
      <c r="R55393" s="178"/>
      <c r="S55393" s="178"/>
    </row>
    <row r="55394" spans="18:19">
      <c r="R55394" s="178"/>
      <c r="S55394" s="178"/>
    </row>
    <row r="55395" spans="18:19">
      <c r="R55395" s="178"/>
      <c r="S55395" s="178"/>
    </row>
    <row r="55396" spans="18:19">
      <c r="R55396" s="178"/>
      <c r="S55396" s="178"/>
    </row>
    <row r="55397" spans="18:19">
      <c r="R55397" s="178"/>
      <c r="S55397" s="178"/>
    </row>
    <row r="55398" spans="18:19">
      <c r="R55398" s="178"/>
      <c r="S55398" s="178"/>
    </row>
    <row r="55399" spans="18:19">
      <c r="R55399" s="178"/>
      <c r="S55399" s="178"/>
    </row>
    <row r="55400" spans="18:19">
      <c r="R55400" s="178"/>
      <c r="S55400" s="178"/>
    </row>
    <row r="55401" spans="18:19">
      <c r="R55401" s="178"/>
      <c r="S55401" s="178"/>
    </row>
    <row r="55402" spans="18:19">
      <c r="R55402" s="178"/>
      <c r="S55402" s="178"/>
    </row>
    <row r="55403" spans="18:19">
      <c r="R55403" s="178"/>
      <c r="S55403" s="178"/>
    </row>
    <row r="55404" spans="18:19">
      <c r="R55404" s="178"/>
      <c r="S55404" s="178"/>
    </row>
    <row r="55405" spans="18:19">
      <c r="R55405" s="178"/>
      <c r="S55405" s="178"/>
    </row>
    <row r="55406" spans="18:19">
      <c r="R55406" s="178"/>
      <c r="S55406" s="178"/>
    </row>
    <row r="55407" spans="18:19">
      <c r="R55407" s="178"/>
      <c r="S55407" s="178"/>
    </row>
    <row r="55408" spans="18:19">
      <c r="R55408" s="178"/>
      <c r="S55408" s="178"/>
    </row>
    <row r="55409" spans="18:19">
      <c r="R55409" s="178"/>
      <c r="S55409" s="178"/>
    </row>
    <row r="55410" spans="18:19">
      <c r="R55410" s="178"/>
      <c r="S55410" s="178"/>
    </row>
    <row r="55411" spans="18:19">
      <c r="R55411" s="178"/>
      <c r="S55411" s="178"/>
    </row>
    <row r="55412" spans="18:19">
      <c r="R55412" s="178"/>
      <c r="S55412" s="178"/>
    </row>
    <row r="55413" spans="18:19">
      <c r="R55413" s="178"/>
      <c r="S55413" s="178"/>
    </row>
    <row r="55414" spans="18:19">
      <c r="R55414" s="178"/>
      <c r="S55414" s="178"/>
    </row>
    <row r="55415" spans="18:19">
      <c r="R55415" s="178"/>
      <c r="S55415" s="178"/>
    </row>
    <row r="55416" spans="18:19">
      <c r="R55416" s="178"/>
      <c r="S55416" s="178"/>
    </row>
    <row r="55417" spans="18:19">
      <c r="R55417" s="178"/>
      <c r="S55417" s="178"/>
    </row>
    <row r="55418" spans="18:19">
      <c r="R55418" s="178"/>
      <c r="S55418" s="178"/>
    </row>
    <row r="55419" spans="18:19">
      <c r="R55419" s="178"/>
      <c r="S55419" s="178"/>
    </row>
    <row r="55420" spans="18:19">
      <c r="R55420" s="178"/>
      <c r="S55420" s="178"/>
    </row>
    <row r="55421" spans="18:19">
      <c r="R55421" s="178"/>
      <c r="S55421" s="178"/>
    </row>
    <row r="55422" spans="18:19">
      <c r="R55422" s="178"/>
      <c r="S55422" s="178"/>
    </row>
    <row r="55423" spans="18:19">
      <c r="R55423" s="178"/>
      <c r="S55423" s="178"/>
    </row>
    <row r="55424" spans="18:19">
      <c r="R55424" s="178"/>
      <c r="S55424" s="178"/>
    </row>
    <row r="55425" spans="18:19">
      <c r="R55425" s="178"/>
      <c r="S55425" s="178"/>
    </row>
    <row r="55426" spans="18:19">
      <c r="R55426" s="178"/>
      <c r="S55426" s="178"/>
    </row>
    <row r="55427" spans="18:19">
      <c r="R55427" s="178"/>
      <c r="S55427" s="178"/>
    </row>
    <row r="55428" spans="18:19">
      <c r="R55428" s="178"/>
      <c r="S55428" s="178"/>
    </row>
    <row r="55429" spans="18:19">
      <c r="R55429" s="178"/>
      <c r="S55429" s="178"/>
    </row>
    <row r="55430" spans="18:19">
      <c r="R55430" s="178"/>
      <c r="S55430" s="178"/>
    </row>
    <row r="55431" spans="18:19">
      <c r="R55431" s="178"/>
      <c r="S55431" s="178"/>
    </row>
    <row r="55432" spans="18:19">
      <c r="R55432" s="178"/>
      <c r="S55432" s="178"/>
    </row>
    <row r="55433" spans="18:19">
      <c r="R55433" s="178"/>
      <c r="S55433" s="178"/>
    </row>
    <row r="55434" spans="18:19">
      <c r="R55434" s="178"/>
      <c r="S55434" s="178"/>
    </row>
    <row r="55435" spans="18:19">
      <c r="R55435" s="178"/>
      <c r="S55435" s="178"/>
    </row>
    <row r="55436" spans="18:19">
      <c r="R55436" s="178"/>
      <c r="S55436" s="178"/>
    </row>
    <row r="55437" spans="18:19">
      <c r="R55437" s="178"/>
      <c r="S55437" s="178"/>
    </row>
    <row r="55438" spans="18:19">
      <c r="R55438" s="178"/>
      <c r="S55438" s="178"/>
    </row>
    <row r="55439" spans="18:19">
      <c r="R55439" s="178"/>
      <c r="S55439" s="178"/>
    </row>
    <row r="55440" spans="18:19">
      <c r="R55440" s="178"/>
      <c r="S55440" s="178"/>
    </row>
    <row r="55441" spans="18:19">
      <c r="R55441" s="178"/>
      <c r="S55441" s="178"/>
    </row>
    <row r="55442" spans="18:19">
      <c r="R55442" s="178"/>
      <c r="S55442" s="178"/>
    </row>
    <row r="55443" spans="18:19">
      <c r="R55443" s="178"/>
      <c r="S55443" s="178"/>
    </row>
    <row r="55444" spans="18:19">
      <c r="R55444" s="178"/>
      <c r="S55444" s="178"/>
    </row>
    <row r="55445" spans="18:19">
      <c r="R55445" s="178"/>
      <c r="S55445" s="178"/>
    </row>
    <row r="55446" spans="18:19">
      <c r="R55446" s="178"/>
      <c r="S55446" s="178"/>
    </row>
    <row r="55447" spans="18:19">
      <c r="R55447" s="178"/>
      <c r="S55447" s="178"/>
    </row>
    <row r="55448" spans="18:19">
      <c r="R55448" s="178"/>
      <c r="S55448" s="178"/>
    </row>
    <row r="55449" spans="18:19">
      <c r="R55449" s="178"/>
      <c r="S55449" s="178"/>
    </row>
    <row r="55450" spans="18:19">
      <c r="R55450" s="178"/>
      <c r="S55450" s="178"/>
    </row>
    <row r="55451" spans="18:19">
      <c r="R55451" s="178"/>
      <c r="S55451" s="178"/>
    </row>
    <row r="55452" spans="18:19">
      <c r="R55452" s="178"/>
      <c r="S55452" s="178"/>
    </row>
    <row r="55453" spans="18:19">
      <c r="R55453" s="178"/>
      <c r="S55453" s="178"/>
    </row>
    <row r="55454" spans="18:19">
      <c r="R55454" s="178"/>
      <c r="S55454" s="178"/>
    </row>
    <row r="55455" spans="18:19">
      <c r="R55455" s="178"/>
      <c r="S55455" s="178"/>
    </row>
    <row r="55456" spans="18:19">
      <c r="R55456" s="178"/>
      <c r="S55456" s="178"/>
    </row>
    <row r="55457" spans="18:19">
      <c r="R55457" s="178"/>
      <c r="S55457" s="178"/>
    </row>
    <row r="55458" spans="18:19">
      <c r="R55458" s="178"/>
      <c r="S55458" s="178"/>
    </row>
    <row r="55459" spans="18:19">
      <c r="R55459" s="178"/>
      <c r="S55459" s="178"/>
    </row>
    <row r="55460" spans="18:19">
      <c r="R55460" s="178"/>
      <c r="S55460" s="178"/>
    </row>
    <row r="55461" spans="18:19">
      <c r="R55461" s="178"/>
      <c r="S55461" s="178"/>
    </row>
    <row r="55462" spans="18:19">
      <c r="R55462" s="178"/>
      <c r="S55462" s="178"/>
    </row>
    <row r="55463" spans="18:19">
      <c r="R55463" s="178"/>
      <c r="S55463" s="178"/>
    </row>
    <row r="55464" spans="18:19">
      <c r="R55464" s="178"/>
      <c r="S55464" s="178"/>
    </row>
    <row r="55465" spans="18:19">
      <c r="R55465" s="178"/>
      <c r="S55465" s="178"/>
    </row>
    <row r="55466" spans="18:19">
      <c r="R55466" s="178"/>
      <c r="S55466" s="178"/>
    </row>
    <row r="55467" spans="18:19">
      <c r="R55467" s="178"/>
      <c r="S55467" s="178"/>
    </row>
    <row r="55468" spans="18:19">
      <c r="R55468" s="178"/>
      <c r="S55468" s="178"/>
    </row>
    <row r="55469" spans="18:19">
      <c r="R55469" s="178"/>
      <c r="S55469" s="178"/>
    </row>
    <row r="55470" spans="18:19">
      <c r="R55470" s="178"/>
      <c r="S55470" s="178"/>
    </row>
    <row r="55471" spans="18:19">
      <c r="R55471" s="178"/>
      <c r="S55471" s="178"/>
    </row>
    <row r="55472" spans="18:19">
      <c r="R55472" s="178"/>
      <c r="S55472" s="178"/>
    </row>
    <row r="55473" spans="18:19">
      <c r="R55473" s="178"/>
      <c r="S55473" s="178"/>
    </row>
    <row r="55474" spans="18:19">
      <c r="R55474" s="178"/>
      <c r="S55474" s="178"/>
    </row>
    <row r="55475" spans="18:19">
      <c r="R55475" s="178"/>
      <c r="S55475" s="178"/>
    </row>
    <row r="55476" spans="18:19">
      <c r="R55476" s="178"/>
      <c r="S55476" s="178"/>
    </row>
    <row r="55477" spans="18:19">
      <c r="R55477" s="178"/>
      <c r="S55477" s="178"/>
    </row>
    <row r="55478" spans="18:19">
      <c r="R55478" s="178"/>
      <c r="S55478" s="178"/>
    </row>
    <row r="55479" spans="18:19">
      <c r="R55479" s="178"/>
      <c r="S55479" s="178"/>
    </row>
    <row r="55480" spans="18:19">
      <c r="R55480" s="178"/>
      <c r="S55480" s="178"/>
    </row>
    <row r="55481" spans="18:19">
      <c r="R55481" s="178"/>
      <c r="S55481" s="178"/>
    </row>
    <row r="55482" spans="18:19">
      <c r="R55482" s="178"/>
      <c r="S55482" s="178"/>
    </row>
    <row r="55483" spans="18:19">
      <c r="R55483" s="178"/>
      <c r="S55483" s="178"/>
    </row>
    <row r="55484" spans="18:19">
      <c r="R55484" s="178"/>
      <c r="S55484" s="178"/>
    </row>
    <row r="55485" spans="18:19">
      <c r="R55485" s="178"/>
      <c r="S55485" s="178"/>
    </row>
    <row r="55486" spans="18:19">
      <c r="R55486" s="178"/>
      <c r="S55486" s="178"/>
    </row>
    <row r="55487" spans="18:19">
      <c r="R55487" s="178"/>
      <c r="S55487" s="178"/>
    </row>
    <row r="55488" spans="18:19">
      <c r="R55488" s="178"/>
      <c r="S55488" s="178"/>
    </row>
    <row r="55489" spans="18:19">
      <c r="R55489" s="178"/>
      <c r="S55489" s="178"/>
    </row>
    <row r="55490" spans="18:19">
      <c r="R55490" s="178"/>
      <c r="S55490" s="178"/>
    </row>
    <row r="55491" spans="18:19">
      <c r="R55491" s="178"/>
      <c r="S55491" s="178"/>
    </row>
    <row r="55492" spans="18:19">
      <c r="R55492" s="178"/>
      <c r="S55492" s="178"/>
    </row>
    <row r="55493" spans="18:19">
      <c r="R55493" s="178"/>
      <c r="S55493" s="178"/>
    </row>
    <row r="55494" spans="18:19">
      <c r="R55494" s="178"/>
      <c r="S55494" s="178"/>
    </row>
    <row r="55495" spans="18:19">
      <c r="R55495" s="178"/>
      <c r="S55495" s="178"/>
    </row>
    <row r="55496" spans="18:19">
      <c r="R55496" s="178"/>
      <c r="S55496" s="178"/>
    </row>
    <row r="55497" spans="18:19">
      <c r="R55497" s="178"/>
      <c r="S55497" s="178"/>
    </row>
    <row r="55498" spans="18:19">
      <c r="R55498" s="178"/>
      <c r="S55498" s="178"/>
    </row>
    <row r="55499" spans="18:19">
      <c r="R55499" s="178"/>
      <c r="S55499" s="178"/>
    </row>
    <row r="55500" spans="18:19">
      <c r="R55500" s="178"/>
      <c r="S55500" s="178"/>
    </row>
    <row r="55501" spans="18:19">
      <c r="R55501" s="178"/>
      <c r="S55501" s="178"/>
    </row>
    <row r="55502" spans="18:19">
      <c r="R55502" s="178"/>
      <c r="S55502" s="178"/>
    </row>
    <row r="55503" spans="18:19">
      <c r="R55503" s="178"/>
      <c r="S55503" s="178"/>
    </row>
    <row r="55504" spans="18:19">
      <c r="R55504" s="178"/>
      <c r="S55504" s="178"/>
    </row>
    <row r="55505" spans="18:19">
      <c r="R55505" s="178"/>
      <c r="S55505" s="178"/>
    </row>
    <row r="55506" spans="18:19">
      <c r="R55506" s="178"/>
      <c r="S55506" s="178"/>
    </row>
    <row r="55507" spans="18:19">
      <c r="R55507" s="178"/>
      <c r="S55507" s="178"/>
    </row>
    <row r="55508" spans="18:19">
      <c r="R55508" s="178"/>
      <c r="S55508" s="178"/>
    </row>
    <row r="55509" spans="18:19">
      <c r="R55509" s="178"/>
      <c r="S55509" s="178"/>
    </row>
    <row r="55510" spans="18:19">
      <c r="R55510" s="178"/>
      <c r="S55510" s="178"/>
    </row>
    <row r="55511" spans="18:19">
      <c r="R55511" s="178"/>
      <c r="S55511" s="178"/>
    </row>
    <row r="55512" spans="18:19">
      <c r="R55512" s="178"/>
      <c r="S55512" s="178"/>
    </row>
    <row r="55513" spans="18:19">
      <c r="R55513" s="178"/>
      <c r="S55513" s="178"/>
    </row>
    <row r="55514" spans="18:19">
      <c r="R55514" s="178"/>
      <c r="S55514" s="178"/>
    </row>
    <row r="55515" spans="18:19">
      <c r="R55515" s="178"/>
      <c r="S55515" s="178"/>
    </row>
    <row r="55516" spans="18:19">
      <c r="R55516" s="178"/>
      <c r="S55516" s="178"/>
    </row>
    <row r="55517" spans="18:19">
      <c r="R55517" s="178"/>
      <c r="S55517" s="178"/>
    </row>
    <row r="55518" spans="18:19">
      <c r="R55518" s="178"/>
      <c r="S55518" s="178"/>
    </row>
    <row r="55519" spans="18:19">
      <c r="R55519" s="178"/>
      <c r="S55519" s="178"/>
    </row>
    <row r="55520" spans="18:19">
      <c r="R55520" s="178"/>
      <c r="S55520" s="178"/>
    </row>
    <row r="55521" spans="18:19">
      <c r="R55521" s="178"/>
      <c r="S55521" s="178"/>
    </row>
    <row r="55522" spans="18:19">
      <c r="R55522" s="178"/>
      <c r="S55522" s="178"/>
    </row>
    <row r="55523" spans="18:19">
      <c r="R55523" s="178"/>
      <c r="S55523" s="178"/>
    </row>
    <row r="55524" spans="18:19">
      <c r="R55524" s="178"/>
      <c r="S55524" s="178"/>
    </row>
    <row r="55525" spans="18:19">
      <c r="R55525" s="178"/>
      <c r="S55525" s="178"/>
    </row>
    <row r="55526" spans="18:19">
      <c r="R55526" s="178"/>
      <c r="S55526" s="178"/>
    </row>
    <row r="55527" spans="18:19">
      <c r="R55527" s="178"/>
      <c r="S55527" s="178"/>
    </row>
    <row r="55528" spans="18:19">
      <c r="R55528" s="178"/>
      <c r="S55528" s="178"/>
    </row>
    <row r="55529" spans="18:19">
      <c r="R55529" s="178"/>
      <c r="S55529" s="178"/>
    </row>
    <row r="55530" spans="18:19">
      <c r="R55530" s="178"/>
      <c r="S55530" s="178"/>
    </row>
    <row r="55531" spans="18:19">
      <c r="R55531" s="178"/>
      <c r="S55531" s="178"/>
    </row>
    <row r="55532" spans="18:19">
      <c r="R55532" s="178"/>
      <c r="S55532" s="178"/>
    </row>
    <row r="55533" spans="18:19">
      <c r="R55533" s="178"/>
      <c r="S55533" s="178"/>
    </row>
    <row r="55534" spans="18:19">
      <c r="R55534" s="178"/>
      <c r="S55534" s="178"/>
    </row>
    <row r="55535" spans="18:19">
      <c r="R55535" s="178"/>
      <c r="S55535" s="178"/>
    </row>
    <row r="55536" spans="18:19">
      <c r="R55536" s="178"/>
      <c r="S55536" s="178"/>
    </row>
    <row r="55537" spans="18:19">
      <c r="R55537" s="178"/>
      <c r="S55537" s="178"/>
    </row>
    <row r="55538" spans="18:19">
      <c r="R55538" s="178"/>
      <c r="S55538" s="178"/>
    </row>
    <row r="55539" spans="18:19">
      <c r="R55539" s="178"/>
      <c r="S55539" s="178"/>
    </row>
    <row r="55540" spans="18:19">
      <c r="R55540" s="178"/>
      <c r="S55540" s="178"/>
    </row>
    <row r="55541" spans="18:19">
      <c r="R55541" s="178"/>
      <c r="S55541" s="178"/>
    </row>
    <row r="55542" spans="18:19">
      <c r="R55542" s="178"/>
      <c r="S55542" s="178"/>
    </row>
    <row r="55543" spans="18:19">
      <c r="R55543" s="178"/>
      <c r="S55543" s="178"/>
    </row>
    <row r="55544" spans="18:19">
      <c r="R55544" s="178"/>
      <c r="S55544" s="178"/>
    </row>
    <row r="55545" spans="18:19">
      <c r="R55545" s="178"/>
      <c r="S55545" s="178"/>
    </row>
    <row r="55546" spans="18:19">
      <c r="R55546" s="178"/>
      <c r="S55546" s="178"/>
    </row>
    <row r="55547" spans="18:19">
      <c r="R55547" s="178"/>
      <c r="S55547" s="178"/>
    </row>
    <row r="55548" spans="18:19">
      <c r="R55548" s="178"/>
      <c r="S55548" s="178"/>
    </row>
    <row r="55549" spans="18:19">
      <c r="R55549" s="178"/>
      <c r="S55549" s="178"/>
    </row>
    <row r="55550" spans="18:19">
      <c r="R55550" s="178"/>
      <c r="S55550" s="178"/>
    </row>
    <row r="55551" spans="18:19">
      <c r="R55551" s="178"/>
      <c r="S55551" s="178"/>
    </row>
    <row r="55552" spans="18:19">
      <c r="R55552" s="178"/>
      <c r="S55552" s="178"/>
    </row>
    <row r="55553" spans="18:19">
      <c r="R55553" s="178"/>
      <c r="S55553" s="178"/>
    </row>
    <row r="55554" spans="18:19">
      <c r="R55554" s="178"/>
      <c r="S55554" s="178"/>
    </row>
    <row r="55555" spans="18:19">
      <c r="R55555" s="178"/>
      <c r="S55555" s="178"/>
    </row>
    <row r="55556" spans="18:19">
      <c r="R55556" s="178"/>
      <c r="S55556" s="178"/>
    </row>
    <row r="55557" spans="18:19">
      <c r="R55557" s="178"/>
      <c r="S55557" s="178"/>
    </row>
    <row r="55558" spans="18:19">
      <c r="R55558" s="178"/>
      <c r="S55558" s="178"/>
    </row>
    <row r="55559" spans="18:19">
      <c r="R55559" s="178"/>
      <c r="S55559" s="178"/>
    </row>
    <row r="55560" spans="18:19">
      <c r="R55560" s="178"/>
      <c r="S55560" s="178"/>
    </row>
    <row r="55561" spans="18:19">
      <c r="R55561" s="178"/>
      <c r="S55561" s="178"/>
    </row>
    <row r="55562" spans="18:19">
      <c r="R55562" s="178"/>
      <c r="S55562" s="178"/>
    </row>
    <row r="55563" spans="18:19">
      <c r="R55563" s="178"/>
      <c r="S55563" s="178"/>
    </row>
    <row r="55564" spans="18:19">
      <c r="R55564" s="178"/>
      <c r="S55564" s="178"/>
    </row>
    <row r="55565" spans="18:19">
      <c r="R55565" s="178"/>
      <c r="S55565" s="178"/>
    </row>
    <row r="55566" spans="18:19">
      <c r="R55566" s="178"/>
      <c r="S55566" s="178"/>
    </row>
    <row r="55567" spans="18:19">
      <c r="R55567" s="178"/>
      <c r="S55567" s="178"/>
    </row>
    <row r="55568" spans="18:19">
      <c r="R55568" s="178"/>
      <c r="S55568" s="178"/>
    </row>
    <row r="55569" spans="18:19">
      <c r="R55569" s="178"/>
      <c r="S55569" s="178"/>
    </row>
    <row r="55570" spans="18:19">
      <c r="R55570" s="178"/>
      <c r="S55570" s="178"/>
    </row>
    <row r="55571" spans="18:19">
      <c r="R55571" s="178"/>
      <c r="S55571" s="178"/>
    </row>
    <row r="55572" spans="18:19">
      <c r="R55572" s="178"/>
      <c r="S55572" s="178"/>
    </row>
    <row r="55573" spans="18:19">
      <c r="R55573" s="178"/>
      <c r="S55573" s="178"/>
    </row>
    <row r="55574" spans="18:19">
      <c r="R55574" s="178"/>
      <c r="S55574" s="178"/>
    </row>
    <row r="55575" spans="18:19">
      <c r="R55575" s="178"/>
      <c r="S55575" s="178"/>
    </row>
    <row r="55576" spans="18:19">
      <c r="R55576" s="178"/>
      <c r="S55576" s="178"/>
    </row>
    <row r="55577" spans="18:19">
      <c r="R55577" s="178"/>
      <c r="S55577" s="178"/>
    </row>
    <row r="55578" spans="18:19">
      <c r="R55578" s="178"/>
      <c r="S55578" s="178"/>
    </row>
    <row r="55579" spans="18:19">
      <c r="R55579" s="178"/>
      <c r="S55579" s="178"/>
    </row>
    <row r="55580" spans="18:19">
      <c r="R55580" s="178"/>
      <c r="S55580" s="178"/>
    </row>
    <row r="55581" spans="18:19">
      <c r="R55581" s="178"/>
      <c r="S55581" s="178"/>
    </row>
    <row r="55582" spans="18:19">
      <c r="R55582" s="178"/>
      <c r="S55582" s="178"/>
    </row>
    <row r="55583" spans="18:19">
      <c r="R55583" s="178"/>
      <c r="S55583" s="178"/>
    </row>
    <row r="55584" spans="18:19">
      <c r="R55584" s="178"/>
      <c r="S55584" s="178"/>
    </row>
    <row r="55585" spans="18:19">
      <c r="R55585" s="178"/>
      <c r="S55585" s="178"/>
    </row>
    <row r="55586" spans="18:19">
      <c r="R55586" s="178"/>
      <c r="S55586" s="178"/>
    </row>
    <row r="55587" spans="18:19">
      <c r="R55587" s="178"/>
      <c r="S55587" s="178"/>
    </row>
    <row r="55588" spans="18:19">
      <c r="R55588" s="178"/>
      <c r="S55588" s="178"/>
    </row>
    <row r="55589" spans="18:19">
      <c r="R55589" s="178"/>
      <c r="S55589" s="178"/>
    </row>
    <row r="55590" spans="18:19">
      <c r="R55590" s="178"/>
      <c r="S55590" s="178"/>
    </row>
    <row r="55591" spans="18:19">
      <c r="R55591" s="178"/>
      <c r="S55591" s="178"/>
    </row>
    <row r="55592" spans="18:19">
      <c r="R55592" s="178"/>
      <c r="S55592" s="178"/>
    </row>
    <row r="55593" spans="18:19">
      <c r="R55593" s="178"/>
      <c r="S55593" s="178"/>
    </row>
    <row r="55594" spans="18:19">
      <c r="R55594" s="178"/>
      <c r="S55594" s="178"/>
    </row>
    <row r="55595" spans="18:19">
      <c r="R55595" s="178"/>
      <c r="S55595" s="178"/>
    </row>
    <row r="55596" spans="18:19">
      <c r="R55596" s="178"/>
      <c r="S55596" s="178"/>
    </row>
    <row r="55597" spans="18:19">
      <c r="R55597" s="178"/>
      <c r="S55597" s="178"/>
    </row>
    <row r="55598" spans="18:19">
      <c r="R55598" s="178"/>
      <c r="S55598" s="178"/>
    </row>
    <row r="55599" spans="18:19">
      <c r="R55599" s="178"/>
      <c r="S55599" s="178"/>
    </row>
    <row r="55600" spans="18:19">
      <c r="R55600" s="178"/>
      <c r="S55600" s="178"/>
    </row>
    <row r="55601" spans="18:19">
      <c r="R55601" s="178"/>
      <c r="S55601" s="178"/>
    </row>
    <row r="55602" spans="18:19">
      <c r="R55602" s="178"/>
      <c r="S55602" s="178"/>
    </row>
    <row r="55603" spans="18:19">
      <c r="R55603" s="178"/>
      <c r="S55603" s="178"/>
    </row>
    <row r="55604" spans="18:19">
      <c r="R55604" s="178"/>
      <c r="S55604" s="178"/>
    </row>
    <row r="55605" spans="18:19">
      <c r="R55605" s="178"/>
      <c r="S55605" s="178"/>
    </row>
    <row r="55606" spans="18:19">
      <c r="R55606" s="178"/>
      <c r="S55606" s="178"/>
    </row>
    <row r="55607" spans="18:19">
      <c r="R55607" s="178"/>
      <c r="S55607" s="178"/>
    </row>
    <row r="55608" spans="18:19">
      <c r="R55608" s="178"/>
      <c r="S55608" s="178"/>
    </row>
    <row r="55609" spans="18:19">
      <c r="R55609" s="178"/>
      <c r="S55609" s="178"/>
    </row>
    <row r="55610" spans="18:19">
      <c r="R55610" s="178"/>
      <c r="S55610" s="178"/>
    </row>
    <row r="55611" spans="18:19">
      <c r="R55611" s="178"/>
      <c r="S55611" s="178"/>
    </row>
    <row r="55612" spans="18:19">
      <c r="R55612" s="178"/>
      <c r="S55612" s="178"/>
    </row>
    <row r="55613" spans="18:19">
      <c r="R55613" s="178"/>
      <c r="S55613" s="178"/>
    </row>
    <row r="55614" spans="18:19">
      <c r="R55614" s="178"/>
      <c r="S55614" s="178"/>
    </row>
    <row r="55615" spans="18:19">
      <c r="R55615" s="178"/>
      <c r="S55615" s="178"/>
    </row>
    <row r="55616" spans="18:19">
      <c r="R55616" s="178"/>
      <c r="S55616" s="178"/>
    </row>
    <row r="55617" spans="18:19">
      <c r="R55617" s="178"/>
      <c r="S55617" s="178"/>
    </row>
    <row r="55618" spans="18:19">
      <c r="R55618" s="178"/>
      <c r="S55618" s="178"/>
    </row>
    <row r="55619" spans="18:19">
      <c r="R55619" s="178"/>
      <c r="S55619" s="178"/>
    </row>
    <row r="55620" spans="18:19">
      <c r="R55620" s="178"/>
      <c r="S55620" s="178"/>
    </row>
    <row r="55621" spans="18:19">
      <c r="R55621" s="178"/>
      <c r="S55621" s="178"/>
    </row>
    <row r="55622" spans="18:19">
      <c r="R55622" s="178"/>
      <c r="S55622" s="178"/>
    </row>
    <row r="55623" spans="18:19">
      <c r="R55623" s="178"/>
      <c r="S55623" s="178"/>
    </row>
    <row r="55624" spans="18:19">
      <c r="R55624" s="178"/>
      <c r="S55624" s="178"/>
    </row>
    <row r="55625" spans="18:19">
      <c r="R55625" s="178"/>
      <c r="S55625" s="178"/>
    </row>
    <row r="55626" spans="18:19">
      <c r="R55626" s="178"/>
      <c r="S55626" s="178"/>
    </row>
    <row r="55627" spans="18:19">
      <c r="R55627" s="178"/>
      <c r="S55627" s="178"/>
    </row>
    <row r="55628" spans="18:19">
      <c r="R55628" s="178"/>
      <c r="S55628" s="178"/>
    </row>
    <row r="55629" spans="18:19">
      <c r="R55629" s="178"/>
      <c r="S55629" s="178"/>
    </row>
    <row r="55630" spans="18:19">
      <c r="R55630" s="178"/>
      <c r="S55630" s="178"/>
    </row>
    <row r="55631" spans="18:19">
      <c r="R55631" s="178"/>
      <c r="S55631" s="178"/>
    </row>
    <row r="55632" spans="18:19">
      <c r="R55632" s="178"/>
      <c r="S55632" s="178"/>
    </row>
    <row r="55633" spans="18:19">
      <c r="R55633" s="178"/>
      <c r="S55633" s="178"/>
    </row>
    <row r="55634" spans="18:19">
      <c r="R55634" s="178"/>
      <c r="S55634" s="178"/>
    </row>
    <row r="55635" spans="18:19">
      <c r="R55635" s="178"/>
      <c r="S55635" s="178"/>
    </row>
    <row r="55636" spans="18:19">
      <c r="R55636" s="178"/>
      <c r="S55636" s="178"/>
    </row>
    <row r="55637" spans="18:19">
      <c r="R55637" s="178"/>
      <c r="S55637" s="178"/>
    </row>
    <row r="55638" spans="18:19">
      <c r="R55638" s="178"/>
      <c r="S55638" s="178"/>
    </row>
    <row r="55639" spans="18:19">
      <c r="R55639" s="178"/>
      <c r="S55639" s="178"/>
    </row>
    <row r="55640" spans="18:19">
      <c r="R55640" s="178"/>
      <c r="S55640" s="178"/>
    </row>
    <row r="55641" spans="18:19">
      <c r="R55641" s="178"/>
      <c r="S55641" s="178"/>
    </row>
    <row r="55642" spans="18:19">
      <c r="R55642" s="178"/>
      <c r="S55642" s="178"/>
    </row>
    <row r="55643" spans="18:19">
      <c r="R55643" s="178"/>
      <c r="S55643" s="178"/>
    </row>
    <row r="55644" spans="18:19">
      <c r="R55644" s="178"/>
      <c r="S55644" s="178"/>
    </row>
    <row r="55645" spans="18:19">
      <c r="R55645" s="178"/>
      <c r="S55645" s="178"/>
    </row>
    <row r="55646" spans="18:19">
      <c r="R55646" s="178"/>
      <c r="S55646" s="178"/>
    </row>
    <row r="55647" spans="18:19">
      <c r="R55647" s="178"/>
      <c r="S55647" s="178"/>
    </row>
    <row r="55648" spans="18:19">
      <c r="R55648" s="178"/>
      <c r="S55648" s="178"/>
    </row>
    <row r="55649" spans="18:19">
      <c r="R55649" s="178"/>
      <c r="S55649" s="178"/>
    </row>
    <row r="55650" spans="18:19">
      <c r="R55650" s="178"/>
      <c r="S55650" s="178"/>
    </row>
    <row r="55651" spans="18:19">
      <c r="R55651" s="178"/>
      <c r="S55651" s="178"/>
    </row>
    <row r="55652" spans="18:19">
      <c r="R55652" s="178"/>
      <c r="S55652" s="178"/>
    </row>
    <row r="55653" spans="18:19">
      <c r="R55653" s="178"/>
      <c r="S55653" s="178"/>
    </row>
    <row r="55654" spans="18:19">
      <c r="R55654" s="178"/>
      <c r="S55654" s="178"/>
    </row>
    <row r="55655" spans="18:19">
      <c r="R55655" s="178"/>
      <c r="S55655" s="178"/>
    </row>
    <row r="55656" spans="18:19">
      <c r="R55656" s="178"/>
      <c r="S55656" s="178"/>
    </row>
    <row r="55657" spans="18:19">
      <c r="R55657" s="178"/>
      <c r="S55657" s="178"/>
    </row>
    <row r="55658" spans="18:19">
      <c r="R55658" s="178"/>
      <c r="S55658" s="178"/>
    </row>
    <row r="55659" spans="18:19">
      <c r="R55659" s="178"/>
      <c r="S55659" s="178"/>
    </row>
    <row r="55660" spans="18:19">
      <c r="R55660" s="178"/>
      <c r="S55660" s="178"/>
    </row>
    <row r="55661" spans="18:19">
      <c r="R55661" s="178"/>
      <c r="S55661" s="178"/>
    </row>
    <row r="55662" spans="18:19">
      <c r="R55662" s="178"/>
      <c r="S55662" s="178"/>
    </row>
    <row r="55663" spans="18:19">
      <c r="R55663" s="178"/>
      <c r="S55663" s="178"/>
    </row>
    <row r="55664" spans="18:19">
      <c r="R55664" s="178"/>
      <c r="S55664" s="178"/>
    </row>
    <row r="55665" spans="18:19">
      <c r="R55665" s="178"/>
      <c r="S55665" s="178"/>
    </row>
    <row r="55666" spans="18:19">
      <c r="R55666" s="178"/>
      <c r="S55666" s="178"/>
    </row>
    <row r="55667" spans="18:19">
      <c r="R55667" s="178"/>
      <c r="S55667" s="178"/>
    </row>
    <row r="55668" spans="18:19">
      <c r="R55668" s="178"/>
      <c r="S55668" s="178"/>
    </row>
    <row r="55669" spans="18:19">
      <c r="R55669" s="178"/>
      <c r="S55669" s="178"/>
    </row>
    <row r="55670" spans="18:19">
      <c r="R55670" s="178"/>
      <c r="S55670" s="178"/>
    </row>
    <row r="55671" spans="18:19">
      <c r="R55671" s="178"/>
      <c r="S55671" s="178"/>
    </row>
    <row r="55672" spans="18:19">
      <c r="R55672" s="178"/>
      <c r="S55672" s="178"/>
    </row>
    <row r="55673" spans="18:19">
      <c r="R55673" s="178"/>
      <c r="S55673" s="178"/>
    </row>
    <row r="55674" spans="18:19">
      <c r="R55674" s="178"/>
      <c r="S55674" s="178"/>
    </row>
    <row r="55675" spans="18:19">
      <c r="R55675" s="178"/>
      <c r="S55675" s="178"/>
    </row>
    <row r="55676" spans="18:19">
      <c r="R55676" s="178"/>
      <c r="S55676" s="178"/>
    </row>
    <row r="55677" spans="18:19">
      <c r="R55677" s="178"/>
      <c r="S55677" s="178"/>
    </row>
    <row r="55678" spans="18:19">
      <c r="R55678" s="178"/>
      <c r="S55678" s="178"/>
    </row>
    <row r="55679" spans="18:19">
      <c r="R55679" s="178"/>
      <c r="S55679" s="178"/>
    </row>
    <row r="55680" spans="18:19">
      <c r="R55680" s="178"/>
      <c r="S55680" s="178"/>
    </row>
    <row r="55681" spans="18:19">
      <c r="R55681" s="178"/>
      <c r="S55681" s="178"/>
    </row>
    <row r="55682" spans="18:19">
      <c r="R55682" s="178"/>
      <c r="S55682" s="178"/>
    </row>
    <row r="55683" spans="18:19">
      <c r="R55683" s="178"/>
      <c r="S55683" s="178"/>
    </row>
    <row r="55684" spans="18:19">
      <c r="R55684" s="178"/>
      <c r="S55684" s="178"/>
    </row>
    <row r="55685" spans="18:19">
      <c r="R55685" s="178"/>
      <c r="S55685" s="178"/>
    </row>
    <row r="55686" spans="18:19">
      <c r="R55686" s="178"/>
      <c r="S55686" s="178"/>
    </row>
    <row r="55687" spans="18:19">
      <c r="R55687" s="178"/>
      <c r="S55687" s="178"/>
    </row>
    <row r="55688" spans="18:19">
      <c r="R55688" s="178"/>
      <c r="S55688" s="178"/>
    </row>
    <row r="55689" spans="18:19">
      <c r="R55689" s="178"/>
      <c r="S55689" s="178"/>
    </row>
    <row r="55690" spans="18:19">
      <c r="R55690" s="178"/>
      <c r="S55690" s="178"/>
    </row>
    <row r="55691" spans="18:19">
      <c r="R55691" s="178"/>
      <c r="S55691" s="178"/>
    </row>
    <row r="55692" spans="18:19">
      <c r="R55692" s="178"/>
      <c r="S55692" s="178"/>
    </row>
    <row r="55693" spans="18:19">
      <c r="R55693" s="178"/>
      <c r="S55693" s="178"/>
    </row>
    <row r="55694" spans="18:19">
      <c r="R55694" s="178"/>
      <c r="S55694" s="178"/>
    </row>
    <row r="55695" spans="18:19">
      <c r="R55695" s="178"/>
      <c r="S55695" s="178"/>
    </row>
    <row r="55696" spans="18:19">
      <c r="R55696" s="178"/>
      <c r="S55696" s="178"/>
    </row>
    <row r="55697" spans="18:19">
      <c r="R55697" s="178"/>
      <c r="S55697" s="178"/>
    </row>
    <row r="55698" spans="18:19">
      <c r="R55698" s="178"/>
      <c r="S55698" s="178"/>
    </row>
    <row r="55699" spans="18:19">
      <c r="R55699" s="178"/>
      <c r="S55699" s="178"/>
    </row>
    <row r="55700" spans="18:19">
      <c r="R55700" s="178"/>
      <c r="S55700" s="178"/>
    </row>
    <row r="55701" spans="18:19">
      <c r="R55701" s="178"/>
      <c r="S55701" s="178"/>
    </row>
    <row r="55702" spans="18:19">
      <c r="R55702" s="178"/>
      <c r="S55702" s="178"/>
    </row>
    <row r="55703" spans="18:19">
      <c r="R55703" s="178"/>
      <c r="S55703" s="178"/>
    </row>
    <row r="55704" spans="18:19">
      <c r="R55704" s="178"/>
      <c r="S55704" s="178"/>
    </row>
    <row r="55705" spans="18:19">
      <c r="R55705" s="178"/>
      <c r="S55705" s="178"/>
    </row>
    <row r="55706" spans="18:19">
      <c r="R55706" s="178"/>
      <c r="S55706" s="178"/>
    </row>
    <row r="55707" spans="18:19">
      <c r="R55707" s="178"/>
      <c r="S55707" s="178"/>
    </row>
    <row r="55708" spans="18:19">
      <c r="R55708" s="178"/>
      <c r="S55708" s="178"/>
    </row>
    <row r="55709" spans="18:19">
      <c r="R55709" s="178"/>
      <c r="S55709" s="178"/>
    </row>
    <row r="55710" spans="18:19">
      <c r="R55710" s="178"/>
      <c r="S55710" s="178"/>
    </row>
    <row r="55711" spans="18:19">
      <c r="R55711" s="178"/>
      <c r="S55711" s="178"/>
    </row>
    <row r="55712" spans="18:19">
      <c r="R55712" s="178"/>
      <c r="S55712" s="178"/>
    </row>
    <row r="55713" spans="18:19">
      <c r="R55713" s="178"/>
      <c r="S55713" s="178"/>
    </row>
    <row r="55714" spans="18:19">
      <c r="R55714" s="178"/>
      <c r="S55714" s="178"/>
    </row>
    <row r="55715" spans="18:19">
      <c r="R55715" s="178"/>
      <c r="S55715" s="178"/>
    </row>
    <row r="55716" spans="18:19">
      <c r="R55716" s="178"/>
      <c r="S55716" s="178"/>
    </row>
    <row r="55717" spans="18:19">
      <c r="R55717" s="178"/>
      <c r="S55717" s="178"/>
    </row>
    <row r="55718" spans="18:19">
      <c r="R55718" s="178"/>
      <c r="S55718" s="178"/>
    </row>
    <row r="55719" spans="18:19">
      <c r="R55719" s="178"/>
      <c r="S55719" s="178"/>
    </row>
    <row r="55720" spans="18:19">
      <c r="R55720" s="178"/>
      <c r="S55720" s="178"/>
    </row>
    <row r="55721" spans="18:19">
      <c r="R55721" s="178"/>
      <c r="S55721" s="178"/>
    </row>
    <row r="55722" spans="18:19">
      <c r="R55722" s="178"/>
      <c r="S55722" s="178"/>
    </row>
    <row r="55723" spans="18:19">
      <c r="R55723" s="178"/>
      <c r="S55723" s="178"/>
    </row>
    <row r="55724" spans="18:19">
      <c r="R55724" s="178"/>
      <c r="S55724" s="178"/>
    </row>
    <row r="55725" spans="18:19">
      <c r="R55725" s="178"/>
      <c r="S55725" s="178"/>
    </row>
    <row r="55726" spans="18:19">
      <c r="R55726" s="178"/>
      <c r="S55726" s="178"/>
    </row>
    <row r="55727" spans="18:19">
      <c r="R55727" s="178"/>
      <c r="S55727" s="178"/>
    </row>
    <row r="55728" spans="18:19">
      <c r="R55728" s="178"/>
      <c r="S55728" s="178"/>
    </row>
    <row r="55729" spans="18:19">
      <c r="R55729" s="178"/>
      <c r="S55729" s="178"/>
    </row>
    <row r="55730" spans="18:19">
      <c r="R55730" s="178"/>
      <c r="S55730" s="178"/>
    </row>
    <row r="55731" spans="18:19">
      <c r="R55731" s="178"/>
      <c r="S55731" s="178"/>
    </row>
    <row r="55732" spans="18:19">
      <c r="R55732" s="178"/>
      <c r="S55732" s="178"/>
    </row>
    <row r="55733" spans="18:19">
      <c r="R55733" s="178"/>
      <c r="S55733" s="178"/>
    </row>
    <row r="55734" spans="18:19">
      <c r="R55734" s="178"/>
      <c r="S55734" s="178"/>
    </row>
    <row r="55735" spans="18:19">
      <c r="R55735" s="178"/>
      <c r="S55735" s="178"/>
    </row>
    <row r="55736" spans="18:19">
      <c r="R55736" s="178"/>
      <c r="S55736" s="178"/>
    </row>
    <row r="55737" spans="18:19">
      <c r="R55737" s="178"/>
      <c r="S55737" s="178"/>
    </row>
    <row r="55738" spans="18:19">
      <c r="R55738" s="178"/>
      <c r="S55738" s="178"/>
    </row>
    <row r="55739" spans="18:19">
      <c r="R55739" s="178"/>
      <c r="S55739" s="178"/>
    </row>
    <row r="55740" spans="18:19">
      <c r="R55740" s="178"/>
      <c r="S55740" s="178"/>
    </row>
    <row r="55741" spans="18:19">
      <c r="R55741" s="178"/>
      <c r="S55741" s="178"/>
    </row>
    <row r="55742" spans="18:19">
      <c r="R55742" s="178"/>
      <c r="S55742" s="178"/>
    </row>
    <row r="55743" spans="18:19">
      <c r="R55743" s="178"/>
      <c r="S55743" s="178"/>
    </row>
    <row r="55744" spans="18:19">
      <c r="R55744" s="178"/>
      <c r="S55744" s="178"/>
    </row>
    <row r="55745" spans="18:19">
      <c r="R55745" s="178"/>
      <c r="S55745" s="178"/>
    </row>
    <row r="55746" spans="18:19">
      <c r="R55746" s="178"/>
      <c r="S55746" s="178"/>
    </row>
    <row r="55747" spans="18:19">
      <c r="R55747" s="178"/>
      <c r="S55747" s="178"/>
    </row>
    <row r="55748" spans="18:19">
      <c r="R55748" s="178"/>
      <c r="S55748" s="178"/>
    </row>
    <row r="55749" spans="18:19">
      <c r="R55749" s="178"/>
      <c r="S55749" s="178"/>
    </row>
    <row r="55750" spans="18:19">
      <c r="R55750" s="178"/>
      <c r="S55750" s="178"/>
    </row>
    <row r="55751" spans="18:19">
      <c r="R55751" s="178"/>
      <c r="S55751" s="178"/>
    </row>
    <row r="55752" spans="18:19">
      <c r="R55752" s="178"/>
      <c r="S55752" s="178"/>
    </row>
    <row r="55753" spans="18:19">
      <c r="R55753" s="178"/>
      <c r="S55753" s="178"/>
    </row>
    <row r="55754" spans="18:19">
      <c r="R55754" s="178"/>
      <c r="S55754" s="178"/>
    </row>
    <row r="55755" spans="18:19">
      <c r="R55755" s="178"/>
      <c r="S55755" s="178"/>
    </row>
    <row r="55756" spans="18:19">
      <c r="R55756" s="178"/>
      <c r="S55756" s="178"/>
    </row>
    <row r="55757" spans="18:19">
      <c r="R55757" s="178"/>
      <c r="S55757" s="178"/>
    </row>
    <row r="55758" spans="18:19">
      <c r="R55758" s="178"/>
      <c r="S55758" s="178"/>
    </row>
    <row r="55759" spans="18:19">
      <c r="R55759" s="178"/>
      <c r="S55759" s="178"/>
    </row>
    <row r="55760" spans="18:19">
      <c r="R55760" s="178"/>
      <c r="S55760" s="178"/>
    </row>
    <row r="55761" spans="18:19">
      <c r="R55761" s="178"/>
      <c r="S55761" s="178"/>
    </row>
    <row r="55762" spans="18:19">
      <c r="R55762" s="178"/>
      <c r="S55762" s="178"/>
    </row>
    <row r="55763" spans="18:19">
      <c r="R55763" s="178"/>
      <c r="S55763" s="178"/>
    </row>
    <row r="55764" spans="18:19">
      <c r="R55764" s="178"/>
      <c r="S55764" s="178"/>
    </row>
    <row r="55765" spans="18:19">
      <c r="R55765" s="178"/>
      <c r="S55765" s="178"/>
    </row>
    <row r="55766" spans="18:19">
      <c r="R55766" s="178"/>
      <c r="S55766" s="178"/>
    </row>
    <row r="55767" spans="18:19">
      <c r="R55767" s="178"/>
      <c r="S55767" s="178"/>
    </row>
    <row r="55768" spans="18:19">
      <c r="R55768" s="178"/>
      <c r="S55768" s="178"/>
    </row>
    <row r="55769" spans="18:19">
      <c r="R55769" s="178"/>
      <c r="S55769" s="178"/>
    </row>
    <row r="55770" spans="18:19">
      <c r="R55770" s="178"/>
      <c r="S55770" s="178"/>
    </row>
    <row r="55771" spans="18:19">
      <c r="R55771" s="178"/>
      <c r="S55771" s="178"/>
    </row>
    <row r="55772" spans="18:19">
      <c r="R55772" s="178"/>
      <c r="S55772" s="178"/>
    </row>
    <row r="55773" spans="18:19">
      <c r="R55773" s="178"/>
      <c r="S55773" s="178"/>
    </row>
    <row r="55774" spans="18:19">
      <c r="R55774" s="178"/>
      <c r="S55774" s="178"/>
    </row>
    <row r="55775" spans="18:19">
      <c r="R55775" s="178"/>
      <c r="S55775" s="178"/>
    </row>
    <row r="55776" spans="18:19">
      <c r="R55776" s="178"/>
      <c r="S55776" s="178"/>
    </row>
    <row r="55777" spans="18:19">
      <c r="R55777" s="178"/>
      <c r="S55777" s="178"/>
    </row>
    <row r="55778" spans="18:19">
      <c r="R55778" s="178"/>
      <c r="S55778" s="178"/>
    </row>
    <row r="55779" spans="18:19">
      <c r="R55779" s="178"/>
      <c r="S55779" s="178"/>
    </row>
    <row r="55780" spans="18:19">
      <c r="R55780" s="178"/>
      <c r="S55780" s="178"/>
    </row>
    <row r="55781" spans="18:19">
      <c r="R55781" s="178"/>
      <c r="S55781" s="178"/>
    </row>
    <row r="55782" spans="18:19">
      <c r="R55782" s="178"/>
      <c r="S55782" s="178"/>
    </row>
    <row r="55783" spans="18:19">
      <c r="R55783" s="178"/>
      <c r="S55783" s="178"/>
    </row>
    <row r="55784" spans="18:19">
      <c r="R55784" s="178"/>
      <c r="S55784" s="178"/>
    </row>
    <row r="55785" spans="18:19">
      <c r="R55785" s="178"/>
      <c r="S55785" s="178"/>
    </row>
    <row r="55786" spans="18:19">
      <c r="R55786" s="178"/>
      <c r="S55786" s="178"/>
    </row>
    <row r="55787" spans="18:19">
      <c r="R55787" s="178"/>
      <c r="S55787" s="178"/>
    </row>
    <row r="55788" spans="18:19">
      <c r="R55788" s="178"/>
      <c r="S55788" s="178"/>
    </row>
    <row r="55789" spans="18:19">
      <c r="R55789" s="178"/>
      <c r="S55789" s="178"/>
    </row>
    <row r="55790" spans="18:19">
      <c r="R55790" s="178"/>
      <c r="S55790" s="178"/>
    </row>
    <row r="55791" spans="18:19">
      <c r="R55791" s="178"/>
      <c r="S55791" s="178"/>
    </row>
    <row r="55792" spans="18:19">
      <c r="R55792" s="178"/>
      <c r="S55792" s="178"/>
    </row>
    <row r="55793" spans="18:19">
      <c r="R55793" s="178"/>
      <c r="S55793" s="178"/>
    </row>
    <row r="55794" spans="18:19">
      <c r="R55794" s="178"/>
      <c r="S55794" s="178"/>
    </row>
    <row r="55795" spans="18:19">
      <c r="R55795" s="178"/>
      <c r="S55795" s="178"/>
    </row>
    <row r="55796" spans="18:19">
      <c r="R55796" s="178"/>
      <c r="S55796" s="178"/>
    </row>
    <row r="55797" spans="18:19">
      <c r="R55797" s="178"/>
      <c r="S55797" s="178"/>
    </row>
    <row r="55798" spans="18:19">
      <c r="R55798" s="178"/>
      <c r="S55798" s="178"/>
    </row>
    <row r="55799" spans="18:19">
      <c r="R55799" s="178"/>
      <c r="S55799" s="178"/>
    </row>
    <row r="55800" spans="18:19">
      <c r="R55800" s="178"/>
      <c r="S55800" s="178"/>
    </row>
    <row r="55801" spans="18:19">
      <c r="R55801" s="178"/>
      <c r="S55801" s="178"/>
    </row>
    <row r="55802" spans="18:19">
      <c r="R55802" s="178"/>
      <c r="S55802" s="178"/>
    </row>
    <row r="55803" spans="18:19">
      <c r="R55803" s="178"/>
      <c r="S55803" s="178"/>
    </row>
    <row r="55804" spans="18:19">
      <c r="R55804" s="178"/>
      <c r="S55804" s="178"/>
    </row>
    <row r="55805" spans="18:19">
      <c r="R55805" s="178"/>
      <c r="S55805" s="178"/>
    </row>
    <row r="55806" spans="18:19">
      <c r="R55806" s="178"/>
      <c r="S55806" s="178"/>
    </row>
    <row r="55807" spans="18:19">
      <c r="R55807" s="178"/>
      <c r="S55807" s="178"/>
    </row>
    <row r="55808" spans="18:19">
      <c r="R55808" s="178"/>
      <c r="S55808" s="178"/>
    </row>
    <row r="55809" spans="18:19">
      <c r="R55809" s="178"/>
      <c r="S55809" s="178"/>
    </row>
    <row r="55810" spans="18:19">
      <c r="R55810" s="178"/>
      <c r="S55810" s="178"/>
    </row>
    <row r="55811" spans="18:19">
      <c r="R55811" s="178"/>
      <c r="S55811" s="178"/>
    </row>
    <row r="55812" spans="18:19">
      <c r="R55812" s="178"/>
      <c r="S55812" s="178"/>
    </row>
    <row r="55813" spans="18:19">
      <c r="R55813" s="178"/>
      <c r="S55813" s="178"/>
    </row>
    <row r="55814" spans="18:19">
      <c r="R55814" s="178"/>
      <c r="S55814" s="178"/>
    </row>
    <row r="55815" spans="18:19">
      <c r="R55815" s="178"/>
      <c r="S55815" s="178"/>
    </row>
    <row r="55816" spans="18:19">
      <c r="R55816" s="178"/>
      <c r="S55816" s="178"/>
    </row>
    <row r="55817" spans="18:19">
      <c r="R55817" s="178"/>
      <c r="S55817" s="178"/>
    </row>
    <row r="55818" spans="18:19">
      <c r="R55818" s="178"/>
      <c r="S55818" s="178"/>
    </row>
    <row r="55819" spans="18:19">
      <c r="R55819" s="178"/>
      <c r="S55819" s="178"/>
    </row>
    <row r="55820" spans="18:19">
      <c r="R55820" s="178"/>
      <c r="S55820" s="178"/>
    </row>
    <row r="55821" spans="18:19">
      <c r="R55821" s="178"/>
      <c r="S55821" s="178"/>
    </row>
    <row r="55822" spans="18:19">
      <c r="R55822" s="178"/>
      <c r="S55822" s="178"/>
    </row>
    <row r="55823" spans="18:19">
      <c r="R55823" s="178"/>
      <c r="S55823" s="178"/>
    </row>
    <row r="55824" spans="18:19">
      <c r="R55824" s="178"/>
      <c r="S55824" s="178"/>
    </row>
    <row r="55825" spans="18:19">
      <c r="R55825" s="178"/>
      <c r="S55825" s="178"/>
    </row>
    <row r="55826" spans="18:19">
      <c r="R55826" s="178"/>
      <c r="S55826" s="178"/>
    </row>
    <row r="55827" spans="18:19">
      <c r="R55827" s="178"/>
      <c r="S55827" s="178"/>
    </row>
    <row r="55828" spans="18:19">
      <c r="R55828" s="178"/>
      <c r="S55828" s="178"/>
    </row>
    <row r="55829" spans="18:19">
      <c r="R55829" s="178"/>
      <c r="S55829" s="178"/>
    </row>
    <row r="55830" spans="18:19">
      <c r="R55830" s="178"/>
      <c r="S55830" s="178"/>
    </row>
    <row r="55831" spans="18:19">
      <c r="R55831" s="178"/>
      <c r="S55831" s="178"/>
    </row>
    <row r="55832" spans="18:19">
      <c r="R55832" s="178"/>
      <c r="S55832" s="178"/>
    </row>
    <row r="55833" spans="18:19">
      <c r="R55833" s="178"/>
      <c r="S55833" s="178"/>
    </row>
    <row r="55834" spans="18:19">
      <c r="R55834" s="178"/>
      <c r="S55834" s="178"/>
    </row>
    <row r="55835" spans="18:19">
      <c r="R55835" s="178"/>
      <c r="S55835" s="178"/>
    </row>
    <row r="55836" spans="18:19">
      <c r="R55836" s="178"/>
      <c r="S55836" s="178"/>
    </row>
    <row r="55837" spans="18:19">
      <c r="R55837" s="178"/>
      <c r="S55837" s="178"/>
    </row>
    <row r="55838" spans="18:19">
      <c r="R55838" s="178"/>
      <c r="S55838" s="178"/>
    </row>
    <row r="55839" spans="18:19">
      <c r="R55839" s="178"/>
      <c r="S55839" s="178"/>
    </row>
    <row r="55840" spans="18:19">
      <c r="R55840" s="178"/>
      <c r="S55840" s="178"/>
    </row>
    <row r="55841" spans="18:19">
      <c r="R55841" s="178"/>
      <c r="S55841" s="178"/>
    </row>
    <row r="55842" spans="18:19">
      <c r="R55842" s="178"/>
      <c r="S55842" s="178"/>
    </row>
    <row r="55843" spans="18:19">
      <c r="R55843" s="178"/>
      <c r="S55843" s="178"/>
    </row>
    <row r="55844" spans="18:19">
      <c r="R55844" s="178"/>
      <c r="S55844" s="178"/>
    </row>
    <row r="55845" spans="18:19">
      <c r="R55845" s="178"/>
      <c r="S55845" s="178"/>
    </row>
    <row r="55846" spans="18:19">
      <c r="R55846" s="178"/>
      <c r="S55846" s="178"/>
    </row>
    <row r="55847" spans="18:19">
      <c r="R55847" s="178"/>
      <c r="S55847" s="178"/>
    </row>
    <row r="55848" spans="18:19">
      <c r="R55848" s="178"/>
      <c r="S55848" s="178"/>
    </row>
    <row r="55849" spans="18:19">
      <c r="R55849" s="178"/>
      <c r="S55849" s="178"/>
    </row>
    <row r="55850" spans="18:19">
      <c r="R55850" s="178"/>
      <c r="S55850" s="178"/>
    </row>
    <row r="55851" spans="18:19">
      <c r="R55851" s="178"/>
      <c r="S55851" s="178"/>
    </row>
    <row r="55852" spans="18:19">
      <c r="R55852" s="178"/>
      <c r="S55852" s="178"/>
    </row>
    <row r="55853" spans="18:19">
      <c r="R55853" s="178"/>
      <c r="S55853" s="178"/>
    </row>
    <row r="55854" spans="18:19">
      <c r="R55854" s="178"/>
      <c r="S55854" s="178"/>
    </row>
    <row r="55855" spans="18:19">
      <c r="R55855" s="178"/>
      <c r="S55855" s="178"/>
    </row>
    <row r="55856" spans="18:19">
      <c r="R55856" s="178"/>
      <c r="S55856" s="178"/>
    </row>
    <row r="55857" spans="18:19">
      <c r="R55857" s="178"/>
      <c r="S55857" s="178"/>
    </row>
    <row r="55858" spans="18:19">
      <c r="R55858" s="178"/>
      <c r="S55858" s="178"/>
    </row>
    <row r="55859" spans="18:19">
      <c r="R55859" s="178"/>
      <c r="S55859" s="178"/>
    </row>
    <row r="55860" spans="18:19">
      <c r="R55860" s="178"/>
      <c r="S55860" s="178"/>
    </row>
    <row r="55861" spans="18:19">
      <c r="R55861" s="178"/>
      <c r="S55861" s="178"/>
    </row>
    <row r="55862" spans="18:19">
      <c r="R55862" s="178"/>
      <c r="S55862" s="178"/>
    </row>
    <row r="55863" spans="18:19">
      <c r="R55863" s="178"/>
      <c r="S55863" s="178"/>
    </row>
    <row r="55864" spans="18:19">
      <c r="R55864" s="178"/>
      <c r="S55864" s="178"/>
    </row>
    <row r="55865" spans="18:19">
      <c r="R55865" s="178"/>
      <c r="S55865" s="178"/>
    </row>
    <row r="55866" spans="18:19">
      <c r="R55866" s="178"/>
      <c r="S55866" s="178"/>
    </row>
    <row r="55867" spans="18:19">
      <c r="R55867" s="178"/>
      <c r="S55867" s="178"/>
    </row>
    <row r="55868" spans="18:19">
      <c r="R55868" s="178"/>
      <c r="S55868" s="178"/>
    </row>
    <row r="55869" spans="18:19">
      <c r="R55869" s="178"/>
      <c r="S55869" s="178"/>
    </row>
    <row r="55870" spans="18:19">
      <c r="R55870" s="178"/>
      <c r="S55870" s="178"/>
    </row>
    <row r="55871" spans="18:19">
      <c r="R55871" s="178"/>
      <c r="S55871" s="178"/>
    </row>
    <row r="55872" spans="18:19">
      <c r="R55872" s="178"/>
      <c r="S55872" s="178"/>
    </row>
    <row r="55873" spans="18:19">
      <c r="R55873" s="178"/>
      <c r="S55873" s="178"/>
    </row>
    <row r="55874" spans="18:19">
      <c r="R55874" s="178"/>
      <c r="S55874" s="178"/>
    </row>
    <row r="55875" spans="18:19">
      <c r="R55875" s="178"/>
      <c r="S55875" s="178"/>
    </row>
    <row r="55876" spans="18:19">
      <c r="R55876" s="178"/>
      <c r="S55876" s="178"/>
    </row>
    <row r="55877" spans="18:19">
      <c r="R55877" s="178"/>
      <c r="S55877" s="178"/>
    </row>
    <row r="55878" spans="18:19">
      <c r="R55878" s="178"/>
      <c r="S55878" s="178"/>
    </row>
    <row r="55879" spans="18:19">
      <c r="R55879" s="178"/>
      <c r="S55879" s="178"/>
    </row>
    <row r="55880" spans="18:19">
      <c r="R55880" s="178"/>
      <c r="S55880" s="178"/>
    </row>
    <row r="55881" spans="18:19">
      <c r="R55881" s="178"/>
      <c r="S55881" s="178"/>
    </row>
    <row r="55882" spans="18:19">
      <c r="R55882" s="178"/>
      <c r="S55882" s="178"/>
    </row>
    <row r="55883" spans="18:19">
      <c r="R55883" s="178"/>
      <c r="S55883" s="178"/>
    </row>
    <row r="55884" spans="18:19">
      <c r="R55884" s="178"/>
      <c r="S55884" s="178"/>
    </row>
    <row r="55885" spans="18:19">
      <c r="R55885" s="178"/>
      <c r="S55885" s="178"/>
    </row>
    <row r="55886" spans="18:19">
      <c r="R55886" s="178"/>
      <c r="S55886" s="178"/>
    </row>
    <row r="55887" spans="18:19">
      <c r="R55887" s="178"/>
      <c r="S55887" s="178"/>
    </row>
    <row r="55888" spans="18:19">
      <c r="R55888" s="178"/>
      <c r="S55888" s="178"/>
    </row>
    <row r="55889" spans="18:19">
      <c r="R55889" s="178"/>
      <c r="S55889" s="178"/>
    </row>
    <row r="55890" spans="18:19">
      <c r="R55890" s="178"/>
      <c r="S55890" s="178"/>
    </row>
    <row r="55891" spans="18:19">
      <c r="R55891" s="178"/>
      <c r="S55891" s="178"/>
    </row>
    <row r="55892" spans="18:19">
      <c r="R55892" s="178"/>
      <c r="S55892" s="178"/>
    </row>
    <row r="55893" spans="18:19">
      <c r="R55893" s="178"/>
      <c r="S55893" s="178"/>
    </row>
    <row r="55894" spans="18:19">
      <c r="R55894" s="178"/>
      <c r="S55894" s="178"/>
    </row>
    <row r="55895" spans="18:19">
      <c r="R55895" s="178"/>
      <c r="S55895" s="178"/>
    </row>
    <row r="55896" spans="18:19">
      <c r="R55896" s="178"/>
      <c r="S55896" s="178"/>
    </row>
    <row r="55897" spans="18:19">
      <c r="R55897" s="178"/>
      <c r="S55897" s="178"/>
    </row>
    <row r="55898" spans="18:19">
      <c r="R55898" s="178"/>
      <c r="S55898" s="178"/>
    </row>
    <row r="55899" spans="18:19">
      <c r="R55899" s="178"/>
      <c r="S55899" s="178"/>
    </row>
    <row r="55900" spans="18:19">
      <c r="R55900" s="178"/>
      <c r="S55900" s="178"/>
    </row>
    <row r="55901" spans="18:19">
      <c r="R55901" s="178"/>
      <c r="S55901" s="178"/>
    </row>
    <row r="55902" spans="18:19">
      <c r="R55902" s="178"/>
      <c r="S55902" s="178"/>
    </row>
    <row r="55903" spans="18:19">
      <c r="R55903" s="178"/>
      <c r="S55903" s="178"/>
    </row>
    <row r="55904" spans="18:19">
      <c r="R55904" s="178"/>
      <c r="S55904" s="178"/>
    </row>
    <row r="55905" spans="18:19">
      <c r="R55905" s="178"/>
      <c r="S55905" s="178"/>
    </row>
    <row r="55906" spans="18:19">
      <c r="R55906" s="178"/>
      <c r="S55906" s="178"/>
    </row>
    <row r="55907" spans="18:19">
      <c r="R55907" s="178"/>
      <c r="S55907" s="178"/>
    </row>
    <row r="55908" spans="18:19">
      <c r="R55908" s="178"/>
      <c r="S55908" s="178"/>
    </row>
    <row r="55909" spans="18:19">
      <c r="R55909" s="178"/>
      <c r="S55909" s="178"/>
    </row>
    <row r="55910" spans="18:19">
      <c r="R55910" s="178"/>
      <c r="S55910" s="178"/>
    </row>
    <row r="55911" spans="18:19">
      <c r="R55911" s="178"/>
      <c r="S55911" s="178"/>
    </row>
    <row r="55912" spans="18:19">
      <c r="R55912" s="178"/>
      <c r="S55912" s="178"/>
    </row>
    <row r="55913" spans="18:19">
      <c r="R55913" s="178"/>
      <c r="S55913" s="178"/>
    </row>
    <row r="55914" spans="18:19">
      <c r="R55914" s="178"/>
      <c r="S55914" s="178"/>
    </row>
    <row r="55915" spans="18:19">
      <c r="R55915" s="178"/>
      <c r="S55915" s="178"/>
    </row>
    <row r="55916" spans="18:19">
      <c r="R55916" s="178"/>
      <c r="S55916" s="178"/>
    </row>
    <row r="55917" spans="18:19">
      <c r="R55917" s="178"/>
      <c r="S55917" s="178"/>
    </row>
    <row r="55918" spans="18:19">
      <c r="R55918" s="178"/>
      <c r="S55918" s="178"/>
    </row>
    <row r="55919" spans="18:19">
      <c r="R55919" s="178"/>
      <c r="S55919" s="178"/>
    </row>
    <row r="55920" spans="18:19">
      <c r="R55920" s="178"/>
      <c r="S55920" s="178"/>
    </row>
    <row r="55921" spans="18:19">
      <c r="R55921" s="178"/>
      <c r="S55921" s="178"/>
    </row>
    <row r="55922" spans="18:19">
      <c r="R55922" s="178"/>
      <c r="S55922" s="178"/>
    </row>
    <row r="55923" spans="18:19">
      <c r="R55923" s="178"/>
      <c r="S55923" s="178"/>
    </row>
    <row r="55924" spans="18:19">
      <c r="R55924" s="178"/>
      <c r="S55924" s="178"/>
    </row>
    <row r="55925" spans="18:19">
      <c r="R55925" s="178"/>
      <c r="S55925" s="178"/>
    </row>
    <row r="55926" spans="18:19">
      <c r="R55926" s="178"/>
      <c r="S55926" s="178"/>
    </row>
    <row r="55927" spans="18:19">
      <c r="R55927" s="178"/>
      <c r="S55927" s="178"/>
    </row>
    <row r="55928" spans="18:19">
      <c r="R55928" s="178"/>
      <c r="S55928" s="178"/>
    </row>
    <row r="55929" spans="18:19">
      <c r="R55929" s="178"/>
      <c r="S55929" s="178"/>
    </row>
    <row r="55930" spans="18:19">
      <c r="R55930" s="178"/>
      <c r="S55930" s="178"/>
    </row>
    <row r="55931" spans="18:19">
      <c r="R55931" s="178"/>
      <c r="S55931" s="178"/>
    </row>
    <row r="55932" spans="18:19">
      <c r="R55932" s="178"/>
      <c r="S55932" s="178"/>
    </row>
    <row r="55933" spans="18:19">
      <c r="R55933" s="178"/>
      <c r="S55933" s="178"/>
    </row>
    <row r="55934" spans="18:19">
      <c r="R55934" s="178"/>
      <c r="S55934" s="178"/>
    </row>
    <row r="55935" spans="18:19">
      <c r="R55935" s="178"/>
      <c r="S55935" s="178"/>
    </row>
    <row r="55936" spans="18:19">
      <c r="R55936" s="178"/>
      <c r="S55936" s="178"/>
    </row>
    <row r="55937" spans="18:19">
      <c r="R55937" s="178"/>
      <c r="S55937" s="178"/>
    </row>
    <row r="55938" spans="18:19">
      <c r="R55938" s="178"/>
      <c r="S55938" s="178"/>
    </row>
    <row r="55939" spans="18:19">
      <c r="R55939" s="178"/>
      <c r="S55939" s="178"/>
    </row>
    <row r="55940" spans="18:19">
      <c r="R55940" s="178"/>
      <c r="S55940" s="178"/>
    </row>
    <row r="55941" spans="18:19">
      <c r="R55941" s="178"/>
      <c r="S55941" s="178"/>
    </row>
    <row r="55942" spans="18:19">
      <c r="R55942" s="178"/>
      <c r="S55942" s="178"/>
    </row>
    <row r="55943" spans="18:19">
      <c r="R55943" s="178"/>
      <c r="S55943" s="178"/>
    </row>
    <row r="55944" spans="18:19">
      <c r="R55944" s="178"/>
      <c r="S55944" s="178"/>
    </row>
    <row r="55945" spans="18:19">
      <c r="R55945" s="178"/>
      <c r="S55945" s="178"/>
    </row>
    <row r="55946" spans="18:19">
      <c r="R55946" s="178"/>
      <c r="S55946" s="178"/>
    </row>
    <row r="55947" spans="18:19">
      <c r="R55947" s="178"/>
      <c r="S55947" s="178"/>
    </row>
    <row r="55948" spans="18:19">
      <c r="R55948" s="178"/>
      <c r="S55948" s="178"/>
    </row>
    <row r="55949" spans="18:19">
      <c r="R55949" s="178"/>
      <c r="S55949" s="178"/>
    </row>
    <row r="55950" spans="18:19">
      <c r="R55950" s="178"/>
      <c r="S55950" s="178"/>
    </row>
    <row r="55951" spans="18:19">
      <c r="R55951" s="178"/>
      <c r="S55951" s="178"/>
    </row>
    <row r="55952" spans="18:19">
      <c r="R55952" s="178"/>
      <c r="S55952" s="178"/>
    </row>
    <row r="55953" spans="18:19">
      <c r="R55953" s="178"/>
      <c r="S55953" s="178"/>
    </row>
    <row r="55954" spans="18:19">
      <c r="R55954" s="178"/>
      <c r="S55954" s="178"/>
    </row>
    <row r="55955" spans="18:19">
      <c r="R55955" s="178"/>
      <c r="S55955" s="178"/>
    </row>
    <row r="55956" spans="18:19">
      <c r="R55956" s="178"/>
      <c r="S55956" s="178"/>
    </row>
    <row r="55957" spans="18:19">
      <c r="R55957" s="178"/>
      <c r="S55957" s="178"/>
    </row>
    <row r="55958" spans="18:19">
      <c r="R55958" s="178"/>
      <c r="S55958" s="178"/>
    </row>
    <row r="55959" spans="18:19">
      <c r="R55959" s="178"/>
      <c r="S55959" s="178"/>
    </row>
    <row r="55960" spans="18:19">
      <c r="R55960" s="178"/>
      <c r="S55960" s="178"/>
    </row>
    <row r="55961" spans="18:19">
      <c r="R55961" s="178"/>
      <c r="S55961" s="178"/>
    </row>
    <row r="55962" spans="18:19">
      <c r="R55962" s="178"/>
      <c r="S55962" s="178"/>
    </row>
    <row r="55963" spans="18:19">
      <c r="R55963" s="178"/>
      <c r="S55963" s="178"/>
    </row>
    <row r="55964" spans="18:19">
      <c r="R55964" s="178"/>
      <c r="S55964" s="178"/>
    </row>
    <row r="55965" spans="18:19">
      <c r="R55965" s="178"/>
      <c r="S55965" s="178"/>
    </row>
    <row r="55966" spans="18:19">
      <c r="R55966" s="178"/>
      <c r="S55966" s="178"/>
    </row>
    <row r="55967" spans="18:19">
      <c r="R55967" s="178"/>
      <c r="S55967" s="178"/>
    </row>
    <row r="55968" spans="18:19">
      <c r="R55968" s="178"/>
      <c r="S55968" s="178"/>
    </row>
    <row r="55969" spans="18:19">
      <c r="R55969" s="178"/>
      <c r="S55969" s="178"/>
    </row>
    <row r="55970" spans="18:19">
      <c r="R55970" s="178"/>
      <c r="S55970" s="178"/>
    </row>
    <row r="55971" spans="18:19">
      <c r="R55971" s="178"/>
      <c r="S55971" s="178"/>
    </row>
    <row r="55972" spans="18:19">
      <c r="R55972" s="178"/>
      <c r="S55972" s="178"/>
    </row>
    <row r="55973" spans="18:19">
      <c r="R55973" s="178"/>
      <c r="S55973" s="178"/>
    </row>
    <row r="55974" spans="18:19">
      <c r="R55974" s="178"/>
      <c r="S55974" s="178"/>
    </row>
    <row r="55975" spans="18:19">
      <c r="R55975" s="178"/>
      <c r="S55975" s="178"/>
    </row>
    <row r="55976" spans="18:19">
      <c r="R55976" s="178"/>
      <c r="S55976" s="178"/>
    </row>
    <row r="55977" spans="18:19">
      <c r="R55977" s="178"/>
      <c r="S55977" s="178"/>
    </row>
    <row r="55978" spans="18:19">
      <c r="R55978" s="178"/>
      <c r="S55978" s="178"/>
    </row>
    <row r="55979" spans="18:19">
      <c r="R55979" s="178"/>
      <c r="S55979" s="178"/>
    </row>
    <row r="55980" spans="18:19">
      <c r="R55980" s="178"/>
      <c r="S55980" s="178"/>
    </row>
    <row r="55981" spans="18:19">
      <c r="R55981" s="178"/>
      <c r="S55981" s="178"/>
    </row>
    <row r="55982" spans="18:19">
      <c r="R55982" s="178"/>
      <c r="S55982" s="178"/>
    </row>
    <row r="55983" spans="18:19">
      <c r="R55983" s="178"/>
      <c r="S55983" s="178"/>
    </row>
    <row r="55984" spans="18:19">
      <c r="R55984" s="178"/>
      <c r="S55984" s="178"/>
    </row>
    <row r="55985" spans="18:19">
      <c r="R55985" s="178"/>
      <c r="S55985" s="178"/>
    </row>
    <row r="55986" spans="18:19">
      <c r="R55986" s="178"/>
      <c r="S55986" s="178"/>
    </row>
    <row r="55987" spans="18:19">
      <c r="R55987" s="178"/>
      <c r="S55987" s="178"/>
    </row>
    <row r="55988" spans="18:19">
      <c r="R55988" s="178"/>
      <c r="S55988" s="178"/>
    </row>
    <row r="55989" spans="18:19">
      <c r="R55989" s="178"/>
      <c r="S55989" s="178"/>
    </row>
    <row r="55990" spans="18:19">
      <c r="R55990" s="178"/>
      <c r="S55990" s="178"/>
    </row>
    <row r="55991" spans="18:19">
      <c r="R55991" s="178"/>
      <c r="S55991" s="178"/>
    </row>
    <row r="55992" spans="18:19">
      <c r="R55992" s="178"/>
      <c r="S55992" s="178"/>
    </row>
    <row r="55993" spans="18:19">
      <c r="R55993" s="178"/>
      <c r="S55993" s="178"/>
    </row>
    <row r="55994" spans="18:19">
      <c r="R55994" s="178"/>
      <c r="S55994" s="178"/>
    </row>
    <row r="55995" spans="18:19">
      <c r="R55995" s="178"/>
      <c r="S55995" s="178"/>
    </row>
    <row r="55996" spans="18:19">
      <c r="R55996" s="178"/>
      <c r="S55996" s="178"/>
    </row>
    <row r="55997" spans="18:19">
      <c r="R55997" s="178"/>
      <c r="S55997" s="178"/>
    </row>
    <row r="55998" spans="18:19">
      <c r="R55998" s="178"/>
      <c r="S55998" s="178"/>
    </row>
    <row r="55999" spans="18:19">
      <c r="R55999" s="178"/>
      <c r="S55999" s="178"/>
    </row>
    <row r="56000" spans="18:19">
      <c r="R56000" s="178"/>
      <c r="S56000" s="178"/>
    </row>
    <row r="56001" spans="18:19">
      <c r="R56001" s="178"/>
      <c r="S56001" s="178"/>
    </row>
    <row r="56002" spans="18:19">
      <c r="R56002" s="178"/>
      <c r="S56002" s="178"/>
    </row>
    <row r="56003" spans="18:19">
      <c r="R56003" s="178"/>
      <c r="S56003" s="178"/>
    </row>
    <row r="56004" spans="18:19">
      <c r="R56004" s="178"/>
      <c r="S56004" s="178"/>
    </row>
    <row r="56005" spans="18:19">
      <c r="R56005" s="178"/>
      <c r="S56005" s="178"/>
    </row>
    <row r="56006" spans="18:19">
      <c r="R56006" s="178"/>
      <c r="S56006" s="178"/>
    </row>
    <row r="56007" spans="18:19">
      <c r="R56007" s="178"/>
      <c r="S56007" s="178"/>
    </row>
    <row r="56008" spans="18:19">
      <c r="R56008" s="178"/>
      <c r="S56008" s="178"/>
    </row>
    <row r="56009" spans="18:19">
      <c r="R56009" s="178"/>
      <c r="S56009" s="178"/>
    </row>
    <row r="56010" spans="18:19">
      <c r="R56010" s="178"/>
      <c r="S56010" s="178"/>
    </row>
    <row r="56011" spans="18:19">
      <c r="R56011" s="178"/>
      <c r="S56011" s="178"/>
    </row>
    <row r="56012" spans="18:19">
      <c r="R56012" s="178"/>
      <c r="S56012" s="178"/>
    </row>
    <row r="56013" spans="18:19">
      <c r="R56013" s="178"/>
      <c r="S56013" s="178"/>
    </row>
    <row r="56014" spans="18:19">
      <c r="R56014" s="178"/>
      <c r="S56014" s="178"/>
    </row>
    <row r="56015" spans="18:19">
      <c r="R56015" s="178"/>
      <c r="S56015" s="178"/>
    </row>
    <row r="56016" spans="18:19">
      <c r="R56016" s="178"/>
      <c r="S56016" s="178"/>
    </row>
    <row r="56017" spans="18:19">
      <c r="R56017" s="178"/>
      <c r="S56017" s="178"/>
    </row>
    <row r="56018" spans="18:19">
      <c r="R56018" s="178"/>
      <c r="S56018" s="178"/>
    </row>
    <row r="56019" spans="18:19">
      <c r="R56019" s="178"/>
      <c r="S56019" s="178"/>
    </row>
    <row r="56020" spans="18:19">
      <c r="R56020" s="178"/>
      <c r="S56020" s="178"/>
    </row>
    <row r="56021" spans="18:19">
      <c r="R56021" s="178"/>
      <c r="S56021" s="178"/>
    </row>
    <row r="56022" spans="18:19">
      <c r="R56022" s="178"/>
      <c r="S56022" s="178"/>
    </row>
    <row r="56023" spans="18:19">
      <c r="R56023" s="178"/>
      <c r="S56023" s="178"/>
    </row>
    <row r="56024" spans="18:19">
      <c r="R56024" s="178"/>
      <c r="S56024" s="178"/>
    </row>
    <row r="56025" spans="18:19">
      <c r="R56025" s="178"/>
      <c r="S56025" s="178"/>
    </row>
    <row r="56026" spans="18:19">
      <c r="R56026" s="178"/>
      <c r="S56026" s="178"/>
    </row>
    <row r="56027" spans="18:19">
      <c r="R56027" s="178"/>
      <c r="S56027" s="178"/>
    </row>
    <row r="56028" spans="18:19">
      <c r="R56028" s="178"/>
      <c r="S56028" s="178"/>
    </row>
    <row r="56029" spans="18:19">
      <c r="R56029" s="178"/>
      <c r="S56029" s="178"/>
    </row>
    <row r="56030" spans="18:19">
      <c r="R56030" s="178"/>
      <c r="S56030" s="178"/>
    </row>
    <row r="56031" spans="18:19">
      <c r="R56031" s="178"/>
      <c r="S56031" s="178"/>
    </row>
    <row r="56032" spans="18:19">
      <c r="R56032" s="178"/>
      <c r="S56032" s="178"/>
    </row>
    <row r="56033" spans="18:19">
      <c r="R56033" s="178"/>
      <c r="S56033" s="178"/>
    </row>
    <row r="56034" spans="18:19">
      <c r="R56034" s="178"/>
      <c r="S56034" s="178"/>
    </row>
    <row r="56035" spans="18:19">
      <c r="R56035" s="178"/>
      <c r="S56035" s="178"/>
    </row>
    <row r="56036" spans="18:19">
      <c r="R56036" s="178"/>
      <c r="S56036" s="178"/>
    </row>
    <row r="56037" spans="18:19">
      <c r="R56037" s="178"/>
      <c r="S56037" s="178"/>
    </row>
    <row r="56038" spans="18:19">
      <c r="R56038" s="178"/>
      <c r="S56038" s="178"/>
    </row>
    <row r="56039" spans="18:19">
      <c r="R56039" s="178"/>
      <c r="S56039" s="178"/>
    </row>
    <row r="56040" spans="18:19">
      <c r="R56040" s="178"/>
      <c r="S56040" s="178"/>
    </row>
    <row r="56041" spans="18:19">
      <c r="R56041" s="178"/>
      <c r="S56041" s="178"/>
    </row>
    <row r="56042" spans="18:19">
      <c r="R56042" s="178"/>
      <c r="S56042" s="178"/>
    </row>
    <row r="56043" spans="18:19">
      <c r="R56043" s="178"/>
      <c r="S56043" s="178"/>
    </row>
    <row r="56044" spans="18:19">
      <c r="R56044" s="178"/>
      <c r="S56044" s="178"/>
    </row>
    <row r="56045" spans="18:19">
      <c r="R56045" s="178"/>
      <c r="S56045" s="178"/>
    </row>
    <row r="56046" spans="18:19">
      <c r="R56046" s="178"/>
      <c r="S56046" s="178"/>
    </row>
    <row r="56047" spans="18:19">
      <c r="R56047" s="178"/>
      <c r="S56047" s="178"/>
    </row>
    <row r="56048" spans="18:19">
      <c r="R56048" s="178"/>
      <c r="S56048" s="178"/>
    </row>
    <row r="56049" spans="18:19">
      <c r="R56049" s="178"/>
      <c r="S56049" s="178"/>
    </row>
    <row r="56050" spans="18:19">
      <c r="R56050" s="178"/>
      <c r="S56050" s="178"/>
    </row>
    <row r="56051" spans="18:19">
      <c r="R56051" s="178"/>
      <c r="S56051" s="178"/>
    </row>
    <row r="56052" spans="18:19">
      <c r="R56052" s="178"/>
      <c r="S56052" s="178"/>
    </row>
    <row r="56053" spans="18:19">
      <c r="R56053" s="178"/>
      <c r="S56053" s="178"/>
    </row>
    <row r="56054" spans="18:19">
      <c r="R56054" s="178"/>
      <c r="S56054" s="178"/>
    </row>
    <row r="56055" spans="18:19">
      <c r="R56055" s="178"/>
      <c r="S56055" s="178"/>
    </row>
    <row r="56056" spans="18:19">
      <c r="R56056" s="178"/>
      <c r="S56056" s="178"/>
    </row>
    <row r="56057" spans="18:19">
      <c r="R56057" s="178"/>
      <c r="S56057" s="178"/>
    </row>
    <row r="56058" spans="18:19">
      <c r="R56058" s="178"/>
      <c r="S56058" s="178"/>
    </row>
    <row r="56059" spans="18:19">
      <c r="R56059" s="178"/>
      <c r="S56059" s="178"/>
    </row>
    <row r="56060" spans="18:19">
      <c r="R56060" s="178"/>
      <c r="S56060" s="178"/>
    </row>
    <row r="56061" spans="18:19">
      <c r="R56061" s="178"/>
      <c r="S56061" s="178"/>
    </row>
    <row r="56062" spans="18:19">
      <c r="R56062" s="178"/>
      <c r="S56062" s="178"/>
    </row>
    <row r="56063" spans="18:19">
      <c r="R56063" s="178"/>
      <c r="S56063" s="178"/>
    </row>
    <row r="56064" spans="18:19">
      <c r="R56064" s="178"/>
      <c r="S56064" s="178"/>
    </row>
    <row r="56065" spans="18:19">
      <c r="R56065" s="178"/>
      <c r="S56065" s="178"/>
    </row>
    <row r="56066" spans="18:19">
      <c r="R56066" s="178"/>
      <c r="S56066" s="178"/>
    </row>
    <row r="56067" spans="18:19">
      <c r="R56067" s="178"/>
      <c r="S56067" s="178"/>
    </row>
    <row r="56068" spans="18:19">
      <c r="R56068" s="178"/>
      <c r="S56068" s="178"/>
    </row>
    <row r="56069" spans="18:19">
      <c r="R56069" s="178"/>
      <c r="S56069" s="178"/>
    </row>
    <row r="56070" spans="18:19">
      <c r="R56070" s="178"/>
      <c r="S56070" s="178"/>
    </row>
    <row r="56071" spans="18:19">
      <c r="R56071" s="178"/>
      <c r="S56071" s="178"/>
    </row>
    <row r="56072" spans="18:19">
      <c r="R56072" s="178"/>
      <c r="S56072" s="178"/>
    </row>
    <row r="56073" spans="18:19">
      <c r="R56073" s="178"/>
      <c r="S56073" s="178"/>
    </row>
    <row r="56074" spans="18:19">
      <c r="R56074" s="178"/>
      <c r="S56074" s="178"/>
    </row>
    <row r="56075" spans="18:19">
      <c r="R56075" s="178"/>
      <c r="S56075" s="178"/>
    </row>
    <row r="56076" spans="18:19">
      <c r="R56076" s="178"/>
      <c r="S56076" s="178"/>
    </row>
    <row r="56077" spans="18:19">
      <c r="R56077" s="178"/>
      <c r="S56077" s="178"/>
    </row>
    <row r="56078" spans="18:19">
      <c r="R56078" s="178"/>
      <c r="S56078" s="178"/>
    </row>
    <row r="56079" spans="18:19">
      <c r="R56079" s="178"/>
      <c r="S56079" s="178"/>
    </row>
    <row r="56080" spans="18:19">
      <c r="R56080" s="178"/>
      <c r="S56080" s="178"/>
    </row>
    <row r="56081" spans="18:19">
      <c r="R56081" s="178"/>
      <c r="S56081" s="178"/>
    </row>
    <row r="56082" spans="18:19">
      <c r="R56082" s="178"/>
      <c r="S56082" s="178"/>
    </row>
    <row r="56083" spans="18:19">
      <c r="R56083" s="178"/>
      <c r="S56083" s="178"/>
    </row>
    <row r="56084" spans="18:19">
      <c r="R56084" s="178"/>
      <c r="S56084" s="178"/>
    </row>
    <row r="56085" spans="18:19">
      <c r="R56085" s="178"/>
      <c r="S56085" s="178"/>
    </row>
    <row r="56086" spans="18:19">
      <c r="R56086" s="178"/>
      <c r="S56086" s="178"/>
    </row>
    <row r="56087" spans="18:19">
      <c r="R56087" s="178"/>
      <c r="S56087" s="178"/>
    </row>
    <row r="56088" spans="18:19">
      <c r="R56088" s="178"/>
      <c r="S56088" s="178"/>
    </row>
    <row r="56089" spans="18:19">
      <c r="R56089" s="178"/>
      <c r="S56089" s="178"/>
    </row>
    <row r="56090" spans="18:19">
      <c r="R56090" s="178"/>
      <c r="S56090" s="178"/>
    </row>
    <row r="56091" spans="18:19">
      <c r="R56091" s="178"/>
      <c r="S56091" s="178"/>
    </row>
    <row r="56092" spans="18:19">
      <c r="R56092" s="178"/>
      <c r="S56092" s="178"/>
    </row>
    <row r="56093" spans="18:19">
      <c r="R56093" s="178"/>
      <c r="S56093" s="178"/>
    </row>
    <row r="56094" spans="18:19">
      <c r="R56094" s="178"/>
      <c r="S56094" s="178"/>
    </row>
    <row r="56095" spans="18:19">
      <c r="R56095" s="178"/>
      <c r="S56095" s="178"/>
    </row>
    <row r="56096" spans="18:19">
      <c r="R56096" s="178"/>
      <c r="S56096" s="178"/>
    </row>
    <row r="56097" spans="18:19">
      <c r="R56097" s="178"/>
      <c r="S56097" s="178"/>
    </row>
    <row r="56098" spans="18:19">
      <c r="R56098" s="178"/>
      <c r="S56098" s="178"/>
    </row>
    <row r="56099" spans="18:19">
      <c r="R56099" s="178"/>
      <c r="S56099" s="178"/>
    </row>
    <row r="56100" spans="18:19">
      <c r="R56100" s="178"/>
      <c r="S56100" s="178"/>
    </row>
    <row r="56101" spans="18:19">
      <c r="R56101" s="178"/>
      <c r="S56101" s="178"/>
    </row>
    <row r="56102" spans="18:19">
      <c r="R56102" s="178"/>
      <c r="S56102" s="178"/>
    </row>
    <row r="56103" spans="18:19">
      <c r="R56103" s="178"/>
      <c r="S56103" s="178"/>
    </row>
    <row r="56104" spans="18:19">
      <c r="R56104" s="178"/>
      <c r="S56104" s="178"/>
    </row>
    <row r="56105" spans="18:19">
      <c r="R56105" s="178"/>
      <c r="S56105" s="178"/>
    </row>
    <row r="56106" spans="18:19">
      <c r="R56106" s="178"/>
      <c r="S56106" s="178"/>
    </row>
    <row r="56107" spans="18:19">
      <c r="R56107" s="178"/>
      <c r="S56107" s="178"/>
    </row>
    <row r="56108" spans="18:19">
      <c r="R56108" s="178"/>
      <c r="S56108" s="178"/>
    </row>
    <row r="56109" spans="18:19">
      <c r="R56109" s="178"/>
      <c r="S56109" s="178"/>
    </row>
    <row r="56110" spans="18:19">
      <c r="R56110" s="178"/>
      <c r="S56110" s="178"/>
    </row>
    <row r="56111" spans="18:19">
      <c r="R56111" s="178"/>
      <c r="S56111" s="178"/>
    </row>
    <row r="56112" spans="18:19">
      <c r="R56112" s="178"/>
      <c r="S56112" s="178"/>
    </row>
    <row r="56113" spans="18:19">
      <c r="R56113" s="178"/>
      <c r="S56113" s="178"/>
    </row>
    <row r="56114" spans="18:19">
      <c r="R56114" s="178"/>
      <c r="S56114" s="178"/>
    </row>
    <row r="56115" spans="18:19">
      <c r="R56115" s="178"/>
      <c r="S56115" s="178"/>
    </row>
    <row r="56116" spans="18:19">
      <c r="R56116" s="178"/>
      <c r="S56116" s="178"/>
    </row>
    <row r="56117" spans="18:19">
      <c r="R56117" s="178"/>
      <c r="S56117" s="178"/>
    </row>
    <row r="56118" spans="18:19">
      <c r="R56118" s="178"/>
      <c r="S56118" s="178"/>
    </row>
    <row r="56119" spans="18:19">
      <c r="R56119" s="178"/>
      <c r="S56119" s="178"/>
    </row>
    <row r="56120" spans="18:19">
      <c r="R56120" s="178"/>
      <c r="S56120" s="178"/>
    </row>
    <row r="56121" spans="18:19">
      <c r="R56121" s="178"/>
      <c r="S56121" s="178"/>
    </row>
    <row r="56122" spans="18:19">
      <c r="R56122" s="178"/>
      <c r="S56122" s="178"/>
    </row>
    <row r="56123" spans="18:19">
      <c r="R56123" s="178"/>
      <c r="S56123" s="178"/>
    </row>
    <row r="56124" spans="18:19">
      <c r="R56124" s="178"/>
      <c r="S56124" s="178"/>
    </row>
    <row r="56125" spans="18:19">
      <c r="R56125" s="178"/>
      <c r="S56125" s="178"/>
    </row>
    <row r="56126" spans="18:19">
      <c r="R56126" s="178"/>
      <c r="S56126" s="178"/>
    </row>
    <row r="56127" spans="18:19">
      <c r="R56127" s="178"/>
      <c r="S56127" s="178"/>
    </row>
    <row r="56128" spans="18:19">
      <c r="R56128" s="178"/>
      <c r="S56128" s="178"/>
    </row>
    <row r="56129" spans="18:19">
      <c r="R56129" s="178"/>
      <c r="S56129" s="178"/>
    </row>
    <row r="56130" spans="18:19">
      <c r="R56130" s="178"/>
      <c r="S56130" s="178"/>
    </row>
    <row r="56131" spans="18:19">
      <c r="R56131" s="178"/>
      <c r="S56131" s="178"/>
    </row>
    <row r="56132" spans="18:19">
      <c r="R56132" s="178"/>
      <c r="S56132" s="178"/>
    </row>
    <row r="56133" spans="18:19">
      <c r="R56133" s="178"/>
      <c r="S56133" s="178"/>
    </row>
    <row r="56134" spans="18:19">
      <c r="R56134" s="178"/>
      <c r="S56134" s="178"/>
    </row>
    <row r="56135" spans="18:19">
      <c r="R56135" s="178"/>
      <c r="S56135" s="178"/>
    </row>
    <row r="56136" spans="18:19">
      <c r="R56136" s="178"/>
      <c r="S56136" s="178"/>
    </row>
    <row r="56137" spans="18:19">
      <c r="R56137" s="178"/>
      <c r="S56137" s="178"/>
    </row>
    <row r="56138" spans="18:19">
      <c r="R56138" s="178"/>
      <c r="S56138" s="178"/>
    </row>
    <row r="56139" spans="18:19">
      <c r="R56139" s="178"/>
      <c r="S56139" s="178"/>
    </row>
    <row r="56140" spans="18:19">
      <c r="R56140" s="178"/>
      <c r="S56140" s="178"/>
    </row>
    <row r="56141" spans="18:19">
      <c r="R56141" s="178"/>
      <c r="S56141" s="178"/>
    </row>
    <row r="56142" spans="18:19">
      <c r="R56142" s="178"/>
      <c r="S56142" s="178"/>
    </row>
    <row r="56143" spans="18:19">
      <c r="R56143" s="178"/>
      <c r="S56143" s="178"/>
    </row>
    <row r="56144" spans="18:19">
      <c r="R56144" s="178"/>
      <c r="S56144" s="178"/>
    </row>
    <row r="56145" spans="18:19">
      <c r="R56145" s="178"/>
      <c r="S56145" s="178"/>
    </row>
    <row r="56146" spans="18:19">
      <c r="R56146" s="178"/>
      <c r="S56146" s="178"/>
    </row>
    <row r="56147" spans="18:19">
      <c r="R56147" s="178"/>
      <c r="S56147" s="178"/>
    </row>
    <row r="56148" spans="18:19">
      <c r="R56148" s="178"/>
      <c r="S56148" s="178"/>
    </row>
    <row r="56149" spans="18:19">
      <c r="R56149" s="178"/>
      <c r="S56149" s="178"/>
    </row>
    <row r="56150" spans="18:19">
      <c r="R56150" s="178"/>
      <c r="S56150" s="178"/>
    </row>
    <row r="56151" spans="18:19">
      <c r="R56151" s="178"/>
      <c r="S56151" s="178"/>
    </row>
    <row r="56152" spans="18:19">
      <c r="R56152" s="178"/>
      <c r="S56152" s="178"/>
    </row>
    <row r="56153" spans="18:19">
      <c r="R56153" s="178"/>
      <c r="S56153" s="178"/>
    </row>
    <row r="56154" spans="18:19">
      <c r="R56154" s="178"/>
      <c r="S56154" s="178"/>
    </row>
    <row r="56155" spans="18:19">
      <c r="R56155" s="178"/>
      <c r="S56155" s="178"/>
    </row>
    <row r="56156" spans="18:19">
      <c r="R56156" s="178"/>
      <c r="S56156" s="178"/>
    </row>
    <row r="56157" spans="18:19">
      <c r="R56157" s="178"/>
      <c r="S56157" s="178"/>
    </row>
    <row r="56158" spans="18:19">
      <c r="R56158" s="178"/>
      <c r="S56158" s="178"/>
    </row>
    <row r="56159" spans="18:19">
      <c r="R56159" s="178"/>
      <c r="S56159" s="178"/>
    </row>
    <row r="56160" spans="18:19">
      <c r="R56160" s="178"/>
      <c r="S56160" s="178"/>
    </row>
    <row r="56161" spans="18:19">
      <c r="R56161" s="178"/>
      <c r="S56161" s="178"/>
    </row>
    <row r="56162" spans="18:19">
      <c r="R56162" s="178"/>
      <c r="S56162" s="178"/>
    </row>
    <row r="56163" spans="18:19">
      <c r="R56163" s="178"/>
      <c r="S56163" s="178"/>
    </row>
    <row r="56164" spans="18:19">
      <c r="R56164" s="178"/>
      <c r="S56164" s="178"/>
    </row>
    <row r="56165" spans="18:19">
      <c r="R56165" s="178"/>
      <c r="S56165" s="178"/>
    </row>
    <row r="56166" spans="18:19">
      <c r="R56166" s="178"/>
      <c r="S56166" s="178"/>
    </row>
    <row r="56167" spans="18:19">
      <c r="R56167" s="178"/>
      <c r="S56167" s="178"/>
    </row>
    <row r="56168" spans="18:19">
      <c r="R56168" s="178"/>
      <c r="S56168" s="178"/>
    </row>
    <row r="56169" spans="18:19">
      <c r="R56169" s="178"/>
      <c r="S56169" s="178"/>
    </row>
    <row r="56170" spans="18:19">
      <c r="R56170" s="178"/>
      <c r="S56170" s="178"/>
    </row>
    <row r="56171" spans="18:19">
      <c r="R56171" s="178"/>
      <c r="S56171" s="178"/>
    </row>
    <row r="56172" spans="18:19">
      <c r="R56172" s="178"/>
      <c r="S56172" s="178"/>
    </row>
    <row r="56173" spans="18:19">
      <c r="R56173" s="178"/>
      <c r="S56173" s="178"/>
    </row>
    <row r="56174" spans="18:19">
      <c r="R56174" s="178"/>
      <c r="S56174" s="178"/>
    </row>
    <row r="56175" spans="18:19">
      <c r="R56175" s="178"/>
      <c r="S56175" s="178"/>
    </row>
    <row r="56176" spans="18:19">
      <c r="R56176" s="178"/>
      <c r="S56176" s="178"/>
    </row>
    <row r="56177" spans="18:19">
      <c r="R56177" s="178"/>
      <c r="S56177" s="178"/>
    </row>
    <row r="56178" spans="18:19">
      <c r="R56178" s="178"/>
      <c r="S56178" s="178"/>
    </row>
    <row r="56179" spans="18:19">
      <c r="R56179" s="178"/>
      <c r="S56179" s="178"/>
    </row>
    <row r="56180" spans="18:19">
      <c r="R56180" s="178"/>
      <c r="S56180" s="178"/>
    </row>
    <row r="56181" spans="18:19">
      <c r="R56181" s="178"/>
      <c r="S56181" s="178"/>
    </row>
    <row r="56182" spans="18:19">
      <c r="R56182" s="178"/>
      <c r="S56182" s="178"/>
    </row>
    <row r="56183" spans="18:19">
      <c r="R56183" s="178"/>
      <c r="S56183" s="178"/>
    </row>
    <row r="56184" spans="18:19">
      <c r="R56184" s="178"/>
      <c r="S56184" s="178"/>
    </row>
    <row r="56185" spans="18:19">
      <c r="R56185" s="178"/>
      <c r="S56185" s="178"/>
    </row>
    <row r="56186" spans="18:19">
      <c r="R56186" s="178"/>
      <c r="S56186" s="178"/>
    </row>
    <row r="56187" spans="18:19">
      <c r="R56187" s="178"/>
      <c r="S56187" s="178"/>
    </row>
    <row r="56188" spans="18:19">
      <c r="R56188" s="178"/>
      <c r="S56188" s="178"/>
    </row>
    <row r="56189" spans="18:19">
      <c r="R56189" s="178"/>
      <c r="S56189" s="178"/>
    </row>
    <row r="56190" spans="18:19">
      <c r="R56190" s="178"/>
      <c r="S56190" s="178"/>
    </row>
    <row r="56191" spans="18:19">
      <c r="R56191" s="178"/>
      <c r="S56191" s="178"/>
    </row>
    <row r="56192" spans="18:19">
      <c r="R56192" s="178"/>
      <c r="S56192" s="178"/>
    </row>
    <row r="56193" spans="18:19">
      <c r="R56193" s="178"/>
      <c r="S56193" s="178"/>
    </row>
    <row r="56194" spans="18:19">
      <c r="R56194" s="178"/>
      <c r="S56194" s="178"/>
    </row>
    <row r="56195" spans="18:19">
      <c r="R56195" s="178"/>
      <c r="S56195" s="178"/>
    </row>
    <row r="56196" spans="18:19">
      <c r="R56196" s="178"/>
      <c r="S56196" s="178"/>
    </row>
    <row r="56197" spans="18:19">
      <c r="R56197" s="178"/>
      <c r="S56197" s="178"/>
    </row>
    <row r="56198" spans="18:19">
      <c r="R56198" s="178"/>
      <c r="S56198" s="178"/>
    </row>
    <row r="56199" spans="18:19">
      <c r="R56199" s="178"/>
      <c r="S56199" s="178"/>
    </row>
    <row r="56200" spans="18:19">
      <c r="R56200" s="178"/>
      <c r="S56200" s="178"/>
    </row>
    <row r="56201" spans="18:19">
      <c r="R56201" s="178"/>
      <c r="S56201" s="178"/>
    </row>
    <row r="56202" spans="18:19">
      <c r="R56202" s="178"/>
      <c r="S56202" s="178"/>
    </row>
    <row r="56203" spans="18:19">
      <c r="R56203" s="178"/>
      <c r="S56203" s="178"/>
    </row>
    <row r="56204" spans="18:19">
      <c r="R56204" s="178"/>
      <c r="S56204" s="178"/>
    </row>
    <row r="56205" spans="18:19">
      <c r="R56205" s="178"/>
      <c r="S56205" s="178"/>
    </row>
    <row r="56206" spans="18:19">
      <c r="R56206" s="178"/>
      <c r="S56206" s="178"/>
    </row>
    <row r="56207" spans="18:19">
      <c r="R56207" s="178"/>
      <c r="S56207" s="178"/>
    </row>
    <row r="56208" spans="18:19">
      <c r="R56208" s="178"/>
      <c r="S56208" s="178"/>
    </row>
    <row r="56209" spans="18:19">
      <c r="R56209" s="178"/>
      <c r="S56209" s="178"/>
    </row>
    <row r="56210" spans="18:19">
      <c r="R56210" s="178"/>
      <c r="S56210" s="178"/>
    </row>
    <row r="56211" spans="18:19">
      <c r="R56211" s="178"/>
      <c r="S56211" s="178"/>
    </row>
    <row r="56212" spans="18:19">
      <c r="R56212" s="178"/>
      <c r="S56212" s="178"/>
    </row>
    <row r="56213" spans="18:19">
      <c r="R56213" s="178"/>
      <c r="S56213" s="178"/>
    </row>
    <row r="56214" spans="18:19">
      <c r="R56214" s="178"/>
      <c r="S56214" s="178"/>
    </row>
    <row r="56215" spans="18:19">
      <c r="R56215" s="178"/>
      <c r="S56215" s="178"/>
    </row>
    <row r="56216" spans="18:19">
      <c r="R56216" s="178"/>
      <c r="S56216" s="178"/>
    </row>
    <row r="56217" spans="18:19">
      <c r="R56217" s="178"/>
      <c r="S56217" s="178"/>
    </row>
    <row r="56218" spans="18:19">
      <c r="R56218" s="178"/>
      <c r="S56218" s="178"/>
    </row>
    <row r="56219" spans="18:19">
      <c r="R56219" s="178"/>
      <c r="S56219" s="178"/>
    </row>
    <row r="56220" spans="18:19">
      <c r="R56220" s="178"/>
      <c r="S56220" s="178"/>
    </row>
    <row r="56221" spans="18:19">
      <c r="R56221" s="178"/>
      <c r="S56221" s="178"/>
    </row>
    <row r="56222" spans="18:19">
      <c r="R56222" s="178"/>
      <c r="S56222" s="178"/>
    </row>
    <row r="56223" spans="18:19">
      <c r="R56223" s="178"/>
      <c r="S56223" s="178"/>
    </row>
    <row r="56224" spans="18:19">
      <c r="R56224" s="178"/>
      <c r="S56224" s="178"/>
    </row>
    <row r="56225" spans="18:19">
      <c r="R56225" s="178"/>
      <c r="S56225" s="178"/>
    </row>
    <row r="56226" spans="18:19">
      <c r="R56226" s="178"/>
      <c r="S56226" s="178"/>
    </row>
    <row r="56227" spans="18:19">
      <c r="R56227" s="178"/>
      <c r="S56227" s="178"/>
    </row>
    <row r="56228" spans="18:19">
      <c r="R56228" s="178"/>
      <c r="S56228" s="178"/>
    </row>
    <row r="56229" spans="18:19">
      <c r="R56229" s="178"/>
      <c r="S56229" s="178"/>
    </row>
    <row r="56230" spans="18:19">
      <c r="R56230" s="178"/>
      <c r="S56230" s="178"/>
    </row>
    <row r="56231" spans="18:19">
      <c r="R56231" s="178"/>
      <c r="S56231" s="178"/>
    </row>
    <row r="56232" spans="18:19">
      <c r="R56232" s="178"/>
      <c r="S56232" s="178"/>
    </row>
    <row r="56233" spans="18:19">
      <c r="R56233" s="178"/>
      <c r="S56233" s="178"/>
    </row>
    <row r="56234" spans="18:19">
      <c r="R56234" s="178"/>
      <c r="S56234" s="178"/>
    </row>
    <row r="56235" spans="18:19">
      <c r="R56235" s="178"/>
      <c r="S56235" s="178"/>
    </row>
    <row r="56236" spans="18:19">
      <c r="R56236" s="178"/>
      <c r="S56236" s="178"/>
    </row>
    <row r="56237" spans="18:19">
      <c r="R56237" s="178"/>
      <c r="S56237" s="178"/>
    </row>
    <row r="56238" spans="18:19">
      <c r="R56238" s="178"/>
      <c r="S56238" s="178"/>
    </row>
    <row r="56239" spans="18:19">
      <c r="R56239" s="178"/>
      <c r="S56239" s="178"/>
    </row>
    <row r="56240" spans="18:19">
      <c r="R56240" s="178"/>
      <c r="S56240" s="178"/>
    </row>
    <row r="56241" spans="18:19">
      <c r="R56241" s="178"/>
      <c r="S56241" s="178"/>
    </row>
    <row r="56242" spans="18:19">
      <c r="R56242" s="178"/>
      <c r="S56242" s="178"/>
    </row>
    <row r="56243" spans="18:19">
      <c r="R56243" s="178"/>
      <c r="S56243" s="178"/>
    </row>
    <row r="56244" spans="18:19">
      <c r="R56244" s="178"/>
      <c r="S56244" s="178"/>
    </row>
    <row r="56245" spans="18:19">
      <c r="R56245" s="178"/>
      <c r="S56245" s="178"/>
    </row>
    <row r="56246" spans="18:19">
      <c r="R56246" s="178"/>
      <c r="S56246" s="178"/>
    </row>
    <row r="56247" spans="18:19">
      <c r="R56247" s="178"/>
      <c r="S56247" s="178"/>
    </row>
    <row r="56248" spans="18:19">
      <c r="R56248" s="178"/>
      <c r="S56248" s="178"/>
    </row>
    <row r="56249" spans="18:19">
      <c r="R56249" s="178"/>
      <c r="S56249" s="178"/>
    </row>
    <row r="56250" spans="18:19">
      <c r="R56250" s="178"/>
      <c r="S56250" s="178"/>
    </row>
    <row r="56251" spans="18:19">
      <c r="R56251" s="178"/>
      <c r="S56251" s="178"/>
    </row>
    <row r="56252" spans="18:19">
      <c r="R56252" s="178"/>
      <c r="S56252" s="178"/>
    </row>
    <row r="56253" spans="18:19">
      <c r="R56253" s="178"/>
      <c r="S56253" s="178"/>
    </row>
    <row r="56254" spans="18:19">
      <c r="R56254" s="178"/>
      <c r="S56254" s="178"/>
    </row>
    <row r="56255" spans="18:19">
      <c r="R56255" s="178"/>
      <c r="S56255" s="178"/>
    </row>
    <row r="56256" spans="18:19">
      <c r="R56256" s="178"/>
      <c r="S56256" s="178"/>
    </row>
    <row r="56257" spans="18:19">
      <c r="R56257" s="178"/>
      <c r="S56257" s="178"/>
    </row>
    <row r="56258" spans="18:19">
      <c r="R56258" s="178"/>
      <c r="S56258" s="178"/>
    </row>
    <row r="56259" spans="18:19">
      <c r="R56259" s="178"/>
      <c r="S56259" s="178"/>
    </row>
    <row r="56260" spans="18:19">
      <c r="R56260" s="178"/>
      <c r="S56260" s="178"/>
    </row>
    <row r="56261" spans="18:19">
      <c r="R56261" s="178"/>
      <c r="S56261" s="178"/>
    </row>
    <row r="56262" spans="18:19">
      <c r="R56262" s="178"/>
      <c r="S56262" s="178"/>
    </row>
    <row r="56263" spans="18:19">
      <c r="R56263" s="178"/>
      <c r="S56263" s="178"/>
    </row>
    <row r="56264" spans="18:19">
      <c r="R56264" s="178"/>
      <c r="S56264" s="178"/>
    </row>
    <row r="56265" spans="18:19">
      <c r="R56265" s="178"/>
      <c r="S56265" s="178"/>
    </row>
    <row r="56266" spans="18:19">
      <c r="R56266" s="178"/>
      <c r="S56266" s="178"/>
    </row>
    <row r="56267" spans="18:19">
      <c r="R56267" s="178"/>
      <c r="S56267" s="178"/>
    </row>
    <row r="56268" spans="18:19">
      <c r="R56268" s="178"/>
      <c r="S56268" s="178"/>
    </row>
    <row r="56269" spans="18:19">
      <c r="R56269" s="178"/>
      <c r="S56269" s="178"/>
    </row>
    <row r="56270" spans="18:19">
      <c r="R56270" s="178"/>
      <c r="S56270" s="178"/>
    </row>
    <row r="56271" spans="18:19">
      <c r="R56271" s="178"/>
      <c r="S56271" s="178"/>
    </row>
    <row r="56272" spans="18:19">
      <c r="R56272" s="178"/>
      <c r="S56272" s="178"/>
    </row>
    <row r="56273" spans="18:19">
      <c r="R56273" s="178"/>
      <c r="S56273" s="178"/>
    </row>
    <row r="56274" spans="18:19">
      <c r="R56274" s="178"/>
      <c r="S56274" s="178"/>
    </row>
    <row r="56275" spans="18:19">
      <c r="R56275" s="178"/>
      <c r="S56275" s="178"/>
    </row>
    <row r="56276" spans="18:19">
      <c r="R56276" s="178"/>
      <c r="S56276" s="178"/>
    </row>
    <row r="56277" spans="18:19">
      <c r="R56277" s="178"/>
      <c r="S56277" s="178"/>
    </row>
    <row r="56278" spans="18:19">
      <c r="R56278" s="178"/>
      <c r="S56278" s="178"/>
    </row>
    <row r="56279" spans="18:19">
      <c r="R56279" s="178"/>
      <c r="S56279" s="178"/>
    </row>
    <row r="56280" spans="18:19">
      <c r="R56280" s="178"/>
      <c r="S56280" s="178"/>
    </row>
    <row r="56281" spans="18:19">
      <c r="R56281" s="178"/>
      <c r="S56281" s="178"/>
    </row>
    <row r="56282" spans="18:19">
      <c r="R56282" s="178"/>
      <c r="S56282" s="178"/>
    </row>
    <row r="56283" spans="18:19">
      <c r="R56283" s="178"/>
      <c r="S56283" s="178"/>
    </row>
    <row r="56284" spans="18:19">
      <c r="R56284" s="178"/>
      <c r="S56284" s="178"/>
    </row>
    <row r="56285" spans="18:19">
      <c r="R56285" s="178"/>
      <c r="S56285" s="178"/>
    </row>
    <row r="56286" spans="18:19">
      <c r="R56286" s="178"/>
      <c r="S56286" s="178"/>
    </row>
    <row r="56287" spans="18:19">
      <c r="R56287" s="178"/>
      <c r="S56287" s="178"/>
    </row>
    <row r="56288" spans="18:19">
      <c r="R56288" s="178"/>
      <c r="S56288" s="178"/>
    </row>
    <row r="56289" spans="18:19">
      <c r="R56289" s="178"/>
      <c r="S56289" s="178"/>
    </row>
    <row r="56290" spans="18:19">
      <c r="R56290" s="178"/>
      <c r="S56290" s="178"/>
    </row>
    <row r="56291" spans="18:19">
      <c r="R56291" s="178"/>
      <c r="S56291" s="178"/>
    </row>
    <row r="56292" spans="18:19">
      <c r="R56292" s="178"/>
      <c r="S56292" s="178"/>
    </row>
    <row r="56293" spans="18:19">
      <c r="R56293" s="178"/>
      <c r="S56293" s="178"/>
    </row>
    <row r="56294" spans="18:19">
      <c r="R56294" s="178"/>
      <c r="S56294" s="178"/>
    </row>
    <row r="56295" spans="18:19">
      <c r="R56295" s="178"/>
      <c r="S56295" s="178"/>
    </row>
    <row r="56296" spans="18:19">
      <c r="R56296" s="178"/>
      <c r="S56296" s="178"/>
    </row>
    <row r="56297" spans="18:19">
      <c r="R56297" s="178"/>
      <c r="S56297" s="178"/>
    </row>
    <row r="56298" spans="18:19">
      <c r="R56298" s="178"/>
      <c r="S56298" s="178"/>
    </row>
    <row r="56299" spans="18:19">
      <c r="R56299" s="178"/>
      <c r="S56299" s="178"/>
    </row>
    <row r="56300" spans="18:19">
      <c r="R56300" s="178"/>
      <c r="S56300" s="178"/>
    </row>
    <row r="56301" spans="18:19">
      <c r="R56301" s="178"/>
      <c r="S56301" s="178"/>
    </row>
    <row r="56302" spans="18:19">
      <c r="R56302" s="178"/>
      <c r="S56302" s="178"/>
    </row>
    <row r="56303" spans="18:19">
      <c r="R56303" s="178"/>
      <c r="S56303" s="178"/>
    </row>
    <row r="56304" spans="18:19">
      <c r="R56304" s="178"/>
      <c r="S56304" s="178"/>
    </row>
    <row r="56305" spans="18:19">
      <c r="R56305" s="178"/>
      <c r="S56305" s="178"/>
    </row>
    <row r="56306" spans="18:19">
      <c r="R56306" s="178"/>
      <c r="S56306" s="178"/>
    </row>
    <row r="56307" spans="18:19">
      <c r="R56307" s="178"/>
      <c r="S56307" s="178"/>
    </row>
    <row r="56308" spans="18:19">
      <c r="R56308" s="178"/>
      <c r="S56308" s="178"/>
    </row>
    <row r="56309" spans="18:19">
      <c r="R56309" s="178"/>
      <c r="S56309" s="178"/>
    </row>
    <row r="56310" spans="18:19">
      <c r="R56310" s="178"/>
      <c r="S56310" s="178"/>
    </row>
    <row r="56311" spans="18:19">
      <c r="R56311" s="178"/>
      <c r="S56311" s="178"/>
    </row>
    <row r="56312" spans="18:19">
      <c r="R56312" s="178"/>
      <c r="S56312" s="178"/>
    </row>
    <row r="56313" spans="18:19">
      <c r="R56313" s="178"/>
      <c r="S56313" s="178"/>
    </row>
    <row r="56314" spans="18:19">
      <c r="R56314" s="178"/>
      <c r="S56314" s="178"/>
    </row>
    <row r="56315" spans="18:19">
      <c r="R56315" s="178"/>
      <c r="S56315" s="178"/>
    </row>
    <row r="56316" spans="18:19">
      <c r="R56316" s="178"/>
      <c r="S56316" s="178"/>
    </row>
    <row r="56317" spans="18:19">
      <c r="R56317" s="178"/>
      <c r="S56317" s="178"/>
    </row>
    <row r="56318" spans="18:19">
      <c r="R56318" s="178"/>
      <c r="S56318" s="178"/>
    </row>
    <row r="56319" spans="18:19">
      <c r="R56319" s="178"/>
      <c r="S56319" s="178"/>
    </row>
    <row r="56320" spans="18:19">
      <c r="R56320" s="178"/>
      <c r="S56320" s="178"/>
    </row>
    <row r="56321" spans="18:19">
      <c r="R56321" s="178"/>
      <c r="S56321" s="178"/>
    </row>
    <row r="56322" spans="18:19">
      <c r="R56322" s="178"/>
      <c r="S56322" s="178"/>
    </row>
    <row r="56323" spans="18:19">
      <c r="R56323" s="178"/>
      <c r="S56323" s="178"/>
    </row>
    <row r="56324" spans="18:19">
      <c r="R56324" s="178"/>
      <c r="S56324" s="178"/>
    </row>
    <row r="56325" spans="18:19">
      <c r="R56325" s="178"/>
      <c r="S56325" s="178"/>
    </row>
    <row r="56326" spans="18:19">
      <c r="R56326" s="178"/>
      <c r="S56326" s="178"/>
    </row>
    <row r="56327" spans="18:19">
      <c r="R56327" s="178"/>
      <c r="S56327" s="178"/>
    </row>
    <row r="56328" spans="18:19">
      <c r="R56328" s="178"/>
      <c r="S56328" s="178"/>
    </row>
    <row r="56329" spans="18:19">
      <c r="R56329" s="178"/>
      <c r="S56329" s="178"/>
    </row>
    <row r="56330" spans="18:19">
      <c r="R56330" s="178"/>
      <c r="S56330" s="178"/>
    </row>
    <row r="56331" spans="18:19">
      <c r="R56331" s="178"/>
      <c r="S56331" s="178"/>
    </row>
    <row r="56332" spans="18:19">
      <c r="R56332" s="178"/>
      <c r="S56332" s="178"/>
    </row>
    <row r="56333" spans="18:19">
      <c r="R56333" s="178"/>
      <c r="S56333" s="178"/>
    </row>
    <row r="56334" spans="18:19">
      <c r="R56334" s="178"/>
      <c r="S56334" s="178"/>
    </row>
    <row r="56335" spans="18:19">
      <c r="R56335" s="178"/>
      <c r="S56335" s="178"/>
    </row>
    <row r="56336" spans="18:19">
      <c r="R56336" s="178"/>
      <c r="S56336" s="178"/>
    </row>
    <row r="56337" spans="18:19">
      <c r="R56337" s="178"/>
      <c r="S56337" s="178"/>
    </row>
    <row r="56338" spans="18:19">
      <c r="R56338" s="178"/>
      <c r="S56338" s="178"/>
    </row>
    <row r="56339" spans="18:19">
      <c r="R56339" s="178"/>
      <c r="S56339" s="178"/>
    </row>
    <row r="56340" spans="18:19">
      <c r="R56340" s="178"/>
      <c r="S56340" s="178"/>
    </row>
    <row r="56341" spans="18:19">
      <c r="R56341" s="178"/>
      <c r="S56341" s="178"/>
    </row>
    <row r="56342" spans="18:19">
      <c r="R56342" s="178"/>
      <c r="S56342" s="178"/>
    </row>
    <row r="56343" spans="18:19">
      <c r="R56343" s="178"/>
      <c r="S56343" s="178"/>
    </row>
    <row r="56344" spans="18:19">
      <c r="R56344" s="178"/>
      <c r="S56344" s="178"/>
    </row>
    <row r="56345" spans="18:19">
      <c r="R56345" s="178"/>
      <c r="S56345" s="178"/>
    </row>
    <row r="56346" spans="18:19">
      <c r="R56346" s="178"/>
      <c r="S56346" s="178"/>
    </row>
    <row r="56347" spans="18:19">
      <c r="R56347" s="178"/>
      <c r="S56347" s="178"/>
    </row>
    <row r="56348" spans="18:19">
      <c r="R56348" s="178"/>
      <c r="S56348" s="178"/>
    </row>
    <row r="56349" spans="18:19">
      <c r="R56349" s="178"/>
      <c r="S56349" s="178"/>
    </row>
    <row r="56350" spans="18:19">
      <c r="R56350" s="178"/>
      <c r="S56350" s="178"/>
    </row>
    <row r="56351" spans="18:19">
      <c r="R56351" s="178"/>
      <c r="S56351" s="178"/>
    </row>
    <row r="56352" spans="18:19">
      <c r="R56352" s="178"/>
      <c r="S56352" s="178"/>
    </row>
    <row r="56353" spans="18:19">
      <c r="R56353" s="178"/>
      <c r="S56353" s="178"/>
    </row>
    <row r="56354" spans="18:19">
      <c r="R56354" s="178"/>
      <c r="S56354" s="178"/>
    </row>
    <row r="56355" spans="18:19">
      <c r="R56355" s="178"/>
      <c r="S56355" s="178"/>
    </row>
    <row r="56356" spans="18:19">
      <c r="R56356" s="178"/>
      <c r="S56356" s="178"/>
    </row>
    <row r="56357" spans="18:19">
      <c r="R56357" s="178"/>
      <c r="S56357" s="178"/>
    </row>
    <row r="56358" spans="18:19">
      <c r="R56358" s="178"/>
      <c r="S56358" s="178"/>
    </row>
    <row r="56359" spans="18:19">
      <c r="R56359" s="178"/>
      <c r="S56359" s="178"/>
    </row>
    <row r="56360" spans="18:19">
      <c r="R56360" s="178"/>
      <c r="S56360" s="178"/>
    </row>
    <row r="56361" spans="18:19">
      <c r="R56361" s="178"/>
      <c r="S56361" s="178"/>
    </row>
    <row r="56362" spans="18:19">
      <c r="R56362" s="178"/>
      <c r="S56362" s="178"/>
    </row>
    <row r="56363" spans="18:19">
      <c r="R56363" s="178"/>
      <c r="S56363" s="178"/>
    </row>
    <row r="56364" spans="18:19">
      <c r="R56364" s="178"/>
      <c r="S56364" s="178"/>
    </row>
    <row r="56365" spans="18:19">
      <c r="R56365" s="178"/>
      <c r="S56365" s="178"/>
    </row>
    <row r="56366" spans="18:19">
      <c r="R56366" s="178"/>
      <c r="S56366" s="178"/>
    </row>
    <row r="56367" spans="18:19">
      <c r="R56367" s="178"/>
      <c r="S56367" s="178"/>
    </row>
    <row r="56368" spans="18:19">
      <c r="R56368" s="178"/>
      <c r="S56368" s="178"/>
    </row>
    <row r="56369" spans="18:19">
      <c r="R56369" s="178"/>
      <c r="S56369" s="178"/>
    </row>
    <row r="56370" spans="18:19">
      <c r="R56370" s="178"/>
      <c r="S56370" s="178"/>
    </row>
    <row r="56371" spans="18:19">
      <c r="R56371" s="178"/>
      <c r="S56371" s="178"/>
    </row>
    <row r="56372" spans="18:19">
      <c r="R56372" s="178"/>
      <c r="S56372" s="178"/>
    </row>
    <row r="56373" spans="18:19">
      <c r="R56373" s="178"/>
      <c r="S56373" s="178"/>
    </row>
    <row r="56374" spans="18:19">
      <c r="R56374" s="178"/>
      <c r="S56374" s="178"/>
    </row>
    <row r="56375" spans="18:19">
      <c r="R56375" s="178"/>
      <c r="S56375" s="178"/>
    </row>
    <row r="56376" spans="18:19">
      <c r="R56376" s="178"/>
      <c r="S56376" s="178"/>
    </row>
    <row r="56377" spans="18:19">
      <c r="R56377" s="178"/>
      <c r="S56377" s="178"/>
    </row>
    <row r="56378" spans="18:19">
      <c r="R56378" s="178"/>
      <c r="S56378" s="178"/>
    </row>
    <row r="56379" spans="18:19">
      <c r="R56379" s="178"/>
      <c r="S56379" s="178"/>
    </row>
    <row r="56380" spans="18:19">
      <c r="R56380" s="178"/>
      <c r="S56380" s="178"/>
    </row>
    <row r="56381" spans="18:19">
      <c r="R56381" s="178"/>
      <c r="S56381" s="178"/>
    </row>
    <row r="56382" spans="18:19">
      <c r="R56382" s="178"/>
      <c r="S56382" s="178"/>
    </row>
    <row r="56383" spans="18:19">
      <c r="R56383" s="178"/>
      <c r="S56383" s="178"/>
    </row>
    <row r="56384" spans="18:19">
      <c r="R56384" s="178"/>
      <c r="S56384" s="178"/>
    </row>
    <row r="56385" spans="18:19">
      <c r="R56385" s="178"/>
      <c r="S56385" s="178"/>
    </row>
    <row r="56386" spans="18:19">
      <c r="R56386" s="178"/>
      <c r="S56386" s="178"/>
    </row>
    <row r="56387" spans="18:19">
      <c r="R56387" s="178"/>
      <c r="S56387" s="178"/>
    </row>
    <row r="56388" spans="18:19">
      <c r="R56388" s="178"/>
      <c r="S56388" s="178"/>
    </row>
    <row r="56389" spans="18:19">
      <c r="R56389" s="178"/>
      <c r="S56389" s="178"/>
    </row>
    <row r="56390" spans="18:19">
      <c r="R56390" s="178"/>
      <c r="S56390" s="178"/>
    </row>
    <row r="56391" spans="18:19">
      <c r="R56391" s="178"/>
      <c r="S56391" s="178"/>
    </row>
    <row r="56392" spans="18:19">
      <c r="R56392" s="178"/>
      <c r="S56392" s="178"/>
    </row>
    <row r="56393" spans="18:19">
      <c r="R56393" s="178"/>
      <c r="S56393" s="178"/>
    </row>
    <row r="56394" spans="18:19">
      <c r="R56394" s="178"/>
      <c r="S56394" s="178"/>
    </row>
    <row r="56395" spans="18:19">
      <c r="R56395" s="178"/>
      <c r="S56395" s="178"/>
    </row>
    <row r="56396" spans="18:19">
      <c r="R56396" s="178"/>
      <c r="S56396" s="178"/>
    </row>
    <row r="56397" spans="18:19">
      <c r="R56397" s="178"/>
      <c r="S56397" s="178"/>
    </row>
    <row r="56398" spans="18:19">
      <c r="R56398" s="178"/>
      <c r="S56398" s="178"/>
    </row>
    <row r="56399" spans="18:19">
      <c r="R56399" s="178"/>
      <c r="S56399" s="178"/>
    </row>
    <row r="56400" spans="18:19">
      <c r="R56400" s="178"/>
      <c r="S56400" s="178"/>
    </row>
    <row r="56401" spans="18:19">
      <c r="R56401" s="178"/>
      <c r="S56401" s="178"/>
    </row>
    <row r="56402" spans="18:19">
      <c r="R56402" s="178"/>
      <c r="S56402" s="178"/>
    </row>
    <row r="56403" spans="18:19">
      <c r="R56403" s="178"/>
      <c r="S56403" s="178"/>
    </row>
    <row r="56404" spans="18:19">
      <c r="R56404" s="178"/>
      <c r="S56404" s="178"/>
    </row>
    <row r="56405" spans="18:19">
      <c r="R56405" s="178"/>
      <c r="S56405" s="178"/>
    </row>
    <row r="56406" spans="18:19">
      <c r="R56406" s="178"/>
      <c r="S56406" s="178"/>
    </row>
    <row r="56407" spans="18:19">
      <c r="R56407" s="178"/>
      <c r="S56407" s="178"/>
    </row>
    <row r="56408" spans="18:19">
      <c r="R56408" s="178"/>
      <c r="S56408" s="178"/>
    </row>
    <row r="56409" spans="18:19">
      <c r="R56409" s="178"/>
      <c r="S56409" s="178"/>
    </row>
    <row r="56410" spans="18:19">
      <c r="R56410" s="178"/>
      <c r="S56410" s="178"/>
    </row>
    <row r="56411" spans="18:19">
      <c r="R56411" s="178"/>
      <c r="S56411" s="178"/>
    </row>
    <row r="56412" spans="18:19">
      <c r="R56412" s="178"/>
      <c r="S56412" s="178"/>
    </row>
    <row r="56413" spans="18:19">
      <c r="R56413" s="178"/>
      <c r="S56413" s="178"/>
    </row>
    <row r="56414" spans="18:19">
      <c r="R56414" s="178"/>
      <c r="S56414" s="178"/>
    </row>
    <row r="56415" spans="18:19">
      <c r="R56415" s="178"/>
      <c r="S56415" s="178"/>
    </row>
    <row r="56416" spans="18:19">
      <c r="R56416" s="178"/>
      <c r="S56416" s="178"/>
    </row>
    <row r="56417" spans="18:19">
      <c r="R56417" s="178"/>
      <c r="S56417" s="178"/>
    </row>
    <row r="56418" spans="18:19">
      <c r="R56418" s="178"/>
      <c r="S56418" s="178"/>
    </row>
    <row r="56419" spans="18:19">
      <c r="R56419" s="178"/>
      <c r="S56419" s="178"/>
    </row>
    <row r="56420" spans="18:19">
      <c r="R56420" s="178"/>
      <c r="S56420" s="178"/>
    </row>
    <row r="56421" spans="18:19">
      <c r="R56421" s="178"/>
      <c r="S56421" s="178"/>
    </row>
    <row r="56422" spans="18:19">
      <c r="R56422" s="178"/>
      <c r="S56422" s="178"/>
    </row>
    <row r="56423" spans="18:19">
      <c r="R56423" s="178"/>
      <c r="S56423" s="178"/>
    </row>
    <row r="56424" spans="18:19">
      <c r="R56424" s="178"/>
      <c r="S56424" s="178"/>
    </row>
    <row r="56425" spans="18:19">
      <c r="R56425" s="178"/>
      <c r="S56425" s="178"/>
    </row>
    <row r="56426" spans="18:19">
      <c r="R56426" s="178"/>
      <c r="S56426" s="178"/>
    </row>
    <row r="56427" spans="18:19">
      <c r="R56427" s="178"/>
      <c r="S56427" s="178"/>
    </row>
    <row r="56428" spans="18:19">
      <c r="R56428" s="178"/>
      <c r="S56428" s="178"/>
    </row>
    <row r="56429" spans="18:19">
      <c r="R56429" s="178"/>
      <c r="S56429" s="178"/>
    </row>
    <row r="56430" spans="18:19">
      <c r="R56430" s="178"/>
      <c r="S56430" s="178"/>
    </row>
    <row r="56431" spans="18:19">
      <c r="R56431" s="178"/>
      <c r="S56431" s="178"/>
    </row>
    <row r="56432" spans="18:19">
      <c r="R56432" s="178"/>
      <c r="S56432" s="178"/>
    </row>
    <row r="56433" spans="18:19">
      <c r="R56433" s="178"/>
      <c r="S56433" s="178"/>
    </row>
    <row r="56434" spans="18:19">
      <c r="R56434" s="178"/>
      <c r="S56434" s="178"/>
    </row>
    <row r="56435" spans="18:19">
      <c r="R56435" s="178"/>
      <c r="S56435" s="178"/>
    </row>
    <row r="56436" spans="18:19">
      <c r="R56436" s="178"/>
      <c r="S56436" s="178"/>
    </row>
    <row r="56437" spans="18:19">
      <c r="R56437" s="178"/>
      <c r="S56437" s="178"/>
    </row>
    <row r="56438" spans="18:19">
      <c r="R56438" s="178"/>
      <c r="S56438" s="178"/>
    </row>
    <row r="56439" spans="18:19">
      <c r="R56439" s="178"/>
      <c r="S56439" s="178"/>
    </row>
    <row r="56440" spans="18:19">
      <c r="R56440" s="178"/>
      <c r="S56440" s="178"/>
    </row>
    <row r="56441" spans="18:19">
      <c r="R56441" s="178"/>
      <c r="S56441" s="178"/>
    </row>
    <row r="56442" spans="18:19">
      <c r="R56442" s="178"/>
      <c r="S56442" s="178"/>
    </row>
    <row r="56443" spans="18:19">
      <c r="R56443" s="178"/>
      <c r="S56443" s="178"/>
    </row>
    <row r="56444" spans="18:19">
      <c r="R56444" s="178"/>
      <c r="S56444" s="178"/>
    </row>
    <row r="56445" spans="18:19">
      <c r="R56445" s="178"/>
      <c r="S56445" s="178"/>
    </row>
    <row r="56446" spans="18:19">
      <c r="R56446" s="178"/>
      <c r="S56446" s="178"/>
    </row>
    <row r="56447" spans="18:19">
      <c r="R56447" s="178"/>
      <c r="S56447" s="178"/>
    </row>
    <row r="56448" spans="18:19">
      <c r="R56448" s="178"/>
      <c r="S56448" s="178"/>
    </row>
    <row r="56449" spans="18:19">
      <c r="R56449" s="178"/>
      <c r="S56449" s="178"/>
    </row>
    <row r="56450" spans="18:19">
      <c r="R56450" s="178"/>
      <c r="S56450" s="178"/>
    </row>
    <row r="56451" spans="18:19">
      <c r="R56451" s="178"/>
      <c r="S56451" s="178"/>
    </row>
    <row r="56452" spans="18:19">
      <c r="R56452" s="178"/>
      <c r="S56452" s="178"/>
    </row>
    <row r="56453" spans="18:19">
      <c r="R56453" s="178"/>
      <c r="S56453" s="178"/>
    </row>
    <row r="56454" spans="18:19">
      <c r="R56454" s="178"/>
      <c r="S56454" s="178"/>
    </row>
    <row r="56455" spans="18:19">
      <c r="R56455" s="178"/>
      <c r="S56455" s="178"/>
    </row>
    <row r="56456" spans="18:19">
      <c r="R56456" s="178"/>
      <c r="S56456" s="178"/>
    </row>
    <row r="56457" spans="18:19">
      <c r="R56457" s="178"/>
      <c r="S56457" s="178"/>
    </row>
    <row r="56458" spans="18:19">
      <c r="R56458" s="178"/>
      <c r="S56458" s="178"/>
    </row>
    <row r="56459" spans="18:19">
      <c r="R56459" s="178"/>
      <c r="S56459" s="178"/>
    </row>
    <row r="56460" spans="18:19">
      <c r="R56460" s="178"/>
      <c r="S56460" s="178"/>
    </row>
    <row r="56461" spans="18:19">
      <c r="R56461" s="178"/>
      <c r="S56461" s="178"/>
    </row>
    <row r="56462" spans="18:19">
      <c r="R56462" s="178"/>
      <c r="S56462" s="178"/>
    </row>
    <row r="56463" spans="18:19">
      <c r="R56463" s="178"/>
      <c r="S56463" s="178"/>
    </row>
    <row r="56464" spans="18:19">
      <c r="R56464" s="178"/>
      <c r="S56464" s="178"/>
    </row>
    <row r="56465" spans="18:19">
      <c r="R56465" s="178"/>
      <c r="S56465" s="178"/>
    </row>
    <row r="56466" spans="18:19">
      <c r="R56466" s="178"/>
      <c r="S56466" s="178"/>
    </row>
    <row r="56467" spans="18:19">
      <c r="R56467" s="178"/>
      <c r="S56467" s="178"/>
    </row>
    <row r="56468" spans="18:19">
      <c r="R56468" s="178"/>
      <c r="S56468" s="178"/>
    </row>
    <row r="56469" spans="18:19">
      <c r="R56469" s="178"/>
      <c r="S56469" s="178"/>
    </row>
    <row r="56470" spans="18:19">
      <c r="R56470" s="178"/>
      <c r="S56470" s="178"/>
    </row>
    <row r="56471" spans="18:19">
      <c r="R56471" s="178"/>
      <c r="S56471" s="178"/>
    </row>
    <row r="56472" spans="18:19">
      <c r="R56472" s="178"/>
      <c r="S56472" s="178"/>
    </row>
    <row r="56473" spans="18:19">
      <c r="R56473" s="178"/>
      <c r="S56473" s="178"/>
    </row>
    <row r="56474" spans="18:19">
      <c r="R56474" s="178"/>
      <c r="S56474" s="178"/>
    </row>
    <row r="56475" spans="18:19">
      <c r="R56475" s="178"/>
      <c r="S56475" s="178"/>
    </row>
    <row r="56476" spans="18:19">
      <c r="R56476" s="178"/>
      <c r="S56476" s="178"/>
    </row>
    <row r="56477" spans="18:19">
      <c r="R56477" s="178"/>
      <c r="S56477" s="178"/>
    </row>
    <row r="56478" spans="18:19">
      <c r="R56478" s="178"/>
      <c r="S56478" s="178"/>
    </row>
    <row r="56479" spans="18:19">
      <c r="R56479" s="178"/>
      <c r="S56479" s="178"/>
    </row>
    <row r="56480" spans="18:19">
      <c r="R56480" s="178"/>
      <c r="S56480" s="178"/>
    </row>
    <row r="56481" spans="18:19">
      <c r="R56481" s="178"/>
      <c r="S56481" s="178"/>
    </row>
    <row r="56482" spans="18:19">
      <c r="R56482" s="178"/>
      <c r="S56482" s="178"/>
    </row>
    <row r="56483" spans="18:19">
      <c r="R56483" s="178"/>
      <c r="S56483" s="178"/>
    </row>
    <row r="56484" spans="18:19">
      <c r="R56484" s="178"/>
      <c r="S56484" s="178"/>
    </row>
    <row r="56485" spans="18:19">
      <c r="R56485" s="178"/>
      <c r="S56485" s="178"/>
    </row>
    <row r="56486" spans="18:19">
      <c r="R56486" s="178"/>
      <c r="S56486" s="178"/>
    </row>
    <row r="56487" spans="18:19">
      <c r="R56487" s="178"/>
      <c r="S56487" s="178"/>
    </row>
    <row r="56488" spans="18:19">
      <c r="R56488" s="178"/>
      <c r="S56488" s="178"/>
    </row>
    <row r="56489" spans="18:19">
      <c r="R56489" s="178"/>
      <c r="S56489" s="178"/>
    </row>
    <row r="56490" spans="18:19">
      <c r="R56490" s="178"/>
      <c r="S56490" s="178"/>
    </row>
    <row r="56491" spans="18:19">
      <c r="R56491" s="178"/>
      <c r="S56491" s="178"/>
    </row>
    <row r="56492" spans="18:19">
      <c r="R56492" s="178"/>
      <c r="S56492" s="178"/>
    </row>
    <row r="56493" spans="18:19">
      <c r="R56493" s="178"/>
      <c r="S56493" s="178"/>
    </row>
    <row r="56494" spans="18:19">
      <c r="R56494" s="178"/>
      <c r="S56494" s="178"/>
    </row>
    <row r="56495" spans="18:19">
      <c r="R56495" s="178"/>
      <c r="S56495" s="178"/>
    </row>
    <row r="56496" spans="18:19">
      <c r="R56496" s="178"/>
      <c r="S56496" s="178"/>
    </row>
    <row r="56497" spans="18:19">
      <c r="R56497" s="178"/>
      <c r="S56497" s="178"/>
    </row>
    <row r="56498" spans="18:19">
      <c r="R56498" s="178"/>
      <c r="S56498" s="178"/>
    </row>
    <row r="56499" spans="18:19">
      <c r="R56499" s="178"/>
      <c r="S56499" s="178"/>
    </row>
    <row r="56500" spans="18:19">
      <c r="R56500" s="178"/>
      <c r="S56500" s="178"/>
    </row>
    <row r="56501" spans="18:19">
      <c r="R56501" s="178"/>
      <c r="S56501" s="178"/>
    </row>
    <row r="56502" spans="18:19">
      <c r="R56502" s="178"/>
      <c r="S56502" s="178"/>
    </row>
    <row r="56503" spans="18:19">
      <c r="R56503" s="178"/>
      <c r="S56503" s="178"/>
    </row>
    <row r="56504" spans="18:19">
      <c r="R56504" s="178"/>
      <c r="S56504" s="178"/>
    </row>
    <row r="56505" spans="18:19">
      <c r="R56505" s="178"/>
      <c r="S56505" s="178"/>
    </row>
    <row r="56506" spans="18:19">
      <c r="R56506" s="178"/>
      <c r="S56506" s="178"/>
    </row>
    <row r="56507" spans="18:19">
      <c r="R56507" s="178"/>
      <c r="S56507" s="178"/>
    </row>
    <row r="56508" spans="18:19">
      <c r="R56508" s="178"/>
      <c r="S56508" s="178"/>
    </row>
    <row r="56509" spans="18:19">
      <c r="R56509" s="178"/>
      <c r="S56509" s="178"/>
    </row>
    <row r="56510" spans="18:19">
      <c r="R56510" s="178"/>
      <c r="S56510" s="178"/>
    </row>
    <row r="56511" spans="18:19">
      <c r="R56511" s="178"/>
      <c r="S56511" s="178"/>
    </row>
    <row r="56512" spans="18:19">
      <c r="R56512" s="178"/>
      <c r="S56512" s="178"/>
    </row>
    <row r="56513" spans="18:19">
      <c r="R56513" s="178"/>
      <c r="S56513" s="178"/>
    </row>
    <row r="56514" spans="18:19">
      <c r="R56514" s="178"/>
      <c r="S56514" s="178"/>
    </row>
    <row r="56515" spans="18:19">
      <c r="R56515" s="178"/>
      <c r="S56515" s="178"/>
    </row>
    <row r="56516" spans="18:19">
      <c r="R56516" s="178"/>
      <c r="S56516" s="178"/>
    </row>
    <row r="56517" spans="18:19">
      <c r="R56517" s="178"/>
      <c r="S56517" s="178"/>
    </row>
    <row r="56518" spans="18:19">
      <c r="R56518" s="178"/>
      <c r="S56518" s="178"/>
    </row>
    <row r="56519" spans="18:19">
      <c r="R56519" s="178"/>
      <c r="S56519" s="178"/>
    </row>
    <row r="56520" spans="18:19">
      <c r="R56520" s="178"/>
      <c r="S56520" s="178"/>
    </row>
    <row r="56521" spans="18:19">
      <c r="R56521" s="178"/>
      <c r="S56521" s="178"/>
    </row>
    <row r="56522" spans="18:19">
      <c r="R56522" s="178"/>
      <c r="S56522" s="178"/>
    </row>
    <row r="56523" spans="18:19">
      <c r="R56523" s="178"/>
      <c r="S56523" s="178"/>
    </row>
    <row r="56524" spans="18:19">
      <c r="R56524" s="178"/>
      <c r="S56524" s="178"/>
    </row>
    <row r="56525" spans="18:19">
      <c r="R56525" s="178"/>
      <c r="S56525" s="178"/>
    </row>
    <row r="56526" spans="18:19">
      <c r="R56526" s="178"/>
      <c r="S56526" s="178"/>
    </row>
    <row r="56527" spans="18:19">
      <c r="R56527" s="178"/>
      <c r="S56527" s="178"/>
    </row>
    <row r="56528" spans="18:19">
      <c r="R56528" s="178"/>
      <c r="S56528" s="178"/>
    </row>
    <row r="56529" spans="18:19">
      <c r="R56529" s="178"/>
      <c r="S56529" s="178"/>
    </row>
    <row r="56530" spans="18:19">
      <c r="R56530" s="178"/>
      <c r="S56530" s="178"/>
    </row>
    <row r="56531" spans="18:19">
      <c r="R56531" s="178"/>
      <c r="S56531" s="178"/>
    </row>
    <row r="56532" spans="18:19">
      <c r="R56532" s="178"/>
      <c r="S56532" s="178"/>
    </row>
    <row r="56533" spans="18:19">
      <c r="R56533" s="178"/>
      <c r="S56533" s="178"/>
    </row>
    <row r="56534" spans="18:19">
      <c r="R56534" s="178"/>
      <c r="S56534" s="178"/>
    </row>
    <row r="56535" spans="18:19">
      <c r="R56535" s="178"/>
      <c r="S56535" s="178"/>
    </row>
    <row r="56536" spans="18:19">
      <c r="R56536" s="178"/>
      <c r="S56536" s="178"/>
    </row>
    <row r="56537" spans="18:19">
      <c r="R56537" s="178"/>
      <c r="S56537" s="178"/>
    </row>
    <row r="56538" spans="18:19">
      <c r="R56538" s="178"/>
      <c r="S56538" s="178"/>
    </row>
    <row r="56539" spans="18:19">
      <c r="R56539" s="178"/>
      <c r="S56539" s="178"/>
    </row>
    <row r="56540" spans="18:19">
      <c r="R56540" s="178"/>
      <c r="S56540" s="178"/>
    </row>
    <row r="56541" spans="18:19">
      <c r="R56541" s="178"/>
      <c r="S56541" s="178"/>
    </row>
    <row r="56542" spans="18:19">
      <c r="R56542" s="178"/>
      <c r="S56542" s="178"/>
    </row>
    <row r="56543" spans="18:19">
      <c r="R56543" s="178"/>
      <c r="S56543" s="178"/>
    </row>
    <row r="56544" spans="18:19">
      <c r="R56544" s="178"/>
      <c r="S56544" s="178"/>
    </row>
    <row r="56545" spans="18:19">
      <c r="R56545" s="178"/>
      <c r="S56545" s="178"/>
    </row>
    <row r="56546" spans="18:19">
      <c r="R56546" s="178"/>
      <c r="S56546" s="178"/>
    </row>
    <row r="56547" spans="18:19">
      <c r="R56547" s="178"/>
      <c r="S56547" s="178"/>
    </row>
    <row r="56548" spans="18:19">
      <c r="R56548" s="178"/>
      <c r="S56548" s="178"/>
    </row>
    <row r="56549" spans="18:19">
      <c r="R56549" s="178"/>
      <c r="S56549" s="178"/>
    </row>
    <row r="56550" spans="18:19">
      <c r="R56550" s="178"/>
      <c r="S56550" s="178"/>
    </row>
    <row r="56551" spans="18:19">
      <c r="R56551" s="178"/>
      <c r="S56551" s="178"/>
    </row>
    <row r="56552" spans="18:19">
      <c r="R56552" s="178"/>
      <c r="S56552" s="178"/>
    </row>
    <row r="56553" spans="18:19">
      <c r="R56553" s="178"/>
      <c r="S56553" s="178"/>
    </row>
    <row r="56554" spans="18:19">
      <c r="R56554" s="178"/>
      <c r="S56554" s="178"/>
    </row>
    <row r="56555" spans="18:19">
      <c r="R56555" s="178"/>
      <c r="S56555" s="178"/>
    </row>
    <row r="56556" spans="18:19">
      <c r="R56556" s="178"/>
      <c r="S56556" s="178"/>
    </row>
    <row r="56557" spans="18:19">
      <c r="R56557" s="178"/>
      <c r="S56557" s="178"/>
    </row>
    <row r="56558" spans="18:19">
      <c r="R56558" s="178"/>
      <c r="S56558" s="178"/>
    </row>
    <row r="56559" spans="18:19">
      <c r="R56559" s="178"/>
      <c r="S56559" s="178"/>
    </row>
    <row r="56560" spans="18:19">
      <c r="R56560" s="178"/>
      <c r="S56560" s="178"/>
    </row>
    <row r="56561" spans="18:19">
      <c r="R56561" s="178"/>
      <c r="S56561" s="178"/>
    </row>
    <row r="56562" spans="18:19">
      <c r="R56562" s="178"/>
      <c r="S56562" s="178"/>
    </row>
    <row r="56563" spans="18:19">
      <c r="R56563" s="178"/>
      <c r="S56563" s="178"/>
    </row>
    <row r="56564" spans="18:19">
      <c r="R56564" s="178"/>
      <c r="S56564" s="178"/>
    </row>
    <row r="56565" spans="18:19">
      <c r="R56565" s="178"/>
      <c r="S56565" s="178"/>
    </row>
    <row r="56566" spans="18:19">
      <c r="R56566" s="178"/>
      <c r="S56566" s="178"/>
    </row>
    <row r="56567" spans="18:19">
      <c r="R56567" s="178"/>
      <c r="S56567" s="178"/>
    </row>
    <row r="56568" spans="18:19">
      <c r="R56568" s="178"/>
      <c r="S56568" s="178"/>
    </row>
    <row r="56569" spans="18:19">
      <c r="R56569" s="178"/>
      <c r="S56569" s="178"/>
    </row>
    <row r="56570" spans="18:19">
      <c r="R56570" s="178"/>
      <c r="S56570" s="178"/>
    </row>
    <row r="56571" spans="18:19">
      <c r="R56571" s="178"/>
      <c r="S56571" s="178"/>
    </row>
    <row r="56572" spans="18:19">
      <c r="R56572" s="178"/>
      <c r="S56572" s="178"/>
    </row>
    <row r="56573" spans="18:19">
      <c r="R56573" s="178"/>
      <c r="S56573" s="178"/>
    </row>
    <row r="56574" spans="18:19">
      <c r="R56574" s="178"/>
      <c r="S56574" s="178"/>
    </row>
    <row r="56575" spans="18:19">
      <c r="R56575" s="178"/>
      <c r="S56575" s="178"/>
    </row>
    <row r="56576" spans="18:19">
      <c r="R56576" s="178"/>
      <c r="S56576" s="178"/>
    </row>
    <row r="56577" spans="18:19">
      <c r="R56577" s="178"/>
      <c r="S56577" s="178"/>
    </row>
    <row r="56578" spans="18:19">
      <c r="R56578" s="178"/>
      <c r="S56578" s="178"/>
    </row>
    <row r="56579" spans="18:19">
      <c r="R56579" s="178"/>
      <c r="S56579" s="178"/>
    </row>
    <row r="56580" spans="18:19">
      <c r="R56580" s="178"/>
      <c r="S56580" s="178"/>
    </row>
    <row r="56581" spans="18:19">
      <c r="R56581" s="178"/>
      <c r="S56581" s="178"/>
    </row>
    <row r="56582" spans="18:19">
      <c r="R56582" s="178"/>
      <c r="S56582" s="178"/>
    </row>
    <row r="56583" spans="18:19">
      <c r="R56583" s="178"/>
      <c r="S56583" s="178"/>
    </row>
    <row r="56584" spans="18:19">
      <c r="R56584" s="178"/>
      <c r="S56584" s="178"/>
    </row>
    <row r="56585" spans="18:19">
      <c r="R56585" s="178"/>
      <c r="S56585" s="178"/>
    </row>
    <row r="56586" spans="18:19">
      <c r="R56586" s="178"/>
      <c r="S56586" s="178"/>
    </row>
    <row r="56587" spans="18:19">
      <c r="R56587" s="178"/>
      <c r="S56587" s="178"/>
    </row>
    <row r="56588" spans="18:19">
      <c r="R56588" s="178"/>
      <c r="S56588" s="178"/>
    </row>
    <row r="56589" spans="18:19">
      <c r="R56589" s="178"/>
      <c r="S56589" s="178"/>
    </row>
    <row r="56590" spans="18:19">
      <c r="R56590" s="178"/>
      <c r="S56590" s="178"/>
    </row>
    <row r="56591" spans="18:19">
      <c r="R56591" s="178"/>
      <c r="S56591" s="178"/>
    </row>
    <row r="56592" spans="18:19">
      <c r="R56592" s="178"/>
      <c r="S56592" s="178"/>
    </row>
    <row r="56593" spans="18:19">
      <c r="R56593" s="178"/>
      <c r="S56593" s="178"/>
    </row>
    <row r="56594" spans="18:19">
      <c r="R56594" s="178"/>
      <c r="S56594" s="178"/>
    </row>
    <row r="56595" spans="18:19">
      <c r="R56595" s="178"/>
      <c r="S56595" s="178"/>
    </row>
    <row r="56596" spans="18:19">
      <c r="R56596" s="178"/>
      <c r="S56596" s="178"/>
    </row>
    <row r="56597" spans="18:19">
      <c r="R56597" s="178"/>
      <c r="S56597" s="178"/>
    </row>
    <row r="56598" spans="18:19">
      <c r="R56598" s="178"/>
      <c r="S56598" s="178"/>
    </row>
    <row r="56599" spans="18:19">
      <c r="R56599" s="178"/>
      <c r="S56599" s="178"/>
    </row>
    <row r="56600" spans="18:19">
      <c r="R56600" s="178"/>
      <c r="S56600" s="178"/>
    </row>
    <row r="56601" spans="18:19">
      <c r="R56601" s="178"/>
      <c r="S56601" s="178"/>
    </row>
    <row r="56602" spans="18:19">
      <c r="R56602" s="178"/>
      <c r="S56602" s="178"/>
    </row>
    <row r="56603" spans="18:19">
      <c r="R56603" s="178"/>
      <c r="S56603" s="178"/>
    </row>
    <row r="56604" spans="18:19">
      <c r="R56604" s="178"/>
      <c r="S56604" s="178"/>
    </row>
    <row r="56605" spans="18:19">
      <c r="R56605" s="178"/>
      <c r="S56605" s="178"/>
    </row>
    <row r="56606" spans="18:19">
      <c r="R56606" s="178"/>
      <c r="S56606" s="178"/>
    </row>
    <row r="56607" spans="18:19">
      <c r="R56607" s="178"/>
      <c r="S56607" s="178"/>
    </row>
    <row r="56608" spans="18:19">
      <c r="R56608" s="178"/>
      <c r="S56608" s="178"/>
    </row>
    <row r="56609" spans="18:19">
      <c r="R56609" s="178"/>
      <c r="S56609" s="178"/>
    </row>
    <row r="56610" spans="18:19">
      <c r="R56610" s="178"/>
      <c r="S56610" s="178"/>
    </row>
    <row r="56611" spans="18:19">
      <c r="R56611" s="178"/>
      <c r="S56611" s="178"/>
    </row>
    <row r="56612" spans="18:19">
      <c r="R56612" s="178"/>
      <c r="S56612" s="178"/>
    </row>
    <row r="56613" spans="18:19">
      <c r="R56613" s="178"/>
      <c r="S56613" s="178"/>
    </row>
    <row r="56614" spans="18:19">
      <c r="R56614" s="178"/>
      <c r="S56614" s="178"/>
    </row>
    <row r="56615" spans="18:19">
      <c r="R56615" s="178"/>
      <c r="S56615" s="178"/>
    </row>
    <row r="56616" spans="18:19">
      <c r="R56616" s="178"/>
      <c r="S56616" s="178"/>
    </row>
    <row r="56617" spans="18:19">
      <c r="R56617" s="178"/>
      <c r="S56617" s="178"/>
    </row>
    <row r="56618" spans="18:19">
      <c r="R56618" s="178"/>
      <c r="S56618" s="178"/>
    </row>
    <row r="56619" spans="18:19">
      <c r="R56619" s="178"/>
      <c r="S56619" s="178"/>
    </row>
    <row r="56620" spans="18:19">
      <c r="R56620" s="178"/>
      <c r="S56620" s="178"/>
    </row>
    <row r="56621" spans="18:19">
      <c r="R56621" s="178"/>
      <c r="S56621" s="178"/>
    </row>
    <row r="56622" spans="18:19">
      <c r="R56622" s="178"/>
      <c r="S56622" s="178"/>
    </row>
    <row r="56623" spans="18:19">
      <c r="R56623" s="178"/>
      <c r="S56623" s="178"/>
    </row>
    <row r="56624" spans="18:19">
      <c r="R56624" s="178"/>
      <c r="S56624" s="178"/>
    </row>
    <row r="56625" spans="18:19">
      <c r="R56625" s="178"/>
      <c r="S56625" s="178"/>
    </row>
    <row r="56626" spans="18:19">
      <c r="R56626" s="178"/>
      <c r="S56626" s="178"/>
    </row>
    <row r="56627" spans="18:19">
      <c r="R56627" s="178"/>
      <c r="S56627" s="178"/>
    </row>
    <row r="56628" spans="18:19">
      <c r="R56628" s="178"/>
      <c r="S56628" s="178"/>
    </row>
    <row r="56629" spans="18:19">
      <c r="R56629" s="178"/>
      <c r="S56629" s="178"/>
    </row>
    <row r="56630" spans="18:19">
      <c r="R56630" s="178"/>
      <c r="S56630" s="178"/>
    </row>
    <row r="56631" spans="18:19">
      <c r="R56631" s="178"/>
      <c r="S56631" s="178"/>
    </row>
    <row r="56632" spans="18:19">
      <c r="R56632" s="178"/>
      <c r="S56632" s="178"/>
    </row>
    <row r="56633" spans="18:19">
      <c r="R56633" s="178"/>
      <c r="S56633" s="178"/>
    </row>
    <row r="56634" spans="18:19">
      <c r="R56634" s="178"/>
      <c r="S56634" s="178"/>
    </row>
    <row r="56635" spans="18:19">
      <c r="R56635" s="178"/>
      <c r="S56635" s="178"/>
    </row>
    <row r="56636" spans="18:19">
      <c r="R56636" s="178"/>
      <c r="S56636" s="178"/>
    </row>
    <row r="56637" spans="18:19">
      <c r="R56637" s="178"/>
      <c r="S56637" s="178"/>
    </row>
    <row r="56638" spans="18:19">
      <c r="R56638" s="178"/>
      <c r="S56638" s="178"/>
    </row>
    <row r="56639" spans="18:19">
      <c r="R56639" s="178"/>
      <c r="S56639" s="178"/>
    </row>
    <row r="56640" spans="18:19">
      <c r="R56640" s="178"/>
      <c r="S56640" s="178"/>
    </row>
    <row r="56641" spans="18:19">
      <c r="R56641" s="178"/>
      <c r="S56641" s="178"/>
    </row>
    <row r="56642" spans="18:19">
      <c r="R56642" s="178"/>
      <c r="S56642" s="178"/>
    </row>
    <row r="56643" spans="18:19">
      <c r="R56643" s="178"/>
      <c r="S56643" s="178"/>
    </row>
    <row r="56644" spans="18:19">
      <c r="R56644" s="178"/>
      <c r="S56644" s="178"/>
    </row>
    <row r="56645" spans="18:19">
      <c r="R56645" s="178"/>
      <c r="S56645" s="178"/>
    </row>
    <row r="56646" spans="18:19">
      <c r="R56646" s="178"/>
      <c r="S56646" s="178"/>
    </row>
    <row r="56647" spans="18:19">
      <c r="R56647" s="178"/>
      <c r="S56647" s="178"/>
    </row>
    <row r="56648" spans="18:19">
      <c r="R56648" s="178"/>
      <c r="S56648" s="178"/>
    </row>
    <row r="56649" spans="18:19">
      <c r="R56649" s="178"/>
      <c r="S56649" s="178"/>
    </row>
    <row r="56650" spans="18:19">
      <c r="R56650" s="178"/>
      <c r="S56650" s="178"/>
    </row>
    <row r="56651" spans="18:19">
      <c r="R56651" s="178"/>
      <c r="S56651" s="178"/>
    </row>
    <row r="56652" spans="18:19">
      <c r="R56652" s="178"/>
      <c r="S56652" s="178"/>
    </row>
    <row r="56653" spans="18:19">
      <c r="R56653" s="178"/>
      <c r="S56653" s="178"/>
    </row>
    <row r="56654" spans="18:19">
      <c r="R56654" s="178"/>
      <c r="S56654" s="178"/>
    </row>
    <row r="56655" spans="18:19">
      <c r="R56655" s="178"/>
      <c r="S56655" s="178"/>
    </row>
    <row r="56656" spans="18:19">
      <c r="R56656" s="178"/>
      <c r="S56656" s="178"/>
    </row>
    <row r="56657" spans="18:19">
      <c r="R56657" s="178"/>
      <c r="S56657" s="178"/>
    </row>
    <row r="56658" spans="18:19">
      <c r="R56658" s="178"/>
      <c r="S56658" s="178"/>
    </row>
    <row r="56659" spans="18:19">
      <c r="R56659" s="178"/>
      <c r="S56659" s="178"/>
    </row>
    <row r="56660" spans="18:19">
      <c r="R56660" s="178"/>
      <c r="S56660" s="178"/>
    </row>
    <row r="56661" spans="18:19">
      <c r="R56661" s="178"/>
      <c r="S56661" s="178"/>
    </row>
    <row r="56662" spans="18:19">
      <c r="R56662" s="178"/>
      <c r="S56662" s="178"/>
    </row>
    <row r="56663" spans="18:19">
      <c r="R56663" s="178"/>
      <c r="S56663" s="178"/>
    </row>
    <row r="56664" spans="18:19">
      <c r="R56664" s="178"/>
      <c r="S56664" s="178"/>
    </row>
    <row r="56665" spans="18:19">
      <c r="R56665" s="178"/>
      <c r="S56665" s="178"/>
    </row>
    <row r="56666" spans="18:19">
      <c r="R56666" s="178"/>
      <c r="S56666" s="178"/>
    </row>
    <row r="56667" spans="18:19">
      <c r="R56667" s="178"/>
      <c r="S56667" s="178"/>
    </row>
    <row r="56668" spans="18:19">
      <c r="R56668" s="178"/>
      <c r="S56668" s="178"/>
    </row>
    <row r="56669" spans="18:19">
      <c r="R56669" s="178"/>
      <c r="S56669" s="178"/>
    </row>
    <row r="56670" spans="18:19">
      <c r="R56670" s="178"/>
      <c r="S56670" s="178"/>
    </row>
    <row r="56671" spans="18:19">
      <c r="R56671" s="178"/>
      <c r="S56671" s="178"/>
    </row>
    <row r="56672" spans="18:19">
      <c r="R56672" s="178"/>
      <c r="S56672" s="178"/>
    </row>
    <row r="56673" spans="18:19">
      <c r="R56673" s="178"/>
      <c r="S56673" s="178"/>
    </row>
    <row r="56674" spans="18:19">
      <c r="R56674" s="178"/>
      <c r="S56674" s="178"/>
    </row>
    <row r="56675" spans="18:19">
      <c r="R56675" s="178"/>
      <c r="S56675" s="178"/>
    </row>
    <row r="56676" spans="18:19">
      <c r="R56676" s="178"/>
      <c r="S56676" s="178"/>
    </row>
    <row r="56677" spans="18:19">
      <c r="R56677" s="178"/>
      <c r="S56677" s="178"/>
    </row>
    <row r="56678" spans="18:19">
      <c r="R56678" s="178"/>
      <c r="S56678" s="178"/>
    </row>
    <row r="56679" spans="18:19">
      <c r="R56679" s="178"/>
      <c r="S56679" s="178"/>
    </row>
    <row r="56680" spans="18:19">
      <c r="R56680" s="178"/>
      <c r="S56680" s="178"/>
    </row>
    <row r="56681" spans="18:19">
      <c r="R56681" s="178"/>
      <c r="S56681" s="178"/>
    </row>
    <row r="56682" spans="18:19">
      <c r="R56682" s="178"/>
      <c r="S56682" s="178"/>
    </row>
    <row r="56683" spans="18:19">
      <c r="R56683" s="178"/>
      <c r="S56683" s="178"/>
    </row>
    <row r="56684" spans="18:19">
      <c r="R56684" s="178"/>
      <c r="S56684" s="178"/>
    </row>
    <row r="56685" spans="18:19">
      <c r="R56685" s="178"/>
      <c r="S56685" s="178"/>
    </row>
    <row r="56686" spans="18:19">
      <c r="R56686" s="178"/>
      <c r="S56686" s="178"/>
    </row>
    <row r="56687" spans="18:19">
      <c r="R56687" s="178"/>
      <c r="S56687" s="178"/>
    </row>
    <row r="56688" spans="18:19">
      <c r="R56688" s="178"/>
      <c r="S56688" s="178"/>
    </row>
    <row r="56689" spans="18:19">
      <c r="R56689" s="178"/>
      <c r="S56689" s="178"/>
    </row>
    <row r="56690" spans="18:19">
      <c r="R56690" s="178"/>
      <c r="S56690" s="178"/>
    </row>
    <row r="56691" spans="18:19">
      <c r="R56691" s="178"/>
      <c r="S56691" s="178"/>
    </row>
    <row r="56692" spans="18:19">
      <c r="R56692" s="178"/>
      <c r="S56692" s="178"/>
    </row>
    <row r="56693" spans="18:19">
      <c r="R56693" s="178"/>
      <c r="S56693" s="178"/>
    </row>
    <row r="56694" spans="18:19">
      <c r="R56694" s="178"/>
      <c r="S56694" s="178"/>
    </row>
    <row r="56695" spans="18:19">
      <c r="R56695" s="178"/>
      <c r="S56695" s="178"/>
    </row>
    <row r="56696" spans="18:19">
      <c r="R56696" s="178"/>
      <c r="S56696" s="178"/>
    </row>
    <row r="56697" spans="18:19">
      <c r="R56697" s="178"/>
      <c r="S56697" s="178"/>
    </row>
    <row r="56698" spans="18:19">
      <c r="R56698" s="178"/>
      <c r="S56698" s="178"/>
    </row>
    <row r="56699" spans="18:19">
      <c r="R56699" s="178"/>
      <c r="S56699" s="178"/>
    </row>
    <row r="56700" spans="18:19">
      <c r="R56700" s="178"/>
      <c r="S56700" s="178"/>
    </row>
    <row r="56701" spans="18:19">
      <c r="R56701" s="178"/>
      <c r="S56701" s="178"/>
    </row>
    <row r="56702" spans="18:19">
      <c r="R56702" s="178"/>
      <c r="S56702" s="178"/>
    </row>
    <row r="56703" spans="18:19">
      <c r="R56703" s="178"/>
      <c r="S56703" s="178"/>
    </row>
    <row r="56704" spans="18:19">
      <c r="R56704" s="178"/>
      <c r="S56704" s="178"/>
    </row>
    <row r="56705" spans="18:19">
      <c r="R56705" s="178"/>
      <c r="S56705" s="178"/>
    </row>
    <row r="56706" spans="18:19">
      <c r="R56706" s="178"/>
      <c r="S56706" s="178"/>
    </row>
    <row r="56707" spans="18:19">
      <c r="R56707" s="178"/>
      <c r="S56707" s="178"/>
    </row>
    <row r="56708" spans="18:19">
      <c r="R56708" s="178"/>
      <c r="S56708" s="178"/>
    </row>
    <row r="56709" spans="18:19">
      <c r="R56709" s="178"/>
      <c r="S56709" s="178"/>
    </row>
    <row r="56710" spans="18:19">
      <c r="R56710" s="178"/>
      <c r="S56710" s="178"/>
    </row>
    <row r="56711" spans="18:19">
      <c r="R56711" s="178"/>
      <c r="S56711" s="178"/>
    </row>
    <row r="56712" spans="18:19">
      <c r="R56712" s="178"/>
      <c r="S56712" s="178"/>
    </row>
    <row r="56713" spans="18:19">
      <c r="R56713" s="178"/>
      <c r="S56713" s="178"/>
    </row>
    <row r="56714" spans="18:19">
      <c r="R56714" s="178"/>
      <c r="S56714" s="178"/>
    </row>
    <row r="56715" spans="18:19">
      <c r="R56715" s="178"/>
      <c r="S56715" s="178"/>
    </row>
    <row r="56716" spans="18:19">
      <c r="R56716" s="178"/>
      <c r="S56716" s="178"/>
    </row>
    <row r="56717" spans="18:19">
      <c r="R56717" s="178"/>
      <c r="S56717" s="178"/>
    </row>
    <row r="56718" spans="18:19">
      <c r="R56718" s="178"/>
      <c r="S56718" s="178"/>
    </row>
    <row r="56719" spans="18:19">
      <c r="R56719" s="178"/>
      <c r="S56719" s="178"/>
    </row>
    <row r="56720" spans="18:19">
      <c r="R56720" s="178"/>
      <c r="S56720" s="178"/>
    </row>
    <row r="56721" spans="18:19">
      <c r="R56721" s="178"/>
      <c r="S56721" s="178"/>
    </row>
    <row r="56722" spans="18:19">
      <c r="R56722" s="178"/>
      <c r="S56722" s="178"/>
    </row>
    <row r="56723" spans="18:19">
      <c r="R56723" s="178"/>
      <c r="S56723" s="178"/>
    </row>
    <row r="56724" spans="18:19">
      <c r="R56724" s="178"/>
      <c r="S56724" s="178"/>
    </row>
    <row r="56725" spans="18:19">
      <c r="R56725" s="178"/>
      <c r="S56725" s="178"/>
    </row>
    <row r="56726" spans="18:19">
      <c r="R56726" s="178"/>
      <c r="S56726" s="178"/>
    </row>
    <row r="56727" spans="18:19">
      <c r="R56727" s="178"/>
      <c r="S56727" s="178"/>
    </row>
    <row r="56728" spans="18:19">
      <c r="R56728" s="178"/>
      <c r="S56728" s="178"/>
    </row>
    <row r="56729" spans="18:19">
      <c r="R56729" s="178"/>
      <c r="S56729" s="178"/>
    </row>
    <row r="56730" spans="18:19">
      <c r="R56730" s="178"/>
      <c r="S56730" s="178"/>
    </row>
    <row r="56731" spans="18:19">
      <c r="R56731" s="178"/>
      <c r="S56731" s="178"/>
    </row>
    <row r="56732" spans="18:19">
      <c r="R56732" s="178"/>
      <c r="S56732" s="178"/>
    </row>
    <row r="56733" spans="18:19">
      <c r="R56733" s="178"/>
      <c r="S56733" s="178"/>
    </row>
    <row r="56734" spans="18:19">
      <c r="R56734" s="178"/>
      <c r="S56734" s="178"/>
    </row>
    <row r="56735" spans="18:19">
      <c r="R56735" s="178"/>
      <c r="S56735" s="178"/>
    </row>
    <row r="56736" spans="18:19">
      <c r="R56736" s="178"/>
      <c r="S56736" s="178"/>
    </row>
    <row r="56737" spans="18:19">
      <c r="R56737" s="178"/>
      <c r="S56737" s="178"/>
    </row>
    <row r="56738" spans="18:19">
      <c r="R56738" s="178"/>
      <c r="S56738" s="178"/>
    </row>
    <row r="56739" spans="18:19">
      <c r="R56739" s="178"/>
      <c r="S56739" s="178"/>
    </row>
    <row r="56740" spans="18:19">
      <c r="R56740" s="178"/>
      <c r="S56740" s="178"/>
    </row>
    <row r="56741" spans="18:19">
      <c r="R56741" s="178"/>
      <c r="S56741" s="178"/>
    </row>
    <row r="56742" spans="18:19">
      <c r="R56742" s="178"/>
      <c r="S56742" s="178"/>
    </row>
    <row r="56743" spans="18:19">
      <c r="R56743" s="178"/>
      <c r="S56743" s="178"/>
    </row>
    <row r="56744" spans="18:19">
      <c r="R56744" s="178"/>
      <c r="S56744" s="178"/>
    </row>
    <row r="56745" spans="18:19">
      <c r="R56745" s="178"/>
      <c r="S56745" s="178"/>
    </row>
    <row r="56746" spans="18:19">
      <c r="R56746" s="178"/>
      <c r="S56746" s="178"/>
    </row>
    <row r="56747" spans="18:19">
      <c r="R56747" s="178"/>
      <c r="S56747" s="178"/>
    </row>
    <row r="56748" spans="18:19">
      <c r="R56748" s="178"/>
      <c r="S56748" s="178"/>
    </row>
    <row r="56749" spans="18:19">
      <c r="R56749" s="178"/>
      <c r="S56749" s="178"/>
    </row>
    <row r="56750" spans="18:19">
      <c r="R56750" s="178"/>
      <c r="S56750" s="178"/>
    </row>
    <row r="56751" spans="18:19">
      <c r="R56751" s="178"/>
      <c r="S56751" s="178"/>
    </row>
    <row r="56752" spans="18:19">
      <c r="R56752" s="178"/>
      <c r="S56752" s="178"/>
    </row>
    <row r="56753" spans="18:19">
      <c r="R56753" s="178"/>
      <c r="S56753" s="178"/>
    </row>
    <row r="56754" spans="18:19">
      <c r="R56754" s="178"/>
      <c r="S56754" s="178"/>
    </row>
    <row r="56755" spans="18:19">
      <c r="R56755" s="178"/>
      <c r="S56755" s="178"/>
    </row>
    <row r="56756" spans="18:19">
      <c r="R56756" s="178"/>
      <c r="S56756" s="178"/>
    </row>
    <row r="56757" spans="18:19">
      <c r="R56757" s="178"/>
      <c r="S56757" s="178"/>
    </row>
    <row r="56758" spans="18:19">
      <c r="R56758" s="178"/>
      <c r="S56758" s="178"/>
    </row>
    <row r="56759" spans="18:19">
      <c r="R56759" s="178"/>
      <c r="S56759" s="178"/>
    </row>
    <row r="56760" spans="18:19">
      <c r="R56760" s="178"/>
      <c r="S56760" s="178"/>
    </row>
    <row r="56761" spans="18:19">
      <c r="R56761" s="178"/>
      <c r="S56761" s="178"/>
    </row>
    <row r="56762" spans="18:19">
      <c r="R56762" s="178"/>
      <c r="S56762" s="178"/>
    </row>
    <row r="56763" spans="18:19">
      <c r="R56763" s="178"/>
      <c r="S56763" s="178"/>
    </row>
    <row r="56764" spans="18:19">
      <c r="R56764" s="178"/>
      <c r="S56764" s="178"/>
    </row>
    <row r="56765" spans="18:19">
      <c r="R56765" s="178"/>
      <c r="S56765" s="178"/>
    </row>
    <row r="56766" spans="18:19">
      <c r="R56766" s="178"/>
      <c r="S56766" s="178"/>
    </row>
    <row r="56767" spans="18:19">
      <c r="R56767" s="178"/>
      <c r="S56767" s="178"/>
    </row>
    <row r="56768" spans="18:19">
      <c r="R56768" s="178"/>
      <c r="S56768" s="178"/>
    </row>
    <row r="56769" spans="18:19">
      <c r="R56769" s="178"/>
      <c r="S56769" s="178"/>
    </row>
    <row r="56770" spans="18:19">
      <c r="R56770" s="178"/>
      <c r="S56770" s="178"/>
    </row>
    <row r="56771" spans="18:19">
      <c r="R56771" s="178"/>
      <c r="S56771" s="178"/>
    </row>
    <row r="56772" spans="18:19">
      <c r="R56772" s="178"/>
      <c r="S56772" s="178"/>
    </row>
    <row r="56773" spans="18:19">
      <c r="R56773" s="178"/>
      <c r="S56773" s="178"/>
    </row>
    <row r="56774" spans="18:19">
      <c r="R56774" s="178"/>
      <c r="S56774" s="178"/>
    </row>
    <row r="56775" spans="18:19">
      <c r="R56775" s="178"/>
      <c r="S56775" s="178"/>
    </row>
    <row r="56776" spans="18:19">
      <c r="R56776" s="178"/>
      <c r="S56776" s="178"/>
    </row>
    <row r="56777" spans="18:19">
      <c r="R56777" s="178"/>
      <c r="S56777" s="178"/>
    </row>
    <row r="56778" spans="18:19">
      <c r="R56778" s="178"/>
      <c r="S56778" s="178"/>
    </row>
    <row r="56779" spans="18:19">
      <c r="R56779" s="178"/>
      <c r="S56779" s="178"/>
    </row>
    <row r="56780" spans="18:19">
      <c r="R56780" s="178"/>
      <c r="S56780" s="178"/>
    </row>
    <row r="56781" spans="18:19">
      <c r="R56781" s="178"/>
      <c r="S56781" s="178"/>
    </row>
    <row r="56782" spans="18:19">
      <c r="R56782" s="178"/>
      <c r="S56782" s="178"/>
    </row>
    <row r="56783" spans="18:19">
      <c r="R56783" s="178"/>
      <c r="S56783" s="178"/>
    </row>
    <row r="56784" spans="18:19">
      <c r="R56784" s="178"/>
      <c r="S56784" s="178"/>
    </row>
    <row r="56785" spans="18:19">
      <c r="R56785" s="178"/>
      <c r="S56785" s="178"/>
    </row>
    <row r="56786" spans="18:19">
      <c r="R56786" s="178"/>
      <c r="S56786" s="178"/>
    </row>
    <row r="56787" spans="18:19">
      <c r="R56787" s="178"/>
      <c r="S56787" s="178"/>
    </row>
    <row r="56788" spans="18:19">
      <c r="R56788" s="178"/>
      <c r="S56788" s="178"/>
    </row>
    <row r="56789" spans="18:19">
      <c r="R56789" s="178"/>
      <c r="S56789" s="178"/>
    </row>
    <row r="56790" spans="18:19">
      <c r="R56790" s="178"/>
      <c r="S56790" s="178"/>
    </row>
    <row r="56791" spans="18:19">
      <c r="R56791" s="178"/>
      <c r="S56791" s="178"/>
    </row>
    <row r="56792" spans="18:19">
      <c r="R56792" s="178"/>
      <c r="S56792" s="178"/>
    </row>
    <row r="56793" spans="18:19">
      <c r="R56793" s="178"/>
      <c r="S56793" s="178"/>
    </row>
    <row r="56794" spans="18:19">
      <c r="R56794" s="178"/>
      <c r="S56794" s="178"/>
    </row>
    <row r="56795" spans="18:19">
      <c r="R56795" s="178"/>
      <c r="S56795" s="178"/>
    </row>
    <row r="56796" spans="18:19">
      <c r="R56796" s="178"/>
      <c r="S56796" s="178"/>
    </row>
    <row r="56797" spans="18:19">
      <c r="R56797" s="178"/>
      <c r="S56797" s="178"/>
    </row>
    <row r="56798" spans="18:19">
      <c r="R56798" s="178"/>
      <c r="S56798" s="178"/>
    </row>
    <row r="56799" spans="18:19">
      <c r="R56799" s="178"/>
      <c r="S56799" s="178"/>
    </row>
    <row r="56800" spans="18:19">
      <c r="R56800" s="178"/>
      <c r="S56800" s="178"/>
    </row>
    <row r="56801" spans="18:19">
      <c r="R56801" s="178"/>
      <c r="S56801" s="178"/>
    </row>
    <row r="56802" spans="18:19">
      <c r="R56802" s="178"/>
      <c r="S56802" s="178"/>
    </row>
    <row r="56803" spans="18:19">
      <c r="R56803" s="178"/>
      <c r="S56803" s="178"/>
    </row>
    <row r="56804" spans="18:19">
      <c r="R56804" s="178"/>
      <c r="S56804" s="178"/>
    </row>
    <row r="56805" spans="18:19">
      <c r="R56805" s="178"/>
      <c r="S56805" s="178"/>
    </row>
    <row r="56806" spans="18:19">
      <c r="R56806" s="178"/>
      <c r="S56806" s="178"/>
    </row>
    <row r="56807" spans="18:19">
      <c r="R56807" s="178"/>
      <c r="S56807" s="178"/>
    </row>
    <row r="56808" spans="18:19">
      <c r="R56808" s="178"/>
      <c r="S56808" s="178"/>
    </row>
    <row r="56809" spans="18:19">
      <c r="R56809" s="178"/>
      <c r="S56809" s="178"/>
    </row>
    <row r="56810" spans="18:19">
      <c r="R56810" s="178"/>
      <c r="S56810" s="178"/>
    </row>
    <row r="56811" spans="18:19">
      <c r="R56811" s="178"/>
      <c r="S56811" s="178"/>
    </row>
    <row r="56812" spans="18:19">
      <c r="R56812" s="178"/>
      <c r="S56812" s="178"/>
    </row>
    <row r="56813" spans="18:19">
      <c r="R56813" s="178"/>
      <c r="S56813" s="178"/>
    </row>
    <row r="56814" spans="18:19">
      <c r="R56814" s="178"/>
      <c r="S56814" s="178"/>
    </row>
    <row r="56815" spans="18:19">
      <c r="R56815" s="178"/>
      <c r="S56815" s="178"/>
    </row>
    <row r="56816" spans="18:19">
      <c r="R56816" s="178"/>
      <c r="S56816" s="178"/>
    </row>
    <row r="56817" spans="18:19">
      <c r="R56817" s="178"/>
      <c r="S56817" s="178"/>
    </row>
    <row r="56818" spans="18:19">
      <c r="R56818" s="178"/>
      <c r="S56818" s="178"/>
    </row>
    <row r="56819" spans="18:19">
      <c r="R56819" s="178"/>
      <c r="S56819" s="178"/>
    </row>
    <row r="56820" spans="18:19">
      <c r="R56820" s="178"/>
      <c r="S56820" s="178"/>
    </row>
    <row r="56821" spans="18:19">
      <c r="R56821" s="178"/>
      <c r="S56821" s="178"/>
    </row>
    <row r="56822" spans="18:19">
      <c r="R56822" s="178"/>
      <c r="S56822" s="178"/>
    </row>
    <row r="56823" spans="18:19">
      <c r="R56823" s="178"/>
      <c r="S56823" s="178"/>
    </row>
    <row r="56824" spans="18:19">
      <c r="R56824" s="178"/>
      <c r="S56824" s="178"/>
    </row>
    <row r="56825" spans="18:19">
      <c r="R56825" s="178"/>
      <c r="S56825" s="178"/>
    </row>
    <row r="56826" spans="18:19">
      <c r="R56826" s="178"/>
      <c r="S56826" s="178"/>
    </row>
    <row r="56827" spans="18:19">
      <c r="R56827" s="178"/>
      <c r="S56827" s="178"/>
    </row>
    <row r="56828" spans="18:19">
      <c r="R56828" s="178"/>
      <c r="S56828" s="178"/>
    </row>
    <row r="56829" spans="18:19">
      <c r="R56829" s="178"/>
      <c r="S56829" s="178"/>
    </row>
    <row r="56830" spans="18:19">
      <c r="R56830" s="178"/>
      <c r="S56830" s="178"/>
    </row>
    <row r="56831" spans="18:19">
      <c r="R56831" s="178"/>
      <c r="S56831" s="178"/>
    </row>
    <row r="56832" spans="18:19">
      <c r="R56832" s="178"/>
      <c r="S56832" s="178"/>
    </row>
    <row r="56833" spans="18:19">
      <c r="R56833" s="178"/>
      <c r="S56833" s="178"/>
    </row>
    <row r="56834" spans="18:19">
      <c r="R56834" s="178"/>
      <c r="S56834" s="178"/>
    </row>
    <row r="56835" spans="18:19">
      <c r="R56835" s="178"/>
      <c r="S56835" s="178"/>
    </row>
    <row r="56836" spans="18:19">
      <c r="R56836" s="178"/>
      <c r="S56836" s="178"/>
    </row>
    <row r="56837" spans="18:19">
      <c r="R56837" s="178"/>
      <c r="S56837" s="178"/>
    </row>
    <row r="56838" spans="18:19">
      <c r="R56838" s="178"/>
      <c r="S56838" s="178"/>
    </row>
    <row r="56839" spans="18:19">
      <c r="R56839" s="178"/>
      <c r="S56839" s="178"/>
    </row>
    <row r="56840" spans="18:19">
      <c r="R56840" s="178"/>
      <c r="S56840" s="178"/>
    </row>
    <row r="56841" spans="18:19">
      <c r="R56841" s="178"/>
      <c r="S56841" s="178"/>
    </row>
    <row r="56842" spans="18:19">
      <c r="R56842" s="178"/>
      <c r="S56842" s="178"/>
    </row>
    <row r="56843" spans="18:19">
      <c r="R56843" s="178"/>
      <c r="S56843" s="178"/>
    </row>
    <row r="56844" spans="18:19">
      <c r="R56844" s="178"/>
      <c r="S56844" s="178"/>
    </row>
    <row r="56845" spans="18:19">
      <c r="R56845" s="178"/>
      <c r="S56845" s="178"/>
    </row>
    <row r="56846" spans="18:19">
      <c r="R56846" s="178"/>
      <c r="S56846" s="178"/>
    </row>
    <row r="56847" spans="18:19">
      <c r="R56847" s="178"/>
      <c r="S56847" s="178"/>
    </row>
    <row r="56848" spans="18:19">
      <c r="R56848" s="178"/>
      <c r="S56848" s="178"/>
    </row>
    <row r="56849" spans="18:19">
      <c r="R56849" s="178"/>
      <c r="S56849" s="178"/>
    </row>
    <row r="56850" spans="18:19">
      <c r="R56850" s="178"/>
      <c r="S56850" s="178"/>
    </row>
    <row r="56851" spans="18:19">
      <c r="R56851" s="178"/>
      <c r="S56851" s="178"/>
    </row>
    <row r="56852" spans="18:19">
      <c r="R56852" s="178"/>
      <c r="S56852" s="178"/>
    </row>
    <row r="56853" spans="18:19">
      <c r="R56853" s="178"/>
      <c r="S56853" s="178"/>
    </row>
    <row r="56854" spans="18:19">
      <c r="R56854" s="178"/>
      <c r="S56854" s="178"/>
    </row>
    <row r="56855" spans="18:19">
      <c r="R56855" s="178"/>
      <c r="S56855" s="178"/>
    </row>
    <row r="56856" spans="18:19">
      <c r="R56856" s="178"/>
      <c r="S56856" s="178"/>
    </row>
    <row r="56857" spans="18:19">
      <c r="R56857" s="178"/>
      <c r="S56857" s="178"/>
    </row>
    <row r="56858" spans="18:19">
      <c r="R56858" s="178"/>
      <c r="S56858" s="178"/>
    </row>
    <row r="56859" spans="18:19">
      <c r="R56859" s="178"/>
      <c r="S56859" s="178"/>
    </row>
    <row r="56860" spans="18:19">
      <c r="R56860" s="178"/>
      <c r="S56860" s="178"/>
    </row>
    <row r="56861" spans="18:19">
      <c r="R56861" s="178"/>
      <c r="S56861" s="178"/>
    </row>
    <row r="56862" spans="18:19">
      <c r="R56862" s="178"/>
      <c r="S56862" s="178"/>
    </row>
    <row r="56863" spans="18:19">
      <c r="R56863" s="178"/>
      <c r="S56863" s="178"/>
    </row>
    <row r="56864" spans="18:19">
      <c r="R56864" s="178"/>
      <c r="S56864" s="178"/>
    </row>
    <row r="56865" spans="18:19">
      <c r="R56865" s="178"/>
      <c r="S56865" s="178"/>
    </row>
    <row r="56866" spans="18:19">
      <c r="R56866" s="178"/>
      <c r="S56866" s="178"/>
    </row>
    <row r="56867" spans="18:19">
      <c r="R56867" s="178"/>
      <c r="S56867" s="178"/>
    </row>
    <row r="56868" spans="18:19">
      <c r="R56868" s="178"/>
      <c r="S56868" s="178"/>
    </row>
    <row r="56869" spans="18:19">
      <c r="R56869" s="178"/>
      <c r="S56869" s="178"/>
    </row>
    <row r="56870" spans="18:19">
      <c r="R56870" s="178"/>
      <c r="S56870" s="178"/>
    </row>
    <row r="56871" spans="18:19">
      <c r="R56871" s="178"/>
      <c r="S56871" s="178"/>
    </row>
    <row r="56872" spans="18:19">
      <c r="R56872" s="178"/>
      <c r="S56872" s="178"/>
    </row>
    <row r="56873" spans="18:19">
      <c r="R56873" s="178"/>
      <c r="S56873" s="178"/>
    </row>
    <row r="56874" spans="18:19">
      <c r="R56874" s="178"/>
      <c r="S56874" s="178"/>
    </row>
    <row r="56875" spans="18:19">
      <c r="R56875" s="178"/>
      <c r="S56875" s="178"/>
    </row>
    <row r="56876" spans="18:19">
      <c r="R56876" s="178"/>
      <c r="S56876" s="178"/>
    </row>
    <row r="56877" spans="18:19">
      <c r="R56877" s="178"/>
      <c r="S56877" s="178"/>
    </row>
    <row r="56878" spans="18:19">
      <c r="R56878" s="178"/>
      <c r="S56878" s="178"/>
    </row>
    <row r="56879" spans="18:19">
      <c r="R56879" s="178"/>
      <c r="S56879" s="178"/>
    </row>
    <row r="56880" spans="18:19">
      <c r="R56880" s="178"/>
      <c r="S56880" s="178"/>
    </row>
    <row r="56881" spans="18:19">
      <c r="R56881" s="178"/>
      <c r="S56881" s="178"/>
    </row>
    <row r="56882" spans="18:19">
      <c r="R56882" s="178"/>
      <c r="S56882" s="178"/>
    </row>
    <row r="56883" spans="18:19">
      <c r="R56883" s="178"/>
      <c r="S56883" s="178"/>
    </row>
    <row r="56884" spans="18:19">
      <c r="R56884" s="178"/>
      <c r="S56884" s="178"/>
    </row>
    <row r="56885" spans="18:19">
      <c r="R56885" s="178"/>
      <c r="S56885" s="178"/>
    </row>
    <row r="56886" spans="18:19">
      <c r="R56886" s="178"/>
      <c r="S56886" s="178"/>
    </row>
    <row r="56887" spans="18:19">
      <c r="R56887" s="178"/>
      <c r="S56887" s="178"/>
    </row>
    <row r="56888" spans="18:19">
      <c r="R56888" s="178"/>
      <c r="S56888" s="178"/>
    </row>
    <row r="56889" spans="18:19">
      <c r="R56889" s="178"/>
      <c r="S56889" s="178"/>
    </row>
    <row r="56890" spans="18:19">
      <c r="R56890" s="178"/>
      <c r="S56890" s="178"/>
    </row>
    <row r="56891" spans="18:19">
      <c r="R56891" s="178"/>
      <c r="S56891" s="178"/>
    </row>
    <row r="56892" spans="18:19">
      <c r="R56892" s="178"/>
      <c r="S56892" s="178"/>
    </row>
    <row r="56893" spans="18:19">
      <c r="R56893" s="178"/>
      <c r="S56893" s="178"/>
    </row>
    <row r="56894" spans="18:19">
      <c r="R56894" s="178"/>
      <c r="S56894" s="178"/>
    </row>
    <row r="56895" spans="18:19">
      <c r="R56895" s="178"/>
      <c r="S56895" s="178"/>
    </row>
    <row r="56896" spans="18:19">
      <c r="R56896" s="178"/>
      <c r="S56896" s="178"/>
    </row>
    <row r="56897" spans="18:19">
      <c r="R56897" s="178"/>
      <c r="S56897" s="178"/>
    </row>
    <row r="56898" spans="18:19">
      <c r="R56898" s="178"/>
      <c r="S56898" s="178"/>
    </row>
    <row r="56899" spans="18:19">
      <c r="R56899" s="178"/>
      <c r="S56899" s="178"/>
    </row>
    <row r="56900" spans="18:19">
      <c r="R56900" s="178"/>
      <c r="S56900" s="178"/>
    </row>
    <row r="56901" spans="18:19">
      <c r="R56901" s="178"/>
      <c r="S56901" s="178"/>
    </row>
    <row r="56902" spans="18:19">
      <c r="R56902" s="178"/>
      <c r="S56902" s="178"/>
    </row>
    <row r="56903" spans="18:19">
      <c r="R56903" s="178"/>
      <c r="S56903" s="178"/>
    </row>
    <row r="56904" spans="18:19">
      <c r="R56904" s="178"/>
      <c r="S56904" s="178"/>
    </row>
    <row r="56905" spans="18:19">
      <c r="R56905" s="178"/>
      <c r="S56905" s="178"/>
    </row>
    <row r="56906" spans="18:19">
      <c r="R56906" s="178"/>
      <c r="S56906" s="178"/>
    </row>
    <row r="56907" spans="18:19">
      <c r="R56907" s="178"/>
      <c r="S56907" s="178"/>
    </row>
    <row r="56908" spans="18:19">
      <c r="R56908" s="178"/>
      <c r="S56908" s="178"/>
    </row>
    <row r="56909" spans="18:19">
      <c r="R56909" s="178"/>
      <c r="S56909" s="178"/>
    </row>
    <row r="56910" spans="18:19">
      <c r="R56910" s="178"/>
      <c r="S56910" s="178"/>
    </row>
    <row r="56911" spans="18:19">
      <c r="R56911" s="178"/>
      <c r="S56911" s="178"/>
    </row>
    <row r="56912" spans="18:19">
      <c r="R56912" s="178"/>
      <c r="S56912" s="178"/>
    </row>
    <row r="56913" spans="18:19">
      <c r="R56913" s="178"/>
      <c r="S56913" s="178"/>
    </row>
    <row r="56914" spans="18:19">
      <c r="R56914" s="178"/>
      <c r="S56914" s="178"/>
    </row>
    <row r="56915" spans="18:19">
      <c r="R56915" s="178"/>
      <c r="S56915" s="178"/>
    </row>
    <row r="56916" spans="18:19">
      <c r="R56916" s="178"/>
      <c r="S56916" s="178"/>
    </row>
    <row r="56917" spans="18:19">
      <c r="R56917" s="178"/>
      <c r="S56917" s="178"/>
    </row>
    <row r="56918" spans="18:19">
      <c r="R56918" s="178"/>
      <c r="S56918" s="178"/>
    </row>
    <row r="56919" spans="18:19">
      <c r="R56919" s="178"/>
      <c r="S56919" s="178"/>
    </row>
    <row r="56920" spans="18:19">
      <c r="R56920" s="178"/>
      <c r="S56920" s="178"/>
    </row>
    <row r="56921" spans="18:19">
      <c r="R56921" s="178"/>
      <c r="S56921" s="178"/>
    </row>
    <row r="56922" spans="18:19">
      <c r="R56922" s="178"/>
      <c r="S56922" s="178"/>
    </row>
    <row r="56923" spans="18:19">
      <c r="R56923" s="178"/>
      <c r="S56923" s="178"/>
    </row>
    <row r="56924" spans="18:19">
      <c r="R56924" s="178"/>
      <c r="S56924" s="178"/>
    </row>
    <row r="56925" spans="18:19">
      <c r="R56925" s="178"/>
      <c r="S56925" s="178"/>
    </row>
    <row r="56926" spans="18:19">
      <c r="R56926" s="178"/>
      <c r="S56926" s="178"/>
    </row>
    <row r="56927" spans="18:19">
      <c r="R56927" s="178"/>
      <c r="S56927" s="178"/>
    </row>
    <row r="56928" spans="18:19">
      <c r="R56928" s="178"/>
      <c r="S56928" s="178"/>
    </row>
    <row r="56929" spans="18:19">
      <c r="R56929" s="178"/>
      <c r="S56929" s="178"/>
    </row>
    <row r="56930" spans="18:19">
      <c r="R56930" s="178"/>
      <c r="S56930" s="178"/>
    </row>
    <row r="56931" spans="18:19">
      <c r="R56931" s="178"/>
      <c r="S56931" s="178"/>
    </row>
    <row r="56932" spans="18:19">
      <c r="R56932" s="178"/>
      <c r="S56932" s="178"/>
    </row>
    <row r="56933" spans="18:19">
      <c r="R56933" s="178"/>
      <c r="S56933" s="178"/>
    </row>
    <row r="56934" spans="18:19">
      <c r="R56934" s="178"/>
      <c r="S56934" s="178"/>
    </row>
    <row r="56935" spans="18:19">
      <c r="R56935" s="178"/>
      <c r="S56935" s="178"/>
    </row>
    <row r="56936" spans="18:19">
      <c r="R56936" s="178"/>
      <c r="S56936" s="178"/>
    </row>
    <row r="56937" spans="18:19">
      <c r="R56937" s="178"/>
      <c r="S56937" s="178"/>
    </row>
    <row r="56938" spans="18:19">
      <c r="R56938" s="178"/>
      <c r="S56938" s="178"/>
    </row>
    <row r="56939" spans="18:19">
      <c r="R56939" s="178"/>
      <c r="S56939" s="178"/>
    </row>
    <row r="56940" spans="18:19">
      <c r="R56940" s="178"/>
      <c r="S56940" s="178"/>
    </row>
    <row r="56941" spans="18:19">
      <c r="R56941" s="178"/>
      <c r="S56941" s="178"/>
    </row>
    <row r="56942" spans="18:19">
      <c r="R56942" s="178"/>
      <c r="S56942" s="178"/>
    </row>
    <row r="56943" spans="18:19">
      <c r="R56943" s="178"/>
      <c r="S56943" s="178"/>
    </row>
    <row r="56944" spans="18:19">
      <c r="R56944" s="178"/>
      <c r="S56944" s="178"/>
    </row>
    <row r="56945" spans="18:19">
      <c r="R56945" s="178"/>
      <c r="S56945" s="178"/>
    </row>
    <row r="56946" spans="18:19">
      <c r="R56946" s="178"/>
      <c r="S56946" s="178"/>
    </row>
    <row r="56947" spans="18:19">
      <c r="R56947" s="178"/>
      <c r="S56947" s="178"/>
    </row>
    <row r="56948" spans="18:19">
      <c r="R56948" s="178"/>
      <c r="S56948" s="178"/>
    </row>
    <row r="56949" spans="18:19">
      <c r="R56949" s="178"/>
      <c r="S56949" s="178"/>
    </row>
    <row r="56950" spans="18:19">
      <c r="R56950" s="178"/>
      <c r="S56950" s="178"/>
    </row>
    <row r="56951" spans="18:19">
      <c r="R56951" s="178"/>
      <c r="S56951" s="178"/>
    </row>
    <row r="56952" spans="18:19">
      <c r="R56952" s="178"/>
      <c r="S56952" s="178"/>
    </row>
    <row r="56953" spans="18:19">
      <c r="R56953" s="178"/>
      <c r="S56953" s="178"/>
    </row>
    <row r="56954" spans="18:19">
      <c r="R56954" s="178"/>
      <c r="S56954" s="178"/>
    </row>
    <row r="56955" spans="18:19">
      <c r="R56955" s="178"/>
      <c r="S56955" s="178"/>
    </row>
    <row r="56956" spans="18:19">
      <c r="R56956" s="178"/>
      <c r="S56956" s="178"/>
    </row>
    <row r="56957" spans="18:19">
      <c r="R56957" s="178"/>
      <c r="S56957" s="178"/>
    </row>
    <row r="56958" spans="18:19">
      <c r="R56958" s="178"/>
      <c r="S56958" s="178"/>
    </row>
    <row r="56959" spans="18:19">
      <c r="R56959" s="178"/>
      <c r="S56959" s="178"/>
    </row>
    <row r="56960" spans="18:19">
      <c r="R56960" s="178"/>
      <c r="S56960" s="178"/>
    </row>
    <row r="56961" spans="18:19">
      <c r="R56961" s="178"/>
      <c r="S56961" s="178"/>
    </row>
    <row r="56962" spans="18:19">
      <c r="R56962" s="178"/>
      <c r="S56962" s="178"/>
    </row>
    <row r="56963" spans="18:19">
      <c r="R56963" s="178"/>
      <c r="S56963" s="178"/>
    </row>
    <row r="56964" spans="18:19">
      <c r="R56964" s="178"/>
      <c r="S56964" s="178"/>
    </row>
    <row r="56965" spans="18:19">
      <c r="R56965" s="178"/>
      <c r="S56965" s="178"/>
    </row>
    <row r="56966" spans="18:19">
      <c r="R56966" s="178"/>
      <c r="S56966" s="178"/>
    </row>
    <row r="56967" spans="18:19">
      <c r="R56967" s="178"/>
      <c r="S56967" s="178"/>
    </row>
    <row r="56968" spans="18:19">
      <c r="R56968" s="178"/>
      <c r="S56968" s="178"/>
    </row>
    <row r="56969" spans="18:19">
      <c r="R56969" s="178"/>
      <c r="S56969" s="178"/>
    </row>
    <row r="56970" spans="18:19">
      <c r="R56970" s="178"/>
      <c r="S56970" s="178"/>
    </row>
    <row r="56971" spans="18:19">
      <c r="R56971" s="178"/>
      <c r="S56971" s="178"/>
    </row>
    <row r="56972" spans="18:19">
      <c r="R56972" s="178"/>
      <c r="S56972" s="178"/>
    </row>
    <row r="56973" spans="18:19">
      <c r="R56973" s="178"/>
      <c r="S56973" s="178"/>
    </row>
    <row r="56974" spans="18:19">
      <c r="R56974" s="178"/>
      <c r="S56974" s="178"/>
    </row>
    <row r="56975" spans="18:19">
      <c r="R56975" s="178"/>
      <c r="S56975" s="178"/>
    </row>
    <row r="56976" spans="18:19">
      <c r="R56976" s="178"/>
      <c r="S56976" s="178"/>
    </row>
    <row r="56977" spans="18:19">
      <c r="R56977" s="178"/>
      <c r="S56977" s="178"/>
    </row>
    <row r="56978" spans="18:19">
      <c r="R56978" s="178"/>
      <c r="S56978" s="178"/>
    </row>
    <row r="56979" spans="18:19">
      <c r="R56979" s="178"/>
      <c r="S56979" s="178"/>
    </row>
    <row r="56980" spans="18:19">
      <c r="R56980" s="178"/>
      <c r="S56980" s="178"/>
    </row>
    <row r="56981" spans="18:19">
      <c r="R56981" s="178"/>
      <c r="S56981" s="178"/>
    </row>
    <row r="56982" spans="18:19">
      <c r="R56982" s="178"/>
      <c r="S56982" s="178"/>
    </row>
    <row r="56983" spans="18:19">
      <c r="R56983" s="178"/>
      <c r="S56983" s="178"/>
    </row>
    <row r="56984" spans="18:19">
      <c r="R56984" s="178"/>
      <c r="S56984" s="178"/>
    </row>
    <row r="56985" spans="18:19">
      <c r="R56985" s="178"/>
      <c r="S56985" s="178"/>
    </row>
    <row r="56986" spans="18:19">
      <c r="R56986" s="178"/>
      <c r="S56986" s="178"/>
    </row>
    <row r="56987" spans="18:19">
      <c r="R56987" s="178"/>
      <c r="S56987" s="178"/>
    </row>
    <row r="56988" spans="18:19">
      <c r="R56988" s="178"/>
      <c r="S56988" s="178"/>
    </row>
    <row r="56989" spans="18:19">
      <c r="R56989" s="178"/>
      <c r="S56989" s="178"/>
    </row>
    <row r="56990" spans="18:19">
      <c r="R56990" s="178"/>
      <c r="S56990" s="178"/>
    </row>
    <row r="56991" spans="18:19">
      <c r="R56991" s="178"/>
      <c r="S56991" s="178"/>
    </row>
    <row r="56992" spans="18:19">
      <c r="R56992" s="178"/>
      <c r="S56992" s="178"/>
    </row>
    <row r="56993" spans="18:19">
      <c r="R56993" s="178"/>
      <c r="S56993" s="178"/>
    </row>
    <row r="56994" spans="18:19">
      <c r="R56994" s="178"/>
      <c r="S56994" s="178"/>
    </row>
    <row r="56995" spans="18:19">
      <c r="R56995" s="178"/>
      <c r="S56995" s="178"/>
    </row>
    <row r="56996" spans="18:19">
      <c r="R56996" s="178"/>
      <c r="S56996" s="178"/>
    </row>
    <row r="56997" spans="18:19">
      <c r="R56997" s="178"/>
      <c r="S56997" s="178"/>
    </row>
    <row r="56998" spans="18:19">
      <c r="R56998" s="178"/>
      <c r="S56998" s="178"/>
    </row>
    <row r="56999" spans="18:19">
      <c r="R56999" s="178"/>
      <c r="S56999" s="178"/>
    </row>
    <row r="57000" spans="18:19">
      <c r="R57000" s="178"/>
      <c r="S57000" s="178"/>
    </row>
    <row r="57001" spans="18:19">
      <c r="R57001" s="178"/>
      <c r="S57001" s="178"/>
    </row>
    <row r="57002" spans="18:19">
      <c r="R57002" s="178"/>
      <c r="S57002" s="178"/>
    </row>
    <row r="57003" spans="18:19">
      <c r="R57003" s="178"/>
      <c r="S57003" s="178"/>
    </row>
    <row r="57004" spans="18:19">
      <c r="R57004" s="178"/>
      <c r="S57004" s="178"/>
    </row>
    <row r="57005" spans="18:19">
      <c r="R57005" s="178"/>
      <c r="S57005" s="178"/>
    </row>
    <row r="57006" spans="18:19">
      <c r="R57006" s="178"/>
      <c r="S57006" s="178"/>
    </row>
    <row r="57007" spans="18:19">
      <c r="R57007" s="178"/>
      <c r="S57007" s="178"/>
    </row>
    <row r="57008" spans="18:19">
      <c r="R57008" s="178"/>
      <c r="S57008" s="178"/>
    </row>
    <row r="57009" spans="18:19">
      <c r="R57009" s="178"/>
      <c r="S57009" s="178"/>
    </row>
    <row r="57010" spans="18:19">
      <c r="R57010" s="178"/>
      <c r="S57010" s="178"/>
    </row>
    <row r="57011" spans="18:19">
      <c r="R57011" s="178"/>
      <c r="S57011" s="178"/>
    </row>
    <row r="57012" spans="18:19">
      <c r="R57012" s="178"/>
      <c r="S57012" s="178"/>
    </row>
    <row r="57013" spans="18:19">
      <c r="R57013" s="178"/>
      <c r="S57013" s="178"/>
    </row>
    <row r="57014" spans="18:19">
      <c r="R57014" s="178"/>
      <c r="S57014" s="178"/>
    </row>
    <row r="57015" spans="18:19">
      <c r="R57015" s="178"/>
      <c r="S57015" s="178"/>
    </row>
    <row r="57016" spans="18:19">
      <c r="R57016" s="178"/>
      <c r="S57016" s="178"/>
    </row>
    <row r="57017" spans="18:19">
      <c r="R57017" s="178"/>
      <c r="S57017" s="178"/>
    </row>
    <row r="57018" spans="18:19">
      <c r="R57018" s="178"/>
      <c r="S57018" s="178"/>
    </row>
    <row r="57019" spans="18:19">
      <c r="R57019" s="178"/>
      <c r="S57019" s="178"/>
    </row>
    <row r="57020" spans="18:19">
      <c r="R57020" s="178"/>
      <c r="S57020" s="178"/>
    </row>
    <row r="57021" spans="18:19">
      <c r="R57021" s="178"/>
      <c r="S57021" s="178"/>
    </row>
    <row r="57022" spans="18:19">
      <c r="R57022" s="178"/>
      <c r="S57022" s="178"/>
    </row>
    <row r="57023" spans="18:19">
      <c r="R57023" s="178"/>
      <c r="S57023" s="178"/>
    </row>
    <row r="57024" spans="18:19">
      <c r="R57024" s="178"/>
      <c r="S57024" s="178"/>
    </row>
    <row r="57025" spans="18:19">
      <c r="R57025" s="178"/>
      <c r="S57025" s="178"/>
    </row>
    <row r="57026" spans="18:19">
      <c r="R57026" s="178"/>
      <c r="S57026" s="178"/>
    </row>
    <row r="57027" spans="18:19">
      <c r="R57027" s="178"/>
      <c r="S57027" s="178"/>
    </row>
    <row r="57028" spans="18:19">
      <c r="R57028" s="178"/>
      <c r="S57028" s="178"/>
    </row>
    <row r="57029" spans="18:19">
      <c r="R57029" s="178"/>
      <c r="S57029" s="178"/>
    </row>
    <row r="57030" spans="18:19">
      <c r="R57030" s="178"/>
      <c r="S57030" s="178"/>
    </row>
    <row r="57031" spans="18:19">
      <c r="R57031" s="178"/>
      <c r="S57031" s="178"/>
    </row>
    <row r="57032" spans="18:19">
      <c r="R57032" s="178"/>
      <c r="S57032" s="178"/>
    </row>
    <row r="57033" spans="18:19">
      <c r="R57033" s="178"/>
      <c r="S57033" s="178"/>
    </row>
    <row r="57034" spans="18:19">
      <c r="R57034" s="178"/>
      <c r="S57034" s="178"/>
    </row>
    <row r="57035" spans="18:19">
      <c r="R57035" s="178"/>
      <c r="S57035" s="178"/>
    </row>
    <row r="57036" spans="18:19">
      <c r="R57036" s="178"/>
      <c r="S57036" s="178"/>
    </row>
    <row r="57037" spans="18:19">
      <c r="R57037" s="178"/>
      <c r="S57037" s="178"/>
    </row>
    <row r="57038" spans="18:19">
      <c r="R57038" s="178"/>
      <c r="S57038" s="178"/>
    </row>
    <row r="57039" spans="18:19">
      <c r="R57039" s="178"/>
      <c r="S57039" s="178"/>
    </row>
    <row r="57040" spans="18:19">
      <c r="R57040" s="178"/>
      <c r="S57040" s="178"/>
    </row>
    <row r="57041" spans="18:19">
      <c r="R57041" s="178"/>
      <c r="S57041" s="178"/>
    </row>
    <row r="57042" spans="18:19">
      <c r="R57042" s="178"/>
      <c r="S57042" s="178"/>
    </row>
    <row r="57043" spans="18:19">
      <c r="R57043" s="178"/>
      <c r="S57043" s="178"/>
    </row>
    <row r="57044" spans="18:19">
      <c r="R57044" s="178"/>
      <c r="S57044" s="178"/>
    </row>
    <row r="57045" spans="18:19">
      <c r="R57045" s="178"/>
      <c r="S57045" s="178"/>
    </row>
    <row r="57046" spans="18:19">
      <c r="R57046" s="178"/>
      <c r="S57046" s="178"/>
    </row>
    <row r="57047" spans="18:19">
      <c r="R57047" s="178"/>
      <c r="S57047" s="178"/>
    </row>
    <row r="57048" spans="18:19">
      <c r="R57048" s="178"/>
      <c r="S57048" s="178"/>
    </row>
    <row r="57049" spans="18:19">
      <c r="R57049" s="178"/>
      <c r="S57049" s="178"/>
    </row>
    <row r="57050" spans="18:19">
      <c r="R57050" s="178"/>
      <c r="S57050" s="178"/>
    </row>
    <row r="57051" spans="18:19">
      <c r="R57051" s="178"/>
      <c r="S57051" s="178"/>
    </row>
    <row r="57052" spans="18:19">
      <c r="R57052" s="178"/>
      <c r="S57052" s="178"/>
    </row>
    <row r="57053" spans="18:19">
      <c r="R57053" s="178"/>
      <c r="S57053" s="178"/>
    </row>
    <row r="57054" spans="18:19">
      <c r="R57054" s="178"/>
      <c r="S57054" s="178"/>
    </row>
    <row r="57055" spans="18:19">
      <c r="R57055" s="178"/>
      <c r="S57055" s="178"/>
    </row>
    <row r="57056" spans="18:19">
      <c r="R57056" s="178"/>
      <c r="S57056" s="178"/>
    </row>
    <row r="57057" spans="18:19">
      <c r="R57057" s="178"/>
      <c r="S57057" s="178"/>
    </row>
    <row r="57058" spans="18:19">
      <c r="R57058" s="178"/>
      <c r="S57058" s="178"/>
    </row>
    <row r="57059" spans="18:19">
      <c r="R57059" s="178"/>
      <c r="S57059" s="178"/>
    </row>
    <row r="57060" spans="18:19">
      <c r="R57060" s="178"/>
      <c r="S57060" s="178"/>
    </row>
    <row r="57061" spans="18:19">
      <c r="R57061" s="178"/>
      <c r="S57061" s="178"/>
    </row>
    <row r="57062" spans="18:19">
      <c r="R57062" s="178"/>
      <c r="S57062" s="178"/>
    </row>
    <row r="57063" spans="18:19">
      <c r="R57063" s="178"/>
      <c r="S57063" s="178"/>
    </row>
    <row r="57064" spans="18:19">
      <c r="R57064" s="178"/>
      <c r="S57064" s="178"/>
    </row>
    <row r="57065" spans="18:19">
      <c r="R57065" s="178"/>
      <c r="S57065" s="178"/>
    </row>
    <row r="57066" spans="18:19">
      <c r="R57066" s="178"/>
      <c r="S57066" s="178"/>
    </row>
    <row r="57067" spans="18:19">
      <c r="R57067" s="178"/>
      <c r="S57067" s="178"/>
    </row>
    <row r="57068" spans="18:19">
      <c r="R57068" s="178"/>
      <c r="S57068" s="178"/>
    </row>
    <row r="57069" spans="18:19">
      <c r="R57069" s="178"/>
      <c r="S57069" s="178"/>
    </row>
    <row r="57070" spans="18:19">
      <c r="R57070" s="178"/>
      <c r="S57070" s="178"/>
    </row>
    <row r="57071" spans="18:19">
      <c r="R57071" s="178"/>
      <c r="S57071" s="178"/>
    </row>
    <row r="57072" spans="18:19">
      <c r="R57072" s="178"/>
      <c r="S57072" s="178"/>
    </row>
    <row r="57073" spans="18:19">
      <c r="R57073" s="178"/>
      <c r="S57073" s="178"/>
    </row>
    <row r="57074" spans="18:19">
      <c r="R57074" s="178"/>
      <c r="S57074" s="178"/>
    </row>
    <row r="57075" spans="18:19">
      <c r="R57075" s="178"/>
      <c r="S57075" s="178"/>
    </row>
    <row r="57076" spans="18:19">
      <c r="R57076" s="178"/>
      <c r="S57076" s="178"/>
    </row>
    <row r="57077" spans="18:19">
      <c r="R57077" s="178"/>
      <c r="S57077" s="178"/>
    </row>
    <row r="57078" spans="18:19">
      <c r="R57078" s="178"/>
      <c r="S57078" s="178"/>
    </row>
    <row r="57079" spans="18:19">
      <c r="R57079" s="178"/>
      <c r="S57079" s="178"/>
    </row>
    <row r="57080" spans="18:19">
      <c r="R57080" s="178"/>
      <c r="S57080" s="178"/>
    </row>
    <row r="57081" spans="18:19">
      <c r="R57081" s="178"/>
      <c r="S57081" s="178"/>
    </row>
    <row r="57082" spans="18:19">
      <c r="R57082" s="178"/>
      <c r="S57082" s="178"/>
    </row>
    <row r="57083" spans="18:19">
      <c r="R57083" s="178"/>
      <c r="S57083" s="178"/>
    </row>
    <row r="57084" spans="18:19">
      <c r="R57084" s="178"/>
      <c r="S57084" s="178"/>
    </row>
    <row r="57085" spans="18:19">
      <c r="R57085" s="178"/>
      <c r="S57085" s="178"/>
    </row>
    <row r="57086" spans="18:19">
      <c r="R57086" s="178"/>
      <c r="S57086" s="178"/>
    </row>
    <row r="57087" spans="18:19">
      <c r="R57087" s="178"/>
      <c r="S57087" s="178"/>
    </row>
    <row r="57088" spans="18:19">
      <c r="R57088" s="178"/>
      <c r="S57088" s="178"/>
    </row>
    <row r="57089" spans="18:19">
      <c r="R57089" s="178"/>
      <c r="S57089" s="178"/>
    </row>
    <row r="57090" spans="18:19">
      <c r="R57090" s="178"/>
      <c r="S57090" s="178"/>
    </row>
    <row r="57091" spans="18:19">
      <c r="R57091" s="178"/>
      <c r="S57091" s="178"/>
    </row>
    <row r="57092" spans="18:19">
      <c r="R57092" s="178"/>
      <c r="S57092" s="178"/>
    </row>
    <row r="57093" spans="18:19">
      <c r="R57093" s="178"/>
      <c r="S57093" s="178"/>
    </row>
    <row r="57094" spans="18:19">
      <c r="R57094" s="178"/>
      <c r="S57094" s="178"/>
    </row>
    <row r="57095" spans="18:19">
      <c r="R57095" s="178"/>
      <c r="S57095" s="178"/>
    </row>
    <row r="57096" spans="18:19">
      <c r="R57096" s="178"/>
      <c r="S57096" s="178"/>
    </row>
    <row r="57097" spans="18:19">
      <c r="R57097" s="178"/>
      <c r="S57097" s="178"/>
    </row>
    <row r="57098" spans="18:19">
      <c r="R57098" s="178"/>
      <c r="S57098" s="178"/>
    </row>
    <row r="57099" spans="18:19">
      <c r="R57099" s="178"/>
      <c r="S57099" s="178"/>
    </row>
    <row r="57100" spans="18:19">
      <c r="R57100" s="178"/>
      <c r="S57100" s="178"/>
    </row>
    <row r="57101" spans="18:19">
      <c r="R57101" s="178"/>
      <c r="S57101" s="178"/>
    </row>
    <row r="57102" spans="18:19">
      <c r="R57102" s="178"/>
      <c r="S57102" s="178"/>
    </row>
    <row r="57103" spans="18:19">
      <c r="R57103" s="178"/>
      <c r="S57103" s="178"/>
    </row>
    <row r="57104" spans="18:19">
      <c r="R57104" s="178"/>
      <c r="S57104" s="178"/>
    </row>
    <row r="57105" spans="18:19">
      <c r="R57105" s="178"/>
      <c r="S57105" s="178"/>
    </row>
    <row r="57106" spans="18:19">
      <c r="R57106" s="178"/>
      <c r="S57106" s="178"/>
    </row>
    <row r="57107" spans="18:19">
      <c r="R57107" s="178"/>
      <c r="S57107" s="178"/>
    </row>
    <row r="57108" spans="18:19">
      <c r="R57108" s="178"/>
      <c r="S57108" s="178"/>
    </row>
    <row r="57109" spans="18:19">
      <c r="R57109" s="178"/>
      <c r="S57109" s="178"/>
    </row>
    <row r="57110" spans="18:19">
      <c r="R57110" s="178"/>
      <c r="S57110" s="178"/>
    </row>
    <row r="57111" spans="18:19">
      <c r="R57111" s="178"/>
      <c r="S57111" s="178"/>
    </row>
    <row r="57112" spans="18:19">
      <c r="R57112" s="178"/>
      <c r="S57112" s="178"/>
    </row>
    <row r="57113" spans="18:19">
      <c r="R57113" s="178"/>
      <c r="S57113" s="178"/>
    </row>
    <row r="57114" spans="18:19">
      <c r="R57114" s="178"/>
      <c r="S57114" s="178"/>
    </row>
    <row r="57115" spans="18:19">
      <c r="R57115" s="178"/>
      <c r="S57115" s="178"/>
    </row>
    <row r="57116" spans="18:19">
      <c r="R57116" s="178"/>
      <c r="S57116" s="178"/>
    </row>
    <row r="57117" spans="18:19">
      <c r="R57117" s="178"/>
      <c r="S57117" s="178"/>
    </row>
    <row r="57118" spans="18:19">
      <c r="R57118" s="178"/>
      <c r="S57118" s="178"/>
    </row>
    <row r="57119" spans="18:19">
      <c r="R57119" s="178"/>
      <c r="S57119" s="178"/>
    </row>
    <row r="57120" spans="18:19">
      <c r="R57120" s="178"/>
      <c r="S57120" s="178"/>
    </row>
    <row r="57121" spans="18:19">
      <c r="R57121" s="178"/>
      <c r="S57121" s="178"/>
    </row>
    <row r="57122" spans="18:19">
      <c r="R57122" s="178"/>
      <c r="S57122" s="178"/>
    </row>
    <row r="57123" spans="18:19">
      <c r="R57123" s="178"/>
      <c r="S57123" s="178"/>
    </row>
    <row r="57124" spans="18:19">
      <c r="R57124" s="178"/>
      <c r="S57124" s="178"/>
    </row>
    <row r="57125" spans="18:19">
      <c r="R57125" s="178"/>
      <c r="S57125" s="178"/>
    </row>
    <row r="57126" spans="18:19">
      <c r="R57126" s="178"/>
      <c r="S57126" s="178"/>
    </row>
    <row r="57127" spans="18:19">
      <c r="R57127" s="178"/>
      <c r="S57127" s="178"/>
    </row>
    <row r="57128" spans="18:19">
      <c r="R57128" s="178"/>
      <c r="S57128" s="178"/>
    </row>
    <row r="57129" spans="18:19">
      <c r="R57129" s="178"/>
      <c r="S57129" s="178"/>
    </row>
    <row r="57130" spans="18:19">
      <c r="R57130" s="178"/>
      <c r="S57130" s="178"/>
    </row>
    <row r="57131" spans="18:19">
      <c r="R57131" s="178"/>
      <c r="S57131" s="178"/>
    </row>
    <row r="57132" spans="18:19">
      <c r="R57132" s="178"/>
      <c r="S57132" s="178"/>
    </row>
    <row r="57133" spans="18:19">
      <c r="R57133" s="178"/>
      <c r="S57133" s="178"/>
    </row>
    <row r="57134" spans="18:19">
      <c r="R57134" s="178"/>
      <c r="S57134" s="178"/>
    </row>
    <row r="57135" spans="18:19">
      <c r="R57135" s="178"/>
      <c r="S57135" s="178"/>
    </row>
    <row r="57136" spans="18:19">
      <c r="R57136" s="178"/>
      <c r="S57136" s="178"/>
    </row>
    <row r="57137" spans="18:19">
      <c r="R57137" s="178"/>
      <c r="S57137" s="178"/>
    </row>
    <row r="57138" spans="18:19">
      <c r="R57138" s="178"/>
      <c r="S57138" s="178"/>
    </row>
    <row r="57139" spans="18:19">
      <c r="R57139" s="178"/>
      <c r="S57139" s="178"/>
    </row>
    <row r="57140" spans="18:19">
      <c r="R57140" s="178"/>
      <c r="S57140" s="178"/>
    </row>
    <row r="57141" spans="18:19">
      <c r="R57141" s="178"/>
      <c r="S57141" s="178"/>
    </row>
    <row r="57142" spans="18:19">
      <c r="R57142" s="178"/>
      <c r="S57142" s="178"/>
    </row>
    <row r="57143" spans="18:19">
      <c r="R57143" s="178"/>
      <c r="S57143" s="178"/>
    </row>
    <row r="57144" spans="18:19">
      <c r="R57144" s="178"/>
      <c r="S57144" s="178"/>
    </row>
    <row r="57145" spans="18:19">
      <c r="R57145" s="178"/>
      <c r="S57145" s="178"/>
    </row>
    <row r="57146" spans="18:19">
      <c r="R57146" s="178"/>
      <c r="S57146" s="178"/>
    </row>
    <row r="57147" spans="18:19">
      <c r="R57147" s="178"/>
      <c r="S57147" s="178"/>
    </row>
    <row r="57148" spans="18:19">
      <c r="R57148" s="178"/>
      <c r="S57148" s="178"/>
    </row>
    <row r="57149" spans="18:19">
      <c r="R57149" s="178"/>
      <c r="S57149" s="178"/>
    </row>
    <row r="57150" spans="18:19">
      <c r="R57150" s="178"/>
      <c r="S57150" s="178"/>
    </row>
    <row r="57151" spans="18:19">
      <c r="R57151" s="178"/>
      <c r="S57151" s="178"/>
    </row>
    <row r="57152" spans="18:19">
      <c r="R57152" s="178"/>
      <c r="S57152" s="178"/>
    </row>
    <row r="57153" spans="18:19">
      <c r="R57153" s="178"/>
      <c r="S57153" s="178"/>
    </row>
    <row r="57154" spans="18:19">
      <c r="R57154" s="178"/>
      <c r="S57154" s="178"/>
    </row>
    <row r="57155" spans="18:19">
      <c r="R57155" s="178"/>
      <c r="S57155" s="178"/>
    </row>
    <row r="57156" spans="18:19">
      <c r="R57156" s="178"/>
      <c r="S57156" s="178"/>
    </row>
    <row r="57157" spans="18:19">
      <c r="R57157" s="178"/>
      <c r="S57157" s="178"/>
    </row>
    <row r="57158" spans="18:19">
      <c r="R57158" s="178"/>
      <c r="S57158" s="178"/>
    </row>
    <row r="57159" spans="18:19">
      <c r="R57159" s="178"/>
      <c r="S57159" s="178"/>
    </row>
    <row r="57160" spans="18:19">
      <c r="R57160" s="178"/>
      <c r="S57160" s="178"/>
    </row>
    <row r="57161" spans="18:19">
      <c r="R57161" s="178"/>
      <c r="S57161" s="178"/>
    </row>
    <row r="57162" spans="18:19">
      <c r="R57162" s="178"/>
      <c r="S57162" s="178"/>
    </row>
    <row r="57163" spans="18:19">
      <c r="R57163" s="178"/>
      <c r="S57163" s="178"/>
    </row>
    <row r="57164" spans="18:19">
      <c r="R57164" s="178"/>
      <c r="S57164" s="178"/>
    </row>
    <row r="57165" spans="18:19">
      <c r="R57165" s="178"/>
      <c r="S57165" s="178"/>
    </row>
    <row r="57166" spans="18:19">
      <c r="R57166" s="178"/>
      <c r="S57166" s="178"/>
    </row>
    <row r="57167" spans="18:19">
      <c r="R57167" s="178"/>
      <c r="S57167" s="178"/>
    </row>
    <row r="57168" spans="18:19">
      <c r="R57168" s="178"/>
      <c r="S57168" s="178"/>
    </row>
    <row r="57169" spans="18:19">
      <c r="R57169" s="178"/>
      <c r="S57169" s="178"/>
    </row>
    <row r="57170" spans="18:19">
      <c r="R57170" s="178"/>
      <c r="S57170" s="178"/>
    </row>
    <row r="57171" spans="18:19">
      <c r="R57171" s="178"/>
      <c r="S57171" s="178"/>
    </row>
    <row r="57172" spans="18:19">
      <c r="R57172" s="178"/>
      <c r="S57172" s="178"/>
    </row>
    <row r="57173" spans="18:19">
      <c r="R57173" s="178"/>
      <c r="S57173" s="178"/>
    </row>
    <row r="57174" spans="18:19">
      <c r="R57174" s="178"/>
      <c r="S57174" s="178"/>
    </row>
    <row r="57175" spans="18:19">
      <c r="R57175" s="178"/>
      <c r="S57175" s="178"/>
    </row>
    <row r="57176" spans="18:19">
      <c r="R57176" s="178"/>
      <c r="S57176" s="178"/>
    </row>
    <row r="57177" spans="18:19">
      <c r="R57177" s="178"/>
      <c r="S57177" s="178"/>
    </row>
    <row r="57178" spans="18:19">
      <c r="R57178" s="178"/>
      <c r="S57178" s="178"/>
    </row>
    <row r="57179" spans="18:19">
      <c r="R57179" s="178"/>
      <c r="S57179" s="178"/>
    </row>
    <row r="57180" spans="18:19">
      <c r="R57180" s="178"/>
      <c r="S57180" s="178"/>
    </row>
    <row r="57181" spans="18:19">
      <c r="R57181" s="178"/>
      <c r="S57181" s="178"/>
    </row>
    <row r="57182" spans="18:19">
      <c r="R57182" s="178"/>
      <c r="S57182" s="178"/>
    </row>
    <row r="57183" spans="18:19">
      <c r="R57183" s="178"/>
      <c r="S57183" s="178"/>
    </row>
    <row r="57184" spans="18:19">
      <c r="R57184" s="178"/>
      <c r="S57184" s="178"/>
    </row>
    <row r="57185" spans="18:19">
      <c r="R57185" s="178"/>
      <c r="S57185" s="178"/>
    </row>
    <row r="57186" spans="18:19">
      <c r="R57186" s="178"/>
      <c r="S57186" s="178"/>
    </row>
    <row r="57187" spans="18:19">
      <c r="R57187" s="178"/>
      <c r="S57187" s="178"/>
    </row>
    <row r="57188" spans="18:19">
      <c r="R57188" s="178"/>
      <c r="S57188" s="178"/>
    </row>
    <row r="57189" spans="18:19">
      <c r="R57189" s="178"/>
      <c r="S57189" s="178"/>
    </row>
    <row r="57190" spans="18:19">
      <c r="R57190" s="178"/>
      <c r="S57190" s="178"/>
    </row>
    <row r="57191" spans="18:19">
      <c r="R57191" s="178"/>
      <c r="S57191" s="178"/>
    </row>
    <row r="57192" spans="18:19">
      <c r="R57192" s="178"/>
      <c r="S57192" s="178"/>
    </row>
    <row r="57193" spans="18:19">
      <c r="R57193" s="178"/>
      <c r="S57193" s="178"/>
    </row>
    <row r="57194" spans="18:19">
      <c r="R57194" s="178"/>
      <c r="S57194" s="178"/>
    </row>
    <row r="57195" spans="18:19">
      <c r="R57195" s="178"/>
      <c r="S57195" s="178"/>
    </row>
    <row r="57196" spans="18:19">
      <c r="R57196" s="178"/>
      <c r="S57196" s="178"/>
    </row>
    <row r="57197" spans="18:19">
      <c r="R57197" s="178"/>
      <c r="S57197" s="178"/>
    </row>
    <row r="57198" spans="18:19">
      <c r="R57198" s="178"/>
      <c r="S57198" s="178"/>
    </row>
    <row r="57199" spans="18:19">
      <c r="R57199" s="178"/>
      <c r="S57199" s="178"/>
    </row>
    <row r="57200" spans="18:19">
      <c r="R57200" s="178"/>
      <c r="S57200" s="178"/>
    </row>
    <row r="57201" spans="18:19">
      <c r="R57201" s="178"/>
      <c r="S57201" s="178"/>
    </row>
    <row r="57202" spans="18:19">
      <c r="R57202" s="178"/>
      <c r="S57202" s="178"/>
    </row>
    <row r="57203" spans="18:19">
      <c r="R57203" s="178"/>
      <c r="S57203" s="178"/>
    </row>
    <row r="57204" spans="18:19">
      <c r="R57204" s="178"/>
      <c r="S57204" s="178"/>
    </row>
    <row r="57205" spans="18:19">
      <c r="R57205" s="178"/>
      <c r="S57205" s="178"/>
    </row>
    <row r="57206" spans="18:19">
      <c r="R57206" s="178"/>
      <c r="S57206" s="178"/>
    </row>
    <row r="57207" spans="18:19">
      <c r="R57207" s="178"/>
      <c r="S57207" s="178"/>
    </row>
    <row r="57208" spans="18:19">
      <c r="R57208" s="178"/>
      <c r="S57208" s="178"/>
    </row>
    <row r="57209" spans="18:19">
      <c r="R57209" s="178"/>
      <c r="S57209" s="178"/>
    </row>
    <row r="57210" spans="18:19">
      <c r="R57210" s="178"/>
      <c r="S57210" s="178"/>
    </row>
    <row r="57211" spans="18:19">
      <c r="R57211" s="178"/>
      <c r="S57211" s="178"/>
    </row>
    <row r="57212" spans="18:19">
      <c r="R57212" s="178"/>
      <c r="S57212" s="178"/>
    </row>
    <row r="57213" spans="18:19">
      <c r="R57213" s="178"/>
      <c r="S57213" s="178"/>
    </row>
    <row r="57214" spans="18:19">
      <c r="R57214" s="178"/>
      <c r="S57214" s="178"/>
    </row>
    <row r="57215" spans="18:19">
      <c r="R57215" s="178"/>
      <c r="S57215" s="178"/>
    </row>
    <row r="57216" spans="18:19">
      <c r="R57216" s="178"/>
      <c r="S57216" s="178"/>
    </row>
    <row r="57217" spans="18:19">
      <c r="R57217" s="178"/>
      <c r="S57217" s="178"/>
    </row>
    <row r="57218" spans="18:19">
      <c r="R57218" s="178"/>
      <c r="S57218" s="178"/>
    </row>
    <row r="57219" spans="18:19">
      <c r="R57219" s="178"/>
      <c r="S57219" s="178"/>
    </row>
    <row r="57220" spans="18:19">
      <c r="R57220" s="178"/>
      <c r="S57220" s="178"/>
    </row>
    <row r="57221" spans="18:19">
      <c r="R57221" s="178"/>
      <c r="S57221" s="178"/>
    </row>
    <row r="57222" spans="18:19">
      <c r="R57222" s="178"/>
      <c r="S57222" s="178"/>
    </row>
    <row r="57223" spans="18:19">
      <c r="R57223" s="178"/>
      <c r="S57223" s="178"/>
    </row>
    <row r="57224" spans="18:19">
      <c r="R57224" s="178"/>
      <c r="S57224" s="178"/>
    </row>
    <row r="57225" spans="18:19">
      <c r="R57225" s="178"/>
      <c r="S57225" s="178"/>
    </row>
    <row r="57226" spans="18:19">
      <c r="R57226" s="178"/>
      <c r="S57226" s="178"/>
    </row>
    <row r="57227" spans="18:19">
      <c r="R57227" s="178"/>
      <c r="S57227" s="178"/>
    </row>
    <row r="57228" spans="18:19">
      <c r="R57228" s="178"/>
      <c r="S57228" s="178"/>
    </row>
    <row r="57229" spans="18:19">
      <c r="R57229" s="178"/>
      <c r="S57229" s="178"/>
    </row>
    <row r="57230" spans="18:19">
      <c r="R57230" s="178"/>
      <c r="S57230" s="178"/>
    </row>
    <row r="57231" spans="18:19">
      <c r="R57231" s="178"/>
      <c r="S57231" s="178"/>
    </row>
    <row r="57232" spans="18:19">
      <c r="R57232" s="178"/>
      <c r="S57232" s="178"/>
    </row>
    <row r="57233" spans="18:19">
      <c r="R57233" s="178"/>
      <c r="S57233" s="178"/>
    </row>
    <row r="57234" spans="18:19">
      <c r="R57234" s="178"/>
      <c r="S57234" s="178"/>
    </row>
    <row r="57235" spans="18:19">
      <c r="R57235" s="178"/>
      <c r="S57235" s="178"/>
    </row>
    <row r="57236" spans="18:19">
      <c r="R57236" s="178"/>
      <c r="S57236" s="178"/>
    </row>
    <row r="57237" spans="18:19">
      <c r="R57237" s="178"/>
      <c r="S57237" s="178"/>
    </row>
    <row r="57238" spans="18:19">
      <c r="R57238" s="178"/>
      <c r="S57238" s="178"/>
    </row>
    <row r="57239" spans="18:19">
      <c r="R57239" s="178"/>
      <c r="S57239" s="178"/>
    </row>
    <row r="57240" spans="18:19">
      <c r="R57240" s="178"/>
      <c r="S57240" s="178"/>
    </row>
    <row r="57241" spans="18:19">
      <c r="R57241" s="178"/>
      <c r="S57241" s="178"/>
    </row>
    <row r="57242" spans="18:19">
      <c r="R57242" s="178"/>
      <c r="S57242" s="178"/>
    </row>
    <row r="57243" spans="18:19">
      <c r="R57243" s="178"/>
      <c r="S57243" s="178"/>
    </row>
    <row r="57244" spans="18:19">
      <c r="R57244" s="178"/>
      <c r="S57244" s="178"/>
    </row>
    <row r="57245" spans="18:19">
      <c r="R57245" s="178"/>
      <c r="S57245" s="178"/>
    </row>
    <row r="57246" spans="18:19">
      <c r="R57246" s="178"/>
      <c r="S57246" s="178"/>
    </row>
    <row r="57247" spans="18:19">
      <c r="R57247" s="178"/>
      <c r="S57247" s="178"/>
    </row>
    <row r="57248" spans="18:19">
      <c r="R57248" s="178"/>
      <c r="S57248" s="178"/>
    </row>
    <row r="57249" spans="18:19">
      <c r="R57249" s="178"/>
      <c r="S57249" s="178"/>
    </row>
    <row r="57250" spans="18:19">
      <c r="R57250" s="178"/>
      <c r="S57250" s="178"/>
    </row>
    <row r="57251" spans="18:19">
      <c r="R57251" s="178"/>
      <c r="S57251" s="178"/>
    </row>
    <row r="57252" spans="18:19">
      <c r="R57252" s="178"/>
      <c r="S57252" s="178"/>
    </row>
    <row r="57253" spans="18:19">
      <c r="R57253" s="178"/>
      <c r="S57253" s="178"/>
    </row>
    <row r="57254" spans="18:19">
      <c r="R57254" s="178"/>
      <c r="S57254" s="178"/>
    </row>
    <row r="57255" spans="18:19">
      <c r="R57255" s="178"/>
      <c r="S57255" s="178"/>
    </row>
    <row r="57256" spans="18:19">
      <c r="R57256" s="178"/>
      <c r="S57256" s="178"/>
    </row>
    <row r="57257" spans="18:19">
      <c r="R57257" s="178"/>
      <c r="S57257" s="178"/>
    </row>
    <row r="57258" spans="18:19">
      <c r="R57258" s="178"/>
      <c r="S57258" s="178"/>
    </row>
    <row r="57259" spans="18:19">
      <c r="R57259" s="178"/>
      <c r="S57259" s="178"/>
    </row>
    <row r="57260" spans="18:19">
      <c r="R57260" s="178"/>
      <c r="S57260" s="178"/>
    </row>
    <row r="57261" spans="18:19">
      <c r="R57261" s="178"/>
      <c r="S57261" s="178"/>
    </row>
    <row r="57262" spans="18:19">
      <c r="R57262" s="178"/>
      <c r="S57262" s="178"/>
    </row>
    <row r="57263" spans="18:19">
      <c r="R57263" s="178"/>
      <c r="S57263" s="178"/>
    </row>
    <row r="57264" spans="18:19">
      <c r="R57264" s="178"/>
      <c r="S57264" s="178"/>
    </row>
    <row r="57265" spans="18:19">
      <c r="R57265" s="178"/>
      <c r="S57265" s="178"/>
    </row>
    <row r="57266" spans="18:19">
      <c r="R57266" s="178"/>
      <c r="S57266" s="178"/>
    </row>
    <row r="57267" spans="18:19">
      <c r="R57267" s="178"/>
      <c r="S57267" s="178"/>
    </row>
    <row r="57268" spans="18:19">
      <c r="R57268" s="178"/>
      <c r="S57268" s="178"/>
    </row>
    <row r="57269" spans="18:19">
      <c r="R57269" s="178"/>
      <c r="S57269" s="178"/>
    </row>
    <row r="57270" spans="18:19">
      <c r="R57270" s="178"/>
      <c r="S57270" s="178"/>
    </row>
    <row r="57271" spans="18:19">
      <c r="R57271" s="178"/>
      <c r="S57271" s="178"/>
    </row>
    <row r="57272" spans="18:19">
      <c r="R57272" s="178"/>
      <c r="S57272" s="178"/>
    </row>
    <row r="57273" spans="18:19">
      <c r="R57273" s="178"/>
      <c r="S57273" s="178"/>
    </row>
    <row r="57274" spans="18:19">
      <c r="R57274" s="178"/>
      <c r="S57274" s="178"/>
    </row>
    <row r="57275" spans="18:19">
      <c r="R57275" s="178"/>
      <c r="S57275" s="178"/>
    </row>
    <row r="57276" spans="18:19">
      <c r="R57276" s="178"/>
      <c r="S57276" s="178"/>
    </row>
    <row r="57277" spans="18:19">
      <c r="R57277" s="178"/>
      <c r="S57277" s="178"/>
    </row>
    <row r="57278" spans="18:19">
      <c r="R57278" s="178"/>
      <c r="S57278" s="178"/>
    </row>
    <row r="57279" spans="18:19">
      <c r="R57279" s="178"/>
      <c r="S57279" s="178"/>
    </row>
    <row r="57280" spans="18:19">
      <c r="R57280" s="178"/>
      <c r="S57280" s="178"/>
    </row>
    <row r="57281" spans="18:19">
      <c r="R57281" s="178"/>
      <c r="S57281" s="178"/>
    </row>
    <row r="57282" spans="18:19">
      <c r="R57282" s="178"/>
      <c r="S57282" s="178"/>
    </row>
    <row r="57283" spans="18:19">
      <c r="R57283" s="178"/>
      <c r="S57283" s="178"/>
    </row>
    <row r="57284" spans="18:19">
      <c r="R57284" s="178"/>
      <c r="S57284" s="178"/>
    </row>
    <row r="57285" spans="18:19">
      <c r="R57285" s="178"/>
      <c r="S57285" s="178"/>
    </row>
    <row r="57286" spans="18:19">
      <c r="R57286" s="178"/>
      <c r="S57286" s="178"/>
    </row>
    <row r="57287" spans="18:19">
      <c r="R57287" s="178"/>
      <c r="S57287" s="178"/>
    </row>
    <row r="57288" spans="18:19">
      <c r="R57288" s="178"/>
      <c r="S57288" s="178"/>
    </row>
    <row r="57289" spans="18:19">
      <c r="R57289" s="178"/>
      <c r="S57289" s="178"/>
    </row>
    <row r="57290" spans="18:19">
      <c r="R57290" s="178"/>
      <c r="S57290" s="178"/>
    </row>
    <row r="57291" spans="18:19">
      <c r="R57291" s="178"/>
      <c r="S57291" s="178"/>
    </row>
    <row r="57292" spans="18:19">
      <c r="R57292" s="178"/>
      <c r="S57292" s="178"/>
    </row>
    <row r="57293" spans="18:19">
      <c r="R57293" s="178"/>
      <c r="S57293" s="178"/>
    </row>
    <row r="57294" spans="18:19">
      <c r="R57294" s="178"/>
      <c r="S57294" s="178"/>
    </row>
    <row r="57295" spans="18:19">
      <c r="R57295" s="178"/>
      <c r="S57295" s="178"/>
    </row>
    <row r="57296" spans="18:19">
      <c r="R57296" s="178"/>
      <c r="S57296" s="178"/>
    </row>
    <row r="57297" spans="18:19">
      <c r="R57297" s="178"/>
      <c r="S57297" s="178"/>
    </row>
    <row r="57298" spans="18:19">
      <c r="R57298" s="178"/>
      <c r="S57298" s="178"/>
    </row>
    <row r="57299" spans="18:19">
      <c r="R57299" s="178"/>
      <c r="S57299" s="178"/>
    </row>
    <row r="57300" spans="18:19">
      <c r="R57300" s="178"/>
      <c r="S57300" s="178"/>
    </row>
    <row r="57301" spans="18:19">
      <c r="R57301" s="178"/>
      <c r="S57301" s="178"/>
    </row>
    <row r="57302" spans="18:19">
      <c r="R57302" s="178"/>
      <c r="S57302" s="178"/>
    </row>
    <row r="57303" spans="18:19">
      <c r="R57303" s="178"/>
      <c r="S57303" s="178"/>
    </row>
    <row r="57304" spans="18:19">
      <c r="R57304" s="178"/>
      <c r="S57304" s="178"/>
    </row>
    <row r="57305" spans="18:19">
      <c r="R57305" s="178"/>
      <c r="S57305" s="178"/>
    </row>
    <row r="57306" spans="18:19">
      <c r="R57306" s="178"/>
      <c r="S57306" s="178"/>
    </row>
    <row r="57307" spans="18:19">
      <c r="R57307" s="178"/>
      <c r="S57307" s="178"/>
    </row>
    <row r="57308" spans="18:19">
      <c r="R57308" s="178"/>
      <c r="S57308" s="178"/>
    </row>
    <row r="57309" spans="18:19">
      <c r="R57309" s="178"/>
      <c r="S57309" s="178"/>
    </row>
    <row r="57310" spans="18:19">
      <c r="R57310" s="178"/>
      <c r="S57310" s="178"/>
    </row>
    <row r="57311" spans="18:19">
      <c r="R57311" s="178"/>
      <c r="S57311" s="178"/>
    </row>
    <row r="57312" spans="18:19">
      <c r="R57312" s="178"/>
      <c r="S57312" s="178"/>
    </row>
    <row r="57313" spans="18:19">
      <c r="R57313" s="178"/>
      <c r="S57313" s="178"/>
    </row>
    <row r="57314" spans="18:19">
      <c r="R57314" s="178"/>
      <c r="S57314" s="178"/>
    </row>
    <row r="57315" spans="18:19">
      <c r="R57315" s="178"/>
      <c r="S57315" s="178"/>
    </row>
    <row r="57316" spans="18:19">
      <c r="R57316" s="178"/>
      <c r="S57316" s="178"/>
    </row>
    <row r="57317" spans="18:19">
      <c r="R57317" s="178"/>
      <c r="S57317" s="178"/>
    </row>
    <row r="57318" spans="18:19">
      <c r="R57318" s="178"/>
      <c r="S57318" s="178"/>
    </row>
    <row r="57319" spans="18:19">
      <c r="R57319" s="178"/>
      <c r="S57319" s="178"/>
    </row>
    <row r="57320" spans="18:19">
      <c r="R57320" s="178"/>
      <c r="S57320" s="178"/>
    </row>
    <row r="57321" spans="18:19">
      <c r="R57321" s="178"/>
      <c r="S57321" s="178"/>
    </row>
    <row r="57322" spans="18:19">
      <c r="R57322" s="178"/>
      <c r="S57322" s="178"/>
    </row>
    <row r="57323" spans="18:19">
      <c r="R57323" s="178"/>
      <c r="S57323" s="178"/>
    </row>
    <row r="57324" spans="18:19">
      <c r="R57324" s="178"/>
      <c r="S57324" s="178"/>
    </row>
    <row r="57325" spans="18:19">
      <c r="R57325" s="178"/>
      <c r="S57325" s="178"/>
    </row>
    <row r="57326" spans="18:19">
      <c r="R57326" s="178"/>
      <c r="S57326" s="178"/>
    </row>
    <row r="57327" spans="18:19">
      <c r="R57327" s="178"/>
      <c r="S57327" s="178"/>
    </row>
    <row r="57328" spans="18:19">
      <c r="R57328" s="178"/>
      <c r="S57328" s="178"/>
    </row>
    <row r="57329" spans="18:19">
      <c r="R57329" s="178"/>
      <c r="S57329" s="178"/>
    </row>
    <row r="57330" spans="18:19">
      <c r="R57330" s="178"/>
      <c r="S57330" s="178"/>
    </row>
    <row r="57331" spans="18:19">
      <c r="R57331" s="178"/>
      <c r="S57331" s="178"/>
    </row>
    <row r="57332" spans="18:19">
      <c r="R57332" s="178"/>
      <c r="S57332" s="178"/>
    </row>
    <row r="57333" spans="18:19">
      <c r="R57333" s="178"/>
      <c r="S57333" s="178"/>
    </row>
    <row r="57334" spans="18:19">
      <c r="R57334" s="178"/>
      <c r="S57334" s="178"/>
    </row>
    <row r="57335" spans="18:19">
      <c r="R57335" s="178"/>
      <c r="S57335" s="178"/>
    </row>
    <row r="57336" spans="18:19">
      <c r="R57336" s="178"/>
      <c r="S57336" s="178"/>
    </row>
    <row r="57337" spans="18:19">
      <c r="R57337" s="178"/>
      <c r="S57337" s="178"/>
    </row>
    <row r="57338" spans="18:19">
      <c r="R57338" s="178"/>
      <c r="S57338" s="178"/>
    </row>
    <row r="57339" spans="18:19">
      <c r="R57339" s="178"/>
      <c r="S57339" s="178"/>
    </row>
    <row r="57340" spans="18:19">
      <c r="R57340" s="178"/>
      <c r="S57340" s="178"/>
    </row>
    <row r="57341" spans="18:19">
      <c r="R57341" s="178"/>
      <c r="S57341" s="178"/>
    </row>
    <row r="57342" spans="18:19">
      <c r="R57342" s="178"/>
      <c r="S57342" s="178"/>
    </row>
    <row r="57343" spans="18:19">
      <c r="R57343" s="178"/>
      <c r="S57343" s="178"/>
    </row>
    <row r="57344" spans="18:19">
      <c r="R57344" s="178"/>
      <c r="S57344" s="178"/>
    </row>
    <row r="57345" spans="18:19">
      <c r="R57345" s="178"/>
      <c r="S57345" s="178"/>
    </row>
    <row r="57346" spans="18:19">
      <c r="R57346" s="178"/>
      <c r="S57346" s="178"/>
    </row>
    <row r="57347" spans="18:19">
      <c r="R57347" s="178"/>
      <c r="S57347" s="178"/>
    </row>
    <row r="57348" spans="18:19">
      <c r="R57348" s="178"/>
      <c r="S57348" s="178"/>
    </row>
    <row r="57349" spans="18:19">
      <c r="R57349" s="178"/>
      <c r="S57349" s="178"/>
    </row>
    <row r="57350" spans="18:19">
      <c r="R57350" s="178"/>
      <c r="S57350" s="178"/>
    </row>
    <row r="57351" spans="18:19">
      <c r="R57351" s="178"/>
      <c r="S57351" s="178"/>
    </row>
    <row r="57352" spans="18:19">
      <c r="R57352" s="178"/>
      <c r="S57352" s="178"/>
    </row>
    <row r="57353" spans="18:19">
      <c r="R57353" s="178"/>
      <c r="S57353" s="178"/>
    </row>
    <row r="57354" spans="18:19">
      <c r="R57354" s="178"/>
      <c r="S57354" s="178"/>
    </row>
    <row r="57355" spans="18:19">
      <c r="R57355" s="178"/>
      <c r="S57355" s="178"/>
    </row>
    <row r="57356" spans="18:19">
      <c r="R57356" s="178"/>
      <c r="S57356" s="178"/>
    </row>
    <row r="57357" spans="18:19">
      <c r="R57357" s="178"/>
      <c r="S57357" s="178"/>
    </row>
    <row r="57358" spans="18:19">
      <c r="R57358" s="178"/>
      <c r="S57358" s="178"/>
    </row>
    <row r="57359" spans="18:19">
      <c r="R57359" s="178"/>
      <c r="S57359" s="178"/>
    </row>
    <row r="57360" spans="18:19">
      <c r="R57360" s="178"/>
      <c r="S57360" s="178"/>
    </row>
    <row r="57361" spans="18:19">
      <c r="R57361" s="178"/>
      <c r="S57361" s="178"/>
    </row>
    <row r="57362" spans="18:19">
      <c r="R57362" s="178"/>
      <c r="S57362" s="178"/>
    </row>
    <row r="57363" spans="18:19">
      <c r="R57363" s="178"/>
      <c r="S57363" s="178"/>
    </row>
    <row r="57364" spans="18:19">
      <c r="R57364" s="178"/>
      <c r="S57364" s="178"/>
    </row>
    <row r="57365" spans="18:19">
      <c r="R57365" s="178"/>
      <c r="S57365" s="178"/>
    </row>
    <row r="57366" spans="18:19">
      <c r="R57366" s="178"/>
      <c r="S57366" s="178"/>
    </row>
    <row r="57367" spans="18:19">
      <c r="R57367" s="178"/>
      <c r="S57367" s="178"/>
    </row>
    <row r="57368" spans="18:19">
      <c r="R57368" s="178"/>
      <c r="S57368" s="178"/>
    </row>
    <row r="57369" spans="18:19">
      <c r="R57369" s="178"/>
      <c r="S57369" s="178"/>
    </row>
    <row r="57370" spans="18:19">
      <c r="R57370" s="178"/>
      <c r="S57370" s="178"/>
    </row>
    <row r="57371" spans="18:19">
      <c r="R57371" s="178"/>
      <c r="S57371" s="178"/>
    </row>
    <row r="57372" spans="18:19">
      <c r="R57372" s="178"/>
      <c r="S57372" s="178"/>
    </row>
    <row r="57373" spans="18:19">
      <c r="R57373" s="178"/>
      <c r="S57373" s="178"/>
    </row>
    <row r="57374" spans="18:19">
      <c r="R57374" s="178"/>
      <c r="S57374" s="178"/>
    </row>
    <row r="57375" spans="18:19">
      <c r="R57375" s="178"/>
      <c r="S57375" s="178"/>
    </row>
    <row r="57376" spans="18:19">
      <c r="R57376" s="178"/>
      <c r="S57376" s="178"/>
    </row>
    <row r="57377" spans="18:19">
      <c r="R57377" s="178"/>
      <c r="S57377" s="178"/>
    </row>
    <row r="57378" spans="18:19">
      <c r="R57378" s="178"/>
      <c r="S57378" s="178"/>
    </row>
    <row r="57379" spans="18:19">
      <c r="R57379" s="178"/>
      <c r="S57379" s="178"/>
    </row>
    <row r="57380" spans="18:19">
      <c r="R57380" s="178"/>
      <c r="S57380" s="178"/>
    </row>
    <row r="57381" spans="18:19">
      <c r="R57381" s="178"/>
      <c r="S57381" s="178"/>
    </row>
    <row r="57382" spans="18:19">
      <c r="R57382" s="178"/>
      <c r="S57382" s="178"/>
    </row>
    <row r="57383" spans="18:19">
      <c r="R57383" s="178"/>
      <c r="S57383" s="178"/>
    </row>
    <row r="57384" spans="18:19">
      <c r="R57384" s="178"/>
      <c r="S57384" s="178"/>
    </row>
    <row r="57385" spans="18:19">
      <c r="R57385" s="178"/>
      <c r="S57385" s="178"/>
    </row>
    <row r="57386" spans="18:19">
      <c r="R57386" s="178"/>
      <c r="S57386" s="178"/>
    </row>
    <row r="57387" spans="18:19">
      <c r="R57387" s="178"/>
      <c r="S57387" s="178"/>
    </row>
    <row r="57388" spans="18:19">
      <c r="R57388" s="178"/>
      <c r="S57388" s="178"/>
    </row>
    <row r="57389" spans="18:19">
      <c r="R57389" s="178"/>
      <c r="S57389" s="178"/>
    </row>
    <row r="57390" spans="18:19">
      <c r="R57390" s="178"/>
      <c r="S57390" s="178"/>
    </row>
    <row r="57391" spans="18:19">
      <c r="R57391" s="178"/>
      <c r="S57391" s="178"/>
    </row>
    <row r="57392" spans="18:19">
      <c r="R57392" s="178"/>
      <c r="S57392" s="178"/>
    </row>
    <row r="57393" spans="18:19">
      <c r="R57393" s="178"/>
      <c r="S57393" s="178"/>
    </row>
    <row r="57394" spans="18:19">
      <c r="R57394" s="178"/>
      <c r="S57394" s="178"/>
    </row>
    <row r="57395" spans="18:19">
      <c r="R57395" s="178"/>
      <c r="S57395" s="178"/>
    </row>
    <row r="57396" spans="18:19">
      <c r="R57396" s="178"/>
      <c r="S57396" s="178"/>
    </row>
    <row r="57397" spans="18:19">
      <c r="R57397" s="178"/>
      <c r="S57397" s="178"/>
    </row>
    <row r="57398" spans="18:19">
      <c r="R57398" s="178"/>
      <c r="S57398" s="178"/>
    </row>
    <row r="57399" spans="18:19">
      <c r="R57399" s="178"/>
      <c r="S57399" s="178"/>
    </row>
    <row r="57400" spans="18:19">
      <c r="R57400" s="178"/>
      <c r="S57400" s="178"/>
    </row>
    <row r="57401" spans="18:19">
      <c r="R57401" s="178"/>
      <c r="S57401" s="178"/>
    </row>
    <row r="57402" spans="18:19">
      <c r="R57402" s="178"/>
      <c r="S57402" s="178"/>
    </row>
    <row r="57403" spans="18:19">
      <c r="R57403" s="178"/>
      <c r="S57403" s="178"/>
    </row>
    <row r="57404" spans="18:19">
      <c r="R57404" s="178"/>
      <c r="S57404" s="178"/>
    </row>
    <row r="57405" spans="18:19">
      <c r="R57405" s="178"/>
      <c r="S57405" s="178"/>
    </row>
    <row r="57406" spans="18:19">
      <c r="R57406" s="178"/>
      <c r="S57406" s="178"/>
    </row>
    <row r="57407" spans="18:19">
      <c r="R57407" s="178"/>
      <c r="S57407" s="178"/>
    </row>
    <row r="57408" spans="18:19">
      <c r="R57408" s="178"/>
      <c r="S57408" s="178"/>
    </row>
    <row r="57409" spans="18:19">
      <c r="R57409" s="178"/>
      <c r="S57409" s="178"/>
    </row>
    <row r="57410" spans="18:19">
      <c r="R57410" s="178"/>
      <c r="S57410" s="178"/>
    </row>
    <row r="57411" spans="18:19">
      <c r="R57411" s="178"/>
      <c r="S57411" s="178"/>
    </row>
    <row r="57412" spans="18:19">
      <c r="R57412" s="178"/>
      <c r="S57412" s="178"/>
    </row>
    <row r="57413" spans="18:19">
      <c r="R57413" s="178"/>
      <c r="S57413" s="178"/>
    </row>
    <row r="57414" spans="18:19">
      <c r="R57414" s="178"/>
      <c r="S57414" s="178"/>
    </row>
    <row r="57415" spans="18:19">
      <c r="R57415" s="178"/>
      <c r="S57415" s="178"/>
    </row>
    <row r="57416" spans="18:19">
      <c r="R57416" s="178"/>
      <c r="S57416" s="178"/>
    </row>
    <row r="57417" spans="18:19">
      <c r="R57417" s="178"/>
      <c r="S57417" s="178"/>
    </row>
    <row r="57418" spans="18:19">
      <c r="R57418" s="178"/>
      <c r="S57418" s="178"/>
    </row>
    <row r="57419" spans="18:19">
      <c r="R57419" s="178"/>
      <c r="S57419" s="178"/>
    </row>
    <row r="57420" spans="18:19">
      <c r="R57420" s="178"/>
      <c r="S57420" s="178"/>
    </row>
    <row r="57421" spans="18:19">
      <c r="R57421" s="178"/>
      <c r="S57421" s="178"/>
    </row>
    <row r="57422" spans="18:19">
      <c r="R57422" s="178"/>
      <c r="S57422" s="178"/>
    </row>
    <row r="57423" spans="18:19">
      <c r="R57423" s="178"/>
      <c r="S57423" s="178"/>
    </row>
    <row r="57424" spans="18:19">
      <c r="R57424" s="178"/>
      <c r="S57424" s="178"/>
    </row>
    <row r="57425" spans="18:19">
      <c r="R57425" s="178"/>
      <c r="S57425" s="178"/>
    </row>
    <row r="57426" spans="18:19">
      <c r="R57426" s="178"/>
      <c r="S57426" s="178"/>
    </row>
    <row r="57427" spans="18:19">
      <c r="R57427" s="178"/>
      <c r="S57427" s="178"/>
    </row>
    <row r="57428" spans="18:19">
      <c r="R57428" s="178"/>
      <c r="S57428" s="178"/>
    </row>
    <row r="57429" spans="18:19">
      <c r="R57429" s="178"/>
      <c r="S57429" s="178"/>
    </row>
    <row r="57430" spans="18:19">
      <c r="R57430" s="178"/>
      <c r="S57430" s="178"/>
    </row>
    <row r="57431" spans="18:19">
      <c r="R57431" s="178"/>
      <c r="S57431" s="178"/>
    </row>
    <row r="57432" spans="18:19">
      <c r="R57432" s="178"/>
      <c r="S57432" s="178"/>
    </row>
    <row r="57433" spans="18:19">
      <c r="R57433" s="178"/>
      <c r="S57433" s="178"/>
    </row>
    <row r="57434" spans="18:19">
      <c r="R57434" s="178"/>
      <c r="S57434" s="178"/>
    </row>
    <row r="57435" spans="18:19">
      <c r="R57435" s="178"/>
      <c r="S57435" s="178"/>
    </row>
    <row r="57436" spans="18:19">
      <c r="R57436" s="178"/>
      <c r="S57436" s="178"/>
    </row>
    <row r="57437" spans="18:19">
      <c r="R57437" s="178"/>
      <c r="S57437" s="178"/>
    </row>
    <row r="57438" spans="18:19">
      <c r="R57438" s="178"/>
      <c r="S57438" s="178"/>
    </row>
    <row r="57439" spans="18:19">
      <c r="R57439" s="178"/>
      <c r="S57439" s="178"/>
    </row>
    <row r="57440" spans="18:19">
      <c r="R57440" s="178"/>
      <c r="S57440" s="178"/>
    </row>
    <row r="57441" spans="18:19">
      <c r="R57441" s="178"/>
      <c r="S57441" s="178"/>
    </row>
    <row r="57442" spans="18:19">
      <c r="R57442" s="178"/>
      <c r="S57442" s="178"/>
    </row>
    <row r="57443" spans="18:19">
      <c r="R57443" s="178"/>
      <c r="S57443" s="178"/>
    </row>
    <row r="57444" spans="18:19">
      <c r="R57444" s="178"/>
      <c r="S57444" s="178"/>
    </row>
    <row r="57445" spans="18:19">
      <c r="R57445" s="178"/>
      <c r="S57445" s="178"/>
    </row>
    <row r="57446" spans="18:19">
      <c r="R57446" s="178"/>
      <c r="S57446" s="178"/>
    </row>
    <row r="57447" spans="18:19">
      <c r="R57447" s="178"/>
      <c r="S57447" s="178"/>
    </row>
    <row r="57448" spans="18:19">
      <c r="R57448" s="178"/>
      <c r="S57448" s="178"/>
    </row>
    <row r="57449" spans="18:19">
      <c r="R57449" s="178"/>
      <c r="S57449" s="178"/>
    </row>
    <row r="57450" spans="18:19">
      <c r="R57450" s="178"/>
      <c r="S57450" s="178"/>
    </row>
    <row r="57451" spans="18:19">
      <c r="R57451" s="178"/>
      <c r="S57451" s="178"/>
    </row>
    <row r="57452" spans="18:19">
      <c r="R57452" s="178"/>
      <c r="S57452" s="178"/>
    </row>
    <row r="57453" spans="18:19">
      <c r="R57453" s="178"/>
      <c r="S57453" s="178"/>
    </row>
    <row r="57454" spans="18:19">
      <c r="R57454" s="178"/>
      <c r="S57454" s="178"/>
    </row>
    <row r="57455" spans="18:19">
      <c r="R57455" s="178"/>
      <c r="S57455" s="178"/>
    </row>
    <row r="57456" spans="18:19">
      <c r="R57456" s="178"/>
      <c r="S57456" s="178"/>
    </row>
    <row r="57457" spans="18:19">
      <c r="R57457" s="178"/>
      <c r="S57457" s="178"/>
    </row>
    <row r="57458" spans="18:19">
      <c r="R57458" s="178"/>
      <c r="S57458" s="178"/>
    </row>
    <row r="57459" spans="18:19">
      <c r="R57459" s="178"/>
      <c r="S57459" s="178"/>
    </row>
    <row r="57460" spans="18:19">
      <c r="R57460" s="178"/>
      <c r="S57460" s="178"/>
    </row>
    <row r="57461" spans="18:19">
      <c r="R57461" s="178"/>
      <c r="S57461" s="178"/>
    </row>
    <row r="57462" spans="18:19">
      <c r="R57462" s="178"/>
      <c r="S57462" s="178"/>
    </row>
    <row r="57463" spans="18:19">
      <c r="R57463" s="178"/>
      <c r="S57463" s="178"/>
    </row>
    <row r="57464" spans="18:19">
      <c r="R57464" s="178"/>
      <c r="S57464" s="178"/>
    </row>
    <row r="57465" spans="18:19">
      <c r="R57465" s="178"/>
      <c r="S57465" s="178"/>
    </row>
    <row r="57466" spans="18:19">
      <c r="R57466" s="178"/>
      <c r="S57466" s="178"/>
    </row>
    <row r="57467" spans="18:19">
      <c r="R57467" s="178"/>
      <c r="S57467" s="178"/>
    </row>
    <row r="57468" spans="18:19">
      <c r="R57468" s="178"/>
      <c r="S57468" s="178"/>
    </row>
    <row r="57469" spans="18:19">
      <c r="R57469" s="178"/>
      <c r="S57469" s="178"/>
    </row>
    <row r="57470" spans="18:19">
      <c r="R57470" s="178"/>
      <c r="S57470" s="178"/>
    </row>
    <row r="57471" spans="18:19">
      <c r="R57471" s="178"/>
      <c r="S57471" s="178"/>
    </row>
    <row r="57472" spans="18:19">
      <c r="R57472" s="178"/>
      <c r="S57472" s="178"/>
    </row>
    <row r="57473" spans="18:19">
      <c r="R57473" s="178"/>
      <c r="S57473" s="178"/>
    </row>
    <row r="57474" spans="18:19">
      <c r="R57474" s="178"/>
      <c r="S57474" s="178"/>
    </row>
    <row r="57475" spans="18:19">
      <c r="R57475" s="178"/>
      <c r="S57475" s="178"/>
    </row>
    <row r="57476" spans="18:19">
      <c r="R57476" s="178"/>
      <c r="S57476" s="178"/>
    </row>
    <row r="57477" spans="18:19">
      <c r="R57477" s="178"/>
      <c r="S57477" s="178"/>
    </row>
    <row r="57478" spans="18:19">
      <c r="R57478" s="178"/>
      <c r="S57478" s="178"/>
    </row>
    <row r="57479" spans="18:19">
      <c r="R57479" s="178"/>
      <c r="S57479" s="178"/>
    </row>
    <row r="57480" spans="18:19">
      <c r="R57480" s="178"/>
      <c r="S57480" s="178"/>
    </row>
    <row r="57481" spans="18:19">
      <c r="R57481" s="178"/>
      <c r="S57481" s="178"/>
    </row>
    <row r="57482" spans="18:19">
      <c r="R57482" s="178"/>
      <c r="S57482" s="178"/>
    </row>
    <row r="57483" spans="18:19">
      <c r="R57483" s="178"/>
      <c r="S57483" s="178"/>
    </row>
    <row r="57484" spans="18:19">
      <c r="R57484" s="178"/>
      <c r="S57484" s="178"/>
    </row>
    <row r="57485" spans="18:19">
      <c r="R57485" s="178"/>
      <c r="S57485" s="178"/>
    </row>
    <row r="57486" spans="18:19">
      <c r="R57486" s="178"/>
      <c r="S57486" s="178"/>
    </row>
    <row r="57487" spans="18:19">
      <c r="R57487" s="178"/>
      <c r="S57487" s="178"/>
    </row>
    <row r="57488" spans="18:19">
      <c r="R57488" s="178"/>
      <c r="S57488" s="178"/>
    </row>
    <row r="57489" spans="18:19">
      <c r="R57489" s="178"/>
      <c r="S57489" s="178"/>
    </row>
    <row r="57490" spans="18:19">
      <c r="R57490" s="178"/>
      <c r="S57490" s="178"/>
    </row>
    <row r="57491" spans="18:19">
      <c r="R57491" s="178"/>
      <c r="S57491" s="178"/>
    </row>
    <row r="57492" spans="18:19">
      <c r="R57492" s="178"/>
      <c r="S57492" s="178"/>
    </row>
    <row r="57493" spans="18:19">
      <c r="R57493" s="178"/>
      <c r="S57493" s="178"/>
    </row>
    <row r="57494" spans="18:19">
      <c r="R57494" s="178"/>
      <c r="S57494" s="178"/>
    </row>
    <row r="57495" spans="18:19">
      <c r="R57495" s="178"/>
      <c r="S57495" s="178"/>
    </row>
    <row r="57496" spans="18:19">
      <c r="R57496" s="178"/>
      <c r="S57496" s="178"/>
    </row>
    <row r="57497" spans="18:19">
      <c r="R57497" s="178"/>
      <c r="S57497" s="178"/>
    </row>
    <row r="57498" spans="18:19">
      <c r="R57498" s="178"/>
      <c r="S57498" s="178"/>
    </row>
    <row r="57499" spans="18:19">
      <c r="R57499" s="178"/>
      <c r="S57499" s="178"/>
    </row>
    <row r="57500" spans="18:19">
      <c r="R57500" s="178"/>
      <c r="S57500" s="178"/>
    </row>
    <row r="57501" spans="18:19">
      <c r="R57501" s="178"/>
      <c r="S57501" s="178"/>
    </row>
    <row r="57502" spans="18:19">
      <c r="R57502" s="178"/>
      <c r="S57502" s="178"/>
    </row>
    <row r="57503" spans="18:19">
      <c r="R57503" s="178"/>
      <c r="S57503" s="178"/>
    </row>
    <row r="57504" spans="18:19">
      <c r="R57504" s="178"/>
      <c r="S57504" s="178"/>
    </row>
    <row r="57505" spans="18:19">
      <c r="R57505" s="178"/>
      <c r="S57505" s="178"/>
    </row>
    <row r="57506" spans="18:19">
      <c r="R57506" s="178"/>
      <c r="S57506" s="178"/>
    </row>
    <row r="57507" spans="18:19">
      <c r="R57507" s="178"/>
      <c r="S57507" s="178"/>
    </row>
    <row r="57508" spans="18:19">
      <c r="R57508" s="178"/>
      <c r="S57508" s="178"/>
    </row>
    <row r="57509" spans="18:19">
      <c r="R57509" s="178"/>
      <c r="S57509" s="178"/>
    </row>
    <row r="57510" spans="18:19">
      <c r="R57510" s="178"/>
      <c r="S57510" s="178"/>
    </row>
    <row r="57511" spans="18:19">
      <c r="R57511" s="178"/>
      <c r="S57511" s="178"/>
    </row>
    <row r="57512" spans="18:19">
      <c r="R57512" s="178"/>
      <c r="S57512" s="178"/>
    </row>
    <row r="57513" spans="18:19">
      <c r="R57513" s="178"/>
      <c r="S57513" s="178"/>
    </row>
    <row r="57514" spans="18:19">
      <c r="R57514" s="178"/>
      <c r="S57514" s="178"/>
    </row>
    <row r="57515" spans="18:19">
      <c r="R57515" s="178"/>
      <c r="S57515" s="178"/>
    </row>
    <row r="57516" spans="18:19">
      <c r="R57516" s="178"/>
      <c r="S57516" s="178"/>
    </row>
    <row r="57517" spans="18:19">
      <c r="R57517" s="178"/>
      <c r="S57517" s="178"/>
    </row>
    <row r="57518" spans="18:19">
      <c r="R57518" s="178"/>
      <c r="S57518" s="178"/>
    </row>
    <row r="57519" spans="18:19">
      <c r="R57519" s="178"/>
      <c r="S57519" s="178"/>
    </row>
    <row r="57520" spans="18:19">
      <c r="R57520" s="178"/>
      <c r="S57520" s="178"/>
    </row>
    <row r="57521" spans="18:19">
      <c r="R57521" s="178"/>
      <c r="S57521" s="178"/>
    </row>
    <row r="57522" spans="18:19">
      <c r="R57522" s="178"/>
      <c r="S57522" s="178"/>
    </row>
    <row r="57523" spans="18:19">
      <c r="R57523" s="178"/>
      <c r="S57523" s="178"/>
    </row>
    <row r="57524" spans="18:19">
      <c r="R57524" s="178"/>
      <c r="S57524" s="178"/>
    </row>
    <row r="57525" spans="18:19">
      <c r="R57525" s="178"/>
      <c r="S57525" s="178"/>
    </row>
    <row r="57526" spans="18:19">
      <c r="R57526" s="178"/>
      <c r="S57526" s="178"/>
    </row>
    <row r="57527" spans="18:19">
      <c r="R57527" s="178"/>
      <c r="S57527" s="178"/>
    </row>
    <row r="57528" spans="18:19">
      <c r="R57528" s="178"/>
      <c r="S57528" s="178"/>
    </row>
    <row r="57529" spans="18:19">
      <c r="R57529" s="178"/>
      <c r="S57529" s="178"/>
    </row>
    <row r="57530" spans="18:19">
      <c r="R57530" s="178"/>
      <c r="S57530" s="178"/>
    </row>
    <row r="57531" spans="18:19">
      <c r="R57531" s="178"/>
      <c r="S57531" s="178"/>
    </row>
    <row r="57532" spans="18:19">
      <c r="R57532" s="178"/>
      <c r="S57532" s="178"/>
    </row>
    <row r="57533" spans="18:19">
      <c r="R57533" s="178"/>
      <c r="S57533" s="178"/>
    </row>
    <row r="57534" spans="18:19">
      <c r="R57534" s="178"/>
      <c r="S57534" s="178"/>
    </row>
    <row r="57535" spans="18:19">
      <c r="R57535" s="178"/>
      <c r="S57535" s="178"/>
    </row>
    <row r="57536" spans="18:19">
      <c r="R57536" s="178"/>
      <c r="S57536" s="178"/>
    </row>
    <row r="57537" spans="18:19">
      <c r="R57537" s="178"/>
      <c r="S57537" s="178"/>
    </row>
    <row r="57538" spans="18:19">
      <c r="R57538" s="178"/>
      <c r="S57538" s="178"/>
    </row>
    <row r="57539" spans="18:19">
      <c r="R57539" s="178"/>
      <c r="S57539" s="178"/>
    </row>
    <row r="57540" spans="18:19">
      <c r="R57540" s="178"/>
      <c r="S57540" s="178"/>
    </row>
    <row r="57541" spans="18:19">
      <c r="R57541" s="178"/>
      <c r="S57541" s="178"/>
    </row>
    <row r="57542" spans="18:19">
      <c r="R57542" s="178"/>
      <c r="S57542" s="178"/>
    </row>
    <row r="57543" spans="18:19">
      <c r="R57543" s="178"/>
      <c r="S57543" s="178"/>
    </row>
    <row r="57544" spans="18:19">
      <c r="R57544" s="178"/>
      <c r="S57544" s="178"/>
    </row>
    <row r="57545" spans="18:19">
      <c r="R57545" s="178"/>
      <c r="S57545" s="178"/>
    </row>
    <row r="57546" spans="18:19">
      <c r="R57546" s="178"/>
      <c r="S57546" s="178"/>
    </row>
    <row r="57547" spans="18:19">
      <c r="R57547" s="178"/>
      <c r="S57547" s="178"/>
    </row>
    <row r="57548" spans="18:19">
      <c r="R57548" s="178"/>
      <c r="S57548" s="178"/>
    </row>
    <row r="57549" spans="18:19">
      <c r="R57549" s="178"/>
      <c r="S57549" s="178"/>
    </row>
    <row r="57550" spans="18:19">
      <c r="R57550" s="178"/>
      <c r="S57550" s="178"/>
    </row>
    <row r="57551" spans="18:19">
      <c r="R57551" s="178"/>
      <c r="S57551" s="178"/>
    </row>
    <row r="57552" spans="18:19">
      <c r="R57552" s="178"/>
      <c r="S57552" s="178"/>
    </row>
    <row r="57553" spans="18:19">
      <c r="R57553" s="178"/>
      <c r="S57553" s="178"/>
    </row>
    <row r="57554" spans="18:19">
      <c r="R57554" s="178"/>
      <c r="S57554" s="178"/>
    </row>
    <row r="57555" spans="18:19">
      <c r="R57555" s="178"/>
      <c r="S57555" s="178"/>
    </row>
    <row r="57556" spans="18:19">
      <c r="R57556" s="178"/>
      <c r="S57556" s="178"/>
    </row>
    <row r="57557" spans="18:19">
      <c r="R57557" s="178"/>
      <c r="S57557" s="178"/>
    </row>
    <row r="57558" spans="18:19">
      <c r="R57558" s="178"/>
      <c r="S57558" s="178"/>
    </row>
    <row r="57559" spans="18:19">
      <c r="R57559" s="178"/>
      <c r="S57559" s="178"/>
    </row>
    <row r="57560" spans="18:19">
      <c r="R57560" s="178"/>
      <c r="S57560" s="178"/>
    </row>
    <row r="57561" spans="18:19">
      <c r="R57561" s="178"/>
      <c r="S57561" s="178"/>
    </row>
    <row r="57562" spans="18:19">
      <c r="R57562" s="178"/>
      <c r="S57562" s="178"/>
    </row>
    <row r="57563" spans="18:19">
      <c r="R57563" s="178"/>
      <c r="S57563" s="178"/>
    </row>
    <row r="57564" spans="18:19">
      <c r="R57564" s="178"/>
      <c r="S57564" s="178"/>
    </row>
    <row r="57565" spans="18:19">
      <c r="R57565" s="178"/>
      <c r="S57565" s="178"/>
    </row>
    <row r="57566" spans="18:19">
      <c r="R57566" s="178"/>
      <c r="S57566" s="178"/>
    </row>
    <row r="57567" spans="18:19">
      <c r="R57567" s="178"/>
      <c r="S57567" s="178"/>
    </row>
    <row r="57568" spans="18:19">
      <c r="R57568" s="178"/>
      <c r="S57568" s="178"/>
    </row>
    <row r="57569" spans="18:19">
      <c r="R57569" s="178"/>
      <c r="S57569" s="178"/>
    </row>
    <row r="57570" spans="18:19">
      <c r="R57570" s="178"/>
      <c r="S57570" s="178"/>
    </row>
    <row r="57571" spans="18:19">
      <c r="R57571" s="178"/>
      <c r="S57571" s="178"/>
    </row>
    <row r="57572" spans="18:19">
      <c r="R57572" s="178"/>
      <c r="S57572" s="178"/>
    </row>
    <row r="57573" spans="18:19">
      <c r="R57573" s="178"/>
      <c r="S57573" s="178"/>
    </row>
    <row r="57574" spans="18:19">
      <c r="R57574" s="178"/>
      <c r="S57574" s="178"/>
    </row>
    <row r="57575" spans="18:19">
      <c r="R57575" s="178"/>
      <c r="S57575" s="178"/>
    </row>
    <row r="57576" spans="18:19">
      <c r="R57576" s="178"/>
      <c r="S57576" s="178"/>
    </row>
    <row r="57577" spans="18:19">
      <c r="R57577" s="178"/>
      <c r="S57577" s="178"/>
    </row>
    <row r="57578" spans="18:19">
      <c r="R57578" s="178"/>
      <c r="S57578" s="178"/>
    </row>
    <row r="57579" spans="18:19">
      <c r="R57579" s="178"/>
      <c r="S57579" s="178"/>
    </row>
    <row r="57580" spans="18:19">
      <c r="R57580" s="178"/>
      <c r="S57580" s="178"/>
    </row>
    <row r="57581" spans="18:19">
      <c r="R57581" s="178"/>
      <c r="S57581" s="178"/>
    </row>
    <row r="57582" spans="18:19">
      <c r="R57582" s="178"/>
      <c r="S57582" s="178"/>
    </row>
    <row r="57583" spans="18:19">
      <c r="R57583" s="178"/>
      <c r="S57583" s="178"/>
    </row>
    <row r="57584" spans="18:19">
      <c r="R57584" s="178"/>
      <c r="S57584" s="178"/>
    </row>
    <row r="57585" spans="18:19">
      <c r="R57585" s="178"/>
      <c r="S57585" s="178"/>
    </row>
    <row r="57586" spans="18:19">
      <c r="R57586" s="178"/>
      <c r="S57586" s="178"/>
    </row>
    <row r="57587" spans="18:19">
      <c r="R57587" s="178"/>
      <c r="S57587" s="178"/>
    </row>
    <row r="57588" spans="18:19">
      <c r="R57588" s="178"/>
      <c r="S57588" s="178"/>
    </row>
    <row r="57589" spans="18:19">
      <c r="R57589" s="178"/>
      <c r="S57589" s="178"/>
    </row>
    <row r="57590" spans="18:19">
      <c r="R57590" s="178"/>
      <c r="S57590" s="178"/>
    </row>
    <row r="57591" spans="18:19">
      <c r="R57591" s="178"/>
      <c r="S57591" s="178"/>
    </row>
    <row r="57592" spans="18:19">
      <c r="R57592" s="178"/>
      <c r="S57592" s="178"/>
    </row>
    <row r="57593" spans="18:19">
      <c r="R57593" s="178"/>
      <c r="S57593" s="178"/>
    </row>
    <row r="57594" spans="18:19">
      <c r="R57594" s="178"/>
      <c r="S57594" s="178"/>
    </row>
    <row r="57595" spans="18:19">
      <c r="R57595" s="178"/>
      <c r="S57595" s="178"/>
    </row>
    <row r="57596" spans="18:19">
      <c r="R57596" s="178"/>
      <c r="S57596" s="178"/>
    </row>
    <row r="57597" spans="18:19">
      <c r="R57597" s="178"/>
      <c r="S57597" s="178"/>
    </row>
    <row r="57598" spans="18:19">
      <c r="R57598" s="178"/>
      <c r="S57598" s="178"/>
    </row>
    <row r="57599" spans="18:19">
      <c r="R57599" s="178"/>
      <c r="S57599" s="178"/>
    </row>
    <row r="57600" spans="18:19">
      <c r="R57600" s="178"/>
      <c r="S57600" s="178"/>
    </row>
    <row r="57601" spans="18:19">
      <c r="R57601" s="178"/>
      <c r="S57601" s="178"/>
    </row>
    <row r="57602" spans="18:19">
      <c r="R57602" s="178"/>
      <c r="S57602" s="178"/>
    </row>
    <row r="57603" spans="18:19">
      <c r="R57603" s="178"/>
      <c r="S57603" s="178"/>
    </row>
    <row r="57604" spans="18:19">
      <c r="R57604" s="178"/>
      <c r="S57604" s="178"/>
    </row>
    <row r="57605" spans="18:19">
      <c r="R57605" s="178"/>
      <c r="S57605" s="178"/>
    </row>
    <row r="57606" spans="18:19">
      <c r="R57606" s="178"/>
      <c r="S57606" s="178"/>
    </row>
    <row r="57607" spans="18:19">
      <c r="R57607" s="178"/>
      <c r="S57607" s="178"/>
    </row>
    <row r="57608" spans="18:19">
      <c r="R57608" s="178"/>
      <c r="S57608" s="178"/>
    </row>
    <row r="57609" spans="18:19">
      <c r="R57609" s="178"/>
      <c r="S57609" s="178"/>
    </row>
    <row r="57610" spans="18:19">
      <c r="R57610" s="178"/>
      <c r="S57610" s="178"/>
    </row>
    <row r="57611" spans="18:19">
      <c r="R57611" s="178"/>
      <c r="S57611" s="178"/>
    </row>
    <row r="57612" spans="18:19">
      <c r="R57612" s="178"/>
      <c r="S57612" s="178"/>
    </row>
    <row r="57613" spans="18:19">
      <c r="R57613" s="178"/>
      <c r="S57613" s="178"/>
    </row>
    <row r="57614" spans="18:19">
      <c r="R57614" s="178"/>
      <c r="S57614" s="178"/>
    </row>
    <row r="57615" spans="18:19">
      <c r="R57615" s="178"/>
      <c r="S57615" s="178"/>
    </row>
    <row r="57616" spans="18:19">
      <c r="R57616" s="178"/>
      <c r="S57616" s="178"/>
    </row>
    <row r="57617" spans="18:19">
      <c r="R57617" s="178"/>
      <c r="S57617" s="178"/>
    </row>
    <row r="57618" spans="18:19">
      <c r="R57618" s="178"/>
      <c r="S57618" s="178"/>
    </row>
    <row r="57619" spans="18:19">
      <c r="R57619" s="178"/>
      <c r="S57619" s="178"/>
    </row>
    <row r="57620" spans="18:19">
      <c r="R57620" s="178"/>
      <c r="S57620" s="178"/>
    </row>
    <row r="57621" spans="18:19">
      <c r="R57621" s="178"/>
      <c r="S57621" s="178"/>
    </row>
    <row r="57622" spans="18:19">
      <c r="R57622" s="178"/>
      <c r="S57622" s="178"/>
    </row>
    <row r="57623" spans="18:19">
      <c r="R57623" s="178"/>
      <c r="S57623" s="178"/>
    </row>
    <row r="57624" spans="18:19">
      <c r="R57624" s="178"/>
      <c r="S57624" s="178"/>
    </row>
    <row r="57625" spans="18:19">
      <c r="R57625" s="178"/>
      <c r="S57625" s="178"/>
    </row>
    <row r="57626" spans="18:19">
      <c r="R57626" s="178"/>
      <c r="S57626" s="178"/>
    </row>
    <row r="57627" spans="18:19">
      <c r="R57627" s="178"/>
      <c r="S57627" s="178"/>
    </row>
    <row r="57628" spans="18:19">
      <c r="R57628" s="178"/>
      <c r="S57628" s="178"/>
    </row>
    <row r="57629" spans="18:19">
      <c r="R57629" s="178"/>
      <c r="S57629" s="178"/>
    </row>
    <row r="57630" spans="18:19">
      <c r="R57630" s="178"/>
      <c r="S57630" s="178"/>
    </row>
    <row r="57631" spans="18:19">
      <c r="R57631" s="178"/>
      <c r="S57631" s="178"/>
    </row>
    <row r="57632" spans="18:19">
      <c r="R57632" s="178"/>
      <c r="S57632" s="178"/>
    </row>
    <row r="57633" spans="18:19">
      <c r="R57633" s="178"/>
      <c r="S57633" s="178"/>
    </row>
    <row r="57634" spans="18:19">
      <c r="R57634" s="178"/>
      <c r="S57634" s="178"/>
    </row>
    <row r="57635" spans="18:19">
      <c r="R57635" s="178"/>
      <c r="S57635" s="178"/>
    </row>
    <row r="57636" spans="18:19">
      <c r="R57636" s="178"/>
      <c r="S57636" s="178"/>
    </row>
    <row r="57637" spans="18:19">
      <c r="R57637" s="178"/>
      <c r="S57637" s="178"/>
    </row>
    <row r="57638" spans="18:19">
      <c r="R57638" s="178"/>
      <c r="S57638" s="178"/>
    </row>
    <row r="57639" spans="18:19">
      <c r="R57639" s="178"/>
      <c r="S57639" s="178"/>
    </row>
    <row r="57640" spans="18:19">
      <c r="R57640" s="178"/>
      <c r="S57640" s="178"/>
    </row>
    <row r="57641" spans="18:19">
      <c r="R57641" s="178"/>
      <c r="S57641" s="178"/>
    </row>
    <row r="57642" spans="18:19">
      <c r="R57642" s="178"/>
      <c r="S57642" s="178"/>
    </row>
    <row r="57643" spans="18:19">
      <c r="R57643" s="178"/>
      <c r="S57643" s="178"/>
    </row>
    <row r="57644" spans="18:19">
      <c r="R57644" s="178"/>
      <c r="S57644" s="178"/>
    </row>
    <row r="57645" spans="18:19">
      <c r="R57645" s="178"/>
      <c r="S57645" s="178"/>
    </row>
    <row r="57646" spans="18:19">
      <c r="R57646" s="178"/>
      <c r="S57646" s="178"/>
    </row>
    <row r="57647" spans="18:19">
      <c r="R57647" s="178"/>
      <c r="S57647" s="178"/>
    </row>
    <row r="57648" spans="18:19">
      <c r="R57648" s="178"/>
      <c r="S57648" s="178"/>
    </row>
    <row r="57649" spans="18:19">
      <c r="R57649" s="178"/>
      <c r="S57649" s="178"/>
    </row>
    <row r="57650" spans="18:19">
      <c r="R57650" s="178"/>
      <c r="S57650" s="178"/>
    </row>
    <row r="57651" spans="18:19">
      <c r="R57651" s="178"/>
      <c r="S57651" s="178"/>
    </row>
    <row r="57652" spans="18:19">
      <c r="R57652" s="178"/>
      <c r="S57652" s="178"/>
    </row>
    <row r="57653" spans="18:19">
      <c r="R57653" s="178"/>
      <c r="S57653" s="178"/>
    </row>
    <row r="57654" spans="18:19">
      <c r="R57654" s="178"/>
      <c r="S57654" s="178"/>
    </row>
    <row r="57655" spans="18:19">
      <c r="R57655" s="178"/>
      <c r="S57655" s="178"/>
    </row>
    <row r="57656" spans="18:19">
      <c r="R57656" s="178"/>
      <c r="S57656" s="178"/>
    </row>
    <row r="57657" spans="18:19">
      <c r="R57657" s="178"/>
      <c r="S57657" s="178"/>
    </row>
    <row r="57658" spans="18:19">
      <c r="R57658" s="178"/>
      <c r="S57658" s="178"/>
    </row>
    <row r="57659" spans="18:19">
      <c r="R57659" s="178"/>
      <c r="S57659" s="178"/>
    </row>
    <row r="57660" spans="18:19">
      <c r="R57660" s="178"/>
      <c r="S57660" s="178"/>
    </row>
    <row r="57661" spans="18:19">
      <c r="R57661" s="178"/>
      <c r="S57661" s="178"/>
    </row>
    <row r="57662" spans="18:19">
      <c r="R57662" s="178"/>
      <c r="S57662" s="178"/>
    </row>
    <row r="57663" spans="18:19">
      <c r="R57663" s="178"/>
      <c r="S57663" s="178"/>
    </row>
    <row r="57664" spans="18:19">
      <c r="R57664" s="178"/>
      <c r="S57664" s="178"/>
    </row>
    <row r="57665" spans="18:19">
      <c r="R57665" s="178"/>
      <c r="S57665" s="178"/>
    </row>
    <row r="57666" spans="18:19">
      <c r="R57666" s="178"/>
      <c r="S57666" s="178"/>
    </row>
    <row r="57667" spans="18:19">
      <c r="R57667" s="178"/>
      <c r="S57667" s="178"/>
    </row>
    <row r="57668" spans="18:19">
      <c r="R57668" s="178"/>
      <c r="S57668" s="178"/>
    </row>
    <row r="57669" spans="18:19">
      <c r="R57669" s="178"/>
      <c r="S57669" s="178"/>
    </row>
    <row r="57670" spans="18:19">
      <c r="R57670" s="178"/>
      <c r="S57670" s="178"/>
    </row>
    <row r="57671" spans="18:19">
      <c r="R57671" s="178"/>
      <c r="S57671" s="178"/>
    </row>
    <row r="57672" spans="18:19">
      <c r="R57672" s="178"/>
      <c r="S57672" s="178"/>
    </row>
    <row r="57673" spans="18:19">
      <c r="R57673" s="178"/>
      <c r="S57673" s="178"/>
    </row>
    <row r="57674" spans="18:19">
      <c r="R57674" s="178"/>
      <c r="S57674" s="178"/>
    </row>
    <row r="57675" spans="18:19">
      <c r="R57675" s="178"/>
      <c r="S57675" s="178"/>
    </row>
    <row r="57676" spans="18:19">
      <c r="R57676" s="178"/>
      <c r="S57676" s="178"/>
    </row>
    <row r="57677" spans="18:19">
      <c r="R57677" s="178"/>
      <c r="S57677" s="178"/>
    </row>
    <row r="57678" spans="18:19">
      <c r="R57678" s="178"/>
      <c r="S57678" s="178"/>
    </row>
    <row r="57679" spans="18:19">
      <c r="R57679" s="178"/>
      <c r="S57679" s="178"/>
    </row>
    <row r="57680" spans="18:19">
      <c r="R57680" s="178"/>
      <c r="S57680" s="178"/>
    </row>
    <row r="57681" spans="18:19">
      <c r="R57681" s="178"/>
      <c r="S57681" s="178"/>
    </row>
    <row r="57682" spans="18:19">
      <c r="R57682" s="178"/>
      <c r="S57682" s="178"/>
    </row>
    <row r="57683" spans="18:19">
      <c r="R57683" s="178"/>
      <c r="S57683" s="178"/>
    </row>
    <row r="57684" spans="18:19">
      <c r="R57684" s="178"/>
      <c r="S57684" s="178"/>
    </row>
    <row r="57685" spans="18:19">
      <c r="R57685" s="178"/>
      <c r="S57685" s="178"/>
    </row>
    <row r="57686" spans="18:19">
      <c r="R57686" s="178"/>
      <c r="S57686" s="178"/>
    </row>
    <row r="57687" spans="18:19">
      <c r="R57687" s="178"/>
      <c r="S57687" s="178"/>
    </row>
    <row r="57688" spans="18:19">
      <c r="R57688" s="178"/>
      <c r="S57688" s="178"/>
    </row>
    <row r="57689" spans="18:19">
      <c r="R57689" s="178"/>
      <c r="S57689" s="178"/>
    </row>
    <row r="57690" spans="18:19">
      <c r="R57690" s="178"/>
      <c r="S57690" s="178"/>
    </row>
    <row r="57691" spans="18:19">
      <c r="R57691" s="178"/>
      <c r="S57691" s="178"/>
    </row>
    <row r="57692" spans="18:19">
      <c r="R57692" s="178"/>
      <c r="S57692" s="178"/>
    </row>
    <row r="57693" spans="18:19">
      <c r="R57693" s="178"/>
      <c r="S57693" s="178"/>
    </row>
    <row r="57694" spans="18:19">
      <c r="R57694" s="178"/>
      <c r="S57694" s="178"/>
    </row>
    <row r="57695" spans="18:19">
      <c r="R57695" s="178"/>
      <c r="S57695" s="178"/>
    </row>
    <row r="57696" spans="18:19">
      <c r="R57696" s="178"/>
      <c r="S57696" s="178"/>
    </row>
    <row r="57697" spans="18:19">
      <c r="R57697" s="178"/>
      <c r="S57697" s="178"/>
    </row>
    <row r="57698" spans="18:19">
      <c r="R57698" s="178"/>
      <c r="S57698" s="178"/>
    </row>
    <row r="57699" spans="18:19">
      <c r="R57699" s="178"/>
      <c r="S57699" s="178"/>
    </row>
    <row r="57700" spans="18:19">
      <c r="R57700" s="178"/>
      <c r="S57700" s="178"/>
    </row>
    <row r="57701" spans="18:19">
      <c r="R57701" s="178"/>
      <c r="S57701" s="178"/>
    </row>
    <row r="57702" spans="18:19">
      <c r="R57702" s="178"/>
      <c r="S57702" s="178"/>
    </row>
    <row r="57703" spans="18:19">
      <c r="R57703" s="178"/>
      <c r="S57703" s="178"/>
    </row>
    <row r="57704" spans="18:19">
      <c r="R57704" s="178"/>
      <c r="S57704" s="178"/>
    </row>
    <row r="57705" spans="18:19">
      <c r="R57705" s="178"/>
      <c r="S57705" s="178"/>
    </row>
    <row r="57706" spans="18:19">
      <c r="R57706" s="178"/>
      <c r="S57706" s="178"/>
    </row>
    <row r="57707" spans="18:19">
      <c r="R57707" s="178"/>
      <c r="S57707" s="178"/>
    </row>
    <row r="57708" spans="18:19">
      <c r="R57708" s="178"/>
      <c r="S57708" s="178"/>
    </row>
    <row r="57709" spans="18:19">
      <c r="R57709" s="178"/>
      <c r="S57709" s="178"/>
    </row>
    <row r="57710" spans="18:19">
      <c r="R57710" s="178"/>
      <c r="S57710" s="178"/>
    </row>
    <row r="57711" spans="18:19">
      <c r="R57711" s="178"/>
      <c r="S57711" s="178"/>
    </row>
    <row r="57712" spans="18:19">
      <c r="R57712" s="178"/>
      <c r="S57712" s="178"/>
    </row>
    <row r="57713" spans="18:19">
      <c r="R57713" s="178"/>
      <c r="S57713" s="178"/>
    </row>
    <row r="57714" spans="18:19">
      <c r="R57714" s="178"/>
      <c r="S57714" s="178"/>
    </row>
    <row r="57715" spans="18:19">
      <c r="R57715" s="178"/>
      <c r="S57715" s="178"/>
    </row>
    <row r="57716" spans="18:19">
      <c r="R57716" s="178"/>
      <c r="S57716" s="178"/>
    </row>
    <row r="57717" spans="18:19">
      <c r="R57717" s="178"/>
      <c r="S57717" s="178"/>
    </row>
    <row r="57718" spans="18:19">
      <c r="R57718" s="178"/>
      <c r="S57718" s="178"/>
    </row>
    <row r="57719" spans="18:19">
      <c r="R57719" s="178"/>
      <c r="S57719" s="178"/>
    </row>
    <row r="57720" spans="18:19">
      <c r="R57720" s="178"/>
      <c r="S57720" s="178"/>
    </row>
    <row r="57721" spans="18:19">
      <c r="R57721" s="178"/>
      <c r="S57721" s="178"/>
    </row>
    <row r="57722" spans="18:19">
      <c r="R57722" s="178"/>
      <c r="S57722" s="178"/>
    </row>
    <row r="57723" spans="18:19">
      <c r="R57723" s="178"/>
      <c r="S57723" s="178"/>
    </row>
    <row r="57724" spans="18:19">
      <c r="R57724" s="178"/>
      <c r="S57724" s="178"/>
    </row>
    <row r="57725" spans="18:19">
      <c r="R57725" s="178"/>
      <c r="S57725" s="178"/>
    </row>
    <row r="57726" spans="18:19">
      <c r="R57726" s="178"/>
      <c r="S57726" s="178"/>
    </row>
    <row r="57727" spans="18:19">
      <c r="R57727" s="178"/>
      <c r="S57727" s="178"/>
    </row>
    <row r="57728" spans="18:19">
      <c r="R57728" s="178"/>
      <c r="S57728" s="178"/>
    </row>
    <row r="57729" spans="18:19">
      <c r="R57729" s="178"/>
      <c r="S57729" s="178"/>
    </row>
    <row r="57730" spans="18:19">
      <c r="R57730" s="178"/>
      <c r="S57730" s="178"/>
    </row>
    <row r="57731" spans="18:19">
      <c r="R57731" s="178"/>
      <c r="S57731" s="178"/>
    </row>
    <row r="57732" spans="18:19">
      <c r="R57732" s="178"/>
      <c r="S57732" s="178"/>
    </row>
    <row r="57733" spans="18:19">
      <c r="R57733" s="178"/>
      <c r="S57733" s="178"/>
    </row>
    <row r="57734" spans="18:19">
      <c r="R57734" s="178"/>
      <c r="S57734" s="178"/>
    </row>
    <row r="57735" spans="18:19">
      <c r="R57735" s="178"/>
      <c r="S57735" s="178"/>
    </row>
    <row r="57736" spans="18:19">
      <c r="R57736" s="178"/>
      <c r="S57736" s="178"/>
    </row>
    <row r="57737" spans="18:19">
      <c r="R57737" s="178"/>
      <c r="S57737" s="178"/>
    </row>
    <row r="57738" spans="18:19">
      <c r="R57738" s="178"/>
      <c r="S57738" s="178"/>
    </row>
    <row r="57739" spans="18:19">
      <c r="R57739" s="178"/>
      <c r="S57739" s="178"/>
    </row>
    <row r="57740" spans="18:19">
      <c r="R57740" s="178"/>
      <c r="S57740" s="178"/>
    </row>
    <row r="57741" spans="18:19">
      <c r="R57741" s="178"/>
      <c r="S57741" s="178"/>
    </row>
    <row r="57742" spans="18:19">
      <c r="R57742" s="178"/>
      <c r="S57742" s="178"/>
    </row>
    <row r="57743" spans="18:19">
      <c r="R57743" s="178"/>
      <c r="S57743" s="178"/>
    </row>
    <row r="57744" spans="18:19">
      <c r="R57744" s="178"/>
      <c r="S57744" s="178"/>
    </row>
    <row r="57745" spans="18:19">
      <c r="R57745" s="178"/>
      <c r="S57745" s="178"/>
    </row>
    <row r="57746" spans="18:19">
      <c r="R57746" s="178"/>
      <c r="S57746" s="178"/>
    </row>
    <row r="57747" spans="18:19">
      <c r="R57747" s="178"/>
      <c r="S57747" s="178"/>
    </row>
    <row r="57748" spans="18:19">
      <c r="R57748" s="178"/>
      <c r="S57748" s="178"/>
    </row>
    <row r="57749" spans="18:19">
      <c r="R57749" s="178"/>
      <c r="S57749" s="178"/>
    </row>
    <row r="57750" spans="18:19">
      <c r="R57750" s="178"/>
      <c r="S57750" s="178"/>
    </row>
    <row r="57751" spans="18:19">
      <c r="R57751" s="178"/>
      <c r="S57751" s="178"/>
    </row>
    <row r="57752" spans="18:19">
      <c r="R57752" s="178"/>
      <c r="S57752" s="178"/>
    </row>
    <row r="57753" spans="18:19">
      <c r="R57753" s="178"/>
      <c r="S57753" s="178"/>
    </row>
    <row r="57754" spans="18:19">
      <c r="R57754" s="178"/>
      <c r="S57754" s="178"/>
    </row>
    <row r="57755" spans="18:19">
      <c r="R57755" s="178"/>
      <c r="S57755" s="178"/>
    </row>
    <row r="57756" spans="18:19">
      <c r="R57756" s="178"/>
      <c r="S57756" s="178"/>
    </row>
    <row r="57757" spans="18:19">
      <c r="R57757" s="178"/>
      <c r="S57757" s="178"/>
    </row>
    <row r="57758" spans="18:19">
      <c r="R57758" s="178"/>
      <c r="S57758" s="178"/>
    </row>
    <row r="57759" spans="18:19">
      <c r="R57759" s="178"/>
      <c r="S57759" s="178"/>
    </row>
    <row r="57760" spans="18:19">
      <c r="R57760" s="178"/>
      <c r="S57760" s="178"/>
    </row>
    <row r="57761" spans="18:19">
      <c r="R57761" s="178"/>
      <c r="S57761" s="178"/>
    </row>
    <row r="57762" spans="18:19">
      <c r="R57762" s="178"/>
      <c r="S57762" s="178"/>
    </row>
    <row r="57763" spans="18:19">
      <c r="R57763" s="178"/>
      <c r="S57763" s="178"/>
    </row>
    <row r="57764" spans="18:19">
      <c r="R57764" s="178"/>
      <c r="S57764" s="178"/>
    </row>
    <row r="57765" spans="18:19">
      <c r="R57765" s="178"/>
      <c r="S57765" s="178"/>
    </row>
    <row r="57766" spans="18:19">
      <c r="R57766" s="178"/>
      <c r="S57766" s="178"/>
    </row>
    <row r="57767" spans="18:19">
      <c r="R57767" s="178"/>
      <c r="S57767" s="178"/>
    </row>
    <row r="57768" spans="18:19">
      <c r="R57768" s="178"/>
      <c r="S57768" s="178"/>
    </row>
    <row r="57769" spans="18:19">
      <c r="R57769" s="178"/>
      <c r="S57769" s="178"/>
    </row>
    <row r="57770" spans="18:19">
      <c r="R57770" s="178"/>
      <c r="S57770" s="178"/>
    </row>
    <row r="57771" spans="18:19">
      <c r="R57771" s="178"/>
      <c r="S57771" s="178"/>
    </row>
    <row r="57772" spans="18:19">
      <c r="R57772" s="178"/>
      <c r="S57772" s="178"/>
    </row>
    <row r="57773" spans="18:19">
      <c r="R57773" s="178"/>
      <c r="S57773" s="178"/>
    </row>
    <row r="57774" spans="18:19">
      <c r="R57774" s="178"/>
      <c r="S57774" s="178"/>
    </row>
    <row r="57775" spans="18:19">
      <c r="R57775" s="178"/>
      <c r="S57775" s="178"/>
    </row>
    <row r="57776" spans="18:19">
      <c r="R57776" s="178"/>
      <c r="S57776" s="178"/>
    </row>
    <row r="57777" spans="18:19">
      <c r="R57777" s="178"/>
      <c r="S57777" s="178"/>
    </row>
    <row r="57778" spans="18:19">
      <c r="R57778" s="178"/>
      <c r="S57778" s="178"/>
    </row>
    <row r="57779" spans="18:19">
      <c r="R57779" s="178"/>
      <c r="S57779" s="178"/>
    </row>
    <row r="57780" spans="18:19">
      <c r="R57780" s="178"/>
      <c r="S57780" s="178"/>
    </row>
    <row r="57781" spans="18:19">
      <c r="R57781" s="178"/>
      <c r="S57781" s="178"/>
    </row>
    <row r="57782" spans="18:19">
      <c r="R57782" s="178"/>
      <c r="S57782" s="178"/>
    </row>
    <row r="57783" spans="18:19">
      <c r="R57783" s="178"/>
      <c r="S57783" s="178"/>
    </row>
    <row r="57784" spans="18:19">
      <c r="R57784" s="178"/>
      <c r="S57784" s="178"/>
    </row>
    <row r="57785" spans="18:19">
      <c r="R57785" s="178"/>
      <c r="S57785" s="178"/>
    </row>
    <row r="57786" spans="18:19">
      <c r="R57786" s="178"/>
      <c r="S57786" s="178"/>
    </row>
    <row r="57787" spans="18:19">
      <c r="R57787" s="178"/>
      <c r="S57787" s="178"/>
    </row>
    <row r="57788" spans="18:19">
      <c r="R57788" s="178"/>
      <c r="S57788" s="178"/>
    </row>
    <row r="57789" spans="18:19">
      <c r="R57789" s="178"/>
      <c r="S57789" s="178"/>
    </row>
    <row r="57790" spans="18:19">
      <c r="R57790" s="178"/>
      <c r="S57790" s="178"/>
    </row>
    <row r="57791" spans="18:19">
      <c r="R57791" s="178"/>
      <c r="S57791" s="178"/>
    </row>
    <row r="57792" spans="18:19">
      <c r="R57792" s="178"/>
      <c r="S57792" s="178"/>
    </row>
    <row r="57793" spans="18:19">
      <c r="R57793" s="178"/>
      <c r="S57793" s="178"/>
    </row>
    <row r="57794" spans="18:19">
      <c r="R57794" s="178"/>
      <c r="S57794" s="178"/>
    </row>
    <row r="57795" spans="18:19">
      <c r="R57795" s="178"/>
      <c r="S57795" s="178"/>
    </row>
    <row r="57796" spans="18:19">
      <c r="R57796" s="178"/>
      <c r="S57796" s="178"/>
    </row>
    <row r="57797" spans="18:19">
      <c r="R57797" s="178"/>
      <c r="S57797" s="178"/>
    </row>
    <row r="57798" spans="18:19">
      <c r="R57798" s="178"/>
      <c r="S57798" s="178"/>
    </row>
    <row r="57799" spans="18:19">
      <c r="R57799" s="178"/>
      <c r="S57799" s="178"/>
    </row>
    <row r="57800" spans="18:19">
      <c r="R57800" s="178"/>
      <c r="S57800" s="178"/>
    </row>
    <row r="57801" spans="18:19">
      <c r="R57801" s="178"/>
      <c r="S57801" s="178"/>
    </row>
    <row r="57802" spans="18:19">
      <c r="R57802" s="178"/>
      <c r="S57802" s="178"/>
    </row>
    <row r="57803" spans="18:19">
      <c r="R57803" s="178"/>
      <c r="S57803" s="178"/>
    </row>
    <row r="57804" spans="18:19">
      <c r="R57804" s="178"/>
      <c r="S57804" s="178"/>
    </row>
    <row r="57805" spans="18:19">
      <c r="R57805" s="178"/>
      <c r="S57805" s="178"/>
    </row>
    <row r="57806" spans="18:19">
      <c r="R57806" s="178"/>
      <c r="S57806" s="178"/>
    </row>
    <row r="57807" spans="18:19">
      <c r="R57807" s="178"/>
      <c r="S57807" s="178"/>
    </row>
    <row r="57808" spans="18:19">
      <c r="R57808" s="178"/>
      <c r="S57808" s="178"/>
    </row>
    <row r="57809" spans="18:19">
      <c r="R57809" s="178"/>
      <c r="S57809" s="178"/>
    </row>
    <row r="57810" spans="18:19">
      <c r="R57810" s="178"/>
      <c r="S57810" s="178"/>
    </row>
    <row r="57811" spans="18:19">
      <c r="R57811" s="178"/>
      <c r="S57811" s="178"/>
    </row>
    <row r="57812" spans="18:19">
      <c r="R57812" s="178"/>
      <c r="S57812" s="178"/>
    </row>
    <row r="57813" spans="18:19">
      <c r="R57813" s="178"/>
      <c r="S57813" s="178"/>
    </row>
    <row r="57814" spans="18:19">
      <c r="R57814" s="178"/>
      <c r="S57814" s="178"/>
    </row>
    <row r="57815" spans="18:19">
      <c r="R57815" s="178"/>
      <c r="S57815" s="178"/>
    </row>
    <row r="57816" spans="18:19">
      <c r="R57816" s="178"/>
      <c r="S57816" s="178"/>
    </row>
    <row r="57817" spans="18:19">
      <c r="R57817" s="178"/>
      <c r="S57817" s="178"/>
    </row>
    <row r="57818" spans="18:19">
      <c r="R57818" s="178"/>
      <c r="S57818" s="178"/>
    </row>
    <row r="57819" spans="18:19">
      <c r="R57819" s="178"/>
      <c r="S57819" s="178"/>
    </row>
    <row r="57820" spans="18:19">
      <c r="R57820" s="178"/>
      <c r="S57820" s="178"/>
    </row>
    <row r="57821" spans="18:19">
      <c r="R57821" s="178"/>
      <c r="S57821" s="178"/>
    </row>
    <row r="57822" spans="18:19">
      <c r="R57822" s="178"/>
      <c r="S57822" s="178"/>
    </row>
    <row r="57823" spans="18:19">
      <c r="R57823" s="178"/>
      <c r="S57823" s="178"/>
    </row>
    <row r="57824" spans="18:19">
      <c r="R57824" s="178"/>
      <c r="S57824" s="178"/>
    </row>
    <row r="57825" spans="18:19">
      <c r="R57825" s="178"/>
      <c r="S57825" s="178"/>
    </row>
    <row r="57826" spans="18:19">
      <c r="R57826" s="178"/>
      <c r="S57826" s="178"/>
    </row>
    <row r="57827" spans="18:19">
      <c r="R57827" s="178"/>
      <c r="S57827" s="178"/>
    </row>
    <row r="57828" spans="18:19">
      <c r="R57828" s="178"/>
      <c r="S57828" s="178"/>
    </row>
    <row r="57829" spans="18:19">
      <c r="R57829" s="178"/>
      <c r="S57829" s="178"/>
    </row>
    <row r="57830" spans="18:19">
      <c r="R57830" s="178"/>
      <c r="S57830" s="178"/>
    </row>
    <row r="57831" spans="18:19">
      <c r="R57831" s="178"/>
      <c r="S57831" s="178"/>
    </row>
    <row r="57832" spans="18:19">
      <c r="R57832" s="178"/>
      <c r="S57832" s="178"/>
    </row>
    <row r="57833" spans="18:19">
      <c r="R57833" s="178"/>
      <c r="S57833" s="178"/>
    </row>
    <row r="57834" spans="18:19">
      <c r="R57834" s="178"/>
      <c r="S57834" s="178"/>
    </row>
    <row r="57835" spans="18:19">
      <c r="R57835" s="178"/>
      <c r="S57835" s="178"/>
    </row>
    <row r="57836" spans="18:19">
      <c r="R57836" s="178"/>
      <c r="S57836" s="178"/>
    </row>
    <row r="57837" spans="18:19">
      <c r="R57837" s="178"/>
      <c r="S57837" s="178"/>
    </row>
    <row r="57838" spans="18:19">
      <c r="R57838" s="178"/>
      <c r="S57838" s="178"/>
    </row>
    <row r="57839" spans="18:19">
      <c r="R57839" s="178"/>
      <c r="S57839" s="178"/>
    </row>
    <row r="57840" spans="18:19">
      <c r="R57840" s="178"/>
      <c r="S57840" s="178"/>
    </row>
    <row r="57841" spans="18:19">
      <c r="R57841" s="178"/>
      <c r="S57841" s="178"/>
    </row>
    <row r="57842" spans="18:19">
      <c r="R57842" s="178"/>
      <c r="S57842" s="178"/>
    </row>
    <row r="57843" spans="18:19">
      <c r="R57843" s="178"/>
      <c r="S57843" s="178"/>
    </row>
    <row r="57844" spans="18:19">
      <c r="R57844" s="178"/>
      <c r="S57844" s="178"/>
    </row>
    <row r="57845" spans="18:19">
      <c r="R57845" s="178"/>
      <c r="S57845" s="178"/>
    </row>
    <row r="57846" spans="18:19">
      <c r="R57846" s="178"/>
      <c r="S57846" s="178"/>
    </row>
    <row r="57847" spans="18:19">
      <c r="R57847" s="178"/>
      <c r="S57847" s="178"/>
    </row>
    <row r="57848" spans="18:19">
      <c r="R57848" s="178"/>
      <c r="S57848" s="178"/>
    </row>
    <row r="57849" spans="18:19">
      <c r="R57849" s="178"/>
      <c r="S57849" s="178"/>
    </row>
    <row r="57850" spans="18:19">
      <c r="R57850" s="178"/>
      <c r="S57850" s="178"/>
    </row>
    <row r="57851" spans="18:19">
      <c r="R57851" s="178"/>
      <c r="S57851" s="178"/>
    </row>
    <row r="57852" spans="18:19">
      <c r="R57852" s="178"/>
      <c r="S57852" s="178"/>
    </row>
    <row r="57853" spans="18:19">
      <c r="R57853" s="178"/>
      <c r="S57853" s="178"/>
    </row>
    <row r="57854" spans="18:19">
      <c r="R57854" s="178"/>
      <c r="S57854" s="178"/>
    </row>
    <row r="57855" spans="18:19">
      <c r="R57855" s="178"/>
      <c r="S57855" s="178"/>
    </row>
    <row r="57856" spans="18:19">
      <c r="R57856" s="178"/>
      <c r="S57856" s="178"/>
    </row>
    <row r="57857" spans="18:19">
      <c r="R57857" s="178"/>
      <c r="S57857" s="178"/>
    </row>
    <row r="57858" spans="18:19">
      <c r="R57858" s="178"/>
      <c r="S57858" s="178"/>
    </row>
    <row r="57859" spans="18:19">
      <c r="R57859" s="178"/>
      <c r="S57859" s="178"/>
    </row>
    <row r="57860" spans="18:19">
      <c r="R57860" s="178"/>
      <c r="S57860" s="178"/>
    </row>
    <row r="57861" spans="18:19">
      <c r="R57861" s="178"/>
      <c r="S57861" s="178"/>
    </row>
    <row r="57862" spans="18:19">
      <c r="R57862" s="178"/>
      <c r="S57862" s="178"/>
    </row>
    <row r="57863" spans="18:19">
      <c r="R57863" s="178"/>
      <c r="S57863" s="178"/>
    </row>
    <row r="57864" spans="18:19">
      <c r="R57864" s="178"/>
      <c r="S57864" s="178"/>
    </row>
    <row r="57865" spans="18:19">
      <c r="R57865" s="178"/>
      <c r="S57865" s="178"/>
    </row>
    <row r="57866" spans="18:19">
      <c r="R57866" s="178"/>
      <c r="S57866" s="178"/>
    </row>
    <row r="57867" spans="18:19">
      <c r="R57867" s="178"/>
      <c r="S57867" s="178"/>
    </row>
    <row r="57868" spans="18:19">
      <c r="R57868" s="178"/>
      <c r="S57868" s="178"/>
    </row>
    <row r="57869" spans="18:19">
      <c r="R57869" s="178"/>
      <c r="S57869" s="178"/>
    </row>
    <row r="57870" spans="18:19">
      <c r="R57870" s="178"/>
      <c r="S57870" s="178"/>
    </row>
    <row r="57871" spans="18:19">
      <c r="R57871" s="178"/>
      <c r="S57871" s="178"/>
    </row>
    <row r="57872" spans="18:19">
      <c r="R57872" s="178"/>
      <c r="S57872" s="178"/>
    </row>
    <row r="57873" spans="18:19">
      <c r="R57873" s="178"/>
      <c r="S57873" s="178"/>
    </row>
    <row r="57874" spans="18:19">
      <c r="R57874" s="178"/>
      <c r="S57874" s="178"/>
    </row>
    <row r="57875" spans="18:19">
      <c r="R57875" s="178"/>
      <c r="S57875" s="178"/>
    </row>
    <row r="57876" spans="18:19">
      <c r="R57876" s="178"/>
      <c r="S57876" s="178"/>
    </row>
    <row r="57877" spans="18:19">
      <c r="R57877" s="178"/>
      <c r="S57877" s="178"/>
    </row>
    <row r="57878" spans="18:19">
      <c r="R57878" s="178"/>
      <c r="S57878" s="178"/>
    </row>
    <row r="57879" spans="18:19">
      <c r="R57879" s="178"/>
      <c r="S57879" s="178"/>
    </row>
    <row r="57880" spans="18:19">
      <c r="R57880" s="178"/>
      <c r="S57880" s="178"/>
    </row>
    <row r="57881" spans="18:19">
      <c r="R57881" s="178"/>
      <c r="S57881" s="178"/>
    </row>
    <row r="57882" spans="18:19">
      <c r="R57882" s="178"/>
      <c r="S57882" s="178"/>
    </row>
    <row r="57883" spans="18:19">
      <c r="R57883" s="178"/>
      <c r="S57883" s="178"/>
    </row>
    <row r="57884" spans="18:19">
      <c r="R57884" s="178"/>
      <c r="S57884" s="178"/>
    </row>
    <row r="57885" spans="18:19">
      <c r="R57885" s="178"/>
      <c r="S57885" s="178"/>
    </row>
    <row r="57886" spans="18:19">
      <c r="R57886" s="178"/>
      <c r="S57886" s="178"/>
    </row>
    <row r="57887" spans="18:19">
      <c r="R57887" s="178"/>
      <c r="S57887" s="178"/>
    </row>
    <row r="57888" spans="18:19">
      <c r="R57888" s="178"/>
      <c r="S57888" s="178"/>
    </row>
    <row r="57889" spans="18:19">
      <c r="R57889" s="178"/>
      <c r="S57889" s="178"/>
    </row>
    <row r="57890" spans="18:19">
      <c r="R57890" s="178"/>
      <c r="S57890" s="178"/>
    </row>
    <row r="57891" spans="18:19">
      <c r="R57891" s="178"/>
      <c r="S57891" s="178"/>
    </row>
    <row r="57892" spans="18:19">
      <c r="R57892" s="178"/>
      <c r="S57892" s="178"/>
    </row>
    <row r="57893" spans="18:19">
      <c r="R57893" s="178"/>
      <c r="S57893" s="178"/>
    </row>
    <row r="57894" spans="18:19">
      <c r="R57894" s="178"/>
      <c r="S57894" s="178"/>
    </row>
    <row r="57895" spans="18:19">
      <c r="R57895" s="178"/>
      <c r="S57895" s="178"/>
    </row>
    <row r="57896" spans="18:19">
      <c r="R57896" s="178"/>
      <c r="S57896" s="178"/>
    </row>
    <row r="57897" spans="18:19">
      <c r="R57897" s="178"/>
      <c r="S57897" s="178"/>
    </row>
    <row r="57898" spans="18:19">
      <c r="R57898" s="178"/>
      <c r="S57898" s="178"/>
    </row>
    <row r="57899" spans="18:19">
      <c r="R57899" s="178"/>
      <c r="S57899" s="178"/>
    </row>
    <row r="57900" spans="18:19">
      <c r="R57900" s="178"/>
      <c r="S57900" s="178"/>
    </row>
    <row r="57901" spans="18:19">
      <c r="R57901" s="178"/>
      <c r="S57901" s="178"/>
    </row>
    <row r="57902" spans="18:19">
      <c r="R57902" s="178"/>
      <c r="S57902" s="178"/>
    </row>
    <row r="57903" spans="18:19">
      <c r="R57903" s="178"/>
      <c r="S57903" s="178"/>
    </row>
    <row r="57904" spans="18:19">
      <c r="R57904" s="178"/>
      <c r="S57904" s="178"/>
    </row>
    <row r="57905" spans="18:19">
      <c r="R57905" s="178"/>
      <c r="S57905" s="178"/>
    </row>
    <row r="57906" spans="18:19">
      <c r="R57906" s="178"/>
      <c r="S57906" s="178"/>
    </row>
    <row r="57907" spans="18:19">
      <c r="R57907" s="178"/>
      <c r="S57907" s="178"/>
    </row>
    <row r="57908" spans="18:19">
      <c r="R57908" s="178"/>
      <c r="S57908" s="178"/>
    </row>
    <row r="57909" spans="18:19">
      <c r="R57909" s="178"/>
      <c r="S57909" s="178"/>
    </row>
    <row r="57910" spans="18:19">
      <c r="R57910" s="178"/>
      <c r="S57910" s="178"/>
    </row>
    <row r="57911" spans="18:19">
      <c r="R57911" s="178"/>
      <c r="S57911" s="178"/>
    </row>
    <row r="57912" spans="18:19">
      <c r="R57912" s="178"/>
      <c r="S57912" s="178"/>
    </row>
    <row r="57913" spans="18:19">
      <c r="R57913" s="178"/>
      <c r="S57913" s="178"/>
    </row>
    <row r="57914" spans="18:19">
      <c r="R57914" s="178"/>
      <c r="S57914" s="178"/>
    </row>
    <row r="57915" spans="18:19">
      <c r="R57915" s="178"/>
      <c r="S57915" s="178"/>
    </row>
    <row r="57916" spans="18:19">
      <c r="R57916" s="178"/>
      <c r="S57916" s="178"/>
    </row>
    <row r="57917" spans="18:19">
      <c r="R57917" s="178"/>
      <c r="S57917" s="178"/>
    </row>
    <row r="57918" spans="18:19">
      <c r="R57918" s="178"/>
      <c r="S57918" s="178"/>
    </row>
    <row r="57919" spans="18:19">
      <c r="R57919" s="178"/>
      <c r="S57919" s="178"/>
    </row>
    <row r="57920" spans="18:19">
      <c r="R57920" s="178"/>
      <c r="S57920" s="178"/>
    </row>
    <row r="57921" spans="18:19">
      <c r="R57921" s="178"/>
      <c r="S57921" s="178"/>
    </row>
    <row r="57922" spans="18:19">
      <c r="R57922" s="178"/>
      <c r="S57922" s="178"/>
    </row>
    <row r="57923" spans="18:19">
      <c r="R57923" s="178"/>
      <c r="S57923" s="178"/>
    </row>
    <row r="57924" spans="18:19">
      <c r="R57924" s="178"/>
      <c r="S57924" s="178"/>
    </row>
    <row r="57925" spans="18:19">
      <c r="R57925" s="178"/>
      <c r="S57925" s="178"/>
    </row>
    <row r="57926" spans="18:19">
      <c r="R57926" s="178"/>
      <c r="S57926" s="178"/>
    </row>
    <row r="57927" spans="18:19">
      <c r="R57927" s="178"/>
      <c r="S57927" s="178"/>
    </row>
    <row r="57928" spans="18:19">
      <c r="R57928" s="178"/>
      <c r="S57928" s="178"/>
    </row>
    <row r="57929" spans="18:19">
      <c r="R57929" s="178"/>
      <c r="S57929" s="178"/>
    </row>
    <row r="57930" spans="18:19">
      <c r="R57930" s="178"/>
      <c r="S57930" s="178"/>
    </row>
    <row r="57931" spans="18:19">
      <c r="R57931" s="178"/>
      <c r="S57931" s="178"/>
    </row>
    <row r="57932" spans="18:19">
      <c r="R57932" s="178"/>
      <c r="S57932" s="178"/>
    </row>
    <row r="57933" spans="18:19">
      <c r="R57933" s="178"/>
      <c r="S57933" s="178"/>
    </row>
    <row r="57934" spans="18:19">
      <c r="R57934" s="178"/>
      <c r="S57934" s="178"/>
    </row>
    <row r="57935" spans="18:19">
      <c r="R57935" s="178"/>
      <c r="S57935" s="178"/>
    </row>
    <row r="57936" spans="18:19">
      <c r="R57936" s="178"/>
      <c r="S57936" s="178"/>
    </row>
    <row r="57937" spans="18:19">
      <c r="R57937" s="178"/>
      <c r="S57937" s="178"/>
    </row>
    <row r="57938" spans="18:19">
      <c r="R57938" s="178"/>
      <c r="S57938" s="178"/>
    </row>
    <row r="57939" spans="18:19">
      <c r="R57939" s="178"/>
      <c r="S57939" s="178"/>
    </row>
    <row r="57940" spans="18:19">
      <c r="R57940" s="178"/>
      <c r="S57940" s="178"/>
    </row>
    <row r="57941" spans="18:19">
      <c r="R57941" s="178"/>
      <c r="S57941" s="178"/>
    </row>
    <row r="57942" spans="18:19">
      <c r="R57942" s="178"/>
      <c r="S57942" s="178"/>
    </row>
    <row r="57943" spans="18:19">
      <c r="R57943" s="178"/>
      <c r="S57943" s="178"/>
    </row>
    <row r="57944" spans="18:19">
      <c r="R57944" s="178"/>
      <c r="S57944" s="178"/>
    </row>
    <row r="57945" spans="18:19">
      <c r="R57945" s="178"/>
      <c r="S57945" s="178"/>
    </row>
    <row r="57946" spans="18:19">
      <c r="R57946" s="178"/>
      <c r="S57946" s="178"/>
    </row>
    <row r="57947" spans="18:19">
      <c r="R57947" s="178"/>
      <c r="S57947" s="178"/>
    </row>
    <row r="57948" spans="18:19">
      <c r="R57948" s="178"/>
      <c r="S57948" s="178"/>
    </row>
    <row r="57949" spans="18:19">
      <c r="R57949" s="178"/>
      <c r="S57949" s="178"/>
    </row>
    <row r="57950" spans="18:19">
      <c r="R57950" s="178"/>
      <c r="S57950" s="178"/>
    </row>
    <row r="57951" spans="18:19">
      <c r="R57951" s="178"/>
      <c r="S57951" s="178"/>
    </row>
    <row r="57952" spans="18:19">
      <c r="R57952" s="178"/>
      <c r="S57952" s="178"/>
    </row>
    <row r="57953" spans="18:19">
      <c r="R57953" s="178"/>
      <c r="S57953" s="178"/>
    </row>
    <row r="57954" spans="18:19">
      <c r="R57954" s="178"/>
      <c r="S57954" s="178"/>
    </row>
    <row r="57955" spans="18:19">
      <c r="R57955" s="178"/>
      <c r="S57955" s="178"/>
    </row>
    <row r="57956" spans="18:19">
      <c r="R57956" s="178"/>
      <c r="S57956" s="178"/>
    </row>
    <row r="57957" spans="18:19">
      <c r="R57957" s="178"/>
      <c r="S57957" s="178"/>
    </row>
    <row r="57958" spans="18:19">
      <c r="R57958" s="178"/>
      <c r="S57958" s="178"/>
    </row>
    <row r="57959" spans="18:19">
      <c r="R57959" s="178"/>
      <c r="S57959" s="178"/>
    </row>
    <row r="57960" spans="18:19">
      <c r="R57960" s="178"/>
      <c r="S57960" s="178"/>
    </row>
    <row r="57961" spans="18:19">
      <c r="R57961" s="178"/>
      <c r="S57961" s="178"/>
    </row>
    <row r="57962" spans="18:19">
      <c r="R57962" s="178"/>
      <c r="S57962" s="178"/>
    </row>
    <row r="57963" spans="18:19">
      <c r="R57963" s="178"/>
      <c r="S57963" s="178"/>
    </row>
    <row r="57964" spans="18:19">
      <c r="R57964" s="178"/>
      <c r="S57964" s="178"/>
    </row>
    <row r="57965" spans="18:19">
      <c r="R57965" s="178"/>
      <c r="S57965" s="178"/>
    </row>
    <row r="57966" spans="18:19">
      <c r="R57966" s="178"/>
      <c r="S57966" s="178"/>
    </row>
    <row r="57967" spans="18:19">
      <c r="R57967" s="178"/>
      <c r="S57967" s="178"/>
    </row>
    <row r="57968" spans="18:19">
      <c r="R57968" s="178"/>
      <c r="S57968" s="178"/>
    </row>
    <row r="57969" spans="18:19">
      <c r="R57969" s="178"/>
      <c r="S57969" s="178"/>
    </row>
    <row r="57970" spans="18:19">
      <c r="R57970" s="178"/>
      <c r="S57970" s="178"/>
    </row>
    <row r="57971" spans="18:19">
      <c r="R57971" s="178"/>
      <c r="S57971" s="178"/>
    </row>
    <row r="57972" spans="18:19">
      <c r="R57972" s="178"/>
      <c r="S57972" s="178"/>
    </row>
    <row r="57973" spans="18:19">
      <c r="R57973" s="178"/>
      <c r="S57973" s="178"/>
    </row>
    <row r="57974" spans="18:19">
      <c r="R57974" s="178"/>
      <c r="S57974" s="178"/>
    </row>
    <row r="57975" spans="18:19">
      <c r="R57975" s="178"/>
      <c r="S57975" s="178"/>
    </row>
    <row r="57976" spans="18:19">
      <c r="R57976" s="178"/>
      <c r="S57976" s="178"/>
    </row>
    <row r="57977" spans="18:19">
      <c r="R57977" s="178"/>
      <c r="S57977" s="178"/>
    </row>
    <row r="57978" spans="18:19">
      <c r="R57978" s="178"/>
      <c r="S57978" s="178"/>
    </row>
    <row r="57979" spans="18:19">
      <c r="R57979" s="178"/>
      <c r="S57979" s="178"/>
    </row>
    <row r="57980" spans="18:19">
      <c r="R57980" s="178"/>
      <c r="S57980" s="178"/>
    </row>
    <row r="57981" spans="18:19">
      <c r="R57981" s="178"/>
      <c r="S57981" s="178"/>
    </row>
    <row r="57982" spans="18:19">
      <c r="R57982" s="178"/>
      <c r="S57982" s="178"/>
    </row>
    <row r="57983" spans="18:19">
      <c r="R57983" s="178"/>
      <c r="S57983" s="178"/>
    </row>
    <row r="57984" spans="18:19">
      <c r="R57984" s="178"/>
      <c r="S57984" s="178"/>
    </row>
    <row r="57985" spans="18:19">
      <c r="R57985" s="178"/>
      <c r="S57985" s="178"/>
    </row>
    <row r="57986" spans="18:19">
      <c r="R57986" s="178"/>
      <c r="S57986" s="178"/>
    </row>
    <row r="57987" spans="18:19">
      <c r="R57987" s="178"/>
      <c r="S57987" s="178"/>
    </row>
    <row r="57988" spans="18:19">
      <c r="R57988" s="178"/>
      <c r="S57988" s="178"/>
    </row>
    <row r="57989" spans="18:19">
      <c r="R57989" s="178"/>
      <c r="S57989" s="178"/>
    </row>
    <row r="57990" spans="18:19">
      <c r="R57990" s="178"/>
      <c r="S57990" s="178"/>
    </row>
    <row r="57991" spans="18:19">
      <c r="R57991" s="178"/>
      <c r="S57991" s="178"/>
    </row>
    <row r="57992" spans="18:19">
      <c r="R57992" s="178"/>
      <c r="S57992" s="178"/>
    </row>
    <row r="57993" spans="18:19">
      <c r="R57993" s="178"/>
      <c r="S57993" s="178"/>
    </row>
    <row r="57994" spans="18:19">
      <c r="R57994" s="178"/>
      <c r="S57994" s="178"/>
    </row>
    <row r="57995" spans="18:19">
      <c r="R57995" s="178"/>
      <c r="S57995" s="178"/>
    </row>
    <row r="57996" spans="18:19">
      <c r="R57996" s="178"/>
      <c r="S57996" s="178"/>
    </row>
    <row r="57997" spans="18:19">
      <c r="R57997" s="178"/>
      <c r="S57997" s="178"/>
    </row>
    <row r="57998" spans="18:19">
      <c r="R57998" s="178"/>
      <c r="S57998" s="178"/>
    </row>
    <row r="57999" spans="18:19">
      <c r="R57999" s="178"/>
      <c r="S57999" s="178"/>
    </row>
    <row r="58000" spans="18:19">
      <c r="R58000" s="178"/>
      <c r="S58000" s="178"/>
    </row>
    <row r="58001" spans="18:19">
      <c r="R58001" s="178"/>
      <c r="S58001" s="178"/>
    </row>
    <row r="58002" spans="18:19">
      <c r="R58002" s="178"/>
      <c r="S58002" s="178"/>
    </row>
    <row r="58003" spans="18:19">
      <c r="R58003" s="178"/>
      <c r="S58003" s="178"/>
    </row>
    <row r="58004" spans="18:19">
      <c r="R58004" s="178"/>
      <c r="S58004" s="178"/>
    </row>
    <row r="58005" spans="18:19">
      <c r="R58005" s="178"/>
      <c r="S58005" s="178"/>
    </row>
    <row r="58006" spans="18:19">
      <c r="R58006" s="178"/>
      <c r="S58006" s="178"/>
    </row>
    <row r="58007" spans="18:19">
      <c r="R58007" s="178"/>
      <c r="S58007" s="178"/>
    </row>
    <row r="58008" spans="18:19">
      <c r="R58008" s="178"/>
      <c r="S58008" s="178"/>
    </row>
    <row r="58009" spans="18:19">
      <c r="R58009" s="178"/>
      <c r="S58009" s="178"/>
    </row>
    <row r="58010" spans="18:19">
      <c r="R58010" s="178"/>
      <c r="S58010" s="178"/>
    </row>
    <row r="58011" spans="18:19">
      <c r="R58011" s="178"/>
      <c r="S58011" s="178"/>
    </row>
    <row r="58012" spans="18:19">
      <c r="R58012" s="178"/>
      <c r="S58012" s="178"/>
    </row>
    <row r="58013" spans="18:19">
      <c r="R58013" s="178"/>
      <c r="S58013" s="178"/>
    </row>
    <row r="58014" spans="18:19">
      <c r="R58014" s="178"/>
      <c r="S58014" s="178"/>
    </row>
    <row r="58015" spans="18:19">
      <c r="R58015" s="178"/>
      <c r="S58015" s="178"/>
    </row>
    <row r="58016" spans="18:19">
      <c r="R58016" s="178"/>
      <c r="S58016" s="178"/>
    </row>
    <row r="58017" spans="18:19">
      <c r="R58017" s="178"/>
      <c r="S58017" s="178"/>
    </row>
    <row r="58018" spans="18:19">
      <c r="R58018" s="178"/>
      <c r="S58018" s="178"/>
    </row>
    <row r="58019" spans="18:19">
      <c r="R58019" s="178"/>
      <c r="S58019" s="178"/>
    </row>
    <row r="58020" spans="18:19">
      <c r="R58020" s="178"/>
      <c r="S58020" s="178"/>
    </row>
    <row r="58021" spans="18:19">
      <c r="R58021" s="178"/>
      <c r="S58021" s="178"/>
    </row>
    <row r="58022" spans="18:19">
      <c r="R58022" s="178"/>
      <c r="S58022" s="178"/>
    </row>
    <row r="58023" spans="18:19">
      <c r="R58023" s="178"/>
      <c r="S58023" s="178"/>
    </row>
    <row r="58024" spans="18:19">
      <c r="R58024" s="178"/>
      <c r="S58024" s="178"/>
    </row>
    <row r="58025" spans="18:19">
      <c r="R58025" s="178"/>
      <c r="S58025" s="178"/>
    </row>
    <row r="58026" spans="18:19">
      <c r="R58026" s="178"/>
      <c r="S58026" s="178"/>
    </row>
    <row r="58027" spans="18:19">
      <c r="R58027" s="178"/>
      <c r="S58027" s="178"/>
    </row>
    <row r="58028" spans="18:19">
      <c r="R58028" s="178"/>
      <c r="S58028" s="178"/>
    </row>
    <row r="58029" spans="18:19">
      <c r="R58029" s="178"/>
      <c r="S58029" s="178"/>
    </row>
    <row r="58030" spans="18:19">
      <c r="R58030" s="178"/>
      <c r="S58030" s="178"/>
    </row>
    <row r="58031" spans="18:19">
      <c r="R58031" s="178"/>
      <c r="S58031" s="178"/>
    </row>
    <row r="58032" spans="18:19">
      <c r="R58032" s="178"/>
      <c r="S58032" s="178"/>
    </row>
    <row r="58033" spans="18:19">
      <c r="R58033" s="178"/>
      <c r="S58033" s="178"/>
    </row>
    <row r="58034" spans="18:19">
      <c r="R58034" s="178"/>
      <c r="S58034" s="178"/>
    </row>
    <row r="58035" spans="18:19">
      <c r="R58035" s="178"/>
      <c r="S58035" s="178"/>
    </row>
    <row r="58036" spans="18:19">
      <c r="R58036" s="178"/>
      <c r="S58036" s="178"/>
    </row>
    <row r="58037" spans="18:19">
      <c r="R58037" s="178"/>
      <c r="S58037" s="178"/>
    </row>
    <row r="58038" spans="18:19">
      <c r="R58038" s="178"/>
      <c r="S58038" s="178"/>
    </row>
    <row r="58039" spans="18:19">
      <c r="R58039" s="178"/>
      <c r="S58039" s="178"/>
    </row>
    <row r="58040" spans="18:19">
      <c r="R58040" s="178"/>
      <c r="S58040" s="178"/>
    </row>
    <row r="58041" spans="18:19">
      <c r="R58041" s="178"/>
      <c r="S58041" s="178"/>
    </row>
    <row r="58042" spans="18:19">
      <c r="R58042" s="178"/>
      <c r="S58042" s="178"/>
    </row>
    <row r="58043" spans="18:19">
      <c r="R58043" s="178"/>
      <c r="S58043" s="178"/>
    </row>
    <row r="58044" spans="18:19">
      <c r="R58044" s="178"/>
      <c r="S58044" s="178"/>
    </row>
    <row r="58045" spans="18:19">
      <c r="R58045" s="178"/>
      <c r="S58045" s="178"/>
    </row>
    <row r="58046" spans="18:19">
      <c r="R58046" s="178"/>
      <c r="S58046" s="178"/>
    </row>
    <row r="58047" spans="18:19">
      <c r="R58047" s="178"/>
      <c r="S58047" s="178"/>
    </row>
    <row r="58048" spans="18:19">
      <c r="R58048" s="178"/>
      <c r="S58048" s="178"/>
    </row>
    <row r="58049" spans="18:19">
      <c r="R58049" s="178"/>
      <c r="S58049" s="178"/>
    </row>
    <row r="58050" spans="18:19">
      <c r="R58050" s="178"/>
      <c r="S58050" s="178"/>
    </row>
    <row r="58051" spans="18:19">
      <c r="R58051" s="178"/>
      <c r="S58051" s="178"/>
    </row>
    <row r="58052" spans="18:19">
      <c r="R58052" s="178"/>
      <c r="S58052" s="178"/>
    </row>
    <row r="58053" spans="18:19">
      <c r="R58053" s="178"/>
      <c r="S58053" s="178"/>
    </row>
    <row r="58054" spans="18:19">
      <c r="R58054" s="178"/>
      <c r="S58054" s="178"/>
    </row>
    <row r="58055" spans="18:19">
      <c r="R58055" s="178"/>
      <c r="S58055" s="178"/>
    </row>
    <row r="58056" spans="18:19">
      <c r="R58056" s="178"/>
      <c r="S58056" s="178"/>
    </row>
    <row r="58057" spans="18:19">
      <c r="R58057" s="178"/>
      <c r="S58057" s="178"/>
    </row>
    <row r="58058" spans="18:19">
      <c r="R58058" s="178"/>
      <c r="S58058" s="178"/>
    </row>
    <row r="58059" spans="18:19">
      <c r="R58059" s="178"/>
      <c r="S58059" s="178"/>
    </row>
    <row r="58060" spans="18:19">
      <c r="R58060" s="178"/>
      <c r="S58060" s="178"/>
    </row>
    <row r="58061" spans="18:19">
      <c r="R58061" s="178"/>
      <c r="S58061" s="178"/>
    </row>
    <row r="58062" spans="18:19">
      <c r="R58062" s="178"/>
      <c r="S58062" s="178"/>
    </row>
    <row r="58063" spans="18:19">
      <c r="R58063" s="178"/>
      <c r="S58063" s="178"/>
    </row>
    <row r="58064" spans="18:19">
      <c r="R58064" s="178"/>
      <c r="S58064" s="178"/>
    </row>
    <row r="58065" spans="18:19">
      <c r="R58065" s="178"/>
      <c r="S58065" s="178"/>
    </row>
    <row r="58066" spans="18:19">
      <c r="R58066" s="178"/>
      <c r="S58066" s="178"/>
    </row>
    <row r="58067" spans="18:19">
      <c r="R58067" s="178"/>
      <c r="S58067" s="178"/>
    </row>
    <row r="58068" spans="18:19">
      <c r="R58068" s="178"/>
      <c r="S58068" s="178"/>
    </row>
    <row r="58069" spans="18:19">
      <c r="R58069" s="178"/>
      <c r="S58069" s="178"/>
    </row>
    <row r="58070" spans="18:19">
      <c r="R58070" s="178"/>
      <c r="S58070" s="178"/>
    </row>
    <row r="58071" spans="18:19">
      <c r="R58071" s="178"/>
      <c r="S58071" s="178"/>
    </row>
    <row r="58072" spans="18:19">
      <c r="R58072" s="178"/>
      <c r="S58072" s="178"/>
    </row>
    <row r="58073" spans="18:19">
      <c r="R58073" s="178"/>
      <c r="S58073" s="178"/>
    </row>
    <row r="58074" spans="18:19">
      <c r="R58074" s="178"/>
      <c r="S58074" s="178"/>
    </row>
    <row r="58075" spans="18:19">
      <c r="R58075" s="178"/>
      <c r="S58075" s="178"/>
    </row>
    <row r="58076" spans="18:19">
      <c r="R58076" s="178"/>
      <c r="S58076" s="178"/>
    </row>
    <row r="58077" spans="18:19">
      <c r="R58077" s="178"/>
      <c r="S58077" s="178"/>
    </row>
    <row r="58078" spans="18:19">
      <c r="R58078" s="178"/>
      <c r="S58078" s="178"/>
    </row>
    <row r="58079" spans="18:19">
      <c r="R58079" s="178"/>
      <c r="S58079" s="178"/>
    </row>
    <row r="58080" spans="18:19">
      <c r="R58080" s="178"/>
      <c r="S58080" s="178"/>
    </row>
    <row r="58081" spans="18:19">
      <c r="R58081" s="178"/>
      <c r="S58081" s="178"/>
    </row>
    <row r="58082" spans="18:19">
      <c r="R58082" s="178"/>
      <c r="S58082" s="178"/>
    </row>
    <row r="58083" spans="18:19">
      <c r="R58083" s="178"/>
      <c r="S58083" s="178"/>
    </row>
    <row r="58084" spans="18:19">
      <c r="R58084" s="178"/>
      <c r="S58084" s="178"/>
    </row>
    <row r="58085" spans="18:19">
      <c r="R58085" s="178"/>
      <c r="S58085" s="178"/>
    </row>
    <row r="58086" spans="18:19">
      <c r="R58086" s="178"/>
      <c r="S58086" s="178"/>
    </row>
    <row r="58087" spans="18:19">
      <c r="R58087" s="178"/>
      <c r="S58087" s="178"/>
    </row>
    <row r="58088" spans="18:19">
      <c r="R58088" s="178"/>
      <c r="S58088" s="178"/>
    </row>
    <row r="58089" spans="18:19">
      <c r="R58089" s="178"/>
      <c r="S58089" s="178"/>
    </row>
    <row r="58090" spans="18:19">
      <c r="R58090" s="178"/>
      <c r="S58090" s="178"/>
    </row>
    <row r="58091" spans="18:19">
      <c r="R58091" s="178"/>
      <c r="S58091" s="178"/>
    </row>
    <row r="58092" spans="18:19">
      <c r="R58092" s="178"/>
      <c r="S58092" s="178"/>
    </row>
    <row r="58093" spans="18:19">
      <c r="R58093" s="178"/>
      <c r="S58093" s="178"/>
    </row>
    <row r="58094" spans="18:19">
      <c r="R58094" s="178"/>
      <c r="S58094" s="178"/>
    </row>
    <row r="58095" spans="18:19">
      <c r="R58095" s="178"/>
      <c r="S58095" s="178"/>
    </row>
    <row r="58096" spans="18:19">
      <c r="R58096" s="178"/>
      <c r="S58096" s="178"/>
    </row>
    <row r="58097" spans="18:19">
      <c r="R58097" s="178"/>
      <c r="S58097" s="178"/>
    </row>
    <row r="58098" spans="18:19">
      <c r="R58098" s="178"/>
      <c r="S58098" s="178"/>
    </row>
    <row r="58099" spans="18:19">
      <c r="R58099" s="178"/>
      <c r="S58099" s="178"/>
    </row>
    <row r="58100" spans="18:19">
      <c r="R58100" s="178"/>
      <c r="S58100" s="178"/>
    </row>
    <row r="58101" spans="18:19">
      <c r="R58101" s="178"/>
      <c r="S58101" s="178"/>
    </row>
    <row r="58102" spans="18:19">
      <c r="R58102" s="178"/>
      <c r="S58102" s="178"/>
    </row>
    <row r="58103" spans="18:19">
      <c r="R58103" s="178"/>
      <c r="S58103" s="178"/>
    </row>
    <row r="58104" spans="18:19">
      <c r="R58104" s="178"/>
      <c r="S58104" s="178"/>
    </row>
    <row r="58105" spans="18:19">
      <c r="R58105" s="178"/>
      <c r="S58105" s="178"/>
    </row>
    <row r="58106" spans="18:19">
      <c r="R58106" s="178"/>
      <c r="S58106" s="178"/>
    </row>
    <row r="58107" spans="18:19">
      <c r="R58107" s="178"/>
      <c r="S58107" s="178"/>
    </row>
    <row r="58108" spans="18:19">
      <c r="R58108" s="178"/>
      <c r="S58108" s="178"/>
    </row>
    <row r="58109" spans="18:19">
      <c r="R58109" s="178"/>
      <c r="S58109" s="178"/>
    </row>
    <row r="58110" spans="18:19">
      <c r="R58110" s="178"/>
      <c r="S58110" s="178"/>
    </row>
    <row r="58111" spans="18:19">
      <c r="R58111" s="178"/>
      <c r="S58111" s="178"/>
    </row>
    <row r="58112" spans="18:19">
      <c r="R58112" s="178"/>
      <c r="S58112" s="178"/>
    </row>
    <row r="58113" spans="18:19">
      <c r="R58113" s="178"/>
      <c r="S58113" s="178"/>
    </row>
    <row r="58114" spans="18:19">
      <c r="R58114" s="178"/>
      <c r="S58114" s="178"/>
    </row>
    <row r="58115" spans="18:19">
      <c r="R58115" s="178"/>
      <c r="S58115" s="178"/>
    </row>
    <row r="58116" spans="18:19">
      <c r="R58116" s="178"/>
      <c r="S58116" s="178"/>
    </row>
    <row r="58117" spans="18:19">
      <c r="R58117" s="178"/>
      <c r="S58117" s="178"/>
    </row>
    <row r="58118" spans="18:19">
      <c r="R58118" s="178"/>
      <c r="S58118" s="178"/>
    </row>
    <row r="58119" spans="18:19">
      <c r="R58119" s="178"/>
      <c r="S58119" s="178"/>
    </row>
    <row r="58120" spans="18:19">
      <c r="R58120" s="178"/>
      <c r="S58120" s="178"/>
    </row>
    <row r="58121" spans="18:19">
      <c r="R58121" s="178"/>
      <c r="S58121" s="178"/>
    </row>
    <row r="58122" spans="18:19">
      <c r="R58122" s="178"/>
      <c r="S58122" s="178"/>
    </row>
    <row r="58123" spans="18:19">
      <c r="R58123" s="178"/>
      <c r="S58123" s="178"/>
    </row>
    <row r="58124" spans="18:19">
      <c r="R58124" s="178"/>
      <c r="S58124" s="178"/>
    </row>
    <row r="58125" spans="18:19">
      <c r="R58125" s="178"/>
      <c r="S58125" s="178"/>
    </row>
    <row r="58126" spans="18:19">
      <c r="R58126" s="178"/>
      <c r="S58126" s="178"/>
    </row>
    <row r="58127" spans="18:19">
      <c r="R58127" s="178"/>
      <c r="S58127" s="178"/>
    </row>
    <row r="58128" spans="18:19">
      <c r="R58128" s="178"/>
      <c r="S58128" s="178"/>
    </row>
    <row r="58129" spans="18:19">
      <c r="R58129" s="178"/>
      <c r="S58129" s="178"/>
    </row>
    <row r="58130" spans="18:19">
      <c r="R58130" s="178"/>
      <c r="S58130" s="178"/>
    </row>
    <row r="58131" spans="18:19">
      <c r="R58131" s="178"/>
      <c r="S58131" s="178"/>
    </row>
    <row r="58132" spans="18:19">
      <c r="R58132" s="178"/>
      <c r="S58132" s="178"/>
    </row>
    <row r="58133" spans="18:19">
      <c r="R58133" s="178"/>
      <c r="S58133" s="178"/>
    </row>
    <row r="58134" spans="18:19">
      <c r="R58134" s="178"/>
      <c r="S58134" s="178"/>
    </row>
    <row r="58135" spans="18:19">
      <c r="R58135" s="178"/>
      <c r="S58135" s="178"/>
    </row>
    <row r="58136" spans="18:19">
      <c r="R58136" s="178"/>
      <c r="S58136" s="178"/>
    </row>
    <row r="58137" spans="18:19">
      <c r="R58137" s="178"/>
      <c r="S58137" s="178"/>
    </row>
    <row r="58138" spans="18:19">
      <c r="R58138" s="178"/>
      <c r="S58138" s="178"/>
    </row>
    <row r="58139" spans="18:19">
      <c r="R58139" s="178"/>
      <c r="S58139" s="178"/>
    </row>
    <row r="58140" spans="18:19">
      <c r="R58140" s="178"/>
      <c r="S58140" s="178"/>
    </row>
    <row r="58141" spans="18:19">
      <c r="R58141" s="178"/>
      <c r="S58141" s="178"/>
    </row>
    <row r="58142" spans="18:19">
      <c r="R58142" s="178"/>
      <c r="S58142" s="178"/>
    </row>
    <row r="58143" spans="18:19">
      <c r="R58143" s="178"/>
      <c r="S58143" s="178"/>
    </row>
    <row r="58144" spans="18:19">
      <c r="R58144" s="178"/>
      <c r="S58144" s="178"/>
    </row>
    <row r="58145" spans="18:19">
      <c r="R58145" s="178"/>
      <c r="S58145" s="178"/>
    </row>
    <row r="58146" spans="18:19">
      <c r="R58146" s="178"/>
      <c r="S58146" s="178"/>
    </row>
    <row r="58147" spans="18:19">
      <c r="R58147" s="178"/>
      <c r="S58147" s="178"/>
    </row>
    <row r="58148" spans="18:19">
      <c r="R58148" s="178"/>
      <c r="S58148" s="178"/>
    </row>
    <row r="58149" spans="18:19">
      <c r="R58149" s="178"/>
      <c r="S58149" s="178"/>
    </row>
    <row r="58150" spans="18:19">
      <c r="R58150" s="178"/>
      <c r="S58150" s="178"/>
    </row>
    <row r="58151" spans="18:19">
      <c r="R58151" s="178"/>
      <c r="S58151" s="178"/>
    </row>
    <row r="58152" spans="18:19">
      <c r="R58152" s="178"/>
      <c r="S58152" s="178"/>
    </row>
    <row r="58153" spans="18:19">
      <c r="R58153" s="178"/>
      <c r="S58153" s="178"/>
    </row>
    <row r="58154" spans="18:19">
      <c r="R58154" s="178"/>
      <c r="S58154" s="178"/>
    </row>
    <row r="58155" spans="18:19">
      <c r="R58155" s="178"/>
      <c r="S58155" s="178"/>
    </row>
    <row r="58156" spans="18:19">
      <c r="R58156" s="178"/>
      <c r="S58156" s="178"/>
    </row>
    <row r="58157" spans="18:19">
      <c r="R58157" s="178"/>
      <c r="S58157" s="178"/>
    </row>
    <row r="58158" spans="18:19">
      <c r="R58158" s="178"/>
      <c r="S58158" s="178"/>
    </row>
    <row r="58159" spans="18:19">
      <c r="R58159" s="178"/>
      <c r="S58159" s="178"/>
    </row>
    <row r="58160" spans="18:19">
      <c r="R58160" s="178"/>
      <c r="S58160" s="178"/>
    </row>
    <row r="58161" spans="18:19">
      <c r="R58161" s="178"/>
      <c r="S58161" s="178"/>
    </row>
    <row r="58162" spans="18:19">
      <c r="R58162" s="178"/>
      <c r="S58162" s="178"/>
    </row>
    <row r="58163" spans="18:19">
      <c r="R58163" s="178"/>
      <c r="S58163" s="178"/>
    </row>
    <row r="58164" spans="18:19">
      <c r="R58164" s="178"/>
      <c r="S58164" s="178"/>
    </row>
    <row r="58165" spans="18:19">
      <c r="R58165" s="178"/>
      <c r="S58165" s="178"/>
    </row>
    <row r="58166" spans="18:19">
      <c r="R58166" s="178"/>
      <c r="S58166" s="178"/>
    </row>
    <row r="58167" spans="18:19">
      <c r="R58167" s="178"/>
      <c r="S58167" s="178"/>
    </row>
    <row r="58168" spans="18:19">
      <c r="R58168" s="178"/>
      <c r="S58168" s="178"/>
    </row>
    <row r="58169" spans="18:19">
      <c r="R58169" s="178"/>
      <c r="S58169" s="178"/>
    </row>
    <row r="58170" spans="18:19">
      <c r="R58170" s="178"/>
      <c r="S58170" s="178"/>
    </row>
    <row r="58171" spans="18:19">
      <c r="R58171" s="178"/>
      <c r="S58171" s="178"/>
    </row>
    <row r="58172" spans="18:19">
      <c r="R58172" s="178"/>
      <c r="S58172" s="178"/>
    </row>
    <row r="58173" spans="18:19">
      <c r="R58173" s="178"/>
      <c r="S58173" s="178"/>
    </row>
    <row r="58174" spans="18:19">
      <c r="R58174" s="178"/>
      <c r="S58174" s="178"/>
    </row>
    <row r="58175" spans="18:19">
      <c r="R58175" s="178"/>
      <c r="S58175" s="178"/>
    </row>
    <row r="58176" spans="18:19">
      <c r="R58176" s="178"/>
      <c r="S58176" s="178"/>
    </row>
    <row r="58177" spans="18:19">
      <c r="R58177" s="178"/>
      <c r="S58177" s="178"/>
    </row>
    <row r="58178" spans="18:19">
      <c r="R58178" s="178"/>
      <c r="S58178" s="178"/>
    </row>
    <row r="58179" spans="18:19">
      <c r="R58179" s="178"/>
      <c r="S58179" s="178"/>
    </row>
    <row r="58180" spans="18:19">
      <c r="R58180" s="178"/>
      <c r="S58180" s="178"/>
    </row>
    <row r="58181" spans="18:19">
      <c r="R58181" s="178"/>
      <c r="S58181" s="178"/>
    </row>
    <row r="58182" spans="18:19">
      <c r="R58182" s="178"/>
      <c r="S58182" s="178"/>
    </row>
    <row r="58183" spans="18:19">
      <c r="R58183" s="178"/>
      <c r="S58183" s="178"/>
    </row>
    <row r="58184" spans="18:19">
      <c r="R58184" s="178"/>
      <c r="S58184" s="178"/>
    </row>
    <row r="58185" spans="18:19">
      <c r="R58185" s="178"/>
      <c r="S58185" s="178"/>
    </row>
    <row r="58186" spans="18:19">
      <c r="R58186" s="178"/>
      <c r="S58186" s="178"/>
    </row>
    <row r="58187" spans="18:19">
      <c r="R58187" s="178"/>
      <c r="S58187" s="178"/>
    </row>
    <row r="58188" spans="18:19">
      <c r="R58188" s="178"/>
      <c r="S58188" s="178"/>
    </row>
    <row r="58189" spans="18:19">
      <c r="R58189" s="178"/>
      <c r="S58189" s="178"/>
    </row>
    <row r="58190" spans="18:19">
      <c r="R58190" s="178"/>
      <c r="S58190" s="178"/>
    </row>
    <row r="58191" spans="18:19">
      <c r="R58191" s="178"/>
      <c r="S58191" s="178"/>
    </row>
    <row r="58192" spans="18:19">
      <c r="R58192" s="178"/>
      <c r="S58192" s="178"/>
    </row>
    <row r="58193" spans="18:19">
      <c r="R58193" s="178"/>
      <c r="S58193" s="178"/>
    </row>
    <row r="58194" spans="18:19">
      <c r="R58194" s="178"/>
      <c r="S58194" s="178"/>
    </row>
    <row r="58195" spans="18:19">
      <c r="R58195" s="178"/>
      <c r="S58195" s="178"/>
    </row>
    <row r="58196" spans="18:19">
      <c r="R58196" s="178"/>
      <c r="S58196" s="178"/>
    </row>
    <row r="58197" spans="18:19">
      <c r="R58197" s="178"/>
      <c r="S58197" s="178"/>
    </row>
    <row r="58198" spans="18:19">
      <c r="R58198" s="178"/>
      <c r="S58198" s="178"/>
    </row>
    <row r="58199" spans="18:19">
      <c r="R58199" s="178"/>
      <c r="S58199" s="178"/>
    </row>
    <row r="58200" spans="18:19">
      <c r="R58200" s="178"/>
      <c r="S58200" s="178"/>
    </row>
    <row r="58201" spans="18:19">
      <c r="R58201" s="178"/>
      <c r="S58201" s="178"/>
    </row>
    <row r="58202" spans="18:19">
      <c r="R58202" s="178"/>
      <c r="S58202" s="178"/>
    </row>
    <row r="58203" spans="18:19">
      <c r="R58203" s="178"/>
      <c r="S58203" s="178"/>
    </row>
    <row r="58204" spans="18:19">
      <c r="R58204" s="178"/>
      <c r="S58204" s="178"/>
    </row>
    <row r="58205" spans="18:19">
      <c r="R58205" s="178"/>
      <c r="S58205" s="178"/>
    </row>
    <row r="58206" spans="18:19">
      <c r="R58206" s="178"/>
      <c r="S58206" s="178"/>
    </row>
    <row r="58207" spans="18:19">
      <c r="R58207" s="178"/>
      <c r="S58207" s="178"/>
    </row>
    <row r="58208" spans="18:19">
      <c r="R58208" s="178"/>
      <c r="S58208" s="178"/>
    </row>
    <row r="58209" spans="18:19">
      <c r="R58209" s="178"/>
      <c r="S58209" s="178"/>
    </row>
    <row r="58210" spans="18:19">
      <c r="R58210" s="178"/>
      <c r="S58210" s="178"/>
    </row>
    <row r="58211" spans="18:19">
      <c r="R58211" s="178"/>
      <c r="S58211" s="178"/>
    </row>
    <row r="58212" spans="18:19">
      <c r="R58212" s="178"/>
      <c r="S58212" s="178"/>
    </row>
    <row r="58213" spans="18:19">
      <c r="R58213" s="178"/>
      <c r="S58213" s="178"/>
    </row>
    <row r="58214" spans="18:19">
      <c r="R58214" s="178"/>
      <c r="S58214" s="178"/>
    </row>
    <row r="58215" spans="18:19">
      <c r="R58215" s="178"/>
      <c r="S58215" s="178"/>
    </row>
    <row r="58216" spans="18:19">
      <c r="R58216" s="178"/>
      <c r="S58216" s="178"/>
    </row>
    <row r="58217" spans="18:19">
      <c r="R58217" s="178"/>
      <c r="S58217" s="178"/>
    </row>
    <row r="58218" spans="18:19">
      <c r="R58218" s="178"/>
      <c r="S58218" s="178"/>
    </row>
    <row r="58219" spans="18:19">
      <c r="R58219" s="178"/>
      <c r="S58219" s="178"/>
    </row>
    <row r="58220" spans="18:19">
      <c r="R58220" s="178"/>
      <c r="S58220" s="178"/>
    </row>
    <row r="58221" spans="18:19">
      <c r="R58221" s="178"/>
      <c r="S58221" s="178"/>
    </row>
    <row r="58222" spans="18:19">
      <c r="R58222" s="178"/>
      <c r="S58222" s="178"/>
    </row>
    <row r="58223" spans="18:19">
      <c r="R58223" s="178"/>
      <c r="S58223" s="178"/>
    </row>
    <row r="58224" spans="18:19">
      <c r="R58224" s="178"/>
      <c r="S58224" s="178"/>
    </row>
    <row r="58225" spans="18:19">
      <c r="R58225" s="178"/>
      <c r="S58225" s="178"/>
    </row>
    <row r="58226" spans="18:19">
      <c r="R58226" s="178"/>
      <c r="S58226" s="178"/>
    </row>
    <row r="58227" spans="18:19">
      <c r="R58227" s="178"/>
      <c r="S58227" s="178"/>
    </row>
    <row r="58228" spans="18:19">
      <c r="R58228" s="178"/>
      <c r="S58228" s="178"/>
    </row>
    <row r="58229" spans="18:19">
      <c r="R58229" s="178"/>
      <c r="S58229" s="178"/>
    </row>
    <row r="58230" spans="18:19">
      <c r="R58230" s="178"/>
      <c r="S58230" s="178"/>
    </row>
    <row r="58231" spans="18:19">
      <c r="R58231" s="178"/>
      <c r="S58231" s="178"/>
    </row>
    <row r="58232" spans="18:19">
      <c r="R58232" s="178"/>
      <c r="S58232" s="178"/>
    </row>
    <row r="58233" spans="18:19">
      <c r="R58233" s="178"/>
      <c r="S58233" s="178"/>
    </row>
    <row r="58234" spans="18:19">
      <c r="R58234" s="178"/>
      <c r="S58234" s="178"/>
    </row>
    <row r="58235" spans="18:19">
      <c r="R58235" s="178"/>
      <c r="S58235" s="178"/>
    </row>
    <row r="58236" spans="18:19">
      <c r="R58236" s="178"/>
      <c r="S58236" s="178"/>
    </row>
    <row r="58237" spans="18:19">
      <c r="R58237" s="178"/>
      <c r="S58237" s="178"/>
    </row>
    <row r="58238" spans="18:19">
      <c r="R58238" s="178"/>
      <c r="S58238" s="178"/>
    </row>
    <row r="58239" spans="18:19">
      <c r="R58239" s="178"/>
      <c r="S58239" s="178"/>
    </row>
    <row r="58240" spans="18:19">
      <c r="R58240" s="178"/>
      <c r="S58240" s="178"/>
    </row>
    <row r="58241" spans="18:19">
      <c r="R58241" s="178"/>
      <c r="S58241" s="178"/>
    </row>
    <row r="58242" spans="18:19">
      <c r="R58242" s="178"/>
      <c r="S58242" s="178"/>
    </row>
    <row r="58243" spans="18:19">
      <c r="R58243" s="178"/>
      <c r="S58243" s="178"/>
    </row>
    <row r="58244" spans="18:19">
      <c r="R58244" s="178"/>
      <c r="S58244" s="178"/>
    </row>
    <row r="58245" spans="18:19">
      <c r="R58245" s="178"/>
      <c r="S58245" s="178"/>
    </row>
    <row r="58246" spans="18:19">
      <c r="R58246" s="178"/>
      <c r="S58246" s="178"/>
    </row>
    <row r="58247" spans="18:19">
      <c r="R58247" s="178"/>
      <c r="S58247" s="178"/>
    </row>
    <row r="58248" spans="18:19">
      <c r="R58248" s="178"/>
      <c r="S58248" s="178"/>
    </row>
    <row r="58249" spans="18:19">
      <c r="R58249" s="178"/>
      <c r="S58249" s="178"/>
    </row>
    <row r="58250" spans="18:19">
      <c r="R58250" s="178"/>
      <c r="S58250" s="178"/>
    </row>
    <row r="58251" spans="18:19">
      <c r="R58251" s="178"/>
      <c r="S58251" s="178"/>
    </row>
    <row r="58252" spans="18:19">
      <c r="R58252" s="178"/>
      <c r="S58252" s="178"/>
    </row>
    <row r="58253" spans="18:19">
      <c r="R58253" s="178"/>
      <c r="S58253" s="178"/>
    </row>
    <row r="58254" spans="18:19">
      <c r="R58254" s="178"/>
      <c r="S58254" s="178"/>
    </row>
    <row r="58255" spans="18:19">
      <c r="R58255" s="178"/>
      <c r="S58255" s="178"/>
    </row>
    <row r="58256" spans="18:19">
      <c r="R58256" s="178"/>
      <c r="S58256" s="178"/>
    </row>
    <row r="58257" spans="18:19">
      <c r="R58257" s="178"/>
      <c r="S58257" s="178"/>
    </row>
    <row r="58258" spans="18:19">
      <c r="R58258" s="178"/>
      <c r="S58258" s="178"/>
    </row>
    <row r="58259" spans="18:19">
      <c r="R58259" s="178"/>
      <c r="S58259" s="178"/>
    </row>
    <row r="58260" spans="18:19">
      <c r="R58260" s="178"/>
      <c r="S58260" s="178"/>
    </row>
    <row r="58261" spans="18:19">
      <c r="R58261" s="178"/>
      <c r="S58261" s="178"/>
    </row>
    <row r="58262" spans="18:19">
      <c r="R58262" s="178"/>
      <c r="S58262" s="178"/>
    </row>
    <row r="58263" spans="18:19">
      <c r="R58263" s="178"/>
      <c r="S58263" s="178"/>
    </row>
    <row r="58264" spans="18:19">
      <c r="R58264" s="178"/>
      <c r="S58264" s="178"/>
    </row>
    <row r="58265" spans="18:19">
      <c r="R58265" s="178"/>
      <c r="S58265" s="178"/>
    </row>
    <row r="58266" spans="18:19">
      <c r="R58266" s="178"/>
      <c r="S58266" s="178"/>
    </row>
    <row r="58267" spans="18:19">
      <c r="R58267" s="178"/>
      <c r="S58267" s="178"/>
    </row>
    <row r="58268" spans="18:19">
      <c r="R58268" s="178"/>
      <c r="S58268" s="178"/>
    </row>
    <row r="58269" spans="18:19">
      <c r="R58269" s="178"/>
      <c r="S58269" s="178"/>
    </row>
    <row r="58270" spans="18:19">
      <c r="R58270" s="178"/>
      <c r="S58270" s="178"/>
    </row>
    <row r="58271" spans="18:19">
      <c r="R58271" s="178"/>
      <c r="S58271" s="178"/>
    </row>
    <row r="58272" spans="18:19">
      <c r="R58272" s="178"/>
      <c r="S58272" s="178"/>
    </row>
    <row r="58273" spans="18:19">
      <c r="R58273" s="178"/>
      <c r="S58273" s="178"/>
    </row>
    <row r="58274" spans="18:19">
      <c r="R58274" s="178"/>
      <c r="S58274" s="178"/>
    </row>
    <row r="58275" spans="18:19">
      <c r="R58275" s="178"/>
      <c r="S58275" s="178"/>
    </row>
    <row r="58276" spans="18:19">
      <c r="R58276" s="178"/>
      <c r="S58276" s="178"/>
    </row>
    <row r="58277" spans="18:19">
      <c r="R58277" s="178"/>
      <c r="S58277" s="178"/>
    </row>
    <row r="58278" spans="18:19">
      <c r="R58278" s="178"/>
      <c r="S58278" s="178"/>
    </row>
    <row r="58279" spans="18:19">
      <c r="R58279" s="178"/>
      <c r="S58279" s="178"/>
    </row>
    <row r="58280" spans="18:19">
      <c r="R58280" s="178"/>
      <c r="S58280" s="178"/>
    </row>
    <row r="58281" spans="18:19">
      <c r="R58281" s="178"/>
      <c r="S58281" s="178"/>
    </row>
    <row r="58282" spans="18:19">
      <c r="R58282" s="178"/>
      <c r="S58282" s="178"/>
    </row>
    <row r="58283" spans="18:19">
      <c r="R58283" s="178"/>
      <c r="S58283" s="178"/>
    </row>
    <row r="58284" spans="18:19">
      <c r="R58284" s="178"/>
      <c r="S58284" s="178"/>
    </row>
    <row r="58285" spans="18:19">
      <c r="R58285" s="178"/>
      <c r="S58285" s="178"/>
    </row>
    <row r="58286" spans="18:19">
      <c r="R58286" s="178"/>
      <c r="S58286" s="178"/>
    </row>
    <row r="58287" spans="18:19">
      <c r="R58287" s="178"/>
      <c r="S58287" s="178"/>
    </row>
    <row r="58288" spans="18:19">
      <c r="R58288" s="178"/>
      <c r="S58288" s="178"/>
    </row>
    <row r="58289" spans="18:19">
      <c r="R58289" s="178"/>
      <c r="S58289" s="178"/>
    </row>
    <row r="58290" spans="18:19">
      <c r="R58290" s="178"/>
      <c r="S58290" s="178"/>
    </row>
    <row r="58291" spans="18:19">
      <c r="R58291" s="178"/>
      <c r="S58291" s="178"/>
    </row>
    <row r="58292" spans="18:19">
      <c r="R58292" s="178"/>
      <c r="S58292" s="178"/>
    </row>
    <row r="58293" spans="18:19">
      <c r="R58293" s="178"/>
      <c r="S58293" s="178"/>
    </row>
    <row r="58294" spans="18:19">
      <c r="R58294" s="178"/>
      <c r="S58294" s="178"/>
    </row>
    <row r="58295" spans="18:19">
      <c r="R58295" s="178"/>
      <c r="S58295" s="178"/>
    </row>
    <row r="58296" spans="18:19">
      <c r="R58296" s="178"/>
      <c r="S58296" s="178"/>
    </row>
    <row r="58297" spans="18:19">
      <c r="R58297" s="178"/>
      <c r="S58297" s="178"/>
    </row>
    <row r="58298" spans="18:19">
      <c r="R58298" s="178"/>
      <c r="S58298" s="178"/>
    </row>
    <row r="58299" spans="18:19">
      <c r="R58299" s="178"/>
      <c r="S58299" s="178"/>
    </row>
    <row r="58300" spans="18:19">
      <c r="R58300" s="178"/>
      <c r="S58300" s="178"/>
    </row>
    <row r="58301" spans="18:19">
      <c r="R58301" s="178"/>
      <c r="S58301" s="178"/>
    </row>
    <row r="58302" spans="18:19">
      <c r="R58302" s="178"/>
      <c r="S58302" s="178"/>
    </row>
    <row r="58303" spans="18:19">
      <c r="R58303" s="178"/>
      <c r="S58303" s="178"/>
    </row>
    <row r="58304" spans="18:19">
      <c r="R58304" s="178"/>
      <c r="S58304" s="178"/>
    </row>
    <row r="58305" spans="18:19">
      <c r="R58305" s="178"/>
      <c r="S58305" s="178"/>
    </row>
    <row r="58306" spans="18:19">
      <c r="R58306" s="178"/>
      <c r="S58306" s="178"/>
    </row>
    <row r="58307" spans="18:19">
      <c r="R58307" s="178"/>
      <c r="S58307" s="178"/>
    </row>
    <row r="58308" spans="18:19">
      <c r="R58308" s="178"/>
      <c r="S58308" s="178"/>
    </row>
    <row r="58309" spans="18:19">
      <c r="R58309" s="178"/>
      <c r="S58309" s="178"/>
    </row>
    <row r="58310" spans="18:19">
      <c r="R58310" s="178"/>
      <c r="S58310" s="178"/>
    </row>
    <row r="58311" spans="18:19">
      <c r="R58311" s="178"/>
      <c r="S58311" s="178"/>
    </row>
    <row r="58312" spans="18:19">
      <c r="R58312" s="178"/>
      <c r="S58312" s="178"/>
    </row>
    <row r="58313" spans="18:19">
      <c r="R58313" s="178"/>
      <c r="S58313" s="178"/>
    </row>
    <row r="58314" spans="18:19">
      <c r="R58314" s="178"/>
      <c r="S58314" s="178"/>
    </row>
    <row r="58315" spans="18:19">
      <c r="R58315" s="178"/>
      <c r="S58315" s="178"/>
    </row>
    <row r="58316" spans="18:19">
      <c r="R58316" s="178"/>
      <c r="S58316" s="178"/>
    </row>
    <row r="58317" spans="18:19">
      <c r="R58317" s="178"/>
      <c r="S58317" s="178"/>
    </row>
    <row r="58318" spans="18:19">
      <c r="R58318" s="178"/>
      <c r="S58318" s="178"/>
    </row>
    <row r="58319" spans="18:19">
      <c r="R58319" s="178"/>
      <c r="S58319" s="178"/>
    </row>
    <row r="58320" spans="18:19">
      <c r="R58320" s="178"/>
      <c r="S58320" s="178"/>
    </row>
    <row r="58321" spans="18:19">
      <c r="R58321" s="178"/>
      <c r="S58321" s="178"/>
    </row>
    <row r="58322" spans="18:19">
      <c r="R58322" s="178"/>
      <c r="S58322" s="178"/>
    </row>
    <row r="58323" spans="18:19">
      <c r="R58323" s="178"/>
      <c r="S58323" s="178"/>
    </row>
    <row r="58324" spans="18:19">
      <c r="R58324" s="178"/>
      <c r="S58324" s="178"/>
    </row>
    <row r="58325" spans="18:19">
      <c r="R58325" s="178"/>
      <c r="S58325" s="178"/>
    </row>
    <row r="58326" spans="18:19">
      <c r="R58326" s="178"/>
      <c r="S58326" s="178"/>
    </row>
    <row r="58327" spans="18:19">
      <c r="R58327" s="178"/>
      <c r="S58327" s="178"/>
    </row>
    <row r="58328" spans="18:19">
      <c r="R58328" s="178"/>
      <c r="S58328" s="178"/>
    </row>
    <row r="58329" spans="18:19">
      <c r="R58329" s="178"/>
      <c r="S58329" s="178"/>
    </row>
    <row r="58330" spans="18:19">
      <c r="R58330" s="178"/>
      <c r="S58330" s="178"/>
    </row>
    <row r="58331" spans="18:19">
      <c r="R58331" s="178"/>
      <c r="S58331" s="178"/>
    </row>
    <row r="58332" spans="18:19">
      <c r="R58332" s="178"/>
      <c r="S58332" s="178"/>
    </row>
    <row r="58333" spans="18:19">
      <c r="R58333" s="178"/>
      <c r="S58333" s="178"/>
    </row>
    <row r="58334" spans="18:19">
      <c r="R58334" s="178"/>
      <c r="S58334" s="178"/>
    </row>
    <row r="58335" spans="18:19">
      <c r="R58335" s="178"/>
      <c r="S58335" s="178"/>
    </row>
    <row r="58336" spans="18:19">
      <c r="R58336" s="178"/>
      <c r="S58336" s="178"/>
    </row>
    <row r="58337" spans="18:19">
      <c r="R58337" s="178"/>
      <c r="S58337" s="178"/>
    </row>
    <row r="58338" spans="18:19">
      <c r="R58338" s="178"/>
      <c r="S58338" s="178"/>
    </row>
    <row r="58339" spans="18:19">
      <c r="R58339" s="178"/>
      <c r="S58339" s="178"/>
    </row>
    <row r="58340" spans="18:19">
      <c r="R58340" s="178"/>
      <c r="S58340" s="178"/>
    </row>
    <row r="58341" spans="18:19">
      <c r="R58341" s="178"/>
      <c r="S58341" s="178"/>
    </row>
    <row r="58342" spans="18:19">
      <c r="R58342" s="178"/>
      <c r="S58342" s="178"/>
    </row>
    <row r="58343" spans="18:19">
      <c r="R58343" s="178"/>
      <c r="S58343" s="178"/>
    </row>
    <row r="58344" spans="18:19">
      <c r="R58344" s="178"/>
      <c r="S58344" s="178"/>
    </row>
    <row r="58345" spans="18:19">
      <c r="R58345" s="178"/>
      <c r="S58345" s="178"/>
    </row>
    <row r="58346" spans="18:19">
      <c r="R58346" s="178"/>
      <c r="S58346" s="178"/>
    </row>
    <row r="58347" spans="18:19">
      <c r="R58347" s="178"/>
      <c r="S58347" s="178"/>
    </row>
    <row r="58348" spans="18:19">
      <c r="R58348" s="178"/>
      <c r="S58348" s="178"/>
    </row>
    <row r="58349" spans="18:19">
      <c r="R58349" s="178"/>
      <c r="S58349" s="178"/>
    </row>
    <row r="58350" spans="18:19">
      <c r="R58350" s="178"/>
      <c r="S58350" s="178"/>
    </row>
    <row r="58351" spans="18:19">
      <c r="R58351" s="178"/>
      <c r="S58351" s="178"/>
    </row>
    <row r="58352" spans="18:19">
      <c r="R58352" s="178"/>
      <c r="S58352" s="178"/>
    </row>
    <row r="58353" spans="18:19">
      <c r="R58353" s="178"/>
      <c r="S58353" s="178"/>
    </row>
    <row r="58354" spans="18:19">
      <c r="R58354" s="178"/>
      <c r="S58354" s="178"/>
    </row>
    <row r="58355" spans="18:19">
      <c r="R58355" s="178"/>
      <c r="S58355" s="178"/>
    </row>
    <row r="58356" spans="18:19">
      <c r="R58356" s="178"/>
      <c r="S58356" s="178"/>
    </row>
    <row r="58357" spans="18:19">
      <c r="R58357" s="178"/>
      <c r="S58357" s="178"/>
    </row>
    <row r="58358" spans="18:19">
      <c r="R58358" s="178"/>
      <c r="S58358" s="178"/>
    </row>
    <row r="58359" spans="18:19">
      <c r="R58359" s="178"/>
      <c r="S58359" s="178"/>
    </row>
    <row r="58360" spans="18:19">
      <c r="R58360" s="178"/>
      <c r="S58360" s="178"/>
    </row>
    <row r="58361" spans="18:19">
      <c r="R58361" s="178"/>
      <c r="S58361" s="178"/>
    </row>
    <row r="58362" spans="18:19">
      <c r="R58362" s="178"/>
      <c r="S58362" s="178"/>
    </row>
    <row r="58363" spans="18:19">
      <c r="R58363" s="178"/>
      <c r="S58363" s="178"/>
    </row>
    <row r="58364" spans="18:19">
      <c r="R58364" s="178"/>
      <c r="S58364" s="178"/>
    </row>
    <row r="58365" spans="18:19">
      <c r="R58365" s="178"/>
      <c r="S58365" s="178"/>
    </row>
    <row r="58366" spans="18:19">
      <c r="R58366" s="178"/>
      <c r="S58366" s="178"/>
    </row>
    <row r="58367" spans="18:19">
      <c r="R58367" s="178"/>
      <c r="S58367" s="178"/>
    </row>
    <row r="58368" spans="18:19">
      <c r="R58368" s="178"/>
      <c r="S58368" s="178"/>
    </row>
    <row r="58369" spans="18:19">
      <c r="R58369" s="178"/>
      <c r="S58369" s="178"/>
    </row>
    <row r="58370" spans="18:19">
      <c r="R58370" s="178"/>
      <c r="S58370" s="178"/>
    </row>
    <row r="58371" spans="18:19">
      <c r="R58371" s="178"/>
      <c r="S58371" s="178"/>
    </row>
    <row r="58372" spans="18:19">
      <c r="R58372" s="178"/>
      <c r="S58372" s="178"/>
    </row>
    <row r="58373" spans="18:19">
      <c r="R58373" s="178"/>
      <c r="S58373" s="178"/>
    </row>
    <row r="58374" spans="18:19">
      <c r="R58374" s="178"/>
      <c r="S58374" s="178"/>
    </row>
    <row r="58375" spans="18:19">
      <c r="R58375" s="178"/>
      <c r="S58375" s="178"/>
    </row>
    <row r="58376" spans="18:19">
      <c r="R58376" s="178"/>
      <c r="S58376" s="178"/>
    </row>
    <row r="58377" spans="18:19">
      <c r="R58377" s="178"/>
      <c r="S58377" s="178"/>
    </row>
    <row r="58378" spans="18:19">
      <c r="R58378" s="178"/>
      <c r="S58378" s="178"/>
    </row>
    <row r="58379" spans="18:19">
      <c r="R58379" s="178"/>
      <c r="S58379" s="178"/>
    </row>
    <row r="58380" spans="18:19">
      <c r="R58380" s="178"/>
      <c r="S58380" s="178"/>
    </row>
    <row r="58381" spans="18:19">
      <c r="R58381" s="178"/>
      <c r="S58381" s="178"/>
    </row>
    <row r="58382" spans="18:19">
      <c r="R58382" s="178"/>
      <c r="S58382" s="178"/>
    </row>
    <row r="58383" spans="18:19">
      <c r="R58383" s="178"/>
      <c r="S58383" s="178"/>
    </row>
    <row r="58384" spans="18:19">
      <c r="R58384" s="178"/>
      <c r="S58384" s="178"/>
    </row>
    <row r="58385" spans="18:19">
      <c r="R58385" s="178"/>
      <c r="S58385" s="178"/>
    </row>
    <row r="58386" spans="18:19">
      <c r="R58386" s="178"/>
      <c r="S58386" s="178"/>
    </row>
    <row r="58387" spans="18:19">
      <c r="R58387" s="178"/>
      <c r="S58387" s="178"/>
    </row>
    <row r="58388" spans="18:19">
      <c r="R58388" s="178"/>
      <c r="S58388" s="178"/>
    </row>
    <row r="58389" spans="18:19">
      <c r="R58389" s="178"/>
      <c r="S58389" s="178"/>
    </row>
    <row r="58390" spans="18:19">
      <c r="R58390" s="178"/>
      <c r="S58390" s="178"/>
    </row>
    <row r="58391" spans="18:19">
      <c r="R58391" s="178"/>
      <c r="S58391" s="178"/>
    </row>
    <row r="58392" spans="18:19">
      <c r="R58392" s="178"/>
      <c r="S58392" s="178"/>
    </row>
    <row r="58393" spans="18:19">
      <c r="R58393" s="178"/>
      <c r="S58393" s="178"/>
    </row>
    <row r="58394" spans="18:19">
      <c r="R58394" s="178"/>
      <c r="S58394" s="178"/>
    </row>
    <row r="58395" spans="18:19">
      <c r="R58395" s="178"/>
      <c r="S58395" s="178"/>
    </row>
    <row r="58396" spans="18:19">
      <c r="R58396" s="178"/>
      <c r="S58396" s="178"/>
    </row>
    <row r="58397" spans="18:19">
      <c r="R58397" s="178"/>
      <c r="S58397" s="178"/>
    </row>
    <row r="58398" spans="18:19">
      <c r="R58398" s="178"/>
      <c r="S58398" s="178"/>
    </row>
    <row r="58399" spans="18:19">
      <c r="R58399" s="178"/>
      <c r="S58399" s="178"/>
    </row>
    <row r="58400" spans="18:19">
      <c r="R58400" s="178"/>
      <c r="S58400" s="178"/>
    </row>
    <row r="58401" spans="18:19">
      <c r="R58401" s="178"/>
      <c r="S58401" s="178"/>
    </row>
    <row r="58402" spans="18:19">
      <c r="R58402" s="178"/>
      <c r="S58402" s="178"/>
    </row>
    <row r="58403" spans="18:19">
      <c r="R58403" s="178"/>
      <c r="S58403" s="178"/>
    </row>
    <row r="58404" spans="18:19">
      <c r="R58404" s="178"/>
      <c r="S58404" s="178"/>
    </row>
    <row r="58405" spans="18:19">
      <c r="R58405" s="178"/>
      <c r="S58405" s="178"/>
    </row>
    <row r="58406" spans="18:19">
      <c r="R58406" s="178"/>
      <c r="S58406" s="178"/>
    </row>
    <row r="58407" spans="18:19">
      <c r="R58407" s="178"/>
      <c r="S58407" s="178"/>
    </row>
    <row r="58408" spans="18:19">
      <c r="R58408" s="178"/>
      <c r="S58408" s="178"/>
    </row>
    <row r="58409" spans="18:19">
      <c r="R58409" s="178"/>
      <c r="S58409" s="178"/>
    </row>
    <row r="58410" spans="18:19">
      <c r="R58410" s="178"/>
      <c r="S58410" s="178"/>
    </row>
    <row r="58411" spans="18:19">
      <c r="R58411" s="178"/>
      <c r="S58411" s="178"/>
    </row>
    <row r="58412" spans="18:19">
      <c r="R58412" s="178"/>
      <c r="S58412" s="178"/>
    </row>
    <row r="58413" spans="18:19">
      <c r="R58413" s="178"/>
      <c r="S58413" s="178"/>
    </row>
    <row r="58414" spans="18:19">
      <c r="R58414" s="178"/>
      <c r="S58414" s="178"/>
    </row>
    <row r="58415" spans="18:19">
      <c r="R58415" s="178"/>
      <c r="S58415" s="178"/>
    </row>
    <row r="58416" spans="18:19">
      <c r="R58416" s="178"/>
      <c r="S58416" s="178"/>
    </row>
    <row r="58417" spans="18:19">
      <c r="R58417" s="178"/>
      <c r="S58417" s="178"/>
    </row>
    <row r="58418" spans="18:19">
      <c r="R58418" s="178"/>
      <c r="S58418" s="178"/>
    </row>
    <row r="58419" spans="18:19">
      <c r="R58419" s="178"/>
      <c r="S58419" s="178"/>
    </row>
    <row r="58420" spans="18:19">
      <c r="R58420" s="178"/>
      <c r="S58420" s="178"/>
    </row>
    <row r="58421" spans="18:19">
      <c r="R58421" s="178"/>
      <c r="S58421" s="178"/>
    </row>
    <row r="58422" spans="18:19">
      <c r="R58422" s="178"/>
      <c r="S58422" s="178"/>
    </row>
    <row r="58423" spans="18:19">
      <c r="R58423" s="178"/>
      <c r="S58423" s="178"/>
    </row>
    <row r="58424" spans="18:19">
      <c r="R58424" s="178"/>
      <c r="S58424" s="178"/>
    </row>
    <row r="58425" spans="18:19">
      <c r="R58425" s="178"/>
      <c r="S58425" s="178"/>
    </row>
    <row r="58426" spans="18:19">
      <c r="R58426" s="178"/>
      <c r="S58426" s="178"/>
    </row>
    <row r="58427" spans="18:19">
      <c r="R58427" s="178"/>
      <c r="S58427" s="178"/>
    </row>
    <row r="58428" spans="18:19">
      <c r="R58428" s="178"/>
      <c r="S58428" s="178"/>
    </row>
    <row r="58429" spans="18:19">
      <c r="R58429" s="178"/>
      <c r="S58429" s="178"/>
    </row>
    <row r="58430" spans="18:19">
      <c r="R58430" s="178"/>
      <c r="S58430" s="178"/>
    </row>
    <row r="58431" spans="18:19">
      <c r="R58431" s="178"/>
      <c r="S58431" s="178"/>
    </row>
    <row r="58432" spans="18:19">
      <c r="R58432" s="178"/>
      <c r="S58432" s="178"/>
    </row>
    <row r="58433" spans="18:19">
      <c r="R58433" s="178"/>
      <c r="S58433" s="178"/>
    </row>
    <row r="58434" spans="18:19">
      <c r="R58434" s="178"/>
      <c r="S58434" s="178"/>
    </row>
    <row r="58435" spans="18:19">
      <c r="R58435" s="178"/>
      <c r="S58435" s="178"/>
    </row>
    <row r="58436" spans="18:19">
      <c r="R58436" s="178"/>
      <c r="S58436" s="178"/>
    </row>
    <row r="58437" spans="18:19">
      <c r="R58437" s="178"/>
      <c r="S58437" s="178"/>
    </row>
    <row r="58438" spans="18:19">
      <c r="R58438" s="178"/>
      <c r="S58438" s="178"/>
    </row>
    <row r="58439" spans="18:19">
      <c r="R58439" s="178"/>
      <c r="S58439" s="178"/>
    </row>
    <row r="58440" spans="18:19">
      <c r="R58440" s="178"/>
      <c r="S58440" s="178"/>
    </row>
    <row r="58441" spans="18:19">
      <c r="R58441" s="178"/>
      <c r="S58441" s="178"/>
    </row>
    <row r="58442" spans="18:19">
      <c r="R58442" s="178"/>
      <c r="S58442" s="178"/>
    </row>
    <row r="58443" spans="18:19">
      <c r="R58443" s="178"/>
      <c r="S58443" s="178"/>
    </row>
    <row r="58444" spans="18:19">
      <c r="R58444" s="178"/>
      <c r="S58444" s="178"/>
    </row>
    <row r="58445" spans="18:19">
      <c r="R58445" s="178"/>
      <c r="S58445" s="178"/>
    </row>
    <row r="58446" spans="18:19">
      <c r="R58446" s="178"/>
      <c r="S58446" s="178"/>
    </row>
    <row r="58447" spans="18:19">
      <c r="R58447" s="178"/>
      <c r="S58447" s="178"/>
    </row>
    <row r="58448" spans="18:19">
      <c r="R58448" s="178"/>
      <c r="S58448" s="178"/>
    </row>
    <row r="58449" spans="18:19">
      <c r="R58449" s="178"/>
      <c r="S58449" s="178"/>
    </row>
    <row r="58450" spans="18:19">
      <c r="R58450" s="178"/>
      <c r="S58450" s="178"/>
    </row>
    <row r="58451" spans="18:19">
      <c r="R58451" s="178"/>
      <c r="S58451" s="178"/>
    </row>
    <row r="58452" spans="18:19">
      <c r="R58452" s="178"/>
      <c r="S58452" s="178"/>
    </row>
    <row r="58453" spans="18:19">
      <c r="R58453" s="178"/>
      <c r="S58453" s="178"/>
    </row>
    <row r="58454" spans="18:19">
      <c r="R58454" s="178"/>
      <c r="S58454" s="178"/>
    </row>
    <row r="58455" spans="18:19">
      <c r="R58455" s="178"/>
      <c r="S58455" s="178"/>
    </row>
    <row r="58456" spans="18:19">
      <c r="R58456" s="178"/>
      <c r="S58456" s="178"/>
    </row>
    <row r="58457" spans="18:19">
      <c r="R58457" s="178"/>
      <c r="S58457" s="178"/>
    </row>
    <row r="58458" spans="18:19">
      <c r="R58458" s="178"/>
      <c r="S58458" s="178"/>
    </row>
    <row r="58459" spans="18:19">
      <c r="R58459" s="178"/>
      <c r="S58459" s="178"/>
    </row>
    <row r="58460" spans="18:19">
      <c r="R58460" s="178"/>
      <c r="S58460" s="178"/>
    </row>
    <row r="58461" spans="18:19">
      <c r="R58461" s="178"/>
      <c r="S58461" s="178"/>
    </row>
    <row r="58462" spans="18:19">
      <c r="R58462" s="178"/>
      <c r="S58462" s="178"/>
    </row>
    <row r="58463" spans="18:19">
      <c r="R58463" s="178"/>
      <c r="S58463" s="178"/>
    </row>
    <row r="58464" spans="18:19">
      <c r="R58464" s="178"/>
      <c r="S58464" s="178"/>
    </row>
    <row r="58465" spans="18:19">
      <c r="R58465" s="178"/>
      <c r="S58465" s="178"/>
    </row>
    <row r="58466" spans="18:19">
      <c r="R58466" s="178"/>
      <c r="S58466" s="178"/>
    </row>
    <row r="58467" spans="18:19">
      <c r="R58467" s="178"/>
      <c r="S58467" s="178"/>
    </row>
    <row r="58468" spans="18:19">
      <c r="R58468" s="178"/>
      <c r="S58468" s="178"/>
    </row>
    <row r="58469" spans="18:19">
      <c r="R58469" s="178"/>
      <c r="S58469" s="178"/>
    </row>
    <row r="58470" spans="18:19">
      <c r="R58470" s="178"/>
      <c r="S58470" s="178"/>
    </row>
    <row r="58471" spans="18:19">
      <c r="R58471" s="178"/>
      <c r="S58471" s="178"/>
    </row>
    <row r="58472" spans="18:19">
      <c r="R58472" s="178"/>
      <c r="S58472" s="178"/>
    </row>
    <row r="58473" spans="18:19">
      <c r="R58473" s="178"/>
      <c r="S58473" s="178"/>
    </row>
    <row r="58474" spans="18:19">
      <c r="R58474" s="178"/>
      <c r="S58474" s="178"/>
    </row>
    <row r="58475" spans="18:19">
      <c r="R58475" s="178"/>
      <c r="S58475" s="178"/>
    </row>
    <row r="58476" spans="18:19">
      <c r="R58476" s="178"/>
      <c r="S58476" s="178"/>
    </row>
    <row r="58477" spans="18:19">
      <c r="R58477" s="178"/>
      <c r="S58477" s="178"/>
    </row>
    <row r="58478" spans="18:19">
      <c r="R58478" s="178"/>
      <c r="S58478" s="178"/>
    </row>
    <row r="58479" spans="18:19">
      <c r="R58479" s="178"/>
      <c r="S58479" s="178"/>
    </row>
    <row r="58480" spans="18:19">
      <c r="R58480" s="178"/>
      <c r="S58480" s="178"/>
    </row>
    <row r="58481" spans="18:19">
      <c r="R58481" s="178"/>
      <c r="S58481" s="178"/>
    </row>
    <row r="58482" spans="18:19">
      <c r="R58482" s="178"/>
      <c r="S58482" s="178"/>
    </row>
    <row r="58483" spans="18:19">
      <c r="R58483" s="178"/>
      <c r="S58483" s="178"/>
    </row>
    <row r="58484" spans="18:19">
      <c r="R58484" s="178"/>
      <c r="S58484" s="178"/>
    </row>
    <row r="58485" spans="18:19">
      <c r="R58485" s="178"/>
      <c r="S58485" s="178"/>
    </row>
    <row r="58486" spans="18:19">
      <c r="R58486" s="178"/>
      <c r="S58486" s="178"/>
    </row>
    <row r="58487" spans="18:19">
      <c r="R58487" s="178"/>
      <c r="S58487" s="178"/>
    </row>
    <row r="58488" spans="18:19">
      <c r="R58488" s="178"/>
      <c r="S58488" s="178"/>
    </row>
    <row r="58489" spans="18:19">
      <c r="R58489" s="178"/>
      <c r="S58489" s="178"/>
    </row>
    <row r="58490" spans="18:19">
      <c r="R58490" s="178"/>
      <c r="S58490" s="178"/>
    </row>
    <row r="58491" spans="18:19">
      <c r="R58491" s="178"/>
      <c r="S58491" s="178"/>
    </row>
    <row r="58492" spans="18:19">
      <c r="R58492" s="178"/>
      <c r="S58492" s="178"/>
    </row>
    <row r="58493" spans="18:19">
      <c r="R58493" s="178"/>
      <c r="S58493" s="178"/>
    </row>
    <row r="58494" spans="18:19">
      <c r="R58494" s="178"/>
      <c r="S58494" s="178"/>
    </row>
    <row r="58495" spans="18:19">
      <c r="R58495" s="178"/>
      <c r="S58495" s="178"/>
    </row>
    <row r="58496" spans="18:19">
      <c r="R58496" s="178"/>
      <c r="S58496" s="178"/>
    </row>
    <row r="58497" spans="18:19">
      <c r="R58497" s="178"/>
      <c r="S58497" s="178"/>
    </row>
    <row r="58498" spans="18:19">
      <c r="R58498" s="178"/>
      <c r="S58498" s="178"/>
    </row>
    <row r="58499" spans="18:19">
      <c r="R58499" s="178"/>
      <c r="S58499" s="178"/>
    </row>
    <row r="58500" spans="18:19">
      <c r="R58500" s="178"/>
      <c r="S58500" s="178"/>
    </row>
    <row r="58501" spans="18:19">
      <c r="R58501" s="178"/>
      <c r="S58501" s="178"/>
    </row>
    <row r="58502" spans="18:19">
      <c r="R58502" s="178"/>
      <c r="S58502" s="178"/>
    </row>
    <row r="58503" spans="18:19">
      <c r="R58503" s="178"/>
      <c r="S58503" s="178"/>
    </row>
    <row r="58504" spans="18:19">
      <c r="R58504" s="178"/>
      <c r="S58504" s="178"/>
    </row>
    <row r="58505" spans="18:19">
      <c r="R58505" s="178"/>
      <c r="S58505" s="178"/>
    </row>
    <row r="58506" spans="18:19">
      <c r="R58506" s="178"/>
      <c r="S58506" s="178"/>
    </row>
    <row r="58507" spans="18:19">
      <c r="R58507" s="178"/>
      <c r="S58507" s="178"/>
    </row>
    <row r="58508" spans="18:19">
      <c r="R58508" s="178"/>
      <c r="S58508" s="178"/>
    </row>
    <row r="58509" spans="18:19">
      <c r="R58509" s="178"/>
      <c r="S58509" s="178"/>
    </row>
    <row r="58510" spans="18:19">
      <c r="R58510" s="178"/>
      <c r="S58510" s="178"/>
    </row>
    <row r="58511" spans="18:19">
      <c r="R58511" s="178"/>
      <c r="S58511" s="178"/>
    </row>
    <row r="58512" spans="18:19">
      <c r="R58512" s="178"/>
      <c r="S58512" s="178"/>
    </row>
    <row r="58513" spans="18:19">
      <c r="R58513" s="178"/>
      <c r="S58513" s="178"/>
    </row>
    <row r="58514" spans="18:19">
      <c r="R58514" s="178"/>
      <c r="S58514" s="178"/>
    </row>
    <row r="58515" spans="18:19">
      <c r="R58515" s="178"/>
      <c r="S58515" s="178"/>
    </row>
    <row r="58516" spans="18:19">
      <c r="R58516" s="178"/>
      <c r="S58516" s="178"/>
    </row>
    <row r="58517" spans="18:19">
      <c r="R58517" s="178"/>
      <c r="S58517" s="178"/>
    </row>
    <row r="58518" spans="18:19">
      <c r="R58518" s="178"/>
      <c r="S58518" s="178"/>
    </row>
    <row r="58519" spans="18:19">
      <c r="R58519" s="178"/>
      <c r="S58519" s="178"/>
    </row>
    <row r="58520" spans="18:19">
      <c r="R58520" s="178"/>
      <c r="S58520" s="178"/>
    </row>
    <row r="58521" spans="18:19">
      <c r="R58521" s="178"/>
      <c r="S58521" s="178"/>
    </row>
    <row r="58522" spans="18:19">
      <c r="R58522" s="178"/>
      <c r="S58522" s="178"/>
    </row>
    <row r="58523" spans="18:19">
      <c r="R58523" s="178"/>
      <c r="S58523" s="178"/>
    </row>
    <row r="58524" spans="18:19">
      <c r="R58524" s="178"/>
      <c r="S58524" s="178"/>
    </row>
    <row r="58525" spans="18:19">
      <c r="R58525" s="178"/>
      <c r="S58525" s="178"/>
    </row>
    <row r="58526" spans="18:19">
      <c r="R58526" s="178"/>
      <c r="S58526" s="178"/>
    </row>
    <row r="58527" spans="18:19">
      <c r="R58527" s="178"/>
      <c r="S58527" s="178"/>
    </row>
    <row r="58528" spans="18:19">
      <c r="R58528" s="178"/>
      <c r="S58528" s="178"/>
    </row>
    <row r="58529" spans="18:19">
      <c r="R58529" s="178"/>
      <c r="S58529" s="178"/>
    </row>
    <row r="58530" spans="18:19">
      <c r="R58530" s="178"/>
      <c r="S58530" s="178"/>
    </row>
    <row r="58531" spans="18:19">
      <c r="R58531" s="178"/>
      <c r="S58531" s="178"/>
    </row>
    <row r="58532" spans="18:19">
      <c r="R58532" s="178"/>
      <c r="S58532" s="178"/>
    </row>
    <row r="58533" spans="18:19">
      <c r="R58533" s="178"/>
      <c r="S58533" s="178"/>
    </row>
    <row r="58534" spans="18:19">
      <c r="R58534" s="178"/>
      <c r="S58534" s="178"/>
    </row>
    <row r="58535" spans="18:19">
      <c r="R58535" s="178"/>
      <c r="S58535" s="178"/>
    </row>
    <row r="58536" spans="18:19">
      <c r="R58536" s="178"/>
      <c r="S58536" s="178"/>
    </row>
    <row r="58537" spans="18:19">
      <c r="R58537" s="178"/>
      <c r="S58537" s="178"/>
    </row>
    <row r="58538" spans="18:19">
      <c r="R58538" s="178"/>
      <c r="S58538" s="178"/>
    </row>
    <row r="58539" spans="18:19">
      <c r="R58539" s="178"/>
      <c r="S58539" s="178"/>
    </row>
    <row r="58540" spans="18:19">
      <c r="R58540" s="178"/>
      <c r="S58540" s="178"/>
    </row>
    <row r="58541" spans="18:19">
      <c r="R58541" s="178"/>
      <c r="S58541" s="178"/>
    </row>
    <row r="58542" spans="18:19">
      <c r="R58542" s="178"/>
      <c r="S58542" s="178"/>
    </row>
    <row r="58543" spans="18:19">
      <c r="R58543" s="178"/>
      <c r="S58543" s="178"/>
    </row>
    <row r="58544" spans="18:19">
      <c r="R58544" s="178"/>
      <c r="S58544" s="178"/>
    </row>
    <row r="58545" spans="18:19">
      <c r="R58545" s="178"/>
      <c r="S58545" s="178"/>
    </row>
    <row r="58546" spans="18:19">
      <c r="R58546" s="178"/>
      <c r="S58546" s="178"/>
    </row>
    <row r="58547" spans="18:19">
      <c r="R58547" s="178"/>
      <c r="S58547" s="178"/>
    </row>
    <row r="58548" spans="18:19">
      <c r="R58548" s="178"/>
      <c r="S58548" s="178"/>
    </row>
    <row r="58549" spans="18:19">
      <c r="R58549" s="178"/>
      <c r="S58549" s="178"/>
    </row>
    <row r="58550" spans="18:19">
      <c r="R58550" s="178"/>
      <c r="S58550" s="178"/>
    </row>
    <row r="58551" spans="18:19">
      <c r="R58551" s="178"/>
      <c r="S58551" s="178"/>
    </row>
    <row r="58552" spans="18:19">
      <c r="R58552" s="178"/>
      <c r="S58552" s="178"/>
    </row>
    <row r="58553" spans="18:19">
      <c r="R58553" s="178"/>
      <c r="S58553" s="178"/>
    </row>
    <row r="58554" spans="18:19">
      <c r="R58554" s="178"/>
      <c r="S58554" s="178"/>
    </row>
    <row r="58555" spans="18:19">
      <c r="R58555" s="178"/>
      <c r="S58555" s="178"/>
    </row>
    <row r="58556" spans="18:19">
      <c r="R58556" s="178"/>
      <c r="S58556" s="178"/>
    </row>
    <row r="58557" spans="18:19">
      <c r="R58557" s="178"/>
      <c r="S58557" s="178"/>
    </row>
    <row r="58558" spans="18:19">
      <c r="R58558" s="178"/>
      <c r="S58558" s="178"/>
    </row>
    <row r="58559" spans="18:19">
      <c r="R58559" s="178"/>
      <c r="S58559" s="178"/>
    </row>
    <row r="58560" spans="18:19">
      <c r="R58560" s="178"/>
      <c r="S58560" s="178"/>
    </row>
    <row r="58561" spans="18:19">
      <c r="R58561" s="178"/>
      <c r="S58561" s="178"/>
    </row>
    <row r="58562" spans="18:19">
      <c r="R58562" s="178"/>
      <c r="S58562" s="178"/>
    </row>
    <row r="58563" spans="18:19">
      <c r="R58563" s="178"/>
      <c r="S58563" s="178"/>
    </row>
    <row r="58564" spans="18:19">
      <c r="R58564" s="178"/>
      <c r="S58564" s="178"/>
    </row>
    <row r="58565" spans="18:19">
      <c r="R58565" s="178"/>
      <c r="S58565" s="178"/>
    </row>
    <row r="58566" spans="18:19">
      <c r="R58566" s="178"/>
      <c r="S58566" s="178"/>
    </row>
    <row r="58567" spans="18:19">
      <c r="R58567" s="178"/>
      <c r="S58567" s="178"/>
    </row>
    <row r="58568" spans="18:19">
      <c r="R58568" s="178"/>
      <c r="S58568" s="178"/>
    </row>
    <row r="58569" spans="18:19">
      <c r="R58569" s="178"/>
      <c r="S58569" s="178"/>
    </row>
    <row r="58570" spans="18:19">
      <c r="R58570" s="178"/>
      <c r="S58570" s="178"/>
    </row>
    <row r="58571" spans="18:19">
      <c r="R58571" s="178"/>
      <c r="S58571" s="178"/>
    </row>
    <row r="58572" spans="18:19">
      <c r="R58572" s="178"/>
      <c r="S58572" s="178"/>
    </row>
    <row r="58573" spans="18:19">
      <c r="R58573" s="178"/>
      <c r="S58573" s="178"/>
    </row>
    <row r="58574" spans="18:19">
      <c r="R58574" s="178"/>
      <c r="S58574" s="178"/>
    </row>
    <row r="58575" spans="18:19">
      <c r="R58575" s="178"/>
      <c r="S58575" s="178"/>
    </row>
    <row r="58576" spans="18:19">
      <c r="R58576" s="178"/>
      <c r="S58576" s="178"/>
    </row>
    <row r="58577" spans="18:19">
      <c r="R58577" s="178"/>
      <c r="S58577" s="178"/>
    </row>
    <row r="58578" spans="18:19">
      <c r="R58578" s="178"/>
      <c r="S58578" s="178"/>
    </row>
    <row r="58579" spans="18:19">
      <c r="R58579" s="178"/>
      <c r="S58579" s="178"/>
    </row>
    <row r="58580" spans="18:19">
      <c r="R58580" s="178"/>
      <c r="S58580" s="178"/>
    </row>
    <row r="58581" spans="18:19">
      <c r="R58581" s="178"/>
      <c r="S58581" s="178"/>
    </row>
    <row r="58582" spans="18:19">
      <c r="R58582" s="178"/>
      <c r="S58582" s="178"/>
    </row>
    <row r="58583" spans="18:19">
      <c r="R58583" s="178"/>
      <c r="S58583" s="178"/>
    </row>
    <row r="58584" spans="18:19">
      <c r="R58584" s="178"/>
      <c r="S58584" s="178"/>
    </row>
    <row r="58585" spans="18:19">
      <c r="R58585" s="178"/>
      <c r="S58585" s="178"/>
    </row>
    <row r="58586" spans="18:19">
      <c r="R58586" s="178"/>
      <c r="S58586" s="178"/>
    </row>
    <row r="58587" spans="18:19">
      <c r="R58587" s="178"/>
      <c r="S58587" s="178"/>
    </row>
    <row r="58588" spans="18:19">
      <c r="R58588" s="178"/>
      <c r="S58588" s="178"/>
    </row>
    <row r="58589" spans="18:19">
      <c r="R58589" s="178"/>
      <c r="S58589" s="178"/>
    </row>
    <row r="58590" spans="18:19">
      <c r="R58590" s="178"/>
      <c r="S58590" s="178"/>
    </row>
    <row r="58591" spans="18:19">
      <c r="R58591" s="178"/>
      <c r="S58591" s="178"/>
    </row>
    <row r="58592" spans="18:19">
      <c r="R58592" s="178"/>
      <c r="S58592" s="178"/>
    </row>
    <row r="58593" spans="18:19">
      <c r="R58593" s="178"/>
      <c r="S58593" s="178"/>
    </row>
    <row r="58594" spans="18:19">
      <c r="R58594" s="178"/>
      <c r="S58594" s="178"/>
    </row>
    <row r="58595" spans="18:19">
      <c r="R58595" s="178"/>
      <c r="S58595" s="178"/>
    </row>
    <row r="58596" spans="18:19">
      <c r="R58596" s="178"/>
      <c r="S58596" s="178"/>
    </row>
    <row r="58597" spans="18:19">
      <c r="R58597" s="178"/>
      <c r="S58597" s="178"/>
    </row>
    <row r="58598" spans="18:19">
      <c r="R58598" s="178"/>
      <c r="S58598" s="178"/>
    </row>
    <row r="58599" spans="18:19">
      <c r="R58599" s="178"/>
      <c r="S58599" s="178"/>
    </row>
    <row r="58600" spans="18:19">
      <c r="R58600" s="178"/>
      <c r="S58600" s="178"/>
    </row>
    <row r="58601" spans="18:19">
      <c r="R58601" s="178"/>
      <c r="S58601" s="178"/>
    </row>
    <row r="58602" spans="18:19">
      <c r="R58602" s="178"/>
      <c r="S58602" s="178"/>
    </row>
    <row r="58603" spans="18:19">
      <c r="R58603" s="178"/>
      <c r="S58603" s="178"/>
    </row>
    <row r="58604" spans="18:19">
      <c r="R58604" s="178"/>
      <c r="S58604" s="178"/>
    </row>
    <row r="58605" spans="18:19">
      <c r="R58605" s="178"/>
      <c r="S58605" s="178"/>
    </row>
    <row r="58606" spans="18:19">
      <c r="R58606" s="178"/>
      <c r="S58606" s="178"/>
    </row>
    <row r="58607" spans="18:19">
      <c r="R58607" s="178"/>
      <c r="S58607" s="178"/>
    </row>
    <row r="58608" spans="18:19">
      <c r="R58608" s="178"/>
      <c r="S58608" s="178"/>
    </row>
    <row r="58609" spans="18:19">
      <c r="R58609" s="178"/>
      <c r="S58609" s="178"/>
    </row>
    <row r="58610" spans="18:19">
      <c r="R58610" s="178"/>
      <c r="S58610" s="178"/>
    </row>
    <row r="58611" spans="18:19">
      <c r="R58611" s="178"/>
      <c r="S58611" s="178"/>
    </row>
    <row r="58612" spans="18:19">
      <c r="R58612" s="178"/>
      <c r="S58612" s="178"/>
    </row>
    <row r="58613" spans="18:19">
      <c r="R58613" s="178"/>
      <c r="S58613" s="178"/>
    </row>
    <row r="58614" spans="18:19">
      <c r="R58614" s="178"/>
      <c r="S58614" s="178"/>
    </row>
    <row r="58615" spans="18:19">
      <c r="R58615" s="178"/>
      <c r="S58615" s="178"/>
    </row>
    <row r="58616" spans="18:19">
      <c r="R58616" s="178"/>
      <c r="S58616" s="178"/>
    </row>
    <row r="58617" spans="18:19">
      <c r="R58617" s="178"/>
      <c r="S58617" s="178"/>
    </row>
    <row r="58618" spans="18:19">
      <c r="R58618" s="178"/>
      <c r="S58618" s="178"/>
    </row>
    <row r="58619" spans="18:19">
      <c r="R58619" s="178"/>
      <c r="S58619" s="178"/>
    </row>
    <row r="58620" spans="18:19">
      <c r="R58620" s="178"/>
      <c r="S58620" s="178"/>
    </row>
    <row r="58621" spans="18:19">
      <c r="R58621" s="178"/>
      <c r="S58621" s="178"/>
    </row>
    <row r="58622" spans="18:19">
      <c r="R58622" s="178"/>
      <c r="S58622" s="178"/>
    </row>
    <row r="58623" spans="18:19">
      <c r="R58623" s="178"/>
      <c r="S58623" s="178"/>
    </row>
    <row r="58624" spans="18:19">
      <c r="R58624" s="178"/>
      <c r="S58624" s="178"/>
    </row>
    <row r="58625" spans="18:19">
      <c r="R58625" s="178"/>
      <c r="S58625" s="178"/>
    </row>
    <row r="58626" spans="18:19">
      <c r="R58626" s="178"/>
      <c r="S58626" s="178"/>
    </row>
    <row r="58627" spans="18:19">
      <c r="R58627" s="178"/>
      <c r="S58627" s="178"/>
    </row>
    <row r="58628" spans="18:19">
      <c r="R58628" s="178"/>
      <c r="S58628" s="178"/>
    </row>
    <row r="58629" spans="18:19">
      <c r="R58629" s="178"/>
      <c r="S58629" s="178"/>
    </row>
    <row r="58630" spans="18:19">
      <c r="R58630" s="178"/>
      <c r="S58630" s="178"/>
    </row>
    <row r="58631" spans="18:19">
      <c r="R58631" s="178"/>
      <c r="S58631" s="178"/>
    </row>
    <row r="58632" spans="18:19">
      <c r="R58632" s="178"/>
      <c r="S58632" s="178"/>
    </row>
    <row r="58633" spans="18:19">
      <c r="R58633" s="178"/>
      <c r="S58633" s="178"/>
    </row>
    <row r="58634" spans="18:19">
      <c r="R58634" s="178"/>
      <c r="S58634" s="178"/>
    </row>
    <row r="58635" spans="18:19">
      <c r="R58635" s="178"/>
      <c r="S58635" s="178"/>
    </row>
    <row r="58636" spans="18:19">
      <c r="R58636" s="178"/>
      <c r="S58636" s="178"/>
    </row>
    <row r="58637" spans="18:19">
      <c r="R58637" s="178"/>
      <c r="S58637" s="178"/>
    </row>
    <row r="58638" spans="18:19">
      <c r="R58638" s="178"/>
      <c r="S58638" s="178"/>
    </row>
    <row r="58639" spans="18:19">
      <c r="R58639" s="178"/>
      <c r="S58639" s="178"/>
    </row>
    <row r="58640" spans="18:19">
      <c r="R58640" s="178"/>
      <c r="S58640" s="178"/>
    </row>
    <row r="58641" spans="18:19">
      <c r="R58641" s="178"/>
      <c r="S58641" s="178"/>
    </row>
    <row r="58642" spans="18:19">
      <c r="R58642" s="178"/>
      <c r="S58642" s="178"/>
    </row>
    <row r="58643" spans="18:19">
      <c r="R58643" s="178"/>
      <c r="S58643" s="178"/>
    </row>
    <row r="58644" spans="18:19">
      <c r="R58644" s="178"/>
      <c r="S58644" s="178"/>
    </row>
    <row r="58645" spans="18:19">
      <c r="R58645" s="178"/>
      <c r="S58645" s="178"/>
    </row>
    <row r="58646" spans="18:19">
      <c r="R58646" s="178"/>
      <c r="S58646" s="178"/>
    </row>
    <row r="58647" spans="18:19">
      <c r="R58647" s="178"/>
      <c r="S58647" s="178"/>
    </row>
    <row r="58648" spans="18:19">
      <c r="R58648" s="178"/>
      <c r="S58648" s="178"/>
    </row>
    <row r="58649" spans="18:19">
      <c r="R58649" s="178"/>
      <c r="S58649" s="178"/>
    </row>
    <row r="58650" spans="18:19">
      <c r="R58650" s="178"/>
      <c r="S58650" s="178"/>
    </row>
    <row r="58651" spans="18:19">
      <c r="R58651" s="178"/>
      <c r="S58651" s="178"/>
    </row>
    <row r="58652" spans="18:19">
      <c r="R58652" s="178"/>
      <c r="S58652" s="178"/>
    </row>
    <row r="58653" spans="18:19">
      <c r="R58653" s="178"/>
      <c r="S58653" s="178"/>
    </row>
    <row r="58654" spans="18:19">
      <c r="R58654" s="178"/>
      <c r="S58654" s="178"/>
    </row>
    <row r="58655" spans="18:19">
      <c r="R58655" s="178"/>
      <c r="S58655" s="178"/>
    </row>
    <row r="58656" spans="18:19">
      <c r="R58656" s="178"/>
      <c r="S58656" s="178"/>
    </row>
    <row r="58657" spans="18:19">
      <c r="R58657" s="178"/>
      <c r="S58657" s="178"/>
    </row>
    <row r="58658" spans="18:19">
      <c r="R58658" s="178"/>
      <c r="S58658" s="178"/>
    </row>
    <row r="58659" spans="18:19">
      <c r="R58659" s="178"/>
      <c r="S58659" s="178"/>
    </row>
    <row r="58660" spans="18:19">
      <c r="R58660" s="178"/>
      <c r="S58660" s="178"/>
    </row>
    <row r="58661" spans="18:19">
      <c r="R58661" s="178"/>
      <c r="S58661" s="178"/>
    </row>
    <row r="58662" spans="18:19">
      <c r="R58662" s="178"/>
      <c r="S58662" s="178"/>
    </row>
    <row r="58663" spans="18:19">
      <c r="R58663" s="178"/>
      <c r="S58663" s="178"/>
    </row>
    <row r="58664" spans="18:19">
      <c r="R58664" s="178"/>
      <c r="S58664" s="178"/>
    </row>
    <row r="58665" spans="18:19">
      <c r="R58665" s="178"/>
      <c r="S58665" s="178"/>
    </row>
    <row r="58666" spans="18:19">
      <c r="R58666" s="178"/>
      <c r="S58666" s="178"/>
    </row>
    <row r="58667" spans="18:19">
      <c r="R58667" s="178"/>
      <c r="S58667" s="178"/>
    </row>
    <row r="58668" spans="18:19">
      <c r="R58668" s="178"/>
      <c r="S58668" s="178"/>
    </row>
    <row r="58669" spans="18:19">
      <c r="R58669" s="178"/>
      <c r="S58669" s="178"/>
    </row>
    <row r="58670" spans="18:19">
      <c r="R58670" s="178"/>
      <c r="S58670" s="178"/>
    </row>
    <row r="58671" spans="18:19">
      <c r="R58671" s="178"/>
      <c r="S58671" s="178"/>
    </row>
    <row r="58672" spans="18:19">
      <c r="R58672" s="178"/>
      <c r="S58672" s="178"/>
    </row>
    <row r="58673" spans="18:19">
      <c r="R58673" s="178"/>
      <c r="S58673" s="178"/>
    </row>
    <row r="58674" spans="18:19">
      <c r="R58674" s="178"/>
      <c r="S58674" s="178"/>
    </row>
    <row r="58675" spans="18:19">
      <c r="R58675" s="178"/>
      <c r="S58675" s="178"/>
    </row>
    <row r="58676" spans="18:19">
      <c r="R58676" s="178"/>
      <c r="S58676" s="178"/>
    </row>
    <row r="58677" spans="18:19">
      <c r="R58677" s="178"/>
      <c r="S58677" s="178"/>
    </row>
    <row r="58678" spans="18:19">
      <c r="R58678" s="178"/>
      <c r="S58678" s="178"/>
    </row>
    <row r="58679" spans="18:19">
      <c r="R58679" s="178"/>
      <c r="S58679" s="178"/>
    </row>
    <row r="58680" spans="18:19">
      <c r="R58680" s="178"/>
      <c r="S58680" s="178"/>
    </row>
    <row r="58681" spans="18:19">
      <c r="R58681" s="178"/>
      <c r="S58681" s="178"/>
    </row>
    <row r="58682" spans="18:19">
      <c r="R58682" s="178"/>
      <c r="S58682" s="178"/>
    </row>
    <row r="58683" spans="18:19">
      <c r="R58683" s="178"/>
      <c r="S58683" s="178"/>
    </row>
    <row r="58684" spans="18:19">
      <c r="R58684" s="178"/>
      <c r="S58684" s="178"/>
    </row>
    <row r="58685" spans="18:19">
      <c r="R58685" s="178"/>
      <c r="S58685" s="178"/>
    </row>
    <row r="58686" spans="18:19">
      <c r="R58686" s="178"/>
      <c r="S58686" s="178"/>
    </row>
    <row r="58687" spans="18:19">
      <c r="R58687" s="178"/>
      <c r="S58687" s="178"/>
    </row>
    <row r="58688" spans="18:19">
      <c r="R58688" s="178"/>
      <c r="S58688" s="178"/>
    </row>
    <row r="58689" spans="18:19">
      <c r="R58689" s="178"/>
      <c r="S58689" s="178"/>
    </row>
    <row r="58690" spans="18:19">
      <c r="R58690" s="178"/>
      <c r="S58690" s="178"/>
    </row>
    <row r="58691" spans="18:19">
      <c r="R58691" s="178"/>
      <c r="S58691" s="178"/>
    </row>
    <row r="58692" spans="18:19">
      <c r="R58692" s="178"/>
      <c r="S58692" s="178"/>
    </row>
    <row r="58693" spans="18:19">
      <c r="R58693" s="178"/>
      <c r="S58693" s="178"/>
    </row>
    <row r="58694" spans="18:19">
      <c r="R58694" s="178"/>
      <c r="S58694" s="178"/>
    </row>
    <row r="58695" spans="18:19">
      <c r="R58695" s="178"/>
      <c r="S58695" s="178"/>
    </row>
    <row r="58696" spans="18:19">
      <c r="R58696" s="178"/>
      <c r="S58696" s="178"/>
    </row>
    <row r="58697" spans="18:19">
      <c r="R58697" s="178"/>
      <c r="S58697" s="178"/>
    </row>
    <row r="58698" spans="18:19">
      <c r="R58698" s="178"/>
      <c r="S58698" s="178"/>
    </row>
    <row r="58699" spans="18:19">
      <c r="R58699" s="178"/>
      <c r="S58699" s="178"/>
    </row>
    <row r="58700" spans="18:19">
      <c r="R58700" s="178"/>
      <c r="S58700" s="178"/>
    </row>
    <row r="58701" spans="18:19">
      <c r="R58701" s="178"/>
      <c r="S58701" s="178"/>
    </row>
    <row r="58702" spans="18:19">
      <c r="R58702" s="178"/>
      <c r="S58702" s="178"/>
    </row>
    <row r="58703" spans="18:19">
      <c r="R58703" s="178"/>
      <c r="S58703" s="178"/>
    </row>
    <row r="58704" spans="18:19">
      <c r="R58704" s="178"/>
      <c r="S58704" s="178"/>
    </row>
    <row r="58705" spans="18:19">
      <c r="R58705" s="178"/>
      <c r="S58705" s="178"/>
    </row>
    <row r="58706" spans="18:19">
      <c r="R58706" s="178"/>
      <c r="S58706" s="178"/>
    </row>
    <row r="58707" spans="18:19">
      <c r="R58707" s="178"/>
      <c r="S58707" s="178"/>
    </row>
    <row r="58708" spans="18:19">
      <c r="R58708" s="178"/>
      <c r="S58708" s="178"/>
    </row>
    <row r="58709" spans="18:19">
      <c r="R58709" s="178"/>
      <c r="S58709" s="178"/>
    </row>
    <row r="58710" spans="18:19">
      <c r="R58710" s="178"/>
      <c r="S58710" s="178"/>
    </row>
    <row r="58711" spans="18:19">
      <c r="R58711" s="178"/>
      <c r="S58711" s="178"/>
    </row>
    <row r="58712" spans="18:19">
      <c r="R58712" s="178"/>
      <c r="S58712" s="178"/>
    </row>
    <row r="58713" spans="18:19">
      <c r="R58713" s="178"/>
      <c r="S58713" s="178"/>
    </row>
    <row r="58714" spans="18:19">
      <c r="R58714" s="178"/>
      <c r="S58714" s="178"/>
    </row>
    <row r="58715" spans="18:19">
      <c r="R58715" s="178"/>
      <c r="S58715" s="178"/>
    </row>
    <row r="58716" spans="18:19">
      <c r="R58716" s="178"/>
      <c r="S58716" s="178"/>
    </row>
    <row r="58717" spans="18:19">
      <c r="R58717" s="178"/>
      <c r="S58717" s="178"/>
    </row>
    <row r="58718" spans="18:19">
      <c r="R58718" s="178"/>
      <c r="S58718" s="178"/>
    </row>
    <row r="58719" spans="18:19">
      <c r="R58719" s="178"/>
      <c r="S58719" s="178"/>
    </row>
    <row r="58720" spans="18:19">
      <c r="R58720" s="178"/>
      <c r="S58720" s="178"/>
    </row>
    <row r="58721" spans="18:19">
      <c r="R58721" s="178"/>
      <c r="S58721" s="178"/>
    </row>
    <row r="58722" spans="18:19">
      <c r="R58722" s="178"/>
      <c r="S58722" s="178"/>
    </row>
    <row r="58723" spans="18:19">
      <c r="R58723" s="178"/>
      <c r="S58723" s="178"/>
    </row>
    <row r="58724" spans="18:19">
      <c r="R58724" s="178"/>
      <c r="S58724" s="178"/>
    </row>
    <row r="58725" spans="18:19">
      <c r="R58725" s="178"/>
      <c r="S58725" s="178"/>
    </row>
    <row r="58726" spans="18:19">
      <c r="R58726" s="178"/>
      <c r="S58726" s="178"/>
    </row>
    <row r="58727" spans="18:19">
      <c r="R58727" s="178"/>
      <c r="S58727" s="178"/>
    </row>
    <row r="58728" spans="18:19">
      <c r="R58728" s="178"/>
      <c r="S58728" s="178"/>
    </row>
    <row r="58729" spans="18:19">
      <c r="R58729" s="178"/>
      <c r="S58729" s="178"/>
    </row>
    <row r="58730" spans="18:19">
      <c r="R58730" s="178"/>
      <c r="S58730" s="178"/>
    </row>
    <row r="58731" spans="18:19">
      <c r="R58731" s="178"/>
      <c r="S58731" s="178"/>
    </row>
    <row r="58732" spans="18:19">
      <c r="R58732" s="178"/>
      <c r="S58732" s="178"/>
    </row>
    <row r="58733" spans="18:19">
      <c r="R58733" s="178"/>
      <c r="S58733" s="178"/>
    </row>
    <row r="58734" spans="18:19">
      <c r="R58734" s="178"/>
      <c r="S58734" s="178"/>
    </row>
    <row r="58735" spans="18:19">
      <c r="R58735" s="178"/>
      <c r="S58735" s="178"/>
    </row>
    <row r="58736" spans="18:19">
      <c r="R58736" s="178"/>
      <c r="S58736" s="178"/>
    </row>
    <row r="58737" spans="18:19">
      <c r="R58737" s="178"/>
      <c r="S58737" s="178"/>
    </row>
    <row r="58738" spans="18:19">
      <c r="R58738" s="178"/>
      <c r="S58738" s="178"/>
    </row>
    <row r="58739" spans="18:19">
      <c r="R58739" s="178"/>
      <c r="S58739" s="178"/>
    </row>
    <row r="58740" spans="18:19">
      <c r="R58740" s="178"/>
      <c r="S58740" s="178"/>
    </row>
    <row r="58741" spans="18:19">
      <c r="R58741" s="178"/>
      <c r="S58741" s="178"/>
    </row>
    <row r="58742" spans="18:19">
      <c r="R58742" s="178"/>
      <c r="S58742" s="178"/>
    </row>
    <row r="58743" spans="18:19">
      <c r="R58743" s="178"/>
      <c r="S58743" s="178"/>
    </row>
    <row r="58744" spans="18:19">
      <c r="R58744" s="178"/>
      <c r="S58744" s="178"/>
    </row>
    <row r="58745" spans="18:19">
      <c r="R58745" s="178"/>
      <c r="S58745" s="178"/>
    </row>
    <row r="58746" spans="18:19">
      <c r="R58746" s="178"/>
      <c r="S58746" s="178"/>
    </row>
    <row r="58747" spans="18:19">
      <c r="R58747" s="178"/>
      <c r="S58747" s="178"/>
    </row>
    <row r="58748" spans="18:19">
      <c r="R58748" s="178"/>
      <c r="S58748" s="178"/>
    </row>
    <row r="58749" spans="18:19">
      <c r="R58749" s="178"/>
      <c r="S58749" s="178"/>
    </row>
    <row r="58750" spans="18:19">
      <c r="R58750" s="178"/>
      <c r="S58750" s="178"/>
    </row>
    <row r="58751" spans="18:19">
      <c r="R58751" s="178"/>
      <c r="S58751" s="178"/>
    </row>
    <row r="58752" spans="18:19">
      <c r="R58752" s="178"/>
      <c r="S58752" s="178"/>
    </row>
    <row r="58753" spans="18:19">
      <c r="R58753" s="178"/>
      <c r="S58753" s="178"/>
    </row>
    <row r="58754" spans="18:19">
      <c r="R58754" s="178"/>
      <c r="S58754" s="178"/>
    </row>
    <row r="58755" spans="18:19">
      <c r="R58755" s="178"/>
      <c r="S58755" s="178"/>
    </row>
    <row r="58756" spans="18:19">
      <c r="R58756" s="178"/>
      <c r="S58756" s="178"/>
    </row>
    <row r="58757" spans="18:19">
      <c r="R58757" s="178"/>
      <c r="S58757" s="178"/>
    </row>
    <row r="58758" spans="18:19">
      <c r="R58758" s="178"/>
      <c r="S58758" s="178"/>
    </row>
    <row r="58759" spans="18:19">
      <c r="R58759" s="178"/>
      <c r="S58759" s="178"/>
    </row>
    <row r="58760" spans="18:19">
      <c r="R58760" s="178"/>
      <c r="S58760" s="178"/>
    </row>
    <row r="58761" spans="18:19">
      <c r="R58761" s="178"/>
      <c r="S58761" s="178"/>
    </row>
    <row r="58762" spans="18:19">
      <c r="R58762" s="178"/>
      <c r="S58762" s="178"/>
    </row>
    <row r="58763" spans="18:19">
      <c r="R58763" s="178"/>
      <c r="S58763" s="178"/>
    </row>
    <row r="58764" spans="18:19">
      <c r="R58764" s="178"/>
      <c r="S58764" s="178"/>
    </row>
    <row r="58765" spans="18:19">
      <c r="R58765" s="178"/>
      <c r="S58765" s="178"/>
    </row>
    <row r="58766" spans="18:19">
      <c r="R58766" s="178"/>
      <c r="S58766" s="178"/>
    </row>
    <row r="58767" spans="18:19">
      <c r="R58767" s="178"/>
      <c r="S58767" s="178"/>
    </row>
    <row r="58768" spans="18:19">
      <c r="R58768" s="178"/>
      <c r="S58768" s="178"/>
    </row>
    <row r="58769" spans="18:19">
      <c r="R58769" s="178"/>
      <c r="S58769" s="178"/>
    </row>
    <row r="58770" spans="18:19">
      <c r="R58770" s="178"/>
      <c r="S58770" s="178"/>
    </row>
    <row r="58771" spans="18:19">
      <c r="R58771" s="178"/>
      <c r="S58771" s="178"/>
    </row>
    <row r="58772" spans="18:19">
      <c r="R58772" s="178"/>
      <c r="S58772" s="178"/>
    </row>
    <row r="58773" spans="18:19">
      <c r="R58773" s="178"/>
      <c r="S58773" s="178"/>
    </row>
    <row r="58774" spans="18:19">
      <c r="R58774" s="178"/>
      <c r="S58774" s="178"/>
    </row>
    <row r="58775" spans="18:19">
      <c r="R58775" s="178"/>
      <c r="S58775" s="178"/>
    </row>
    <row r="58776" spans="18:19">
      <c r="R58776" s="178"/>
      <c r="S58776" s="178"/>
    </row>
    <row r="58777" spans="18:19">
      <c r="R58777" s="178"/>
      <c r="S58777" s="178"/>
    </row>
    <row r="58778" spans="18:19">
      <c r="R58778" s="178"/>
      <c r="S58778" s="178"/>
    </row>
    <row r="58779" spans="18:19">
      <c r="R58779" s="178"/>
      <c r="S58779" s="178"/>
    </row>
    <row r="58780" spans="18:19">
      <c r="R58780" s="178"/>
      <c r="S58780" s="178"/>
    </row>
    <row r="58781" spans="18:19">
      <c r="R58781" s="178"/>
      <c r="S58781" s="178"/>
    </row>
    <row r="58782" spans="18:19">
      <c r="R58782" s="178"/>
      <c r="S58782" s="178"/>
    </row>
    <row r="58783" spans="18:19">
      <c r="R58783" s="178"/>
      <c r="S58783" s="178"/>
    </row>
    <row r="58784" spans="18:19">
      <c r="R58784" s="178"/>
      <c r="S58784" s="178"/>
    </row>
    <row r="58785" spans="18:19">
      <c r="R58785" s="178"/>
      <c r="S58785" s="178"/>
    </row>
    <row r="58786" spans="18:19">
      <c r="R58786" s="178"/>
      <c r="S58786" s="178"/>
    </row>
    <row r="58787" spans="18:19">
      <c r="R58787" s="178"/>
      <c r="S58787" s="178"/>
    </row>
    <row r="58788" spans="18:19">
      <c r="R58788" s="178"/>
      <c r="S58788" s="178"/>
    </row>
    <row r="58789" spans="18:19">
      <c r="R58789" s="178"/>
      <c r="S58789" s="178"/>
    </row>
    <row r="58790" spans="18:19">
      <c r="R58790" s="178"/>
      <c r="S58790" s="178"/>
    </row>
    <row r="58791" spans="18:19">
      <c r="R58791" s="178"/>
      <c r="S58791" s="178"/>
    </row>
    <row r="58792" spans="18:19">
      <c r="R58792" s="178"/>
      <c r="S58792" s="178"/>
    </row>
    <row r="58793" spans="18:19">
      <c r="R58793" s="178"/>
      <c r="S58793" s="178"/>
    </row>
    <row r="58794" spans="18:19">
      <c r="R58794" s="178"/>
      <c r="S58794" s="178"/>
    </row>
    <row r="58795" spans="18:19">
      <c r="R58795" s="178"/>
      <c r="S58795" s="178"/>
    </row>
    <row r="58796" spans="18:19">
      <c r="R58796" s="178"/>
      <c r="S58796" s="178"/>
    </row>
    <row r="58797" spans="18:19">
      <c r="R58797" s="178"/>
      <c r="S58797" s="178"/>
    </row>
    <row r="58798" spans="18:19">
      <c r="R58798" s="178"/>
      <c r="S58798" s="178"/>
    </row>
    <row r="58799" spans="18:19">
      <c r="R58799" s="178"/>
      <c r="S58799" s="178"/>
    </row>
    <row r="58800" spans="18:19">
      <c r="R58800" s="178"/>
      <c r="S58800" s="178"/>
    </row>
    <row r="58801" spans="18:19">
      <c r="R58801" s="178"/>
      <c r="S58801" s="178"/>
    </row>
    <row r="58802" spans="18:19">
      <c r="R58802" s="178"/>
      <c r="S58802" s="178"/>
    </row>
    <row r="58803" spans="18:19">
      <c r="R58803" s="178"/>
      <c r="S58803" s="178"/>
    </row>
    <row r="58804" spans="18:19">
      <c r="R58804" s="178"/>
      <c r="S58804" s="178"/>
    </row>
    <row r="58805" spans="18:19">
      <c r="R58805" s="178"/>
      <c r="S58805" s="178"/>
    </row>
    <row r="58806" spans="18:19">
      <c r="R58806" s="178"/>
      <c r="S58806" s="178"/>
    </row>
    <row r="58807" spans="18:19">
      <c r="R58807" s="178"/>
      <c r="S58807" s="178"/>
    </row>
    <row r="58808" spans="18:19">
      <c r="R58808" s="178"/>
      <c r="S58808" s="178"/>
    </row>
    <row r="58809" spans="18:19">
      <c r="R58809" s="178"/>
      <c r="S58809" s="178"/>
    </row>
    <row r="58810" spans="18:19">
      <c r="R58810" s="178"/>
      <c r="S58810" s="178"/>
    </row>
    <row r="58811" spans="18:19">
      <c r="R58811" s="178"/>
      <c r="S58811" s="178"/>
    </row>
    <row r="58812" spans="18:19">
      <c r="R58812" s="178"/>
      <c r="S58812" s="178"/>
    </row>
    <row r="58813" spans="18:19">
      <c r="R58813" s="178"/>
      <c r="S58813" s="178"/>
    </row>
    <row r="58814" spans="18:19">
      <c r="R58814" s="178"/>
      <c r="S58814" s="178"/>
    </row>
    <row r="58815" spans="18:19">
      <c r="R58815" s="178"/>
      <c r="S58815" s="178"/>
    </row>
    <row r="58816" spans="18:19">
      <c r="R58816" s="178"/>
      <c r="S58816" s="178"/>
    </row>
    <row r="58817" spans="18:19">
      <c r="R58817" s="178"/>
      <c r="S58817" s="178"/>
    </row>
    <row r="58818" spans="18:19">
      <c r="R58818" s="178"/>
      <c r="S58818" s="178"/>
    </row>
    <row r="58819" spans="18:19">
      <c r="R58819" s="178"/>
      <c r="S58819" s="178"/>
    </row>
    <row r="58820" spans="18:19">
      <c r="R58820" s="178"/>
      <c r="S58820" s="178"/>
    </row>
    <row r="58821" spans="18:19">
      <c r="R58821" s="178"/>
      <c r="S58821" s="178"/>
    </row>
    <row r="58822" spans="18:19">
      <c r="R58822" s="178"/>
      <c r="S58822" s="178"/>
    </row>
    <row r="58823" spans="18:19">
      <c r="R58823" s="178"/>
      <c r="S58823" s="178"/>
    </row>
    <row r="58824" spans="18:19">
      <c r="R58824" s="178"/>
      <c r="S58824" s="178"/>
    </row>
    <row r="58825" spans="18:19">
      <c r="R58825" s="178"/>
      <c r="S58825" s="178"/>
    </row>
    <row r="58826" spans="18:19">
      <c r="R58826" s="178"/>
      <c r="S58826" s="178"/>
    </row>
    <row r="58827" spans="18:19">
      <c r="R58827" s="178"/>
      <c r="S58827" s="178"/>
    </row>
    <row r="58828" spans="18:19">
      <c r="R58828" s="178"/>
      <c r="S58828" s="178"/>
    </row>
    <row r="58829" spans="18:19">
      <c r="R58829" s="178"/>
      <c r="S58829" s="178"/>
    </row>
    <row r="58830" spans="18:19">
      <c r="R58830" s="178"/>
      <c r="S58830" s="178"/>
    </row>
    <row r="58831" spans="18:19">
      <c r="R58831" s="178"/>
      <c r="S58831" s="178"/>
    </row>
    <row r="58832" spans="18:19">
      <c r="R58832" s="178"/>
      <c r="S58832" s="178"/>
    </row>
    <row r="58833" spans="18:19">
      <c r="R58833" s="178"/>
      <c r="S58833" s="178"/>
    </row>
    <row r="58834" spans="18:19">
      <c r="R58834" s="178"/>
      <c r="S58834" s="178"/>
    </row>
    <row r="58835" spans="18:19">
      <c r="R58835" s="178"/>
      <c r="S58835" s="178"/>
    </row>
    <row r="58836" spans="18:19">
      <c r="R58836" s="178"/>
      <c r="S58836" s="178"/>
    </row>
    <row r="58837" spans="18:19">
      <c r="R58837" s="178"/>
      <c r="S58837" s="178"/>
    </row>
    <row r="58838" spans="18:19">
      <c r="R58838" s="178"/>
      <c r="S58838" s="178"/>
    </row>
    <row r="58839" spans="18:19">
      <c r="R58839" s="178"/>
      <c r="S58839" s="178"/>
    </row>
    <row r="58840" spans="18:19">
      <c r="R58840" s="178"/>
      <c r="S58840" s="178"/>
    </row>
    <row r="58841" spans="18:19">
      <c r="R58841" s="178"/>
      <c r="S58841" s="178"/>
    </row>
    <row r="58842" spans="18:19">
      <c r="R58842" s="178"/>
      <c r="S58842" s="178"/>
    </row>
    <row r="58843" spans="18:19">
      <c r="R58843" s="178"/>
      <c r="S58843" s="178"/>
    </row>
    <row r="58844" spans="18:19">
      <c r="R58844" s="178"/>
      <c r="S58844" s="178"/>
    </row>
    <row r="58845" spans="18:19">
      <c r="R58845" s="178"/>
      <c r="S58845" s="178"/>
    </row>
    <row r="58846" spans="18:19">
      <c r="R58846" s="178"/>
      <c r="S58846" s="178"/>
    </row>
    <row r="58847" spans="18:19">
      <c r="R58847" s="178"/>
      <c r="S58847" s="178"/>
    </row>
    <row r="58848" spans="18:19">
      <c r="R58848" s="178"/>
      <c r="S58848" s="178"/>
    </row>
    <row r="58849" spans="18:19">
      <c r="R58849" s="178"/>
      <c r="S58849" s="178"/>
    </row>
    <row r="58850" spans="18:19">
      <c r="R58850" s="178"/>
      <c r="S58850" s="178"/>
    </row>
    <row r="58851" spans="18:19">
      <c r="R58851" s="178"/>
      <c r="S58851" s="178"/>
    </row>
    <row r="58852" spans="18:19">
      <c r="R58852" s="178"/>
      <c r="S58852" s="178"/>
    </row>
    <row r="58853" spans="18:19">
      <c r="R58853" s="178"/>
      <c r="S58853" s="178"/>
    </row>
    <row r="58854" spans="18:19">
      <c r="R58854" s="178"/>
      <c r="S58854" s="178"/>
    </row>
    <row r="58855" spans="18:19">
      <c r="R58855" s="178"/>
      <c r="S58855" s="178"/>
    </row>
    <row r="58856" spans="18:19">
      <c r="R58856" s="178"/>
      <c r="S58856" s="178"/>
    </row>
    <row r="58857" spans="18:19">
      <c r="R58857" s="178"/>
      <c r="S58857" s="178"/>
    </row>
    <row r="58858" spans="18:19">
      <c r="R58858" s="178"/>
      <c r="S58858" s="178"/>
    </row>
    <row r="58859" spans="18:19">
      <c r="R58859" s="178"/>
      <c r="S58859" s="178"/>
    </row>
    <row r="58860" spans="18:19">
      <c r="R58860" s="178"/>
      <c r="S58860" s="178"/>
    </row>
    <row r="58861" spans="18:19">
      <c r="R58861" s="178"/>
      <c r="S58861" s="178"/>
    </row>
    <row r="58862" spans="18:19">
      <c r="R58862" s="178"/>
      <c r="S58862" s="178"/>
    </row>
    <row r="58863" spans="18:19">
      <c r="R58863" s="178"/>
      <c r="S58863" s="178"/>
    </row>
    <row r="58864" spans="18:19">
      <c r="R58864" s="178"/>
      <c r="S58864" s="178"/>
    </row>
    <row r="58865" spans="18:19">
      <c r="R58865" s="178"/>
      <c r="S58865" s="178"/>
    </row>
    <row r="58866" spans="18:19">
      <c r="R58866" s="178"/>
      <c r="S58866" s="178"/>
    </row>
    <row r="58867" spans="18:19">
      <c r="R58867" s="178"/>
      <c r="S58867" s="178"/>
    </row>
    <row r="58868" spans="18:19">
      <c r="R58868" s="178"/>
      <c r="S58868" s="178"/>
    </row>
    <row r="58869" spans="18:19">
      <c r="R58869" s="178"/>
      <c r="S58869" s="178"/>
    </row>
    <row r="58870" spans="18:19">
      <c r="R58870" s="178"/>
      <c r="S58870" s="178"/>
    </row>
    <row r="58871" spans="18:19">
      <c r="R58871" s="178"/>
      <c r="S58871" s="178"/>
    </row>
    <row r="58872" spans="18:19">
      <c r="R58872" s="178"/>
      <c r="S58872" s="178"/>
    </row>
    <row r="58873" spans="18:19">
      <c r="R58873" s="178"/>
      <c r="S58873" s="178"/>
    </row>
    <row r="58874" spans="18:19">
      <c r="R58874" s="178"/>
      <c r="S58874" s="178"/>
    </row>
    <row r="58875" spans="18:19">
      <c r="R58875" s="178"/>
      <c r="S58875" s="178"/>
    </row>
    <row r="58876" spans="18:19">
      <c r="R58876" s="178"/>
      <c r="S58876" s="178"/>
    </row>
    <row r="58877" spans="18:19">
      <c r="R58877" s="178"/>
      <c r="S58877" s="178"/>
    </row>
    <row r="58878" spans="18:19">
      <c r="R58878" s="178"/>
      <c r="S58878" s="178"/>
    </row>
    <row r="58879" spans="18:19">
      <c r="R58879" s="178"/>
      <c r="S58879" s="178"/>
    </row>
    <row r="58880" spans="18:19">
      <c r="R58880" s="178"/>
      <c r="S58880" s="178"/>
    </row>
    <row r="58881" spans="18:19">
      <c r="R58881" s="178"/>
      <c r="S58881" s="178"/>
    </row>
    <row r="58882" spans="18:19">
      <c r="R58882" s="178"/>
      <c r="S58882" s="178"/>
    </row>
    <row r="58883" spans="18:19">
      <c r="R58883" s="178"/>
      <c r="S58883" s="178"/>
    </row>
    <row r="58884" spans="18:19">
      <c r="R58884" s="178"/>
      <c r="S58884" s="178"/>
    </row>
    <row r="58885" spans="18:19">
      <c r="R58885" s="178"/>
      <c r="S58885" s="178"/>
    </row>
    <row r="58886" spans="18:19">
      <c r="R58886" s="178"/>
      <c r="S58886" s="178"/>
    </row>
    <row r="58887" spans="18:19">
      <c r="R58887" s="178"/>
      <c r="S58887" s="178"/>
    </row>
    <row r="58888" spans="18:19">
      <c r="R58888" s="178"/>
      <c r="S58888" s="178"/>
    </row>
    <row r="58889" spans="18:19">
      <c r="R58889" s="178"/>
      <c r="S58889" s="178"/>
    </row>
    <row r="58890" spans="18:19">
      <c r="R58890" s="178"/>
      <c r="S58890" s="178"/>
    </row>
    <row r="58891" spans="18:19">
      <c r="R58891" s="178"/>
      <c r="S58891" s="178"/>
    </row>
    <row r="58892" spans="18:19">
      <c r="R58892" s="178"/>
      <c r="S58892" s="178"/>
    </row>
    <row r="58893" spans="18:19">
      <c r="R58893" s="178"/>
      <c r="S58893" s="178"/>
    </row>
    <row r="58894" spans="18:19">
      <c r="R58894" s="178"/>
      <c r="S58894" s="178"/>
    </row>
    <row r="58895" spans="18:19">
      <c r="R58895" s="178"/>
      <c r="S58895" s="178"/>
    </row>
    <row r="58896" spans="18:19">
      <c r="R58896" s="178"/>
      <c r="S58896" s="178"/>
    </row>
    <row r="58897" spans="18:19">
      <c r="R58897" s="178"/>
      <c r="S58897" s="178"/>
    </row>
    <row r="58898" spans="18:19">
      <c r="R58898" s="178"/>
      <c r="S58898" s="178"/>
    </row>
    <row r="58899" spans="18:19">
      <c r="R58899" s="178"/>
      <c r="S58899" s="178"/>
    </row>
    <row r="58900" spans="18:19">
      <c r="R58900" s="178"/>
      <c r="S58900" s="178"/>
    </row>
    <row r="58901" spans="18:19">
      <c r="R58901" s="178"/>
      <c r="S58901" s="178"/>
    </row>
    <row r="58902" spans="18:19">
      <c r="R58902" s="178"/>
      <c r="S58902" s="178"/>
    </row>
    <row r="58903" spans="18:19">
      <c r="R58903" s="178"/>
      <c r="S58903" s="178"/>
    </row>
    <row r="58904" spans="18:19">
      <c r="R58904" s="178"/>
      <c r="S58904" s="178"/>
    </row>
    <row r="58905" spans="18:19">
      <c r="R58905" s="178"/>
      <c r="S58905" s="178"/>
    </row>
    <row r="58906" spans="18:19">
      <c r="R58906" s="178"/>
      <c r="S58906" s="178"/>
    </row>
    <row r="58907" spans="18:19">
      <c r="R58907" s="178"/>
      <c r="S58907" s="178"/>
    </row>
    <row r="58908" spans="18:19">
      <c r="R58908" s="178"/>
      <c r="S58908" s="178"/>
    </row>
    <row r="58909" spans="18:19">
      <c r="R58909" s="178"/>
      <c r="S58909" s="178"/>
    </row>
    <row r="58910" spans="18:19">
      <c r="R58910" s="178"/>
      <c r="S58910" s="178"/>
    </row>
    <row r="58911" spans="18:19">
      <c r="R58911" s="178"/>
      <c r="S58911" s="178"/>
    </row>
    <row r="58912" spans="18:19">
      <c r="R58912" s="178"/>
      <c r="S58912" s="178"/>
    </row>
    <row r="58913" spans="18:19">
      <c r="R58913" s="178"/>
      <c r="S58913" s="178"/>
    </row>
    <row r="58914" spans="18:19">
      <c r="R58914" s="178"/>
      <c r="S58914" s="178"/>
    </row>
    <row r="58915" spans="18:19">
      <c r="R58915" s="178"/>
      <c r="S58915" s="178"/>
    </row>
    <row r="58916" spans="18:19">
      <c r="R58916" s="178"/>
      <c r="S58916" s="178"/>
    </row>
    <row r="58917" spans="18:19">
      <c r="R58917" s="178"/>
      <c r="S58917" s="178"/>
    </row>
    <row r="58918" spans="18:19">
      <c r="R58918" s="178"/>
      <c r="S58918" s="178"/>
    </row>
    <row r="58919" spans="18:19">
      <c r="R58919" s="178"/>
      <c r="S58919" s="178"/>
    </row>
    <row r="58920" spans="18:19">
      <c r="R58920" s="178"/>
      <c r="S58920" s="178"/>
    </row>
    <row r="58921" spans="18:19">
      <c r="R58921" s="178"/>
      <c r="S58921" s="178"/>
    </row>
    <row r="58922" spans="18:19">
      <c r="R58922" s="178"/>
      <c r="S58922" s="178"/>
    </row>
    <row r="58923" spans="18:19">
      <c r="R58923" s="178"/>
      <c r="S58923" s="178"/>
    </row>
    <row r="58924" spans="18:19">
      <c r="R58924" s="178"/>
      <c r="S58924" s="178"/>
    </row>
    <row r="58925" spans="18:19">
      <c r="R58925" s="178"/>
      <c r="S58925" s="178"/>
    </row>
    <row r="58926" spans="18:19">
      <c r="R58926" s="178"/>
      <c r="S58926" s="178"/>
    </row>
    <row r="58927" spans="18:19">
      <c r="R58927" s="178"/>
      <c r="S58927" s="178"/>
    </row>
    <row r="58928" spans="18:19">
      <c r="R58928" s="178"/>
      <c r="S58928" s="178"/>
    </row>
    <row r="58929" spans="18:19">
      <c r="R58929" s="178"/>
      <c r="S58929" s="178"/>
    </row>
    <row r="58930" spans="18:19">
      <c r="R58930" s="178"/>
      <c r="S58930" s="178"/>
    </row>
    <row r="58931" spans="18:19">
      <c r="R58931" s="178"/>
      <c r="S58931" s="178"/>
    </row>
    <row r="58932" spans="18:19">
      <c r="R58932" s="178"/>
      <c r="S58932" s="178"/>
    </row>
    <row r="58933" spans="18:19">
      <c r="R58933" s="178"/>
      <c r="S58933" s="178"/>
    </row>
    <row r="58934" spans="18:19">
      <c r="R58934" s="178"/>
      <c r="S58934" s="178"/>
    </row>
    <row r="58935" spans="18:19">
      <c r="R58935" s="178"/>
      <c r="S58935" s="178"/>
    </row>
    <row r="58936" spans="18:19">
      <c r="R58936" s="178"/>
      <c r="S58936" s="178"/>
    </row>
    <row r="58937" spans="18:19">
      <c r="R58937" s="178"/>
      <c r="S58937" s="178"/>
    </row>
    <row r="58938" spans="18:19">
      <c r="R58938" s="178"/>
      <c r="S58938" s="178"/>
    </row>
    <row r="58939" spans="18:19">
      <c r="R58939" s="178"/>
      <c r="S58939" s="178"/>
    </row>
    <row r="58940" spans="18:19">
      <c r="R58940" s="178"/>
      <c r="S58940" s="178"/>
    </row>
    <row r="58941" spans="18:19">
      <c r="R58941" s="178"/>
      <c r="S58941" s="178"/>
    </row>
    <row r="58942" spans="18:19">
      <c r="R58942" s="178"/>
      <c r="S58942" s="178"/>
    </row>
    <row r="58943" spans="18:19">
      <c r="R58943" s="178"/>
      <c r="S58943" s="178"/>
    </row>
    <row r="58944" spans="18:19">
      <c r="R58944" s="178"/>
      <c r="S58944" s="178"/>
    </row>
    <row r="58945" spans="18:19">
      <c r="R58945" s="178"/>
      <c r="S58945" s="178"/>
    </row>
    <row r="58946" spans="18:19">
      <c r="R58946" s="178"/>
      <c r="S58946" s="178"/>
    </row>
    <row r="58947" spans="18:19">
      <c r="R58947" s="178"/>
      <c r="S58947" s="178"/>
    </row>
    <row r="58948" spans="18:19">
      <c r="R58948" s="178"/>
      <c r="S58948" s="178"/>
    </row>
    <row r="58949" spans="18:19">
      <c r="R58949" s="178"/>
      <c r="S58949" s="178"/>
    </row>
    <row r="58950" spans="18:19">
      <c r="R58950" s="178"/>
      <c r="S58950" s="178"/>
    </row>
    <row r="58951" spans="18:19">
      <c r="R58951" s="178"/>
      <c r="S58951" s="178"/>
    </row>
    <row r="58952" spans="18:19">
      <c r="R58952" s="178"/>
      <c r="S58952" s="178"/>
    </row>
    <row r="58953" spans="18:19">
      <c r="R58953" s="178"/>
      <c r="S58953" s="178"/>
    </row>
    <row r="58954" spans="18:19">
      <c r="R58954" s="178"/>
      <c r="S58954" s="178"/>
    </row>
    <row r="58955" spans="18:19">
      <c r="R58955" s="178"/>
      <c r="S58955" s="178"/>
    </row>
    <row r="58956" spans="18:19">
      <c r="R58956" s="178"/>
      <c r="S58956" s="178"/>
    </row>
    <row r="58957" spans="18:19">
      <c r="R58957" s="178"/>
      <c r="S58957" s="178"/>
    </row>
    <row r="58958" spans="18:19">
      <c r="R58958" s="178"/>
      <c r="S58958" s="178"/>
    </row>
    <row r="58959" spans="18:19">
      <c r="R58959" s="178"/>
      <c r="S58959" s="178"/>
    </row>
    <row r="58960" spans="18:19">
      <c r="R58960" s="178"/>
      <c r="S58960" s="178"/>
    </row>
    <row r="58961" spans="18:19">
      <c r="R58961" s="178"/>
      <c r="S58961" s="178"/>
    </row>
    <row r="58962" spans="18:19">
      <c r="R58962" s="178"/>
      <c r="S58962" s="178"/>
    </row>
    <row r="58963" spans="18:19">
      <c r="R58963" s="178"/>
      <c r="S58963" s="178"/>
    </row>
    <row r="58964" spans="18:19">
      <c r="R58964" s="178"/>
      <c r="S58964" s="178"/>
    </row>
    <row r="58965" spans="18:19">
      <c r="R58965" s="178"/>
      <c r="S58965" s="178"/>
    </row>
    <row r="58966" spans="18:19">
      <c r="R58966" s="178"/>
      <c r="S58966" s="178"/>
    </row>
    <row r="58967" spans="18:19">
      <c r="R58967" s="178"/>
      <c r="S58967" s="178"/>
    </row>
    <row r="58968" spans="18:19">
      <c r="R58968" s="178"/>
      <c r="S58968" s="178"/>
    </row>
    <row r="58969" spans="18:19">
      <c r="R58969" s="178"/>
      <c r="S58969" s="178"/>
    </row>
    <row r="58970" spans="18:19">
      <c r="R58970" s="178"/>
      <c r="S58970" s="178"/>
    </row>
    <row r="58971" spans="18:19">
      <c r="R58971" s="178"/>
      <c r="S58971" s="178"/>
    </row>
    <row r="58972" spans="18:19">
      <c r="R58972" s="178"/>
      <c r="S58972" s="178"/>
    </row>
    <row r="58973" spans="18:19">
      <c r="R58973" s="178"/>
      <c r="S58973" s="178"/>
    </row>
    <row r="58974" spans="18:19">
      <c r="R58974" s="178"/>
      <c r="S58974" s="178"/>
    </row>
    <row r="58975" spans="18:19">
      <c r="R58975" s="178"/>
      <c r="S58975" s="178"/>
    </row>
    <row r="58976" spans="18:19">
      <c r="R58976" s="178"/>
      <c r="S58976" s="178"/>
    </row>
    <row r="58977" spans="18:19">
      <c r="R58977" s="178"/>
      <c r="S58977" s="178"/>
    </row>
    <row r="58978" spans="18:19">
      <c r="R58978" s="178"/>
      <c r="S58978" s="178"/>
    </row>
    <row r="58979" spans="18:19">
      <c r="R58979" s="178"/>
      <c r="S58979" s="178"/>
    </row>
    <row r="58980" spans="18:19">
      <c r="R58980" s="178"/>
      <c r="S58980" s="178"/>
    </row>
    <row r="58981" spans="18:19">
      <c r="R58981" s="178"/>
      <c r="S58981" s="178"/>
    </row>
    <row r="58982" spans="18:19">
      <c r="R58982" s="178"/>
      <c r="S58982" s="178"/>
    </row>
    <row r="58983" spans="18:19">
      <c r="R58983" s="178"/>
      <c r="S58983" s="178"/>
    </row>
    <row r="58984" spans="18:19">
      <c r="R58984" s="178"/>
      <c r="S58984" s="178"/>
    </row>
    <row r="58985" spans="18:19">
      <c r="R58985" s="178"/>
      <c r="S58985" s="178"/>
    </row>
    <row r="58986" spans="18:19">
      <c r="R58986" s="178"/>
      <c r="S58986" s="178"/>
    </row>
    <row r="58987" spans="18:19">
      <c r="R58987" s="178"/>
      <c r="S58987" s="178"/>
    </row>
    <row r="58988" spans="18:19">
      <c r="R58988" s="178"/>
      <c r="S58988" s="178"/>
    </row>
    <row r="58989" spans="18:19">
      <c r="R58989" s="178"/>
      <c r="S58989" s="178"/>
    </row>
    <row r="58990" spans="18:19">
      <c r="R58990" s="178"/>
      <c r="S58990" s="178"/>
    </row>
    <row r="58991" spans="18:19">
      <c r="R58991" s="178"/>
      <c r="S58991" s="178"/>
    </row>
    <row r="58992" spans="18:19">
      <c r="R58992" s="178"/>
      <c r="S58992" s="178"/>
    </row>
    <row r="58993" spans="18:19">
      <c r="R58993" s="178"/>
      <c r="S58993" s="178"/>
    </row>
    <row r="58994" spans="18:19">
      <c r="R58994" s="178"/>
      <c r="S58994" s="178"/>
    </row>
    <row r="58995" spans="18:19">
      <c r="R58995" s="178"/>
      <c r="S58995" s="178"/>
    </row>
    <row r="58996" spans="18:19">
      <c r="R58996" s="178"/>
      <c r="S58996" s="178"/>
    </row>
    <row r="58997" spans="18:19">
      <c r="R58997" s="178"/>
      <c r="S58997" s="178"/>
    </row>
    <row r="58998" spans="18:19">
      <c r="R58998" s="178"/>
      <c r="S58998" s="178"/>
    </row>
    <row r="58999" spans="18:19">
      <c r="R58999" s="178"/>
      <c r="S58999" s="178"/>
    </row>
    <row r="59000" spans="18:19">
      <c r="R59000" s="178"/>
      <c r="S59000" s="178"/>
    </row>
    <row r="59001" spans="18:19">
      <c r="R59001" s="178"/>
      <c r="S59001" s="178"/>
    </row>
    <row r="59002" spans="18:19">
      <c r="R59002" s="178"/>
      <c r="S59002" s="178"/>
    </row>
    <row r="59003" spans="18:19">
      <c r="R59003" s="178"/>
      <c r="S59003" s="178"/>
    </row>
    <row r="59004" spans="18:19">
      <c r="R59004" s="178"/>
      <c r="S59004" s="178"/>
    </row>
    <row r="59005" spans="18:19">
      <c r="R59005" s="178"/>
      <c r="S59005" s="178"/>
    </row>
    <row r="59006" spans="18:19">
      <c r="R59006" s="178"/>
      <c r="S59006" s="178"/>
    </row>
    <row r="59007" spans="18:19">
      <c r="R59007" s="178"/>
      <c r="S59007" s="178"/>
    </row>
    <row r="59008" spans="18:19">
      <c r="R59008" s="178"/>
      <c r="S59008" s="178"/>
    </row>
    <row r="59009" spans="18:19">
      <c r="R59009" s="178"/>
      <c r="S59009" s="178"/>
    </row>
    <row r="59010" spans="18:19">
      <c r="R59010" s="178"/>
      <c r="S59010" s="178"/>
    </row>
    <row r="59011" spans="18:19">
      <c r="R59011" s="178"/>
      <c r="S59011" s="178"/>
    </row>
    <row r="59012" spans="18:19">
      <c r="R59012" s="178"/>
      <c r="S59012" s="178"/>
    </row>
    <row r="59013" spans="18:19">
      <c r="R59013" s="178"/>
      <c r="S59013" s="178"/>
    </row>
    <row r="59014" spans="18:19">
      <c r="R59014" s="178"/>
      <c r="S59014" s="178"/>
    </row>
    <row r="59015" spans="18:19">
      <c r="R59015" s="178"/>
      <c r="S59015" s="178"/>
    </row>
    <row r="59016" spans="18:19">
      <c r="R59016" s="178"/>
      <c r="S59016" s="178"/>
    </row>
    <row r="59017" spans="18:19">
      <c r="R59017" s="178"/>
      <c r="S59017" s="178"/>
    </row>
    <row r="59018" spans="18:19">
      <c r="R59018" s="178"/>
      <c r="S59018" s="178"/>
    </row>
    <row r="59019" spans="18:19">
      <c r="R59019" s="178"/>
      <c r="S59019" s="178"/>
    </row>
    <row r="59020" spans="18:19">
      <c r="R59020" s="178"/>
      <c r="S59020" s="178"/>
    </row>
    <row r="59021" spans="18:19">
      <c r="R59021" s="178"/>
      <c r="S59021" s="178"/>
    </row>
    <row r="59022" spans="18:19">
      <c r="R59022" s="178"/>
      <c r="S59022" s="178"/>
    </row>
    <row r="59023" spans="18:19">
      <c r="R59023" s="178"/>
      <c r="S59023" s="178"/>
    </row>
    <row r="59024" spans="18:19">
      <c r="R59024" s="178"/>
      <c r="S59024" s="178"/>
    </row>
    <row r="59025" spans="18:19">
      <c r="R59025" s="178"/>
      <c r="S59025" s="178"/>
    </row>
    <row r="59026" spans="18:19">
      <c r="R59026" s="178"/>
      <c r="S59026" s="178"/>
    </row>
    <row r="59027" spans="18:19">
      <c r="R59027" s="178"/>
      <c r="S59027" s="178"/>
    </row>
    <row r="59028" spans="18:19">
      <c r="R59028" s="178"/>
      <c r="S59028" s="178"/>
    </row>
    <row r="59029" spans="18:19">
      <c r="R59029" s="178"/>
      <c r="S59029" s="178"/>
    </row>
    <row r="59030" spans="18:19">
      <c r="R59030" s="178"/>
      <c r="S59030" s="178"/>
    </row>
    <row r="59031" spans="18:19">
      <c r="R59031" s="178"/>
      <c r="S59031" s="178"/>
    </row>
    <row r="59032" spans="18:19">
      <c r="R59032" s="178"/>
      <c r="S59032" s="178"/>
    </row>
    <row r="59033" spans="18:19">
      <c r="R59033" s="178"/>
      <c r="S59033" s="178"/>
    </row>
    <row r="59034" spans="18:19">
      <c r="R59034" s="178"/>
      <c r="S59034" s="178"/>
    </row>
    <row r="59035" spans="18:19">
      <c r="R59035" s="178"/>
      <c r="S59035" s="178"/>
    </row>
    <row r="59036" spans="18:19">
      <c r="R59036" s="178"/>
      <c r="S59036" s="178"/>
    </row>
    <row r="59037" spans="18:19">
      <c r="R59037" s="178"/>
      <c r="S59037" s="178"/>
    </row>
    <row r="59038" spans="18:19">
      <c r="R59038" s="178"/>
      <c r="S59038" s="178"/>
    </row>
    <row r="59039" spans="18:19">
      <c r="R59039" s="178"/>
      <c r="S59039" s="178"/>
    </row>
    <row r="59040" spans="18:19">
      <c r="R59040" s="178"/>
      <c r="S59040" s="178"/>
    </row>
    <row r="59041" spans="18:19">
      <c r="R59041" s="178"/>
      <c r="S59041" s="178"/>
    </row>
    <row r="59042" spans="18:19">
      <c r="R59042" s="178"/>
      <c r="S59042" s="178"/>
    </row>
    <row r="59043" spans="18:19">
      <c r="R59043" s="178"/>
      <c r="S59043" s="178"/>
    </row>
    <row r="59044" spans="18:19">
      <c r="R59044" s="178"/>
      <c r="S59044" s="178"/>
    </row>
    <row r="59045" spans="18:19">
      <c r="R59045" s="178"/>
      <c r="S59045" s="178"/>
    </row>
    <row r="59046" spans="18:19">
      <c r="R59046" s="178"/>
      <c r="S59046" s="178"/>
    </row>
    <row r="59047" spans="18:19">
      <c r="R59047" s="178"/>
      <c r="S59047" s="178"/>
    </row>
    <row r="59048" spans="18:19">
      <c r="R59048" s="178"/>
      <c r="S59048" s="178"/>
    </row>
    <row r="59049" spans="18:19">
      <c r="R59049" s="178"/>
      <c r="S59049" s="178"/>
    </row>
    <row r="59050" spans="18:19">
      <c r="R59050" s="178"/>
      <c r="S59050" s="178"/>
    </row>
    <row r="59051" spans="18:19">
      <c r="R59051" s="178"/>
      <c r="S59051" s="178"/>
    </row>
    <row r="59052" spans="18:19">
      <c r="R59052" s="178"/>
      <c r="S59052" s="178"/>
    </row>
    <row r="59053" spans="18:19">
      <c r="R59053" s="178"/>
      <c r="S59053" s="178"/>
    </row>
    <row r="59054" spans="18:19">
      <c r="R59054" s="178"/>
      <c r="S59054" s="178"/>
    </row>
    <row r="59055" spans="18:19">
      <c r="R59055" s="178"/>
      <c r="S59055" s="178"/>
    </row>
    <row r="59056" spans="18:19">
      <c r="R59056" s="178"/>
      <c r="S59056" s="178"/>
    </row>
    <row r="59057" spans="18:19">
      <c r="R59057" s="178"/>
      <c r="S59057" s="178"/>
    </row>
    <row r="59058" spans="18:19">
      <c r="R59058" s="178"/>
      <c r="S59058" s="178"/>
    </row>
    <row r="59059" spans="18:19">
      <c r="R59059" s="178"/>
      <c r="S59059" s="178"/>
    </row>
    <row r="59060" spans="18:19">
      <c r="R59060" s="178"/>
      <c r="S59060" s="178"/>
    </row>
    <row r="59061" spans="18:19">
      <c r="R59061" s="178"/>
      <c r="S59061" s="178"/>
    </row>
    <row r="59062" spans="18:19">
      <c r="R59062" s="178"/>
      <c r="S59062" s="178"/>
    </row>
    <row r="59063" spans="18:19">
      <c r="R59063" s="178"/>
      <c r="S59063" s="178"/>
    </row>
    <row r="59064" spans="18:19">
      <c r="R59064" s="178"/>
      <c r="S59064" s="178"/>
    </row>
    <row r="59065" spans="18:19">
      <c r="R59065" s="178"/>
      <c r="S59065" s="178"/>
    </row>
    <row r="59066" spans="18:19">
      <c r="R59066" s="178"/>
      <c r="S59066" s="178"/>
    </row>
    <row r="59067" spans="18:19">
      <c r="R59067" s="178"/>
      <c r="S59067" s="178"/>
    </row>
    <row r="59068" spans="18:19">
      <c r="R59068" s="178"/>
      <c r="S59068" s="178"/>
    </row>
    <row r="59069" spans="18:19">
      <c r="R59069" s="178"/>
      <c r="S59069" s="178"/>
    </row>
    <row r="59070" spans="18:19">
      <c r="R59070" s="178"/>
      <c r="S59070" s="178"/>
    </row>
    <row r="59071" spans="18:19">
      <c r="R59071" s="178"/>
      <c r="S59071" s="178"/>
    </row>
    <row r="59072" spans="18:19">
      <c r="R59072" s="178"/>
      <c r="S59072" s="178"/>
    </row>
    <row r="59073" spans="18:19">
      <c r="R59073" s="178"/>
      <c r="S59073" s="178"/>
    </row>
    <row r="59074" spans="18:19">
      <c r="R59074" s="178"/>
      <c r="S59074" s="178"/>
    </row>
    <row r="59075" spans="18:19">
      <c r="R59075" s="178"/>
      <c r="S59075" s="178"/>
    </row>
    <row r="59076" spans="18:19">
      <c r="R59076" s="178"/>
      <c r="S59076" s="178"/>
    </row>
    <row r="59077" spans="18:19">
      <c r="R59077" s="178"/>
      <c r="S59077" s="178"/>
    </row>
    <row r="59078" spans="18:19">
      <c r="R59078" s="178"/>
      <c r="S59078" s="178"/>
    </row>
    <row r="59079" spans="18:19">
      <c r="R59079" s="178"/>
      <c r="S59079" s="178"/>
    </row>
    <row r="59080" spans="18:19">
      <c r="R59080" s="178"/>
      <c r="S59080" s="178"/>
    </row>
    <row r="59081" spans="18:19">
      <c r="R59081" s="178"/>
      <c r="S59081" s="178"/>
    </row>
    <row r="59082" spans="18:19">
      <c r="R59082" s="178"/>
      <c r="S59082" s="178"/>
    </row>
    <row r="59083" spans="18:19">
      <c r="R59083" s="178"/>
      <c r="S59083" s="178"/>
    </row>
    <row r="59084" spans="18:19">
      <c r="R59084" s="178"/>
      <c r="S59084" s="178"/>
    </row>
    <row r="59085" spans="18:19">
      <c r="R59085" s="178"/>
      <c r="S59085" s="178"/>
    </row>
    <row r="59086" spans="18:19">
      <c r="R59086" s="178"/>
      <c r="S59086" s="178"/>
    </row>
    <row r="59087" spans="18:19">
      <c r="R59087" s="178"/>
      <c r="S59087" s="178"/>
    </row>
    <row r="59088" spans="18:19">
      <c r="R59088" s="178"/>
      <c r="S59088" s="178"/>
    </row>
    <row r="59089" spans="18:19">
      <c r="R59089" s="178"/>
      <c r="S59089" s="178"/>
    </row>
    <row r="59090" spans="18:19">
      <c r="R59090" s="178"/>
      <c r="S59090" s="178"/>
    </row>
    <row r="59091" spans="18:19">
      <c r="R59091" s="178"/>
      <c r="S59091" s="178"/>
    </row>
    <row r="59092" spans="18:19">
      <c r="R59092" s="178"/>
      <c r="S59092" s="178"/>
    </row>
    <row r="59093" spans="18:19">
      <c r="R59093" s="178"/>
      <c r="S59093" s="178"/>
    </row>
    <row r="59094" spans="18:19">
      <c r="R59094" s="178"/>
      <c r="S59094" s="178"/>
    </row>
    <row r="59095" spans="18:19">
      <c r="R59095" s="178"/>
      <c r="S59095" s="178"/>
    </row>
    <row r="59096" spans="18:19">
      <c r="R59096" s="178"/>
      <c r="S59096" s="178"/>
    </row>
    <row r="59097" spans="18:19">
      <c r="R59097" s="178"/>
      <c r="S59097" s="178"/>
    </row>
    <row r="59098" spans="18:19">
      <c r="R59098" s="178"/>
      <c r="S59098" s="178"/>
    </row>
    <row r="59099" spans="18:19">
      <c r="R59099" s="178"/>
      <c r="S59099" s="178"/>
    </row>
    <row r="59100" spans="18:19">
      <c r="R59100" s="178"/>
      <c r="S59100" s="178"/>
    </row>
    <row r="59101" spans="18:19">
      <c r="R59101" s="178"/>
      <c r="S59101" s="178"/>
    </row>
    <row r="59102" spans="18:19">
      <c r="R59102" s="178"/>
      <c r="S59102" s="178"/>
    </row>
    <row r="59103" spans="18:19">
      <c r="R59103" s="178"/>
      <c r="S59103" s="178"/>
    </row>
    <row r="59104" spans="18:19">
      <c r="R59104" s="178"/>
      <c r="S59104" s="178"/>
    </row>
    <row r="59105" spans="18:19">
      <c r="R59105" s="178"/>
      <c r="S59105" s="178"/>
    </row>
    <row r="59106" spans="18:19">
      <c r="R59106" s="178"/>
      <c r="S59106" s="178"/>
    </row>
    <row r="59107" spans="18:19">
      <c r="R59107" s="178"/>
      <c r="S59107" s="178"/>
    </row>
    <row r="59108" spans="18:19">
      <c r="R59108" s="178"/>
      <c r="S59108" s="178"/>
    </row>
    <row r="59109" spans="18:19">
      <c r="R59109" s="178"/>
      <c r="S59109" s="178"/>
    </row>
    <row r="59110" spans="18:19">
      <c r="R59110" s="178"/>
      <c r="S59110" s="178"/>
    </row>
    <row r="59111" spans="18:19">
      <c r="R59111" s="178"/>
      <c r="S59111" s="178"/>
    </row>
    <row r="59112" spans="18:19">
      <c r="R59112" s="178"/>
      <c r="S59112" s="178"/>
    </row>
    <row r="59113" spans="18:19">
      <c r="R59113" s="178"/>
      <c r="S59113" s="178"/>
    </row>
    <row r="59114" spans="18:19">
      <c r="R59114" s="178"/>
      <c r="S59114" s="178"/>
    </row>
    <row r="59115" spans="18:19">
      <c r="R59115" s="178"/>
      <c r="S59115" s="178"/>
    </row>
    <row r="59116" spans="18:19">
      <c r="R59116" s="178"/>
      <c r="S59116" s="178"/>
    </row>
    <row r="59117" spans="18:19">
      <c r="R59117" s="178"/>
      <c r="S59117" s="178"/>
    </row>
    <row r="59118" spans="18:19">
      <c r="R59118" s="178"/>
      <c r="S59118" s="178"/>
    </row>
    <row r="59119" spans="18:19">
      <c r="R59119" s="178"/>
      <c r="S59119" s="178"/>
    </row>
    <row r="59120" spans="18:19">
      <c r="R59120" s="178"/>
      <c r="S59120" s="178"/>
    </row>
    <row r="59121" spans="18:19">
      <c r="R59121" s="178"/>
      <c r="S59121" s="178"/>
    </row>
    <row r="59122" spans="18:19">
      <c r="R59122" s="178"/>
      <c r="S59122" s="178"/>
    </row>
    <row r="59123" spans="18:19">
      <c r="R59123" s="178"/>
      <c r="S59123" s="178"/>
    </row>
    <row r="59124" spans="18:19">
      <c r="R59124" s="178"/>
      <c r="S59124" s="178"/>
    </row>
    <row r="59125" spans="18:19">
      <c r="R59125" s="178"/>
      <c r="S59125" s="178"/>
    </row>
    <row r="59126" spans="18:19">
      <c r="R59126" s="178"/>
      <c r="S59126" s="178"/>
    </row>
    <row r="59127" spans="18:19">
      <c r="R59127" s="178"/>
      <c r="S59127" s="178"/>
    </row>
    <row r="59128" spans="18:19">
      <c r="R59128" s="178"/>
      <c r="S59128" s="178"/>
    </row>
    <row r="59129" spans="18:19">
      <c r="R59129" s="178"/>
      <c r="S59129" s="178"/>
    </row>
    <row r="59130" spans="18:19">
      <c r="R59130" s="178"/>
      <c r="S59130" s="178"/>
    </row>
    <row r="59131" spans="18:19">
      <c r="R59131" s="178"/>
      <c r="S59131" s="178"/>
    </row>
    <row r="59132" spans="18:19">
      <c r="R59132" s="178"/>
      <c r="S59132" s="178"/>
    </row>
    <row r="59133" spans="18:19">
      <c r="R59133" s="178"/>
      <c r="S59133" s="178"/>
    </row>
    <row r="59134" spans="18:19">
      <c r="R59134" s="178"/>
      <c r="S59134" s="178"/>
    </row>
    <row r="59135" spans="18:19">
      <c r="R59135" s="178"/>
      <c r="S59135" s="178"/>
    </row>
    <row r="59136" spans="18:19">
      <c r="R59136" s="178"/>
      <c r="S59136" s="178"/>
    </row>
    <row r="59137" spans="18:19">
      <c r="R59137" s="178"/>
      <c r="S59137" s="178"/>
    </row>
    <row r="59138" spans="18:19">
      <c r="R59138" s="178"/>
      <c r="S59138" s="178"/>
    </row>
    <row r="59139" spans="18:19">
      <c r="R59139" s="178"/>
      <c r="S59139" s="178"/>
    </row>
    <row r="59140" spans="18:19">
      <c r="R59140" s="178"/>
      <c r="S59140" s="178"/>
    </row>
    <row r="59141" spans="18:19">
      <c r="R59141" s="178"/>
      <c r="S59141" s="178"/>
    </row>
    <row r="59142" spans="18:19">
      <c r="R59142" s="178"/>
      <c r="S59142" s="178"/>
    </row>
    <row r="59143" spans="18:19">
      <c r="R59143" s="178"/>
      <c r="S59143" s="178"/>
    </row>
    <row r="59144" spans="18:19">
      <c r="R59144" s="178"/>
      <c r="S59144" s="178"/>
    </row>
    <row r="59145" spans="18:19">
      <c r="R59145" s="178"/>
      <c r="S59145" s="178"/>
    </row>
    <row r="59146" spans="18:19">
      <c r="R59146" s="178"/>
      <c r="S59146" s="178"/>
    </row>
    <row r="59147" spans="18:19">
      <c r="R59147" s="178"/>
      <c r="S59147" s="178"/>
    </row>
    <row r="59148" spans="18:19">
      <c r="R59148" s="178"/>
      <c r="S59148" s="178"/>
    </row>
    <row r="59149" spans="18:19">
      <c r="R59149" s="178"/>
      <c r="S59149" s="178"/>
    </row>
    <row r="59150" spans="18:19">
      <c r="R59150" s="178"/>
      <c r="S59150" s="178"/>
    </row>
    <row r="59151" spans="18:19">
      <c r="R59151" s="178"/>
      <c r="S59151" s="178"/>
    </row>
    <row r="59152" spans="18:19">
      <c r="R59152" s="178"/>
      <c r="S59152" s="178"/>
    </row>
    <row r="59153" spans="18:19">
      <c r="R59153" s="178"/>
      <c r="S59153" s="178"/>
    </row>
    <row r="59154" spans="18:19">
      <c r="R59154" s="178"/>
      <c r="S59154" s="178"/>
    </row>
    <row r="59155" spans="18:19">
      <c r="R59155" s="178"/>
      <c r="S59155" s="178"/>
    </row>
    <row r="59156" spans="18:19">
      <c r="R59156" s="178"/>
      <c r="S59156" s="178"/>
    </row>
    <row r="59157" spans="18:19">
      <c r="R59157" s="178"/>
      <c r="S59157" s="178"/>
    </row>
    <row r="59158" spans="18:19">
      <c r="R59158" s="178"/>
      <c r="S59158" s="178"/>
    </row>
    <row r="59159" spans="18:19">
      <c r="R59159" s="178"/>
      <c r="S59159" s="178"/>
    </row>
    <row r="59160" spans="18:19">
      <c r="R59160" s="178"/>
      <c r="S59160" s="178"/>
    </row>
    <row r="59161" spans="18:19">
      <c r="R59161" s="178"/>
      <c r="S59161" s="178"/>
    </row>
    <row r="59162" spans="18:19">
      <c r="R59162" s="178"/>
      <c r="S59162" s="178"/>
    </row>
    <row r="59163" spans="18:19">
      <c r="R59163" s="178"/>
      <c r="S59163" s="178"/>
    </row>
    <row r="59164" spans="18:19">
      <c r="R59164" s="178"/>
      <c r="S59164" s="178"/>
    </row>
    <row r="59165" spans="18:19">
      <c r="R59165" s="178"/>
      <c r="S59165" s="178"/>
    </row>
    <row r="59166" spans="18:19">
      <c r="R59166" s="178"/>
      <c r="S59166" s="178"/>
    </row>
    <row r="59167" spans="18:19">
      <c r="R59167" s="178"/>
      <c r="S59167" s="178"/>
    </row>
    <row r="59168" spans="18:19">
      <c r="R59168" s="178"/>
      <c r="S59168" s="178"/>
    </row>
    <row r="59169" spans="18:19">
      <c r="R59169" s="178"/>
      <c r="S59169" s="178"/>
    </row>
    <row r="59170" spans="18:19">
      <c r="R59170" s="178"/>
      <c r="S59170" s="178"/>
    </row>
    <row r="59171" spans="18:19">
      <c r="R59171" s="178"/>
      <c r="S59171" s="178"/>
    </row>
    <row r="59172" spans="18:19">
      <c r="R59172" s="178"/>
      <c r="S59172" s="178"/>
    </row>
    <row r="59173" spans="18:19">
      <c r="R59173" s="178"/>
      <c r="S59173" s="178"/>
    </row>
    <row r="59174" spans="18:19">
      <c r="R59174" s="178"/>
      <c r="S59174" s="178"/>
    </row>
    <row r="59175" spans="18:19">
      <c r="R59175" s="178"/>
      <c r="S59175" s="178"/>
    </row>
    <row r="59176" spans="18:19">
      <c r="R59176" s="178"/>
      <c r="S59176" s="178"/>
    </row>
    <row r="59177" spans="18:19">
      <c r="R59177" s="178"/>
      <c r="S59177" s="178"/>
    </row>
    <row r="59178" spans="18:19">
      <c r="R59178" s="178"/>
      <c r="S59178" s="178"/>
    </row>
    <row r="59179" spans="18:19">
      <c r="R59179" s="178"/>
      <c r="S59179" s="178"/>
    </row>
    <row r="59180" spans="18:19">
      <c r="R59180" s="178"/>
      <c r="S59180" s="178"/>
    </row>
    <row r="59181" spans="18:19">
      <c r="R59181" s="178"/>
      <c r="S59181" s="178"/>
    </row>
    <row r="59182" spans="18:19">
      <c r="R59182" s="178"/>
      <c r="S59182" s="178"/>
    </row>
    <row r="59183" spans="18:19">
      <c r="R59183" s="178"/>
      <c r="S59183" s="178"/>
    </row>
    <row r="59184" spans="18:19">
      <c r="R59184" s="178"/>
      <c r="S59184" s="178"/>
    </row>
    <row r="59185" spans="18:19">
      <c r="R59185" s="178"/>
      <c r="S59185" s="178"/>
    </row>
    <row r="59186" spans="18:19">
      <c r="R59186" s="178"/>
      <c r="S59186" s="178"/>
    </row>
    <row r="59187" spans="18:19">
      <c r="R59187" s="178"/>
      <c r="S59187" s="178"/>
    </row>
    <row r="59188" spans="18:19">
      <c r="R59188" s="178"/>
      <c r="S59188" s="178"/>
    </row>
    <row r="59189" spans="18:19">
      <c r="R59189" s="178"/>
      <c r="S59189" s="178"/>
    </row>
    <row r="59190" spans="18:19">
      <c r="R59190" s="178"/>
      <c r="S59190" s="178"/>
    </row>
    <row r="59191" spans="18:19">
      <c r="R59191" s="178"/>
      <c r="S59191" s="178"/>
    </row>
    <row r="59192" spans="18:19">
      <c r="R59192" s="178"/>
      <c r="S59192" s="178"/>
    </row>
    <row r="59193" spans="18:19">
      <c r="R59193" s="178"/>
      <c r="S59193" s="178"/>
    </row>
    <row r="59194" spans="18:19">
      <c r="R59194" s="178"/>
      <c r="S59194" s="178"/>
    </row>
    <row r="59195" spans="18:19">
      <c r="R59195" s="178"/>
      <c r="S59195" s="178"/>
    </row>
    <row r="59196" spans="18:19">
      <c r="R59196" s="178"/>
      <c r="S59196" s="178"/>
    </row>
    <row r="59197" spans="18:19">
      <c r="R59197" s="178"/>
      <c r="S59197" s="178"/>
    </row>
    <row r="59198" spans="18:19">
      <c r="R59198" s="178"/>
      <c r="S59198" s="178"/>
    </row>
    <row r="59199" spans="18:19">
      <c r="R59199" s="178"/>
      <c r="S59199" s="178"/>
    </row>
    <row r="59200" spans="18:19">
      <c r="R59200" s="178"/>
      <c r="S59200" s="178"/>
    </row>
    <row r="59201" spans="18:19">
      <c r="R59201" s="178"/>
      <c r="S59201" s="178"/>
    </row>
    <row r="59202" spans="18:19">
      <c r="R59202" s="178"/>
      <c r="S59202" s="178"/>
    </row>
    <row r="59203" spans="18:19">
      <c r="R59203" s="178"/>
      <c r="S59203" s="178"/>
    </row>
    <row r="59204" spans="18:19">
      <c r="R59204" s="178"/>
      <c r="S59204" s="178"/>
    </row>
    <row r="59205" spans="18:19">
      <c r="R59205" s="178"/>
      <c r="S59205" s="178"/>
    </row>
    <row r="59206" spans="18:19">
      <c r="R59206" s="178"/>
      <c r="S59206" s="178"/>
    </row>
    <row r="59207" spans="18:19">
      <c r="R59207" s="178"/>
      <c r="S59207" s="178"/>
    </row>
    <row r="59208" spans="18:19">
      <c r="R59208" s="178"/>
      <c r="S59208" s="178"/>
    </row>
    <row r="59209" spans="18:19">
      <c r="R59209" s="178"/>
      <c r="S59209" s="178"/>
    </row>
    <row r="59210" spans="18:19">
      <c r="R59210" s="178"/>
      <c r="S59210" s="178"/>
    </row>
    <row r="59211" spans="18:19">
      <c r="R59211" s="178"/>
      <c r="S59211" s="178"/>
    </row>
    <row r="59212" spans="18:19">
      <c r="R59212" s="178"/>
      <c r="S59212" s="178"/>
    </row>
    <row r="59213" spans="18:19">
      <c r="R59213" s="178"/>
      <c r="S59213" s="178"/>
    </row>
    <row r="59214" spans="18:19">
      <c r="R59214" s="178"/>
      <c r="S59214" s="178"/>
    </row>
    <row r="59215" spans="18:19">
      <c r="R59215" s="178"/>
      <c r="S59215" s="178"/>
    </row>
    <row r="59216" spans="18:19">
      <c r="R59216" s="178"/>
      <c r="S59216" s="178"/>
    </row>
    <row r="59217" spans="18:19">
      <c r="R59217" s="178"/>
      <c r="S59217" s="178"/>
    </row>
    <row r="59218" spans="18:19">
      <c r="R59218" s="178"/>
      <c r="S59218" s="178"/>
    </row>
    <row r="59219" spans="18:19">
      <c r="R59219" s="178"/>
      <c r="S59219" s="178"/>
    </row>
    <row r="59220" spans="18:19">
      <c r="R59220" s="178"/>
      <c r="S59220" s="178"/>
    </row>
    <row r="59221" spans="18:19">
      <c r="R59221" s="178"/>
      <c r="S59221" s="178"/>
    </row>
    <row r="59222" spans="18:19">
      <c r="R59222" s="178"/>
      <c r="S59222" s="178"/>
    </row>
    <row r="59223" spans="18:19">
      <c r="R59223" s="178"/>
      <c r="S59223" s="178"/>
    </row>
    <row r="59224" spans="18:19">
      <c r="R59224" s="178"/>
      <c r="S59224" s="178"/>
    </row>
    <row r="59225" spans="18:19">
      <c r="R59225" s="178"/>
      <c r="S59225" s="178"/>
    </row>
    <row r="59226" spans="18:19">
      <c r="R59226" s="178"/>
      <c r="S59226" s="178"/>
    </row>
    <row r="59227" spans="18:19">
      <c r="R59227" s="178"/>
      <c r="S59227" s="178"/>
    </row>
    <row r="59228" spans="18:19">
      <c r="R59228" s="178"/>
      <c r="S59228" s="178"/>
    </row>
    <row r="59229" spans="18:19">
      <c r="R59229" s="178"/>
      <c r="S59229" s="178"/>
    </row>
    <row r="59230" spans="18:19">
      <c r="R59230" s="178"/>
      <c r="S59230" s="178"/>
    </row>
    <row r="59231" spans="18:19">
      <c r="R59231" s="178"/>
      <c r="S59231" s="178"/>
    </row>
    <row r="59232" spans="18:19">
      <c r="R59232" s="178"/>
      <c r="S59232" s="178"/>
    </row>
    <row r="59233" spans="18:19">
      <c r="R59233" s="178"/>
      <c r="S59233" s="178"/>
    </row>
    <row r="59234" spans="18:19">
      <c r="R59234" s="178"/>
      <c r="S59234" s="178"/>
    </row>
    <row r="59235" spans="18:19">
      <c r="R59235" s="178"/>
      <c r="S59235" s="178"/>
    </row>
    <row r="59236" spans="18:19">
      <c r="R59236" s="178"/>
      <c r="S59236" s="178"/>
    </row>
    <row r="59237" spans="18:19">
      <c r="R59237" s="178"/>
      <c r="S59237" s="178"/>
    </row>
    <row r="59238" spans="18:19">
      <c r="R59238" s="178"/>
      <c r="S59238" s="178"/>
    </row>
    <row r="59239" spans="18:19">
      <c r="R59239" s="178"/>
      <c r="S59239" s="178"/>
    </row>
    <row r="59240" spans="18:19">
      <c r="R59240" s="178"/>
      <c r="S59240" s="178"/>
    </row>
    <row r="59241" spans="18:19">
      <c r="R59241" s="178"/>
      <c r="S59241" s="178"/>
    </row>
    <row r="59242" spans="18:19">
      <c r="R59242" s="178"/>
      <c r="S59242" s="178"/>
    </row>
    <row r="59243" spans="18:19">
      <c r="R59243" s="178"/>
      <c r="S59243" s="178"/>
    </row>
    <row r="59244" spans="18:19">
      <c r="R59244" s="178"/>
      <c r="S59244" s="178"/>
    </row>
    <row r="59245" spans="18:19">
      <c r="R59245" s="178"/>
      <c r="S59245" s="178"/>
    </row>
    <row r="59246" spans="18:19">
      <c r="R59246" s="178"/>
      <c r="S59246" s="178"/>
    </row>
    <row r="59247" spans="18:19">
      <c r="R59247" s="178"/>
      <c r="S59247" s="178"/>
    </row>
    <row r="59248" spans="18:19">
      <c r="R59248" s="178"/>
      <c r="S59248" s="178"/>
    </row>
    <row r="59249" spans="18:19">
      <c r="R59249" s="178"/>
      <c r="S59249" s="178"/>
    </row>
    <row r="59250" spans="18:19">
      <c r="R59250" s="178"/>
      <c r="S59250" s="178"/>
    </row>
    <row r="59251" spans="18:19">
      <c r="R59251" s="178"/>
      <c r="S59251" s="178"/>
    </row>
    <row r="59252" spans="18:19">
      <c r="R59252" s="178"/>
      <c r="S59252" s="178"/>
    </row>
    <row r="59253" spans="18:19">
      <c r="R59253" s="178"/>
      <c r="S59253" s="178"/>
    </row>
    <row r="59254" spans="18:19">
      <c r="R59254" s="178"/>
      <c r="S59254" s="178"/>
    </row>
    <row r="59255" spans="18:19">
      <c r="R59255" s="178"/>
      <c r="S59255" s="178"/>
    </row>
    <row r="59256" spans="18:19">
      <c r="R59256" s="178"/>
      <c r="S59256" s="178"/>
    </row>
    <row r="59257" spans="18:19">
      <c r="R59257" s="178"/>
      <c r="S59257" s="178"/>
    </row>
    <row r="59258" spans="18:19">
      <c r="R59258" s="178"/>
      <c r="S59258" s="178"/>
    </row>
    <row r="59259" spans="18:19">
      <c r="R59259" s="178"/>
      <c r="S59259" s="178"/>
    </row>
    <row r="59260" spans="18:19">
      <c r="R59260" s="178"/>
      <c r="S59260" s="178"/>
    </row>
    <row r="59261" spans="18:19">
      <c r="R59261" s="178"/>
      <c r="S59261" s="178"/>
    </row>
    <row r="59262" spans="18:19">
      <c r="R59262" s="178"/>
      <c r="S59262" s="178"/>
    </row>
    <row r="59263" spans="18:19">
      <c r="R59263" s="178"/>
      <c r="S59263" s="178"/>
    </row>
    <row r="59264" spans="18:19">
      <c r="R59264" s="178"/>
      <c r="S59264" s="178"/>
    </row>
    <row r="59265" spans="18:19">
      <c r="R59265" s="178"/>
      <c r="S59265" s="178"/>
    </row>
    <row r="59266" spans="18:19">
      <c r="R59266" s="178"/>
      <c r="S59266" s="178"/>
    </row>
    <row r="59267" spans="18:19">
      <c r="R59267" s="178"/>
      <c r="S59267" s="178"/>
    </row>
    <row r="59268" spans="18:19">
      <c r="R59268" s="178"/>
      <c r="S59268" s="178"/>
    </row>
    <row r="59269" spans="18:19">
      <c r="R59269" s="178"/>
      <c r="S59269" s="178"/>
    </row>
    <row r="59270" spans="18:19">
      <c r="R59270" s="178"/>
      <c r="S59270" s="178"/>
    </row>
    <row r="59271" spans="18:19">
      <c r="R59271" s="178"/>
      <c r="S59271" s="178"/>
    </row>
    <row r="59272" spans="18:19">
      <c r="R59272" s="178"/>
      <c r="S59272" s="178"/>
    </row>
    <row r="59273" spans="18:19">
      <c r="R59273" s="178"/>
      <c r="S59273" s="178"/>
    </row>
    <row r="59274" spans="18:19">
      <c r="R59274" s="178"/>
      <c r="S59274" s="178"/>
    </row>
    <row r="59275" spans="18:19">
      <c r="R59275" s="178"/>
      <c r="S59275" s="178"/>
    </row>
    <row r="59276" spans="18:19">
      <c r="R59276" s="178"/>
      <c r="S59276" s="178"/>
    </row>
    <row r="59277" spans="18:19">
      <c r="R59277" s="178"/>
      <c r="S59277" s="178"/>
    </row>
    <row r="59278" spans="18:19">
      <c r="R59278" s="178"/>
      <c r="S59278" s="178"/>
    </row>
    <row r="59279" spans="18:19">
      <c r="R59279" s="178"/>
      <c r="S59279" s="178"/>
    </row>
    <row r="59280" spans="18:19">
      <c r="R59280" s="178"/>
      <c r="S59280" s="178"/>
    </row>
    <row r="59281" spans="18:19">
      <c r="R59281" s="178"/>
      <c r="S59281" s="178"/>
    </row>
    <row r="59282" spans="18:19">
      <c r="R59282" s="178"/>
      <c r="S59282" s="178"/>
    </row>
    <row r="59283" spans="18:19">
      <c r="R59283" s="178"/>
      <c r="S59283" s="178"/>
    </row>
    <row r="59284" spans="18:19">
      <c r="R59284" s="178"/>
      <c r="S59284" s="178"/>
    </row>
    <row r="59285" spans="18:19">
      <c r="R59285" s="178"/>
      <c r="S59285" s="178"/>
    </row>
    <row r="59286" spans="18:19">
      <c r="R59286" s="178"/>
      <c r="S59286" s="178"/>
    </row>
    <row r="59287" spans="18:19">
      <c r="R59287" s="178"/>
      <c r="S59287" s="178"/>
    </row>
    <row r="59288" spans="18:19">
      <c r="R59288" s="178"/>
      <c r="S59288" s="178"/>
    </row>
    <row r="59289" spans="18:19">
      <c r="R59289" s="178"/>
      <c r="S59289" s="178"/>
    </row>
    <row r="59290" spans="18:19">
      <c r="R59290" s="178"/>
      <c r="S59290" s="178"/>
    </row>
    <row r="59291" spans="18:19">
      <c r="R59291" s="178"/>
      <c r="S59291" s="178"/>
    </row>
    <row r="59292" spans="18:19">
      <c r="R59292" s="178"/>
      <c r="S59292" s="178"/>
    </row>
    <row r="59293" spans="18:19">
      <c r="R59293" s="178"/>
      <c r="S59293" s="178"/>
    </row>
    <row r="59294" spans="18:19">
      <c r="R59294" s="178"/>
      <c r="S59294" s="178"/>
    </row>
    <row r="59295" spans="18:19">
      <c r="R59295" s="178"/>
      <c r="S59295" s="178"/>
    </row>
    <row r="59296" spans="18:19">
      <c r="R59296" s="178"/>
      <c r="S59296" s="178"/>
    </row>
    <row r="59297" spans="18:19">
      <c r="R59297" s="178"/>
      <c r="S59297" s="178"/>
    </row>
    <row r="59298" spans="18:19">
      <c r="R59298" s="178"/>
      <c r="S59298" s="178"/>
    </row>
    <row r="59299" spans="18:19">
      <c r="R59299" s="178"/>
      <c r="S59299" s="178"/>
    </row>
    <row r="59300" spans="18:19">
      <c r="R59300" s="178"/>
      <c r="S59300" s="178"/>
    </row>
    <row r="59301" spans="18:19">
      <c r="R59301" s="178"/>
      <c r="S59301" s="178"/>
    </row>
    <row r="59302" spans="18:19">
      <c r="R59302" s="178"/>
      <c r="S59302" s="178"/>
    </row>
    <row r="59303" spans="18:19">
      <c r="R59303" s="178"/>
      <c r="S59303" s="178"/>
    </row>
    <row r="59304" spans="18:19">
      <c r="R59304" s="178"/>
      <c r="S59304" s="178"/>
    </row>
    <row r="59305" spans="18:19">
      <c r="R59305" s="178"/>
      <c r="S59305" s="178"/>
    </row>
    <row r="59306" spans="18:19">
      <c r="R59306" s="178"/>
      <c r="S59306" s="178"/>
    </row>
    <row r="59307" spans="18:19">
      <c r="R59307" s="178"/>
      <c r="S59307" s="178"/>
    </row>
    <row r="59308" spans="18:19">
      <c r="R59308" s="178"/>
      <c r="S59308" s="178"/>
    </row>
    <row r="59309" spans="18:19">
      <c r="R59309" s="178"/>
      <c r="S59309" s="178"/>
    </row>
    <row r="59310" spans="18:19">
      <c r="R59310" s="178"/>
      <c r="S59310" s="178"/>
    </row>
    <row r="59311" spans="18:19">
      <c r="R59311" s="178"/>
      <c r="S59311" s="178"/>
    </row>
    <row r="59312" spans="18:19">
      <c r="R59312" s="178"/>
      <c r="S59312" s="178"/>
    </row>
    <row r="59313" spans="18:19">
      <c r="R59313" s="178"/>
      <c r="S59313" s="178"/>
    </row>
    <row r="59314" spans="18:19">
      <c r="R59314" s="178"/>
      <c r="S59314" s="178"/>
    </row>
    <row r="59315" spans="18:19">
      <c r="R59315" s="178"/>
      <c r="S59315" s="178"/>
    </row>
    <row r="59316" spans="18:19">
      <c r="R59316" s="178"/>
      <c r="S59316" s="178"/>
    </row>
    <row r="59317" spans="18:19">
      <c r="R59317" s="178"/>
      <c r="S59317" s="178"/>
    </row>
    <row r="59318" spans="18:19">
      <c r="R59318" s="178"/>
      <c r="S59318" s="178"/>
    </row>
    <row r="59319" spans="18:19">
      <c r="R59319" s="178"/>
      <c r="S59319" s="178"/>
    </row>
    <row r="59320" spans="18:19">
      <c r="R59320" s="178"/>
      <c r="S59320" s="178"/>
    </row>
    <row r="59321" spans="18:19">
      <c r="R59321" s="178"/>
      <c r="S59321" s="178"/>
    </row>
    <row r="59322" spans="18:19">
      <c r="R59322" s="178"/>
      <c r="S59322" s="178"/>
    </row>
    <row r="59323" spans="18:19">
      <c r="R59323" s="178"/>
      <c r="S59323" s="178"/>
    </row>
    <row r="59324" spans="18:19">
      <c r="R59324" s="178"/>
      <c r="S59324" s="178"/>
    </row>
    <row r="59325" spans="18:19">
      <c r="R59325" s="178"/>
      <c r="S59325" s="178"/>
    </row>
    <row r="59326" spans="18:19">
      <c r="R59326" s="178"/>
      <c r="S59326" s="178"/>
    </row>
    <row r="59327" spans="18:19">
      <c r="R59327" s="178"/>
      <c r="S59327" s="178"/>
    </row>
    <row r="59328" spans="18:19">
      <c r="R59328" s="178"/>
      <c r="S59328" s="178"/>
    </row>
    <row r="59329" spans="18:19">
      <c r="R59329" s="178"/>
      <c r="S59329" s="178"/>
    </row>
    <row r="59330" spans="18:19">
      <c r="R59330" s="178"/>
      <c r="S59330" s="178"/>
    </row>
    <row r="59331" spans="18:19">
      <c r="R59331" s="178"/>
      <c r="S59331" s="178"/>
    </row>
    <row r="59332" spans="18:19">
      <c r="R59332" s="178"/>
      <c r="S59332" s="178"/>
    </row>
    <row r="59333" spans="18:19">
      <c r="R59333" s="178"/>
      <c r="S59333" s="178"/>
    </row>
    <row r="59334" spans="18:19">
      <c r="R59334" s="178"/>
      <c r="S59334" s="178"/>
    </row>
    <row r="59335" spans="18:19">
      <c r="R59335" s="178"/>
      <c r="S59335" s="178"/>
    </row>
    <row r="59336" spans="18:19">
      <c r="R59336" s="178"/>
      <c r="S59336" s="178"/>
    </row>
    <row r="59337" spans="18:19">
      <c r="R59337" s="178"/>
      <c r="S59337" s="178"/>
    </row>
    <row r="59338" spans="18:19">
      <c r="R59338" s="178"/>
      <c r="S59338" s="178"/>
    </row>
    <row r="59339" spans="18:19">
      <c r="R59339" s="178"/>
      <c r="S59339" s="178"/>
    </row>
    <row r="59340" spans="18:19">
      <c r="R59340" s="178"/>
      <c r="S59340" s="178"/>
    </row>
    <row r="59341" spans="18:19">
      <c r="R59341" s="178"/>
      <c r="S59341" s="178"/>
    </row>
    <row r="59342" spans="18:19">
      <c r="R59342" s="178"/>
      <c r="S59342" s="178"/>
    </row>
    <row r="59343" spans="18:19">
      <c r="R59343" s="178"/>
      <c r="S59343" s="178"/>
    </row>
    <row r="59344" spans="18:19">
      <c r="R59344" s="178"/>
      <c r="S59344" s="178"/>
    </row>
    <row r="59345" spans="18:19">
      <c r="R59345" s="178"/>
      <c r="S59345" s="178"/>
    </row>
    <row r="59346" spans="18:19">
      <c r="R59346" s="178"/>
      <c r="S59346" s="178"/>
    </row>
    <row r="59347" spans="18:19">
      <c r="R59347" s="178"/>
      <c r="S59347" s="178"/>
    </row>
    <row r="59348" spans="18:19">
      <c r="R59348" s="178"/>
      <c r="S59348" s="178"/>
    </row>
    <row r="59349" spans="18:19">
      <c r="R59349" s="178"/>
      <c r="S59349" s="178"/>
    </row>
    <row r="59350" spans="18:19">
      <c r="R59350" s="178"/>
      <c r="S59350" s="178"/>
    </row>
    <row r="59351" spans="18:19">
      <c r="R59351" s="178"/>
      <c r="S59351" s="178"/>
    </row>
    <row r="59352" spans="18:19">
      <c r="R59352" s="178"/>
      <c r="S59352" s="178"/>
    </row>
    <row r="59353" spans="18:19">
      <c r="R59353" s="178"/>
      <c r="S59353" s="178"/>
    </row>
    <row r="59354" spans="18:19">
      <c r="R59354" s="178"/>
      <c r="S59354" s="178"/>
    </row>
    <row r="59355" spans="18:19">
      <c r="R59355" s="178"/>
      <c r="S59355" s="178"/>
    </row>
    <row r="59356" spans="18:19">
      <c r="R59356" s="178"/>
      <c r="S59356" s="178"/>
    </row>
    <row r="59357" spans="18:19">
      <c r="R59357" s="178"/>
      <c r="S59357" s="178"/>
    </row>
    <row r="59358" spans="18:19">
      <c r="R59358" s="178"/>
      <c r="S59358" s="178"/>
    </row>
    <row r="59359" spans="18:19">
      <c r="R59359" s="178"/>
      <c r="S59359" s="178"/>
    </row>
    <row r="59360" spans="18:19">
      <c r="R59360" s="178"/>
      <c r="S59360" s="178"/>
    </row>
    <row r="59361" spans="18:19">
      <c r="R59361" s="178"/>
      <c r="S59361" s="178"/>
    </row>
    <row r="59362" spans="18:19">
      <c r="R59362" s="178"/>
      <c r="S59362" s="178"/>
    </row>
    <row r="59363" spans="18:19">
      <c r="R59363" s="178"/>
      <c r="S59363" s="178"/>
    </row>
    <row r="59364" spans="18:19">
      <c r="R59364" s="178"/>
      <c r="S59364" s="178"/>
    </row>
    <row r="59365" spans="18:19">
      <c r="R59365" s="178"/>
      <c r="S59365" s="178"/>
    </row>
    <row r="59366" spans="18:19">
      <c r="R59366" s="178"/>
      <c r="S59366" s="178"/>
    </row>
    <row r="59367" spans="18:19">
      <c r="R59367" s="178"/>
      <c r="S59367" s="178"/>
    </row>
    <row r="59368" spans="18:19">
      <c r="R59368" s="178"/>
      <c r="S59368" s="178"/>
    </row>
    <row r="59369" spans="18:19">
      <c r="R59369" s="178"/>
      <c r="S59369" s="178"/>
    </row>
    <row r="59370" spans="18:19">
      <c r="R59370" s="178"/>
      <c r="S59370" s="178"/>
    </row>
    <row r="59371" spans="18:19">
      <c r="R59371" s="178"/>
      <c r="S59371" s="178"/>
    </row>
    <row r="59372" spans="18:19">
      <c r="R59372" s="178"/>
      <c r="S59372" s="178"/>
    </row>
    <row r="59373" spans="18:19">
      <c r="R59373" s="178"/>
      <c r="S59373" s="178"/>
    </row>
    <row r="59374" spans="18:19">
      <c r="R59374" s="178"/>
      <c r="S59374" s="178"/>
    </row>
    <row r="59375" spans="18:19">
      <c r="R59375" s="178"/>
      <c r="S59375" s="178"/>
    </row>
    <row r="59376" spans="18:19">
      <c r="R59376" s="178"/>
      <c r="S59376" s="178"/>
    </row>
    <row r="59377" spans="18:19">
      <c r="R59377" s="178"/>
      <c r="S59377" s="178"/>
    </row>
    <row r="59378" spans="18:19">
      <c r="R59378" s="178"/>
      <c r="S59378" s="178"/>
    </row>
    <row r="59379" spans="18:19">
      <c r="R59379" s="178"/>
      <c r="S59379" s="178"/>
    </row>
    <row r="59380" spans="18:19">
      <c r="R59380" s="178"/>
      <c r="S59380" s="178"/>
    </row>
    <row r="59381" spans="18:19">
      <c r="R59381" s="178"/>
      <c r="S59381" s="178"/>
    </row>
    <row r="59382" spans="18:19">
      <c r="R59382" s="178"/>
      <c r="S59382" s="178"/>
    </row>
    <row r="59383" spans="18:19">
      <c r="R59383" s="178"/>
      <c r="S59383" s="178"/>
    </row>
    <row r="59384" spans="18:19">
      <c r="R59384" s="178"/>
      <c r="S59384" s="178"/>
    </row>
    <row r="59385" spans="18:19">
      <c r="R59385" s="178"/>
      <c r="S59385" s="178"/>
    </row>
    <row r="59386" spans="18:19">
      <c r="R59386" s="178"/>
      <c r="S59386" s="178"/>
    </row>
    <row r="59387" spans="18:19">
      <c r="R59387" s="178"/>
      <c r="S59387" s="178"/>
    </row>
    <row r="59388" spans="18:19">
      <c r="R59388" s="178"/>
      <c r="S59388" s="178"/>
    </row>
    <row r="59389" spans="18:19">
      <c r="R59389" s="178"/>
      <c r="S59389" s="178"/>
    </row>
    <row r="59390" spans="18:19">
      <c r="R59390" s="178"/>
      <c r="S59390" s="178"/>
    </row>
    <row r="59391" spans="18:19">
      <c r="R59391" s="178"/>
      <c r="S59391" s="178"/>
    </row>
    <row r="59392" spans="18:19">
      <c r="R59392" s="178"/>
      <c r="S59392" s="178"/>
    </row>
    <row r="59393" spans="18:19">
      <c r="R59393" s="178"/>
      <c r="S59393" s="178"/>
    </row>
    <row r="59394" spans="18:19">
      <c r="R59394" s="178"/>
      <c r="S59394" s="178"/>
    </row>
    <row r="59395" spans="18:19">
      <c r="R59395" s="178"/>
      <c r="S59395" s="178"/>
    </row>
    <row r="59396" spans="18:19">
      <c r="R59396" s="178"/>
      <c r="S59396" s="178"/>
    </row>
    <row r="59397" spans="18:19">
      <c r="R59397" s="178"/>
      <c r="S59397" s="178"/>
    </row>
    <row r="59398" spans="18:19">
      <c r="R59398" s="178"/>
      <c r="S59398" s="178"/>
    </row>
    <row r="59399" spans="18:19">
      <c r="R59399" s="178"/>
      <c r="S59399" s="178"/>
    </row>
    <row r="59400" spans="18:19">
      <c r="R59400" s="178"/>
      <c r="S59400" s="178"/>
    </row>
    <row r="59401" spans="18:19">
      <c r="R59401" s="178"/>
      <c r="S59401" s="178"/>
    </row>
    <row r="59402" spans="18:19">
      <c r="R59402" s="178"/>
      <c r="S59402" s="178"/>
    </row>
    <row r="59403" spans="18:19">
      <c r="R59403" s="178"/>
      <c r="S59403" s="178"/>
    </row>
    <row r="59404" spans="18:19">
      <c r="R59404" s="178"/>
      <c r="S59404" s="178"/>
    </row>
    <row r="59405" spans="18:19">
      <c r="R59405" s="178"/>
      <c r="S59405" s="178"/>
    </row>
    <row r="59406" spans="18:19">
      <c r="R59406" s="178"/>
      <c r="S59406" s="178"/>
    </row>
    <row r="59407" spans="18:19">
      <c r="R59407" s="178"/>
      <c r="S59407" s="178"/>
    </row>
    <row r="59408" spans="18:19">
      <c r="R59408" s="178"/>
      <c r="S59408" s="178"/>
    </row>
    <row r="59409" spans="18:19">
      <c r="R59409" s="178"/>
      <c r="S59409" s="178"/>
    </row>
    <row r="59410" spans="18:19">
      <c r="R59410" s="178"/>
      <c r="S59410" s="178"/>
    </row>
    <row r="59411" spans="18:19">
      <c r="R59411" s="178"/>
      <c r="S59411" s="178"/>
    </row>
    <row r="59412" spans="18:19">
      <c r="R59412" s="178"/>
      <c r="S59412" s="178"/>
    </row>
    <row r="59413" spans="18:19">
      <c r="R59413" s="178"/>
      <c r="S59413" s="178"/>
    </row>
    <row r="59414" spans="18:19">
      <c r="R59414" s="178"/>
      <c r="S59414" s="178"/>
    </row>
    <row r="59415" spans="18:19">
      <c r="R59415" s="178"/>
      <c r="S59415" s="178"/>
    </row>
    <row r="59416" spans="18:19">
      <c r="R59416" s="178"/>
      <c r="S59416" s="178"/>
    </row>
    <row r="59417" spans="18:19">
      <c r="R59417" s="178"/>
      <c r="S59417" s="178"/>
    </row>
    <row r="59418" spans="18:19">
      <c r="R59418" s="178"/>
      <c r="S59418" s="178"/>
    </row>
    <row r="59419" spans="18:19">
      <c r="R59419" s="178"/>
      <c r="S59419" s="178"/>
    </row>
    <row r="59420" spans="18:19">
      <c r="R59420" s="178"/>
      <c r="S59420" s="178"/>
    </row>
    <row r="59421" spans="18:19">
      <c r="R59421" s="178"/>
      <c r="S59421" s="178"/>
    </row>
    <row r="59422" spans="18:19">
      <c r="R59422" s="178"/>
      <c r="S59422" s="178"/>
    </row>
    <row r="59423" spans="18:19">
      <c r="R59423" s="178"/>
      <c r="S59423" s="178"/>
    </row>
    <row r="59424" spans="18:19">
      <c r="R59424" s="178"/>
      <c r="S59424" s="178"/>
    </row>
    <row r="59425" spans="18:19">
      <c r="R59425" s="178"/>
      <c r="S59425" s="178"/>
    </row>
    <row r="59426" spans="18:19">
      <c r="R59426" s="178"/>
      <c r="S59426" s="178"/>
    </row>
    <row r="59427" spans="18:19">
      <c r="R59427" s="178"/>
      <c r="S59427" s="178"/>
    </row>
    <row r="59428" spans="18:19">
      <c r="R59428" s="178"/>
      <c r="S59428" s="178"/>
    </row>
    <row r="59429" spans="18:19">
      <c r="R59429" s="178"/>
      <c r="S59429" s="178"/>
    </row>
    <row r="59430" spans="18:19">
      <c r="R59430" s="178"/>
      <c r="S59430" s="178"/>
    </row>
    <row r="59431" spans="18:19">
      <c r="R59431" s="178"/>
      <c r="S59431" s="178"/>
    </row>
    <row r="59432" spans="18:19">
      <c r="R59432" s="178"/>
      <c r="S59432" s="178"/>
    </row>
    <row r="59433" spans="18:19">
      <c r="R59433" s="178"/>
      <c r="S59433" s="178"/>
    </row>
    <row r="59434" spans="18:19">
      <c r="R59434" s="178"/>
      <c r="S59434" s="178"/>
    </row>
    <row r="59435" spans="18:19">
      <c r="R59435" s="178"/>
      <c r="S59435" s="178"/>
    </row>
    <row r="59436" spans="18:19">
      <c r="R59436" s="178"/>
      <c r="S59436" s="178"/>
    </row>
    <row r="59437" spans="18:19">
      <c r="R59437" s="178"/>
      <c r="S59437" s="178"/>
    </row>
    <row r="59438" spans="18:19">
      <c r="R59438" s="178"/>
      <c r="S59438" s="178"/>
    </row>
    <row r="59439" spans="18:19">
      <c r="R59439" s="178"/>
      <c r="S59439" s="178"/>
    </row>
    <row r="59440" spans="18:19">
      <c r="R59440" s="178"/>
      <c r="S59440" s="178"/>
    </row>
    <row r="59441" spans="18:19">
      <c r="R59441" s="178"/>
      <c r="S59441" s="178"/>
    </row>
    <row r="59442" spans="18:19">
      <c r="R59442" s="178"/>
      <c r="S59442" s="178"/>
    </row>
    <row r="59443" spans="18:19">
      <c r="R59443" s="178"/>
      <c r="S59443" s="178"/>
    </row>
    <row r="59444" spans="18:19">
      <c r="R59444" s="178"/>
      <c r="S59444" s="178"/>
    </row>
    <row r="59445" spans="18:19">
      <c r="R59445" s="178"/>
      <c r="S59445" s="178"/>
    </row>
    <row r="59446" spans="18:19">
      <c r="R59446" s="178"/>
      <c r="S59446" s="178"/>
    </row>
    <row r="59447" spans="18:19">
      <c r="R59447" s="178"/>
      <c r="S59447" s="178"/>
    </row>
    <row r="59448" spans="18:19">
      <c r="R59448" s="178"/>
      <c r="S59448" s="178"/>
    </row>
    <row r="59449" spans="18:19">
      <c r="R59449" s="178"/>
      <c r="S59449" s="178"/>
    </row>
    <row r="59450" spans="18:19">
      <c r="R59450" s="178"/>
      <c r="S59450" s="178"/>
    </row>
    <row r="59451" spans="18:19">
      <c r="R59451" s="178"/>
      <c r="S59451" s="178"/>
    </row>
    <row r="59452" spans="18:19">
      <c r="R59452" s="178"/>
      <c r="S59452" s="178"/>
    </row>
    <row r="59453" spans="18:19">
      <c r="R59453" s="178"/>
      <c r="S59453" s="178"/>
    </row>
    <row r="59454" spans="18:19">
      <c r="R59454" s="178"/>
      <c r="S59454" s="178"/>
    </row>
    <row r="59455" spans="18:19">
      <c r="R59455" s="178"/>
      <c r="S59455" s="178"/>
    </row>
    <row r="59456" spans="18:19">
      <c r="R59456" s="178"/>
      <c r="S59456" s="178"/>
    </row>
    <row r="59457" spans="18:19">
      <c r="R59457" s="178"/>
      <c r="S59457" s="178"/>
    </row>
    <row r="59458" spans="18:19">
      <c r="R59458" s="178"/>
      <c r="S59458" s="178"/>
    </row>
    <row r="59459" spans="18:19">
      <c r="R59459" s="178"/>
      <c r="S59459" s="178"/>
    </row>
    <row r="59460" spans="18:19">
      <c r="R59460" s="178"/>
      <c r="S59460" s="178"/>
    </row>
    <row r="59461" spans="18:19">
      <c r="R59461" s="178"/>
      <c r="S59461" s="178"/>
    </row>
    <row r="59462" spans="18:19">
      <c r="R59462" s="178"/>
      <c r="S59462" s="178"/>
    </row>
    <row r="59463" spans="18:19">
      <c r="R59463" s="178"/>
      <c r="S59463" s="178"/>
    </row>
    <row r="59464" spans="18:19">
      <c r="R59464" s="178"/>
      <c r="S59464" s="178"/>
    </row>
    <row r="59465" spans="18:19">
      <c r="R59465" s="178"/>
      <c r="S59465" s="178"/>
    </row>
    <row r="59466" spans="18:19">
      <c r="R59466" s="178"/>
      <c r="S59466" s="178"/>
    </row>
    <row r="59467" spans="18:19">
      <c r="R59467" s="178"/>
      <c r="S59467" s="178"/>
    </row>
    <row r="59468" spans="18:19">
      <c r="R59468" s="178"/>
      <c r="S59468" s="178"/>
    </row>
    <row r="59469" spans="18:19">
      <c r="R59469" s="178"/>
      <c r="S59469" s="178"/>
    </row>
    <row r="59470" spans="18:19">
      <c r="R59470" s="178"/>
      <c r="S59470" s="178"/>
    </row>
    <row r="59471" spans="18:19">
      <c r="R59471" s="178"/>
      <c r="S59471" s="178"/>
    </row>
    <row r="59472" spans="18:19">
      <c r="R59472" s="178"/>
      <c r="S59472" s="178"/>
    </row>
    <row r="59473" spans="18:19">
      <c r="R59473" s="178"/>
      <c r="S59473" s="178"/>
    </row>
    <row r="59474" spans="18:19">
      <c r="R59474" s="178"/>
      <c r="S59474" s="178"/>
    </row>
    <row r="59475" spans="18:19">
      <c r="R59475" s="178"/>
      <c r="S59475" s="178"/>
    </row>
    <row r="59476" spans="18:19">
      <c r="R59476" s="178"/>
      <c r="S59476" s="178"/>
    </row>
    <row r="59477" spans="18:19">
      <c r="R59477" s="178"/>
      <c r="S59477" s="178"/>
    </row>
    <row r="59478" spans="18:19">
      <c r="R59478" s="178"/>
      <c r="S59478" s="178"/>
    </row>
    <row r="59479" spans="18:19">
      <c r="R59479" s="178"/>
      <c r="S59479" s="178"/>
    </row>
    <row r="59480" spans="18:19">
      <c r="R59480" s="178"/>
      <c r="S59480" s="178"/>
    </row>
    <row r="59481" spans="18:19">
      <c r="R59481" s="178"/>
      <c r="S59481" s="178"/>
    </row>
    <row r="59482" spans="18:19">
      <c r="R59482" s="178"/>
      <c r="S59482" s="178"/>
    </row>
    <row r="59483" spans="18:19">
      <c r="R59483" s="178"/>
      <c r="S59483" s="178"/>
    </row>
    <row r="59484" spans="18:19">
      <c r="R59484" s="178"/>
      <c r="S59484" s="178"/>
    </row>
    <row r="59485" spans="18:19">
      <c r="R59485" s="178"/>
      <c r="S59485" s="178"/>
    </row>
    <row r="59486" spans="18:19">
      <c r="R59486" s="178"/>
      <c r="S59486" s="178"/>
    </row>
    <row r="59487" spans="18:19">
      <c r="R59487" s="178"/>
      <c r="S59487" s="178"/>
    </row>
    <row r="59488" spans="18:19">
      <c r="R59488" s="178"/>
      <c r="S59488" s="178"/>
    </row>
    <row r="59489" spans="18:19">
      <c r="R59489" s="178"/>
      <c r="S59489" s="178"/>
    </row>
    <row r="59490" spans="18:19">
      <c r="R59490" s="178"/>
      <c r="S59490" s="178"/>
    </row>
    <row r="59491" spans="18:19">
      <c r="R59491" s="178"/>
      <c r="S59491" s="178"/>
    </row>
    <row r="59492" spans="18:19">
      <c r="R59492" s="178"/>
      <c r="S59492" s="178"/>
    </row>
    <row r="59493" spans="18:19">
      <c r="R59493" s="178"/>
      <c r="S59493" s="178"/>
    </row>
    <row r="59494" spans="18:19">
      <c r="R59494" s="178"/>
      <c r="S59494" s="178"/>
    </row>
    <row r="59495" spans="18:19">
      <c r="R59495" s="178"/>
      <c r="S59495" s="178"/>
    </row>
    <row r="59496" spans="18:19">
      <c r="R59496" s="178"/>
      <c r="S59496" s="178"/>
    </row>
    <row r="59497" spans="18:19">
      <c r="R59497" s="178"/>
      <c r="S59497" s="178"/>
    </row>
    <row r="59498" spans="18:19">
      <c r="R59498" s="178"/>
      <c r="S59498" s="178"/>
    </row>
    <row r="59499" spans="18:19">
      <c r="R59499" s="178"/>
      <c r="S59499" s="178"/>
    </row>
    <row r="59500" spans="18:19">
      <c r="R59500" s="178"/>
      <c r="S59500" s="178"/>
    </row>
    <row r="59501" spans="18:19">
      <c r="R59501" s="178"/>
      <c r="S59501" s="178"/>
    </row>
    <row r="59502" spans="18:19">
      <c r="R59502" s="178"/>
      <c r="S59502" s="178"/>
    </row>
    <row r="59503" spans="18:19">
      <c r="R59503" s="178"/>
      <c r="S59503" s="178"/>
    </row>
    <row r="59504" spans="18:19">
      <c r="R59504" s="178"/>
      <c r="S59504" s="178"/>
    </row>
    <row r="59505" spans="18:19">
      <c r="R59505" s="178"/>
      <c r="S59505" s="178"/>
    </row>
    <row r="59506" spans="18:19">
      <c r="R59506" s="178"/>
      <c r="S59506" s="178"/>
    </row>
    <row r="59507" spans="18:19">
      <c r="R59507" s="178"/>
      <c r="S59507" s="178"/>
    </row>
    <row r="59508" spans="18:19">
      <c r="R59508" s="178"/>
      <c r="S59508" s="178"/>
    </row>
    <row r="59509" spans="18:19">
      <c r="R59509" s="178"/>
      <c r="S59509" s="178"/>
    </row>
    <row r="59510" spans="18:19">
      <c r="R59510" s="178"/>
      <c r="S59510" s="178"/>
    </row>
    <row r="59511" spans="18:19">
      <c r="R59511" s="178"/>
      <c r="S59511" s="178"/>
    </row>
    <row r="59512" spans="18:19">
      <c r="R59512" s="178"/>
      <c r="S59512" s="178"/>
    </row>
    <row r="59513" spans="18:19">
      <c r="R59513" s="178"/>
      <c r="S59513" s="178"/>
    </row>
    <row r="59514" spans="18:19">
      <c r="R59514" s="178"/>
      <c r="S59514" s="178"/>
    </row>
    <row r="59515" spans="18:19">
      <c r="R59515" s="178"/>
      <c r="S59515" s="178"/>
    </row>
    <row r="59516" spans="18:19">
      <c r="R59516" s="178"/>
      <c r="S59516" s="178"/>
    </row>
    <row r="59517" spans="18:19">
      <c r="R59517" s="178"/>
      <c r="S59517" s="178"/>
    </row>
    <row r="59518" spans="18:19">
      <c r="R59518" s="178"/>
      <c r="S59518" s="178"/>
    </row>
    <row r="59519" spans="18:19">
      <c r="R59519" s="178"/>
      <c r="S59519" s="178"/>
    </row>
    <row r="59520" spans="18:19">
      <c r="R59520" s="178"/>
      <c r="S59520" s="178"/>
    </row>
    <row r="59521" spans="18:19">
      <c r="R59521" s="178"/>
      <c r="S59521" s="178"/>
    </row>
    <row r="59522" spans="18:19">
      <c r="R59522" s="178"/>
      <c r="S59522" s="178"/>
    </row>
    <row r="59523" spans="18:19">
      <c r="R59523" s="178"/>
      <c r="S59523" s="178"/>
    </row>
    <row r="59524" spans="18:19">
      <c r="R59524" s="178"/>
      <c r="S59524" s="178"/>
    </row>
    <row r="59525" spans="18:19">
      <c r="R59525" s="178"/>
      <c r="S59525" s="178"/>
    </row>
    <row r="59526" spans="18:19">
      <c r="R59526" s="178"/>
      <c r="S59526" s="178"/>
    </row>
    <row r="59527" spans="18:19">
      <c r="R59527" s="178"/>
      <c r="S59527" s="178"/>
    </row>
    <row r="59528" spans="18:19">
      <c r="R59528" s="178"/>
      <c r="S59528" s="178"/>
    </row>
    <row r="59529" spans="18:19">
      <c r="R59529" s="178"/>
      <c r="S59529" s="178"/>
    </row>
    <row r="59530" spans="18:19">
      <c r="R59530" s="178"/>
      <c r="S59530" s="178"/>
    </row>
    <row r="59531" spans="18:19">
      <c r="R59531" s="178"/>
      <c r="S59531" s="178"/>
    </row>
    <row r="59532" spans="18:19">
      <c r="R59532" s="178"/>
      <c r="S59532" s="178"/>
    </row>
    <row r="59533" spans="18:19">
      <c r="R59533" s="178"/>
      <c r="S59533" s="178"/>
    </row>
    <row r="59534" spans="18:19">
      <c r="R59534" s="178"/>
      <c r="S59534" s="178"/>
    </row>
    <row r="59535" spans="18:19">
      <c r="R59535" s="178"/>
      <c r="S59535" s="178"/>
    </row>
    <row r="59536" spans="18:19">
      <c r="R59536" s="178"/>
      <c r="S59536" s="178"/>
    </row>
    <row r="59537" spans="18:19">
      <c r="R59537" s="178"/>
      <c r="S59537" s="178"/>
    </row>
    <row r="59538" spans="18:19">
      <c r="R59538" s="178"/>
      <c r="S59538" s="178"/>
    </row>
    <row r="59539" spans="18:19">
      <c r="R59539" s="178"/>
      <c r="S59539" s="178"/>
    </row>
    <row r="59540" spans="18:19">
      <c r="R59540" s="178"/>
      <c r="S59540" s="178"/>
    </row>
    <row r="59541" spans="18:19">
      <c r="R59541" s="178"/>
      <c r="S59541" s="178"/>
    </row>
    <row r="59542" spans="18:19">
      <c r="R59542" s="178"/>
      <c r="S59542" s="178"/>
    </row>
    <row r="59543" spans="18:19">
      <c r="R59543" s="178"/>
      <c r="S59543" s="178"/>
    </row>
    <row r="59544" spans="18:19">
      <c r="R59544" s="178"/>
      <c r="S59544" s="178"/>
    </row>
    <row r="59545" spans="18:19">
      <c r="R59545" s="178"/>
      <c r="S59545" s="178"/>
    </row>
    <row r="59546" spans="18:19">
      <c r="R59546" s="178"/>
      <c r="S59546" s="178"/>
    </row>
    <row r="59547" spans="18:19">
      <c r="R59547" s="178"/>
      <c r="S59547" s="178"/>
    </row>
    <row r="59548" spans="18:19">
      <c r="R59548" s="178"/>
      <c r="S59548" s="178"/>
    </row>
    <row r="59549" spans="18:19">
      <c r="R59549" s="178"/>
      <c r="S59549" s="178"/>
    </row>
    <row r="59550" spans="18:19">
      <c r="R59550" s="178"/>
      <c r="S59550" s="178"/>
    </row>
    <row r="59551" spans="18:19">
      <c r="R59551" s="178"/>
      <c r="S59551" s="178"/>
    </row>
    <row r="59552" spans="18:19">
      <c r="R59552" s="178"/>
      <c r="S59552" s="178"/>
    </row>
    <row r="59553" spans="18:19">
      <c r="R59553" s="178"/>
      <c r="S59553" s="178"/>
    </row>
    <row r="59554" spans="18:19">
      <c r="R59554" s="178"/>
      <c r="S59554" s="178"/>
    </row>
    <row r="59555" spans="18:19">
      <c r="R59555" s="178"/>
      <c r="S59555" s="178"/>
    </row>
    <row r="59556" spans="18:19">
      <c r="R59556" s="178"/>
      <c r="S59556" s="178"/>
    </row>
    <row r="59557" spans="18:19">
      <c r="R59557" s="178"/>
      <c r="S59557" s="178"/>
    </row>
    <row r="59558" spans="18:19">
      <c r="R59558" s="178"/>
      <c r="S59558" s="178"/>
    </row>
    <row r="59559" spans="18:19">
      <c r="R59559" s="178"/>
      <c r="S59559" s="178"/>
    </row>
    <row r="59560" spans="18:19">
      <c r="R59560" s="178"/>
      <c r="S59560" s="178"/>
    </row>
    <row r="59561" spans="18:19">
      <c r="R59561" s="178"/>
      <c r="S59561" s="178"/>
    </row>
    <row r="59562" spans="18:19">
      <c r="R59562" s="178"/>
      <c r="S59562" s="178"/>
    </row>
    <row r="59563" spans="18:19">
      <c r="R59563" s="178"/>
      <c r="S59563" s="178"/>
    </row>
    <row r="59564" spans="18:19">
      <c r="R59564" s="178"/>
      <c r="S59564" s="178"/>
    </row>
    <row r="59565" spans="18:19">
      <c r="R59565" s="178"/>
      <c r="S59565" s="178"/>
    </row>
    <row r="59566" spans="18:19">
      <c r="R59566" s="178"/>
      <c r="S59566" s="178"/>
    </row>
    <row r="59567" spans="18:19">
      <c r="R59567" s="178"/>
      <c r="S59567" s="178"/>
    </row>
    <row r="59568" spans="18:19">
      <c r="R59568" s="178"/>
      <c r="S59568" s="178"/>
    </row>
    <row r="59569" spans="18:19">
      <c r="R59569" s="178"/>
      <c r="S59569" s="178"/>
    </row>
    <row r="59570" spans="18:19">
      <c r="R59570" s="178"/>
      <c r="S59570" s="178"/>
    </row>
    <row r="59571" spans="18:19">
      <c r="R59571" s="178"/>
      <c r="S59571" s="178"/>
    </row>
    <row r="59572" spans="18:19">
      <c r="R59572" s="178"/>
      <c r="S59572" s="178"/>
    </row>
    <row r="59573" spans="18:19">
      <c r="R59573" s="178"/>
      <c r="S59573" s="178"/>
    </row>
    <row r="59574" spans="18:19">
      <c r="R59574" s="178"/>
      <c r="S59574" s="178"/>
    </row>
    <row r="59575" spans="18:19">
      <c r="R59575" s="178"/>
      <c r="S59575" s="178"/>
    </row>
    <row r="59576" spans="18:19">
      <c r="R59576" s="178"/>
      <c r="S59576" s="178"/>
    </row>
    <row r="59577" spans="18:19">
      <c r="R59577" s="178"/>
      <c r="S59577" s="178"/>
    </row>
    <row r="59578" spans="18:19">
      <c r="R59578" s="178"/>
      <c r="S59578" s="178"/>
    </row>
    <row r="59579" spans="18:19">
      <c r="R59579" s="178"/>
      <c r="S59579" s="178"/>
    </row>
    <row r="59580" spans="18:19">
      <c r="R59580" s="178"/>
      <c r="S59580" s="178"/>
    </row>
    <row r="59581" spans="18:19">
      <c r="R59581" s="178"/>
      <c r="S59581" s="178"/>
    </row>
    <row r="59582" spans="18:19">
      <c r="R59582" s="178"/>
      <c r="S59582" s="178"/>
    </row>
    <row r="59583" spans="18:19">
      <c r="R59583" s="178"/>
      <c r="S59583" s="178"/>
    </row>
    <row r="59584" spans="18:19">
      <c r="R59584" s="178"/>
      <c r="S59584" s="178"/>
    </row>
    <row r="59585" spans="18:19">
      <c r="R59585" s="178"/>
      <c r="S59585" s="178"/>
    </row>
    <row r="59586" spans="18:19">
      <c r="R59586" s="178"/>
      <c r="S59586" s="178"/>
    </row>
    <row r="59587" spans="18:19">
      <c r="R59587" s="178"/>
      <c r="S59587" s="178"/>
    </row>
    <row r="59588" spans="18:19">
      <c r="R59588" s="178"/>
      <c r="S59588" s="178"/>
    </row>
    <row r="59589" spans="18:19">
      <c r="R59589" s="178"/>
      <c r="S59589" s="178"/>
    </row>
    <row r="59590" spans="18:19">
      <c r="R59590" s="178"/>
      <c r="S59590" s="178"/>
    </row>
    <row r="59591" spans="18:19">
      <c r="R59591" s="178"/>
      <c r="S59591" s="178"/>
    </row>
    <row r="59592" spans="18:19">
      <c r="R59592" s="178"/>
      <c r="S59592" s="178"/>
    </row>
    <row r="59593" spans="18:19">
      <c r="R59593" s="178"/>
      <c r="S59593" s="178"/>
    </row>
    <row r="59594" spans="18:19">
      <c r="R59594" s="178"/>
      <c r="S59594" s="178"/>
    </row>
    <row r="59595" spans="18:19">
      <c r="R59595" s="178"/>
      <c r="S59595" s="178"/>
    </row>
    <row r="59596" spans="18:19">
      <c r="R59596" s="178"/>
      <c r="S59596" s="178"/>
    </row>
    <row r="59597" spans="18:19">
      <c r="R59597" s="178"/>
      <c r="S59597" s="178"/>
    </row>
    <row r="59598" spans="18:19">
      <c r="R59598" s="178"/>
      <c r="S59598" s="178"/>
    </row>
    <row r="59599" spans="18:19">
      <c r="R59599" s="178"/>
      <c r="S59599" s="178"/>
    </row>
    <row r="59600" spans="18:19">
      <c r="R59600" s="178"/>
      <c r="S59600" s="178"/>
    </row>
    <row r="59601" spans="18:19">
      <c r="R59601" s="178"/>
      <c r="S59601" s="178"/>
    </row>
    <row r="59602" spans="18:19">
      <c r="R59602" s="178"/>
      <c r="S59602" s="178"/>
    </row>
    <row r="59603" spans="18:19">
      <c r="R59603" s="178"/>
      <c r="S59603" s="178"/>
    </row>
    <row r="59604" spans="18:19">
      <c r="R59604" s="178"/>
      <c r="S59604" s="178"/>
    </row>
    <row r="59605" spans="18:19">
      <c r="R59605" s="178"/>
      <c r="S59605" s="178"/>
    </row>
    <row r="59606" spans="18:19">
      <c r="R59606" s="178"/>
      <c r="S59606" s="178"/>
    </row>
    <row r="59607" spans="18:19">
      <c r="R59607" s="178"/>
      <c r="S59607" s="178"/>
    </row>
    <row r="59608" spans="18:19">
      <c r="R59608" s="178"/>
      <c r="S59608" s="178"/>
    </row>
    <row r="59609" spans="18:19">
      <c r="R59609" s="178"/>
      <c r="S59609" s="178"/>
    </row>
    <row r="59610" spans="18:19">
      <c r="R59610" s="178"/>
      <c r="S59610" s="178"/>
    </row>
    <row r="59611" spans="18:19">
      <c r="R59611" s="178"/>
      <c r="S59611" s="178"/>
    </row>
    <row r="59612" spans="18:19">
      <c r="R59612" s="178"/>
      <c r="S59612" s="178"/>
    </row>
    <row r="59613" spans="18:19">
      <c r="R59613" s="178"/>
      <c r="S59613" s="178"/>
    </row>
    <row r="59614" spans="18:19">
      <c r="R59614" s="178"/>
      <c r="S59614" s="178"/>
    </row>
    <row r="59615" spans="18:19">
      <c r="R59615" s="178"/>
      <c r="S59615" s="178"/>
    </row>
    <row r="59616" spans="18:19">
      <c r="R59616" s="178"/>
      <c r="S59616" s="178"/>
    </row>
    <row r="59617" spans="18:19">
      <c r="R59617" s="178"/>
      <c r="S59617" s="178"/>
    </row>
    <row r="59618" spans="18:19">
      <c r="R59618" s="178"/>
      <c r="S59618" s="178"/>
    </row>
    <row r="59619" spans="18:19">
      <c r="R59619" s="178"/>
      <c r="S59619" s="178"/>
    </row>
    <row r="59620" spans="18:19">
      <c r="R59620" s="178"/>
      <c r="S59620" s="178"/>
    </row>
    <row r="59621" spans="18:19">
      <c r="R59621" s="178"/>
      <c r="S59621" s="178"/>
    </row>
    <row r="59622" spans="18:19">
      <c r="R59622" s="178"/>
      <c r="S59622" s="178"/>
    </row>
    <row r="59623" spans="18:19">
      <c r="R59623" s="178"/>
      <c r="S59623" s="178"/>
    </row>
    <row r="59624" spans="18:19">
      <c r="R59624" s="178"/>
      <c r="S59624" s="178"/>
    </row>
    <row r="59625" spans="18:19">
      <c r="R59625" s="178"/>
      <c r="S59625" s="178"/>
    </row>
    <row r="59626" spans="18:19">
      <c r="R59626" s="178"/>
      <c r="S59626" s="178"/>
    </row>
    <row r="59627" spans="18:19">
      <c r="R59627" s="178"/>
      <c r="S59627" s="178"/>
    </row>
    <row r="59628" spans="18:19">
      <c r="R59628" s="178"/>
      <c r="S59628" s="178"/>
    </row>
    <row r="59629" spans="18:19">
      <c r="R59629" s="178"/>
      <c r="S59629" s="178"/>
    </row>
    <row r="59630" spans="18:19">
      <c r="R59630" s="178"/>
      <c r="S59630" s="178"/>
    </row>
    <row r="59631" spans="18:19">
      <c r="R59631" s="178"/>
      <c r="S59631" s="178"/>
    </row>
    <row r="59632" spans="18:19">
      <c r="R59632" s="178"/>
      <c r="S59632" s="178"/>
    </row>
    <row r="59633" spans="18:19">
      <c r="R59633" s="178"/>
      <c r="S59633" s="178"/>
    </row>
    <row r="59634" spans="18:19">
      <c r="R59634" s="178"/>
      <c r="S59634" s="178"/>
    </row>
    <row r="59635" spans="18:19">
      <c r="R59635" s="178"/>
      <c r="S59635" s="178"/>
    </row>
    <row r="59636" spans="18:19">
      <c r="R59636" s="178"/>
      <c r="S59636" s="178"/>
    </row>
    <row r="59637" spans="18:19">
      <c r="R59637" s="178"/>
      <c r="S59637" s="178"/>
    </row>
    <row r="59638" spans="18:19">
      <c r="R59638" s="178"/>
      <c r="S59638" s="178"/>
    </row>
    <row r="59639" spans="18:19">
      <c r="R59639" s="178"/>
      <c r="S59639" s="178"/>
    </row>
    <row r="59640" spans="18:19">
      <c r="R59640" s="178"/>
      <c r="S59640" s="178"/>
    </row>
    <row r="59641" spans="18:19">
      <c r="R59641" s="178"/>
      <c r="S59641" s="178"/>
    </row>
    <row r="59642" spans="18:19">
      <c r="R59642" s="178"/>
      <c r="S59642" s="178"/>
    </row>
    <row r="59643" spans="18:19">
      <c r="R59643" s="178"/>
      <c r="S59643" s="178"/>
    </row>
    <row r="59644" spans="18:19">
      <c r="R59644" s="178"/>
      <c r="S59644" s="178"/>
    </row>
    <row r="59645" spans="18:19">
      <c r="R59645" s="178"/>
      <c r="S59645" s="178"/>
    </row>
    <row r="59646" spans="18:19">
      <c r="R59646" s="178"/>
      <c r="S59646" s="178"/>
    </row>
    <row r="59647" spans="18:19">
      <c r="R59647" s="178"/>
      <c r="S59647" s="178"/>
    </row>
    <row r="59648" spans="18:19">
      <c r="R59648" s="178"/>
      <c r="S59648" s="178"/>
    </row>
    <row r="59649" spans="18:19">
      <c r="R59649" s="178"/>
      <c r="S59649" s="178"/>
    </row>
    <row r="59650" spans="18:19">
      <c r="R59650" s="178"/>
      <c r="S59650" s="178"/>
    </row>
    <row r="59651" spans="18:19">
      <c r="R59651" s="178"/>
      <c r="S59651" s="178"/>
    </row>
    <row r="59652" spans="18:19">
      <c r="R59652" s="178"/>
      <c r="S59652" s="178"/>
    </row>
    <row r="59653" spans="18:19">
      <c r="R59653" s="178"/>
      <c r="S59653" s="178"/>
    </row>
    <row r="59654" spans="18:19">
      <c r="R59654" s="178"/>
      <c r="S59654" s="178"/>
    </row>
    <row r="59655" spans="18:19">
      <c r="R59655" s="178"/>
      <c r="S59655" s="178"/>
    </row>
    <row r="59656" spans="18:19">
      <c r="R59656" s="178"/>
      <c r="S59656" s="178"/>
    </row>
    <row r="59657" spans="18:19">
      <c r="R59657" s="178"/>
      <c r="S59657" s="178"/>
    </row>
    <row r="59658" spans="18:19">
      <c r="R59658" s="178"/>
      <c r="S59658" s="178"/>
    </row>
    <row r="59659" spans="18:19">
      <c r="R59659" s="178"/>
      <c r="S59659" s="178"/>
    </row>
    <row r="59660" spans="18:19">
      <c r="R59660" s="178"/>
      <c r="S59660" s="178"/>
    </row>
    <row r="59661" spans="18:19">
      <c r="R59661" s="178"/>
      <c r="S59661" s="178"/>
    </row>
    <row r="59662" spans="18:19">
      <c r="R59662" s="178"/>
      <c r="S59662" s="178"/>
    </row>
    <row r="59663" spans="18:19">
      <c r="R59663" s="178"/>
      <c r="S59663" s="178"/>
    </row>
    <row r="59664" spans="18:19">
      <c r="R59664" s="178"/>
      <c r="S59664" s="178"/>
    </row>
    <row r="59665" spans="18:19">
      <c r="R59665" s="178"/>
      <c r="S59665" s="178"/>
    </row>
    <row r="59666" spans="18:19">
      <c r="R59666" s="178"/>
      <c r="S59666" s="178"/>
    </row>
    <row r="59667" spans="18:19">
      <c r="R59667" s="178"/>
      <c r="S59667" s="178"/>
    </row>
    <row r="59668" spans="18:19">
      <c r="R59668" s="178"/>
      <c r="S59668" s="178"/>
    </row>
    <row r="59669" spans="18:19">
      <c r="R59669" s="178"/>
      <c r="S59669" s="178"/>
    </row>
    <row r="59670" spans="18:19">
      <c r="R59670" s="178"/>
      <c r="S59670" s="178"/>
    </row>
    <row r="59671" spans="18:19">
      <c r="R59671" s="178"/>
      <c r="S59671" s="178"/>
    </row>
    <row r="59672" spans="18:19">
      <c r="R59672" s="178"/>
      <c r="S59672" s="178"/>
    </row>
    <row r="59673" spans="18:19">
      <c r="R59673" s="178"/>
      <c r="S59673" s="178"/>
    </row>
    <row r="59674" spans="18:19">
      <c r="R59674" s="178"/>
      <c r="S59674" s="178"/>
    </row>
    <row r="59675" spans="18:19">
      <c r="R59675" s="178"/>
      <c r="S59675" s="178"/>
    </row>
    <row r="59676" spans="18:19">
      <c r="R59676" s="178"/>
      <c r="S59676" s="178"/>
    </row>
    <row r="59677" spans="18:19">
      <c r="R59677" s="178"/>
      <c r="S59677" s="178"/>
    </row>
    <row r="59678" spans="18:19">
      <c r="R59678" s="178"/>
      <c r="S59678" s="178"/>
    </row>
    <row r="59679" spans="18:19">
      <c r="R59679" s="178"/>
      <c r="S59679" s="178"/>
    </row>
    <row r="59680" spans="18:19">
      <c r="R59680" s="178"/>
      <c r="S59680" s="178"/>
    </row>
    <row r="59681" spans="18:19">
      <c r="R59681" s="178"/>
      <c r="S59681" s="178"/>
    </row>
    <row r="59682" spans="18:19">
      <c r="R59682" s="178"/>
      <c r="S59682" s="178"/>
    </row>
    <row r="59683" spans="18:19">
      <c r="R59683" s="178"/>
      <c r="S59683" s="178"/>
    </row>
    <row r="59684" spans="18:19">
      <c r="R59684" s="178"/>
      <c r="S59684" s="178"/>
    </row>
    <row r="59685" spans="18:19">
      <c r="R59685" s="178"/>
      <c r="S59685" s="178"/>
    </row>
    <row r="59686" spans="18:19">
      <c r="R59686" s="178"/>
      <c r="S59686" s="178"/>
    </row>
    <row r="59687" spans="18:19">
      <c r="R59687" s="178"/>
      <c r="S59687" s="178"/>
    </row>
    <row r="59688" spans="18:19">
      <c r="R59688" s="178"/>
      <c r="S59688" s="178"/>
    </row>
    <row r="59689" spans="18:19">
      <c r="R59689" s="178"/>
      <c r="S59689" s="178"/>
    </row>
    <row r="59690" spans="18:19">
      <c r="R59690" s="178"/>
      <c r="S59690" s="178"/>
    </row>
    <row r="59691" spans="18:19">
      <c r="R59691" s="178"/>
      <c r="S59691" s="178"/>
    </row>
    <row r="59692" spans="18:19">
      <c r="R59692" s="178"/>
      <c r="S59692" s="178"/>
    </row>
    <row r="59693" spans="18:19">
      <c r="R59693" s="178"/>
      <c r="S59693" s="178"/>
    </row>
    <row r="59694" spans="18:19">
      <c r="R59694" s="178"/>
      <c r="S59694" s="178"/>
    </row>
    <row r="59695" spans="18:19">
      <c r="R59695" s="178"/>
      <c r="S59695" s="178"/>
    </row>
    <row r="59696" spans="18:19">
      <c r="R59696" s="178"/>
      <c r="S59696" s="178"/>
    </row>
    <row r="59697" spans="18:19">
      <c r="R59697" s="178"/>
      <c r="S59697" s="178"/>
    </row>
    <row r="59698" spans="18:19">
      <c r="R59698" s="178"/>
      <c r="S59698" s="178"/>
    </row>
    <row r="59699" spans="18:19">
      <c r="R59699" s="178"/>
      <c r="S59699" s="178"/>
    </row>
    <row r="59700" spans="18:19">
      <c r="R59700" s="178"/>
      <c r="S59700" s="178"/>
    </row>
    <row r="59701" spans="18:19">
      <c r="R59701" s="178"/>
      <c r="S59701" s="178"/>
    </row>
    <row r="59702" spans="18:19">
      <c r="R59702" s="178"/>
      <c r="S59702" s="178"/>
    </row>
    <row r="59703" spans="18:19">
      <c r="R59703" s="178"/>
      <c r="S59703" s="178"/>
    </row>
    <row r="59704" spans="18:19">
      <c r="R59704" s="178"/>
      <c r="S59704" s="178"/>
    </row>
    <row r="59705" spans="18:19">
      <c r="R59705" s="178"/>
      <c r="S59705" s="178"/>
    </row>
    <row r="59706" spans="18:19">
      <c r="R59706" s="178"/>
      <c r="S59706" s="178"/>
    </row>
    <row r="59707" spans="18:19">
      <c r="R59707" s="178"/>
      <c r="S59707" s="178"/>
    </row>
    <row r="59708" spans="18:19">
      <c r="R59708" s="178"/>
      <c r="S59708" s="178"/>
    </row>
    <row r="59709" spans="18:19">
      <c r="R59709" s="178"/>
      <c r="S59709" s="178"/>
    </row>
    <row r="59710" spans="18:19">
      <c r="R59710" s="178"/>
      <c r="S59710" s="178"/>
    </row>
    <row r="59711" spans="18:19">
      <c r="R59711" s="178"/>
      <c r="S59711" s="178"/>
    </row>
    <row r="59712" spans="18:19">
      <c r="R59712" s="178"/>
      <c r="S59712" s="178"/>
    </row>
    <row r="59713" spans="18:19">
      <c r="R59713" s="178"/>
      <c r="S59713" s="178"/>
    </row>
    <row r="59714" spans="18:19">
      <c r="R59714" s="178"/>
      <c r="S59714" s="178"/>
    </row>
    <row r="59715" spans="18:19">
      <c r="R59715" s="178"/>
      <c r="S59715" s="178"/>
    </row>
    <row r="59716" spans="18:19">
      <c r="R59716" s="178"/>
      <c r="S59716" s="178"/>
    </row>
    <row r="59717" spans="18:19">
      <c r="R59717" s="178"/>
      <c r="S59717" s="178"/>
    </row>
    <row r="59718" spans="18:19">
      <c r="R59718" s="178"/>
      <c r="S59718" s="178"/>
    </row>
    <row r="59719" spans="18:19">
      <c r="R59719" s="178"/>
      <c r="S59719" s="178"/>
    </row>
    <row r="59720" spans="18:19">
      <c r="R59720" s="178"/>
      <c r="S59720" s="178"/>
    </row>
    <row r="59721" spans="18:19">
      <c r="R59721" s="178"/>
      <c r="S59721" s="178"/>
    </row>
    <row r="59722" spans="18:19">
      <c r="R59722" s="178"/>
      <c r="S59722" s="178"/>
    </row>
    <row r="59723" spans="18:19">
      <c r="R59723" s="178"/>
      <c r="S59723" s="178"/>
    </row>
    <row r="59724" spans="18:19">
      <c r="R59724" s="178"/>
      <c r="S59724" s="178"/>
    </row>
    <row r="59725" spans="18:19">
      <c r="R59725" s="178"/>
      <c r="S59725" s="178"/>
    </row>
    <row r="59726" spans="18:19">
      <c r="R59726" s="178"/>
      <c r="S59726" s="178"/>
    </row>
    <row r="59727" spans="18:19">
      <c r="R59727" s="178"/>
      <c r="S59727" s="178"/>
    </row>
    <row r="59728" spans="18:19">
      <c r="R59728" s="178"/>
      <c r="S59728" s="178"/>
    </row>
    <row r="59729" spans="18:19">
      <c r="R59729" s="178"/>
      <c r="S59729" s="178"/>
    </row>
    <row r="59730" spans="18:19">
      <c r="R59730" s="178"/>
      <c r="S59730" s="178"/>
    </row>
    <row r="59731" spans="18:19">
      <c r="R59731" s="178"/>
      <c r="S59731" s="178"/>
    </row>
    <row r="59732" spans="18:19">
      <c r="R59732" s="178"/>
      <c r="S59732" s="178"/>
    </row>
    <row r="59733" spans="18:19">
      <c r="R59733" s="178"/>
      <c r="S59733" s="178"/>
    </row>
    <row r="59734" spans="18:19">
      <c r="R59734" s="178"/>
      <c r="S59734" s="178"/>
    </row>
    <row r="59735" spans="18:19">
      <c r="R59735" s="178"/>
      <c r="S59735" s="178"/>
    </row>
    <row r="59736" spans="18:19">
      <c r="R59736" s="178"/>
      <c r="S59736" s="178"/>
    </row>
    <row r="59737" spans="18:19">
      <c r="R59737" s="178"/>
      <c r="S59737" s="178"/>
    </row>
    <row r="59738" spans="18:19">
      <c r="R59738" s="178"/>
      <c r="S59738" s="178"/>
    </row>
    <row r="59739" spans="18:19">
      <c r="R59739" s="178"/>
      <c r="S59739" s="178"/>
    </row>
    <row r="59740" spans="18:19">
      <c r="R59740" s="178"/>
      <c r="S59740" s="178"/>
    </row>
    <row r="59741" spans="18:19">
      <c r="R59741" s="178"/>
      <c r="S59741" s="178"/>
    </row>
    <row r="59742" spans="18:19">
      <c r="R59742" s="178"/>
      <c r="S59742" s="178"/>
    </row>
    <row r="59743" spans="18:19">
      <c r="R59743" s="178"/>
      <c r="S59743" s="178"/>
    </row>
    <row r="59744" spans="18:19">
      <c r="R59744" s="178"/>
      <c r="S59744" s="178"/>
    </row>
    <row r="59745" spans="18:19">
      <c r="R59745" s="178"/>
      <c r="S59745" s="178"/>
    </row>
    <row r="59746" spans="18:19">
      <c r="R59746" s="178"/>
      <c r="S59746" s="178"/>
    </row>
    <row r="59747" spans="18:19">
      <c r="R59747" s="178"/>
      <c r="S59747" s="178"/>
    </row>
    <row r="59748" spans="18:19">
      <c r="R59748" s="178"/>
      <c r="S59748" s="178"/>
    </row>
    <row r="59749" spans="18:19">
      <c r="R59749" s="178"/>
      <c r="S59749" s="178"/>
    </row>
    <row r="59750" spans="18:19">
      <c r="R59750" s="178"/>
      <c r="S59750" s="178"/>
    </row>
    <row r="59751" spans="18:19">
      <c r="R59751" s="178"/>
      <c r="S59751" s="178"/>
    </row>
    <row r="59752" spans="18:19">
      <c r="R59752" s="178"/>
      <c r="S59752" s="178"/>
    </row>
    <row r="59753" spans="18:19">
      <c r="R59753" s="178"/>
      <c r="S59753" s="178"/>
    </row>
    <row r="59754" spans="18:19">
      <c r="R59754" s="178"/>
      <c r="S59754" s="178"/>
    </row>
    <row r="59755" spans="18:19">
      <c r="R59755" s="178"/>
      <c r="S59755" s="178"/>
    </row>
    <row r="59756" spans="18:19">
      <c r="R59756" s="178"/>
      <c r="S59756" s="178"/>
    </row>
    <row r="59757" spans="18:19">
      <c r="R59757" s="178"/>
      <c r="S59757" s="178"/>
    </row>
    <row r="59758" spans="18:19">
      <c r="R59758" s="178"/>
      <c r="S59758" s="178"/>
    </row>
    <row r="59759" spans="18:19">
      <c r="R59759" s="178"/>
      <c r="S59759" s="178"/>
    </row>
    <row r="59760" spans="18:19">
      <c r="R59760" s="178"/>
      <c r="S59760" s="178"/>
    </row>
    <row r="59761" spans="18:19">
      <c r="R59761" s="178"/>
      <c r="S59761" s="178"/>
    </row>
    <row r="59762" spans="18:19">
      <c r="R59762" s="178"/>
      <c r="S59762" s="178"/>
    </row>
    <row r="59763" spans="18:19">
      <c r="R59763" s="178"/>
      <c r="S59763" s="178"/>
    </row>
    <row r="59764" spans="18:19">
      <c r="R59764" s="178"/>
      <c r="S59764" s="178"/>
    </row>
    <row r="59765" spans="18:19">
      <c r="R59765" s="178"/>
      <c r="S59765" s="178"/>
    </row>
    <row r="59766" spans="18:19">
      <c r="R59766" s="178"/>
      <c r="S59766" s="178"/>
    </row>
    <row r="59767" spans="18:19">
      <c r="R59767" s="178"/>
      <c r="S59767" s="178"/>
    </row>
    <row r="59768" spans="18:19">
      <c r="R59768" s="178"/>
      <c r="S59768" s="178"/>
    </row>
    <row r="59769" spans="18:19">
      <c r="R59769" s="178"/>
      <c r="S59769" s="178"/>
    </row>
    <row r="59770" spans="18:19">
      <c r="R59770" s="178"/>
      <c r="S59770" s="178"/>
    </row>
    <row r="59771" spans="18:19">
      <c r="R59771" s="178"/>
      <c r="S59771" s="178"/>
    </row>
    <row r="59772" spans="18:19">
      <c r="R59772" s="178"/>
      <c r="S59772" s="178"/>
    </row>
    <row r="59773" spans="18:19">
      <c r="R59773" s="178"/>
      <c r="S59773" s="178"/>
    </row>
    <row r="59774" spans="18:19">
      <c r="R59774" s="178"/>
      <c r="S59774" s="178"/>
    </row>
    <row r="59775" spans="18:19">
      <c r="R59775" s="178"/>
      <c r="S59775" s="178"/>
    </row>
    <row r="59776" spans="18:19">
      <c r="R59776" s="178"/>
      <c r="S59776" s="178"/>
    </row>
    <row r="59777" spans="18:19">
      <c r="R59777" s="178"/>
      <c r="S59777" s="178"/>
    </row>
    <row r="59778" spans="18:19">
      <c r="R59778" s="178"/>
      <c r="S59778" s="178"/>
    </row>
    <row r="59779" spans="18:19">
      <c r="R59779" s="178"/>
      <c r="S59779" s="178"/>
    </row>
    <row r="59780" spans="18:19">
      <c r="R59780" s="178"/>
      <c r="S59780" s="178"/>
    </row>
    <row r="59781" spans="18:19">
      <c r="R59781" s="178"/>
      <c r="S59781" s="178"/>
    </row>
    <row r="59782" spans="18:19">
      <c r="R59782" s="178"/>
      <c r="S59782" s="178"/>
    </row>
    <row r="59783" spans="18:19">
      <c r="R59783" s="178"/>
      <c r="S59783" s="178"/>
    </row>
    <row r="59784" spans="18:19">
      <c r="R59784" s="178"/>
      <c r="S59784" s="178"/>
    </row>
    <row r="59785" spans="18:19">
      <c r="R59785" s="178"/>
      <c r="S59785" s="178"/>
    </row>
    <row r="59786" spans="18:19">
      <c r="R59786" s="178"/>
      <c r="S59786" s="178"/>
    </row>
    <row r="59787" spans="18:19">
      <c r="R59787" s="178"/>
      <c r="S59787" s="178"/>
    </row>
    <row r="59788" spans="18:19">
      <c r="R59788" s="178"/>
      <c r="S59788" s="178"/>
    </row>
    <row r="59789" spans="18:19">
      <c r="R59789" s="178"/>
      <c r="S59789" s="178"/>
    </row>
    <row r="59790" spans="18:19">
      <c r="R59790" s="178"/>
      <c r="S59790" s="178"/>
    </row>
    <row r="59791" spans="18:19">
      <c r="R59791" s="178"/>
      <c r="S59791" s="178"/>
    </row>
    <row r="59792" spans="18:19">
      <c r="R59792" s="178"/>
      <c r="S59792" s="178"/>
    </row>
    <row r="59793" spans="18:19">
      <c r="R59793" s="178"/>
      <c r="S59793" s="178"/>
    </row>
    <row r="59794" spans="18:19">
      <c r="R59794" s="178"/>
      <c r="S59794" s="178"/>
    </row>
    <row r="59795" spans="18:19">
      <c r="R59795" s="178"/>
      <c r="S59795" s="178"/>
    </row>
    <row r="59796" spans="18:19">
      <c r="R59796" s="178"/>
      <c r="S59796" s="178"/>
    </row>
    <row r="59797" spans="18:19">
      <c r="R59797" s="178"/>
      <c r="S59797" s="178"/>
    </row>
    <row r="59798" spans="18:19">
      <c r="R59798" s="178"/>
      <c r="S59798" s="178"/>
    </row>
    <row r="59799" spans="18:19">
      <c r="R59799" s="178"/>
      <c r="S59799" s="178"/>
    </row>
    <row r="59800" spans="18:19">
      <c r="R59800" s="178"/>
      <c r="S59800" s="178"/>
    </row>
    <row r="59801" spans="18:19">
      <c r="R59801" s="178"/>
      <c r="S59801" s="178"/>
    </row>
    <row r="59802" spans="18:19">
      <c r="R59802" s="178"/>
      <c r="S59802" s="178"/>
    </row>
    <row r="59803" spans="18:19">
      <c r="R59803" s="178"/>
      <c r="S59803" s="178"/>
    </row>
    <row r="59804" spans="18:19">
      <c r="R59804" s="178"/>
      <c r="S59804" s="178"/>
    </row>
    <row r="59805" spans="18:19">
      <c r="R59805" s="178"/>
      <c r="S59805" s="178"/>
    </row>
    <row r="59806" spans="18:19">
      <c r="R59806" s="178"/>
      <c r="S59806" s="178"/>
    </row>
    <row r="59807" spans="18:19">
      <c r="R59807" s="178"/>
      <c r="S59807" s="178"/>
    </row>
    <row r="59808" spans="18:19">
      <c r="R59808" s="178"/>
      <c r="S59808" s="178"/>
    </row>
    <row r="59809" spans="18:19">
      <c r="R59809" s="178"/>
      <c r="S59809" s="178"/>
    </row>
    <row r="59810" spans="18:19">
      <c r="R59810" s="178"/>
      <c r="S59810" s="178"/>
    </row>
    <row r="59811" spans="18:19">
      <c r="R59811" s="178"/>
      <c r="S59811" s="178"/>
    </row>
    <row r="59812" spans="18:19">
      <c r="R59812" s="178"/>
      <c r="S59812" s="178"/>
    </row>
    <row r="59813" spans="18:19">
      <c r="R59813" s="178"/>
      <c r="S59813" s="178"/>
    </row>
    <row r="59814" spans="18:19">
      <c r="R59814" s="178"/>
      <c r="S59814" s="178"/>
    </row>
    <row r="59815" spans="18:19">
      <c r="R59815" s="178"/>
      <c r="S59815" s="178"/>
    </row>
    <row r="59816" spans="18:19">
      <c r="R59816" s="178"/>
      <c r="S59816" s="178"/>
    </row>
    <row r="59817" spans="18:19">
      <c r="R59817" s="178"/>
      <c r="S59817" s="178"/>
    </row>
    <row r="59818" spans="18:19">
      <c r="R59818" s="178"/>
      <c r="S59818" s="178"/>
    </row>
    <row r="59819" spans="18:19">
      <c r="R59819" s="178"/>
      <c r="S59819" s="178"/>
    </row>
    <row r="59820" spans="18:19">
      <c r="R59820" s="178"/>
      <c r="S59820" s="178"/>
    </row>
    <row r="59821" spans="18:19">
      <c r="R59821" s="178"/>
      <c r="S59821" s="178"/>
    </row>
    <row r="59822" spans="18:19">
      <c r="R59822" s="178"/>
      <c r="S59822" s="178"/>
    </row>
    <row r="59823" spans="18:19">
      <c r="R59823" s="178"/>
      <c r="S59823" s="178"/>
    </row>
    <row r="59824" spans="18:19">
      <c r="R59824" s="178"/>
      <c r="S59824" s="178"/>
    </row>
    <row r="59825" spans="18:19">
      <c r="R59825" s="178"/>
      <c r="S59825" s="178"/>
    </row>
    <row r="59826" spans="18:19">
      <c r="R59826" s="178"/>
      <c r="S59826" s="178"/>
    </row>
    <row r="59827" spans="18:19">
      <c r="R59827" s="178"/>
      <c r="S59827" s="178"/>
    </row>
    <row r="59828" spans="18:19">
      <c r="R59828" s="178"/>
      <c r="S59828" s="178"/>
    </row>
    <row r="59829" spans="18:19">
      <c r="R59829" s="178"/>
      <c r="S59829" s="178"/>
    </row>
    <row r="59830" spans="18:19">
      <c r="R59830" s="178"/>
      <c r="S59830" s="178"/>
    </row>
    <row r="59831" spans="18:19">
      <c r="R59831" s="178"/>
      <c r="S59831" s="178"/>
    </row>
    <row r="59832" spans="18:19">
      <c r="R59832" s="178"/>
      <c r="S59832" s="178"/>
    </row>
    <row r="59833" spans="18:19">
      <c r="R59833" s="178"/>
      <c r="S59833" s="178"/>
    </row>
    <row r="59834" spans="18:19">
      <c r="R59834" s="178"/>
      <c r="S59834" s="178"/>
    </row>
    <row r="59835" spans="18:19">
      <c r="R59835" s="178"/>
      <c r="S59835" s="178"/>
    </row>
    <row r="59836" spans="18:19">
      <c r="R59836" s="178"/>
      <c r="S59836" s="178"/>
    </row>
    <row r="59837" spans="18:19">
      <c r="R59837" s="178"/>
      <c r="S59837" s="178"/>
    </row>
    <row r="59838" spans="18:19">
      <c r="R59838" s="178"/>
      <c r="S59838" s="178"/>
    </row>
    <row r="59839" spans="18:19">
      <c r="R59839" s="178"/>
      <c r="S59839" s="178"/>
    </row>
    <row r="59840" spans="18:19">
      <c r="R59840" s="178"/>
      <c r="S59840" s="178"/>
    </row>
    <row r="59841" spans="18:19">
      <c r="R59841" s="178"/>
      <c r="S59841" s="178"/>
    </row>
    <row r="59842" spans="18:19">
      <c r="R59842" s="178"/>
      <c r="S59842" s="178"/>
    </row>
    <row r="59843" spans="18:19">
      <c r="R59843" s="178"/>
      <c r="S59843" s="178"/>
    </row>
    <row r="59844" spans="18:19">
      <c r="R59844" s="178"/>
      <c r="S59844" s="178"/>
    </row>
    <row r="59845" spans="18:19">
      <c r="R59845" s="178"/>
      <c r="S59845" s="178"/>
    </row>
    <row r="59846" spans="18:19">
      <c r="R59846" s="178"/>
      <c r="S59846" s="178"/>
    </row>
    <row r="59847" spans="18:19">
      <c r="R59847" s="178"/>
      <c r="S59847" s="178"/>
    </row>
    <row r="59848" spans="18:19">
      <c r="R59848" s="178"/>
      <c r="S59848" s="178"/>
    </row>
    <row r="59849" spans="18:19">
      <c r="R59849" s="178"/>
      <c r="S59849" s="178"/>
    </row>
    <row r="59850" spans="18:19">
      <c r="R59850" s="178"/>
      <c r="S59850" s="178"/>
    </row>
    <row r="59851" spans="18:19">
      <c r="R59851" s="178"/>
      <c r="S59851" s="178"/>
    </row>
    <row r="59852" spans="18:19">
      <c r="R59852" s="178"/>
      <c r="S59852" s="178"/>
    </row>
    <row r="59853" spans="18:19">
      <c r="R59853" s="178"/>
      <c r="S59853" s="178"/>
    </row>
    <row r="59854" spans="18:19">
      <c r="R59854" s="178"/>
      <c r="S59854" s="178"/>
    </row>
    <row r="59855" spans="18:19">
      <c r="R59855" s="178"/>
      <c r="S59855" s="178"/>
    </row>
    <row r="59856" spans="18:19">
      <c r="R59856" s="178"/>
      <c r="S59856" s="178"/>
    </row>
    <row r="59857" spans="18:19">
      <c r="R59857" s="178"/>
      <c r="S59857" s="178"/>
    </row>
    <row r="59858" spans="18:19">
      <c r="R59858" s="178"/>
      <c r="S59858" s="178"/>
    </row>
    <row r="59859" spans="18:19">
      <c r="R59859" s="178"/>
      <c r="S59859" s="178"/>
    </row>
    <row r="59860" spans="18:19">
      <c r="R59860" s="178"/>
      <c r="S59860" s="178"/>
    </row>
    <row r="59861" spans="18:19">
      <c r="R59861" s="178"/>
      <c r="S59861" s="178"/>
    </row>
    <row r="59862" spans="18:19">
      <c r="R59862" s="178"/>
      <c r="S59862" s="178"/>
    </row>
    <row r="59863" spans="18:19">
      <c r="R59863" s="178"/>
      <c r="S59863" s="178"/>
    </row>
    <row r="59864" spans="18:19">
      <c r="R59864" s="178"/>
      <c r="S59864" s="178"/>
    </row>
    <row r="59865" spans="18:19">
      <c r="R59865" s="178"/>
      <c r="S59865" s="178"/>
    </row>
    <row r="59866" spans="18:19">
      <c r="R59866" s="178"/>
      <c r="S59866" s="178"/>
    </row>
    <row r="59867" spans="18:19">
      <c r="R59867" s="178"/>
      <c r="S59867" s="178"/>
    </row>
    <row r="59868" spans="18:19">
      <c r="R59868" s="178"/>
      <c r="S59868" s="178"/>
    </row>
    <row r="59869" spans="18:19">
      <c r="R59869" s="178"/>
      <c r="S59869" s="178"/>
    </row>
    <row r="59870" spans="18:19">
      <c r="R59870" s="178"/>
      <c r="S59870" s="178"/>
    </row>
    <row r="59871" spans="18:19">
      <c r="R59871" s="178"/>
      <c r="S59871" s="178"/>
    </row>
    <row r="59872" spans="18:19">
      <c r="R59872" s="178"/>
      <c r="S59872" s="178"/>
    </row>
    <row r="59873" spans="18:19">
      <c r="R59873" s="178"/>
      <c r="S59873" s="178"/>
    </row>
    <row r="59874" spans="18:19">
      <c r="R59874" s="178"/>
      <c r="S59874" s="178"/>
    </row>
    <row r="59875" spans="18:19">
      <c r="R59875" s="178"/>
      <c r="S59875" s="178"/>
    </row>
    <row r="59876" spans="18:19">
      <c r="R59876" s="178"/>
      <c r="S59876" s="178"/>
    </row>
    <row r="59877" spans="18:19">
      <c r="R59877" s="178"/>
      <c r="S59877" s="178"/>
    </row>
    <row r="59878" spans="18:19">
      <c r="R59878" s="178"/>
      <c r="S59878" s="178"/>
    </row>
    <row r="59879" spans="18:19">
      <c r="R59879" s="178"/>
      <c r="S59879" s="178"/>
    </row>
    <row r="59880" spans="18:19">
      <c r="R59880" s="178"/>
      <c r="S59880" s="178"/>
    </row>
    <row r="59881" spans="18:19">
      <c r="R59881" s="178"/>
      <c r="S59881" s="178"/>
    </row>
    <row r="59882" spans="18:19">
      <c r="R59882" s="178"/>
      <c r="S59882" s="178"/>
    </row>
    <row r="59883" spans="18:19">
      <c r="R59883" s="178"/>
      <c r="S59883" s="178"/>
    </row>
    <row r="59884" spans="18:19">
      <c r="R59884" s="178"/>
      <c r="S59884" s="178"/>
    </row>
    <row r="59885" spans="18:19">
      <c r="R59885" s="178"/>
      <c r="S59885" s="178"/>
    </row>
    <row r="59886" spans="18:19">
      <c r="R59886" s="178"/>
      <c r="S59886" s="178"/>
    </row>
    <row r="59887" spans="18:19">
      <c r="R59887" s="178"/>
      <c r="S59887" s="178"/>
    </row>
    <row r="59888" spans="18:19">
      <c r="R59888" s="178"/>
      <c r="S59888" s="178"/>
    </row>
    <row r="59889" spans="18:19">
      <c r="R59889" s="178"/>
      <c r="S59889" s="178"/>
    </row>
    <row r="59890" spans="18:19">
      <c r="R59890" s="178"/>
      <c r="S59890" s="178"/>
    </row>
    <row r="59891" spans="18:19">
      <c r="R59891" s="178"/>
      <c r="S59891" s="178"/>
    </row>
    <row r="59892" spans="18:19">
      <c r="R59892" s="178"/>
      <c r="S59892" s="178"/>
    </row>
    <row r="59893" spans="18:19">
      <c r="R59893" s="178"/>
      <c r="S59893" s="178"/>
    </row>
    <row r="59894" spans="18:19">
      <c r="R59894" s="178"/>
      <c r="S59894" s="178"/>
    </row>
    <row r="59895" spans="18:19">
      <c r="R59895" s="178"/>
      <c r="S59895" s="178"/>
    </row>
    <row r="59896" spans="18:19">
      <c r="R59896" s="178"/>
      <c r="S59896" s="178"/>
    </row>
    <row r="59897" spans="18:19">
      <c r="R59897" s="178"/>
      <c r="S59897" s="178"/>
    </row>
    <row r="59898" spans="18:19">
      <c r="R59898" s="178"/>
      <c r="S59898" s="178"/>
    </row>
    <row r="59899" spans="18:19">
      <c r="R59899" s="178"/>
      <c r="S59899" s="178"/>
    </row>
    <row r="59900" spans="18:19">
      <c r="R59900" s="178"/>
      <c r="S59900" s="178"/>
    </row>
    <row r="59901" spans="18:19">
      <c r="R59901" s="178"/>
      <c r="S59901" s="178"/>
    </row>
    <row r="59902" spans="18:19">
      <c r="R59902" s="178"/>
      <c r="S59902" s="178"/>
    </row>
    <row r="59903" spans="18:19">
      <c r="R59903" s="178"/>
      <c r="S59903" s="178"/>
    </row>
    <row r="59904" spans="18:19">
      <c r="R59904" s="178"/>
      <c r="S59904" s="178"/>
    </row>
    <row r="59905" spans="18:19">
      <c r="R59905" s="178"/>
      <c r="S59905" s="178"/>
    </row>
    <row r="59906" spans="18:19">
      <c r="R59906" s="178"/>
      <c r="S59906" s="178"/>
    </row>
    <row r="59907" spans="18:19">
      <c r="R59907" s="178"/>
      <c r="S59907" s="178"/>
    </row>
    <row r="59908" spans="18:19">
      <c r="R59908" s="178"/>
      <c r="S59908" s="178"/>
    </row>
    <row r="59909" spans="18:19">
      <c r="R59909" s="178"/>
      <c r="S59909" s="178"/>
    </row>
    <row r="59910" spans="18:19">
      <c r="R59910" s="178"/>
      <c r="S59910" s="178"/>
    </row>
    <row r="59911" spans="18:19">
      <c r="R59911" s="178"/>
      <c r="S59911" s="178"/>
    </row>
    <row r="59912" spans="18:19">
      <c r="R59912" s="178"/>
      <c r="S59912" s="178"/>
    </row>
    <row r="59913" spans="18:19">
      <c r="R59913" s="178"/>
      <c r="S59913" s="178"/>
    </row>
    <row r="59914" spans="18:19">
      <c r="R59914" s="178"/>
      <c r="S59914" s="178"/>
    </row>
    <row r="59915" spans="18:19">
      <c r="R59915" s="178"/>
      <c r="S59915" s="178"/>
    </row>
    <row r="59916" spans="18:19">
      <c r="R59916" s="178"/>
      <c r="S59916" s="178"/>
    </row>
    <row r="59917" spans="18:19">
      <c r="R59917" s="178"/>
      <c r="S59917" s="178"/>
    </row>
    <row r="59918" spans="18:19">
      <c r="R59918" s="178"/>
      <c r="S59918" s="178"/>
    </row>
    <row r="59919" spans="18:19">
      <c r="R59919" s="178"/>
      <c r="S59919" s="178"/>
    </row>
    <row r="59920" spans="18:19">
      <c r="R59920" s="178"/>
      <c r="S59920" s="178"/>
    </row>
    <row r="59921" spans="18:19">
      <c r="R59921" s="178"/>
      <c r="S59921" s="178"/>
    </row>
    <row r="59922" spans="18:19">
      <c r="R59922" s="178"/>
      <c r="S59922" s="178"/>
    </row>
    <row r="59923" spans="18:19">
      <c r="R59923" s="178"/>
      <c r="S59923" s="178"/>
    </row>
    <row r="59924" spans="18:19">
      <c r="R59924" s="178"/>
      <c r="S59924" s="178"/>
    </row>
    <row r="59925" spans="18:19">
      <c r="R59925" s="178"/>
      <c r="S59925" s="178"/>
    </row>
    <row r="59926" spans="18:19">
      <c r="R59926" s="178"/>
      <c r="S59926" s="178"/>
    </row>
    <row r="59927" spans="18:19">
      <c r="R59927" s="178"/>
      <c r="S59927" s="178"/>
    </row>
    <row r="59928" spans="18:19">
      <c r="R59928" s="178"/>
      <c r="S59928" s="178"/>
    </row>
    <row r="59929" spans="18:19">
      <c r="R59929" s="178"/>
      <c r="S59929" s="178"/>
    </row>
    <row r="59930" spans="18:19">
      <c r="R59930" s="178"/>
      <c r="S59930" s="178"/>
    </row>
    <row r="59931" spans="18:19">
      <c r="R59931" s="178"/>
      <c r="S59931" s="178"/>
    </row>
    <row r="59932" spans="18:19">
      <c r="R59932" s="178"/>
      <c r="S59932" s="178"/>
    </row>
    <row r="59933" spans="18:19">
      <c r="R59933" s="178"/>
      <c r="S59933" s="178"/>
    </row>
    <row r="59934" spans="18:19">
      <c r="R59934" s="178"/>
      <c r="S59934" s="178"/>
    </row>
    <row r="59935" spans="18:19">
      <c r="R59935" s="178"/>
      <c r="S59935" s="178"/>
    </row>
    <row r="59936" spans="18:19">
      <c r="R59936" s="178"/>
      <c r="S59936" s="178"/>
    </row>
    <row r="59937" spans="18:19">
      <c r="R59937" s="178"/>
      <c r="S59937" s="178"/>
    </row>
    <row r="59938" spans="18:19">
      <c r="R59938" s="178"/>
      <c r="S59938" s="178"/>
    </row>
    <row r="59939" spans="18:19">
      <c r="R59939" s="178"/>
      <c r="S59939" s="178"/>
    </row>
    <row r="59940" spans="18:19">
      <c r="R59940" s="178"/>
      <c r="S59940" s="178"/>
    </row>
    <row r="59941" spans="18:19">
      <c r="R59941" s="178"/>
      <c r="S59941" s="178"/>
    </row>
    <row r="59942" spans="18:19">
      <c r="R59942" s="178"/>
      <c r="S59942" s="178"/>
    </row>
    <row r="59943" spans="18:19">
      <c r="R59943" s="178"/>
      <c r="S59943" s="178"/>
    </row>
    <row r="59944" spans="18:19">
      <c r="R59944" s="178"/>
      <c r="S59944" s="178"/>
    </row>
    <row r="59945" spans="18:19">
      <c r="R59945" s="178"/>
      <c r="S59945" s="178"/>
    </row>
    <row r="59946" spans="18:19">
      <c r="R59946" s="178"/>
      <c r="S59946" s="178"/>
    </row>
    <row r="59947" spans="18:19">
      <c r="R59947" s="178"/>
      <c r="S59947" s="178"/>
    </row>
    <row r="59948" spans="18:19">
      <c r="R59948" s="178"/>
      <c r="S59948" s="178"/>
    </row>
    <row r="59949" spans="18:19">
      <c r="R59949" s="178"/>
      <c r="S59949" s="178"/>
    </row>
    <row r="59950" spans="18:19">
      <c r="R59950" s="178"/>
      <c r="S59950" s="178"/>
    </row>
    <row r="59951" spans="18:19">
      <c r="R59951" s="178"/>
      <c r="S59951" s="178"/>
    </row>
    <row r="59952" spans="18:19">
      <c r="R59952" s="178"/>
      <c r="S59952" s="178"/>
    </row>
    <row r="59953" spans="18:19">
      <c r="R59953" s="178"/>
      <c r="S59953" s="178"/>
    </row>
    <row r="59954" spans="18:19">
      <c r="R59954" s="178"/>
      <c r="S59954" s="178"/>
    </row>
    <row r="59955" spans="18:19">
      <c r="R59955" s="178"/>
      <c r="S59955" s="178"/>
    </row>
    <row r="59956" spans="18:19">
      <c r="R59956" s="178"/>
      <c r="S59956" s="178"/>
    </row>
    <row r="59957" spans="18:19">
      <c r="R59957" s="178"/>
      <c r="S59957" s="178"/>
    </row>
    <row r="59958" spans="18:19">
      <c r="R59958" s="178"/>
      <c r="S59958" s="178"/>
    </row>
    <row r="59959" spans="18:19">
      <c r="R59959" s="178"/>
      <c r="S59959" s="178"/>
    </row>
    <row r="59960" spans="18:19">
      <c r="R59960" s="178"/>
      <c r="S59960" s="178"/>
    </row>
    <row r="59961" spans="18:19">
      <c r="R59961" s="178"/>
      <c r="S59961" s="178"/>
    </row>
    <row r="59962" spans="18:19">
      <c r="R59962" s="178"/>
      <c r="S59962" s="178"/>
    </row>
    <row r="59963" spans="18:19">
      <c r="R59963" s="178"/>
      <c r="S59963" s="178"/>
    </row>
    <row r="59964" spans="18:19">
      <c r="R59964" s="178"/>
      <c r="S59964" s="178"/>
    </row>
    <row r="59965" spans="18:19">
      <c r="R59965" s="178"/>
      <c r="S59965" s="178"/>
    </row>
    <row r="59966" spans="18:19">
      <c r="R59966" s="178"/>
      <c r="S59966" s="178"/>
    </row>
    <row r="59967" spans="18:19">
      <c r="R59967" s="178"/>
      <c r="S59967" s="178"/>
    </row>
    <row r="59968" spans="18:19">
      <c r="R59968" s="178"/>
      <c r="S59968" s="178"/>
    </row>
    <row r="59969" spans="18:19">
      <c r="R59969" s="178"/>
      <c r="S59969" s="178"/>
    </row>
    <row r="59970" spans="18:19">
      <c r="R59970" s="178"/>
      <c r="S59970" s="178"/>
    </row>
    <row r="59971" spans="18:19">
      <c r="R59971" s="178"/>
      <c r="S59971" s="178"/>
    </row>
    <row r="59972" spans="18:19">
      <c r="R59972" s="178"/>
      <c r="S59972" s="178"/>
    </row>
    <row r="59973" spans="18:19">
      <c r="R59973" s="178"/>
      <c r="S59973" s="178"/>
    </row>
    <row r="59974" spans="18:19">
      <c r="R59974" s="178"/>
      <c r="S59974" s="178"/>
    </row>
    <row r="59975" spans="18:19">
      <c r="R59975" s="178"/>
      <c r="S59975" s="178"/>
    </row>
    <row r="59976" spans="18:19">
      <c r="R59976" s="178"/>
      <c r="S59976" s="178"/>
    </row>
    <row r="59977" spans="18:19">
      <c r="R59977" s="178"/>
      <c r="S59977" s="178"/>
    </row>
    <row r="59978" spans="18:19">
      <c r="R59978" s="178"/>
      <c r="S59978" s="178"/>
    </row>
    <row r="59979" spans="18:19">
      <c r="R59979" s="178"/>
      <c r="S59979" s="178"/>
    </row>
    <row r="59980" spans="18:19">
      <c r="R59980" s="178"/>
      <c r="S59980" s="178"/>
    </row>
    <row r="59981" spans="18:19">
      <c r="R59981" s="178"/>
      <c r="S59981" s="178"/>
    </row>
    <row r="59982" spans="18:19">
      <c r="R59982" s="178"/>
      <c r="S59982" s="178"/>
    </row>
    <row r="59983" spans="18:19">
      <c r="R59983" s="178"/>
      <c r="S59983" s="178"/>
    </row>
    <row r="59984" spans="18:19">
      <c r="R59984" s="178"/>
      <c r="S59984" s="178"/>
    </row>
    <row r="59985" spans="18:19">
      <c r="R59985" s="178"/>
      <c r="S59985" s="178"/>
    </row>
    <row r="59986" spans="18:19">
      <c r="R59986" s="178"/>
      <c r="S59986" s="178"/>
    </row>
    <row r="59987" spans="18:19">
      <c r="R59987" s="178"/>
      <c r="S59987" s="178"/>
    </row>
    <row r="59988" spans="18:19">
      <c r="R59988" s="178"/>
      <c r="S59988" s="178"/>
    </row>
    <row r="59989" spans="18:19">
      <c r="R59989" s="178"/>
      <c r="S59989" s="178"/>
    </row>
    <row r="59990" spans="18:19">
      <c r="R59990" s="178"/>
      <c r="S59990" s="178"/>
    </row>
    <row r="59991" spans="18:19">
      <c r="R59991" s="178"/>
      <c r="S59991" s="178"/>
    </row>
    <row r="59992" spans="18:19">
      <c r="R59992" s="178"/>
      <c r="S59992" s="178"/>
    </row>
    <row r="59993" spans="18:19">
      <c r="R59993" s="178"/>
      <c r="S59993" s="178"/>
    </row>
    <row r="59994" spans="18:19">
      <c r="R59994" s="178"/>
      <c r="S59994" s="178"/>
    </row>
    <row r="59995" spans="18:19">
      <c r="R59995" s="178"/>
      <c r="S59995" s="178"/>
    </row>
    <row r="59996" spans="18:19">
      <c r="R59996" s="178"/>
      <c r="S59996" s="178"/>
    </row>
    <row r="59997" spans="18:19">
      <c r="R59997" s="178"/>
      <c r="S59997" s="178"/>
    </row>
    <row r="59998" spans="18:19">
      <c r="R59998" s="178"/>
      <c r="S59998" s="178"/>
    </row>
    <row r="59999" spans="18:19">
      <c r="R59999" s="178"/>
      <c r="S59999" s="178"/>
    </row>
    <row r="60000" spans="18:19">
      <c r="R60000" s="178"/>
      <c r="S60000" s="178"/>
    </row>
    <row r="60001" spans="18:19">
      <c r="R60001" s="178"/>
      <c r="S60001" s="178"/>
    </row>
    <row r="60002" spans="18:19">
      <c r="R60002" s="178"/>
      <c r="S60002" s="178"/>
    </row>
    <row r="60003" spans="18:19">
      <c r="R60003" s="178"/>
      <c r="S60003" s="178"/>
    </row>
    <row r="60004" spans="18:19">
      <c r="R60004" s="178"/>
      <c r="S60004" s="178"/>
    </row>
    <row r="60005" spans="18:19">
      <c r="R60005" s="178"/>
      <c r="S60005" s="178"/>
    </row>
    <row r="60006" spans="18:19">
      <c r="R60006" s="178"/>
      <c r="S60006" s="178"/>
    </row>
    <row r="60007" spans="18:19">
      <c r="R60007" s="178"/>
      <c r="S60007" s="178"/>
    </row>
    <row r="60008" spans="18:19">
      <c r="R60008" s="178"/>
      <c r="S60008" s="178"/>
    </row>
    <row r="60009" spans="18:19">
      <c r="R60009" s="178"/>
      <c r="S60009" s="178"/>
    </row>
    <row r="60010" spans="18:19">
      <c r="R60010" s="178"/>
      <c r="S60010" s="178"/>
    </row>
    <row r="60011" spans="18:19">
      <c r="R60011" s="178"/>
      <c r="S60011" s="178"/>
    </row>
    <row r="60012" spans="18:19">
      <c r="R60012" s="178"/>
      <c r="S60012" s="178"/>
    </row>
    <row r="60013" spans="18:19">
      <c r="R60013" s="178"/>
      <c r="S60013" s="178"/>
    </row>
    <row r="60014" spans="18:19">
      <c r="R60014" s="178"/>
      <c r="S60014" s="178"/>
    </row>
    <row r="60015" spans="18:19">
      <c r="R60015" s="178"/>
      <c r="S60015" s="178"/>
    </row>
    <row r="60016" spans="18:19">
      <c r="R60016" s="178"/>
      <c r="S60016" s="178"/>
    </row>
    <row r="60017" spans="18:19">
      <c r="R60017" s="178"/>
      <c r="S60017" s="178"/>
    </row>
    <row r="60018" spans="18:19">
      <c r="R60018" s="178"/>
      <c r="S60018" s="178"/>
    </row>
    <row r="60019" spans="18:19">
      <c r="R60019" s="178"/>
      <c r="S60019" s="178"/>
    </row>
    <row r="60020" spans="18:19">
      <c r="R60020" s="178"/>
      <c r="S60020" s="178"/>
    </row>
    <row r="60021" spans="18:19">
      <c r="R60021" s="178"/>
      <c r="S60021" s="178"/>
    </row>
    <row r="60022" spans="18:19">
      <c r="R60022" s="178"/>
      <c r="S60022" s="178"/>
    </row>
    <row r="60023" spans="18:19">
      <c r="R60023" s="178"/>
      <c r="S60023" s="178"/>
    </row>
    <row r="60024" spans="18:19">
      <c r="R60024" s="178"/>
      <c r="S60024" s="178"/>
    </row>
    <row r="60025" spans="18:19">
      <c r="R60025" s="178"/>
      <c r="S60025" s="178"/>
    </row>
    <row r="60026" spans="18:19">
      <c r="R60026" s="178"/>
      <c r="S60026" s="178"/>
    </row>
    <row r="60027" spans="18:19">
      <c r="R60027" s="178"/>
      <c r="S60027" s="178"/>
    </row>
    <row r="60028" spans="18:19">
      <c r="R60028" s="178"/>
      <c r="S60028" s="178"/>
    </row>
    <row r="60029" spans="18:19">
      <c r="R60029" s="178"/>
      <c r="S60029" s="178"/>
    </row>
    <row r="60030" spans="18:19">
      <c r="R60030" s="178"/>
      <c r="S60030" s="178"/>
    </row>
    <row r="60031" spans="18:19">
      <c r="R60031" s="178"/>
      <c r="S60031" s="178"/>
    </row>
    <row r="60032" spans="18:19">
      <c r="R60032" s="178"/>
      <c r="S60032" s="178"/>
    </row>
    <row r="60033" spans="18:19">
      <c r="R60033" s="178"/>
      <c r="S60033" s="178"/>
    </row>
    <row r="60034" spans="18:19">
      <c r="R60034" s="178"/>
      <c r="S60034" s="178"/>
    </row>
    <row r="60035" spans="18:19">
      <c r="R60035" s="178"/>
      <c r="S60035" s="178"/>
    </row>
    <row r="60036" spans="18:19">
      <c r="R60036" s="178"/>
      <c r="S60036" s="178"/>
    </row>
    <row r="60037" spans="18:19">
      <c r="R60037" s="178"/>
      <c r="S60037" s="178"/>
    </row>
    <row r="60038" spans="18:19">
      <c r="R60038" s="178"/>
      <c r="S60038" s="178"/>
    </row>
    <row r="60039" spans="18:19">
      <c r="R60039" s="178"/>
      <c r="S60039" s="178"/>
    </row>
    <row r="60040" spans="18:19">
      <c r="R60040" s="178"/>
      <c r="S60040" s="178"/>
    </row>
    <row r="60041" spans="18:19">
      <c r="R60041" s="178"/>
      <c r="S60041" s="178"/>
    </row>
    <row r="60042" spans="18:19">
      <c r="R60042" s="178"/>
      <c r="S60042" s="178"/>
    </row>
    <row r="60043" spans="18:19">
      <c r="R60043" s="178"/>
      <c r="S60043" s="178"/>
    </row>
    <row r="60044" spans="18:19">
      <c r="R60044" s="178"/>
      <c r="S60044" s="178"/>
    </row>
    <row r="60045" spans="18:19">
      <c r="R60045" s="178"/>
      <c r="S60045" s="178"/>
    </row>
    <row r="60046" spans="18:19">
      <c r="R60046" s="178"/>
      <c r="S60046" s="178"/>
    </row>
    <row r="60047" spans="18:19">
      <c r="R60047" s="178"/>
      <c r="S60047" s="178"/>
    </row>
    <row r="60048" spans="18:19">
      <c r="R60048" s="178"/>
      <c r="S60048" s="178"/>
    </row>
    <row r="60049" spans="18:19">
      <c r="R60049" s="178"/>
      <c r="S60049" s="178"/>
    </row>
    <row r="60050" spans="18:19">
      <c r="R60050" s="178"/>
      <c r="S60050" s="178"/>
    </row>
    <row r="60051" spans="18:19">
      <c r="R60051" s="178"/>
      <c r="S60051" s="178"/>
    </row>
    <row r="60052" spans="18:19">
      <c r="R60052" s="178"/>
      <c r="S60052" s="178"/>
    </row>
    <row r="60053" spans="18:19">
      <c r="R60053" s="178"/>
      <c r="S60053" s="178"/>
    </row>
    <row r="60054" spans="18:19">
      <c r="R60054" s="178"/>
      <c r="S60054" s="178"/>
    </row>
    <row r="60055" spans="18:19">
      <c r="R60055" s="178"/>
      <c r="S60055" s="178"/>
    </row>
    <row r="60056" spans="18:19">
      <c r="R60056" s="178"/>
      <c r="S60056" s="178"/>
    </row>
    <row r="60057" spans="18:19">
      <c r="R60057" s="178"/>
      <c r="S60057" s="178"/>
    </row>
    <row r="60058" spans="18:19">
      <c r="R60058" s="178"/>
      <c r="S60058" s="178"/>
    </row>
    <row r="60059" spans="18:19">
      <c r="R60059" s="178"/>
      <c r="S60059" s="178"/>
    </row>
    <row r="60060" spans="18:19">
      <c r="R60060" s="178"/>
      <c r="S60060" s="178"/>
    </row>
    <row r="60061" spans="18:19">
      <c r="R60061" s="178"/>
      <c r="S60061" s="178"/>
    </row>
    <row r="60062" spans="18:19">
      <c r="R60062" s="178"/>
      <c r="S60062" s="178"/>
    </row>
    <row r="60063" spans="18:19">
      <c r="R60063" s="178"/>
      <c r="S60063" s="178"/>
    </row>
    <row r="60064" spans="18:19">
      <c r="R60064" s="178"/>
      <c r="S60064" s="178"/>
    </row>
    <row r="60065" spans="18:19">
      <c r="R60065" s="178"/>
      <c r="S60065" s="178"/>
    </row>
    <row r="60066" spans="18:19">
      <c r="R60066" s="178"/>
      <c r="S60066" s="178"/>
    </row>
    <row r="60067" spans="18:19">
      <c r="R60067" s="178"/>
      <c r="S60067" s="178"/>
    </row>
    <row r="60068" spans="18:19">
      <c r="R60068" s="178"/>
      <c r="S60068" s="178"/>
    </row>
    <row r="60069" spans="18:19">
      <c r="R60069" s="178"/>
      <c r="S60069" s="178"/>
    </row>
    <row r="60070" spans="18:19">
      <c r="R60070" s="178"/>
      <c r="S60070" s="178"/>
    </row>
    <row r="60071" spans="18:19">
      <c r="R60071" s="178"/>
      <c r="S60071" s="178"/>
    </row>
    <row r="60072" spans="18:19">
      <c r="R60072" s="178"/>
      <c r="S60072" s="178"/>
    </row>
    <row r="60073" spans="18:19">
      <c r="R60073" s="178"/>
      <c r="S60073" s="178"/>
    </row>
    <row r="60074" spans="18:19">
      <c r="R60074" s="178"/>
      <c r="S60074" s="178"/>
    </row>
    <row r="60075" spans="18:19">
      <c r="R60075" s="178"/>
      <c r="S60075" s="178"/>
    </row>
    <row r="60076" spans="18:19">
      <c r="R60076" s="178"/>
      <c r="S60076" s="178"/>
    </row>
    <row r="60077" spans="18:19">
      <c r="R60077" s="178"/>
      <c r="S60077" s="178"/>
    </row>
    <row r="60078" spans="18:19">
      <c r="R60078" s="178"/>
      <c r="S60078" s="178"/>
    </row>
    <row r="60079" spans="18:19">
      <c r="R60079" s="178"/>
      <c r="S60079" s="178"/>
    </row>
    <row r="60080" spans="18:19">
      <c r="R60080" s="178"/>
      <c r="S60080" s="178"/>
    </row>
    <row r="60081" spans="18:19">
      <c r="R60081" s="178"/>
      <c r="S60081" s="178"/>
    </row>
    <row r="60082" spans="18:19">
      <c r="R60082" s="178"/>
      <c r="S60082" s="178"/>
    </row>
    <row r="60083" spans="18:19">
      <c r="R60083" s="178"/>
      <c r="S60083" s="178"/>
    </row>
    <row r="60084" spans="18:19">
      <c r="R60084" s="178"/>
      <c r="S60084" s="178"/>
    </row>
    <row r="60085" spans="18:19">
      <c r="R60085" s="178"/>
      <c r="S60085" s="178"/>
    </row>
    <row r="60086" spans="18:19">
      <c r="R60086" s="178"/>
      <c r="S60086" s="178"/>
    </row>
    <row r="60087" spans="18:19">
      <c r="R60087" s="178"/>
      <c r="S60087" s="178"/>
    </row>
    <row r="60088" spans="18:19">
      <c r="R60088" s="178"/>
      <c r="S60088" s="178"/>
    </row>
    <row r="60089" spans="18:19">
      <c r="R60089" s="178"/>
      <c r="S60089" s="178"/>
    </row>
    <row r="60090" spans="18:19">
      <c r="R60090" s="178"/>
      <c r="S60090" s="178"/>
    </row>
    <row r="60091" spans="18:19">
      <c r="R60091" s="178"/>
      <c r="S60091" s="178"/>
    </row>
    <row r="60092" spans="18:19">
      <c r="R60092" s="178"/>
      <c r="S60092" s="178"/>
    </row>
    <row r="60093" spans="18:19">
      <c r="R60093" s="178"/>
      <c r="S60093" s="178"/>
    </row>
    <row r="60094" spans="18:19">
      <c r="R60094" s="178"/>
      <c r="S60094" s="178"/>
    </row>
    <row r="60095" spans="18:19">
      <c r="R60095" s="178"/>
      <c r="S60095" s="178"/>
    </row>
    <row r="60096" spans="18:19">
      <c r="R60096" s="178"/>
      <c r="S60096" s="178"/>
    </row>
    <row r="60097" spans="18:19">
      <c r="R60097" s="178"/>
      <c r="S60097" s="178"/>
    </row>
    <row r="60098" spans="18:19">
      <c r="R60098" s="178"/>
      <c r="S60098" s="178"/>
    </row>
    <row r="60099" spans="18:19">
      <c r="R60099" s="178"/>
      <c r="S60099" s="178"/>
    </row>
    <row r="60100" spans="18:19">
      <c r="R60100" s="178"/>
      <c r="S60100" s="178"/>
    </row>
    <row r="60101" spans="18:19">
      <c r="R60101" s="178"/>
      <c r="S60101" s="178"/>
    </row>
    <row r="60102" spans="18:19">
      <c r="R60102" s="178"/>
      <c r="S60102" s="178"/>
    </row>
    <row r="60103" spans="18:19">
      <c r="R60103" s="178"/>
      <c r="S60103" s="178"/>
    </row>
    <row r="60104" spans="18:19">
      <c r="R60104" s="178"/>
      <c r="S60104" s="178"/>
    </row>
    <row r="60105" spans="18:19">
      <c r="R60105" s="178"/>
      <c r="S60105" s="178"/>
    </row>
    <row r="60106" spans="18:19">
      <c r="R60106" s="178"/>
      <c r="S60106" s="178"/>
    </row>
    <row r="60107" spans="18:19">
      <c r="R60107" s="178"/>
      <c r="S60107" s="178"/>
    </row>
    <row r="60108" spans="18:19">
      <c r="R60108" s="178"/>
      <c r="S60108" s="178"/>
    </row>
    <row r="60109" spans="18:19">
      <c r="R60109" s="178"/>
      <c r="S60109" s="178"/>
    </row>
    <row r="60110" spans="18:19">
      <c r="R60110" s="178"/>
      <c r="S60110" s="178"/>
    </row>
    <row r="60111" spans="18:19">
      <c r="R60111" s="178"/>
      <c r="S60111" s="178"/>
    </row>
    <row r="60112" spans="18:19">
      <c r="R60112" s="178"/>
      <c r="S60112" s="178"/>
    </row>
    <row r="60113" spans="18:19">
      <c r="R60113" s="178"/>
      <c r="S60113" s="178"/>
    </row>
    <row r="60114" spans="18:19">
      <c r="R60114" s="178"/>
      <c r="S60114" s="178"/>
    </row>
    <row r="60115" spans="18:19">
      <c r="R60115" s="178"/>
      <c r="S60115" s="178"/>
    </row>
    <row r="60116" spans="18:19">
      <c r="R60116" s="178"/>
      <c r="S60116" s="178"/>
    </row>
    <row r="60117" spans="18:19">
      <c r="R60117" s="178"/>
      <c r="S60117" s="178"/>
    </row>
    <row r="60118" spans="18:19">
      <c r="R60118" s="178"/>
      <c r="S60118" s="178"/>
    </row>
    <row r="60119" spans="18:19">
      <c r="R60119" s="178"/>
      <c r="S60119" s="178"/>
    </row>
    <row r="60120" spans="18:19">
      <c r="R60120" s="178"/>
      <c r="S60120" s="178"/>
    </row>
    <row r="60121" spans="18:19">
      <c r="R60121" s="178"/>
      <c r="S60121" s="178"/>
    </row>
    <row r="60122" spans="18:19">
      <c r="R60122" s="178"/>
      <c r="S60122" s="178"/>
    </row>
    <row r="60123" spans="18:19">
      <c r="R60123" s="178"/>
      <c r="S60123" s="178"/>
    </row>
    <row r="60124" spans="18:19">
      <c r="R60124" s="178"/>
      <c r="S60124" s="178"/>
    </row>
    <row r="60125" spans="18:19">
      <c r="R60125" s="178"/>
      <c r="S60125" s="178"/>
    </row>
    <row r="60126" spans="18:19">
      <c r="R60126" s="178"/>
      <c r="S60126" s="178"/>
    </row>
    <row r="60127" spans="18:19">
      <c r="R60127" s="178"/>
      <c r="S60127" s="178"/>
    </row>
    <row r="60128" spans="18:19">
      <c r="R60128" s="178"/>
      <c r="S60128" s="178"/>
    </row>
    <row r="60129" spans="18:19">
      <c r="R60129" s="178"/>
      <c r="S60129" s="178"/>
    </row>
    <row r="60130" spans="18:19">
      <c r="R60130" s="178"/>
      <c r="S60130" s="178"/>
    </row>
    <row r="60131" spans="18:19">
      <c r="R60131" s="178"/>
      <c r="S60131" s="178"/>
    </row>
    <row r="60132" spans="18:19">
      <c r="R60132" s="178"/>
      <c r="S60132" s="178"/>
    </row>
    <row r="60133" spans="18:19">
      <c r="R60133" s="178"/>
      <c r="S60133" s="178"/>
    </row>
    <row r="60134" spans="18:19">
      <c r="R60134" s="178"/>
      <c r="S60134" s="178"/>
    </row>
    <row r="60135" spans="18:19">
      <c r="R60135" s="178"/>
      <c r="S60135" s="178"/>
    </row>
    <row r="60136" spans="18:19">
      <c r="R60136" s="178"/>
      <c r="S60136" s="178"/>
    </row>
    <row r="60137" spans="18:19">
      <c r="R60137" s="178"/>
      <c r="S60137" s="178"/>
    </row>
    <row r="60138" spans="18:19">
      <c r="R60138" s="178"/>
      <c r="S60138" s="178"/>
    </row>
    <row r="60139" spans="18:19">
      <c r="R60139" s="178"/>
      <c r="S60139" s="178"/>
    </row>
    <row r="60140" spans="18:19">
      <c r="R60140" s="178"/>
      <c r="S60140" s="178"/>
    </row>
    <row r="60141" spans="18:19">
      <c r="R60141" s="178"/>
      <c r="S60141" s="178"/>
    </row>
    <row r="60142" spans="18:19">
      <c r="R60142" s="178"/>
      <c r="S60142" s="178"/>
    </row>
    <row r="60143" spans="18:19">
      <c r="R60143" s="178"/>
      <c r="S60143" s="178"/>
    </row>
    <row r="60144" spans="18:19">
      <c r="R60144" s="178"/>
      <c r="S60144" s="178"/>
    </row>
    <row r="60145" spans="18:19">
      <c r="R60145" s="178"/>
      <c r="S60145" s="178"/>
    </row>
    <row r="60146" spans="18:19">
      <c r="R60146" s="178"/>
      <c r="S60146" s="178"/>
    </row>
    <row r="60147" spans="18:19">
      <c r="R60147" s="178"/>
      <c r="S60147" s="178"/>
    </row>
    <row r="60148" spans="18:19">
      <c r="R60148" s="178"/>
      <c r="S60148" s="178"/>
    </row>
    <row r="60149" spans="18:19">
      <c r="R60149" s="178"/>
      <c r="S60149" s="178"/>
    </row>
    <row r="60150" spans="18:19">
      <c r="R60150" s="178"/>
      <c r="S60150" s="178"/>
    </row>
    <row r="60151" spans="18:19">
      <c r="R60151" s="178"/>
      <c r="S60151" s="178"/>
    </row>
    <row r="60152" spans="18:19">
      <c r="R60152" s="178"/>
      <c r="S60152" s="178"/>
    </row>
    <row r="60153" spans="18:19">
      <c r="R60153" s="178"/>
      <c r="S60153" s="178"/>
    </row>
    <row r="60154" spans="18:19">
      <c r="R60154" s="178"/>
      <c r="S60154" s="178"/>
    </row>
    <row r="60155" spans="18:19">
      <c r="R60155" s="178"/>
      <c r="S60155" s="178"/>
    </row>
    <row r="60156" spans="18:19">
      <c r="R60156" s="178"/>
      <c r="S60156" s="178"/>
    </row>
    <row r="60157" spans="18:19">
      <c r="R60157" s="178"/>
      <c r="S60157" s="178"/>
    </row>
    <row r="60158" spans="18:19">
      <c r="R60158" s="178"/>
      <c r="S60158" s="178"/>
    </row>
    <row r="60159" spans="18:19">
      <c r="R60159" s="178"/>
      <c r="S60159" s="178"/>
    </row>
    <row r="60160" spans="18:19">
      <c r="R60160" s="178"/>
      <c r="S60160" s="178"/>
    </row>
    <row r="60161" spans="18:19">
      <c r="R60161" s="178"/>
      <c r="S60161" s="178"/>
    </row>
    <row r="60162" spans="18:19">
      <c r="R60162" s="178"/>
      <c r="S60162" s="178"/>
    </row>
    <row r="60163" spans="18:19">
      <c r="R60163" s="178"/>
      <c r="S60163" s="178"/>
    </row>
    <row r="60164" spans="18:19">
      <c r="R60164" s="178"/>
      <c r="S60164" s="178"/>
    </row>
    <row r="60165" spans="18:19">
      <c r="R60165" s="178"/>
      <c r="S60165" s="178"/>
    </row>
    <row r="60166" spans="18:19">
      <c r="R60166" s="178"/>
      <c r="S60166" s="178"/>
    </row>
    <row r="60167" spans="18:19">
      <c r="R60167" s="178"/>
      <c r="S60167" s="178"/>
    </row>
    <row r="60168" spans="18:19">
      <c r="R60168" s="178"/>
      <c r="S60168" s="178"/>
    </row>
    <row r="60169" spans="18:19">
      <c r="R60169" s="178"/>
      <c r="S60169" s="178"/>
    </row>
    <row r="60170" spans="18:19">
      <c r="R60170" s="178"/>
      <c r="S60170" s="178"/>
    </row>
    <row r="60171" spans="18:19">
      <c r="R60171" s="178"/>
      <c r="S60171" s="178"/>
    </row>
    <row r="60172" spans="18:19">
      <c r="R60172" s="178"/>
      <c r="S60172" s="178"/>
    </row>
    <row r="60173" spans="18:19">
      <c r="R60173" s="178"/>
      <c r="S60173" s="178"/>
    </row>
    <row r="60174" spans="18:19">
      <c r="R60174" s="178"/>
      <c r="S60174" s="178"/>
    </row>
    <row r="60175" spans="18:19">
      <c r="R60175" s="178"/>
      <c r="S60175" s="178"/>
    </row>
    <row r="60176" spans="18:19">
      <c r="R60176" s="178"/>
      <c r="S60176" s="178"/>
    </row>
    <row r="60177" spans="18:19">
      <c r="R60177" s="178"/>
      <c r="S60177" s="178"/>
    </row>
    <row r="60178" spans="18:19">
      <c r="R60178" s="178"/>
      <c r="S60178" s="178"/>
    </row>
    <row r="60179" spans="18:19">
      <c r="R60179" s="178"/>
      <c r="S60179" s="178"/>
    </row>
    <row r="60180" spans="18:19">
      <c r="R60180" s="178"/>
      <c r="S60180" s="178"/>
    </row>
    <row r="60181" spans="18:19">
      <c r="R60181" s="178"/>
      <c r="S60181" s="178"/>
    </row>
    <row r="60182" spans="18:19">
      <c r="R60182" s="178"/>
      <c r="S60182" s="178"/>
    </row>
    <row r="60183" spans="18:19">
      <c r="R60183" s="178"/>
      <c r="S60183" s="178"/>
    </row>
    <row r="60184" spans="18:19">
      <c r="R60184" s="178"/>
      <c r="S60184" s="178"/>
    </row>
    <row r="60185" spans="18:19">
      <c r="R60185" s="178"/>
      <c r="S60185" s="178"/>
    </row>
    <row r="60186" spans="18:19">
      <c r="R60186" s="178"/>
      <c r="S60186" s="178"/>
    </row>
    <row r="60187" spans="18:19">
      <c r="R60187" s="178"/>
      <c r="S60187" s="178"/>
    </row>
    <row r="60188" spans="18:19">
      <c r="R60188" s="178"/>
      <c r="S60188" s="178"/>
    </row>
    <row r="60189" spans="18:19">
      <c r="R60189" s="178"/>
      <c r="S60189" s="178"/>
    </row>
    <row r="60190" spans="18:19">
      <c r="R60190" s="178"/>
      <c r="S60190" s="178"/>
    </row>
    <row r="60191" spans="18:19">
      <c r="R60191" s="178"/>
      <c r="S60191" s="178"/>
    </row>
    <row r="60192" spans="18:19">
      <c r="R60192" s="178"/>
      <c r="S60192" s="178"/>
    </row>
    <row r="60193" spans="18:19">
      <c r="R60193" s="178"/>
      <c r="S60193" s="178"/>
    </row>
    <row r="60194" spans="18:19">
      <c r="R60194" s="178"/>
      <c r="S60194" s="178"/>
    </row>
    <row r="60195" spans="18:19">
      <c r="R60195" s="178"/>
      <c r="S60195" s="178"/>
    </row>
    <row r="60196" spans="18:19">
      <c r="R60196" s="178"/>
      <c r="S60196" s="178"/>
    </row>
    <row r="60197" spans="18:19">
      <c r="R60197" s="178"/>
      <c r="S60197" s="178"/>
    </row>
    <row r="60198" spans="18:19">
      <c r="R60198" s="178"/>
      <c r="S60198" s="178"/>
    </row>
    <row r="60199" spans="18:19">
      <c r="R60199" s="178"/>
      <c r="S60199" s="178"/>
    </row>
    <row r="60200" spans="18:19">
      <c r="R60200" s="178"/>
      <c r="S60200" s="178"/>
    </row>
    <row r="60201" spans="18:19">
      <c r="R60201" s="178"/>
      <c r="S60201" s="178"/>
    </row>
    <row r="60202" spans="18:19">
      <c r="R60202" s="178"/>
      <c r="S60202" s="178"/>
    </row>
    <row r="60203" spans="18:19">
      <c r="R60203" s="178"/>
      <c r="S60203" s="178"/>
    </row>
    <row r="60204" spans="18:19">
      <c r="R60204" s="178"/>
      <c r="S60204" s="178"/>
    </row>
    <row r="60205" spans="18:19">
      <c r="R60205" s="178"/>
      <c r="S60205" s="178"/>
    </row>
    <row r="60206" spans="18:19">
      <c r="R60206" s="178"/>
      <c r="S60206" s="178"/>
    </row>
    <row r="60207" spans="18:19">
      <c r="R60207" s="178"/>
      <c r="S60207" s="178"/>
    </row>
    <row r="60208" spans="18:19">
      <c r="R60208" s="178"/>
      <c r="S60208" s="178"/>
    </row>
    <row r="60209" spans="18:19">
      <c r="R60209" s="178"/>
      <c r="S60209" s="178"/>
    </row>
    <row r="60210" spans="18:19">
      <c r="R60210" s="178"/>
      <c r="S60210" s="178"/>
    </row>
    <row r="60211" spans="18:19">
      <c r="R60211" s="178"/>
      <c r="S60211" s="178"/>
    </row>
    <row r="60212" spans="18:19">
      <c r="R60212" s="178"/>
      <c r="S60212" s="178"/>
    </row>
    <row r="60213" spans="18:19">
      <c r="R60213" s="178"/>
      <c r="S60213" s="178"/>
    </row>
    <row r="60214" spans="18:19">
      <c r="R60214" s="178"/>
      <c r="S60214" s="178"/>
    </row>
    <row r="60215" spans="18:19">
      <c r="R60215" s="178"/>
      <c r="S60215" s="178"/>
    </row>
    <row r="60216" spans="18:19">
      <c r="R60216" s="178"/>
      <c r="S60216" s="178"/>
    </row>
    <row r="60217" spans="18:19">
      <c r="R60217" s="178"/>
      <c r="S60217" s="178"/>
    </row>
    <row r="60218" spans="18:19">
      <c r="R60218" s="178"/>
      <c r="S60218" s="178"/>
    </row>
    <row r="60219" spans="18:19">
      <c r="R60219" s="178"/>
      <c r="S60219" s="178"/>
    </row>
    <row r="60220" spans="18:19">
      <c r="R60220" s="178"/>
      <c r="S60220" s="178"/>
    </row>
    <row r="60221" spans="18:19">
      <c r="R60221" s="178"/>
      <c r="S60221" s="178"/>
    </row>
    <row r="60222" spans="18:19">
      <c r="R60222" s="178"/>
      <c r="S60222" s="178"/>
    </row>
    <row r="60223" spans="18:19">
      <c r="R60223" s="178"/>
      <c r="S60223" s="178"/>
    </row>
    <row r="60224" spans="18:19">
      <c r="R60224" s="178"/>
      <c r="S60224" s="178"/>
    </row>
    <row r="60225" spans="18:19">
      <c r="R60225" s="178"/>
      <c r="S60225" s="178"/>
    </row>
    <row r="60226" spans="18:19">
      <c r="R60226" s="178"/>
      <c r="S60226" s="178"/>
    </row>
    <row r="60227" spans="18:19">
      <c r="R60227" s="178"/>
      <c r="S60227" s="178"/>
    </row>
    <row r="60228" spans="18:19">
      <c r="R60228" s="178"/>
      <c r="S60228" s="178"/>
    </row>
    <row r="60229" spans="18:19">
      <c r="R60229" s="178"/>
      <c r="S60229" s="178"/>
    </row>
    <row r="60230" spans="18:19">
      <c r="R60230" s="178"/>
      <c r="S60230" s="178"/>
    </row>
    <row r="60231" spans="18:19">
      <c r="R60231" s="178"/>
      <c r="S60231" s="178"/>
    </row>
    <row r="60232" spans="18:19">
      <c r="R60232" s="178"/>
      <c r="S60232" s="178"/>
    </row>
    <row r="60233" spans="18:19">
      <c r="R60233" s="178"/>
      <c r="S60233" s="178"/>
    </row>
    <row r="60234" spans="18:19">
      <c r="R60234" s="178"/>
      <c r="S60234" s="178"/>
    </row>
    <row r="60235" spans="18:19">
      <c r="R60235" s="178"/>
      <c r="S60235" s="178"/>
    </row>
    <row r="60236" spans="18:19">
      <c r="R60236" s="178"/>
      <c r="S60236" s="178"/>
    </row>
    <row r="60237" spans="18:19">
      <c r="R60237" s="178"/>
      <c r="S60237" s="178"/>
    </row>
    <row r="60238" spans="18:19">
      <c r="R60238" s="178"/>
      <c r="S60238" s="178"/>
    </row>
    <row r="60239" spans="18:19">
      <c r="R60239" s="178"/>
      <c r="S60239" s="178"/>
    </row>
    <row r="60240" spans="18:19">
      <c r="R60240" s="178"/>
      <c r="S60240" s="178"/>
    </row>
    <row r="60241" spans="18:19">
      <c r="R60241" s="178"/>
      <c r="S60241" s="178"/>
    </row>
    <row r="60242" spans="18:19">
      <c r="R60242" s="178"/>
      <c r="S60242" s="178"/>
    </row>
    <row r="60243" spans="18:19">
      <c r="R60243" s="178"/>
      <c r="S60243" s="178"/>
    </row>
    <row r="60244" spans="18:19">
      <c r="R60244" s="178"/>
      <c r="S60244" s="178"/>
    </row>
    <row r="60245" spans="18:19">
      <c r="R60245" s="178"/>
      <c r="S60245" s="178"/>
    </row>
    <row r="60246" spans="18:19">
      <c r="R60246" s="178"/>
      <c r="S60246" s="178"/>
    </row>
    <row r="60247" spans="18:19">
      <c r="R60247" s="178"/>
      <c r="S60247" s="178"/>
    </row>
    <row r="60248" spans="18:19">
      <c r="R60248" s="178"/>
      <c r="S60248" s="178"/>
    </row>
    <row r="60249" spans="18:19">
      <c r="R60249" s="178"/>
      <c r="S60249" s="178"/>
    </row>
    <row r="60250" spans="18:19">
      <c r="R60250" s="178"/>
      <c r="S60250" s="178"/>
    </row>
    <row r="60251" spans="18:19">
      <c r="R60251" s="178"/>
      <c r="S60251" s="178"/>
    </row>
    <row r="60252" spans="18:19">
      <c r="R60252" s="178"/>
      <c r="S60252" s="178"/>
    </row>
    <row r="60253" spans="18:19">
      <c r="R60253" s="178"/>
      <c r="S60253" s="178"/>
    </row>
    <row r="60254" spans="18:19">
      <c r="R60254" s="178"/>
      <c r="S60254" s="178"/>
    </row>
    <row r="60255" spans="18:19">
      <c r="R60255" s="178"/>
      <c r="S60255" s="178"/>
    </row>
    <row r="60256" spans="18:19">
      <c r="R60256" s="178"/>
      <c r="S60256" s="178"/>
    </row>
    <row r="60257" spans="18:19">
      <c r="R60257" s="178"/>
      <c r="S60257" s="178"/>
    </row>
    <row r="60258" spans="18:19">
      <c r="R60258" s="178"/>
      <c r="S60258" s="178"/>
    </row>
    <row r="60259" spans="18:19">
      <c r="R60259" s="178"/>
      <c r="S60259" s="178"/>
    </row>
    <row r="60260" spans="18:19">
      <c r="R60260" s="178"/>
      <c r="S60260" s="178"/>
    </row>
    <row r="60261" spans="18:19">
      <c r="R60261" s="178"/>
      <c r="S60261" s="178"/>
    </row>
    <row r="60262" spans="18:19">
      <c r="R60262" s="178"/>
      <c r="S60262" s="178"/>
    </row>
    <row r="60263" spans="18:19">
      <c r="R60263" s="178"/>
      <c r="S60263" s="178"/>
    </row>
    <row r="60264" spans="18:19">
      <c r="R60264" s="178"/>
      <c r="S60264" s="178"/>
    </row>
    <row r="60265" spans="18:19">
      <c r="R60265" s="178"/>
      <c r="S60265" s="178"/>
    </row>
    <row r="60266" spans="18:19">
      <c r="R60266" s="178"/>
      <c r="S60266" s="178"/>
    </row>
    <row r="60267" spans="18:19">
      <c r="R60267" s="178"/>
      <c r="S60267" s="178"/>
    </row>
    <row r="60268" spans="18:19">
      <c r="R60268" s="178"/>
      <c r="S60268" s="178"/>
    </row>
    <row r="60269" spans="18:19">
      <c r="R60269" s="178"/>
      <c r="S60269" s="178"/>
    </row>
    <row r="60270" spans="18:19">
      <c r="R60270" s="178"/>
      <c r="S60270" s="178"/>
    </row>
    <row r="60271" spans="18:19">
      <c r="R60271" s="178"/>
      <c r="S60271" s="178"/>
    </row>
    <row r="60272" spans="18:19">
      <c r="R60272" s="178"/>
      <c r="S60272" s="178"/>
    </row>
    <row r="60273" spans="18:19">
      <c r="R60273" s="178"/>
      <c r="S60273" s="178"/>
    </row>
    <row r="60274" spans="18:19">
      <c r="R60274" s="178"/>
      <c r="S60274" s="178"/>
    </row>
    <row r="60275" spans="18:19">
      <c r="R60275" s="178"/>
      <c r="S60275" s="178"/>
    </row>
    <row r="60276" spans="18:19">
      <c r="R60276" s="178"/>
      <c r="S60276" s="178"/>
    </row>
    <row r="60277" spans="18:19">
      <c r="R60277" s="178"/>
      <c r="S60277" s="178"/>
    </row>
    <row r="60278" spans="18:19">
      <c r="R60278" s="178"/>
      <c r="S60278" s="178"/>
    </row>
    <row r="60279" spans="18:19">
      <c r="R60279" s="178"/>
      <c r="S60279" s="178"/>
    </row>
    <row r="60280" spans="18:19">
      <c r="R60280" s="178"/>
      <c r="S60280" s="178"/>
    </row>
    <row r="60281" spans="18:19">
      <c r="R60281" s="178"/>
      <c r="S60281" s="178"/>
    </row>
    <row r="60282" spans="18:19">
      <c r="R60282" s="178"/>
      <c r="S60282" s="178"/>
    </row>
    <row r="60283" spans="18:19">
      <c r="R60283" s="178"/>
      <c r="S60283" s="178"/>
    </row>
    <row r="60284" spans="18:19">
      <c r="R60284" s="178"/>
      <c r="S60284" s="178"/>
    </row>
    <row r="60285" spans="18:19">
      <c r="R60285" s="178"/>
      <c r="S60285" s="178"/>
    </row>
    <row r="60286" spans="18:19">
      <c r="R60286" s="178"/>
      <c r="S60286" s="178"/>
    </row>
    <row r="60287" spans="18:19">
      <c r="R60287" s="178"/>
      <c r="S60287" s="178"/>
    </row>
    <row r="60288" spans="18:19">
      <c r="R60288" s="178"/>
      <c r="S60288" s="178"/>
    </row>
    <row r="60289" spans="18:19">
      <c r="R60289" s="178"/>
      <c r="S60289" s="178"/>
    </row>
    <row r="60290" spans="18:19">
      <c r="R60290" s="178"/>
      <c r="S60290" s="178"/>
    </row>
    <row r="60291" spans="18:19">
      <c r="R60291" s="178"/>
      <c r="S60291" s="178"/>
    </row>
    <row r="60292" spans="18:19">
      <c r="R60292" s="178"/>
      <c r="S60292" s="178"/>
    </row>
    <row r="60293" spans="18:19">
      <c r="R60293" s="178"/>
      <c r="S60293" s="178"/>
    </row>
    <row r="60294" spans="18:19">
      <c r="R60294" s="178"/>
      <c r="S60294" s="178"/>
    </row>
    <row r="60295" spans="18:19">
      <c r="R60295" s="178"/>
      <c r="S60295" s="178"/>
    </row>
    <row r="60296" spans="18:19">
      <c r="R60296" s="178"/>
      <c r="S60296" s="178"/>
    </row>
    <row r="60297" spans="18:19">
      <c r="R60297" s="178"/>
      <c r="S60297" s="178"/>
    </row>
    <row r="60298" spans="18:19">
      <c r="R60298" s="178"/>
      <c r="S60298" s="178"/>
    </row>
    <row r="60299" spans="18:19">
      <c r="R60299" s="178"/>
      <c r="S60299" s="178"/>
    </row>
    <row r="60300" spans="18:19">
      <c r="R60300" s="178"/>
      <c r="S60300" s="178"/>
    </row>
    <row r="60301" spans="18:19">
      <c r="R60301" s="178"/>
      <c r="S60301" s="178"/>
    </row>
    <row r="60302" spans="18:19">
      <c r="R60302" s="178"/>
      <c r="S60302" s="178"/>
    </row>
    <row r="60303" spans="18:19">
      <c r="R60303" s="178"/>
      <c r="S60303" s="178"/>
    </row>
    <row r="60304" spans="18:19">
      <c r="R60304" s="178"/>
      <c r="S60304" s="178"/>
    </row>
    <row r="60305" spans="18:19">
      <c r="R60305" s="178"/>
      <c r="S60305" s="178"/>
    </row>
    <row r="60306" spans="18:19">
      <c r="R60306" s="178"/>
      <c r="S60306" s="178"/>
    </row>
    <row r="60307" spans="18:19">
      <c r="R60307" s="178"/>
      <c r="S60307" s="178"/>
    </row>
    <row r="60308" spans="18:19">
      <c r="R60308" s="178"/>
      <c r="S60308" s="178"/>
    </row>
    <row r="60309" spans="18:19">
      <c r="R60309" s="178"/>
      <c r="S60309" s="178"/>
    </row>
    <row r="60310" spans="18:19">
      <c r="R60310" s="178"/>
      <c r="S60310" s="178"/>
    </row>
    <row r="60311" spans="18:19">
      <c r="R60311" s="178"/>
      <c r="S60311" s="178"/>
    </row>
    <row r="60312" spans="18:19">
      <c r="R60312" s="178"/>
      <c r="S60312" s="178"/>
    </row>
    <row r="60313" spans="18:19">
      <c r="R60313" s="178"/>
      <c r="S60313" s="178"/>
    </row>
    <row r="60314" spans="18:19">
      <c r="R60314" s="178"/>
      <c r="S60314" s="178"/>
    </row>
    <row r="60315" spans="18:19">
      <c r="R60315" s="178"/>
      <c r="S60315" s="178"/>
    </row>
    <row r="60316" spans="18:19">
      <c r="R60316" s="178"/>
      <c r="S60316" s="178"/>
    </row>
    <row r="60317" spans="18:19">
      <c r="R60317" s="178"/>
      <c r="S60317" s="178"/>
    </row>
    <row r="60318" spans="18:19">
      <c r="R60318" s="178"/>
      <c r="S60318" s="178"/>
    </row>
    <row r="60319" spans="18:19">
      <c r="R60319" s="178"/>
      <c r="S60319" s="178"/>
    </row>
    <row r="60320" spans="18:19">
      <c r="R60320" s="178"/>
      <c r="S60320" s="178"/>
    </row>
    <row r="60321" spans="18:19">
      <c r="R60321" s="178"/>
      <c r="S60321" s="178"/>
    </row>
    <row r="60322" spans="18:19">
      <c r="R60322" s="178"/>
      <c r="S60322" s="178"/>
    </row>
    <row r="60323" spans="18:19">
      <c r="R60323" s="178"/>
      <c r="S60323" s="178"/>
    </row>
    <row r="60324" spans="18:19">
      <c r="R60324" s="178"/>
      <c r="S60324" s="178"/>
    </row>
    <row r="60325" spans="18:19">
      <c r="R60325" s="178"/>
      <c r="S60325" s="178"/>
    </row>
    <row r="60326" spans="18:19">
      <c r="R60326" s="178"/>
      <c r="S60326" s="178"/>
    </row>
    <row r="60327" spans="18:19">
      <c r="R60327" s="178"/>
      <c r="S60327" s="178"/>
    </row>
    <row r="60328" spans="18:19">
      <c r="R60328" s="178"/>
      <c r="S60328" s="178"/>
    </row>
    <row r="60329" spans="18:19">
      <c r="R60329" s="178"/>
      <c r="S60329" s="178"/>
    </row>
    <row r="60330" spans="18:19">
      <c r="R60330" s="178"/>
      <c r="S60330" s="178"/>
    </row>
    <row r="60331" spans="18:19">
      <c r="R60331" s="178"/>
      <c r="S60331" s="178"/>
    </row>
    <row r="60332" spans="18:19">
      <c r="R60332" s="178"/>
      <c r="S60332" s="178"/>
    </row>
    <row r="60333" spans="18:19">
      <c r="R60333" s="178"/>
      <c r="S60333" s="178"/>
    </row>
    <row r="60334" spans="18:19">
      <c r="R60334" s="178"/>
      <c r="S60334" s="178"/>
    </row>
    <row r="60335" spans="18:19">
      <c r="R60335" s="178"/>
      <c r="S60335" s="178"/>
    </row>
    <row r="60336" spans="18:19">
      <c r="R60336" s="178"/>
      <c r="S60336" s="178"/>
    </row>
    <row r="60337" spans="18:19">
      <c r="R60337" s="178"/>
      <c r="S60337" s="178"/>
    </row>
    <row r="60338" spans="18:19">
      <c r="R60338" s="178"/>
      <c r="S60338" s="178"/>
    </row>
    <row r="60339" spans="18:19">
      <c r="R60339" s="178"/>
      <c r="S60339" s="178"/>
    </row>
    <row r="60340" spans="18:19">
      <c r="R60340" s="178"/>
      <c r="S60340" s="178"/>
    </row>
    <row r="60341" spans="18:19">
      <c r="R60341" s="178"/>
      <c r="S60341" s="178"/>
    </row>
    <row r="60342" spans="18:19">
      <c r="R60342" s="178"/>
      <c r="S60342" s="178"/>
    </row>
    <row r="60343" spans="18:19">
      <c r="R60343" s="178"/>
      <c r="S60343" s="178"/>
    </row>
    <row r="60344" spans="18:19">
      <c r="R60344" s="178"/>
      <c r="S60344" s="178"/>
    </row>
    <row r="60345" spans="18:19">
      <c r="R60345" s="178"/>
      <c r="S60345" s="178"/>
    </row>
    <row r="60346" spans="18:19">
      <c r="R60346" s="178"/>
      <c r="S60346" s="178"/>
    </row>
    <row r="60347" spans="18:19">
      <c r="R60347" s="178"/>
      <c r="S60347" s="178"/>
    </row>
    <row r="60348" spans="18:19">
      <c r="R60348" s="178"/>
      <c r="S60348" s="178"/>
    </row>
    <row r="60349" spans="18:19">
      <c r="R60349" s="178"/>
      <c r="S60349" s="178"/>
    </row>
    <row r="60350" spans="18:19">
      <c r="R60350" s="178"/>
      <c r="S60350" s="178"/>
    </row>
    <row r="60351" spans="18:19">
      <c r="R60351" s="178"/>
      <c r="S60351" s="178"/>
    </row>
    <row r="60352" spans="18:19">
      <c r="R60352" s="178"/>
      <c r="S60352" s="178"/>
    </row>
    <row r="60353" spans="18:19">
      <c r="R60353" s="178"/>
      <c r="S60353" s="178"/>
    </row>
    <row r="60354" spans="18:19">
      <c r="R60354" s="178"/>
      <c r="S60354" s="178"/>
    </row>
    <row r="60355" spans="18:19">
      <c r="R60355" s="178"/>
      <c r="S60355" s="178"/>
    </row>
    <row r="60356" spans="18:19">
      <c r="R60356" s="178"/>
      <c r="S60356" s="178"/>
    </row>
    <row r="60357" spans="18:19">
      <c r="R60357" s="178"/>
      <c r="S60357" s="178"/>
    </row>
    <row r="60358" spans="18:19">
      <c r="R60358" s="178"/>
      <c r="S60358" s="178"/>
    </row>
    <row r="60359" spans="18:19">
      <c r="R60359" s="178"/>
      <c r="S60359" s="178"/>
    </row>
    <row r="60360" spans="18:19">
      <c r="R60360" s="178"/>
      <c r="S60360" s="178"/>
    </row>
    <row r="60361" spans="18:19">
      <c r="R60361" s="178"/>
      <c r="S60361" s="178"/>
    </row>
    <row r="60362" spans="18:19">
      <c r="R60362" s="178"/>
      <c r="S60362" s="178"/>
    </row>
    <row r="60363" spans="18:19">
      <c r="R60363" s="178"/>
      <c r="S60363" s="178"/>
    </row>
    <row r="60364" spans="18:19">
      <c r="R60364" s="178"/>
      <c r="S60364" s="178"/>
    </row>
    <row r="60365" spans="18:19">
      <c r="R60365" s="178"/>
      <c r="S60365" s="178"/>
    </row>
    <row r="60366" spans="18:19">
      <c r="R60366" s="178"/>
      <c r="S60366" s="178"/>
    </row>
    <row r="60367" spans="18:19">
      <c r="R60367" s="178"/>
      <c r="S60367" s="178"/>
    </row>
    <row r="60368" spans="18:19">
      <c r="R60368" s="178"/>
      <c r="S60368" s="178"/>
    </row>
    <row r="60369" spans="18:19">
      <c r="R60369" s="178"/>
      <c r="S60369" s="178"/>
    </row>
    <row r="60370" spans="18:19">
      <c r="R60370" s="178"/>
      <c r="S60370" s="178"/>
    </row>
    <row r="60371" spans="18:19">
      <c r="R60371" s="178"/>
      <c r="S60371" s="178"/>
    </row>
    <row r="60372" spans="18:19">
      <c r="R60372" s="178"/>
      <c r="S60372" s="178"/>
    </row>
    <row r="60373" spans="18:19">
      <c r="R60373" s="178"/>
      <c r="S60373" s="178"/>
    </row>
    <row r="60374" spans="18:19">
      <c r="R60374" s="178"/>
      <c r="S60374" s="178"/>
    </row>
    <row r="60375" spans="18:19">
      <c r="R60375" s="178"/>
      <c r="S60375" s="178"/>
    </row>
    <row r="60376" spans="18:19">
      <c r="R60376" s="178"/>
      <c r="S60376" s="178"/>
    </row>
    <row r="60377" spans="18:19">
      <c r="R60377" s="178"/>
      <c r="S60377" s="178"/>
    </row>
    <row r="60378" spans="18:19">
      <c r="R60378" s="178"/>
      <c r="S60378" s="178"/>
    </row>
    <row r="60379" spans="18:19">
      <c r="R60379" s="178"/>
      <c r="S60379" s="178"/>
    </row>
    <row r="60380" spans="18:19">
      <c r="R60380" s="178"/>
      <c r="S60380" s="178"/>
    </row>
    <row r="60381" spans="18:19">
      <c r="R60381" s="178"/>
      <c r="S60381" s="178"/>
    </row>
    <row r="60382" spans="18:19">
      <c r="R60382" s="178"/>
      <c r="S60382" s="178"/>
    </row>
    <row r="60383" spans="18:19">
      <c r="R60383" s="178"/>
      <c r="S60383" s="178"/>
    </row>
    <row r="60384" spans="18:19">
      <c r="R60384" s="178"/>
      <c r="S60384" s="178"/>
    </row>
    <row r="60385" spans="18:19">
      <c r="R60385" s="178"/>
      <c r="S60385" s="178"/>
    </row>
    <row r="60386" spans="18:19">
      <c r="R60386" s="178"/>
      <c r="S60386" s="178"/>
    </row>
    <row r="60387" spans="18:19">
      <c r="R60387" s="178"/>
      <c r="S60387" s="178"/>
    </row>
    <row r="60388" spans="18:19">
      <c r="R60388" s="178"/>
      <c r="S60388" s="178"/>
    </row>
    <row r="60389" spans="18:19">
      <c r="R60389" s="178"/>
      <c r="S60389" s="178"/>
    </row>
    <row r="60390" spans="18:19">
      <c r="R60390" s="178"/>
      <c r="S60390" s="178"/>
    </row>
    <row r="60391" spans="18:19">
      <c r="R60391" s="178"/>
      <c r="S60391" s="178"/>
    </row>
    <row r="60392" spans="18:19">
      <c r="R60392" s="178"/>
      <c r="S60392" s="178"/>
    </row>
    <row r="60393" spans="18:19">
      <c r="R60393" s="178"/>
      <c r="S60393" s="178"/>
    </row>
    <row r="60394" spans="18:19">
      <c r="R60394" s="178"/>
      <c r="S60394" s="178"/>
    </row>
    <row r="60395" spans="18:19">
      <c r="R60395" s="178"/>
      <c r="S60395" s="178"/>
    </row>
    <row r="60396" spans="18:19">
      <c r="R60396" s="178"/>
      <c r="S60396" s="178"/>
    </row>
    <row r="60397" spans="18:19">
      <c r="R60397" s="178"/>
      <c r="S60397" s="178"/>
    </row>
    <row r="60398" spans="18:19">
      <c r="R60398" s="178"/>
      <c r="S60398" s="178"/>
    </row>
    <row r="60399" spans="18:19">
      <c r="R60399" s="178"/>
      <c r="S60399" s="178"/>
    </row>
    <row r="60400" spans="18:19">
      <c r="R60400" s="178"/>
      <c r="S60400" s="178"/>
    </row>
    <row r="60401" spans="18:19">
      <c r="R60401" s="178"/>
      <c r="S60401" s="178"/>
    </row>
    <row r="60402" spans="18:19">
      <c r="R60402" s="178"/>
      <c r="S60402" s="178"/>
    </row>
    <row r="60403" spans="18:19">
      <c r="R60403" s="178"/>
      <c r="S60403" s="178"/>
    </row>
    <row r="60404" spans="18:19">
      <c r="R60404" s="178"/>
      <c r="S60404" s="178"/>
    </row>
    <row r="60405" spans="18:19">
      <c r="R60405" s="178"/>
      <c r="S60405" s="178"/>
    </row>
    <row r="60406" spans="18:19">
      <c r="R60406" s="178"/>
      <c r="S60406" s="178"/>
    </row>
    <row r="60407" spans="18:19">
      <c r="R60407" s="178"/>
      <c r="S60407" s="178"/>
    </row>
    <row r="60408" spans="18:19">
      <c r="R60408" s="178"/>
      <c r="S60408" s="178"/>
    </row>
    <row r="60409" spans="18:19">
      <c r="R60409" s="178"/>
      <c r="S60409" s="178"/>
    </row>
    <row r="60410" spans="18:19">
      <c r="R60410" s="178"/>
      <c r="S60410" s="178"/>
    </row>
    <row r="60411" spans="18:19">
      <c r="R60411" s="178"/>
      <c r="S60411" s="178"/>
    </row>
    <row r="60412" spans="18:19">
      <c r="R60412" s="178"/>
      <c r="S60412" s="178"/>
    </row>
    <row r="60413" spans="18:19">
      <c r="R60413" s="178"/>
      <c r="S60413" s="178"/>
    </row>
    <row r="60414" spans="18:19">
      <c r="R60414" s="178"/>
      <c r="S60414" s="178"/>
    </row>
    <row r="60415" spans="18:19">
      <c r="R60415" s="178"/>
      <c r="S60415" s="178"/>
    </row>
    <row r="60416" spans="18:19">
      <c r="R60416" s="178"/>
      <c r="S60416" s="178"/>
    </row>
    <row r="60417" spans="18:19">
      <c r="R60417" s="178"/>
      <c r="S60417" s="178"/>
    </row>
    <row r="60418" spans="18:19">
      <c r="R60418" s="178"/>
      <c r="S60418" s="178"/>
    </row>
    <row r="60419" spans="18:19">
      <c r="R60419" s="178"/>
      <c r="S60419" s="178"/>
    </row>
    <row r="60420" spans="18:19">
      <c r="R60420" s="178"/>
      <c r="S60420" s="178"/>
    </row>
    <row r="60421" spans="18:19">
      <c r="R60421" s="178"/>
      <c r="S60421" s="178"/>
    </row>
    <row r="60422" spans="18:19">
      <c r="R60422" s="178"/>
      <c r="S60422" s="178"/>
    </row>
    <row r="60423" spans="18:19">
      <c r="R60423" s="178"/>
      <c r="S60423" s="178"/>
    </row>
    <row r="60424" spans="18:19">
      <c r="R60424" s="178"/>
      <c r="S60424" s="178"/>
    </row>
    <row r="60425" spans="18:19">
      <c r="R60425" s="178"/>
      <c r="S60425" s="178"/>
    </row>
    <row r="60426" spans="18:19">
      <c r="R60426" s="178"/>
      <c r="S60426" s="178"/>
    </row>
    <row r="60427" spans="18:19">
      <c r="R60427" s="178"/>
      <c r="S60427" s="178"/>
    </row>
    <row r="60428" spans="18:19">
      <c r="R60428" s="178"/>
      <c r="S60428" s="178"/>
    </row>
    <row r="60429" spans="18:19">
      <c r="R60429" s="178"/>
      <c r="S60429" s="178"/>
    </row>
    <row r="60430" spans="18:19">
      <c r="R60430" s="178"/>
      <c r="S60430" s="178"/>
    </row>
    <row r="60431" spans="18:19">
      <c r="R60431" s="178"/>
      <c r="S60431" s="178"/>
    </row>
    <row r="60432" spans="18:19">
      <c r="R60432" s="178"/>
      <c r="S60432" s="178"/>
    </row>
    <row r="60433" spans="18:19">
      <c r="R60433" s="178"/>
      <c r="S60433" s="178"/>
    </row>
    <row r="60434" spans="18:19">
      <c r="R60434" s="178"/>
      <c r="S60434" s="178"/>
    </row>
    <row r="60435" spans="18:19">
      <c r="R60435" s="178"/>
      <c r="S60435" s="178"/>
    </row>
    <row r="60436" spans="18:19">
      <c r="R60436" s="178"/>
      <c r="S60436" s="178"/>
    </row>
    <row r="60437" spans="18:19">
      <c r="R60437" s="178"/>
      <c r="S60437" s="178"/>
    </row>
    <row r="60438" spans="18:19">
      <c r="R60438" s="178"/>
      <c r="S60438" s="178"/>
    </row>
    <row r="60439" spans="18:19">
      <c r="R60439" s="178"/>
      <c r="S60439" s="178"/>
    </row>
    <row r="60440" spans="18:19">
      <c r="R60440" s="178"/>
      <c r="S60440" s="178"/>
    </row>
    <row r="60441" spans="18:19">
      <c r="R60441" s="178"/>
      <c r="S60441" s="178"/>
    </row>
    <row r="60442" spans="18:19">
      <c r="R60442" s="178"/>
      <c r="S60442" s="178"/>
    </row>
    <row r="60443" spans="18:19">
      <c r="R60443" s="178"/>
      <c r="S60443" s="178"/>
    </row>
    <row r="60444" spans="18:19">
      <c r="R60444" s="178"/>
      <c r="S60444" s="178"/>
    </row>
    <row r="60445" spans="18:19">
      <c r="R60445" s="178"/>
      <c r="S60445" s="178"/>
    </row>
    <row r="60446" spans="18:19">
      <c r="R60446" s="178"/>
      <c r="S60446" s="178"/>
    </row>
    <row r="60447" spans="18:19">
      <c r="R60447" s="178"/>
      <c r="S60447" s="178"/>
    </row>
    <row r="60448" spans="18:19">
      <c r="R60448" s="178"/>
      <c r="S60448" s="178"/>
    </row>
    <row r="60449" spans="18:19">
      <c r="R60449" s="178"/>
      <c r="S60449" s="178"/>
    </row>
    <row r="60450" spans="18:19">
      <c r="R60450" s="178"/>
      <c r="S60450" s="178"/>
    </row>
    <row r="60451" spans="18:19">
      <c r="R60451" s="178"/>
      <c r="S60451" s="178"/>
    </row>
    <row r="60452" spans="18:19">
      <c r="R60452" s="178"/>
      <c r="S60452" s="178"/>
    </row>
    <row r="60453" spans="18:19">
      <c r="R60453" s="178"/>
      <c r="S60453" s="178"/>
    </row>
    <row r="60454" spans="18:19">
      <c r="R60454" s="178"/>
      <c r="S60454" s="178"/>
    </row>
    <row r="60455" spans="18:19">
      <c r="R60455" s="178"/>
      <c r="S60455" s="178"/>
    </row>
    <row r="60456" spans="18:19">
      <c r="R60456" s="178"/>
      <c r="S60456" s="178"/>
    </row>
    <row r="60457" spans="18:19">
      <c r="R60457" s="178"/>
      <c r="S60457" s="178"/>
    </row>
    <row r="60458" spans="18:19">
      <c r="R60458" s="178"/>
      <c r="S60458" s="178"/>
    </row>
    <row r="60459" spans="18:19">
      <c r="R60459" s="178"/>
      <c r="S60459" s="178"/>
    </row>
    <row r="60460" spans="18:19">
      <c r="R60460" s="178"/>
      <c r="S60460" s="178"/>
    </row>
    <row r="60461" spans="18:19">
      <c r="R60461" s="178"/>
      <c r="S60461" s="178"/>
    </row>
    <row r="60462" spans="18:19">
      <c r="R60462" s="178"/>
      <c r="S60462" s="178"/>
    </row>
    <row r="60463" spans="18:19">
      <c r="R60463" s="178"/>
      <c r="S60463" s="178"/>
    </row>
    <row r="60464" spans="18:19">
      <c r="R60464" s="178"/>
      <c r="S60464" s="178"/>
    </row>
    <row r="60465" spans="18:19">
      <c r="R60465" s="178"/>
      <c r="S60465" s="178"/>
    </row>
    <row r="60466" spans="18:19">
      <c r="R60466" s="178"/>
      <c r="S60466" s="178"/>
    </row>
    <row r="60467" spans="18:19">
      <c r="R60467" s="178"/>
      <c r="S60467" s="178"/>
    </row>
    <row r="60468" spans="18:19">
      <c r="R60468" s="178"/>
      <c r="S60468" s="178"/>
    </row>
    <row r="60469" spans="18:19">
      <c r="R60469" s="178"/>
      <c r="S60469" s="178"/>
    </row>
    <row r="60470" spans="18:19">
      <c r="R60470" s="178"/>
      <c r="S60470" s="178"/>
    </row>
    <row r="60471" spans="18:19">
      <c r="R60471" s="178"/>
      <c r="S60471" s="178"/>
    </row>
    <row r="60472" spans="18:19">
      <c r="R60472" s="178"/>
      <c r="S60472" s="178"/>
    </row>
    <row r="60473" spans="18:19">
      <c r="R60473" s="178"/>
      <c r="S60473" s="178"/>
    </row>
    <row r="60474" spans="18:19">
      <c r="R60474" s="178"/>
      <c r="S60474" s="178"/>
    </row>
    <row r="60475" spans="18:19">
      <c r="R60475" s="178"/>
      <c r="S60475" s="178"/>
    </row>
    <row r="60476" spans="18:19">
      <c r="R60476" s="178"/>
      <c r="S60476" s="178"/>
    </row>
    <row r="60477" spans="18:19">
      <c r="R60477" s="178"/>
      <c r="S60477" s="178"/>
    </row>
    <row r="60478" spans="18:19">
      <c r="R60478" s="178"/>
      <c r="S60478" s="178"/>
    </row>
    <row r="60479" spans="18:19">
      <c r="R60479" s="178"/>
      <c r="S60479" s="178"/>
    </row>
    <row r="60480" spans="18:19">
      <c r="R60480" s="178"/>
      <c r="S60480" s="178"/>
    </row>
    <row r="60481" spans="18:19">
      <c r="R60481" s="178"/>
      <c r="S60481" s="178"/>
    </row>
    <row r="60482" spans="18:19">
      <c r="R60482" s="178"/>
      <c r="S60482" s="178"/>
    </row>
    <row r="60483" spans="18:19">
      <c r="R60483" s="178"/>
      <c r="S60483" s="178"/>
    </row>
    <row r="60484" spans="18:19">
      <c r="R60484" s="178"/>
      <c r="S60484" s="178"/>
    </row>
    <row r="60485" spans="18:19">
      <c r="R60485" s="178"/>
      <c r="S60485" s="178"/>
    </row>
    <row r="60486" spans="18:19">
      <c r="R60486" s="178"/>
      <c r="S60486" s="178"/>
    </row>
    <row r="60487" spans="18:19">
      <c r="R60487" s="178"/>
      <c r="S60487" s="178"/>
    </row>
    <row r="60488" spans="18:19">
      <c r="R60488" s="178"/>
      <c r="S60488" s="178"/>
    </row>
    <row r="60489" spans="18:19">
      <c r="R60489" s="178"/>
      <c r="S60489" s="178"/>
    </row>
    <row r="60490" spans="18:19">
      <c r="R60490" s="178"/>
      <c r="S60490" s="178"/>
    </row>
    <row r="60491" spans="18:19">
      <c r="R60491" s="178"/>
      <c r="S60491" s="178"/>
    </row>
    <row r="60492" spans="18:19">
      <c r="R60492" s="178"/>
      <c r="S60492" s="178"/>
    </row>
    <row r="60493" spans="18:19">
      <c r="R60493" s="178"/>
      <c r="S60493" s="178"/>
    </row>
    <row r="60494" spans="18:19">
      <c r="R60494" s="178"/>
      <c r="S60494" s="178"/>
    </row>
    <row r="60495" spans="18:19">
      <c r="R60495" s="178"/>
      <c r="S60495" s="178"/>
    </row>
    <row r="60496" spans="18:19">
      <c r="R60496" s="178"/>
      <c r="S60496" s="178"/>
    </row>
    <row r="60497" spans="18:19">
      <c r="R60497" s="178"/>
      <c r="S60497" s="178"/>
    </row>
    <row r="60498" spans="18:19">
      <c r="R60498" s="178"/>
      <c r="S60498" s="178"/>
    </row>
    <row r="60499" spans="18:19">
      <c r="R60499" s="178"/>
      <c r="S60499" s="178"/>
    </row>
    <row r="60500" spans="18:19">
      <c r="R60500" s="178"/>
      <c r="S60500" s="178"/>
    </row>
    <row r="60501" spans="18:19">
      <c r="R60501" s="178"/>
      <c r="S60501" s="178"/>
    </row>
    <row r="60502" spans="18:19">
      <c r="R60502" s="178"/>
      <c r="S60502" s="178"/>
    </row>
    <row r="60503" spans="18:19">
      <c r="R60503" s="178"/>
      <c r="S60503" s="178"/>
    </row>
    <row r="60504" spans="18:19">
      <c r="R60504" s="178"/>
      <c r="S60504" s="178"/>
    </row>
    <row r="60505" spans="18:19">
      <c r="R60505" s="178"/>
      <c r="S60505" s="178"/>
    </row>
    <row r="60506" spans="18:19">
      <c r="R60506" s="178"/>
      <c r="S60506" s="178"/>
    </row>
    <row r="60507" spans="18:19">
      <c r="R60507" s="178"/>
      <c r="S60507" s="178"/>
    </row>
    <row r="60508" spans="18:19">
      <c r="R60508" s="178"/>
      <c r="S60508" s="178"/>
    </row>
    <row r="60509" spans="18:19">
      <c r="R60509" s="178"/>
      <c r="S60509" s="178"/>
    </row>
    <row r="60510" spans="18:19">
      <c r="R60510" s="178"/>
      <c r="S60510" s="178"/>
    </row>
    <row r="60511" spans="18:19">
      <c r="R60511" s="178"/>
      <c r="S60511" s="178"/>
    </row>
    <row r="60512" spans="18:19">
      <c r="R60512" s="178"/>
      <c r="S60512" s="178"/>
    </row>
    <row r="60513" spans="18:19">
      <c r="R60513" s="178"/>
      <c r="S60513" s="178"/>
    </row>
    <row r="60514" spans="18:19">
      <c r="R60514" s="178"/>
      <c r="S60514" s="178"/>
    </row>
    <row r="60515" spans="18:19">
      <c r="R60515" s="178"/>
      <c r="S60515" s="178"/>
    </row>
    <row r="60516" spans="18:19">
      <c r="R60516" s="178"/>
      <c r="S60516" s="178"/>
    </row>
    <row r="60517" spans="18:19">
      <c r="R60517" s="178"/>
      <c r="S60517" s="178"/>
    </row>
    <row r="60518" spans="18:19">
      <c r="R60518" s="178"/>
      <c r="S60518" s="178"/>
    </row>
    <row r="60519" spans="18:19">
      <c r="R60519" s="178"/>
      <c r="S60519" s="178"/>
    </row>
    <row r="60520" spans="18:19">
      <c r="R60520" s="178"/>
      <c r="S60520" s="178"/>
    </row>
    <row r="60521" spans="18:19">
      <c r="R60521" s="178"/>
      <c r="S60521" s="178"/>
    </row>
    <row r="60522" spans="18:19">
      <c r="R60522" s="178"/>
      <c r="S60522" s="178"/>
    </row>
    <row r="60523" spans="18:19">
      <c r="R60523" s="178"/>
      <c r="S60523" s="178"/>
    </row>
    <row r="60524" spans="18:19">
      <c r="R60524" s="178"/>
      <c r="S60524" s="178"/>
    </row>
    <row r="60525" spans="18:19">
      <c r="R60525" s="178"/>
      <c r="S60525" s="178"/>
    </row>
    <row r="60526" spans="18:19">
      <c r="R60526" s="178"/>
      <c r="S60526" s="178"/>
    </row>
    <row r="60527" spans="18:19">
      <c r="R60527" s="178"/>
      <c r="S60527" s="178"/>
    </row>
    <row r="60528" spans="18:19">
      <c r="R60528" s="178"/>
      <c r="S60528" s="178"/>
    </row>
    <row r="60529" spans="18:19">
      <c r="R60529" s="178"/>
      <c r="S60529" s="178"/>
    </row>
    <row r="60530" spans="18:19">
      <c r="R60530" s="178"/>
      <c r="S60530" s="178"/>
    </row>
    <row r="60531" spans="18:19">
      <c r="R60531" s="178"/>
      <c r="S60531" s="178"/>
    </row>
    <row r="60532" spans="18:19">
      <c r="R60532" s="178"/>
      <c r="S60532" s="178"/>
    </row>
    <row r="60533" spans="18:19">
      <c r="R60533" s="178"/>
      <c r="S60533" s="178"/>
    </row>
    <row r="60534" spans="18:19">
      <c r="R60534" s="178"/>
      <c r="S60534" s="178"/>
    </row>
    <row r="60535" spans="18:19">
      <c r="R60535" s="178"/>
      <c r="S60535" s="178"/>
    </row>
    <row r="60536" spans="18:19">
      <c r="R60536" s="178"/>
      <c r="S60536" s="178"/>
    </row>
    <row r="60537" spans="18:19">
      <c r="R60537" s="178"/>
      <c r="S60537" s="178"/>
    </row>
    <row r="60538" spans="18:19">
      <c r="R60538" s="178"/>
      <c r="S60538" s="178"/>
    </row>
    <row r="60539" spans="18:19">
      <c r="R60539" s="178"/>
      <c r="S60539" s="178"/>
    </row>
    <row r="60540" spans="18:19">
      <c r="R60540" s="178"/>
      <c r="S60540" s="178"/>
    </row>
    <row r="60541" spans="18:19">
      <c r="R60541" s="178"/>
      <c r="S60541" s="178"/>
    </row>
    <row r="60542" spans="18:19">
      <c r="R60542" s="178"/>
      <c r="S60542" s="178"/>
    </row>
    <row r="60543" spans="18:19">
      <c r="R60543" s="178"/>
      <c r="S60543" s="178"/>
    </row>
    <row r="60544" spans="18:19">
      <c r="R60544" s="178"/>
      <c r="S60544" s="178"/>
    </row>
    <row r="60545" spans="18:19">
      <c r="R60545" s="178"/>
      <c r="S60545" s="178"/>
    </row>
    <row r="60546" spans="18:19">
      <c r="R60546" s="178"/>
      <c r="S60546" s="178"/>
    </row>
    <row r="60547" spans="18:19">
      <c r="R60547" s="178"/>
      <c r="S60547" s="178"/>
    </row>
    <row r="60548" spans="18:19">
      <c r="R60548" s="178"/>
      <c r="S60548" s="178"/>
    </row>
    <row r="60549" spans="18:19">
      <c r="R60549" s="178"/>
      <c r="S60549" s="178"/>
    </row>
    <row r="60550" spans="18:19">
      <c r="R60550" s="178"/>
      <c r="S60550" s="178"/>
    </row>
    <row r="60551" spans="18:19">
      <c r="R60551" s="178"/>
      <c r="S60551" s="178"/>
    </row>
    <row r="60552" spans="18:19">
      <c r="R60552" s="178"/>
      <c r="S60552" s="178"/>
    </row>
    <row r="60553" spans="18:19">
      <c r="R60553" s="178"/>
      <c r="S60553" s="178"/>
    </row>
    <row r="60554" spans="18:19">
      <c r="R60554" s="178"/>
      <c r="S60554" s="178"/>
    </row>
    <row r="60555" spans="18:19">
      <c r="R60555" s="178"/>
      <c r="S60555" s="178"/>
    </row>
    <row r="60556" spans="18:19">
      <c r="R60556" s="178"/>
      <c r="S60556" s="178"/>
    </row>
    <row r="60557" spans="18:19">
      <c r="R60557" s="178"/>
      <c r="S60557" s="178"/>
    </row>
    <row r="60558" spans="18:19">
      <c r="R60558" s="178"/>
      <c r="S60558" s="178"/>
    </row>
    <row r="60559" spans="18:19">
      <c r="R60559" s="178"/>
      <c r="S60559" s="178"/>
    </row>
    <row r="60560" spans="18:19">
      <c r="R60560" s="178"/>
      <c r="S60560" s="178"/>
    </row>
    <row r="60561" spans="18:19">
      <c r="R60561" s="178"/>
      <c r="S60561" s="178"/>
    </row>
    <row r="60562" spans="18:19">
      <c r="R60562" s="178"/>
      <c r="S60562" s="178"/>
    </row>
    <row r="60563" spans="18:19">
      <c r="R60563" s="178"/>
      <c r="S60563" s="178"/>
    </row>
    <row r="60564" spans="18:19">
      <c r="R60564" s="178"/>
      <c r="S60564" s="178"/>
    </row>
    <row r="60565" spans="18:19">
      <c r="R60565" s="178"/>
      <c r="S60565" s="178"/>
    </row>
    <row r="60566" spans="18:19">
      <c r="R60566" s="178"/>
      <c r="S60566" s="178"/>
    </row>
    <row r="60567" spans="18:19">
      <c r="R60567" s="178"/>
      <c r="S60567" s="178"/>
    </row>
    <row r="60568" spans="18:19">
      <c r="R60568" s="178"/>
      <c r="S60568" s="178"/>
    </row>
    <row r="60569" spans="18:19">
      <c r="R60569" s="178"/>
      <c r="S60569" s="178"/>
    </row>
    <row r="60570" spans="18:19">
      <c r="R60570" s="178"/>
      <c r="S60570" s="178"/>
    </row>
    <row r="60571" spans="18:19">
      <c r="R60571" s="178"/>
      <c r="S60571" s="178"/>
    </row>
    <row r="60572" spans="18:19">
      <c r="R60572" s="178"/>
      <c r="S60572" s="178"/>
    </row>
    <row r="60573" spans="18:19">
      <c r="R60573" s="178"/>
      <c r="S60573" s="178"/>
    </row>
    <row r="60574" spans="18:19">
      <c r="R60574" s="178"/>
      <c r="S60574" s="178"/>
    </row>
    <row r="60575" spans="18:19">
      <c r="R60575" s="178"/>
      <c r="S60575" s="178"/>
    </row>
    <row r="60576" spans="18:19">
      <c r="R60576" s="178"/>
      <c r="S60576" s="178"/>
    </row>
    <row r="60577" spans="18:19">
      <c r="R60577" s="178"/>
      <c r="S60577" s="178"/>
    </row>
    <row r="60578" spans="18:19">
      <c r="R60578" s="178"/>
      <c r="S60578" s="178"/>
    </row>
    <row r="60579" spans="18:19">
      <c r="R60579" s="178"/>
      <c r="S60579" s="178"/>
    </row>
    <row r="60580" spans="18:19">
      <c r="R60580" s="178"/>
      <c r="S60580" s="178"/>
    </row>
    <row r="60581" spans="18:19">
      <c r="R60581" s="178"/>
      <c r="S60581" s="178"/>
    </row>
    <row r="60582" spans="18:19">
      <c r="R60582" s="178"/>
      <c r="S60582" s="178"/>
    </row>
    <row r="60583" spans="18:19">
      <c r="R60583" s="178"/>
      <c r="S60583" s="178"/>
    </row>
    <row r="60584" spans="18:19">
      <c r="R60584" s="178"/>
      <c r="S60584" s="178"/>
    </row>
    <row r="60585" spans="18:19">
      <c r="R60585" s="178"/>
      <c r="S60585" s="178"/>
    </row>
    <row r="60586" spans="18:19">
      <c r="R60586" s="178"/>
      <c r="S60586" s="178"/>
    </row>
    <row r="60587" spans="18:19">
      <c r="R60587" s="178"/>
      <c r="S60587" s="178"/>
    </row>
    <row r="60588" spans="18:19">
      <c r="R60588" s="178"/>
      <c r="S60588" s="178"/>
    </row>
    <row r="60589" spans="18:19">
      <c r="R60589" s="178"/>
      <c r="S60589" s="178"/>
    </row>
    <row r="60590" spans="18:19">
      <c r="R60590" s="178"/>
      <c r="S60590" s="178"/>
    </row>
    <row r="60591" spans="18:19">
      <c r="R60591" s="178"/>
      <c r="S60591" s="178"/>
    </row>
    <row r="60592" spans="18:19">
      <c r="R60592" s="178"/>
      <c r="S60592" s="178"/>
    </row>
    <row r="60593" spans="18:19">
      <c r="R60593" s="178"/>
      <c r="S60593" s="178"/>
    </row>
    <row r="60594" spans="18:19">
      <c r="R60594" s="178"/>
      <c r="S60594" s="178"/>
    </row>
    <row r="60595" spans="18:19">
      <c r="R60595" s="178"/>
      <c r="S60595" s="178"/>
    </row>
    <row r="60596" spans="18:19">
      <c r="R60596" s="178"/>
      <c r="S60596" s="178"/>
    </row>
    <row r="60597" spans="18:19">
      <c r="R60597" s="178"/>
      <c r="S60597" s="178"/>
    </row>
    <row r="60598" spans="18:19">
      <c r="R60598" s="178"/>
      <c r="S60598" s="178"/>
    </row>
    <row r="60599" spans="18:19">
      <c r="R60599" s="178"/>
      <c r="S60599" s="178"/>
    </row>
    <row r="60600" spans="18:19">
      <c r="R60600" s="178"/>
      <c r="S60600" s="178"/>
    </row>
    <row r="60601" spans="18:19">
      <c r="R60601" s="178"/>
      <c r="S60601" s="178"/>
    </row>
    <row r="60602" spans="18:19">
      <c r="R60602" s="178"/>
      <c r="S60602" s="178"/>
    </row>
    <row r="60603" spans="18:19">
      <c r="R60603" s="178"/>
      <c r="S60603" s="178"/>
    </row>
    <row r="60604" spans="18:19">
      <c r="R60604" s="178"/>
      <c r="S60604" s="178"/>
    </row>
    <row r="60605" spans="18:19">
      <c r="R60605" s="178"/>
      <c r="S60605" s="178"/>
    </row>
    <row r="60606" spans="18:19">
      <c r="R60606" s="178"/>
      <c r="S60606" s="178"/>
    </row>
    <row r="60607" spans="18:19">
      <c r="R60607" s="178"/>
      <c r="S60607" s="178"/>
    </row>
    <row r="60608" spans="18:19">
      <c r="R60608" s="178"/>
      <c r="S60608" s="178"/>
    </row>
    <row r="60609" spans="18:19">
      <c r="R60609" s="178"/>
      <c r="S60609" s="178"/>
    </row>
    <row r="60610" spans="18:19">
      <c r="R60610" s="178"/>
      <c r="S60610" s="178"/>
    </row>
    <row r="60611" spans="18:19">
      <c r="R60611" s="178"/>
      <c r="S60611" s="178"/>
    </row>
    <row r="60612" spans="18:19">
      <c r="R60612" s="178"/>
      <c r="S60612" s="178"/>
    </row>
    <row r="60613" spans="18:19">
      <c r="R60613" s="178"/>
      <c r="S60613" s="178"/>
    </row>
    <row r="60614" spans="18:19">
      <c r="R60614" s="178"/>
      <c r="S60614" s="178"/>
    </row>
    <row r="60615" spans="18:19">
      <c r="R60615" s="178"/>
      <c r="S60615" s="178"/>
    </row>
    <row r="60616" spans="18:19">
      <c r="R60616" s="178"/>
      <c r="S60616" s="178"/>
    </row>
    <row r="60617" spans="18:19">
      <c r="R60617" s="178"/>
      <c r="S60617" s="178"/>
    </row>
    <row r="60618" spans="18:19">
      <c r="R60618" s="178"/>
      <c r="S60618" s="178"/>
    </row>
    <row r="60619" spans="18:19">
      <c r="R60619" s="178"/>
      <c r="S60619" s="178"/>
    </row>
    <row r="60620" spans="18:19">
      <c r="R60620" s="178"/>
      <c r="S60620" s="178"/>
    </row>
    <row r="60621" spans="18:19">
      <c r="R60621" s="178"/>
      <c r="S60621" s="178"/>
    </row>
    <row r="60622" spans="18:19">
      <c r="R60622" s="178"/>
      <c r="S60622" s="178"/>
    </row>
    <row r="60623" spans="18:19">
      <c r="R60623" s="178"/>
      <c r="S60623" s="178"/>
    </row>
    <row r="60624" spans="18:19">
      <c r="R60624" s="178"/>
      <c r="S60624" s="178"/>
    </row>
    <row r="60625" spans="18:19">
      <c r="R60625" s="178"/>
      <c r="S60625" s="178"/>
    </row>
    <row r="60626" spans="18:19">
      <c r="R60626" s="178"/>
      <c r="S60626" s="178"/>
    </row>
    <row r="60627" spans="18:19">
      <c r="R60627" s="178"/>
      <c r="S60627" s="178"/>
    </row>
    <row r="60628" spans="18:19">
      <c r="R60628" s="178"/>
      <c r="S60628" s="178"/>
    </row>
    <row r="60629" spans="18:19">
      <c r="R60629" s="178"/>
      <c r="S60629" s="178"/>
    </row>
    <row r="60630" spans="18:19">
      <c r="R60630" s="178"/>
      <c r="S60630" s="178"/>
    </row>
    <row r="60631" spans="18:19">
      <c r="R60631" s="178"/>
      <c r="S60631" s="178"/>
    </row>
    <row r="60632" spans="18:19">
      <c r="R60632" s="178"/>
      <c r="S60632" s="178"/>
    </row>
    <row r="60633" spans="18:19">
      <c r="R60633" s="178"/>
      <c r="S60633" s="178"/>
    </row>
    <row r="60634" spans="18:19">
      <c r="R60634" s="178"/>
      <c r="S60634" s="178"/>
    </row>
    <row r="60635" spans="18:19">
      <c r="R60635" s="178"/>
      <c r="S60635" s="178"/>
    </row>
    <row r="60636" spans="18:19">
      <c r="R60636" s="178"/>
      <c r="S60636" s="178"/>
    </row>
    <row r="60637" spans="18:19">
      <c r="R60637" s="178"/>
      <c r="S60637" s="178"/>
    </row>
    <row r="60638" spans="18:19">
      <c r="R60638" s="178"/>
      <c r="S60638" s="178"/>
    </row>
    <row r="60639" spans="18:19">
      <c r="R60639" s="178"/>
      <c r="S60639" s="178"/>
    </row>
    <row r="60640" spans="18:19">
      <c r="R60640" s="178"/>
      <c r="S60640" s="178"/>
    </row>
    <row r="60641" spans="18:19">
      <c r="R60641" s="178"/>
      <c r="S60641" s="178"/>
    </row>
    <row r="60642" spans="18:19">
      <c r="R60642" s="178"/>
      <c r="S60642" s="178"/>
    </row>
    <row r="60643" spans="18:19">
      <c r="R60643" s="178"/>
      <c r="S60643" s="178"/>
    </row>
    <row r="60644" spans="18:19">
      <c r="R60644" s="178"/>
      <c r="S60644" s="178"/>
    </row>
    <row r="60645" spans="18:19">
      <c r="R60645" s="178"/>
      <c r="S60645" s="178"/>
    </row>
    <row r="60646" spans="18:19">
      <c r="R60646" s="178"/>
      <c r="S60646" s="178"/>
    </row>
    <row r="60647" spans="18:19">
      <c r="R60647" s="178"/>
      <c r="S60647" s="178"/>
    </row>
    <row r="60648" spans="18:19">
      <c r="R60648" s="178"/>
      <c r="S60648" s="178"/>
    </row>
    <row r="60649" spans="18:19">
      <c r="R60649" s="178"/>
      <c r="S60649" s="178"/>
    </row>
    <row r="60650" spans="18:19">
      <c r="R60650" s="178"/>
      <c r="S60650" s="178"/>
    </row>
    <row r="60651" spans="18:19">
      <c r="R60651" s="178"/>
      <c r="S60651" s="178"/>
    </row>
    <row r="60652" spans="18:19">
      <c r="R60652" s="178"/>
      <c r="S60652" s="178"/>
    </row>
    <row r="60653" spans="18:19">
      <c r="R60653" s="178"/>
      <c r="S60653" s="178"/>
    </row>
    <row r="60654" spans="18:19">
      <c r="R60654" s="178"/>
      <c r="S60654" s="178"/>
    </row>
    <row r="60655" spans="18:19">
      <c r="R60655" s="178"/>
      <c r="S60655" s="178"/>
    </row>
    <row r="60656" spans="18:19">
      <c r="R60656" s="178"/>
      <c r="S60656" s="178"/>
    </row>
    <row r="60657" spans="18:19">
      <c r="R60657" s="178"/>
      <c r="S60657" s="178"/>
    </row>
    <row r="60658" spans="18:19">
      <c r="R60658" s="178"/>
      <c r="S60658" s="178"/>
    </row>
    <row r="60659" spans="18:19">
      <c r="R60659" s="178"/>
      <c r="S60659" s="178"/>
    </row>
    <row r="60660" spans="18:19">
      <c r="R60660" s="178"/>
      <c r="S60660" s="178"/>
    </row>
    <row r="60661" spans="18:19">
      <c r="R60661" s="178"/>
      <c r="S60661" s="178"/>
    </row>
    <row r="60662" spans="18:19">
      <c r="R60662" s="178"/>
      <c r="S60662" s="178"/>
    </row>
    <row r="60663" spans="18:19">
      <c r="R60663" s="178"/>
      <c r="S60663" s="178"/>
    </row>
    <row r="60664" spans="18:19">
      <c r="R60664" s="178"/>
      <c r="S60664" s="178"/>
    </row>
    <row r="60665" spans="18:19">
      <c r="R60665" s="178"/>
      <c r="S60665" s="178"/>
    </row>
    <row r="60666" spans="18:19">
      <c r="R60666" s="178"/>
      <c r="S60666" s="178"/>
    </row>
    <row r="60667" spans="18:19">
      <c r="R60667" s="178"/>
      <c r="S60667" s="178"/>
    </row>
    <row r="60668" spans="18:19">
      <c r="R60668" s="178"/>
      <c r="S60668" s="178"/>
    </row>
    <row r="60669" spans="18:19">
      <c r="R60669" s="178"/>
      <c r="S60669" s="178"/>
    </row>
    <row r="60670" spans="18:19">
      <c r="R60670" s="178"/>
      <c r="S60670" s="178"/>
    </row>
    <row r="60671" spans="18:19">
      <c r="R60671" s="178"/>
      <c r="S60671" s="178"/>
    </row>
    <row r="60672" spans="18:19">
      <c r="R60672" s="178"/>
      <c r="S60672" s="178"/>
    </row>
    <row r="60673" spans="18:19">
      <c r="R60673" s="178"/>
      <c r="S60673" s="178"/>
    </row>
    <row r="60674" spans="18:19">
      <c r="R60674" s="178"/>
      <c r="S60674" s="178"/>
    </row>
    <row r="60675" spans="18:19">
      <c r="R60675" s="178"/>
      <c r="S60675" s="178"/>
    </row>
    <row r="60676" spans="18:19">
      <c r="R60676" s="178"/>
      <c r="S60676" s="178"/>
    </row>
    <row r="60677" spans="18:19">
      <c r="R60677" s="178"/>
      <c r="S60677" s="178"/>
    </row>
    <row r="60678" spans="18:19">
      <c r="R60678" s="178"/>
      <c r="S60678" s="178"/>
    </row>
    <row r="60679" spans="18:19">
      <c r="R60679" s="178"/>
      <c r="S60679" s="178"/>
    </row>
    <row r="60680" spans="18:19">
      <c r="R60680" s="178"/>
      <c r="S60680" s="178"/>
    </row>
    <row r="60681" spans="18:19">
      <c r="R60681" s="178"/>
      <c r="S60681" s="178"/>
    </row>
    <row r="60682" spans="18:19">
      <c r="R60682" s="178"/>
      <c r="S60682" s="178"/>
    </row>
    <row r="60683" spans="18:19">
      <c r="R60683" s="178"/>
      <c r="S60683" s="178"/>
    </row>
    <row r="60684" spans="18:19">
      <c r="R60684" s="178"/>
      <c r="S60684" s="178"/>
    </row>
    <row r="60685" spans="18:19">
      <c r="R60685" s="178"/>
      <c r="S60685" s="178"/>
    </row>
    <row r="60686" spans="18:19">
      <c r="R60686" s="178"/>
      <c r="S60686" s="178"/>
    </row>
    <row r="60687" spans="18:19">
      <c r="R60687" s="178"/>
      <c r="S60687" s="178"/>
    </row>
    <row r="60688" spans="18:19">
      <c r="R60688" s="178"/>
      <c r="S60688" s="178"/>
    </row>
    <row r="60689" spans="18:19">
      <c r="R60689" s="178"/>
      <c r="S60689" s="178"/>
    </row>
    <row r="60690" spans="18:19">
      <c r="R60690" s="178"/>
      <c r="S60690" s="178"/>
    </row>
    <row r="60691" spans="18:19">
      <c r="R60691" s="178"/>
      <c r="S60691" s="178"/>
    </row>
    <row r="60692" spans="18:19">
      <c r="R60692" s="178"/>
      <c r="S60692" s="178"/>
    </row>
    <row r="60693" spans="18:19">
      <c r="R60693" s="178"/>
      <c r="S60693" s="178"/>
    </row>
    <row r="60694" spans="18:19">
      <c r="R60694" s="178"/>
      <c r="S60694" s="178"/>
    </row>
    <row r="60695" spans="18:19">
      <c r="R60695" s="178"/>
      <c r="S60695" s="178"/>
    </row>
    <row r="60696" spans="18:19">
      <c r="R60696" s="178"/>
      <c r="S60696" s="178"/>
    </row>
    <row r="60697" spans="18:19">
      <c r="R60697" s="178"/>
      <c r="S60697" s="178"/>
    </row>
    <row r="60698" spans="18:19">
      <c r="R60698" s="178"/>
      <c r="S60698" s="178"/>
    </row>
    <row r="60699" spans="18:19">
      <c r="R60699" s="178"/>
      <c r="S60699" s="178"/>
    </row>
    <row r="60700" spans="18:19">
      <c r="R60700" s="178"/>
      <c r="S60700" s="178"/>
    </row>
    <row r="60701" spans="18:19">
      <c r="R60701" s="178"/>
      <c r="S60701" s="178"/>
    </row>
    <row r="60702" spans="18:19">
      <c r="R60702" s="178"/>
      <c r="S60702" s="178"/>
    </row>
    <row r="60703" spans="18:19">
      <c r="R60703" s="178"/>
      <c r="S60703" s="178"/>
    </row>
    <row r="60704" spans="18:19">
      <c r="R60704" s="178"/>
      <c r="S60704" s="178"/>
    </row>
    <row r="60705" spans="18:19">
      <c r="R60705" s="178"/>
      <c r="S60705" s="178"/>
    </row>
    <row r="60706" spans="18:19">
      <c r="R60706" s="178"/>
      <c r="S60706" s="178"/>
    </row>
    <row r="60707" spans="18:19">
      <c r="R60707" s="178"/>
      <c r="S60707" s="178"/>
    </row>
    <row r="60708" spans="18:19">
      <c r="R60708" s="178"/>
      <c r="S60708" s="178"/>
    </row>
    <row r="60709" spans="18:19">
      <c r="R60709" s="178"/>
      <c r="S60709" s="178"/>
    </row>
    <row r="60710" spans="18:19">
      <c r="R60710" s="178"/>
      <c r="S60710" s="178"/>
    </row>
    <row r="60711" spans="18:19">
      <c r="R60711" s="178"/>
      <c r="S60711" s="178"/>
    </row>
    <row r="60712" spans="18:19">
      <c r="R60712" s="178"/>
      <c r="S60712" s="178"/>
    </row>
    <row r="60713" spans="18:19">
      <c r="R60713" s="178"/>
      <c r="S60713" s="178"/>
    </row>
    <row r="60714" spans="18:19">
      <c r="R60714" s="178"/>
      <c r="S60714" s="178"/>
    </row>
    <row r="60715" spans="18:19">
      <c r="R60715" s="178"/>
      <c r="S60715" s="178"/>
    </row>
    <row r="60716" spans="18:19">
      <c r="R60716" s="178"/>
      <c r="S60716" s="178"/>
    </row>
    <row r="60717" spans="18:19">
      <c r="R60717" s="178"/>
      <c r="S60717" s="178"/>
    </row>
    <row r="60718" spans="18:19">
      <c r="R60718" s="178"/>
      <c r="S60718" s="178"/>
    </row>
    <row r="60719" spans="18:19">
      <c r="R60719" s="178"/>
      <c r="S60719" s="178"/>
    </row>
    <row r="60720" spans="18:19">
      <c r="R60720" s="178"/>
      <c r="S60720" s="178"/>
    </row>
    <row r="60721" spans="18:19">
      <c r="R60721" s="178"/>
      <c r="S60721" s="178"/>
    </row>
    <row r="60722" spans="18:19">
      <c r="R60722" s="178"/>
      <c r="S60722" s="178"/>
    </row>
    <row r="60723" spans="18:19">
      <c r="R60723" s="178"/>
      <c r="S60723" s="178"/>
    </row>
    <row r="60724" spans="18:19">
      <c r="R60724" s="178"/>
      <c r="S60724" s="178"/>
    </row>
    <row r="60725" spans="18:19">
      <c r="R60725" s="178"/>
      <c r="S60725" s="178"/>
    </row>
    <row r="60726" spans="18:19">
      <c r="R60726" s="178"/>
      <c r="S60726" s="178"/>
    </row>
    <row r="60727" spans="18:19">
      <c r="R60727" s="178"/>
      <c r="S60727" s="178"/>
    </row>
    <row r="60728" spans="18:19">
      <c r="R60728" s="178"/>
      <c r="S60728" s="178"/>
    </row>
    <row r="60729" spans="18:19">
      <c r="R60729" s="178"/>
      <c r="S60729" s="178"/>
    </row>
    <row r="60730" spans="18:19">
      <c r="R60730" s="178"/>
      <c r="S60730" s="178"/>
    </row>
    <row r="60731" spans="18:19">
      <c r="R60731" s="178"/>
      <c r="S60731" s="178"/>
    </row>
    <row r="60732" spans="18:19">
      <c r="R60732" s="178"/>
      <c r="S60732" s="178"/>
    </row>
    <row r="60733" spans="18:19">
      <c r="R60733" s="178"/>
      <c r="S60733" s="178"/>
    </row>
    <row r="60734" spans="18:19">
      <c r="R60734" s="178"/>
      <c r="S60734" s="178"/>
    </row>
    <row r="60735" spans="18:19">
      <c r="R60735" s="178"/>
      <c r="S60735" s="178"/>
    </row>
    <row r="60736" spans="18:19">
      <c r="R60736" s="178"/>
      <c r="S60736" s="178"/>
    </row>
    <row r="60737" spans="18:19">
      <c r="R60737" s="178"/>
      <c r="S60737" s="178"/>
    </row>
    <row r="60738" spans="18:19">
      <c r="R60738" s="178"/>
      <c r="S60738" s="178"/>
    </row>
    <row r="60739" spans="18:19">
      <c r="R60739" s="178"/>
      <c r="S60739" s="178"/>
    </row>
    <row r="60740" spans="18:19">
      <c r="R60740" s="178"/>
      <c r="S60740" s="178"/>
    </row>
    <row r="60741" spans="18:19">
      <c r="R60741" s="178"/>
      <c r="S60741" s="178"/>
    </row>
    <row r="60742" spans="18:19">
      <c r="R60742" s="178"/>
      <c r="S60742" s="178"/>
    </row>
    <row r="60743" spans="18:19">
      <c r="R60743" s="178"/>
      <c r="S60743" s="178"/>
    </row>
    <row r="60744" spans="18:19">
      <c r="R60744" s="178"/>
      <c r="S60744" s="178"/>
    </row>
    <row r="60745" spans="18:19">
      <c r="R60745" s="178"/>
      <c r="S60745" s="178"/>
    </row>
    <row r="60746" spans="18:19">
      <c r="R60746" s="178"/>
      <c r="S60746" s="178"/>
    </row>
    <row r="60747" spans="18:19">
      <c r="R60747" s="178"/>
      <c r="S60747" s="178"/>
    </row>
    <row r="60748" spans="18:19">
      <c r="R60748" s="178"/>
      <c r="S60748" s="178"/>
    </row>
    <row r="60749" spans="18:19">
      <c r="R60749" s="178"/>
      <c r="S60749" s="178"/>
    </row>
    <row r="60750" spans="18:19">
      <c r="R60750" s="178"/>
      <c r="S60750" s="178"/>
    </row>
    <row r="60751" spans="18:19">
      <c r="R60751" s="178"/>
      <c r="S60751" s="178"/>
    </row>
    <row r="60752" spans="18:19">
      <c r="R60752" s="178"/>
      <c r="S60752" s="178"/>
    </row>
    <row r="60753" spans="18:19">
      <c r="R60753" s="178"/>
      <c r="S60753" s="178"/>
    </row>
    <row r="60754" spans="18:19">
      <c r="R60754" s="178"/>
      <c r="S60754" s="178"/>
    </row>
    <row r="60755" spans="18:19">
      <c r="R60755" s="178"/>
      <c r="S60755" s="178"/>
    </row>
    <row r="60756" spans="18:19">
      <c r="R60756" s="178"/>
      <c r="S60756" s="178"/>
    </row>
    <row r="60757" spans="18:19">
      <c r="R60757" s="178"/>
      <c r="S60757" s="178"/>
    </row>
    <row r="60758" spans="18:19">
      <c r="R60758" s="178"/>
      <c r="S60758" s="178"/>
    </row>
    <row r="60759" spans="18:19">
      <c r="R60759" s="178"/>
      <c r="S60759" s="178"/>
    </row>
    <row r="60760" spans="18:19">
      <c r="R60760" s="178"/>
      <c r="S60760" s="178"/>
    </row>
    <row r="60761" spans="18:19">
      <c r="R60761" s="178"/>
      <c r="S60761" s="178"/>
    </row>
    <row r="60762" spans="18:19">
      <c r="R60762" s="178"/>
      <c r="S60762" s="178"/>
    </row>
    <row r="60763" spans="18:19">
      <c r="R60763" s="178"/>
      <c r="S60763" s="178"/>
    </row>
    <row r="60764" spans="18:19">
      <c r="R60764" s="178"/>
      <c r="S60764" s="178"/>
    </row>
    <row r="60765" spans="18:19">
      <c r="R60765" s="178"/>
      <c r="S60765" s="178"/>
    </row>
    <row r="60766" spans="18:19">
      <c r="R60766" s="178"/>
      <c r="S60766" s="178"/>
    </row>
    <row r="60767" spans="18:19">
      <c r="R60767" s="178"/>
      <c r="S60767" s="178"/>
    </row>
    <row r="60768" spans="18:19">
      <c r="R60768" s="178"/>
      <c r="S60768" s="178"/>
    </row>
    <row r="60769" spans="18:19">
      <c r="R60769" s="178"/>
      <c r="S60769" s="178"/>
    </row>
    <row r="60770" spans="18:19">
      <c r="R60770" s="178"/>
      <c r="S60770" s="178"/>
    </row>
    <row r="60771" spans="18:19">
      <c r="R60771" s="178"/>
      <c r="S60771" s="178"/>
    </row>
    <row r="60772" spans="18:19">
      <c r="R60772" s="178"/>
      <c r="S60772" s="178"/>
    </row>
    <row r="60773" spans="18:19">
      <c r="R60773" s="178"/>
      <c r="S60773" s="178"/>
    </row>
    <row r="60774" spans="18:19">
      <c r="R60774" s="178"/>
      <c r="S60774" s="178"/>
    </row>
    <row r="60775" spans="18:19">
      <c r="R60775" s="178"/>
      <c r="S60775" s="178"/>
    </row>
    <row r="60776" spans="18:19">
      <c r="R60776" s="178"/>
      <c r="S60776" s="178"/>
    </row>
    <row r="60777" spans="18:19">
      <c r="R60777" s="178"/>
      <c r="S60777" s="178"/>
    </row>
    <row r="60778" spans="18:19">
      <c r="R60778" s="178"/>
      <c r="S60778" s="178"/>
    </row>
    <row r="60779" spans="18:19">
      <c r="R60779" s="178"/>
      <c r="S60779" s="178"/>
    </row>
    <row r="60780" spans="18:19">
      <c r="R60780" s="178"/>
      <c r="S60780" s="178"/>
    </row>
    <row r="60781" spans="18:19">
      <c r="R60781" s="178"/>
      <c r="S60781" s="178"/>
    </row>
    <row r="60782" spans="18:19">
      <c r="R60782" s="178"/>
      <c r="S60782" s="178"/>
    </row>
    <row r="60783" spans="18:19">
      <c r="R60783" s="178"/>
      <c r="S60783" s="178"/>
    </row>
    <row r="60784" spans="18:19">
      <c r="R60784" s="178"/>
      <c r="S60784" s="178"/>
    </row>
    <row r="60785" spans="18:19">
      <c r="R60785" s="178"/>
      <c r="S60785" s="178"/>
    </row>
    <row r="60786" spans="18:19">
      <c r="R60786" s="178"/>
      <c r="S60786" s="178"/>
    </row>
    <row r="60787" spans="18:19">
      <c r="R60787" s="178"/>
      <c r="S60787" s="178"/>
    </row>
    <row r="60788" spans="18:19">
      <c r="R60788" s="178"/>
      <c r="S60788" s="178"/>
    </row>
    <row r="60789" spans="18:19">
      <c r="R60789" s="178"/>
      <c r="S60789" s="178"/>
    </row>
    <row r="60790" spans="18:19">
      <c r="R60790" s="178"/>
      <c r="S60790" s="178"/>
    </row>
    <row r="60791" spans="18:19">
      <c r="R60791" s="178"/>
      <c r="S60791" s="178"/>
    </row>
    <row r="60792" spans="18:19">
      <c r="R60792" s="178"/>
      <c r="S60792" s="178"/>
    </row>
    <row r="60793" spans="18:19">
      <c r="R60793" s="178"/>
      <c r="S60793" s="178"/>
    </row>
    <row r="60794" spans="18:19">
      <c r="R60794" s="178"/>
      <c r="S60794" s="178"/>
    </row>
    <row r="60795" spans="18:19">
      <c r="R60795" s="178"/>
      <c r="S60795" s="178"/>
    </row>
    <row r="60796" spans="18:19">
      <c r="R60796" s="178"/>
      <c r="S60796" s="178"/>
    </row>
    <row r="60797" spans="18:19">
      <c r="R60797" s="178"/>
      <c r="S60797" s="178"/>
    </row>
    <row r="60798" spans="18:19">
      <c r="R60798" s="178"/>
      <c r="S60798" s="178"/>
    </row>
    <row r="60799" spans="18:19">
      <c r="R60799" s="178"/>
      <c r="S60799" s="178"/>
    </row>
    <row r="60800" spans="18:19">
      <c r="R60800" s="178"/>
      <c r="S60800" s="178"/>
    </row>
    <row r="60801" spans="18:19">
      <c r="R60801" s="178"/>
      <c r="S60801" s="178"/>
    </row>
    <row r="60802" spans="18:19">
      <c r="R60802" s="178"/>
      <c r="S60802" s="178"/>
    </row>
    <row r="60803" spans="18:19">
      <c r="R60803" s="178"/>
      <c r="S60803" s="178"/>
    </row>
    <row r="60804" spans="18:19">
      <c r="R60804" s="178"/>
      <c r="S60804" s="178"/>
    </row>
    <row r="60805" spans="18:19">
      <c r="R60805" s="178"/>
      <c r="S60805" s="178"/>
    </row>
    <row r="60806" spans="18:19">
      <c r="R60806" s="178"/>
      <c r="S60806" s="178"/>
    </row>
    <row r="60807" spans="18:19">
      <c r="R60807" s="178"/>
      <c r="S60807" s="178"/>
    </row>
    <row r="60808" spans="18:19">
      <c r="R60808" s="178"/>
      <c r="S60808" s="178"/>
    </row>
    <row r="60809" spans="18:19">
      <c r="R60809" s="178"/>
      <c r="S60809" s="178"/>
    </row>
    <row r="60810" spans="18:19">
      <c r="R60810" s="178"/>
      <c r="S60810" s="178"/>
    </row>
    <row r="60811" spans="18:19">
      <c r="R60811" s="178"/>
      <c r="S60811" s="178"/>
    </row>
    <row r="60812" spans="18:19">
      <c r="R60812" s="178"/>
      <c r="S60812" s="178"/>
    </row>
    <row r="60813" spans="18:19">
      <c r="R60813" s="178"/>
      <c r="S60813" s="178"/>
    </row>
    <row r="60814" spans="18:19">
      <c r="R60814" s="178"/>
      <c r="S60814" s="178"/>
    </row>
    <row r="60815" spans="18:19">
      <c r="R60815" s="178"/>
      <c r="S60815" s="178"/>
    </row>
    <row r="60816" spans="18:19">
      <c r="R60816" s="178"/>
      <c r="S60816" s="178"/>
    </row>
    <row r="60817" spans="18:19">
      <c r="R60817" s="178"/>
      <c r="S60817" s="178"/>
    </row>
    <row r="60818" spans="18:19">
      <c r="R60818" s="178"/>
      <c r="S60818" s="178"/>
    </row>
    <row r="60819" spans="18:19">
      <c r="R60819" s="178"/>
      <c r="S60819" s="178"/>
    </row>
    <row r="60820" spans="18:19">
      <c r="R60820" s="178"/>
      <c r="S60820" s="178"/>
    </row>
    <row r="60821" spans="18:19">
      <c r="R60821" s="178"/>
      <c r="S60821" s="178"/>
    </row>
    <row r="60822" spans="18:19">
      <c r="R60822" s="178"/>
      <c r="S60822" s="178"/>
    </row>
    <row r="60823" spans="18:19">
      <c r="R60823" s="178"/>
      <c r="S60823" s="178"/>
    </row>
    <row r="60824" spans="18:19">
      <c r="R60824" s="178"/>
      <c r="S60824" s="178"/>
    </row>
    <row r="60825" spans="18:19">
      <c r="R60825" s="178"/>
      <c r="S60825" s="178"/>
    </row>
    <row r="60826" spans="18:19">
      <c r="R60826" s="178"/>
      <c r="S60826" s="178"/>
    </row>
    <row r="60827" spans="18:19">
      <c r="R60827" s="178"/>
      <c r="S60827" s="178"/>
    </row>
    <row r="60828" spans="18:19">
      <c r="R60828" s="178"/>
      <c r="S60828" s="178"/>
    </row>
    <row r="60829" spans="18:19">
      <c r="R60829" s="178"/>
      <c r="S60829" s="178"/>
    </row>
    <row r="60830" spans="18:19">
      <c r="R60830" s="178"/>
      <c r="S60830" s="178"/>
    </row>
    <row r="60831" spans="18:19">
      <c r="R60831" s="178"/>
      <c r="S60831" s="178"/>
    </row>
    <row r="60832" spans="18:19">
      <c r="R60832" s="178"/>
      <c r="S60832" s="178"/>
    </row>
    <row r="60833" spans="18:19">
      <c r="R60833" s="178"/>
      <c r="S60833" s="178"/>
    </row>
    <row r="60834" spans="18:19">
      <c r="R60834" s="178"/>
      <c r="S60834" s="178"/>
    </row>
    <row r="60835" spans="18:19">
      <c r="R60835" s="178"/>
      <c r="S60835" s="178"/>
    </row>
    <row r="60836" spans="18:19">
      <c r="R60836" s="178"/>
      <c r="S60836" s="178"/>
    </row>
    <row r="60837" spans="18:19">
      <c r="R60837" s="178"/>
      <c r="S60837" s="178"/>
    </row>
    <row r="60838" spans="18:19">
      <c r="R60838" s="178"/>
      <c r="S60838" s="178"/>
    </row>
    <row r="60839" spans="18:19">
      <c r="R60839" s="178"/>
      <c r="S60839" s="178"/>
    </row>
    <row r="60840" spans="18:19">
      <c r="R60840" s="178"/>
      <c r="S60840" s="178"/>
    </row>
    <row r="60841" spans="18:19">
      <c r="R60841" s="178"/>
      <c r="S60841" s="178"/>
    </row>
    <row r="60842" spans="18:19">
      <c r="R60842" s="178"/>
      <c r="S60842" s="178"/>
    </row>
    <row r="60843" spans="18:19">
      <c r="R60843" s="178"/>
      <c r="S60843" s="178"/>
    </row>
    <row r="60844" spans="18:19">
      <c r="R60844" s="178"/>
      <c r="S60844" s="178"/>
    </row>
    <row r="60845" spans="18:19">
      <c r="R60845" s="178"/>
      <c r="S60845" s="178"/>
    </row>
    <row r="60846" spans="18:19">
      <c r="R60846" s="178"/>
      <c r="S60846" s="178"/>
    </row>
    <row r="60847" spans="18:19">
      <c r="R60847" s="178"/>
      <c r="S60847" s="178"/>
    </row>
    <row r="60848" spans="18:19">
      <c r="R60848" s="178"/>
      <c r="S60848" s="178"/>
    </row>
    <row r="60849" spans="18:19">
      <c r="R60849" s="178"/>
      <c r="S60849" s="178"/>
    </row>
    <row r="60850" spans="18:19">
      <c r="R60850" s="178"/>
      <c r="S60850" s="178"/>
    </row>
    <row r="60851" spans="18:19">
      <c r="R60851" s="178"/>
      <c r="S60851" s="178"/>
    </row>
    <row r="60852" spans="18:19">
      <c r="R60852" s="178"/>
      <c r="S60852" s="178"/>
    </row>
    <row r="60853" spans="18:19">
      <c r="R60853" s="178"/>
      <c r="S60853" s="178"/>
    </row>
    <row r="60854" spans="18:19">
      <c r="R60854" s="178"/>
      <c r="S60854" s="178"/>
    </row>
    <row r="60855" spans="18:19">
      <c r="R60855" s="178"/>
      <c r="S60855" s="178"/>
    </row>
    <row r="60856" spans="18:19">
      <c r="R60856" s="178"/>
      <c r="S60856" s="178"/>
    </row>
    <row r="60857" spans="18:19">
      <c r="R60857" s="178"/>
      <c r="S60857" s="178"/>
    </row>
    <row r="60858" spans="18:19">
      <c r="R60858" s="178"/>
      <c r="S60858" s="178"/>
    </row>
    <row r="60859" spans="18:19">
      <c r="R60859" s="178"/>
      <c r="S60859" s="178"/>
    </row>
    <row r="60860" spans="18:19">
      <c r="R60860" s="178"/>
      <c r="S60860" s="178"/>
    </row>
    <row r="60861" spans="18:19">
      <c r="R60861" s="178"/>
      <c r="S60861" s="178"/>
    </row>
    <row r="60862" spans="18:19">
      <c r="R60862" s="178"/>
      <c r="S60862" s="178"/>
    </row>
    <row r="60863" spans="18:19">
      <c r="R60863" s="178"/>
      <c r="S60863" s="178"/>
    </row>
    <row r="60864" spans="18:19">
      <c r="R60864" s="178"/>
      <c r="S60864" s="178"/>
    </row>
    <row r="60865" spans="18:19">
      <c r="R60865" s="178"/>
      <c r="S60865" s="178"/>
    </row>
    <row r="60866" spans="18:19">
      <c r="R60866" s="178"/>
      <c r="S60866" s="178"/>
    </row>
    <row r="60867" spans="18:19">
      <c r="R60867" s="178"/>
      <c r="S60867" s="178"/>
    </row>
    <row r="60868" spans="18:19">
      <c r="R60868" s="178"/>
      <c r="S60868" s="178"/>
    </row>
    <row r="60869" spans="18:19">
      <c r="R60869" s="178"/>
      <c r="S60869" s="178"/>
    </row>
    <row r="60870" spans="18:19">
      <c r="R60870" s="178"/>
      <c r="S60870" s="178"/>
    </row>
    <row r="60871" spans="18:19">
      <c r="R60871" s="178"/>
      <c r="S60871" s="178"/>
    </row>
    <row r="60872" spans="18:19">
      <c r="R60872" s="178"/>
      <c r="S60872" s="178"/>
    </row>
    <row r="60873" spans="18:19">
      <c r="R60873" s="178"/>
      <c r="S60873" s="178"/>
    </row>
    <row r="60874" spans="18:19">
      <c r="R60874" s="178"/>
      <c r="S60874" s="178"/>
    </row>
    <row r="60875" spans="18:19">
      <c r="R60875" s="178"/>
      <c r="S60875" s="178"/>
    </row>
    <row r="60876" spans="18:19">
      <c r="R60876" s="178"/>
      <c r="S60876" s="178"/>
    </row>
    <row r="60877" spans="18:19">
      <c r="R60877" s="178"/>
      <c r="S60877" s="178"/>
    </row>
    <row r="60878" spans="18:19">
      <c r="R60878" s="178"/>
      <c r="S60878" s="178"/>
    </row>
    <row r="60879" spans="18:19">
      <c r="R60879" s="178"/>
      <c r="S60879" s="178"/>
    </row>
    <row r="60880" spans="18:19">
      <c r="R60880" s="178"/>
      <c r="S60880" s="178"/>
    </row>
    <row r="60881" spans="18:19">
      <c r="R60881" s="178"/>
      <c r="S60881" s="178"/>
    </row>
    <row r="60882" spans="18:19">
      <c r="R60882" s="178"/>
      <c r="S60882" s="178"/>
    </row>
    <row r="60883" spans="18:19">
      <c r="R60883" s="178"/>
      <c r="S60883" s="178"/>
    </row>
    <row r="60884" spans="18:19">
      <c r="R60884" s="178"/>
      <c r="S60884" s="178"/>
    </row>
    <row r="60885" spans="18:19">
      <c r="R60885" s="178"/>
      <c r="S60885" s="178"/>
    </row>
    <row r="60886" spans="18:19">
      <c r="R60886" s="178"/>
      <c r="S60886" s="178"/>
    </row>
    <row r="60887" spans="18:19">
      <c r="R60887" s="178"/>
      <c r="S60887" s="178"/>
    </row>
    <row r="60888" spans="18:19">
      <c r="R60888" s="178"/>
      <c r="S60888" s="178"/>
    </row>
    <row r="60889" spans="18:19">
      <c r="R60889" s="178"/>
      <c r="S60889" s="178"/>
    </row>
    <row r="60890" spans="18:19">
      <c r="R60890" s="178"/>
      <c r="S60890" s="178"/>
    </row>
    <row r="60891" spans="18:19">
      <c r="R60891" s="178"/>
      <c r="S60891" s="178"/>
    </row>
    <row r="60892" spans="18:19">
      <c r="R60892" s="178"/>
      <c r="S60892" s="178"/>
    </row>
    <row r="60893" spans="18:19">
      <c r="R60893" s="178"/>
      <c r="S60893" s="178"/>
    </row>
    <row r="60894" spans="18:19">
      <c r="R60894" s="178"/>
      <c r="S60894" s="178"/>
    </row>
    <row r="60895" spans="18:19">
      <c r="R60895" s="178"/>
      <c r="S60895" s="178"/>
    </row>
    <row r="60896" spans="18:19">
      <c r="R60896" s="178"/>
      <c r="S60896" s="178"/>
    </row>
    <row r="60897" spans="18:19">
      <c r="R60897" s="178"/>
      <c r="S60897" s="178"/>
    </row>
    <row r="60898" spans="18:19">
      <c r="R60898" s="178"/>
      <c r="S60898" s="178"/>
    </row>
    <row r="60899" spans="18:19">
      <c r="R60899" s="178"/>
      <c r="S60899" s="178"/>
    </row>
    <row r="60900" spans="18:19">
      <c r="R60900" s="178"/>
      <c r="S60900" s="178"/>
    </row>
    <row r="60901" spans="18:19">
      <c r="R60901" s="178"/>
      <c r="S60901" s="178"/>
    </row>
    <row r="60902" spans="18:19">
      <c r="R60902" s="178"/>
      <c r="S60902" s="178"/>
    </row>
    <row r="60903" spans="18:19">
      <c r="R60903" s="178"/>
      <c r="S60903" s="178"/>
    </row>
    <row r="60904" spans="18:19">
      <c r="R60904" s="178"/>
      <c r="S60904" s="178"/>
    </row>
    <row r="60905" spans="18:19">
      <c r="R60905" s="178"/>
      <c r="S60905" s="178"/>
    </row>
    <row r="60906" spans="18:19">
      <c r="R60906" s="178"/>
      <c r="S60906" s="178"/>
    </row>
    <row r="60907" spans="18:19">
      <c r="R60907" s="178"/>
      <c r="S60907" s="178"/>
    </row>
    <row r="60908" spans="18:19">
      <c r="R60908" s="178"/>
      <c r="S60908" s="178"/>
    </row>
    <row r="60909" spans="18:19">
      <c r="R60909" s="178"/>
      <c r="S60909" s="178"/>
    </row>
    <row r="60910" spans="18:19">
      <c r="R60910" s="178"/>
      <c r="S60910" s="178"/>
    </row>
    <row r="60911" spans="18:19">
      <c r="R60911" s="178"/>
      <c r="S60911" s="178"/>
    </row>
    <row r="60912" spans="18:19">
      <c r="R60912" s="178"/>
      <c r="S60912" s="178"/>
    </row>
    <row r="60913" spans="18:19">
      <c r="R60913" s="178"/>
      <c r="S60913" s="178"/>
    </row>
    <row r="60914" spans="18:19">
      <c r="R60914" s="178"/>
      <c r="S60914" s="178"/>
    </row>
    <row r="60915" spans="18:19">
      <c r="R60915" s="178"/>
      <c r="S60915" s="178"/>
    </row>
    <row r="60916" spans="18:19">
      <c r="R60916" s="178"/>
      <c r="S60916" s="178"/>
    </row>
    <row r="60917" spans="18:19">
      <c r="R60917" s="178"/>
      <c r="S60917" s="178"/>
    </row>
    <row r="60918" spans="18:19">
      <c r="R60918" s="178"/>
      <c r="S60918" s="178"/>
    </row>
    <row r="60919" spans="18:19">
      <c r="R60919" s="178"/>
      <c r="S60919" s="178"/>
    </row>
    <row r="60920" spans="18:19">
      <c r="R60920" s="178"/>
      <c r="S60920" s="178"/>
    </row>
    <row r="60921" spans="18:19">
      <c r="R60921" s="178"/>
      <c r="S60921" s="178"/>
    </row>
    <row r="60922" spans="18:19">
      <c r="R60922" s="178"/>
      <c r="S60922" s="178"/>
    </row>
    <row r="60923" spans="18:19">
      <c r="R60923" s="178"/>
      <c r="S60923" s="178"/>
    </row>
    <row r="60924" spans="18:19">
      <c r="R60924" s="178"/>
      <c r="S60924" s="178"/>
    </row>
    <row r="60925" spans="18:19">
      <c r="R60925" s="178"/>
      <c r="S60925" s="178"/>
    </row>
    <row r="60926" spans="18:19">
      <c r="R60926" s="178"/>
      <c r="S60926" s="178"/>
    </row>
    <row r="60927" spans="18:19">
      <c r="R60927" s="178"/>
      <c r="S60927" s="178"/>
    </row>
    <row r="60928" spans="18:19">
      <c r="R60928" s="178"/>
      <c r="S60928" s="178"/>
    </row>
    <row r="60929" spans="18:19">
      <c r="R60929" s="178"/>
      <c r="S60929" s="178"/>
    </row>
    <row r="60930" spans="18:19">
      <c r="R60930" s="178"/>
      <c r="S60930" s="178"/>
    </row>
    <row r="60931" spans="18:19">
      <c r="R60931" s="178"/>
      <c r="S60931" s="178"/>
    </row>
    <row r="60932" spans="18:19">
      <c r="R60932" s="178"/>
      <c r="S60932" s="178"/>
    </row>
    <row r="60933" spans="18:19">
      <c r="R60933" s="178"/>
      <c r="S60933" s="178"/>
    </row>
    <row r="60934" spans="18:19">
      <c r="R60934" s="178"/>
      <c r="S60934" s="178"/>
    </row>
    <row r="60935" spans="18:19">
      <c r="R60935" s="178"/>
      <c r="S60935" s="178"/>
    </row>
    <row r="60936" spans="18:19">
      <c r="R60936" s="178"/>
      <c r="S60936" s="178"/>
    </row>
    <row r="60937" spans="18:19">
      <c r="R60937" s="178"/>
      <c r="S60937" s="178"/>
    </row>
    <row r="60938" spans="18:19">
      <c r="R60938" s="178"/>
      <c r="S60938" s="178"/>
    </row>
    <row r="60939" spans="18:19">
      <c r="R60939" s="178"/>
      <c r="S60939" s="178"/>
    </row>
    <row r="60940" spans="18:19">
      <c r="R60940" s="178"/>
      <c r="S60940" s="178"/>
    </row>
    <row r="60941" spans="18:19">
      <c r="R60941" s="178"/>
      <c r="S60941" s="178"/>
    </row>
    <row r="60942" spans="18:19">
      <c r="R60942" s="178"/>
      <c r="S60942" s="178"/>
    </row>
    <row r="60943" spans="18:19">
      <c r="R60943" s="178"/>
      <c r="S60943" s="178"/>
    </row>
    <row r="60944" spans="18:19">
      <c r="R60944" s="178"/>
      <c r="S60944" s="178"/>
    </row>
    <row r="60945" spans="18:19">
      <c r="R60945" s="178"/>
      <c r="S60945" s="178"/>
    </row>
    <row r="60946" spans="18:19">
      <c r="R60946" s="178"/>
      <c r="S60946" s="178"/>
    </row>
    <row r="60947" spans="18:19">
      <c r="R60947" s="178"/>
      <c r="S60947" s="178"/>
    </row>
    <row r="60948" spans="18:19">
      <c r="R60948" s="178"/>
      <c r="S60948" s="178"/>
    </row>
    <row r="60949" spans="18:19">
      <c r="R60949" s="178"/>
      <c r="S60949" s="178"/>
    </row>
    <row r="60950" spans="18:19">
      <c r="R60950" s="178"/>
      <c r="S60950" s="178"/>
    </row>
    <row r="60951" spans="18:19">
      <c r="R60951" s="178"/>
      <c r="S60951" s="178"/>
    </row>
    <row r="60952" spans="18:19">
      <c r="R60952" s="178"/>
      <c r="S60952" s="178"/>
    </row>
    <row r="60953" spans="18:19">
      <c r="R60953" s="178"/>
      <c r="S60953" s="178"/>
    </row>
    <row r="60954" spans="18:19">
      <c r="R60954" s="178"/>
      <c r="S60954" s="178"/>
    </row>
    <row r="60955" spans="18:19">
      <c r="R60955" s="178"/>
      <c r="S60955" s="178"/>
    </row>
    <row r="60956" spans="18:19">
      <c r="R60956" s="178"/>
      <c r="S60956" s="178"/>
    </row>
    <row r="60957" spans="18:19">
      <c r="R60957" s="178"/>
      <c r="S60957" s="178"/>
    </row>
    <row r="60958" spans="18:19">
      <c r="R60958" s="178"/>
      <c r="S60958" s="178"/>
    </row>
    <row r="60959" spans="18:19">
      <c r="R60959" s="178"/>
      <c r="S60959" s="178"/>
    </row>
    <row r="60960" spans="18:19">
      <c r="R60960" s="178"/>
      <c r="S60960" s="178"/>
    </row>
    <row r="60961" spans="18:19">
      <c r="R60961" s="178"/>
      <c r="S60961" s="178"/>
    </row>
    <row r="60962" spans="18:19">
      <c r="R60962" s="178"/>
      <c r="S60962" s="178"/>
    </row>
    <row r="60963" spans="18:19">
      <c r="R60963" s="178"/>
      <c r="S60963" s="178"/>
    </row>
    <row r="60964" spans="18:19">
      <c r="R60964" s="178"/>
      <c r="S60964" s="178"/>
    </row>
    <row r="60965" spans="18:19">
      <c r="R60965" s="178"/>
      <c r="S60965" s="178"/>
    </row>
    <row r="60966" spans="18:19">
      <c r="R60966" s="178"/>
      <c r="S60966" s="178"/>
    </row>
    <row r="60967" spans="18:19">
      <c r="R60967" s="178"/>
      <c r="S60967" s="178"/>
    </row>
    <row r="60968" spans="18:19">
      <c r="R60968" s="178"/>
      <c r="S60968" s="178"/>
    </row>
    <row r="60969" spans="18:19">
      <c r="R60969" s="178"/>
      <c r="S60969" s="178"/>
    </row>
    <row r="60970" spans="18:19">
      <c r="R60970" s="178"/>
      <c r="S60970" s="178"/>
    </row>
    <row r="60971" spans="18:19">
      <c r="R60971" s="178"/>
      <c r="S60971" s="178"/>
    </row>
    <row r="60972" spans="18:19">
      <c r="R60972" s="178"/>
      <c r="S60972" s="178"/>
    </row>
    <row r="60973" spans="18:19">
      <c r="R60973" s="178"/>
      <c r="S60973" s="178"/>
    </row>
    <row r="60974" spans="18:19">
      <c r="R60974" s="178"/>
      <c r="S60974" s="178"/>
    </row>
    <row r="60975" spans="18:19">
      <c r="R60975" s="178"/>
      <c r="S60975" s="178"/>
    </row>
    <row r="60976" spans="18:19">
      <c r="R60976" s="178"/>
      <c r="S60976" s="178"/>
    </row>
    <row r="60977" spans="18:19">
      <c r="R60977" s="178"/>
      <c r="S60977" s="178"/>
    </row>
    <row r="60978" spans="18:19">
      <c r="R60978" s="178"/>
      <c r="S60978" s="178"/>
    </row>
    <row r="60979" spans="18:19">
      <c r="R60979" s="178"/>
      <c r="S60979" s="178"/>
    </row>
    <row r="60980" spans="18:19">
      <c r="R60980" s="178"/>
      <c r="S60980" s="178"/>
    </row>
    <row r="60981" spans="18:19">
      <c r="R60981" s="178"/>
      <c r="S60981" s="178"/>
    </row>
    <row r="60982" spans="18:19">
      <c r="R60982" s="178"/>
      <c r="S60982" s="178"/>
    </row>
    <row r="60983" spans="18:19">
      <c r="R60983" s="178"/>
      <c r="S60983" s="178"/>
    </row>
    <row r="60984" spans="18:19">
      <c r="R60984" s="178"/>
      <c r="S60984" s="178"/>
    </row>
    <row r="60985" spans="18:19">
      <c r="R60985" s="178"/>
      <c r="S60985" s="178"/>
    </row>
    <row r="60986" spans="18:19">
      <c r="R60986" s="178"/>
      <c r="S60986" s="178"/>
    </row>
    <row r="60987" spans="18:19">
      <c r="R60987" s="178"/>
      <c r="S60987" s="178"/>
    </row>
    <row r="60988" spans="18:19">
      <c r="R60988" s="178"/>
      <c r="S60988" s="178"/>
    </row>
    <row r="60989" spans="18:19">
      <c r="R60989" s="178"/>
      <c r="S60989" s="178"/>
    </row>
    <row r="60990" spans="18:19">
      <c r="R60990" s="178"/>
      <c r="S60990" s="178"/>
    </row>
    <row r="60991" spans="18:19">
      <c r="R60991" s="178"/>
      <c r="S60991" s="178"/>
    </row>
    <row r="60992" spans="18:19">
      <c r="R60992" s="178"/>
      <c r="S60992" s="178"/>
    </row>
    <row r="60993" spans="18:19">
      <c r="R60993" s="178"/>
      <c r="S60993" s="178"/>
    </row>
    <row r="60994" spans="18:19">
      <c r="R60994" s="178"/>
      <c r="S60994" s="178"/>
    </row>
    <row r="60995" spans="18:19">
      <c r="R60995" s="178"/>
      <c r="S60995" s="178"/>
    </row>
    <row r="60996" spans="18:19">
      <c r="R60996" s="178"/>
      <c r="S60996" s="178"/>
    </row>
    <row r="60997" spans="18:19">
      <c r="R60997" s="178"/>
      <c r="S60997" s="178"/>
    </row>
    <row r="60998" spans="18:19">
      <c r="R60998" s="178"/>
      <c r="S60998" s="178"/>
    </row>
    <row r="60999" spans="18:19">
      <c r="R60999" s="178"/>
      <c r="S60999" s="178"/>
    </row>
    <row r="61000" spans="18:19">
      <c r="R61000" s="178"/>
      <c r="S61000" s="178"/>
    </row>
    <row r="61001" spans="18:19">
      <c r="R61001" s="178"/>
      <c r="S61001" s="178"/>
    </row>
    <row r="61002" spans="18:19">
      <c r="R61002" s="178"/>
      <c r="S61002" s="178"/>
    </row>
    <row r="61003" spans="18:19">
      <c r="R61003" s="178"/>
      <c r="S61003" s="178"/>
    </row>
    <row r="61004" spans="18:19">
      <c r="R61004" s="178"/>
      <c r="S61004" s="178"/>
    </row>
    <row r="61005" spans="18:19">
      <c r="R61005" s="178"/>
      <c r="S61005" s="178"/>
    </row>
    <row r="61006" spans="18:19">
      <c r="R61006" s="178"/>
      <c r="S61006" s="178"/>
    </row>
    <row r="61007" spans="18:19">
      <c r="R61007" s="178"/>
      <c r="S61007" s="178"/>
    </row>
    <row r="61008" spans="18:19">
      <c r="R61008" s="178"/>
      <c r="S61008" s="178"/>
    </row>
    <row r="61009" spans="18:19">
      <c r="R61009" s="178"/>
      <c r="S61009" s="178"/>
    </row>
    <row r="61010" spans="18:19">
      <c r="R61010" s="178"/>
      <c r="S61010" s="178"/>
    </row>
    <row r="61011" spans="18:19">
      <c r="R61011" s="178"/>
      <c r="S61011" s="178"/>
    </row>
    <row r="61012" spans="18:19">
      <c r="R61012" s="178"/>
      <c r="S61012" s="178"/>
    </row>
    <row r="61013" spans="18:19">
      <c r="R61013" s="178"/>
      <c r="S61013" s="178"/>
    </row>
    <row r="61014" spans="18:19">
      <c r="R61014" s="178"/>
      <c r="S61014" s="178"/>
    </row>
    <row r="61015" spans="18:19">
      <c r="R61015" s="178"/>
      <c r="S61015" s="178"/>
    </row>
    <row r="61016" spans="18:19">
      <c r="R61016" s="178"/>
      <c r="S61016" s="178"/>
    </row>
    <row r="61017" spans="18:19">
      <c r="R61017" s="178"/>
      <c r="S61017" s="178"/>
    </row>
    <row r="61018" spans="18:19">
      <c r="R61018" s="178"/>
      <c r="S61018" s="178"/>
    </row>
    <row r="61019" spans="18:19">
      <c r="R61019" s="178"/>
      <c r="S61019" s="178"/>
    </row>
    <row r="61020" spans="18:19">
      <c r="R61020" s="178"/>
      <c r="S61020" s="178"/>
    </row>
    <row r="61021" spans="18:19">
      <c r="R61021" s="178"/>
      <c r="S61021" s="178"/>
    </row>
    <row r="61022" spans="18:19">
      <c r="R61022" s="178"/>
      <c r="S61022" s="178"/>
    </row>
    <row r="61023" spans="18:19">
      <c r="R61023" s="178"/>
      <c r="S61023" s="178"/>
    </row>
    <row r="61024" spans="18:19">
      <c r="R61024" s="178"/>
      <c r="S61024" s="178"/>
    </row>
    <row r="61025" spans="18:19">
      <c r="R61025" s="178"/>
      <c r="S61025" s="178"/>
    </row>
    <row r="61026" spans="18:19">
      <c r="R61026" s="178"/>
      <c r="S61026" s="178"/>
    </row>
    <row r="61027" spans="18:19">
      <c r="R61027" s="178"/>
      <c r="S61027" s="178"/>
    </row>
    <row r="61028" spans="18:19">
      <c r="R61028" s="178"/>
      <c r="S61028" s="178"/>
    </row>
    <row r="61029" spans="18:19">
      <c r="R61029" s="178"/>
      <c r="S61029" s="178"/>
    </row>
    <row r="61030" spans="18:19">
      <c r="R61030" s="178"/>
      <c r="S61030" s="178"/>
    </row>
    <row r="61031" spans="18:19">
      <c r="R61031" s="178"/>
      <c r="S61031" s="178"/>
    </row>
    <row r="61032" spans="18:19">
      <c r="R61032" s="178"/>
      <c r="S61032" s="178"/>
    </row>
    <row r="61033" spans="18:19">
      <c r="R61033" s="178"/>
      <c r="S61033" s="178"/>
    </row>
    <row r="61034" spans="18:19">
      <c r="R61034" s="178"/>
      <c r="S61034" s="178"/>
    </row>
    <row r="61035" spans="18:19">
      <c r="R61035" s="178"/>
      <c r="S61035" s="178"/>
    </row>
    <row r="61036" spans="18:19">
      <c r="R61036" s="178"/>
      <c r="S61036" s="178"/>
    </row>
    <row r="61037" spans="18:19">
      <c r="R61037" s="178"/>
      <c r="S61037" s="178"/>
    </row>
    <row r="61038" spans="18:19">
      <c r="R61038" s="178"/>
      <c r="S61038" s="178"/>
    </row>
    <row r="61039" spans="18:19">
      <c r="R61039" s="178"/>
      <c r="S61039" s="178"/>
    </row>
    <row r="61040" spans="18:19">
      <c r="R61040" s="178"/>
      <c r="S61040" s="178"/>
    </row>
    <row r="61041" spans="18:19">
      <c r="R61041" s="178"/>
      <c r="S61041" s="178"/>
    </row>
    <row r="61042" spans="18:19">
      <c r="R61042" s="178"/>
      <c r="S61042" s="178"/>
    </row>
    <row r="61043" spans="18:19">
      <c r="R61043" s="178"/>
      <c r="S61043" s="178"/>
    </row>
    <row r="61044" spans="18:19">
      <c r="R61044" s="178"/>
      <c r="S61044" s="178"/>
    </row>
    <row r="61045" spans="18:19">
      <c r="R61045" s="178"/>
      <c r="S61045" s="178"/>
    </row>
    <row r="61046" spans="18:19">
      <c r="R61046" s="178"/>
      <c r="S61046" s="178"/>
    </row>
    <row r="61047" spans="18:19">
      <c r="R61047" s="178"/>
      <c r="S61047" s="178"/>
    </row>
    <row r="61048" spans="18:19">
      <c r="R61048" s="178"/>
      <c r="S61048" s="178"/>
    </row>
    <row r="61049" spans="18:19">
      <c r="R61049" s="178"/>
      <c r="S61049" s="178"/>
    </row>
    <row r="61050" spans="18:19">
      <c r="R61050" s="178"/>
      <c r="S61050" s="178"/>
    </row>
    <row r="61051" spans="18:19">
      <c r="R61051" s="178"/>
      <c r="S61051" s="178"/>
    </row>
    <row r="61052" spans="18:19">
      <c r="R61052" s="178"/>
      <c r="S61052" s="178"/>
    </row>
    <row r="61053" spans="18:19">
      <c r="R61053" s="178"/>
      <c r="S61053" s="178"/>
    </row>
    <row r="61054" spans="18:19">
      <c r="R61054" s="178"/>
      <c r="S61054" s="178"/>
    </row>
    <row r="61055" spans="18:19">
      <c r="R61055" s="178"/>
      <c r="S61055" s="178"/>
    </row>
    <row r="61056" spans="18:19">
      <c r="R61056" s="178"/>
      <c r="S61056" s="178"/>
    </row>
    <row r="61057" spans="18:19">
      <c r="R61057" s="178"/>
      <c r="S61057" s="178"/>
    </row>
    <row r="61058" spans="18:19">
      <c r="R61058" s="178"/>
      <c r="S61058" s="178"/>
    </row>
    <row r="61059" spans="18:19">
      <c r="R61059" s="178"/>
      <c r="S61059" s="178"/>
    </row>
    <row r="61060" spans="18:19">
      <c r="R61060" s="178"/>
      <c r="S61060" s="178"/>
    </row>
    <row r="61061" spans="18:19">
      <c r="R61061" s="178"/>
      <c r="S61061" s="178"/>
    </row>
    <row r="61062" spans="18:19">
      <c r="R61062" s="178"/>
      <c r="S61062" s="178"/>
    </row>
    <row r="61063" spans="18:19">
      <c r="R61063" s="178"/>
      <c r="S61063" s="178"/>
    </row>
    <row r="61064" spans="18:19">
      <c r="R61064" s="178"/>
      <c r="S61064" s="178"/>
    </row>
    <row r="61065" spans="18:19">
      <c r="R61065" s="178"/>
      <c r="S61065" s="178"/>
    </row>
    <row r="61066" spans="18:19">
      <c r="R61066" s="178"/>
      <c r="S61066" s="178"/>
    </row>
    <row r="61067" spans="18:19">
      <c r="R61067" s="178"/>
      <c r="S61067" s="178"/>
    </row>
    <row r="61068" spans="18:19">
      <c r="R61068" s="178"/>
      <c r="S61068" s="178"/>
    </row>
    <row r="61069" spans="18:19">
      <c r="R61069" s="178"/>
      <c r="S61069" s="178"/>
    </row>
    <row r="61070" spans="18:19">
      <c r="R61070" s="178"/>
      <c r="S61070" s="178"/>
    </row>
    <row r="61071" spans="18:19">
      <c r="R61071" s="178"/>
      <c r="S61071" s="178"/>
    </row>
    <row r="61072" spans="18:19">
      <c r="R61072" s="178"/>
      <c r="S61072" s="178"/>
    </row>
    <row r="61073" spans="18:19">
      <c r="R61073" s="178"/>
      <c r="S61073" s="178"/>
    </row>
    <row r="61074" spans="18:19">
      <c r="R61074" s="178"/>
      <c r="S61074" s="178"/>
    </row>
    <row r="61075" spans="18:19">
      <c r="R61075" s="178"/>
      <c r="S61075" s="178"/>
    </row>
    <row r="61076" spans="18:19">
      <c r="R61076" s="178"/>
      <c r="S61076" s="178"/>
    </row>
    <row r="61077" spans="18:19">
      <c r="R61077" s="178"/>
      <c r="S61077" s="178"/>
    </row>
    <row r="61078" spans="18:19">
      <c r="R61078" s="178"/>
      <c r="S61078" s="178"/>
    </row>
    <row r="61079" spans="18:19">
      <c r="R61079" s="178"/>
      <c r="S61079" s="178"/>
    </row>
    <row r="61080" spans="18:19">
      <c r="R61080" s="178"/>
      <c r="S61080" s="178"/>
    </row>
    <row r="61081" spans="18:19">
      <c r="R61081" s="178"/>
      <c r="S61081" s="178"/>
    </row>
    <row r="61082" spans="18:19">
      <c r="R61082" s="178"/>
      <c r="S61082" s="178"/>
    </row>
    <row r="61083" spans="18:19">
      <c r="R61083" s="178"/>
      <c r="S61083" s="178"/>
    </row>
    <row r="61084" spans="18:19">
      <c r="R61084" s="178"/>
      <c r="S61084" s="178"/>
    </row>
    <row r="61085" spans="18:19">
      <c r="R61085" s="178"/>
      <c r="S61085" s="178"/>
    </row>
    <row r="61086" spans="18:19">
      <c r="R61086" s="178"/>
      <c r="S61086" s="178"/>
    </row>
    <row r="61087" spans="18:19">
      <c r="R61087" s="178"/>
      <c r="S61087" s="178"/>
    </row>
    <row r="61088" spans="18:19">
      <c r="R61088" s="178"/>
      <c r="S61088" s="178"/>
    </row>
    <row r="61089" spans="18:19">
      <c r="R61089" s="178"/>
      <c r="S61089" s="178"/>
    </row>
    <row r="61090" spans="18:19">
      <c r="R61090" s="178"/>
      <c r="S61090" s="178"/>
    </row>
    <row r="61091" spans="18:19">
      <c r="R61091" s="178"/>
      <c r="S61091" s="178"/>
    </row>
    <row r="61092" spans="18:19">
      <c r="R61092" s="178"/>
      <c r="S61092" s="178"/>
    </row>
    <row r="61093" spans="18:19">
      <c r="R61093" s="178"/>
      <c r="S61093" s="178"/>
    </row>
    <row r="61094" spans="18:19">
      <c r="R61094" s="178"/>
      <c r="S61094" s="178"/>
    </row>
    <row r="61095" spans="18:19">
      <c r="R61095" s="178"/>
      <c r="S61095" s="178"/>
    </row>
    <row r="61096" spans="18:19">
      <c r="R61096" s="178"/>
      <c r="S61096" s="178"/>
    </row>
    <row r="61097" spans="18:19">
      <c r="R61097" s="178"/>
      <c r="S61097" s="178"/>
    </row>
    <row r="61098" spans="18:19">
      <c r="R61098" s="178"/>
      <c r="S61098" s="178"/>
    </row>
    <row r="61099" spans="18:19">
      <c r="R61099" s="178"/>
      <c r="S61099" s="178"/>
    </row>
    <row r="61100" spans="18:19">
      <c r="R61100" s="178"/>
      <c r="S61100" s="178"/>
    </row>
    <row r="61101" spans="18:19">
      <c r="R61101" s="178"/>
      <c r="S61101" s="178"/>
    </row>
    <row r="61102" spans="18:19">
      <c r="R61102" s="178"/>
      <c r="S61102" s="178"/>
    </row>
    <row r="61103" spans="18:19">
      <c r="R61103" s="178"/>
      <c r="S61103" s="178"/>
    </row>
    <row r="61104" spans="18:19">
      <c r="R61104" s="178"/>
      <c r="S61104" s="178"/>
    </row>
    <row r="61105" spans="18:19">
      <c r="R61105" s="178"/>
      <c r="S61105" s="178"/>
    </row>
    <row r="61106" spans="18:19">
      <c r="R61106" s="178"/>
      <c r="S61106" s="178"/>
    </row>
    <row r="61107" spans="18:19">
      <c r="R61107" s="178"/>
      <c r="S61107" s="178"/>
    </row>
    <row r="61108" spans="18:19">
      <c r="R61108" s="178"/>
      <c r="S61108" s="178"/>
    </row>
    <row r="61109" spans="18:19">
      <c r="R61109" s="178"/>
      <c r="S61109" s="178"/>
    </row>
    <row r="61110" spans="18:19">
      <c r="R61110" s="178"/>
      <c r="S61110" s="178"/>
    </row>
    <row r="61111" spans="18:19">
      <c r="R61111" s="178"/>
      <c r="S61111" s="178"/>
    </row>
    <row r="61112" spans="18:19">
      <c r="R61112" s="178"/>
      <c r="S61112" s="178"/>
    </row>
    <row r="61113" spans="18:19">
      <c r="R61113" s="178"/>
      <c r="S61113" s="178"/>
    </row>
    <row r="61114" spans="18:19">
      <c r="R61114" s="178"/>
      <c r="S61114" s="178"/>
    </row>
    <row r="61115" spans="18:19">
      <c r="R61115" s="178"/>
      <c r="S61115" s="178"/>
    </row>
    <row r="61116" spans="18:19">
      <c r="R61116" s="178"/>
      <c r="S61116" s="178"/>
    </row>
    <row r="61117" spans="18:19">
      <c r="R61117" s="178"/>
      <c r="S61117" s="178"/>
    </row>
    <row r="61118" spans="18:19">
      <c r="R61118" s="178"/>
      <c r="S61118" s="178"/>
    </row>
    <row r="61119" spans="18:19">
      <c r="R61119" s="178"/>
      <c r="S61119" s="178"/>
    </row>
    <row r="61120" spans="18:19">
      <c r="R61120" s="178"/>
      <c r="S61120" s="178"/>
    </row>
    <row r="61121" spans="18:19">
      <c r="R61121" s="178"/>
      <c r="S61121" s="178"/>
    </row>
    <row r="61122" spans="18:19">
      <c r="R61122" s="178"/>
      <c r="S61122" s="178"/>
    </row>
    <row r="61123" spans="18:19">
      <c r="R61123" s="178"/>
      <c r="S61123" s="178"/>
    </row>
    <row r="61124" spans="18:19">
      <c r="R61124" s="178"/>
      <c r="S61124" s="178"/>
    </row>
    <row r="61125" spans="18:19">
      <c r="R61125" s="178"/>
      <c r="S61125" s="178"/>
    </row>
    <row r="61126" spans="18:19">
      <c r="R61126" s="178"/>
      <c r="S61126" s="178"/>
    </row>
    <row r="61127" spans="18:19">
      <c r="R61127" s="178"/>
      <c r="S61127" s="178"/>
    </row>
    <row r="61128" spans="18:19">
      <c r="R61128" s="178"/>
      <c r="S61128" s="178"/>
    </row>
    <row r="61129" spans="18:19">
      <c r="R61129" s="178"/>
      <c r="S61129" s="178"/>
    </row>
    <row r="61130" spans="18:19">
      <c r="R61130" s="178"/>
      <c r="S61130" s="178"/>
    </row>
    <row r="61131" spans="18:19">
      <c r="R61131" s="178"/>
      <c r="S61131" s="178"/>
    </row>
    <row r="61132" spans="18:19">
      <c r="R61132" s="178"/>
      <c r="S61132" s="178"/>
    </row>
    <row r="61133" spans="18:19">
      <c r="R61133" s="178"/>
      <c r="S61133" s="178"/>
    </row>
    <row r="61134" spans="18:19">
      <c r="R61134" s="178"/>
      <c r="S61134" s="178"/>
    </row>
    <row r="61135" spans="18:19">
      <c r="R61135" s="178"/>
      <c r="S61135" s="178"/>
    </row>
    <row r="61136" spans="18:19">
      <c r="R61136" s="178"/>
      <c r="S61136" s="178"/>
    </row>
    <row r="61137" spans="18:19">
      <c r="R61137" s="178"/>
      <c r="S61137" s="178"/>
    </row>
    <row r="61138" spans="18:19">
      <c r="R61138" s="178"/>
      <c r="S61138" s="178"/>
    </row>
    <row r="61139" spans="18:19">
      <c r="R61139" s="178"/>
      <c r="S61139" s="178"/>
    </row>
    <row r="61140" spans="18:19">
      <c r="R61140" s="178"/>
      <c r="S61140" s="178"/>
    </row>
    <row r="61141" spans="18:19">
      <c r="R61141" s="178"/>
      <c r="S61141" s="178"/>
    </row>
    <row r="61142" spans="18:19">
      <c r="R61142" s="178"/>
      <c r="S61142" s="178"/>
    </row>
    <row r="61143" spans="18:19">
      <c r="R61143" s="178"/>
      <c r="S61143" s="178"/>
    </row>
    <row r="61144" spans="18:19">
      <c r="R61144" s="178"/>
      <c r="S61144" s="178"/>
    </row>
    <row r="61145" spans="18:19">
      <c r="R61145" s="178"/>
      <c r="S61145" s="178"/>
    </row>
    <row r="61146" spans="18:19">
      <c r="R61146" s="178"/>
      <c r="S61146" s="178"/>
    </row>
    <row r="61147" spans="18:19">
      <c r="R61147" s="178"/>
      <c r="S61147" s="178"/>
    </row>
    <row r="61148" spans="18:19">
      <c r="R61148" s="178"/>
      <c r="S61148" s="178"/>
    </row>
    <row r="61149" spans="18:19">
      <c r="R61149" s="178"/>
      <c r="S61149" s="178"/>
    </row>
    <row r="61150" spans="18:19">
      <c r="R61150" s="178"/>
      <c r="S61150" s="178"/>
    </row>
    <row r="61151" spans="18:19">
      <c r="R61151" s="178"/>
      <c r="S61151" s="178"/>
    </row>
    <row r="61152" spans="18:19">
      <c r="R61152" s="178"/>
      <c r="S61152" s="178"/>
    </row>
    <row r="61153" spans="18:19">
      <c r="R61153" s="178"/>
      <c r="S61153" s="178"/>
    </row>
    <row r="61154" spans="18:19">
      <c r="R61154" s="178"/>
      <c r="S61154" s="178"/>
    </row>
    <row r="61155" spans="18:19">
      <c r="R61155" s="178"/>
      <c r="S61155" s="178"/>
    </row>
    <row r="61156" spans="18:19">
      <c r="R61156" s="178"/>
      <c r="S61156" s="178"/>
    </row>
    <row r="61157" spans="18:19">
      <c r="R61157" s="178"/>
      <c r="S61157" s="178"/>
    </row>
    <row r="61158" spans="18:19">
      <c r="R61158" s="178"/>
      <c r="S61158" s="178"/>
    </row>
    <row r="61159" spans="18:19">
      <c r="R61159" s="178"/>
      <c r="S61159" s="178"/>
    </row>
    <row r="61160" spans="18:19">
      <c r="R61160" s="178"/>
      <c r="S61160" s="178"/>
    </row>
    <row r="61161" spans="18:19">
      <c r="R61161" s="178"/>
      <c r="S61161" s="178"/>
    </row>
    <row r="61162" spans="18:19">
      <c r="R61162" s="178"/>
      <c r="S61162" s="178"/>
    </row>
    <row r="61163" spans="18:19">
      <c r="R61163" s="178"/>
      <c r="S61163" s="178"/>
    </row>
    <row r="61164" spans="18:19">
      <c r="R61164" s="178"/>
      <c r="S61164" s="178"/>
    </row>
    <row r="61165" spans="18:19">
      <c r="R61165" s="178"/>
      <c r="S61165" s="178"/>
    </row>
    <row r="61166" spans="18:19">
      <c r="R61166" s="178"/>
      <c r="S61166" s="178"/>
    </row>
    <row r="61167" spans="18:19">
      <c r="R61167" s="178"/>
      <c r="S61167" s="178"/>
    </row>
    <row r="61168" spans="18:19">
      <c r="R61168" s="178"/>
      <c r="S61168" s="178"/>
    </row>
    <row r="61169" spans="18:19">
      <c r="R61169" s="178"/>
      <c r="S61169" s="178"/>
    </row>
    <row r="61170" spans="18:19">
      <c r="R61170" s="178"/>
      <c r="S61170" s="178"/>
    </row>
    <row r="61171" spans="18:19">
      <c r="R61171" s="178"/>
      <c r="S61171" s="178"/>
    </row>
    <row r="61172" spans="18:19">
      <c r="R61172" s="178"/>
      <c r="S61172" s="178"/>
    </row>
    <row r="61173" spans="18:19">
      <c r="R61173" s="178"/>
      <c r="S61173" s="178"/>
    </row>
    <row r="61174" spans="18:19">
      <c r="R61174" s="178"/>
      <c r="S61174" s="178"/>
    </row>
    <row r="61175" spans="18:19">
      <c r="R61175" s="178"/>
      <c r="S61175" s="178"/>
    </row>
    <row r="61176" spans="18:19">
      <c r="R61176" s="178"/>
      <c r="S61176" s="178"/>
    </row>
    <row r="61177" spans="18:19">
      <c r="R61177" s="178"/>
      <c r="S61177" s="178"/>
    </row>
    <row r="61178" spans="18:19">
      <c r="R61178" s="178"/>
      <c r="S61178" s="178"/>
    </row>
    <row r="61179" spans="18:19">
      <c r="R61179" s="178"/>
      <c r="S61179" s="178"/>
    </row>
    <row r="61180" spans="18:19">
      <c r="R61180" s="178"/>
      <c r="S61180" s="178"/>
    </row>
    <row r="61181" spans="18:19">
      <c r="R61181" s="178"/>
      <c r="S61181" s="178"/>
    </row>
    <row r="61182" spans="18:19">
      <c r="R61182" s="178"/>
      <c r="S61182" s="178"/>
    </row>
    <row r="61183" spans="18:19">
      <c r="R61183" s="178"/>
      <c r="S61183" s="178"/>
    </row>
    <row r="61184" spans="18:19">
      <c r="R61184" s="178"/>
      <c r="S61184" s="178"/>
    </row>
    <row r="61185" spans="18:19">
      <c r="R61185" s="178"/>
      <c r="S61185" s="178"/>
    </row>
    <row r="61186" spans="18:19">
      <c r="R61186" s="178"/>
      <c r="S61186" s="178"/>
    </row>
    <row r="61187" spans="18:19">
      <c r="R61187" s="178"/>
      <c r="S61187" s="178"/>
    </row>
    <row r="61188" spans="18:19">
      <c r="R61188" s="178"/>
      <c r="S61188" s="178"/>
    </row>
    <row r="61189" spans="18:19">
      <c r="R61189" s="178"/>
      <c r="S61189" s="178"/>
    </row>
    <row r="61190" spans="18:19">
      <c r="R61190" s="178"/>
      <c r="S61190" s="178"/>
    </row>
    <row r="61191" spans="18:19">
      <c r="R61191" s="178"/>
      <c r="S61191" s="178"/>
    </row>
    <row r="61192" spans="18:19">
      <c r="R61192" s="178"/>
      <c r="S61192" s="178"/>
    </row>
    <row r="61193" spans="18:19">
      <c r="R61193" s="178"/>
      <c r="S61193" s="178"/>
    </row>
    <row r="61194" spans="18:19">
      <c r="R61194" s="178"/>
      <c r="S61194" s="178"/>
    </row>
    <row r="61195" spans="18:19">
      <c r="R61195" s="178"/>
      <c r="S61195" s="178"/>
    </row>
    <row r="61196" spans="18:19">
      <c r="R61196" s="178"/>
      <c r="S61196" s="178"/>
    </row>
    <row r="61197" spans="18:19">
      <c r="R61197" s="178"/>
      <c r="S61197" s="178"/>
    </row>
    <row r="61198" spans="18:19">
      <c r="R61198" s="178"/>
      <c r="S61198" s="178"/>
    </row>
    <row r="61199" spans="18:19">
      <c r="R61199" s="178"/>
      <c r="S61199" s="178"/>
    </row>
    <row r="61200" spans="18:19">
      <c r="R61200" s="178"/>
      <c r="S61200" s="178"/>
    </row>
    <row r="61201" spans="18:19">
      <c r="R61201" s="178"/>
      <c r="S61201" s="178"/>
    </row>
    <row r="61202" spans="18:19">
      <c r="R61202" s="178"/>
      <c r="S61202" s="178"/>
    </row>
    <row r="61203" spans="18:19">
      <c r="R61203" s="178"/>
      <c r="S61203" s="178"/>
    </row>
    <row r="61204" spans="18:19">
      <c r="R61204" s="178"/>
      <c r="S61204" s="178"/>
    </row>
    <row r="61205" spans="18:19">
      <c r="R61205" s="178"/>
      <c r="S61205" s="178"/>
    </row>
    <row r="61206" spans="18:19">
      <c r="R61206" s="178"/>
      <c r="S61206" s="178"/>
    </row>
    <row r="61207" spans="18:19">
      <c r="R61207" s="178"/>
      <c r="S61207" s="178"/>
    </row>
    <row r="61208" spans="18:19">
      <c r="R61208" s="178"/>
      <c r="S61208" s="178"/>
    </row>
    <row r="61209" spans="18:19">
      <c r="R61209" s="178"/>
      <c r="S61209" s="178"/>
    </row>
    <row r="61210" spans="18:19">
      <c r="R61210" s="178"/>
      <c r="S61210" s="178"/>
    </row>
    <row r="61211" spans="18:19">
      <c r="R61211" s="178"/>
      <c r="S61211" s="178"/>
    </row>
    <row r="61212" spans="18:19">
      <c r="R61212" s="178"/>
      <c r="S61212" s="178"/>
    </row>
    <row r="61213" spans="18:19">
      <c r="R61213" s="178"/>
      <c r="S61213" s="178"/>
    </row>
    <row r="61214" spans="18:19">
      <c r="R61214" s="178"/>
      <c r="S61214" s="178"/>
    </row>
    <row r="61215" spans="18:19">
      <c r="R61215" s="178"/>
      <c r="S61215" s="178"/>
    </row>
    <row r="61216" spans="18:19">
      <c r="R61216" s="178"/>
      <c r="S61216" s="178"/>
    </row>
    <row r="61217" spans="18:19">
      <c r="R61217" s="178"/>
      <c r="S61217" s="178"/>
    </row>
    <row r="61218" spans="18:19">
      <c r="R61218" s="178"/>
      <c r="S61218" s="178"/>
    </row>
    <row r="61219" spans="18:19">
      <c r="R61219" s="178"/>
      <c r="S61219" s="178"/>
    </row>
    <row r="61220" spans="18:19">
      <c r="R61220" s="178"/>
      <c r="S61220" s="178"/>
    </row>
    <row r="61221" spans="18:19">
      <c r="R61221" s="178"/>
      <c r="S61221" s="178"/>
    </row>
    <row r="61222" spans="18:19">
      <c r="R61222" s="178"/>
      <c r="S61222" s="178"/>
    </row>
    <row r="61223" spans="18:19">
      <c r="R61223" s="178"/>
      <c r="S61223" s="178"/>
    </row>
    <row r="61224" spans="18:19">
      <c r="R61224" s="178"/>
      <c r="S61224" s="178"/>
    </row>
    <row r="61225" spans="18:19">
      <c r="R61225" s="178"/>
      <c r="S61225" s="178"/>
    </row>
    <row r="61226" spans="18:19">
      <c r="R61226" s="178"/>
      <c r="S61226" s="178"/>
    </row>
    <row r="61227" spans="18:19">
      <c r="R61227" s="178"/>
      <c r="S61227" s="178"/>
    </row>
    <row r="61228" spans="18:19">
      <c r="R61228" s="178"/>
      <c r="S61228" s="178"/>
    </row>
    <row r="61229" spans="18:19">
      <c r="R61229" s="178"/>
      <c r="S61229" s="178"/>
    </row>
    <row r="61230" spans="18:19">
      <c r="R61230" s="178"/>
      <c r="S61230" s="178"/>
    </row>
    <row r="61231" spans="18:19">
      <c r="R61231" s="178"/>
      <c r="S61231" s="178"/>
    </row>
    <row r="61232" spans="18:19">
      <c r="R61232" s="178"/>
      <c r="S61232" s="178"/>
    </row>
    <row r="61233" spans="18:19">
      <c r="R61233" s="178"/>
      <c r="S61233" s="178"/>
    </row>
    <row r="61234" spans="18:19">
      <c r="R61234" s="178"/>
      <c r="S61234" s="178"/>
    </row>
    <row r="61235" spans="18:19">
      <c r="R61235" s="178"/>
      <c r="S61235" s="178"/>
    </row>
    <row r="61236" spans="18:19">
      <c r="R61236" s="178"/>
      <c r="S61236" s="178"/>
    </row>
    <row r="61237" spans="18:19">
      <c r="R61237" s="178"/>
      <c r="S61237" s="178"/>
    </row>
    <row r="61238" spans="18:19">
      <c r="R61238" s="178"/>
      <c r="S61238" s="178"/>
    </row>
    <row r="61239" spans="18:19">
      <c r="R61239" s="178"/>
      <c r="S61239" s="178"/>
    </row>
    <row r="61240" spans="18:19">
      <c r="R61240" s="178"/>
      <c r="S61240" s="178"/>
    </row>
    <row r="61241" spans="18:19">
      <c r="R61241" s="178"/>
      <c r="S61241" s="178"/>
    </row>
    <row r="61242" spans="18:19">
      <c r="R61242" s="178"/>
      <c r="S61242" s="178"/>
    </row>
    <row r="61243" spans="18:19">
      <c r="R61243" s="178"/>
      <c r="S61243" s="178"/>
    </row>
    <row r="61244" spans="18:19">
      <c r="R61244" s="178"/>
      <c r="S61244" s="178"/>
    </row>
    <row r="61245" spans="18:19">
      <c r="R61245" s="178"/>
      <c r="S61245" s="178"/>
    </row>
    <row r="61246" spans="18:19">
      <c r="R61246" s="178"/>
      <c r="S61246" s="178"/>
    </row>
    <row r="61247" spans="18:19">
      <c r="R61247" s="178"/>
      <c r="S61247" s="178"/>
    </row>
    <row r="61248" spans="18:19">
      <c r="R61248" s="178"/>
      <c r="S61248" s="178"/>
    </row>
    <row r="61249" spans="18:19">
      <c r="R61249" s="178"/>
      <c r="S61249" s="178"/>
    </row>
    <row r="61250" spans="18:19">
      <c r="R61250" s="178"/>
      <c r="S61250" s="178"/>
    </row>
    <row r="61251" spans="18:19">
      <c r="R61251" s="178"/>
      <c r="S61251" s="178"/>
    </row>
    <row r="61252" spans="18:19">
      <c r="R61252" s="178"/>
      <c r="S61252" s="178"/>
    </row>
    <row r="61253" spans="18:19">
      <c r="R61253" s="178"/>
      <c r="S61253" s="178"/>
    </row>
    <row r="61254" spans="18:19">
      <c r="R61254" s="178"/>
      <c r="S61254" s="178"/>
    </row>
    <row r="61255" spans="18:19">
      <c r="R61255" s="178"/>
      <c r="S61255" s="178"/>
    </row>
    <row r="61256" spans="18:19">
      <c r="R61256" s="178"/>
      <c r="S61256" s="178"/>
    </row>
    <row r="61257" spans="18:19">
      <c r="R61257" s="178"/>
      <c r="S61257" s="178"/>
    </row>
    <row r="61258" spans="18:19">
      <c r="R61258" s="178"/>
      <c r="S61258" s="178"/>
    </row>
    <row r="61259" spans="18:19">
      <c r="R61259" s="178"/>
      <c r="S61259" s="178"/>
    </row>
    <row r="61260" spans="18:19">
      <c r="R61260" s="178"/>
      <c r="S61260" s="178"/>
    </row>
    <row r="61261" spans="18:19">
      <c r="R61261" s="178"/>
      <c r="S61261" s="178"/>
    </row>
    <row r="61262" spans="18:19">
      <c r="R61262" s="178"/>
      <c r="S61262" s="178"/>
    </row>
    <row r="61263" spans="18:19">
      <c r="R61263" s="178"/>
      <c r="S61263" s="178"/>
    </row>
    <row r="61264" spans="18:19">
      <c r="R61264" s="178"/>
      <c r="S61264" s="178"/>
    </row>
    <row r="61265" spans="18:19">
      <c r="R61265" s="178"/>
      <c r="S61265" s="178"/>
    </row>
    <row r="61266" spans="18:19">
      <c r="R61266" s="178"/>
      <c r="S61266" s="178"/>
    </row>
    <row r="61267" spans="18:19">
      <c r="R61267" s="178"/>
      <c r="S61267" s="178"/>
    </row>
    <row r="61268" spans="18:19">
      <c r="R61268" s="178"/>
      <c r="S61268" s="178"/>
    </row>
    <row r="61269" spans="18:19">
      <c r="R61269" s="178"/>
      <c r="S61269" s="178"/>
    </row>
    <row r="61270" spans="18:19">
      <c r="R61270" s="178"/>
      <c r="S61270" s="178"/>
    </row>
    <row r="61271" spans="18:19">
      <c r="R61271" s="178"/>
      <c r="S61271" s="178"/>
    </row>
    <row r="61272" spans="18:19">
      <c r="R61272" s="178"/>
      <c r="S61272" s="178"/>
    </row>
    <row r="61273" spans="18:19">
      <c r="R61273" s="178"/>
      <c r="S61273" s="178"/>
    </row>
    <row r="61274" spans="18:19">
      <c r="R61274" s="178"/>
      <c r="S61274" s="178"/>
    </row>
    <row r="61275" spans="18:19">
      <c r="R61275" s="178"/>
      <c r="S61275" s="178"/>
    </row>
    <row r="61276" spans="18:19">
      <c r="R61276" s="178"/>
      <c r="S61276" s="178"/>
    </row>
    <row r="61277" spans="18:19">
      <c r="R61277" s="178"/>
      <c r="S61277" s="178"/>
    </row>
    <row r="61278" spans="18:19">
      <c r="R61278" s="178"/>
      <c r="S61278" s="178"/>
    </row>
    <row r="61279" spans="18:19">
      <c r="R61279" s="178"/>
      <c r="S61279" s="178"/>
    </row>
    <row r="61280" spans="18:19">
      <c r="R61280" s="178"/>
      <c r="S61280" s="178"/>
    </row>
    <row r="61281" spans="18:19">
      <c r="R61281" s="178"/>
      <c r="S61281" s="178"/>
    </row>
    <row r="61282" spans="18:19">
      <c r="R61282" s="178"/>
      <c r="S61282" s="178"/>
    </row>
    <row r="61283" spans="18:19">
      <c r="R61283" s="178"/>
      <c r="S61283" s="178"/>
    </row>
    <row r="61284" spans="18:19">
      <c r="R61284" s="178"/>
      <c r="S61284" s="178"/>
    </row>
    <row r="61285" spans="18:19">
      <c r="R61285" s="178"/>
      <c r="S61285" s="178"/>
    </row>
    <row r="61286" spans="18:19">
      <c r="R61286" s="178"/>
      <c r="S61286" s="178"/>
    </row>
    <row r="61287" spans="18:19">
      <c r="R61287" s="178"/>
      <c r="S61287" s="178"/>
    </row>
    <row r="61288" spans="18:19">
      <c r="R61288" s="178"/>
      <c r="S61288" s="178"/>
    </row>
    <row r="61289" spans="18:19">
      <c r="R61289" s="178"/>
      <c r="S61289" s="178"/>
    </row>
    <row r="61290" spans="18:19">
      <c r="R61290" s="178"/>
      <c r="S61290" s="178"/>
    </row>
    <row r="61291" spans="18:19">
      <c r="R61291" s="178"/>
      <c r="S61291" s="178"/>
    </row>
    <row r="61292" spans="18:19">
      <c r="R61292" s="178"/>
      <c r="S61292" s="178"/>
    </row>
    <row r="61293" spans="18:19">
      <c r="R61293" s="178"/>
      <c r="S61293" s="178"/>
    </row>
    <row r="61294" spans="18:19">
      <c r="R61294" s="178"/>
      <c r="S61294" s="178"/>
    </row>
    <row r="61295" spans="18:19">
      <c r="R61295" s="178"/>
      <c r="S61295" s="178"/>
    </row>
    <row r="61296" spans="18:19">
      <c r="R61296" s="178"/>
      <c r="S61296" s="178"/>
    </row>
    <row r="61297" spans="18:19">
      <c r="R61297" s="178"/>
      <c r="S61297" s="178"/>
    </row>
    <row r="61298" spans="18:19">
      <c r="R61298" s="178"/>
      <c r="S61298" s="178"/>
    </row>
    <row r="61299" spans="18:19">
      <c r="R61299" s="178"/>
      <c r="S61299" s="178"/>
    </row>
    <row r="61300" spans="18:19">
      <c r="R61300" s="178"/>
      <c r="S61300" s="178"/>
    </row>
    <row r="61301" spans="18:19">
      <c r="R61301" s="178"/>
      <c r="S61301" s="178"/>
    </row>
    <row r="61302" spans="18:19">
      <c r="R61302" s="178"/>
      <c r="S61302" s="178"/>
    </row>
    <row r="61303" spans="18:19">
      <c r="R61303" s="178"/>
      <c r="S61303" s="178"/>
    </row>
    <row r="61304" spans="18:19">
      <c r="R61304" s="178"/>
      <c r="S61304" s="178"/>
    </row>
    <row r="61305" spans="18:19">
      <c r="R61305" s="178"/>
      <c r="S61305" s="178"/>
    </row>
    <row r="61306" spans="18:19">
      <c r="R61306" s="178"/>
      <c r="S61306" s="178"/>
    </row>
    <row r="61307" spans="18:19">
      <c r="R61307" s="178"/>
      <c r="S61307" s="178"/>
    </row>
    <row r="61308" spans="18:19">
      <c r="R61308" s="178"/>
      <c r="S61308" s="178"/>
    </row>
    <row r="61309" spans="18:19">
      <c r="R61309" s="178"/>
      <c r="S61309" s="178"/>
    </row>
    <row r="61310" spans="18:19">
      <c r="R61310" s="178"/>
      <c r="S61310" s="178"/>
    </row>
    <row r="61311" spans="18:19">
      <c r="R61311" s="178"/>
      <c r="S61311" s="178"/>
    </row>
    <row r="61312" spans="18:19">
      <c r="R61312" s="178"/>
      <c r="S61312" s="178"/>
    </row>
    <row r="61313" spans="18:19">
      <c r="R61313" s="178"/>
      <c r="S61313" s="178"/>
    </row>
    <row r="61314" spans="18:19">
      <c r="R61314" s="178"/>
      <c r="S61314" s="178"/>
    </row>
    <row r="61315" spans="18:19">
      <c r="R61315" s="178"/>
      <c r="S61315" s="178"/>
    </row>
    <row r="61316" spans="18:19">
      <c r="R61316" s="178"/>
      <c r="S61316" s="178"/>
    </row>
    <row r="61317" spans="18:19">
      <c r="R61317" s="178"/>
      <c r="S61317" s="178"/>
    </row>
    <row r="61318" spans="18:19">
      <c r="R61318" s="178"/>
      <c r="S61318" s="178"/>
    </row>
    <row r="61319" spans="18:19">
      <c r="R61319" s="178"/>
      <c r="S61319" s="178"/>
    </row>
    <row r="61320" spans="18:19">
      <c r="R61320" s="178"/>
      <c r="S61320" s="178"/>
    </row>
    <row r="61321" spans="18:19">
      <c r="R61321" s="178"/>
      <c r="S61321" s="178"/>
    </row>
    <row r="61322" spans="18:19">
      <c r="R61322" s="178"/>
      <c r="S61322" s="178"/>
    </row>
    <row r="61323" spans="18:19">
      <c r="R61323" s="178"/>
      <c r="S61323" s="178"/>
    </row>
    <row r="61324" spans="18:19">
      <c r="R61324" s="178"/>
      <c r="S61324" s="178"/>
    </row>
    <row r="61325" spans="18:19">
      <c r="R61325" s="178"/>
      <c r="S61325" s="178"/>
    </row>
    <row r="61326" spans="18:19">
      <c r="R61326" s="178"/>
      <c r="S61326" s="178"/>
    </row>
    <row r="61327" spans="18:19">
      <c r="R61327" s="178"/>
      <c r="S61327" s="178"/>
    </row>
    <row r="61328" spans="18:19">
      <c r="R61328" s="178"/>
      <c r="S61328" s="178"/>
    </row>
    <row r="61329" spans="18:19">
      <c r="R61329" s="178"/>
      <c r="S61329" s="178"/>
    </row>
    <row r="61330" spans="18:19">
      <c r="R61330" s="178"/>
      <c r="S61330" s="178"/>
    </row>
    <row r="61331" spans="18:19">
      <c r="R61331" s="178"/>
      <c r="S61331" s="178"/>
    </row>
    <row r="61332" spans="18:19">
      <c r="R61332" s="178"/>
      <c r="S61332" s="178"/>
    </row>
    <row r="61333" spans="18:19">
      <c r="R61333" s="178"/>
      <c r="S61333" s="178"/>
    </row>
    <row r="61334" spans="18:19">
      <c r="R61334" s="178"/>
      <c r="S61334" s="178"/>
    </row>
    <row r="61335" spans="18:19">
      <c r="R61335" s="178"/>
      <c r="S61335" s="178"/>
    </row>
    <row r="61336" spans="18:19">
      <c r="R61336" s="178"/>
      <c r="S61336" s="178"/>
    </row>
    <row r="61337" spans="18:19">
      <c r="R61337" s="178"/>
      <c r="S61337" s="178"/>
    </row>
    <row r="61338" spans="18:19">
      <c r="R61338" s="178"/>
      <c r="S61338" s="178"/>
    </row>
    <row r="61339" spans="18:19">
      <c r="R61339" s="178"/>
      <c r="S61339" s="178"/>
    </row>
    <row r="61340" spans="18:19">
      <c r="R61340" s="178"/>
      <c r="S61340" s="178"/>
    </row>
    <row r="61341" spans="18:19">
      <c r="R61341" s="178"/>
      <c r="S61341" s="178"/>
    </row>
    <row r="61342" spans="18:19">
      <c r="R61342" s="178"/>
      <c r="S61342" s="178"/>
    </row>
    <row r="61343" spans="18:19">
      <c r="R61343" s="178"/>
      <c r="S61343" s="178"/>
    </row>
    <row r="61344" spans="18:19">
      <c r="R61344" s="178"/>
      <c r="S61344" s="178"/>
    </row>
    <row r="61345" spans="18:19">
      <c r="R61345" s="178"/>
      <c r="S61345" s="178"/>
    </row>
    <row r="61346" spans="18:19">
      <c r="R61346" s="178"/>
      <c r="S61346" s="178"/>
    </row>
    <row r="61347" spans="18:19">
      <c r="R61347" s="178"/>
      <c r="S61347" s="178"/>
    </row>
    <row r="61348" spans="18:19">
      <c r="R61348" s="178"/>
      <c r="S61348" s="178"/>
    </row>
    <row r="61349" spans="18:19">
      <c r="R61349" s="178"/>
      <c r="S61349" s="178"/>
    </row>
    <row r="61350" spans="18:19">
      <c r="R61350" s="178"/>
      <c r="S61350" s="178"/>
    </row>
    <row r="61351" spans="18:19">
      <c r="R61351" s="178"/>
      <c r="S61351" s="178"/>
    </row>
    <row r="61352" spans="18:19">
      <c r="R61352" s="178"/>
      <c r="S61352" s="178"/>
    </row>
    <row r="61353" spans="18:19">
      <c r="R61353" s="178"/>
      <c r="S61353" s="178"/>
    </row>
    <row r="61354" spans="18:19">
      <c r="R61354" s="178"/>
      <c r="S61354" s="178"/>
    </row>
    <row r="61355" spans="18:19">
      <c r="R61355" s="178"/>
      <c r="S61355" s="178"/>
    </row>
    <row r="61356" spans="18:19">
      <c r="R61356" s="178"/>
      <c r="S61356" s="178"/>
    </row>
    <row r="61357" spans="18:19">
      <c r="R61357" s="178"/>
      <c r="S61357" s="178"/>
    </row>
    <row r="61358" spans="18:19">
      <c r="R61358" s="178"/>
      <c r="S61358" s="178"/>
    </row>
    <row r="61359" spans="18:19">
      <c r="R61359" s="178"/>
      <c r="S61359" s="178"/>
    </row>
    <row r="61360" spans="18:19">
      <c r="R61360" s="178"/>
      <c r="S61360" s="178"/>
    </row>
    <row r="61361" spans="18:19">
      <c r="R61361" s="178"/>
      <c r="S61361" s="178"/>
    </row>
    <row r="61362" spans="18:19">
      <c r="R61362" s="178"/>
      <c r="S61362" s="178"/>
    </row>
    <row r="61363" spans="18:19">
      <c r="R61363" s="178"/>
      <c r="S61363" s="178"/>
    </row>
    <row r="61364" spans="18:19">
      <c r="R61364" s="178"/>
      <c r="S61364" s="178"/>
    </row>
    <row r="61365" spans="18:19">
      <c r="R61365" s="178"/>
      <c r="S61365" s="178"/>
    </row>
    <row r="61366" spans="18:19">
      <c r="R61366" s="178"/>
      <c r="S61366" s="178"/>
    </row>
    <row r="61367" spans="18:19">
      <c r="R61367" s="178"/>
      <c r="S61367" s="178"/>
    </row>
    <row r="61368" spans="18:19">
      <c r="R61368" s="178"/>
      <c r="S61368" s="178"/>
    </row>
    <row r="61369" spans="18:19">
      <c r="R61369" s="178"/>
      <c r="S61369" s="178"/>
    </row>
    <row r="61370" spans="18:19">
      <c r="R61370" s="178"/>
      <c r="S61370" s="178"/>
    </row>
    <row r="61371" spans="18:19">
      <c r="R61371" s="178"/>
      <c r="S61371" s="178"/>
    </row>
    <row r="61372" spans="18:19">
      <c r="R61372" s="178"/>
      <c r="S61372" s="178"/>
    </row>
    <row r="61373" spans="18:19">
      <c r="R61373" s="178"/>
      <c r="S61373" s="178"/>
    </row>
    <row r="61374" spans="18:19">
      <c r="R61374" s="178"/>
      <c r="S61374" s="178"/>
    </row>
    <row r="61375" spans="18:19">
      <c r="R61375" s="178"/>
      <c r="S61375" s="178"/>
    </row>
    <row r="61376" spans="18:19">
      <c r="R61376" s="178"/>
      <c r="S61376" s="178"/>
    </row>
    <row r="61377" spans="18:19">
      <c r="R61377" s="178"/>
      <c r="S61377" s="178"/>
    </row>
    <row r="61378" spans="18:19">
      <c r="R61378" s="178"/>
      <c r="S61378" s="178"/>
    </row>
    <row r="61379" spans="18:19">
      <c r="R61379" s="178"/>
      <c r="S61379" s="178"/>
    </row>
    <row r="61380" spans="18:19">
      <c r="R61380" s="178"/>
      <c r="S61380" s="178"/>
    </row>
    <row r="61381" spans="18:19">
      <c r="R61381" s="178"/>
      <c r="S61381" s="178"/>
    </row>
    <row r="61382" spans="18:19">
      <c r="R61382" s="178"/>
      <c r="S61382" s="178"/>
    </row>
    <row r="61383" spans="18:19">
      <c r="R61383" s="178"/>
      <c r="S61383" s="178"/>
    </row>
    <row r="61384" spans="18:19">
      <c r="R61384" s="178"/>
      <c r="S61384" s="178"/>
    </row>
    <row r="61385" spans="18:19">
      <c r="R61385" s="178"/>
      <c r="S61385" s="178"/>
    </row>
    <row r="61386" spans="18:19">
      <c r="R61386" s="178"/>
      <c r="S61386" s="178"/>
    </row>
    <row r="61387" spans="18:19">
      <c r="R61387" s="178"/>
      <c r="S61387" s="178"/>
    </row>
    <row r="61388" spans="18:19">
      <c r="R61388" s="178"/>
      <c r="S61388" s="178"/>
    </row>
    <row r="61389" spans="18:19">
      <c r="R61389" s="178"/>
      <c r="S61389" s="178"/>
    </row>
    <row r="61390" spans="18:19">
      <c r="R61390" s="178"/>
      <c r="S61390" s="178"/>
    </row>
    <row r="61391" spans="18:19">
      <c r="R61391" s="178"/>
      <c r="S61391" s="178"/>
    </row>
    <row r="61392" spans="18:19">
      <c r="R61392" s="178"/>
      <c r="S61392" s="178"/>
    </row>
    <row r="61393" spans="18:19">
      <c r="R61393" s="178"/>
      <c r="S61393" s="178"/>
    </row>
    <row r="61394" spans="18:19">
      <c r="R61394" s="178"/>
      <c r="S61394" s="178"/>
    </row>
    <row r="61395" spans="18:19">
      <c r="R61395" s="178"/>
      <c r="S61395" s="178"/>
    </row>
    <row r="61396" spans="18:19">
      <c r="R61396" s="178"/>
      <c r="S61396" s="178"/>
    </row>
    <row r="61397" spans="18:19">
      <c r="R61397" s="178"/>
      <c r="S61397" s="178"/>
    </row>
    <row r="61398" spans="18:19">
      <c r="R61398" s="178"/>
      <c r="S61398" s="178"/>
    </row>
    <row r="61399" spans="18:19">
      <c r="R61399" s="178"/>
      <c r="S61399" s="178"/>
    </row>
    <row r="61400" spans="18:19">
      <c r="R61400" s="178"/>
      <c r="S61400" s="178"/>
    </row>
    <row r="61401" spans="18:19">
      <c r="R61401" s="178"/>
      <c r="S61401" s="178"/>
    </row>
    <row r="61402" spans="18:19">
      <c r="R61402" s="178"/>
      <c r="S61402" s="178"/>
    </row>
    <row r="61403" spans="18:19">
      <c r="R61403" s="178"/>
      <c r="S61403" s="178"/>
    </row>
    <row r="61404" spans="18:19">
      <c r="R61404" s="178"/>
      <c r="S61404" s="178"/>
    </row>
    <row r="61405" spans="18:19">
      <c r="R61405" s="178"/>
      <c r="S61405" s="178"/>
    </row>
    <row r="61406" spans="18:19">
      <c r="R61406" s="178"/>
      <c r="S61406" s="178"/>
    </row>
    <row r="61407" spans="18:19">
      <c r="R61407" s="178"/>
      <c r="S61407" s="178"/>
    </row>
    <row r="61408" spans="18:19">
      <c r="R61408" s="178"/>
      <c r="S61408" s="178"/>
    </row>
    <row r="61409" spans="18:19">
      <c r="R61409" s="178"/>
      <c r="S61409" s="178"/>
    </row>
    <row r="61410" spans="18:19">
      <c r="R61410" s="178"/>
      <c r="S61410" s="178"/>
    </row>
    <row r="61411" spans="18:19">
      <c r="R61411" s="178"/>
      <c r="S61411" s="178"/>
    </row>
    <row r="61412" spans="18:19">
      <c r="R61412" s="178"/>
      <c r="S61412" s="178"/>
    </row>
    <row r="61413" spans="18:19">
      <c r="R61413" s="178"/>
      <c r="S61413" s="178"/>
    </row>
    <row r="61414" spans="18:19">
      <c r="R61414" s="178"/>
      <c r="S61414" s="178"/>
    </row>
    <row r="61415" spans="18:19">
      <c r="R61415" s="178"/>
      <c r="S61415" s="178"/>
    </row>
    <row r="61416" spans="18:19">
      <c r="R61416" s="178"/>
      <c r="S61416" s="178"/>
    </row>
    <row r="61417" spans="18:19">
      <c r="R61417" s="178"/>
      <c r="S61417" s="178"/>
    </row>
    <row r="61418" spans="18:19">
      <c r="R61418" s="178"/>
      <c r="S61418" s="178"/>
    </row>
    <row r="61419" spans="18:19">
      <c r="R61419" s="178"/>
      <c r="S61419" s="178"/>
    </row>
    <row r="61420" spans="18:19">
      <c r="R61420" s="178"/>
      <c r="S61420" s="178"/>
    </row>
    <row r="61421" spans="18:19">
      <c r="R61421" s="178"/>
      <c r="S61421" s="178"/>
    </row>
    <row r="61422" spans="18:19">
      <c r="R61422" s="178"/>
      <c r="S61422" s="178"/>
    </row>
    <row r="61423" spans="18:19">
      <c r="R61423" s="178"/>
      <c r="S61423" s="178"/>
    </row>
    <row r="61424" spans="18:19">
      <c r="R61424" s="178"/>
      <c r="S61424" s="178"/>
    </row>
    <row r="61425" spans="18:19">
      <c r="R61425" s="178"/>
      <c r="S61425" s="178"/>
    </row>
    <row r="61426" spans="18:19">
      <c r="R61426" s="178"/>
      <c r="S61426" s="178"/>
    </row>
    <row r="61427" spans="18:19">
      <c r="R61427" s="178"/>
      <c r="S61427" s="178"/>
    </row>
    <row r="61428" spans="18:19">
      <c r="R61428" s="178"/>
      <c r="S61428" s="178"/>
    </row>
    <row r="61429" spans="18:19">
      <c r="R61429" s="178"/>
      <c r="S61429" s="178"/>
    </row>
    <row r="61430" spans="18:19">
      <c r="R61430" s="178"/>
      <c r="S61430" s="178"/>
    </row>
    <row r="61431" spans="18:19">
      <c r="R61431" s="178"/>
      <c r="S61431" s="178"/>
    </row>
    <row r="61432" spans="18:19">
      <c r="R61432" s="178"/>
      <c r="S61432" s="178"/>
    </row>
    <row r="61433" spans="18:19">
      <c r="R61433" s="178"/>
      <c r="S61433" s="178"/>
    </row>
    <row r="61434" spans="18:19">
      <c r="R61434" s="178"/>
      <c r="S61434" s="178"/>
    </row>
    <row r="61435" spans="18:19">
      <c r="R61435" s="178"/>
      <c r="S61435" s="178"/>
    </row>
    <row r="61436" spans="18:19">
      <c r="R61436" s="178"/>
      <c r="S61436" s="178"/>
    </row>
    <row r="61437" spans="18:19">
      <c r="R61437" s="178"/>
      <c r="S61437" s="178"/>
    </row>
    <row r="61438" spans="18:19">
      <c r="R61438" s="178"/>
      <c r="S61438" s="178"/>
    </row>
    <row r="61439" spans="18:19">
      <c r="R61439" s="178"/>
      <c r="S61439" s="178"/>
    </row>
    <row r="61440" spans="18:19">
      <c r="R61440" s="178"/>
      <c r="S61440" s="178"/>
    </row>
    <row r="61441" spans="18:19">
      <c r="R61441" s="178"/>
      <c r="S61441" s="178"/>
    </row>
    <row r="61442" spans="18:19">
      <c r="R61442" s="178"/>
      <c r="S61442" s="178"/>
    </row>
    <row r="61443" spans="18:19">
      <c r="R61443" s="178"/>
      <c r="S61443" s="178"/>
    </row>
    <row r="61444" spans="18:19">
      <c r="R61444" s="178"/>
      <c r="S61444" s="178"/>
    </row>
    <row r="61445" spans="18:19">
      <c r="R61445" s="178"/>
      <c r="S61445" s="178"/>
    </row>
    <row r="61446" spans="18:19">
      <c r="R61446" s="178"/>
      <c r="S61446" s="178"/>
    </row>
    <row r="61447" spans="18:19">
      <c r="R61447" s="178"/>
      <c r="S61447" s="178"/>
    </row>
    <row r="61448" spans="18:19">
      <c r="R61448" s="178"/>
      <c r="S61448" s="178"/>
    </row>
    <row r="61449" spans="18:19">
      <c r="R61449" s="178"/>
      <c r="S61449" s="178"/>
    </row>
    <row r="61450" spans="18:19">
      <c r="R61450" s="178"/>
      <c r="S61450" s="178"/>
    </row>
    <row r="61451" spans="18:19">
      <c r="R61451" s="178"/>
      <c r="S61451" s="178"/>
    </row>
    <row r="61452" spans="18:19">
      <c r="R61452" s="178"/>
      <c r="S61452" s="178"/>
    </row>
    <row r="61453" spans="18:19">
      <c r="R61453" s="178"/>
      <c r="S61453" s="178"/>
    </row>
    <row r="61454" spans="18:19">
      <c r="R61454" s="178"/>
      <c r="S61454" s="178"/>
    </row>
    <row r="61455" spans="18:19">
      <c r="R61455" s="178"/>
      <c r="S61455" s="178"/>
    </row>
    <row r="61456" spans="18:19">
      <c r="R61456" s="178"/>
      <c r="S61456" s="178"/>
    </row>
    <row r="61457" spans="18:19">
      <c r="R61457" s="178"/>
      <c r="S61457" s="178"/>
    </row>
    <row r="61458" spans="18:19">
      <c r="R61458" s="178"/>
      <c r="S61458" s="178"/>
    </row>
    <row r="61459" spans="18:19">
      <c r="R61459" s="178"/>
      <c r="S61459" s="178"/>
    </row>
    <row r="61460" spans="18:19">
      <c r="R61460" s="178"/>
      <c r="S61460" s="178"/>
    </row>
    <row r="61461" spans="18:19">
      <c r="R61461" s="178"/>
      <c r="S61461" s="178"/>
    </row>
    <row r="61462" spans="18:19">
      <c r="R61462" s="178"/>
      <c r="S61462" s="178"/>
    </row>
    <row r="61463" spans="18:19">
      <c r="R61463" s="178"/>
      <c r="S61463" s="178"/>
    </row>
    <row r="61464" spans="18:19">
      <c r="R61464" s="178"/>
      <c r="S61464" s="178"/>
    </row>
    <row r="61465" spans="18:19">
      <c r="R61465" s="178"/>
      <c r="S61465" s="178"/>
    </row>
    <row r="61466" spans="18:19">
      <c r="R61466" s="178"/>
      <c r="S61466" s="178"/>
    </row>
    <row r="61467" spans="18:19">
      <c r="R61467" s="178"/>
      <c r="S61467" s="178"/>
    </row>
    <row r="61468" spans="18:19">
      <c r="R61468" s="178"/>
      <c r="S61468" s="178"/>
    </row>
    <row r="61469" spans="18:19">
      <c r="R61469" s="178"/>
      <c r="S61469" s="178"/>
    </row>
    <row r="61470" spans="18:19">
      <c r="R61470" s="178"/>
      <c r="S61470" s="178"/>
    </row>
    <row r="61471" spans="18:19">
      <c r="R61471" s="178"/>
      <c r="S61471" s="178"/>
    </row>
    <row r="61472" spans="18:19">
      <c r="R61472" s="178"/>
      <c r="S61472" s="178"/>
    </row>
    <row r="61473" spans="18:19">
      <c r="R61473" s="178"/>
      <c r="S61473" s="178"/>
    </row>
    <row r="61474" spans="18:19">
      <c r="R61474" s="178"/>
      <c r="S61474" s="178"/>
    </row>
    <row r="61475" spans="18:19">
      <c r="R61475" s="178"/>
      <c r="S61475" s="178"/>
    </row>
    <row r="61476" spans="18:19">
      <c r="R61476" s="178"/>
      <c r="S61476" s="178"/>
    </row>
    <row r="61477" spans="18:19">
      <c r="R61477" s="178"/>
      <c r="S61477" s="178"/>
    </row>
    <row r="61478" spans="18:19">
      <c r="R61478" s="178"/>
      <c r="S61478" s="178"/>
    </row>
    <row r="61479" spans="18:19">
      <c r="R61479" s="178"/>
      <c r="S61479" s="178"/>
    </row>
    <row r="61480" spans="18:19">
      <c r="R61480" s="178"/>
      <c r="S61480" s="178"/>
    </row>
    <row r="61481" spans="18:19">
      <c r="R61481" s="178"/>
      <c r="S61481" s="178"/>
    </row>
    <row r="61482" spans="18:19">
      <c r="R61482" s="178"/>
      <c r="S61482" s="178"/>
    </row>
    <row r="61483" spans="18:19">
      <c r="R61483" s="178"/>
      <c r="S61483" s="178"/>
    </row>
    <row r="61484" spans="18:19">
      <c r="R61484" s="178"/>
      <c r="S61484" s="178"/>
    </row>
    <row r="61485" spans="18:19">
      <c r="R61485" s="178"/>
      <c r="S61485" s="178"/>
    </row>
    <row r="61486" spans="18:19">
      <c r="R61486" s="178"/>
      <c r="S61486" s="178"/>
    </row>
    <row r="61487" spans="18:19">
      <c r="R61487" s="178"/>
      <c r="S61487" s="178"/>
    </row>
    <row r="61488" spans="18:19">
      <c r="R61488" s="178"/>
      <c r="S61488" s="178"/>
    </row>
    <row r="61489" spans="18:19">
      <c r="R61489" s="178"/>
      <c r="S61489" s="178"/>
    </row>
    <row r="61490" spans="18:19">
      <c r="R61490" s="178"/>
      <c r="S61490" s="178"/>
    </row>
    <row r="61491" spans="18:19">
      <c r="R61491" s="178"/>
      <c r="S61491" s="178"/>
    </row>
    <row r="61492" spans="18:19">
      <c r="R61492" s="178"/>
      <c r="S61492" s="178"/>
    </row>
    <row r="61493" spans="18:19">
      <c r="R61493" s="178"/>
      <c r="S61493" s="178"/>
    </row>
    <row r="61494" spans="18:19">
      <c r="R61494" s="178"/>
      <c r="S61494" s="178"/>
    </row>
    <row r="61495" spans="18:19">
      <c r="R61495" s="178"/>
      <c r="S61495" s="178"/>
    </row>
    <row r="61496" spans="18:19">
      <c r="R61496" s="178"/>
      <c r="S61496" s="178"/>
    </row>
    <row r="61497" spans="18:19">
      <c r="R61497" s="178"/>
      <c r="S61497" s="178"/>
    </row>
    <row r="61498" spans="18:19">
      <c r="R61498" s="178"/>
      <c r="S61498" s="178"/>
    </row>
    <row r="61499" spans="18:19">
      <c r="R61499" s="178"/>
      <c r="S61499" s="178"/>
    </row>
    <row r="61500" spans="18:19">
      <c r="R61500" s="178"/>
      <c r="S61500" s="178"/>
    </row>
    <row r="61501" spans="18:19">
      <c r="R61501" s="178"/>
      <c r="S61501" s="178"/>
    </row>
    <row r="61502" spans="18:19">
      <c r="R61502" s="178"/>
      <c r="S61502" s="178"/>
    </row>
    <row r="61503" spans="18:19">
      <c r="R61503" s="178"/>
      <c r="S61503" s="178"/>
    </row>
    <row r="61504" spans="18:19">
      <c r="R61504" s="178"/>
      <c r="S61504" s="178"/>
    </row>
    <row r="61505" spans="18:19">
      <c r="R61505" s="178"/>
      <c r="S61505" s="178"/>
    </row>
    <row r="61506" spans="18:19">
      <c r="R61506" s="178"/>
      <c r="S61506" s="178"/>
    </row>
    <row r="61507" spans="18:19">
      <c r="R61507" s="178"/>
      <c r="S61507" s="178"/>
    </row>
    <row r="61508" spans="18:19">
      <c r="R61508" s="178"/>
      <c r="S61508" s="178"/>
    </row>
    <row r="61509" spans="18:19">
      <c r="R61509" s="178"/>
      <c r="S61509" s="178"/>
    </row>
    <row r="61510" spans="18:19">
      <c r="R61510" s="178"/>
      <c r="S61510" s="178"/>
    </row>
    <row r="61511" spans="18:19">
      <c r="R61511" s="178"/>
      <c r="S61511" s="178"/>
    </row>
    <row r="61512" spans="18:19">
      <c r="R61512" s="178"/>
      <c r="S61512" s="178"/>
    </row>
    <row r="61513" spans="18:19">
      <c r="R61513" s="178"/>
      <c r="S61513" s="178"/>
    </row>
    <row r="61514" spans="18:19">
      <c r="R61514" s="178"/>
      <c r="S61514" s="178"/>
    </row>
    <row r="61515" spans="18:19">
      <c r="R61515" s="178"/>
      <c r="S61515" s="178"/>
    </row>
    <row r="61516" spans="18:19">
      <c r="R61516" s="178"/>
      <c r="S61516" s="178"/>
    </row>
    <row r="61517" spans="18:19">
      <c r="R61517" s="178"/>
      <c r="S61517" s="178"/>
    </row>
    <row r="61518" spans="18:19">
      <c r="R61518" s="178"/>
      <c r="S61518" s="178"/>
    </row>
    <row r="61519" spans="18:19">
      <c r="R61519" s="178"/>
      <c r="S61519" s="178"/>
    </row>
    <row r="61520" spans="18:19">
      <c r="R61520" s="178"/>
      <c r="S61520" s="178"/>
    </row>
    <row r="61521" spans="18:19">
      <c r="R61521" s="178"/>
      <c r="S61521" s="178"/>
    </row>
    <row r="61522" spans="18:19">
      <c r="R61522" s="178"/>
      <c r="S61522" s="178"/>
    </row>
    <row r="61523" spans="18:19">
      <c r="R61523" s="178"/>
      <c r="S61523" s="178"/>
    </row>
    <row r="61524" spans="18:19">
      <c r="R61524" s="178"/>
      <c r="S61524" s="178"/>
    </row>
    <row r="61525" spans="18:19">
      <c r="R61525" s="178"/>
      <c r="S61525" s="178"/>
    </row>
    <row r="61526" spans="18:19">
      <c r="R61526" s="178"/>
      <c r="S61526" s="178"/>
    </row>
    <row r="61527" spans="18:19">
      <c r="R61527" s="178"/>
      <c r="S61527" s="178"/>
    </row>
    <row r="61528" spans="18:19">
      <c r="R61528" s="178"/>
      <c r="S61528" s="178"/>
    </row>
    <row r="61529" spans="18:19">
      <c r="R61529" s="178"/>
      <c r="S61529" s="178"/>
    </row>
    <row r="61530" spans="18:19">
      <c r="R61530" s="178"/>
      <c r="S61530" s="178"/>
    </row>
    <row r="61531" spans="18:19">
      <c r="R61531" s="178"/>
      <c r="S61531" s="178"/>
    </row>
    <row r="61532" spans="18:19">
      <c r="R61532" s="178"/>
      <c r="S61532" s="178"/>
    </row>
    <row r="61533" spans="18:19">
      <c r="R61533" s="178"/>
      <c r="S61533" s="178"/>
    </row>
    <row r="61534" spans="18:19">
      <c r="R61534" s="178"/>
      <c r="S61534" s="178"/>
    </row>
    <row r="61535" spans="18:19">
      <c r="R61535" s="178"/>
      <c r="S61535" s="178"/>
    </row>
    <row r="61536" spans="18:19">
      <c r="R61536" s="178"/>
      <c r="S61536" s="178"/>
    </row>
    <row r="61537" spans="18:19">
      <c r="R61537" s="178"/>
      <c r="S61537" s="178"/>
    </row>
    <row r="61538" spans="18:19">
      <c r="R61538" s="178"/>
      <c r="S61538" s="178"/>
    </row>
    <row r="61539" spans="18:19">
      <c r="R61539" s="178"/>
      <c r="S61539" s="178"/>
    </row>
    <row r="61540" spans="18:19">
      <c r="R61540" s="178"/>
      <c r="S61540" s="178"/>
    </row>
    <row r="61541" spans="18:19">
      <c r="R61541" s="178"/>
      <c r="S61541" s="178"/>
    </row>
    <row r="61542" spans="18:19">
      <c r="R61542" s="178"/>
      <c r="S61542" s="178"/>
    </row>
    <row r="61543" spans="18:19">
      <c r="R61543" s="178"/>
      <c r="S61543" s="178"/>
    </row>
    <row r="61544" spans="18:19">
      <c r="R61544" s="178"/>
      <c r="S61544" s="178"/>
    </row>
    <row r="61545" spans="18:19">
      <c r="R61545" s="178"/>
      <c r="S61545" s="178"/>
    </row>
    <row r="61546" spans="18:19">
      <c r="R61546" s="178"/>
      <c r="S61546" s="178"/>
    </row>
    <row r="61547" spans="18:19">
      <c r="R61547" s="178"/>
      <c r="S61547" s="178"/>
    </row>
    <row r="61548" spans="18:19">
      <c r="R61548" s="178"/>
      <c r="S61548" s="178"/>
    </row>
    <row r="61549" spans="18:19">
      <c r="R61549" s="178"/>
      <c r="S61549" s="178"/>
    </row>
    <row r="61550" spans="18:19">
      <c r="R61550" s="178"/>
      <c r="S61550" s="178"/>
    </row>
    <row r="61551" spans="18:19">
      <c r="R61551" s="178"/>
      <c r="S61551" s="178"/>
    </row>
    <row r="61552" spans="18:19">
      <c r="R61552" s="178"/>
      <c r="S61552" s="178"/>
    </row>
    <row r="61553" spans="18:19">
      <c r="R61553" s="178"/>
      <c r="S61553" s="178"/>
    </row>
    <row r="61554" spans="18:19">
      <c r="R61554" s="178"/>
      <c r="S61554" s="178"/>
    </row>
    <row r="61555" spans="18:19">
      <c r="R61555" s="178"/>
      <c r="S61555" s="178"/>
    </row>
    <row r="61556" spans="18:19">
      <c r="R61556" s="178"/>
      <c r="S61556" s="178"/>
    </row>
    <row r="61557" spans="18:19">
      <c r="R61557" s="178"/>
      <c r="S61557" s="178"/>
    </row>
    <row r="61558" spans="18:19">
      <c r="R61558" s="178"/>
      <c r="S61558" s="178"/>
    </row>
    <row r="61559" spans="18:19">
      <c r="R61559" s="178"/>
      <c r="S61559" s="178"/>
    </row>
    <row r="61560" spans="18:19">
      <c r="R61560" s="178"/>
      <c r="S61560" s="178"/>
    </row>
    <row r="61561" spans="18:19">
      <c r="R61561" s="178"/>
      <c r="S61561" s="178"/>
    </row>
    <row r="61562" spans="18:19">
      <c r="R61562" s="178"/>
      <c r="S61562" s="178"/>
    </row>
    <row r="61563" spans="18:19">
      <c r="R61563" s="178"/>
      <c r="S61563" s="178"/>
    </row>
    <row r="61564" spans="18:19">
      <c r="R61564" s="178"/>
      <c r="S61564" s="178"/>
    </row>
    <row r="61565" spans="18:19">
      <c r="R61565" s="178"/>
      <c r="S61565" s="178"/>
    </row>
    <row r="61566" spans="18:19">
      <c r="R61566" s="178"/>
      <c r="S61566" s="178"/>
    </row>
    <row r="61567" spans="18:19">
      <c r="R61567" s="178"/>
      <c r="S61567" s="178"/>
    </row>
    <row r="61568" spans="18:19">
      <c r="R61568" s="178"/>
      <c r="S61568" s="178"/>
    </row>
    <row r="61569" spans="18:19">
      <c r="R61569" s="178"/>
      <c r="S61569" s="178"/>
    </row>
    <row r="61570" spans="18:19">
      <c r="R61570" s="178"/>
      <c r="S61570" s="178"/>
    </row>
    <row r="61571" spans="18:19">
      <c r="R61571" s="178"/>
      <c r="S61571" s="178"/>
    </row>
    <row r="61572" spans="18:19">
      <c r="R61572" s="178"/>
      <c r="S61572" s="178"/>
    </row>
    <row r="61573" spans="18:19">
      <c r="R61573" s="178"/>
      <c r="S61573" s="178"/>
    </row>
    <row r="61574" spans="18:19">
      <c r="R61574" s="178"/>
      <c r="S61574" s="178"/>
    </row>
    <row r="61575" spans="18:19">
      <c r="R61575" s="178"/>
      <c r="S61575" s="178"/>
    </row>
    <row r="61576" spans="18:19">
      <c r="R61576" s="178"/>
      <c r="S61576" s="178"/>
    </row>
    <row r="61577" spans="18:19">
      <c r="R61577" s="178"/>
      <c r="S61577" s="178"/>
    </row>
    <row r="61578" spans="18:19">
      <c r="R61578" s="178"/>
      <c r="S61578" s="178"/>
    </row>
    <row r="61579" spans="18:19">
      <c r="R61579" s="178"/>
      <c r="S61579" s="178"/>
    </row>
    <row r="61580" spans="18:19">
      <c r="R61580" s="178"/>
      <c r="S61580" s="178"/>
    </row>
    <row r="61581" spans="18:19">
      <c r="R61581" s="178"/>
      <c r="S61581" s="178"/>
    </row>
    <row r="61582" spans="18:19">
      <c r="R61582" s="178"/>
      <c r="S61582" s="178"/>
    </row>
    <row r="61583" spans="18:19">
      <c r="R61583" s="178"/>
      <c r="S61583" s="178"/>
    </row>
    <row r="61584" spans="18:19">
      <c r="R61584" s="178"/>
      <c r="S61584" s="178"/>
    </row>
    <row r="61585" spans="18:19">
      <c r="R61585" s="178"/>
      <c r="S61585" s="178"/>
    </row>
    <row r="61586" spans="18:19">
      <c r="R61586" s="178"/>
      <c r="S61586" s="178"/>
    </row>
    <row r="61587" spans="18:19">
      <c r="R61587" s="178"/>
      <c r="S61587" s="178"/>
    </row>
    <row r="61588" spans="18:19">
      <c r="R61588" s="178"/>
      <c r="S61588" s="178"/>
    </row>
    <row r="61589" spans="18:19">
      <c r="R61589" s="178"/>
      <c r="S61589" s="178"/>
    </row>
    <row r="61590" spans="18:19">
      <c r="R61590" s="178"/>
      <c r="S61590" s="178"/>
    </row>
    <row r="61591" spans="18:19">
      <c r="R61591" s="178"/>
      <c r="S61591" s="178"/>
    </row>
    <row r="61592" spans="18:19">
      <c r="R61592" s="178"/>
      <c r="S61592" s="178"/>
    </row>
    <row r="61593" spans="18:19">
      <c r="R61593" s="178"/>
      <c r="S61593" s="178"/>
    </row>
    <row r="61594" spans="18:19">
      <c r="R61594" s="178"/>
      <c r="S61594" s="178"/>
    </row>
    <row r="61595" spans="18:19">
      <c r="R61595" s="178"/>
      <c r="S61595" s="178"/>
    </row>
    <row r="61596" spans="18:19">
      <c r="R61596" s="178"/>
      <c r="S61596" s="178"/>
    </row>
    <row r="61597" spans="18:19">
      <c r="R61597" s="178"/>
      <c r="S61597" s="178"/>
    </row>
    <row r="61598" spans="18:19">
      <c r="R61598" s="178"/>
      <c r="S61598" s="178"/>
    </row>
    <row r="61599" spans="18:19">
      <c r="R61599" s="178"/>
      <c r="S61599" s="178"/>
    </row>
    <row r="61600" spans="18:19">
      <c r="R61600" s="178"/>
      <c r="S61600" s="178"/>
    </row>
    <row r="61601" spans="18:19">
      <c r="R61601" s="178"/>
      <c r="S61601" s="178"/>
    </row>
    <row r="61602" spans="18:19">
      <c r="R61602" s="178"/>
      <c r="S61602" s="178"/>
    </row>
    <row r="61603" spans="18:19">
      <c r="R61603" s="178"/>
      <c r="S61603" s="178"/>
    </row>
    <row r="61604" spans="18:19">
      <c r="R61604" s="178"/>
      <c r="S61604" s="178"/>
    </row>
    <row r="61605" spans="18:19">
      <c r="R61605" s="178"/>
      <c r="S61605" s="178"/>
    </row>
    <row r="61606" spans="18:19">
      <c r="R61606" s="178"/>
      <c r="S61606" s="178"/>
    </row>
    <row r="61607" spans="18:19">
      <c r="R61607" s="178"/>
      <c r="S61607" s="178"/>
    </row>
    <row r="61608" spans="18:19">
      <c r="R61608" s="178"/>
      <c r="S61608" s="178"/>
    </row>
    <row r="61609" spans="18:19">
      <c r="R61609" s="178"/>
      <c r="S61609" s="178"/>
    </row>
    <row r="61610" spans="18:19">
      <c r="R61610" s="178"/>
      <c r="S61610" s="178"/>
    </row>
    <row r="61611" spans="18:19">
      <c r="R61611" s="178"/>
      <c r="S61611" s="178"/>
    </row>
    <row r="61612" spans="18:19">
      <c r="R61612" s="178"/>
      <c r="S61612" s="178"/>
    </row>
    <row r="61613" spans="18:19">
      <c r="R61613" s="178"/>
      <c r="S61613" s="178"/>
    </row>
    <row r="61614" spans="18:19">
      <c r="R61614" s="178"/>
      <c r="S61614" s="178"/>
    </row>
    <row r="61615" spans="18:19">
      <c r="R61615" s="178"/>
      <c r="S61615" s="178"/>
    </row>
    <row r="61616" spans="18:19">
      <c r="R61616" s="178"/>
      <c r="S61616" s="178"/>
    </row>
    <row r="61617" spans="18:19">
      <c r="R61617" s="178"/>
      <c r="S61617" s="178"/>
    </row>
    <row r="61618" spans="18:19">
      <c r="R61618" s="178"/>
      <c r="S61618" s="178"/>
    </row>
    <row r="61619" spans="18:19">
      <c r="R61619" s="178"/>
      <c r="S61619" s="178"/>
    </row>
    <row r="61620" spans="18:19">
      <c r="R61620" s="178"/>
      <c r="S61620" s="178"/>
    </row>
    <row r="61621" spans="18:19">
      <c r="R61621" s="178"/>
      <c r="S61621" s="178"/>
    </row>
    <row r="61622" spans="18:19">
      <c r="R61622" s="178"/>
      <c r="S61622" s="178"/>
    </row>
    <row r="61623" spans="18:19">
      <c r="R61623" s="178"/>
      <c r="S61623" s="178"/>
    </row>
    <row r="61624" spans="18:19">
      <c r="R61624" s="178"/>
      <c r="S61624" s="178"/>
    </row>
    <row r="61625" spans="18:19">
      <c r="R61625" s="178"/>
      <c r="S61625" s="178"/>
    </row>
    <row r="61626" spans="18:19">
      <c r="R61626" s="178"/>
      <c r="S61626" s="178"/>
    </row>
    <row r="61627" spans="18:19">
      <c r="R61627" s="178"/>
      <c r="S61627" s="178"/>
    </row>
    <row r="61628" spans="18:19">
      <c r="R61628" s="178"/>
      <c r="S61628" s="178"/>
    </row>
    <row r="61629" spans="18:19">
      <c r="R61629" s="178"/>
      <c r="S61629" s="178"/>
    </row>
    <row r="61630" spans="18:19">
      <c r="R61630" s="178"/>
      <c r="S61630" s="178"/>
    </row>
    <row r="61631" spans="18:19">
      <c r="R61631" s="178"/>
      <c r="S61631" s="178"/>
    </row>
    <row r="61632" spans="18:19">
      <c r="R61632" s="178"/>
      <c r="S61632" s="178"/>
    </row>
    <row r="61633" spans="18:19">
      <c r="R61633" s="178"/>
      <c r="S61633" s="178"/>
    </row>
    <row r="61634" spans="18:19">
      <c r="R61634" s="178"/>
      <c r="S61634" s="178"/>
    </row>
    <row r="61635" spans="18:19">
      <c r="R61635" s="178"/>
      <c r="S61635" s="178"/>
    </row>
    <row r="61636" spans="18:19">
      <c r="R61636" s="178"/>
      <c r="S61636" s="178"/>
    </row>
    <row r="61637" spans="18:19">
      <c r="R61637" s="178"/>
      <c r="S61637" s="178"/>
    </row>
    <row r="61638" spans="18:19">
      <c r="R61638" s="178"/>
      <c r="S61638" s="178"/>
    </row>
    <row r="61639" spans="18:19">
      <c r="R61639" s="178"/>
      <c r="S61639" s="178"/>
    </row>
    <row r="61640" spans="18:19">
      <c r="R61640" s="178"/>
      <c r="S61640" s="178"/>
    </row>
    <row r="61641" spans="18:19">
      <c r="R61641" s="178"/>
      <c r="S61641" s="178"/>
    </row>
    <row r="61642" spans="18:19">
      <c r="R61642" s="178"/>
      <c r="S61642" s="178"/>
    </row>
    <row r="61643" spans="18:19">
      <c r="R61643" s="178"/>
      <c r="S61643" s="178"/>
    </row>
    <row r="61644" spans="18:19">
      <c r="R61644" s="178"/>
      <c r="S61644" s="178"/>
    </row>
    <row r="61645" spans="18:19">
      <c r="R61645" s="178"/>
      <c r="S61645" s="178"/>
    </row>
    <row r="61646" spans="18:19">
      <c r="R61646" s="178"/>
      <c r="S61646" s="178"/>
    </row>
    <row r="61647" spans="18:19">
      <c r="R61647" s="178"/>
      <c r="S61647" s="178"/>
    </row>
    <row r="61648" spans="18:19">
      <c r="R61648" s="178"/>
      <c r="S61648" s="178"/>
    </row>
    <row r="61649" spans="18:19">
      <c r="R61649" s="178"/>
      <c r="S61649" s="178"/>
    </row>
    <row r="61650" spans="18:19">
      <c r="R61650" s="178"/>
      <c r="S61650" s="178"/>
    </row>
    <row r="61651" spans="18:19">
      <c r="R61651" s="178"/>
      <c r="S61651" s="178"/>
    </row>
    <row r="61652" spans="18:19">
      <c r="R61652" s="178"/>
      <c r="S61652" s="178"/>
    </row>
    <row r="61653" spans="18:19">
      <c r="R61653" s="178"/>
      <c r="S61653" s="178"/>
    </row>
    <row r="61654" spans="18:19">
      <c r="R61654" s="178"/>
      <c r="S61654" s="178"/>
    </row>
    <row r="61655" spans="18:19">
      <c r="R61655" s="178"/>
      <c r="S61655" s="178"/>
    </row>
    <row r="61656" spans="18:19">
      <c r="R61656" s="178"/>
      <c r="S61656" s="178"/>
    </row>
    <row r="61657" spans="18:19">
      <c r="R61657" s="178"/>
      <c r="S61657" s="178"/>
    </row>
    <row r="61658" spans="18:19">
      <c r="R61658" s="178"/>
      <c r="S61658" s="178"/>
    </row>
    <row r="61659" spans="18:19">
      <c r="R61659" s="178"/>
      <c r="S61659" s="178"/>
    </row>
    <row r="61660" spans="18:19">
      <c r="R61660" s="178"/>
      <c r="S61660" s="178"/>
    </row>
    <row r="61661" spans="18:19">
      <c r="R61661" s="178"/>
      <c r="S61661" s="178"/>
    </row>
    <row r="61662" spans="18:19">
      <c r="R61662" s="178"/>
      <c r="S61662" s="178"/>
    </row>
    <row r="61663" spans="18:19">
      <c r="R61663" s="178"/>
      <c r="S61663" s="178"/>
    </row>
    <row r="61664" spans="18:19">
      <c r="R61664" s="178"/>
      <c r="S61664" s="178"/>
    </row>
    <row r="61665" spans="18:19">
      <c r="R61665" s="178"/>
      <c r="S61665" s="178"/>
    </row>
    <row r="61666" spans="18:19">
      <c r="R61666" s="178"/>
      <c r="S61666" s="178"/>
    </row>
    <row r="61667" spans="18:19">
      <c r="R61667" s="178"/>
      <c r="S61667" s="178"/>
    </row>
    <row r="61668" spans="18:19">
      <c r="R61668" s="178"/>
      <c r="S61668" s="178"/>
    </row>
    <row r="61669" spans="18:19">
      <c r="R61669" s="178"/>
      <c r="S61669" s="178"/>
    </row>
    <row r="61670" spans="18:19">
      <c r="R61670" s="178"/>
      <c r="S61670" s="178"/>
    </row>
    <row r="61671" spans="18:19">
      <c r="R61671" s="178"/>
      <c r="S61671" s="178"/>
    </row>
    <row r="61672" spans="18:19">
      <c r="R61672" s="178"/>
      <c r="S61672" s="178"/>
    </row>
    <row r="61673" spans="18:19">
      <c r="R61673" s="178"/>
      <c r="S61673" s="178"/>
    </row>
    <row r="61674" spans="18:19">
      <c r="R61674" s="178"/>
      <c r="S61674" s="178"/>
    </row>
    <row r="61675" spans="18:19">
      <c r="R61675" s="178"/>
      <c r="S61675" s="178"/>
    </row>
    <row r="61676" spans="18:19">
      <c r="R61676" s="178"/>
      <c r="S61676" s="178"/>
    </row>
    <row r="61677" spans="18:19">
      <c r="R61677" s="178"/>
      <c r="S61677" s="178"/>
    </row>
    <row r="61678" spans="18:19">
      <c r="R61678" s="178"/>
      <c r="S61678" s="178"/>
    </row>
    <row r="61679" spans="18:19">
      <c r="R61679" s="178"/>
      <c r="S61679" s="178"/>
    </row>
    <row r="61680" spans="18:19">
      <c r="R61680" s="178"/>
      <c r="S61680" s="178"/>
    </row>
    <row r="61681" spans="18:19">
      <c r="R61681" s="178"/>
      <c r="S61681" s="178"/>
    </row>
    <row r="61682" spans="18:19">
      <c r="R61682" s="178"/>
      <c r="S61682" s="178"/>
    </row>
    <row r="61683" spans="18:19">
      <c r="R61683" s="178"/>
      <c r="S61683" s="178"/>
    </row>
    <row r="61684" spans="18:19">
      <c r="R61684" s="178"/>
      <c r="S61684" s="178"/>
    </row>
    <row r="61685" spans="18:19">
      <c r="R61685" s="178"/>
      <c r="S61685" s="178"/>
    </row>
    <row r="61686" spans="18:19">
      <c r="R61686" s="178"/>
      <c r="S61686" s="178"/>
    </row>
    <row r="61687" spans="18:19">
      <c r="R61687" s="178"/>
      <c r="S61687" s="178"/>
    </row>
    <row r="61688" spans="18:19">
      <c r="R61688" s="178"/>
      <c r="S61688" s="178"/>
    </row>
    <row r="61689" spans="18:19">
      <c r="R61689" s="178"/>
      <c r="S61689" s="178"/>
    </row>
    <row r="61690" spans="18:19">
      <c r="R61690" s="178"/>
      <c r="S61690" s="178"/>
    </row>
    <row r="61691" spans="18:19">
      <c r="R61691" s="178"/>
      <c r="S61691" s="178"/>
    </row>
    <row r="61692" spans="18:19">
      <c r="R61692" s="178"/>
      <c r="S61692" s="178"/>
    </row>
    <row r="61693" spans="18:19">
      <c r="R61693" s="178"/>
      <c r="S61693" s="178"/>
    </row>
    <row r="61694" spans="18:19">
      <c r="R61694" s="178"/>
      <c r="S61694" s="178"/>
    </row>
    <row r="61695" spans="18:19">
      <c r="R61695" s="178"/>
      <c r="S61695" s="178"/>
    </row>
    <row r="61696" spans="18:19">
      <c r="R61696" s="178"/>
      <c r="S61696" s="178"/>
    </row>
    <row r="61697" spans="18:19">
      <c r="R61697" s="178"/>
      <c r="S61697" s="178"/>
    </row>
    <row r="61698" spans="18:19">
      <c r="R61698" s="178"/>
      <c r="S61698" s="178"/>
    </row>
    <row r="61699" spans="18:19">
      <c r="R61699" s="178"/>
      <c r="S61699" s="178"/>
    </row>
    <row r="61700" spans="18:19">
      <c r="R61700" s="178"/>
      <c r="S61700" s="178"/>
    </row>
    <row r="61701" spans="18:19">
      <c r="R61701" s="178"/>
      <c r="S61701" s="178"/>
    </row>
    <row r="61702" spans="18:19">
      <c r="R61702" s="178"/>
      <c r="S61702" s="178"/>
    </row>
    <row r="61703" spans="18:19">
      <c r="R61703" s="178"/>
      <c r="S61703" s="178"/>
    </row>
    <row r="61704" spans="18:19">
      <c r="R61704" s="178"/>
      <c r="S61704" s="178"/>
    </row>
    <row r="61705" spans="18:19">
      <c r="R61705" s="178"/>
      <c r="S61705" s="178"/>
    </row>
    <row r="61706" spans="18:19">
      <c r="R61706" s="178"/>
      <c r="S61706" s="178"/>
    </row>
    <row r="61707" spans="18:19">
      <c r="R61707" s="178"/>
      <c r="S61707" s="178"/>
    </row>
    <row r="61708" spans="18:19">
      <c r="R61708" s="178"/>
      <c r="S61708" s="178"/>
    </row>
    <row r="61709" spans="18:19">
      <c r="R61709" s="178"/>
      <c r="S61709" s="178"/>
    </row>
    <row r="61710" spans="18:19">
      <c r="R61710" s="178"/>
      <c r="S61710" s="178"/>
    </row>
    <row r="61711" spans="18:19">
      <c r="R61711" s="178"/>
      <c r="S61711" s="178"/>
    </row>
    <row r="61712" spans="18:19">
      <c r="R61712" s="178"/>
      <c r="S61712" s="178"/>
    </row>
    <row r="61713" spans="18:19">
      <c r="R61713" s="178"/>
      <c r="S61713" s="178"/>
    </row>
    <row r="61714" spans="18:19">
      <c r="R61714" s="178"/>
      <c r="S61714" s="178"/>
    </row>
    <row r="61715" spans="18:19">
      <c r="R61715" s="178"/>
      <c r="S61715" s="178"/>
    </row>
    <row r="61716" spans="18:19">
      <c r="R61716" s="178"/>
      <c r="S61716" s="178"/>
    </row>
    <row r="61717" spans="18:19">
      <c r="R61717" s="178"/>
      <c r="S61717" s="178"/>
    </row>
    <row r="61718" spans="18:19">
      <c r="R61718" s="178"/>
      <c r="S61718" s="178"/>
    </row>
    <row r="61719" spans="18:19">
      <c r="R61719" s="178"/>
      <c r="S61719" s="178"/>
    </row>
    <row r="61720" spans="18:19">
      <c r="R61720" s="178"/>
      <c r="S61720" s="178"/>
    </row>
    <row r="61721" spans="18:19">
      <c r="R61721" s="178"/>
      <c r="S61721" s="178"/>
    </row>
    <row r="61722" spans="18:19">
      <c r="R61722" s="178"/>
      <c r="S61722" s="178"/>
    </row>
    <row r="61723" spans="18:19">
      <c r="R61723" s="178"/>
      <c r="S61723" s="178"/>
    </row>
    <row r="61724" spans="18:19">
      <c r="R61724" s="178"/>
      <c r="S61724" s="178"/>
    </row>
    <row r="61725" spans="18:19">
      <c r="R61725" s="178"/>
      <c r="S61725" s="178"/>
    </row>
    <row r="61726" spans="18:19">
      <c r="R61726" s="178"/>
      <c r="S61726" s="178"/>
    </row>
    <row r="61727" spans="18:19">
      <c r="R61727" s="178"/>
      <c r="S61727" s="178"/>
    </row>
    <row r="61728" spans="18:19">
      <c r="R61728" s="178"/>
      <c r="S61728" s="178"/>
    </row>
    <row r="61729" spans="18:19">
      <c r="R61729" s="178"/>
      <c r="S61729" s="178"/>
    </row>
    <row r="61730" spans="18:19">
      <c r="R61730" s="178"/>
      <c r="S61730" s="178"/>
    </row>
    <row r="61731" spans="18:19">
      <c r="R61731" s="178"/>
      <c r="S61731" s="178"/>
    </row>
    <row r="61732" spans="18:19">
      <c r="R61732" s="178"/>
      <c r="S61732" s="178"/>
    </row>
    <row r="61733" spans="18:19">
      <c r="R61733" s="178"/>
      <c r="S61733" s="178"/>
    </row>
    <row r="61734" spans="18:19">
      <c r="R61734" s="178"/>
      <c r="S61734" s="178"/>
    </row>
    <row r="61735" spans="18:19">
      <c r="R61735" s="178"/>
      <c r="S61735" s="178"/>
    </row>
    <row r="61736" spans="18:19">
      <c r="R61736" s="178"/>
      <c r="S61736" s="178"/>
    </row>
    <row r="61737" spans="18:19">
      <c r="R61737" s="178"/>
      <c r="S61737" s="178"/>
    </row>
    <row r="61738" spans="18:19">
      <c r="R61738" s="178"/>
      <c r="S61738" s="178"/>
    </row>
    <row r="61739" spans="18:19">
      <c r="R61739" s="178"/>
      <c r="S61739" s="178"/>
    </row>
    <row r="61740" spans="18:19">
      <c r="R61740" s="178"/>
      <c r="S61740" s="178"/>
    </row>
    <row r="61741" spans="18:19">
      <c r="R61741" s="178"/>
      <c r="S61741" s="178"/>
    </row>
    <row r="61742" spans="18:19">
      <c r="R61742" s="178"/>
      <c r="S61742" s="178"/>
    </row>
    <row r="61743" spans="18:19">
      <c r="R61743" s="178"/>
      <c r="S61743" s="178"/>
    </row>
    <row r="61744" spans="18:19">
      <c r="R61744" s="178"/>
      <c r="S61744" s="178"/>
    </row>
    <row r="61745" spans="18:19">
      <c r="R61745" s="178"/>
      <c r="S61745" s="178"/>
    </row>
    <row r="61746" spans="18:19">
      <c r="R61746" s="178"/>
      <c r="S61746" s="178"/>
    </row>
    <row r="61747" spans="18:19">
      <c r="R61747" s="178"/>
      <c r="S61747" s="178"/>
    </row>
    <row r="61748" spans="18:19">
      <c r="R61748" s="178"/>
      <c r="S61748" s="178"/>
    </row>
    <row r="61749" spans="18:19">
      <c r="R61749" s="178"/>
      <c r="S61749" s="178"/>
    </row>
    <row r="61750" spans="18:19">
      <c r="R61750" s="178"/>
      <c r="S61750" s="178"/>
    </row>
    <row r="61751" spans="18:19">
      <c r="R61751" s="178"/>
      <c r="S61751" s="178"/>
    </row>
    <row r="61752" spans="18:19">
      <c r="R61752" s="178"/>
      <c r="S61752" s="178"/>
    </row>
    <row r="61753" spans="18:19">
      <c r="R61753" s="178"/>
      <c r="S61753" s="178"/>
    </row>
    <row r="61754" spans="18:19">
      <c r="R61754" s="178"/>
      <c r="S61754" s="178"/>
    </row>
    <row r="61755" spans="18:19">
      <c r="R61755" s="178"/>
      <c r="S61755" s="178"/>
    </row>
    <row r="61756" spans="18:19">
      <c r="R61756" s="178"/>
      <c r="S61756" s="178"/>
    </row>
    <row r="61757" spans="18:19">
      <c r="R61757" s="178"/>
      <c r="S61757" s="178"/>
    </row>
    <row r="61758" spans="18:19">
      <c r="R61758" s="178"/>
      <c r="S61758" s="178"/>
    </row>
    <row r="61759" spans="18:19">
      <c r="R61759" s="178"/>
      <c r="S61759" s="178"/>
    </row>
    <row r="61760" spans="18:19">
      <c r="R61760" s="178"/>
      <c r="S61760" s="178"/>
    </row>
    <row r="61761" spans="18:19">
      <c r="R61761" s="178"/>
      <c r="S61761" s="178"/>
    </row>
    <row r="61762" spans="18:19">
      <c r="R61762" s="178"/>
      <c r="S61762" s="178"/>
    </row>
    <row r="61763" spans="18:19">
      <c r="R61763" s="178"/>
      <c r="S61763" s="178"/>
    </row>
    <row r="61764" spans="18:19">
      <c r="R61764" s="178"/>
      <c r="S61764" s="178"/>
    </row>
    <row r="61765" spans="18:19">
      <c r="R61765" s="178"/>
      <c r="S61765" s="178"/>
    </row>
    <row r="61766" spans="18:19">
      <c r="R61766" s="178"/>
      <c r="S61766" s="178"/>
    </row>
    <row r="61767" spans="18:19">
      <c r="R61767" s="178"/>
      <c r="S61767" s="178"/>
    </row>
    <row r="61768" spans="18:19">
      <c r="R61768" s="178"/>
      <c r="S61768" s="178"/>
    </row>
    <row r="61769" spans="18:19">
      <c r="R61769" s="178"/>
      <c r="S61769" s="178"/>
    </row>
    <row r="61770" spans="18:19">
      <c r="R61770" s="178"/>
      <c r="S61770" s="178"/>
    </row>
    <row r="61771" spans="18:19">
      <c r="R61771" s="178"/>
      <c r="S61771" s="178"/>
    </row>
    <row r="61772" spans="18:19">
      <c r="R61772" s="178"/>
      <c r="S61772" s="178"/>
    </row>
    <row r="61773" spans="18:19">
      <c r="R61773" s="178"/>
      <c r="S61773" s="178"/>
    </row>
    <row r="61774" spans="18:19">
      <c r="R61774" s="178"/>
      <c r="S61774" s="178"/>
    </row>
    <row r="61775" spans="18:19">
      <c r="R61775" s="178"/>
      <c r="S61775" s="178"/>
    </row>
    <row r="61776" spans="18:19">
      <c r="R61776" s="178"/>
      <c r="S61776" s="178"/>
    </row>
    <row r="61777" spans="18:19">
      <c r="R61777" s="178"/>
      <c r="S61777" s="178"/>
    </row>
    <row r="61778" spans="18:19">
      <c r="R61778" s="178"/>
      <c r="S61778" s="178"/>
    </row>
    <row r="61779" spans="18:19">
      <c r="R61779" s="178"/>
      <c r="S61779" s="178"/>
    </row>
    <row r="61780" spans="18:19">
      <c r="R61780" s="178"/>
      <c r="S61780" s="178"/>
    </row>
    <row r="61781" spans="18:19">
      <c r="R61781" s="178"/>
      <c r="S61781" s="178"/>
    </row>
    <row r="61782" spans="18:19">
      <c r="R61782" s="178"/>
      <c r="S61782" s="178"/>
    </row>
    <row r="61783" spans="18:19">
      <c r="R61783" s="178"/>
      <c r="S61783" s="178"/>
    </row>
    <row r="61784" spans="18:19">
      <c r="R61784" s="178"/>
      <c r="S61784" s="178"/>
    </row>
    <row r="61785" spans="18:19">
      <c r="R61785" s="178"/>
      <c r="S61785" s="178"/>
    </row>
    <row r="61786" spans="18:19">
      <c r="R61786" s="178"/>
      <c r="S61786" s="178"/>
    </row>
    <row r="61787" spans="18:19">
      <c r="R61787" s="178"/>
      <c r="S61787" s="178"/>
    </row>
    <row r="61788" spans="18:19">
      <c r="R61788" s="178"/>
      <c r="S61788" s="178"/>
    </row>
    <row r="61789" spans="18:19">
      <c r="R61789" s="178"/>
      <c r="S61789" s="178"/>
    </row>
    <row r="61790" spans="18:19">
      <c r="R61790" s="178"/>
      <c r="S61790" s="178"/>
    </row>
    <row r="61791" spans="18:19">
      <c r="R61791" s="178"/>
      <c r="S61791" s="178"/>
    </row>
    <row r="61792" spans="18:19">
      <c r="R61792" s="178"/>
      <c r="S61792" s="178"/>
    </row>
    <row r="61793" spans="18:19">
      <c r="R61793" s="178"/>
      <c r="S61793" s="178"/>
    </row>
    <row r="61794" spans="18:19">
      <c r="R61794" s="178"/>
      <c r="S61794" s="178"/>
    </row>
    <row r="61795" spans="18:19">
      <c r="R61795" s="178"/>
      <c r="S61795" s="178"/>
    </row>
    <row r="61796" spans="18:19">
      <c r="R61796" s="178"/>
      <c r="S61796" s="178"/>
    </row>
    <row r="61797" spans="18:19">
      <c r="R61797" s="178"/>
      <c r="S61797" s="178"/>
    </row>
    <row r="61798" spans="18:19">
      <c r="R61798" s="178"/>
      <c r="S61798" s="178"/>
    </row>
    <row r="61799" spans="18:19">
      <c r="R61799" s="178"/>
      <c r="S61799" s="178"/>
    </row>
    <row r="61800" spans="18:19">
      <c r="R61800" s="178"/>
      <c r="S61800" s="178"/>
    </row>
    <row r="61801" spans="18:19">
      <c r="R61801" s="178"/>
      <c r="S61801" s="178"/>
    </row>
    <row r="61802" spans="18:19">
      <c r="R61802" s="178"/>
      <c r="S61802" s="178"/>
    </row>
    <row r="61803" spans="18:19">
      <c r="R61803" s="178"/>
      <c r="S61803" s="178"/>
    </row>
    <row r="61804" spans="18:19">
      <c r="R61804" s="178"/>
      <c r="S61804" s="178"/>
    </row>
    <row r="61805" spans="18:19">
      <c r="R61805" s="178"/>
      <c r="S61805" s="178"/>
    </row>
    <row r="61806" spans="18:19">
      <c r="R61806" s="178"/>
      <c r="S61806" s="178"/>
    </row>
    <row r="61807" spans="18:19">
      <c r="R61807" s="178"/>
      <c r="S61807" s="178"/>
    </row>
    <row r="61808" spans="18:19">
      <c r="R61808" s="178"/>
      <c r="S61808" s="178"/>
    </row>
    <row r="61809" spans="18:19">
      <c r="R61809" s="178"/>
      <c r="S61809" s="178"/>
    </row>
    <row r="61810" spans="18:19">
      <c r="R61810" s="178"/>
      <c r="S61810" s="178"/>
    </row>
    <row r="61811" spans="18:19">
      <c r="R61811" s="178"/>
      <c r="S61811" s="178"/>
    </row>
    <row r="61812" spans="18:19">
      <c r="R61812" s="178"/>
      <c r="S61812" s="178"/>
    </row>
    <row r="61813" spans="18:19">
      <c r="R61813" s="178"/>
      <c r="S61813" s="178"/>
    </row>
    <row r="61814" spans="18:19">
      <c r="R61814" s="178"/>
      <c r="S61814" s="178"/>
    </row>
    <row r="61815" spans="18:19">
      <c r="R61815" s="178"/>
      <c r="S61815" s="178"/>
    </row>
    <row r="61816" spans="18:19">
      <c r="R61816" s="178"/>
      <c r="S61816" s="178"/>
    </row>
    <row r="61817" spans="18:19">
      <c r="R61817" s="178"/>
      <c r="S61817" s="178"/>
    </row>
    <row r="61818" spans="18:19">
      <c r="R61818" s="178"/>
      <c r="S61818" s="178"/>
    </row>
    <row r="61819" spans="18:19">
      <c r="R61819" s="178"/>
      <c r="S61819" s="178"/>
    </row>
    <row r="61820" spans="18:19">
      <c r="R61820" s="178"/>
      <c r="S61820" s="178"/>
    </row>
    <row r="61821" spans="18:19">
      <c r="R61821" s="178"/>
      <c r="S61821" s="178"/>
    </row>
    <row r="61822" spans="18:19">
      <c r="R61822" s="178"/>
      <c r="S61822" s="178"/>
    </row>
    <row r="61823" spans="18:19">
      <c r="R61823" s="178"/>
      <c r="S61823" s="178"/>
    </row>
    <row r="61824" spans="18:19">
      <c r="R61824" s="178"/>
      <c r="S61824" s="178"/>
    </row>
    <row r="61825" spans="18:19">
      <c r="R61825" s="178"/>
      <c r="S61825" s="178"/>
    </row>
    <row r="61826" spans="18:19">
      <c r="R61826" s="178"/>
      <c r="S61826" s="178"/>
    </row>
    <row r="61827" spans="18:19">
      <c r="R61827" s="178"/>
      <c r="S61827" s="178"/>
    </row>
    <row r="61828" spans="18:19">
      <c r="R61828" s="178"/>
      <c r="S61828" s="178"/>
    </row>
    <row r="61829" spans="18:19">
      <c r="R61829" s="178"/>
      <c r="S61829" s="178"/>
    </row>
    <row r="61830" spans="18:19">
      <c r="R61830" s="178"/>
      <c r="S61830" s="178"/>
    </row>
    <row r="61831" spans="18:19">
      <c r="R61831" s="178"/>
      <c r="S61831" s="178"/>
    </row>
    <row r="61832" spans="18:19">
      <c r="R61832" s="178"/>
      <c r="S61832" s="178"/>
    </row>
    <row r="61833" spans="18:19">
      <c r="R61833" s="178"/>
      <c r="S61833" s="178"/>
    </row>
    <row r="61834" spans="18:19">
      <c r="R61834" s="178"/>
      <c r="S61834" s="178"/>
    </row>
    <row r="61835" spans="18:19">
      <c r="R61835" s="178"/>
      <c r="S61835" s="178"/>
    </row>
    <row r="61836" spans="18:19">
      <c r="R61836" s="178"/>
      <c r="S61836" s="178"/>
    </row>
    <row r="61837" spans="18:19">
      <c r="R61837" s="178"/>
      <c r="S61837" s="178"/>
    </row>
    <row r="61838" spans="18:19">
      <c r="R61838" s="178"/>
      <c r="S61838" s="178"/>
    </row>
    <row r="61839" spans="18:19">
      <c r="R61839" s="178"/>
      <c r="S61839" s="178"/>
    </row>
    <row r="61840" spans="18:19">
      <c r="R61840" s="178"/>
      <c r="S61840" s="178"/>
    </row>
    <row r="61841" spans="18:19">
      <c r="R61841" s="178"/>
      <c r="S61841" s="178"/>
    </row>
    <row r="61842" spans="18:19">
      <c r="R61842" s="178"/>
      <c r="S61842" s="178"/>
    </row>
    <row r="61843" spans="18:19">
      <c r="R61843" s="178"/>
      <c r="S61843" s="178"/>
    </row>
    <row r="61844" spans="18:19">
      <c r="R61844" s="178"/>
      <c r="S61844" s="178"/>
    </row>
    <row r="61845" spans="18:19">
      <c r="R61845" s="178"/>
      <c r="S61845" s="178"/>
    </row>
    <row r="61846" spans="18:19">
      <c r="R61846" s="178"/>
      <c r="S61846" s="178"/>
    </row>
    <row r="61847" spans="18:19">
      <c r="R61847" s="178"/>
      <c r="S61847" s="178"/>
    </row>
    <row r="61848" spans="18:19">
      <c r="R61848" s="178"/>
      <c r="S61848" s="178"/>
    </row>
    <row r="61849" spans="18:19">
      <c r="R61849" s="178"/>
      <c r="S61849" s="178"/>
    </row>
    <row r="61850" spans="18:19">
      <c r="R61850" s="178"/>
      <c r="S61850" s="178"/>
    </row>
    <row r="61851" spans="18:19">
      <c r="R61851" s="178"/>
      <c r="S61851" s="178"/>
    </row>
    <row r="61852" spans="18:19">
      <c r="R61852" s="178"/>
      <c r="S61852" s="178"/>
    </row>
    <row r="61853" spans="18:19">
      <c r="R61853" s="178"/>
      <c r="S61853" s="178"/>
    </row>
    <row r="61854" spans="18:19">
      <c r="R61854" s="178"/>
      <c r="S61854" s="178"/>
    </row>
    <row r="61855" spans="18:19">
      <c r="R61855" s="178"/>
      <c r="S61855" s="178"/>
    </row>
    <row r="61856" spans="18:19">
      <c r="R61856" s="178"/>
      <c r="S61856" s="178"/>
    </row>
    <row r="61857" spans="18:19">
      <c r="R61857" s="178"/>
      <c r="S61857" s="178"/>
    </row>
    <row r="61858" spans="18:19">
      <c r="R61858" s="178"/>
      <c r="S61858" s="178"/>
    </row>
    <row r="61859" spans="18:19">
      <c r="R61859" s="178"/>
      <c r="S61859" s="178"/>
    </row>
    <row r="61860" spans="18:19">
      <c r="R61860" s="178"/>
      <c r="S61860" s="178"/>
    </row>
    <row r="61861" spans="18:19">
      <c r="R61861" s="178"/>
      <c r="S61861" s="178"/>
    </row>
    <row r="61862" spans="18:19">
      <c r="R61862" s="178"/>
      <c r="S61862" s="178"/>
    </row>
    <row r="61863" spans="18:19">
      <c r="R61863" s="178"/>
      <c r="S61863" s="178"/>
    </row>
    <row r="61864" spans="18:19">
      <c r="R61864" s="178"/>
      <c r="S61864" s="178"/>
    </row>
    <row r="61865" spans="18:19">
      <c r="R61865" s="178"/>
      <c r="S61865" s="178"/>
    </row>
    <row r="61866" spans="18:19">
      <c r="R61866" s="178"/>
      <c r="S61866" s="178"/>
    </row>
    <row r="61867" spans="18:19">
      <c r="R61867" s="178"/>
      <c r="S61867" s="178"/>
    </row>
    <row r="61868" spans="18:19">
      <c r="R61868" s="178"/>
      <c r="S61868" s="178"/>
    </row>
    <row r="61869" spans="18:19">
      <c r="R61869" s="178"/>
      <c r="S61869" s="178"/>
    </row>
    <row r="61870" spans="18:19">
      <c r="R61870" s="178"/>
      <c r="S61870" s="178"/>
    </row>
    <row r="61871" spans="18:19">
      <c r="R61871" s="178"/>
      <c r="S61871" s="178"/>
    </row>
    <row r="61872" spans="18:19">
      <c r="R61872" s="178"/>
      <c r="S61872" s="178"/>
    </row>
    <row r="61873" spans="18:19">
      <c r="R61873" s="178"/>
      <c r="S61873" s="178"/>
    </row>
    <row r="61874" spans="18:19">
      <c r="R61874" s="178"/>
      <c r="S61874" s="178"/>
    </row>
    <row r="61875" spans="18:19">
      <c r="R61875" s="178"/>
      <c r="S61875" s="178"/>
    </row>
    <row r="61876" spans="18:19">
      <c r="R61876" s="178"/>
      <c r="S61876" s="178"/>
    </row>
    <row r="61877" spans="18:19">
      <c r="R61877" s="178"/>
      <c r="S61877" s="178"/>
    </row>
    <row r="61878" spans="18:19">
      <c r="R61878" s="178"/>
      <c r="S61878" s="178"/>
    </row>
    <row r="61879" spans="18:19">
      <c r="R61879" s="178"/>
      <c r="S61879" s="178"/>
    </row>
    <row r="61880" spans="18:19">
      <c r="R61880" s="178"/>
      <c r="S61880" s="178"/>
    </row>
    <row r="61881" spans="18:19">
      <c r="R61881" s="178"/>
      <c r="S61881" s="178"/>
    </row>
    <row r="61882" spans="18:19">
      <c r="R61882" s="178"/>
      <c r="S61882" s="178"/>
    </row>
    <row r="61883" spans="18:19">
      <c r="R61883" s="178"/>
      <c r="S61883" s="178"/>
    </row>
    <row r="61884" spans="18:19">
      <c r="R61884" s="178"/>
      <c r="S61884" s="178"/>
    </row>
    <row r="61885" spans="18:19">
      <c r="R61885" s="178"/>
      <c r="S61885" s="178"/>
    </row>
    <row r="61886" spans="18:19">
      <c r="R61886" s="178"/>
      <c r="S61886" s="178"/>
    </row>
    <row r="61887" spans="18:19">
      <c r="R61887" s="178"/>
      <c r="S61887" s="178"/>
    </row>
    <row r="61888" spans="18:19">
      <c r="R61888" s="178"/>
      <c r="S61888" s="178"/>
    </row>
    <row r="61889" spans="18:19">
      <c r="R61889" s="178"/>
      <c r="S61889" s="178"/>
    </row>
    <row r="61890" spans="18:19">
      <c r="R61890" s="178"/>
      <c r="S61890" s="178"/>
    </row>
    <row r="61891" spans="18:19">
      <c r="R61891" s="178"/>
      <c r="S61891" s="178"/>
    </row>
    <row r="61892" spans="18:19">
      <c r="R61892" s="178"/>
      <c r="S61892" s="178"/>
    </row>
    <row r="61893" spans="18:19">
      <c r="R61893" s="178"/>
      <c r="S61893" s="178"/>
    </row>
    <row r="61894" spans="18:19">
      <c r="R61894" s="178"/>
      <c r="S61894" s="178"/>
    </row>
    <row r="61895" spans="18:19">
      <c r="R61895" s="178"/>
      <c r="S61895" s="178"/>
    </row>
    <row r="61896" spans="18:19">
      <c r="R61896" s="178"/>
      <c r="S61896" s="178"/>
    </row>
    <row r="61897" spans="18:19">
      <c r="R61897" s="178"/>
      <c r="S61897" s="178"/>
    </row>
    <row r="61898" spans="18:19">
      <c r="R61898" s="178"/>
      <c r="S61898" s="178"/>
    </row>
    <row r="61899" spans="18:19">
      <c r="R61899" s="178"/>
      <c r="S61899" s="178"/>
    </row>
    <row r="61900" spans="18:19">
      <c r="R61900" s="178"/>
      <c r="S61900" s="178"/>
    </row>
    <row r="61901" spans="18:19">
      <c r="R61901" s="178"/>
      <c r="S61901" s="178"/>
    </row>
    <row r="61902" spans="18:19">
      <c r="R61902" s="178"/>
      <c r="S61902" s="178"/>
    </row>
    <row r="61903" spans="18:19">
      <c r="R61903" s="178"/>
      <c r="S61903" s="178"/>
    </row>
    <row r="61904" spans="18:19">
      <c r="R61904" s="178"/>
      <c r="S61904" s="178"/>
    </row>
    <row r="61905" spans="18:19">
      <c r="R61905" s="178"/>
      <c r="S61905" s="178"/>
    </row>
    <row r="61906" spans="18:19">
      <c r="R61906" s="178"/>
      <c r="S61906" s="178"/>
    </row>
    <row r="61907" spans="18:19">
      <c r="R61907" s="178"/>
      <c r="S61907" s="178"/>
    </row>
    <row r="61908" spans="18:19">
      <c r="R61908" s="178"/>
      <c r="S61908" s="178"/>
    </row>
    <row r="61909" spans="18:19">
      <c r="R61909" s="178"/>
      <c r="S61909" s="178"/>
    </row>
    <row r="61910" spans="18:19">
      <c r="R61910" s="178"/>
      <c r="S61910" s="178"/>
    </row>
    <row r="61911" spans="18:19">
      <c r="R61911" s="178"/>
      <c r="S61911" s="178"/>
    </row>
    <row r="61912" spans="18:19">
      <c r="R61912" s="178"/>
      <c r="S61912" s="178"/>
    </row>
    <row r="61913" spans="18:19">
      <c r="R61913" s="178"/>
      <c r="S61913" s="178"/>
    </row>
    <row r="61914" spans="18:19">
      <c r="R61914" s="178"/>
      <c r="S61914" s="178"/>
    </row>
    <row r="61915" spans="18:19">
      <c r="R61915" s="178"/>
      <c r="S61915" s="178"/>
    </row>
    <row r="61916" spans="18:19">
      <c r="R61916" s="178"/>
      <c r="S61916" s="178"/>
    </row>
    <row r="61917" spans="18:19">
      <c r="R61917" s="178"/>
      <c r="S61917" s="178"/>
    </row>
    <row r="61918" spans="18:19">
      <c r="R61918" s="178"/>
      <c r="S61918" s="178"/>
    </row>
    <row r="61919" spans="18:19">
      <c r="R61919" s="178"/>
      <c r="S61919" s="178"/>
    </row>
    <row r="61920" spans="18:19">
      <c r="R61920" s="178"/>
      <c r="S61920" s="178"/>
    </row>
    <row r="61921" spans="18:19">
      <c r="R61921" s="178"/>
      <c r="S61921" s="178"/>
    </row>
    <row r="61922" spans="18:19">
      <c r="R61922" s="178"/>
      <c r="S61922" s="178"/>
    </row>
    <row r="61923" spans="18:19">
      <c r="R61923" s="178"/>
      <c r="S61923" s="178"/>
    </row>
    <row r="61924" spans="18:19">
      <c r="R61924" s="178"/>
      <c r="S61924" s="178"/>
    </row>
    <row r="61925" spans="18:19">
      <c r="R61925" s="178"/>
      <c r="S61925" s="178"/>
    </row>
    <row r="61926" spans="18:19">
      <c r="R61926" s="178"/>
      <c r="S61926" s="178"/>
    </row>
    <row r="61927" spans="18:19">
      <c r="R61927" s="178"/>
      <c r="S61927" s="178"/>
    </row>
    <row r="61928" spans="18:19">
      <c r="R61928" s="178"/>
      <c r="S61928" s="178"/>
    </row>
    <row r="61929" spans="18:19">
      <c r="R61929" s="178"/>
      <c r="S61929" s="178"/>
    </row>
    <row r="61930" spans="18:19">
      <c r="R61930" s="178"/>
      <c r="S61930" s="178"/>
    </row>
    <row r="61931" spans="18:19">
      <c r="R61931" s="178"/>
      <c r="S61931" s="178"/>
    </row>
    <row r="61932" spans="18:19">
      <c r="R61932" s="178"/>
      <c r="S61932" s="178"/>
    </row>
    <row r="61933" spans="18:19">
      <c r="R61933" s="178"/>
      <c r="S61933" s="178"/>
    </row>
    <row r="61934" spans="18:19">
      <c r="R61934" s="178"/>
      <c r="S61934" s="178"/>
    </row>
    <row r="61935" spans="18:19">
      <c r="R61935" s="178"/>
      <c r="S61935" s="178"/>
    </row>
    <row r="61936" spans="18:19">
      <c r="R61936" s="178"/>
      <c r="S61936" s="178"/>
    </row>
    <row r="61937" spans="18:19">
      <c r="R61937" s="178"/>
      <c r="S61937" s="178"/>
    </row>
    <row r="61938" spans="18:19">
      <c r="R61938" s="178"/>
      <c r="S61938" s="178"/>
    </row>
    <row r="61939" spans="18:19">
      <c r="R61939" s="178"/>
      <c r="S61939" s="178"/>
    </row>
    <row r="61940" spans="18:19">
      <c r="R61940" s="178"/>
      <c r="S61940" s="178"/>
    </row>
    <row r="61941" spans="18:19">
      <c r="R61941" s="178"/>
      <c r="S61941" s="178"/>
    </row>
    <row r="61942" spans="18:19">
      <c r="R61942" s="178"/>
      <c r="S61942" s="178"/>
    </row>
    <row r="61943" spans="18:19">
      <c r="R61943" s="178"/>
      <c r="S61943" s="178"/>
    </row>
    <row r="61944" spans="18:19">
      <c r="R61944" s="178"/>
      <c r="S61944" s="178"/>
    </row>
    <row r="61945" spans="18:19">
      <c r="R61945" s="178"/>
      <c r="S61945" s="178"/>
    </row>
    <row r="61946" spans="18:19">
      <c r="R61946" s="178"/>
      <c r="S61946" s="178"/>
    </row>
    <row r="61947" spans="18:19">
      <c r="R61947" s="178"/>
      <c r="S61947" s="178"/>
    </row>
    <row r="61948" spans="18:19">
      <c r="R61948" s="178"/>
      <c r="S61948" s="178"/>
    </row>
    <row r="61949" spans="18:19">
      <c r="R61949" s="178"/>
      <c r="S61949" s="178"/>
    </row>
    <row r="61950" spans="18:19">
      <c r="R61950" s="178"/>
      <c r="S61950" s="178"/>
    </row>
    <row r="61951" spans="18:19">
      <c r="R61951" s="178"/>
      <c r="S61951" s="178"/>
    </row>
    <row r="61952" spans="18:19">
      <c r="R61952" s="178"/>
      <c r="S61952" s="178"/>
    </row>
    <row r="61953" spans="18:19">
      <c r="R61953" s="178"/>
      <c r="S61953" s="178"/>
    </row>
    <row r="61954" spans="18:19">
      <c r="R61954" s="178"/>
      <c r="S61954" s="178"/>
    </row>
    <row r="61955" spans="18:19">
      <c r="R61955" s="178"/>
      <c r="S61955" s="178"/>
    </row>
    <row r="61956" spans="18:19">
      <c r="R61956" s="178"/>
      <c r="S61956" s="178"/>
    </row>
    <row r="61957" spans="18:19">
      <c r="R61957" s="178"/>
      <c r="S61957" s="178"/>
    </row>
    <row r="61958" spans="18:19">
      <c r="R61958" s="178"/>
      <c r="S61958" s="178"/>
    </row>
    <row r="61959" spans="18:19">
      <c r="R61959" s="178"/>
      <c r="S61959" s="178"/>
    </row>
    <row r="61960" spans="18:19">
      <c r="R61960" s="178"/>
      <c r="S61960" s="178"/>
    </row>
    <row r="61961" spans="18:19">
      <c r="R61961" s="178"/>
      <c r="S61961" s="178"/>
    </row>
    <row r="61962" spans="18:19">
      <c r="R61962" s="178"/>
      <c r="S61962" s="178"/>
    </row>
    <row r="61963" spans="18:19">
      <c r="R61963" s="178"/>
      <c r="S61963" s="178"/>
    </row>
    <row r="61964" spans="18:19">
      <c r="R61964" s="178"/>
      <c r="S61964" s="178"/>
    </row>
    <row r="61965" spans="18:19">
      <c r="R61965" s="178"/>
      <c r="S61965" s="178"/>
    </row>
    <row r="61966" spans="18:19">
      <c r="R61966" s="178"/>
      <c r="S61966" s="178"/>
    </row>
    <row r="61967" spans="18:19">
      <c r="R61967" s="178"/>
      <c r="S61967" s="178"/>
    </row>
    <row r="61968" spans="18:19">
      <c r="R61968" s="178"/>
      <c r="S61968" s="178"/>
    </row>
    <row r="61969" spans="18:19">
      <c r="R61969" s="178"/>
      <c r="S61969" s="178"/>
    </row>
    <row r="61970" spans="18:19">
      <c r="R61970" s="178"/>
      <c r="S61970" s="178"/>
    </row>
    <row r="61971" spans="18:19">
      <c r="R61971" s="178"/>
      <c r="S61971" s="178"/>
    </row>
    <row r="61972" spans="18:19">
      <c r="R61972" s="178"/>
      <c r="S61972" s="178"/>
    </row>
    <row r="61973" spans="18:19">
      <c r="R61973" s="178"/>
      <c r="S61973" s="178"/>
    </row>
    <row r="61974" spans="18:19">
      <c r="R61974" s="178"/>
      <c r="S61974" s="178"/>
    </row>
    <row r="61975" spans="18:19">
      <c r="R61975" s="178"/>
      <c r="S61975" s="178"/>
    </row>
    <row r="61976" spans="18:19">
      <c r="R61976" s="178"/>
      <c r="S61976" s="178"/>
    </row>
    <row r="61977" spans="18:19">
      <c r="R61977" s="178"/>
      <c r="S61977" s="178"/>
    </row>
    <row r="61978" spans="18:19">
      <c r="R61978" s="178"/>
      <c r="S61978" s="178"/>
    </row>
    <row r="61979" spans="18:19">
      <c r="R61979" s="178"/>
      <c r="S61979" s="178"/>
    </row>
    <row r="61980" spans="18:19">
      <c r="R61980" s="178"/>
      <c r="S61980" s="178"/>
    </row>
    <row r="61981" spans="18:19">
      <c r="R61981" s="178"/>
      <c r="S61981" s="178"/>
    </row>
    <row r="61982" spans="18:19">
      <c r="R61982" s="178"/>
      <c r="S61982" s="178"/>
    </row>
    <row r="61983" spans="18:19">
      <c r="R61983" s="178"/>
      <c r="S61983" s="178"/>
    </row>
    <row r="61984" spans="18:19">
      <c r="R61984" s="178"/>
      <c r="S61984" s="178"/>
    </row>
    <row r="61985" spans="18:19">
      <c r="R61985" s="178"/>
      <c r="S61985" s="178"/>
    </row>
    <row r="61986" spans="18:19">
      <c r="R61986" s="178"/>
      <c r="S61986" s="178"/>
    </row>
    <row r="61987" spans="18:19">
      <c r="R61987" s="178"/>
      <c r="S61987" s="178"/>
    </row>
    <row r="61988" spans="18:19">
      <c r="R61988" s="178"/>
      <c r="S61988" s="178"/>
    </row>
    <row r="61989" spans="18:19">
      <c r="R61989" s="178"/>
      <c r="S61989" s="178"/>
    </row>
    <row r="61990" spans="18:19">
      <c r="R61990" s="178"/>
      <c r="S61990" s="178"/>
    </row>
    <row r="61991" spans="18:19">
      <c r="R61991" s="178"/>
      <c r="S61991" s="178"/>
    </row>
    <row r="61992" spans="18:19">
      <c r="R61992" s="178"/>
      <c r="S61992" s="178"/>
    </row>
    <row r="61993" spans="18:19">
      <c r="R61993" s="178"/>
      <c r="S61993" s="178"/>
    </row>
    <row r="61994" spans="18:19">
      <c r="R61994" s="178"/>
      <c r="S61994" s="178"/>
    </row>
    <row r="61995" spans="18:19">
      <c r="R61995" s="178"/>
      <c r="S61995" s="178"/>
    </row>
    <row r="61996" spans="18:19">
      <c r="R61996" s="178"/>
      <c r="S61996" s="178"/>
    </row>
    <row r="61997" spans="18:19">
      <c r="R61997" s="178"/>
      <c r="S61997" s="178"/>
    </row>
    <row r="61998" spans="18:19">
      <c r="R61998" s="178"/>
      <c r="S61998" s="178"/>
    </row>
    <row r="61999" spans="18:19">
      <c r="R61999" s="178"/>
      <c r="S61999" s="178"/>
    </row>
    <row r="62000" spans="18:19">
      <c r="R62000" s="178"/>
      <c r="S62000" s="178"/>
    </row>
    <row r="62001" spans="18:19">
      <c r="R62001" s="178"/>
      <c r="S62001" s="178"/>
    </row>
    <row r="62002" spans="18:19">
      <c r="R62002" s="178"/>
      <c r="S62002" s="178"/>
    </row>
    <row r="62003" spans="18:19">
      <c r="R62003" s="178"/>
      <c r="S62003" s="178"/>
    </row>
    <row r="62004" spans="18:19">
      <c r="R62004" s="178"/>
      <c r="S62004" s="178"/>
    </row>
    <row r="62005" spans="18:19">
      <c r="R62005" s="178"/>
      <c r="S62005" s="178"/>
    </row>
    <row r="62006" spans="18:19">
      <c r="R62006" s="178"/>
      <c r="S62006" s="178"/>
    </row>
    <row r="62007" spans="18:19">
      <c r="R62007" s="178"/>
      <c r="S62007" s="178"/>
    </row>
    <row r="62008" spans="18:19">
      <c r="R62008" s="178"/>
      <c r="S62008" s="178"/>
    </row>
    <row r="62009" spans="18:19">
      <c r="R62009" s="178"/>
      <c r="S62009" s="178"/>
    </row>
    <row r="62010" spans="18:19">
      <c r="R62010" s="178"/>
      <c r="S62010" s="178"/>
    </row>
    <row r="62011" spans="18:19">
      <c r="R62011" s="178"/>
      <c r="S62011" s="178"/>
    </row>
    <row r="62012" spans="18:19">
      <c r="R62012" s="178"/>
      <c r="S62012" s="178"/>
    </row>
    <row r="62013" spans="18:19">
      <c r="R62013" s="178"/>
      <c r="S62013" s="178"/>
    </row>
    <row r="62014" spans="18:19">
      <c r="R62014" s="178"/>
      <c r="S62014" s="178"/>
    </row>
    <row r="62015" spans="18:19">
      <c r="R62015" s="178"/>
      <c r="S62015" s="178"/>
    </row>
    <row r="62016" spans="18:19">
      <c r="R62016" s="178"/>
      <c r="S62016" s="178"/>
    </row>
    <row r="62017" spans="18:19">
      <c r="R62017" s="178"/>
      <c r="S62017" s="178"/>
    </row>
    <row r="62018" spans="18:19">
      <c r="R62018" s="178"/>
      <c r="S62018" s="178"/>
    </row>
    <row r="62019" spans="18:19">
      <c r="R62019" s="178"/>
      <c r="S62019" s="178"/>
    </row>
    <row r="62020" spans="18:19">
      <c r="R62020" s="178"/>
      <c r="S62020" s="178"/>
    </row>
    <row r="62021" spans="18:19">
      <c r="R62021" s="178"/>
      <c r="S62021" s="178"/>
    </row>
    <row r="62022" spans="18:19">
      <c r="R62022" s="178"/>
      <c r="S62022" s="178"/>
    </row>
    <row r="62023" spans="18:19">
      <c r="R62023" s="178"/>
      <c r="S62023" s="178"/>
    </row>
    <row r="62024" spans="18:19">
      <c r="R62024" s="178"/>
      <c r="S62024" s="178"/>
    </row>
    <row r="62025" spans="18:19">
      <c r="R62025" s="178"/>
      <c r="S62025" s="178"/>
    </row>
    <row r="62026" spans="18:19">
      <c r="R62026" s="178"/>
      <c r="S62026" s="178"/>
    </row>
    <row r="62027" spans="18:19">
      <c r="R62027" s="178"/>
      <c r="S62027" s="178"/>
    </row>
    <row r="62028" spans="18:19">
      <c r="R62028" s="178"/>
      <c r="S62028" s="178"/>
    </row>
    <row r="62029" spans="18:19">
      <c r="R62029" s="178"/>
      <c r="S62029" s="178"/>
    </row>
    <row r="62030" spans="18:19">
      <c r="R62030" s="178"/>
      <c r="S62030" s="178"/>
    </row>
    <row r="62031" spans="18:19">
      <c r="R62031" s="178"/>
      <c r="S62031" s="178"/>
    </row>
    <row r="62032" spans="18:19">
      <c r="R62032" s="178"/>
      <c r="S62032" s="178"/>
    </row>
    <row r="62033" spans="18:19">
      <c r="R62033" s="178"/>
      <c r="S62033" s="178"/>
    </row>
    <row r="62034" spans="18:19">
      <c r="R62034" s="178"/>
      <c r="S62034" s="178"/>
    </row>
    <row r="62035" spans="18:19">
      <c r="R62035" s="178"/>
      <c r="S62035" s="178"/>
    </row>
    <row r="62036" spans="18:19">
      <c r="R62036" s="178"/>
      <c r="S62036" s="178"/>
    </row>
    <row r="62037" spans="18:19">
      <c r="R62037" s="178"/>
      <c r="S62037" s="178"/>
    </row>
    <row r="62038" spans="18:19">
      <c r="R62038" s="178"/>
      <c r="S62038" s="178"/>
    </row>
    <row r="62039" spans="18:19">
      <c r="R62039" s="178"/>
      <c r="S62039" s="178"/>
    </row>
    <row r="62040" spans="18:19">
      <c r="R62040" s="178"/>
      <c r="S62040" s="178"/>
    </row>
    <row r="62041" spans="18:19">
      <c r="R62041" s="178"/>
      <c r="S62041" s="178"/>
    </row>
    <row r="62042" spans="18:19">
      <c r="R62042" s="178"/>
      <c r="S62042" s="178"/>
    </row>
    <row r="62043" spans="18:19">
      <c r="R62043" s="178"/>
      <c r="S62043" s="178"/>
    </row>
    <row r="62044" spans="18:19">
      <c r="R62044" s="178"/>
      <c r="S62044" s="178"/>
    </row>
    <row r="62045" spans="18:19">
      <c r="R62045" s="178"/>
      <c r="S62045" s="178"/>
    </row>
    <row r="62046" spans="18:19">
      <c r="R62046" s="178"/>
      <c r="S62046" s="178"/>
    </row>
    <row r="62047" spans="18:19">
      <c r="R62047" s="178"/>
      <c r="S62047" s="178"/>
    </row>
    <row r="62048" spans="18:19">
      <c r="R62048" s="178"/>
      <c r="S62048" s="178"/>
    </row>
    <row r="62049" spans="18:19">
      <c r="R62049" s="178"/>
      <c r="S62049" s="178"/>
    </row>
    <row r="62050" spans="18:19">
      <c r="R62050" s="178"/>
      <c r="S62050" s="178"/>
    </row>
    <row r="62051" spans="18:19">
      <c r="R62051" s="178"/>
      <c r="S62051" s="178"/>
    </row>
    <row r="62052" spans="18:19">
      <c r="R62052" s="178"/>
      <c r="S62052" s="178"/>
    </row>
    <row r="62053" spans="18:19">
      <c r="R62053" s="178"/>
      <c r="S62053" s="178"/>
    </row>
    <row r="62054" spans="18:19">
      <c r="R62054" s="178"/>
      <c r="S62054" s="178"/>
    </row>
    <row r="62055" spans="18:19">
      <c r="R62055" s="178"/>
      <c r="S62055" s="178"/>
    </row>
    <row r="62056" spans="18:19">
      <c r="R62056" s="178"/>
      <c r="S62056" s="178"/>
    </row>
    <row r="62057" spans="18:19">
      <c r="R62057" s="178"/>
      <c r="S62057" s="178"/>
    </row>
    <row r="62058" spans="18:19">
      <c r="R62058" s="178"/>
      <c r="S62058" s="178"/>
    </row>
    <row r="62059" spans="18:19">
      <c r="R62059" s="178"/>
      <c r="S62059" s="178"/>
    </row>
    <row r="62060" spans="18:19">
      <c r="R62060" s="178"/>
      <c r="S62060" s="178"/>
    </row>
    <row r="62061" spans="18:19">
      <c r="R62061" s="178"/>
      <c r="S62061" s="178"/>
    </row>
    <row r="62062" spans="18:19">
      <c r="R62062" s="178"/>
      <c r="S62062" s="178"/>
    </row>
    <row r="62063" spans="18:19">
      <c r="R62063" s="178"/>
      <c r="S62063" s="178"/>
    </row>
    <row r="62064" spans="18:19">
      <c r="R62064" s="178"/>
      <c r="S62064" s="178"/>
    </row>
    <row r="62065" spans="18:19">
      <c r="R62065" s="178"/>
      <c r="S62065" s="178"/>
    </row>
    <row r="62066" spans="18:19">
      <c r="R62066" s="178"/>
      <c r="S62066" s="178"/>
    </row>
    <row r="62067" spans="18:19">
      <c r="R62067" s="178"/>
      <c r="S62067" s="178"/>
    </row>
    <row r="62068" spans="18:19">
      <c r="R62068" s="178"/>
      <c r="S62068" s="178"/>
    </row>
    <row r="62069" spans="18:19">
      <c r="R62069" s="178"/>
      <c r="S62069" s="178"/>
    </row>
    <row r="62070" spans="18:19">
      <c r="R62070" s="178"/>
      <c r="S62070" s="178"/>
    </row>
    <row r="62071" spans="18:19">
      <c r="R62071" s="178"/>
      <c r="S62071" s="178"/>
    </row>
    <row r="62072" spans="18:19">
      <c r="R62072" s="178"/>
      <c r="S62072" s="178"/>
    </row>
    <row r="62073" spans="18:19">
      <c r="R62073" s="178"/>
      <c r="S62073" s="178"/>
    </row>
    <row r="62074" spans="18:19">
      <c r="R62074" s="178"/>
      <c r="S62074" s="178"/>
    </row>
    <row r="62075" spans="18:19">
      <c r="R62075" s="178"/>
      <c r="S62075" s="178"/>
    </row>
    <row r="62076" spans="18:19">
      <c r="R62076" s="178"/>
      <c r="S62076" s="178"/>
    </row>
    <row r="62077" spans="18:19">
      <c r="R62077" s="178"/>
      <c r="S62077" s="178"/>
    </row>
    <row r="62078" spans="18:19">
      <c r="R62078" s="178"/>
      <c r="S62078" s="178"/>
    </row>
    <row r="62079" spans="18:19">
      <c r="R62079" s="178"/>
      <c r="S62079" s="178"/>
    </row>
    <row r="62080" spans="18:19">
      <c r="R62080" s="178"/>
      <c r="S62080" s="178"/>
    </row>
    <row r="62081" spans="18:19">
      <c r="R62081" s="178"/>
      <c r="S62081" s="178"/>
    </row>
    <row r="62082" spans="18:19">
      <c r="R62082" s="178"/>
      <c r="S62082" s="178"/>
    </row>
    <row r="62083" spans="18:19">
      <c r="R62083" s="178"/>
      <c r="S62083" s="178"/>
    </row>
    <row r="62084" spans="18:19">
      <c r="R62084" s="178"/>
      <c r="S62084" s="178"/>
    </row>
    <row r="62085" spans="18:19">
      <c r="R62085" s="178"/>
      <c r="S62085" s="178"/>
    </row>
    <row r="62086" spans="18:19">
      <c r="R62086" s="178"/>
      <c r="S62086" s="178"/>
    </row>
    <row r="62087" spans="18:19">
      <c r="R62087" s="178"/>
      <c r="S62087" s="178"/>
    </row>
    <row r="62088" spans="18:19">
      <c r="R62088" s="178"/>
      <c r="S62088" s="178"/>
    </row>
    <row r="62089" spans="18:19">
      <c r="R62089" s="178"/>
      <c r="S62089" s="178"/>
    </row>
    <row r="62090" spans="18:19">
      <c r="R62090" s="178"/>
      <c r="S62090" s="178"/>
    </row>
    <row r="62091" spans="18:19">
      <c r="R62091" s="178"/>
      <c r="S62091" s="178"/>
    </row>
    <row r="62092" spans="18:19">
      <c r="R62092" s="178"/>
      <c r="S62092" s="178"/>
    </row>
    <row r="62093" spans="18:19">
      <c r="R62093" s="178"/>
      <c r="S62093" s="178"/>
    </row>
    <row r="62094" spans="18:19">
      <c r="R62094" s="178"/>
      <c r="S62094" s="178"/>
    </row>
    <row r="62095" spans="18:19">
      <c r="R62095" s="178"/>
      <c r="S62095" s="178"/>
    </row>
    <row r="62096" spans="18:19">
      <c r="R62096" s="178"/>
      <c r="S62096" s="178"/>
    </row>
    <row r="62097" spans="18:19">
      <c r="R62097" s="178"/>
      <c r="S62097" s="178"/>
    </row>
    <row r="62098" spans="18:19">
      <c r="R62098" s="178"/>
      <c r="S62098" s="178"/>
    </row>
    <row r="62099" spans="18:19">
      <c r="R62099" s="178"/>
      <c r="S62099" s="178"/>
    </row>
    <row r="62100" spans="18:19">
      <c r="R62100" s="178"/>
      <c r="S62100" s="178"/>
    </row>
    <row r="62101" spans="18:19">
      <c r="R62101" s="178"/>
      <c r="S62101" s="178"/>
    </row>
    <row r="62102" spans="18:19">
      <c r="R62102" s="178"/>
      <c r="S62102" s="178"/>
    </row>
    <row r="62103" spans="18:19">
      <c r="R62103" s="178"/>
      <c r="S62103" s="178"/>
    </row>
    <row r="62104" spans="18:19">
      <c r="R62104" s="178"/>
      <c r="S62104" s="178"/>
    </row>
    <row r="62105" spans="18:19">
      <c r="R62105" s="178"/>
      <c r="S62105" s="178"/>
    </row>
    <row r="62106" spans="18:19">
      <c r="R62106" s="178"/>
      <c r="S62106" s="178"/>
    </row>
    <row r="62107" spans="18:19">
      <c r="R62107" s="178"/>
      <c r="S62107" s="178"/>
    </row>
    <row r="62108" spans="18:19">
      <c r="R62108" s="178"/>
      <c r="S62108" s="178"/>
    </row>
    <row r="62109" spans="18:19">
      <c r="R62109" s="178"/>
      <c r="S62109" s="178"/>
    </row>
    <row r="62110" spans="18:19">
      <c r="R62110" s="178"/>
      <c r="S62110" s="178"/>
    </row>
    <row r="62111" spans="18:19">
      <c r="R62111" s="178"/>
      <c r="S62111" s="178"/>
    </row>
    <row r="62112" spans="18:19">
      <c r="R62112" s="178"/>
      <c r="S62112" s="178"/>
    </row>
    <row r="62113" spans="18:19">
      <c r="R62113" s="178"/>
      <c r="S62113" s="178"/>
    </row>
    <row r="62114" spans="18:19">
      <c r="R62114" s="178"/>
      <c r="S62114" s="178"/>
    </row>
    <row r="62115" spans="18:19">
      <c r="R62115" s="178"/>
      <c r="S62115" s="178"/>
    </row>
    <row r="62116" spans="18:19">
      <c r="R62116" s="178"/>
      <c r="S62116" s="178"/>
    </row>
    <row r="62117" spans="18:19">
      <c r="R62117" s="178"/>
      <c r="S62117" s="178"/>
    </row>
    <row r="62118" spans="18:19">
      <c r="R62118" s="178"/>
      <c r="S62118" s="178"/>
    </row>
    <row r="62119" spans="18:19">
      <c r="R62119" s="178"/>
      <c r="S62119" s="178"/>
    </row>
    <row r="62120" spans="18:19">
      <c r="R62120" s="178"/>
      <c r="S62120" s="178"/>
    </row>
    <row r="62121" spans="18:19">
      <c r="R62121" s="178"/>
      <c r="S62121" s="178"/>
    </row>
    <row r="62122" spans="18:19">
      <c r="R62122" s="178"/>
      <c r="S62122" s="178"/>
    </row>
    <row r="62123" spans="18:19">
      <c r="R62123" s="178"/>
      <c r="S62123" s="178"/>
    </row>
    <row r="62124" spans="18:19">
      <c r="R62124" s="178"/>
      <c r="S62124" s="178"/>
    </row>
    <row r="62125" spans="18:19">
      <c r="R62125" s="178"/>
      <c r="S62125" s="178"/>
    </row>
    <row r="62126" spans="18:19">
      <c r="R62126" s="178"/>
      <c r="S62126" s="178"/>
    </row>
    <row r="62127" spans="18:19">
      <c r="R62127" s="178"/>
      <c r="S62127" s="178"/>
    </row>
    <row r="62128" spans="18:19">
      <c r="R62128" s="178"/>
      <c r="S62128" s="178"/>
    </row>
    <row r="62129" spans="18:19">
      <c r="R62129" s="178"/>
      <c r="S62129" s="178"/>
    </row>
    <row r="62130" spans="18:19">
      <c r="R62130" s="178"/>
      <c r="S62130" s="178"/>
    </row>
    <row r="62131" spans="18:19">
      <c r="R62131" s="178"/>
      <c r="S62131" s="178"/>
    </row>
    <row r="62132" spans="18:19">
      <c r="R62132" s="178"/>
      <c r="S62132" s="178"/>
    </row>
    <row r="62133" spans="18:19">
      <c r="R62133" s="178"/>
      <c r="S62133" s="178"/>
    </row>
    <row r="62134" spans="18:19">
      <c r="R62134" s="178"/>
      <c r="S62134" s="178"/>
    </row>
    <row r="62135" spans="18:19">
      <c r="R62135" s="178"/>
      <c r="S62135" s="178"/>
    </row>
    <row r="62136" spans="18:19">
      <c r="R62136" s="178"/>
      <c r="S62136" s="178"/>
    </row>
    <row r="62137" spans="18:19">
      <c r="R62137" s="178"/>
      <c r="S62137" s="178"/>
    </row>
    <row r="62138" spans="18:19">
      <c r="R62138" s="178"/>
      <c r="S62138" s="178"/>
    </row>
    <row r="62139" spans="18:19">
      <c r="R62139" s="178"/>
      <c r="S62139" s="178"/>
    </row>
    <row r="62140" spans="18:19">
      <c r="R62140" s="178"/>
      <c r="S62140" s="178"/>
    </row>
    <row r="62141" spans="18:19">
      <c r="R62141" s="178"/>
      <c r="S62141" s="178"/>
    </row>
    <row r="62142" spans="18:19">
      <c r="R62142" s="178"/>
      <c r="S62142" s="178"/>
    </row>
    <row r="62143" spans="18:19">
      <c r="R62143" s="178"/>
      <c r="S62143" s="178"/>
    </row>
    <row r="62144" spans="18:19">
      <c r="R62144" s="178"/>
      <c r="S62144" s="178"/>
    </row>
    <row r="62145" spans="18:19">
      <c r="R62145" s="178"/>
      <c r="S62145" s="178"/>
    </row>
    <row r="62146" spans="18:19">
      <c r="R62146" s="178"/>
      <c r="S62146" s="178"/>
    </row>
    <row r="62147" spans="18:19">
      <c r="R62147" s="178"/>
      <c r="S62147" s="178"/>
    </row>
    <row r="62148" spans="18:19">
      <c r="R62148" s="178"/>
      <c r="S62148" s="178"/>
    </row>
    <row r="62149" spans="18:19">
      <c r="R62149" s="178"/>
      <c r="S62149" s="178"/>
    </row>
    <row r="62150" spans="18:19">
      <c r="R62150" s="178"/>
      <c r="S62150" s="178"/>
    </row>
    <row r="62151" spans="18:19">
      <c r="R62151" s="178"/>
      <c r="S62151" s="178"/>
    </row>
    <row r="62152" spans="18:19">
      <c r="R62152" s="178"/>
      <c r="S62152" s="178"/>
    </row>
    <row r="62153" spans="18:19">
      <c r="R62153" s="178"/>
      <c r="S62153" s="178"/>
    </row>
    <row r="62154" spans="18:19">
      <c r="R62154" s="178"/>
      <c r="S62154" s="178"/>
    </row>
    <row r="62155" spans="18:19">
      <c r="R62155" s="178"/>
      <c r="S62155" s="178"/>
    </row>
    <row r="62156" spans="18:19">
      <c r="R62156" s="178"/>
      <c r="S62156" s="178"/>
    </row>
    <row r="62157" spans="18:19">
      <c r="R62157" s="178"/>
      <c r="S62157" s="178"/>
    </row>
    <row r="62158" spans="18:19">
      <c r="R62158" s="178"/>
      <c r="S62158" s="178"/>
    </row>
    <row r="62159" spans="18:19">
      <c r="R62159" s="178"/>
      <c r="S62159" s="178"/>
    </row>
    <row r="62160" spans="18:19">
      <c r="R62160" s="178"/>
      <c r="S62160" s="178"/>
    </row>
    <row r="62161" spans="18:19">
      <c r="R62161" s="178"/>
      <c r="S62161" s="178"/>
    </row>
    <row r="62162" spans="18:19">
      <c r="R62162" s="178"/>
      <c r="S62162" s="178"/>
    </row>
    <row r="62163" spans="18:19">
      <c r="R62163" s="178"/>
      <c r="S62163" s="178"/>
    </row>
    <row r="62164" spans="18:19">
      <c r="R62164" s="178"/>
      <c r="S62164" s="178"/>
    </row>
    <row r="62165" spans="18:19">
      <c r="R62165" s="178"/>
      <c r="S62165" s="178"/>
    </row>
    <row r="62166" spans="18:19">
      <c r="R62166" s="178"/>
      <c r="S62166" s="178"/>
    </row>
    <row r="62167" spans="18:19">
      <c r="R62167" s="178"/>
      <c r="S62167" s="178"/>
    </row>
    <row r="62168" spans="18:19">
      <c r="R62168" s="178"/>
      <c r="S62168" s="178"/>
    </row>
    <row r="62169" spans="18:19">
      <c r="R62169" s="178"/>
      <c r="S62169" s="178"/>
    </row>
    <row r="62170" spans="18:19">
      <c r="R62170" s="178"/>
      <c r="S62170" s="178"/>
    </row>
    <row r="62171" spans="18:19">
      <c r="R62171" s="178"/>
      <c r="S62171" s="178"/>
    </row>
    <row r="62172" spans="18:19">
      <c r="R62172" s="178"/>
      <c r="S62172" s="178"/>
    </row>
    <row r="62173" spans="18:19">
      <c r="R62173" s="178"/>
      <c r="S62173" s="178"/>
    </row>
    <row r="62174" spans="18:19">
      <c r="R62174" s="178"/>
      <c r="S62174" s="178"/>
    </row>
    <row r="62175" spans="18:19">
      <c r="R62175" s="178"/>
      <c r="S62175" s="178"/>
    </row>
    <row r="62176" spans="18:19">
      <c r="R62176" s="178"/>
      <c r="S62176" s="178"/>
    </row>
    <row r="62177" spans="18:19">
      <c r="R62177" s="178"/>
      <c r="S62177" s="178"/>
    </row>
    <row r="62178" spans="18:19">
      <c r="R62178" s="178"/>
      <c r="S62178" s="178"/>
    </row>
    <row r="62179" spans="18:19">
      <c r="R62179" s="178"/>
      <c r="S62179" s="178"/>
    </row>
    <row r="62180" spans="18:19">
      <c r="R62180" s="178"/>
      <c r="S62180" s="178"/>
    </row>
    <row r="62181" spans="18:19">
      <c r="R62181" s="178"/>
      <c r="S62181" s="178"/>
    </row>
    <row r="62182" spans="18:19">
      <c r="R62182" s="178"/>
      <c r="S62182" s="178"/>
    </row>
    <row r="62183" spans="18:19">
      <c r="R62183" s="178"/>
      <c r="S62183" s="178"/>
    </row>
    <row r="62184" spans="18:19">
      <c r="R62184" s="178"/>
      <c r="S62184" s="178"/>
    </row>
    <row r="62185" spans="18:19">
      <c r="R62185" s="178"/>
      <c r="S62185" s="178"/>
    </row>
    <row r="62186" spans="18:19">
      <c r="R62186" s="178"/>
      <c r="S62186" s="178"/>
    </row>
    <row r="62187" spans="18:19">
      <c r="R62187" s="178"/>
      <c r="S62187" s="178"/>
    </row>
    <row r="62188" spans="18:19">
      <c r="R62188" s="178"/>
      <c r="S62188" s="178"/>
    </row>
    <row r="62189" spans="18:19">
      <c r="R62189" s="178"/>
      <c r="S62189" s="178"/>
    </row>
    <row r="62190" spans="18:19">
      <c r="R62190" s="178"/>
      <c r="S62190" s="178"/>
    </row>
    <row r="62191" spans="18:19">
      <c r="R62191" s="178"/>
      <c r="S62191" s="178"/>
    </row>
    <row r="62192" spans="18:19">
      <c r="R62192" s="178"/>
      <c r="S62192" s="178"/>
    </row>
    <row r="62193" spans="18:19">
      <c r="R62193" s="178"/>
      <c r="S62193" s="178"/>
    </row>
    <row r="62194" spans="18:19">
      <c r="R62194" s="178"/>
      <c r="S62194" s="178"/>
    </row>
    <row r="62195" spans="18:19">
      <c r="R62195" s="178"/>
      <c r="S62195" s="178"/>
    </row>
    <row r="62196" spans="18:19">
      <c r="R62196" s="178"/>
      <c r="S62196" s="178"/>
    </row>
    <row r="62197" spans="18:19">
      <c r="R62197" s="178"/>
      <c r="S62197" s="178"/>
    </row>
    <row r="62198" spans="18:19">
      <c r="R62198" s="178"/>
      <c r="S62198" s="178"/>
    </row>
    <row r="62199" spans="18:19">
      <c r="R62199" s="178"/>
      <c r="S62199" s="178"/>
    </row>
    <row r="62200" spans="18:19">
      <c r="R62200" s="178"/>
      <c r="S62200" s="178"/>
    </row>
    <row r="62201" spans="18:19">
      <c r="R62201" s="178"/>
      <c r="S62201" s="178"/>
    </row>
    <row r="62202" spans="18:19">
      <c r="R62202" s="178"/>
      <c r="S62202" s="178"/>
    </row>
    <row r="62203" spans="18:19">
      <c r="R62203" s="178"/>
      <c r="S62203" s="178"/>
    </row>
    <row r="62204" spans="18:19">
      <c r="R62204" s="178"/>
      <c r="S62204" s="178"/>
    </row>
    <row r="62205" spans="18:19">
      <c r="R62205" s="178"/>
      <c r="S62205" s="178"/>
    </row>
    <row r="62206" spans="18:19">
      <c r="R62206" s="178"/>
      <c r="S62206" s="178"/>
    </row>
    <row r="62207" spans="18:19">
      <c r="R62207" s="178"/>
      <c r="S62207" s="178"/>
    </row>
    <row r="62208" spans="18:19">
      <c r="R62208" s="178"/>
      <c r="S62208" s="178"/>
    </row>
    <row r="62209" spans="18:19">
      <c r="R62209" s="178"/>
      <c r="S62209" s="178"/>
    </row>
    <row r="62210" spans="18:19">
      <c r="R62210" s="178"/>
      <c r="S62210" s="178"/>
    </row>
    <row r="62211" spans="18:19">
      <c r="R62211" s="178"/>
      <c r="S62211" s="178"/>
    </row>
    <row r="62212" spans="18:19">
      <c r="R62212" s="178"/>
      <c r="S62212" s="178"/>
    </row>
    <row r="62213" spans="18:19">
      <c r="R62213" s="178"/>
      <c r="S62213" s="178"/>
    </row>
    <row r="62214" spans="18:19">
      <c r="R62214" s="178"/>
      <c r="S62214" s="178"/>
    </row>
    <row r="62215" spans="18:19">
      <c r="R62215" s="178"/>
      <c r="S62215" s="178"/>
    </row>
    <row r="62216" spans="18:19">
      <c r="R62216" s="178"/>
      <c r="S62216" s="178"/>
    </row>
    <row r="62217" spans="18:19">
      <c r="R62217" s="178"/>
      <c r="S62217" s="178"/>
    </row>
    <row r="62218" spans="18:19">
      <c r="R62218" s="178"/>
      <c r="S62218" s="178"/>
    </row>
    <row r="62219" spans="18:19">
      <c r="R62219" s="178"/>
      <c r="S62219" s="178"/>
    </row>
    <row r="62220" spans="18:19">
      <c r="R62220" s="178"/>
      <c r="S62220" s="178"/>
    </row>
    <row r="62221" spans="18:19">
      <c r="R62221" s="178"/>
      <c r="S62221" s="178"/>
    </row>
    <row r="62222" spans="18:19">
      <c r="R62222" s="178"/>
      <c r="S62222" s="178"/>
    </row>
    <row r="62223" spans="18:19">
      <c r="R62223" s="178"/>
      <c r="S62223" s="178"/>
    </row>
    <row r="62224" spans="18:19">
      <c r="R62224" s="178"/>
      <c r="S62224" s="178"/>
    </row>
    <row r="62225" spans="18:19">
      <c r="R62225" s="178"/>
      <c r="S62225" s="178"/>
    </row>
    <row r="62226" spans="18:19">
      <c r="R62226" s="178"/>
      <c r="S62226" s="178"/>
    </row>
    <row r="62227" spans="18:19">
      <c r="R62227" s="178"/>
      <c r="S62227" s="178"/>
    </row>
    <row r="62228" spans="18:19">
      <c r="R62228" s="178"/>
      <c r="S62228" s="178"/>
    </row>
    <row r="62229" spans="18:19">
      <c r="R62229" s="178"/>
      <c r="S62229" s="178"/>
    </row>
    <row r="62230" spans="18:19">
      <c r="R62230" s="178"/>
      <c r="S62230" s="178"/>
    </row>
    <row r="62231" spans="18:19">
      <c r="R62231" s="178"/>
      <c r="S62231" s="178"/>
    </row>
    <row r="62232" spans="18:19">
      <c r="R62232" s="178"/>
      <c r="S62232" s="178"/>
    </row>
    <row r="62233" spans="18:19">
      <c r="R62233" s="178"/>
      <c r="S62233" s="178"/>
    </row>
    <row r="62234" spans="18:19">
      <c r="R62234" s="178"/>
      <c r="S62234" s="178"/>
    </row>
    <row r="62235" spans="18:19">
      <c r="R62235" s="178"/>
      <c r="S62235" s="178"/>
    </row>
    <row r="62236" spans="18:19">
      <c r="R62236" s="178"/>
      <c r="S62236" s="178"/>
    </row>
    <row r="62237" spans="18:19">
      <c r="R62237" s="178"/>
      <c r="S62237" s="178"/>
    </row>
    <row r="62238" spans="18:19">
      <c r="R62238" s="178"/>
      <c r="S62238" s="178"/>
    </row>
    <row r="62239" spans="18:19">
      <c r="R62239" s="178"/>
      <c r="S62239" s="178"/>
    </row>
    <row r="62240" spans="18:19">
      <c r="R62240" s="178"/>
      <c r="S62240" s="178"/>
    </row>
    <row r="62241" spans="18:19">
      <c r="R62241" s="178"/>
      <c r="S62241" s="178"/>
    </row>
    <row r="62242" spans="18:19">
      <c r="R62242" s="178"/>
      <c r="S62242" s="178"/>
    </row>
    <row r="62243" spans="18:19">
      <c r="R62243" s="178"/>
      <c r="S62243" s="178"/>
    </row>
    <row r="62244" spans="18:19">
      <c r="R62244" s="178"/>
      <c r="S62244" s="178"/>
    </row>
    <row r="62245" spans="18:19">
      <c r="R62245" s="178"/>
      <c r="S62245" s="178"/>
    </row>
    <row r="62246" spans="18:19">
      <c r="R62246" s="178"/>
      <c r="S62246" s="178"/>
    </row>
    <row r="62247" spans="18:19">
      <c r="R62247" s="178"/>
      <c r="S62247" s="178"/>
    </row>
    <row r="62248" spans="18:19">
      <c r="R62248" s="178"/>
      <c r="S62248" s="178"/>
    </row>
    <row r="62249" spans="18:19">
      <c r="R62249" s="178"/>
      <c r="S62249" s="178"/>
    </row>
    <row r="62250" spans="18:19">
      <c r="R62250" s="178"/>
      <c r="S62250" s="178"/>
    </row>
    <row r="62251" spans="18:19">
      <c r="R62251" s="178"/>
      <c r="S62251" s="178"/>
    </row>
    <row r="62252" spans="18:19">
      <c r="R62252" s="178"/>
      <c r="S62252" s="178"/>
    </row>
    <row r="62253" spans="18:19">
      <c r="R62253" s="178"/>
      <c r="S62253" s="178"/>
    </row>
    <row r="62254" spans="18:19">
      <c r="R62254" s="178"/>
      <c r="S62254" s="178"/>
    </row>
    <row r="62255" spans="18:19">
      <c r="R62255" s="178"/>
      <c r="S62255" s="178"/>
    </row>
    <row r="62256" spans="18:19">
      <c r="R62256" s="178"/>
      <c r="S62256" s="178"/>
    </row>
    <row r="62257" spans="18:19">
      <c r="R62257" s="178"/>
      <c r="S62257" s="178"/>
    </row>
    <row r="62258" spans="18:19">
      <c r="R62258" s="178"/>
      <c r="S62258" s="178"/>
    </row>
    <row r="62259" spans="18:19">
      <c r="R62259" s="178"/>
      <c r="S62259" s="178"/>
    </row>
    <row r="62260" spans="18:19">
      <c r="R62260" s="178"/>
      <c r="S62260" s="178"/>
    </row>
    <row r="62261" spans="18:19">
      <c r="R62261" s="178"/>
      <c r="S62261" s="178"/>
    </row>
    <row r="62262" spans="18:19">
      <c r="R62262" s="178"/>
      <c r="S62262" s="178"/>
    </row>
    <row r="62263" spans="18:19">
      <c r="R62263" s="178"/>
      <c r="S62263" s="178"/>
    </row>
    <row r="62264" spans="18:19">
      <c r="R62264" s="178"/>
      <c r="S62264" s="178"/>
    </row>
    <row r="62265" spans="18:19">
      <c r="R62265" s="178"/>
      <c r="S62265" s="178"/>
    </row>
    <row r="62266" spans="18:19">
      <c r="R62266" s="178"/>
      <c r="S62266" s="178"/>
    </row>
    <row r="62267" spans="18:19">
      <c r="R62267" s="178"/>
      <c r="S62267" s="178"/>
    </row>
    <row r="62268" spans="18:19">
      <c r="R62268" s="178"/>
      <c r="S62268" s="178"/>
    </row>
    <row r="62269" spans="18:19">
      <c r="R62269" s="178"/>
      <c r="S62269" s="178"/>
    </row>
    <row r="62270" spans="18:19">
      <c r="R62270" s="178"/>
      <c r="S62270" s="178"/>
    </row>
    <row r="62271" spans="18:19">
      <c r="R62271" s="178"/>
      <c r="S62271" s="178"/>
    </row>
    <row r="62272" spans="18:19">
      <c r="R62272" s="178"/>
      <c r="S62272" s="178"/>
    </row>
    <row r="62273" spans="18:19">
      <c r="R62273" s="178"/>
      <c r="S62273" s="178"/>
    </row>
    <row r="62274" spans="18:19">
      <c r="R62274" s="178"/>
      <c r="S62274" s="178"/>
    </row>
    <row r="62275" spans="18:19">
      <c r="R62275" s="178"/>
      <c r="S62275" s="178"/>
    </row>
    <row r="62276" spans="18:19">
      <c r="R62276" s="178"/>
      <c r="S62276" s="178"/>
    </row>
    <row r="62277" spans="18:19">
      <c r="R62277" s="178"/>
      <c r="S62277" s="178"/>
    </row>
    <row r="62278" spans="18:19">
      <c r="R62278" s="178"/>
      <c r="S62278" s="178"/>
    </row>
    <row r="62279" spans="18:19">
      <c r="R62279" s="178"/>
      <c r="S62279" s="178"/>
    </row>
    <row r="62280" spans="18:19">
      <c r="R62280" s="178"/>
      <c r="S62280" s="178"/>
    </row>
    <row r="62281" spans="18:19">
      <c r="R62281" s="178"/>
      <c r="S62281" s="178"/>
    </row>
    <row r="62282" spans="18:19">
      <c r="R62282" s="178"/>
      <c r="S62282" s="178"/>
    </row>
    <row r="62283" spans="18:19">
      <c r="R62283" s="178"/>
      <c r="S62283" s="178"/>
    </row>
    <row r="62284" spans="18:19">
      <c r="R62284" s="178"/>
      <c r="S62284" s="178"/>
    </row>
    <row r="62285" spans="18:19">
      <c r="R62285" s="178"/>
      <c r="S62285" s="178"/>
    </row>
    <row r="62286" spans="18:19">
      <c r="R62286" s="178"/>
      <c r="S62286" s="178"/>
    </row>
    <row r="62287" spans="18:19">
      <c r="R62287" s="178"/>
      <c r="S62287" s="178"/>
    </row>
    <row r="62288" spans="18:19">
      <c r="R62288" s="178"/>
      <c r="S62288" s="178"/>
    </row>
    <row r="62289" spans="18:19">
      <c r="R62289" s="178"/>
      <c r="S62289" s="178"/>
    </row>
    <row r="62290" spans="18:19">
      <c r="R62290" s="178"/>
      <c r="S62290" s="178"/>
    </row>
    <row r="62291" spans="18:19">
      <c r="R62291" s="178"/>
      <c r="S62291" s="178"/>
    </row>
    <row r="62292" spans="18:19">
      <c r="R62292" s="178"/>
      <c r="S62292" s="178"/>
    </row>
    <row r="62293" spans="18:19">
      <c r="R62293" s="178"/>
      <c r="S62293" s="178"/>
    </row>
    <row r="62294" spans="18:19">
      <c r="R62294" s="178"/>
      <c r="S62294" s="178"/>
    </row>
    <row r="62295" spans="18:19">
      <c r="R62295" s="178"/>
      <c r="S62295" s="178"/>
    </row>
    <row r="62296" spans="18:19">
      <c r="R62296" s="178"/>
      <c r="S62296" s="178"/>
    </row>
    <row r="62297" spans="18:19">
      <c r="R62297" s="178"/>
      <c r="S62297" s="178"/>
    </row>
    <row r="62298" spans="18:19">
      <c r="R62298" s="178"/>
      <c r="S62298" s="178"/>
    </row>
    <row r="62299" spans="18:19">
      <c r="R62299" s="178"/>
      <c r="S62299" s="178"/>
    </row>
    <row r="62300" spans="18:19">
      <c r="R62300" s="178"/>
      <c r="S62300" s="178"/>
    </row>
    <row r="62301" spans="18:19">
      <c r="R62301" s="178"/>
      <c r="S62301" s="178"/>
    </row>
    <row r="62302" spans="18:19">
      <c r="R62302" s="178"/>
      <c r="S62302" s="178"/>
    </row>
    <row r="62303" spans="18:19">
      <c r="R62303" s="178"/>
      <c r="S62303" s="178"/>
    </row>
    <row r="62304" spans="18:19">
      <c r="R62304" s="178"/>
      <c r="S62304" s="178"/>
    </row>
    <row r="62305" spans="18:19">
      <c r="R62305" s="178"/>
      <c r="S62305" s="178"/>
    </row>
    <row r="62306" spans="18:19">
      <c r="R62306" s="178"/>
      <c r="S62306" s="178"/>
    </row>
    <row r="62307" spans="18:19">
      <c r="R62307" s="178"/>
      <c r="S62307" s="178"/>
    </row>
    <row r="62308" spans="18:19">
      <c r="R62308" s="178"/>
      <c r="S62308" s="178"/>
    </row>
    <row r="62309" spans="18:19">
      <c r="R62309" s="178"/>
      <c r="S62309" s="178"/>
    </row>
    <row r="62310" spans="18:19">
      <c r="R62310" s="178"/>
      <c r="S62310" s="178"/>
    </row>
    <row r="62311" spans="18:19">
      <c r="R62311" s="178"/>
      <c r="S62311" s="178"/>
    </row>
    <row r="62312" spans="18:19">
      <c r="R62312" s="178"/>
      <c r="S62312" s="178"/>
    </row>
    <row r="62313" spans="18:19">
      <c r="R62313" s="178"/>
      <c r="S62313" s="178"/>
    </row>
    <row r="62314" spans="18:19">
      <c r="R62314" s="178"/>
      <c r="S62314" s="178"/>
    </row>
    <row r="62315" spans="18:19">
      <c r="R62315" s="178"/>
      <c r="S62315" s="178"/>
    </row>
    <row r="62316" spans="18:19">
      <c r="R62316" s="178"/>
      <c r="S62316" s="178"/>
    </row>
    <row r="62317" spans="18:19">
      <c r="R62317" s="178"/>
      <c r="S62317" s="178"/>
    </row>
    <row r="62318" spans="18:19">
      <c r="R62318" s="178"/>
      <c r="S62318" s="178"/>
    </row>
    <row r="62319" spans="18:19">
      <c r="R62319" s="178"/>
      <c r="S62319" s="178"/>
    </row>
    <row r="62320" spans="18:19">
      <c r="R62320" s="178"/>
      <c r="S62320" s="178"/>
    </row>
    <row r="62321" spans="18:19">
      <c r="R62321" s="178"/>
      <c r="S62321" s="178"/>
    </row>
    <row r="62322" spans="18:19">
      <c r="R62322" s="178"/>
      <c r="S62322" s="178"/>
    </row>
    <row r="62323" spans="18:19">
      <c r="R62323" s="178"/>
      <c r="S62323" s="178"/>
    </row>
    <row r="62324" spans="18:19">
      <c r="R62324" s="178"/>
      <c r="S62324" s="178"/>
    </row>
    <row r="62325" spans="18:19">
      <c r="R62325" s="178"/>
      <c r="S62325" s="178"/>
    </row>
    <row r="62326" spans="18:19">
      <c r="R62326" s="178"/>
      <c r="S62326" s="178"/>
    </row>
    <row r="62327" spans="18:19">
      <c r="R62327" s="178"/>
      <c r="S62327" s="178"/>
    </row>
    <row r="62328" spans="18:19">
      <c r="R62328" s="178"/>
      <c r="S62328" s="178"/>
    </row>
    <row r="62329" spans="18:19">
      <c r="R62329" s="178"/>
      <c r="S62329" s="178"/>
    </row>
    <row r="62330" spans="18:19">
      <c r="R62330" s="178"/>
      <c r="S62330" s="178"/>
    </row>
    <row r="62331" spans="18:19">
      <c r="R62331" s="178"/>
      <c r="S62331" s="178"/>
    </row>
    <row r="62332" spans="18:19">
      <c r="R62332" s="178"/>
      <c r="S62332" s="178"/>
    </row>
    <row r="62333" spans="18:19">
      <c r="R62333" s="178"/>
      <c r="S62333" s="178"/>
    </row>
    <row r="62334" spans="18:19">
      <c r="R62334" s="178"/>
      <c r="S62334" s="178"/>
    </row>
    <row r="62335" spans="18:19">
      <c r="R62335" s="178"/>
      <c r="S62335" s="178"/>
    </row>
    <row r="62336" spans="18:19">
      <c r="R62336" s="178"/>
      <c r="S62336" s="178"/>
    </row>
    <row r="62337" spans="18:19">
      <c r="R62337" s="178"/>
      <c r="S62337" s="178"/>
    </row>
    <row r="62338" spans="18:19">
      <c r="R62338" s="178"/>
      <c r="S62338" s="178"/>
    </row>
    <row r="62339" spans="18:19">
      <c r="R62339" s="178"/>
      <c r="S62339" s="178"/>
    </row>
    <row r="62340" spans="18:19">
      <c r="R62340" s="178"/>
      <c r="S62340" s="178"/>
    </row>
    <row r="62341" spans="18:19">
      <c r="R62341" s="178"/>
      <c r="S62341" s="178"/>
    </row>
    <row r="62342" spans="18:19">
      <c r="R62342" s="178"/>
      <c r="S62342" s="178"/>
    </row>
    <row r="62343" spans="18:19">
      <c r="R62343" s="178"/>
      <c r="S62343" s="178"/>
    </row>
    <row r="62344" spans="18:19">
      <c r="R62344" s="178"/>
      <c r="S62344" s="178"/>
    </row>
    <row r="62345" spans="18:19">
      <c r="R62345" s="178"/>
      <c r="S62345" s="178"/>
    </row>
    <row r="62346" spans="18:19">
      <c r="R62346" s="178"/>
      <c r="S62346" s="178"/>
    </row>
    <row r="62347" spans="18:19">
      <c r="R62347" s="178"/>
      <c r="S62347" s="178"/>
    </row>
    <row r="62348" spans="18:19">
      <c r="R62348" s="178"/>
      <c r="S62348" s="178"/>
    </row>
    <row r="62349" spans="18:19">
      <c r="R62349" s="178"/>
      <c r="S62349" s="178"/>
    </row>
    <row r="62350" spans="18:19">
      <c r="R62350" s="178"/>
      <c r="S62350" s="178"/>
    </row>
    <row r="62351" spans="18:19">
      <c r="R62351" s="178"/>
      <c r="S62351" s="178"/>
    </row>
    <row r="62352" spans="18:19">
      <c r="R62352" s="178"/>
      <c r="S62352" s="178"/>
    </row>
    <row r="62353" spans="18:19">
      <c r="R62353" s="178"/>
      <c r="S62353" s="178"/>
    </row>
    <row r="62354" spans="18:19">
      <c r="R62354" s="178"/>
      <c r="S62354" s="178"/>
    </row>
    <row r="62355" spans="18:19">
      <c r="R62355" s="178"/>
      <c r="S62355" s="178"/>
    </row>
    <row r="62356" spans="18:19">
      <c r="R62356" s="178"/>
      <c r="S62356" s="178"/>
    </row>
    <row r="62357" spans="18:19">
      <c r="R62357" s="178"/>
      <c r="S62357" s="178"/>
    </row>
    <row r="62358" spans="18:19">
      <c r="R62358" s="178"/>
      <c r="S62358" s="178"/>
    </row>
    <row r="62359" spans="18:19">
      <c r="R62359" s="178"/>
      <c r="S62359" s="178"/>
    </row>
    <row r="62360" spans="18:19">
      <c r="R62360" s="178"/>
      <c r="S62360" s="178"/>
    </row>
    <row r="62361" spans="18:19">
      <c r="R62361" s="178"/>
      <c r="S62361" s="178"/>
    </row>
    <row r="62362" spans="18:19">
      <c r="R62362" s="178"/>
      <c r="S62362" s="178"/>
    </row>
    <row r="62363" spans="18:19">
      <c r="R62363" s="178"/>
      <c r="S62363" s="178"/>
    </row>
    <row r="62364" spans="18:19">
      <c r="R62364" s="178"/>
      <c r="S62364" s="178"/>
    </row>
    <row r="62365" spans="18:19">
      <c r="R62365" s="178"/>
      <c r="S62365" s="178"/>
    </row>
    <row r="62366" spans="18:19">
      <c r="R62366" s="178"/>
      <c r="S62366" s="178"/>
    </row>
    <row r="62367" spans="18:19">
      <c r="R62367" s="178"/>
      <c r="S62367" s="178"/>
    </row>
    <row r="62368" spans="18:19">
      <c r="R62368" s="178"/>
      <c r="S62368" s="178"/>
    </row>
    <row r="62369" spans="18:19">
      <c r="R62369" s="178"/>
      <c r="S62369" s="178"/>
    </row>
    <row r="62370" spans="18:19">
      <c r="R62370" s="178"/>
      <c r="S62370" s="178"/>
    </row>
    <row r="62371" spans="18:19">
      <c r="R62371" s="178"/>
      <c r="S62371" s="178"/>
    </row>
    <row r="62372" spans="18:19">
      <c r="R62372" s="178"/>
      <c r="S62372" s="178"/>
    </row>
    <row r="62373" spans="18:19">
      <c r="R62373" s="178"/>
      <c r="S62373" s="178"/>
    </row>
    <row r="62374" spans="18:19">
      <c r="R62374" s="178"/>
      <c r="S62374" s="178"/>
    </row>
    <row r="62375" spans="18:19">
      <c r="R62375" s="178"/>
      <c r="S62375" s="178"/>
    </row>
    <row r="62376" spans="18:19">
      <c r="R62376" s="178"/>
      <c r="S62376" s="178"/>
    </row>
    <row r="62377" spans="18:19">
      <c r="R62377" s="178"/>
      <c r="S62377" s="178"/>
    </row>
    <row r="62378" spans="18:19">
      <c r="R62378" s="178"/>
      <c r="S62378" s="178"/>
    </row>
    <row r="62379" spans="18:19">
      <c r="R62379" s="178"/>
      <c r="S62379" s="178"/>
    </row>
    <row r="62380" spans="18:19">
      <c r="R62380" s="178"/>
      <c r="S62380" s="178"/>
    </row>
    <row r="62381" spans="18:19">
      <c r="R62381" s="178"/>
      <c r="S62381" s="178"/>
    </row>
    <row r="62382" spans="18:19">
      <c r="R62382" s="178"/>
      <c r="S62382" s="178"/>
    </row>
    <row r="62383" spans="18:19">
      <c r="R62383" s="178"/>
      <c r="S62383" s="178"/>
    </row>
    <row r="62384" spans="18:19">
      <c r="R62384" s="178"/>
      <c r="S62384" s="178"/>
    </row>
    <row r="62385" spans="18:19">
      <c r="R62385" s="178"/>
      <c r="S62385" s="178"/>
    </row>
    <row r="62386" spans="18:19">
      <c r="R62386" s="178"/>
      <c r="S62386" s="178"/>
    </row>
    <row r="62387" spans="18:19">
      <c r="R62387" s="178"/>
      <c r="S62387" s="178"/>
    </row>
    <row r="62388" spans="18:19">
      <c r="R62388" s="178"/>
      <c r="S62388" s="178"/>
    </row>
    <row r="62389" spans="18:19">
      <c r="R62389" s="178"/>
      <c r="S62389" s="178"/>
    </row>
    <row r="62390" spans="18:19">
      <c r="R62390" s="178"/>
      <c r="S62390" s="178"/>
    </row>
    <row r="62391" spans="18:19">
      <c r="R62391" s="178"/>
      <c r="S62391" s="178"/>
    </row>
    <row r="62392" spans="18:19">
      <c r="R62392" s="178"/>
      <c r="S62392" s="178"/>
    </row>
    <row r="62393" spans="18:19">
      <c r="R62393" s="178"/>
      <c r="S62393" s="178"/>
    </row>
    <row r="62394" spans="18:19">
      <c r="R62394" s="178"/>
      <c r="S62394" s="178"/>
    </row>
    <row r="62395" spans="18:19">
      <c r="R62395" s="178"/>
      <c r="S62395" s="178"/>
    </row>
    <row r="62396" spans="18:19">
      <c r="R62396" s="178"/>
      <c r="S62396" s="178"/>
    </row>
    <row r="62397" spans="18:19">
      <c r="R62397" s="178"/>
      <c r="S62397" s="178"/>
    </row>
    <row r="62398" spans="18:19">
      <c r="R62398" s="178"/>
      <c r="S62398" s="178"/>
    </row>
    <row r="62399" spans="18:19">
      <c r="R62399" s="178"/>
      <c r="S62399" s="178"/>
    </row>
    <row r="62400" spans="18:19">
      <c r="R62400" s="178"/>
      <c r="S62400" s="178"/>
    </row>
    <row r="62401" spans="18:19">
      <c r="R62401" s="178"/>
      <c r="S62401" s="178"/>
    </row>
    <row r="62402" spans="18:19">
      <c r="R62402" s="178"/>
      <c r="S62402" s="178"/>
    </row>
    <row r="62403" spans="18:19">
      <c r="R62403" s="178"/>
      <c r="S62403" s="178"/>
    </row>
    <row r="62404" spans="18:19">
      <c r="R62404" s="178"/>
      <c r="S62404" s="178"/>
    </row>
    <row r="62405" spans="18:19">
      <c r="R62405" s="178"/>
      <c r="S62405" s="178"/>
    </row>
    <row r="62406" spans="18:19">
      <c r="R62406" s="178"/>
      <c r="S62406" s="178"/>
    </row>
    <row r="62407" spans="18:19">
      <c r="R62407" s="178"/>
      <c r="S62407" s="178"/>
    </row>
    <row r="62408" spans="18:19">
      <c r="R62408" s="178"/>
      <c r="S62408" s="178"/>
    </row>
    <row r="62409" spans="18:19">
      <c r="R62409" s="178"/>
      <c r="S62409" s="178"/>
    </row>
    <row r="62410" spans="18:19">
      <c r="R62410" s="178"/>
      <c r="S62410" s="178"/>
    </row>
    <row r="62411" spans="18:19">
      <c r="R62411" s="178"/>
      <c r="S62411" s="178"/>
    </row>
    <row r="62412" spans="18:19">
      <c r="R62412" s="178"/>
      <c r="S62412" s="178"/>
    </row>
    <row r="62413" spans="18:19">
      <c r="R62413" s="178"/>
      <c r="S62413" s="178"/>
    </row>
    <row r="62414" spans="18:19">
      <c r="R62414" s="178"/>
      <c r="S62414" s="178"/>
    </row>
    <row r="62415" spans="18:19">
      <c r="R62415" s="178"/>
      <c r="S62415" s="178"/>
    </row>
    <row r="62416" spans="18:19">
      <c r="R62416" s="178"/>
      <c r="S62416" s="178"/>
    </row>
    <row r="62417" spans="18:19">
      <c r="R62417" s="178"/>
      <c r="S62417" s="178"/>
    </row>
    <row r="62418" spans="18:19">
      <c r="R62418" s="178"/>
      <c r="S62418" s="178"/>
    </row>
    <row r="62419" spans="18:19">
      <c r="R62419" s="178"/>
      <c r="S62419" s="178"/>
    </row>
    <row r="62420" spans="18:19">
      <c r="R62420" s="178"/>
      <c r="S62420" s="178"/>
    </row>
    <row r="62421" spans="18:19">
      <c r="R62421" s="178"/>
      <c r="S62421" s="178"/>
    </row>
    <row r="62422" spans="18:19">
      <c r="R62422" s="178"/>
      <c r="S62422" s="178"/>
    </row>
    <row r="62423" spans="18:19">
      <c r="R62423" s="178"/>
      <c r="S62423" s="178"/>
    </row>
    <row r="62424" spans="18:19">
      <c r="R62424" s="178"/>
      <c r="S62424" s="178"/>
    </row>
    <row r="62425" spans="18:19">
      <c r="R62425" s="178"/>
      <c r="S62425" s="178"/>
    </row>
    <row r="62426" spans="18:19">
      <c r="R62426" s="178"/>
      <c r="S62426" s="178"/>
    </row>
    <row r="62427" spans="18:19">
      <c r="R62427" s="178"/>
      <c r="S62427" s="178"/>
    </row>
    <row r="62428" spans="18:19">
      <c r="R62428" s="178"/>
      <c r="S62428" s="178"/>
    </row>
    <row r="62429" spans="18:19">
      <c r="R62429" s="178"/>
      <c r="S62429" s="178"/>
    </row>
    <row r="62430" spans="18:19">
      <c r="R62430" s="178"/>
      <c r="S62430" s="178"/>
    </row>
    <row r="62431" spans="18:19">
      <c r="R62431" s="178"/>
      <c r="S62431" s="178"/>
    </row>
    <row r="62432" spans="18:19">
      <c r="R62432" s="178"/>
      <c r="S62432" s="178"/>
    </row>
    <row r="62433" spans="18:19">
      <c r="R62433" s="178"/>
      <c r="S62433" s="178"/>
    </row>
    <row r="62434" spans="18:19">
      <c r="R62434" s="178"/>
      <c r="S62434" s="178"/>
    </row>
    <row r="62435" spans="18:19">
      <c r="R62435" s="178"/>
      <c r="S62435" s="178"/>
    </row>
    <row r="62436" spans="18:19">
      <c r="R62436" s="178"/>
      <c r="S62436" s="178"/>
    </row>
    <row r="62437" spans="18:19">
      <c r="R62437" s="178"/>
      <c r="S62437" s="178"/>
    </row>
    <row r="62438" spans="18:19">
      <c r="R62438" s="178"/>
      <c r="S62438" s="178"/>
    </row>
    <row r="62439" spans="18:19">
      <c r="R62439" s="178"/>
      <c r="S62439" s="178"/>
    </row>
    <row r="62440" spans="18:19">
      <c r="R62440" s="178"/>
      <c r="S62440" s="178"/>
    </row>
    <row r="62441" spans="18:19">
      <c r="R62441" s="178"/>
      <c r="S62441" s="178"/>
    </row>
    <row r="62442" spans="18:19">
      <c r="R62442" s="178"/>
      <c r="S62442" s="178"/>
    </row>
    <row r="62443" spans="18:19">
      <c r="R62443" s="178"/>
      <c r="S62443" s="178"/>
    </row>
    <row r="62444" spans="18:19">
      <c r="R62444" s="178"/>
      <c r="S62444" s="178"/>
    </row>
    <row r="62445" spans="18:19">
      <c r="R62445" s="178"/>
      <c r="S62445" s="178"/>
    </row>
    <row r="62446" spans="18:19">
      <c r="R62446" s="178"/>
      <c r="S62446" s="178"/>
    </row>
    <row r="62447" spans="18:19">
      <c r="R62447" s="178"/>
      <c r="S62447" s="178"/>
    </row>
    <row r="62448" spans="18:19">
      <c r="R62448" s="178"/>
      <c r="S62448" s="178"/>
    </row>
    <row r="62449" spans="18:19">
      <c r="R62449" s="178"/>
      <c r="S62449" s="178"/>
    </row>
    <row r="62450" spans="18:19">
      <c r="R62450" s="178"/>
      <c r="S62450" s="178"/>
    </row>
    <row r="62451" spans="18:19">
      <c r="R62451" s="178"/>
      <c r="S62451" s="178"/>
    </row>
    <row r="62452" spans="18:19">
      <c r="R62452" s="178"/>
      <c r="S62452" s="178"/>
    </row>
    <row r="62453" spans="18:19">
      <c r="R62453" s="178"/>
      <c r="S62453" s="178"/>
    </row>
    <row r="62454" spans="18:19">
      <c r="R62454" s="178"/>
      <c r="S62454" s="178"/>
    </row>
    <row r="62455" spans="18:19">
      <c r="R62455" s="178"/>
      <c r="S62455" s="178"/>
    </row>
    <row r="62456" spans="18:19">
      <c r="R62456" s="178"/>
      <c r="S62456" s="178"/>
    </row>
    <row r="62457" spans="18:19">
      <c r="R62457" s="178"/>
      <c r="S62457" s="178"/>
    </row>
    <row r="62458" spans="18:19">
      <c r="R62458" s="178"/>
      <c r="S62458" s="178"/>
    </row>
    <row r="62459" spans="18:19">
      <c r="R62459" s="178"/>
      <c r="S62459" s="178"/>
    </row>
    <row r="62460" spans="18:19">
      <c r="R62460" s="178"/>
      <c r="S62460" s="178"/>
    </row>
    <row r="62461" spans="18:19">
      <c r="R62461" s="178"/>
      <c r="S62461" s="178"/>
    </row>
    <row r="62462" spans="18:19">
      <c r="R62462" s="178"/>
      <c r="S62462" s="178"/>
    </row>
    <row r="62463" spans="18:19">
      <c r="R62463" s="178"/>
      <c r="S62463" s="178"/>
    </row>
    <row r="62464" spans="18:19">
      <c r="R62464" s="178"/>
      <c r="S62464" s="178"/>
    </row>
    <row r="62465" spans="18:19">
      <c r="R62465" s="178"/>
      <c r="S62465" s="178"/>
    </row>
    <row r="62466" spans="18:19">
      <c r="R62466" s="178"/>
      <c r="S62466" s="178"/>
    </row>
    <row r="62467" spans="18:19">
      <c r="R62467" s="178"/>
      <c r="S62467" s="178"/>
    </row>
    <row r="62468" spans="18:19">
      <c r="R62468" s="178"/>
      <c r="S62468" s="178"/>
    </row>
    <row r="62469" spans="18:19">
      <c r="R62469" s="178"/>
      <c r="S62469" s="178"/>
    </row>
    <row r="62470" spans="18:19">
      <c r="R62470" s="178"/>
      <c r="S62470" s="178"/>
    </row>
    <row r="62471" spans="18:19">
      <c r="R62471" s="178"/>
      <c r="S62471" s="178"/>
    </row>
    <row r="62472" spans="18:19">
      <c r="R62472" s="178"/>
      <c r="S62472" s="178"/>
    </row>
    <row r="62473" spans="18:19">
      <c r="R62473" s="178"/>
      <c r="S62473" s="178"/>
    </row>
    <row r="62474" spans="18:19">
      <c r="R62474" s="178"/>
      <c r="S62474" s="178"/>
    </row>
    <row r="62475" spans="18:19">
      <c r="R62475" s="178"/>
      <c r="S62475" s="178"/>
    </row>
    <row r="62476" spans="18:19">
      <c r="R62476" s="178"/>
      <c r="S62476" s="178"/>
    </row>
    <row r="62477" spans="18:19">
      <c r="R62477" s="178"/>
      <c r="S62477" s="178"/>
    </row>
    <row r="62478" spans="18:19">
      <c r="R62478" s="178"/>
      <c r="S62478" s="178"/>
    </row>
    <row r="62479" spans="18:19">
      <c r="R62479" s="178"/>
      <c r="S62479" s="178"/>
    </row>
    <row r="62480" spans="18:19">
      <c r="R62480" s="178"/>
      <c r="S62480" s="178"/>
    </row>
    <row r="62481" spans="18:19">
      <c r="R62481" s="178"/>
      <c r="S62481" s="178"/>
    </row>
    <row r="62482" spans="18:19">
      <c r="R62482" s="178"/>
      <c r="S62482" s="178"/>
    </row>
    <row r="62483" spans="18:19">
      <c r="R62483" s="178"/>
      <c r="S62483" s="178"/>
    </row>
    <row r="62484" spans="18:19">
      <c r="R62484" s="178"/>
      <c r="S62484" s="178"/>
    </row>
    <row r="62485" spans="18:19">
      <c r="R62485" s="178"/>
      <c r="S62485" s="178"/>
    </row>
    <row r="62486" spans="18:19">
      <c r="R62486" s="178"/>
      <c r="S62486" s="178"/>
    </row>
    <row r="62487" spans="18:19">
      <c r="R62487" s="178"/>
      <c r="S62487" s="178"/>
    </row>
    <row r="62488" spans="18:19">
      <c r="R62488" s="178"/>
      <c r="S62488" s="178"/>
    </row>
    <row r="62489" spans="18:19">
      <c r="R62489" s="178"/>
      <c r="S62489" s="178"/>
    </row>
    <row r="62490" spans="18:19">
      <c r="R62490" s="178"/>
      <c r="S62490" s="178"/>
    </row>
    <row r="62491" spans="18:19">
      <c r="R62491" s="178"/>
      <c r="S62491" s="178"/>
    </row>
    <row r="62492" spans="18:19">
      <c r="R62492" s="178"/>
      <c r="S62492" s="178"/>
    </row>
    <row r="62493" spans="18:19">
      <c r="R62493" s="178"/>
      <c r="S62493" s="178"/>
    </row>
    <row r="62494" spans="18:19">
      <c r="R62494" s="178"/>
      <c r="S62494" s="178"/>
    </row>
    <row r="62495" spans="18:19">
      <c r="R62495" s="178"/>
      <c r="S62495" s="178"/>
    </row>
    <row r="62496" spans="18:19">
      <c r="R62496" s="178"/>
      <c r="S62496" s="178"/>
    </row>
    <row r="62497" spans="18:19">
      <c r="R62497" s="178"/>
      <c r="S62497" s="178"/>
    </row>
    <row r="62498" spans="18:19">
      <c r="R62498" s="178"/>
      <c r="S62498" s="178"/>
    </row>
    <row r="62499" spans="18:19">
      <c r="R62499" s="178"/>
      <c r="S62499" s="178"/>
    </row>
    <row r="62500" spans="18:19">
      <c r="R62500" s="178"/>
      <c r="S62500" s="178"/>
    </row>
    <row r="62501" spans="18:19">
      <c r="R62501" s="178"/>
      <c r="S62501" s="178"/>
    </row>
    <row r="62502" spans="18:19">
      <c r="R62502" s="178"/>
      <c r="S62502" s="178"/>
    </row>
    <row r="62503" spans="18:19">
      <c r="R62503" s="178"/>
      <c r="S62503" s="178"/>
    </row>
    <row r="62504" spans="18:19">
      <c r="R62504" s="178"/>
      <c r="S62504" s="178"/>
    </row>
    <row r="62505" spans="18:19">
      <c r="R62505" s="178"/>
      <c r="S62505" s="178"/>
    </row>
    <row r="62506" spans="18:19">
      <c r="R62506" s="178"/>
      <c r="S62506" s="178"/>
    </row>
    <row r="62507" spans="18:19">
      <c r="R62507" s="178"/>
      <c r="S62507" s="178"/>
    </row>
    <row r="62508" spans="18:19">
      <c r="R62508" s="178"/>
      <c r="S62508" s="178"/>
    </row>
    <row r="62509" spans="18:19">
      <c r="R62509" s="178"/>
      <c r="S62509" s="178"/>
    </row>
    <row r="62510" spans="18:19">
      <c r="R62510" s="178"/>
      <c r="S62510" s="178"/>
    </row>
    <row r="62511" spans="18:19">
      <c r="R62511" s="178"/>
      <c r="S62511" s="178"/>
    </row>
    <row r="62512" spans="18:19">
      <c r="R62512" s="178"/>
      <c r="S62512" s="178"/>
    </row>
    <row r="62513" spans="18:19">
      <c r="R62513" s="178"/>
      <c r="S62513" s="178"/>
    </row>
    <row r="62514" spans="18:19">
      <c r="R62514" s="178"/>
      <c r="S62514" s="178"/>
    </row>
    <row r="62515" spans="18:19">
      <c r="R62515" s="178"/>
      <c r="S62515" s="178"/>
    </row>
    <row r="62516" spans="18:19">
      <c r="R62516" s="178"/>
      <c r="S62516" s="178"/>
    </row>
    <row r="62517" spans="18:19">
      <c r="R62517" s="178"/>
      <c r="S62517" s="178"/>
    </row>
    <row r="62518" spans="18:19">
      <c r="R62518" s="178"/>
      <c r="S62518" s="178"/>
    </row>
    <row r="62519" spans="18:19">
      <c r="R62519" s="178"/>
      <c r="S62519" s="178"/>
    </row>
    <row r="62520" spans="18:19">
      <c r="R62520" s="178"/>
      <c r="S62520" s="178"/>
    </row>
    <row r="62521" spans="18:19">
      <c r="R62521" s="178"/>
      <c r="S62521" s="178"/>
    </row>
    <row r="62522" spans="18:19">
      <c r="R62522" s="178"/>
      <c r="S62522" s="178"/>
    </row>
    <row r="62523" spans="18:19">
      <c r="R62523" s="178"/>
      <c r="S62523" s="178"/>
    </row>
    <row r="62524" spans="18:19">
      <c r="R62524" s="178"/>
      <c r="S62524" s="178"/>
    </row>
    <row r="62525" spans="18:19">
      <c r="R62525" s="178"/>
      <c r="S62525" s="178"/>
    </row>
    <row r="62526" spans="18:19">
      <c r="R62526" s="178"/>
      <c r="S62526" s="178"/>
    </row>
    <row r="62527" spans="18:19">
      <c r="R62527" s="178"/>
      <c r="S62527" s="178"/>
    </row>
    <row r="62528" spans="18:19">
      <c r="R62528" s="178"/>
      <c r="S62528" s="178"/>
    </row>
    <row r="62529" spans="18:19">
      <c r="R62529" s="178"/>
      <c r="S62529" s="178"/>
    </row>
    <row r="62530" spans="18:19">
      <c r="R62530" s="178"/>
      <c r="S62530" s="178"/>
    </row>
    <row r="62531" spans="18:19">
      <c r="R62531" s="178"/>
      <c r="S62531" s="178"/>
    </row>
    <row r="62532" spans="18:19">
      <c r="R62532" s="178"/>
      <c r="S62532" s="178"/>
    </row>
    <row r="62533" spans="18:19">
      <c r="R62533" s="178"/>
      <c r="S62533" s="178"/>
    </row>
    <row r="62534" spans="18:19">
      <c r="R62534" s="178"/>
      <c r="S62534" s="178"/>
    </row>
    <row r="62535" spans="18:19">
      <c r="R62535" s="178"/>
      <c r="S62535" s="178"/>
    </row>
    <row r="62536" spans="18:19">
      <c r="R62536" s="178"/>
      <c r="S62536" s="178"/>
    </row>
    <row r="62537" spans="18:19">
      <c r="R62537" s="178"/>
      <c r="S62537" s="178"/>
    </row>
    <row r="62538" spans="18:19">
      <c r="R62538" s="178"/>
      <c r="S62538" s="178"/>
    </row>
    <row r="62539" spans="18:19">
      <c r="R62539" s="178"/>
      <c r="S62539" s="178"/>
    </row>
    <row r="62540" spans="18:19">
      <c r="R62540" s="178"/>
      <c r="S62540" s="178"/>
    </row>
    <row r="62541" spans="18:19">
      <c r="R62541" s="178"/>
      <c r="S62541" s="178"/>
    </row>
    <row r="62542" spans="18:19">
      <c r="R62542" s="178"/>
      <c r="S62542" s="178"/>
    </row>
    <row r="62543" spans="18:19">
      <c r="R62543" s="178"/>
      <c r="S62543" s="178"/>
    </row>
    <row r="62544" spans="18:19">
      <c r="R62544" s="178"/>
      <c r="S62544" s="178"/>
    </row>
    <row r="62545" spans="18:19">
      <c r="R62545" s="178"/>
      <c r="S62545" s="178"/>
    </row>
    <row r="62546" spans="18:19">
      <c r="R62546" s="178"/>
      <c r="S62546" s="178"/>
    </row>
    <row r="62547" spans="18:19">
      <c r="R62547" s="178"/>
      <c r="S62547" s="178"/>
    </row>
    <row r="62548" spans="18:19">
      <c r="R62548" s="178"/>
      <c r="S62548" s="178"/>
    </row>
    <row r="62549" spans="18:19">
      <c r="R62549" s="178"/>
      <c r="S62549" s="178"/>
    </row>
    <row r="62550" spans="18:19">
      <c r="R62550" s="178"/>
      <c r="S62550" s="178"/>
    </row>
    <row r="62551" spans="18:19">
      <c r="R62551" s="178"/>
      <c r="S62551" s="178"/>
    </row>
    <row r="62552" spans="18:19">
      <c r="R62552" s="178"/>
      <c r="S62552" s="178"/>
    </row>
    <row r="62553" spans="18:19">
      <c r="R62553" s="178"/>
      <c r="S62553" s="178"/>
    </row>
    <row r="62554" spans="18:19">
      <c r="R62554" s="178"/>
      <c r="S62554" s="178"/>
    </row>
    <row r="62555" spans="18:19">
      <c r="R62555" s="178"/>
      <c r="S62555" s="178"/>
    </row>
    <row r="62556" spans="18:19">
      <c r="R62556" s="178"/>
      <c r="S62556" s="178"/>
    </row>
    <row r="62557" spans="18:19">
      <c r="R62557" s="178"/>
      <c r="S62557" s="178"/>
    </row>
    <row r="62558" spans="18:19">
      <c r="R62558" s="178"/>
      <c r="S62558" s="178"/>
    </row>
    <row r="62559" spans="18:19">
      <c r="R62559" s="178"/>
      <c r="S62559" s="178"/>
    </row>
    <row r="62560" spans="18:19">
      <c r="R62560" s="178"/>
      <c r="S62560" s="178"/>
    </row>
    <row r="62561" spans="18:19">
      <c r="R62561" s="178"/>
      <c r="S62561" s="178"/>
    </row>
    <row r="62562" spans="18:19">
      <c r="R62562" s="178"/>
      <c r="S62562" s="178"/>
    </row>
    <row r="62563" spans="18:19">
      <c r="R62563" s="178"/>
      <c r="S62563" s="178"/>
    </row>
    <row r="62564" spans="18:19">
      <c r="R62564" s="178"/>
      <c r="S62564" s="178"/>
    </row>
    <row r="62565" spans="18:19">
      <c r="R62565" s="178"/>
      <c r="S62565" s="178"/>
    </row>
    <row r="62566" spans="18:19">
      <c r="R62566" s="178"/>
      <c r="S62566" s="178"/>
    </row>
    <row r="62567" spans="18:19">
      <c r="R62567" s="178"/>
      <c r="S62567" s="178"/>
    </row>
    <row r="62568" spans="18:19">
      <c r="R62568" s="178"/>
      <c r="S62568" s="178"/>
    </row>
    <row r="62569" spans="18:19">
      <c r="R62569" s="178"/>
      <c r="S62569" s="178"/>
    </row>
    <row r="62570" spans="18:19">
      <c r="R62570" s="178"/>
      <c r="S62570" s="178"/>
    </row>
    <row r="62571" spans="18:19">
      <c r="R62571" s="178"/>
      <c r="S62571" s="178"/>
    </row>
    <row r="62572" spans="18:19">
      <c r="R62572" s="178"/>
      <c r="S62572" s="178"/>
    </row>
    <row r="62573" spans="18:19">
      <c r="R62573" s="178"/>
      <c r="S62573" s="178"/>
    </row>
    <row r="62574" spans="18:19">
      <c r="R62574" s="178"/>
      <c r="S62574" s="178"/>
    </row>
    <row r="62575" spans="18:19">
      <c r="R62575" s="178"/>
      <c r="S62575" s="178"/>
    </row>
    <row r="62576" spans="18:19">
      <c r="R62576" s="178"/>
      <c r="S62576" s="178"/>
    </row>
    <row r="62577" spans="18:19">
      <c r="R62577" s="178"/>
      <c r="S62577" s="178"/>
    </row>
    <row r="62578" spans="18:19">
      <c r="R62578" s="178"/>
      <c r="S62578" s="178"/>
    </row>
    <row r="62579" spans="18:19">
      <c r="R62579" s="178"/>
      <c r="S62579" s="178"/>
    </row>
    <row r="62580" spans="18:19">
      <c r="R62580" s="178"/>
      <c r="S62580" s="178"/>
    </row>
    <row r="62581" spans="18:19">
      <c r="R62581" s="178"/>
      <c r="S62581" s="178"/>
    </row>
    <row r="62582" spans="18:19">
      <c r="R62582" s="178"/>
      <c r="S62582" s="178"/>
    </row>
    <row r="62583" spans="18:19">
      <c r="R62583" s="178"/>
      <c r="S62583" s="178"/>
    </row>
    <row r="62584" spans="18:19">
      <c r="R62584" s="178"/>
      <c r="S62584" s="178"/>
    </row>
    <row r="62585" spans="18:19">
      <c r="R62585" s="178"/>
      <c r="S62585" s="178"/>
    </row>
    <row r="62586" spans="18:19">
      <c r="R62586" s="178"/>
      <c r="S62586" s="178"/>
    </row>
    <row r="62587" spans="18:19">
      <c r="R62587" s="178"/>
      <c r="S62587" s="178"/>
    </row>
    <row r="62588" spans="18:19">
      <c r="R62588" s="178"/>
      <c r="S62588" s="178"/>
    </row>
    <row r="62589" spans="18:19">
      <c r="R62589" s="178"/>
      <c r="S62589" s="178"/>
    </row>
    <row r="62590" spans="18:19">
      <c r="R62590" s="178"/>
      <c r="S62590" s="178"/>
    </row>
    <row r="62591" spans="18:19">
      <c r="R62591" s="178"/>
      <c r="S62591" s="178"/>
    </row>
    <row r="62592" spans="18:19">
      <c r="R62592" s="178"/>
      <c r="S62592" s="178"/>
    </row>
    <row r="62593" spans="18:19">
      <c r="R62593" s="178"/>
      <c r="S62593" s="178"/>
    </row>
    <row r="62594" spans="18:19">
      <c r="R62594" s="178"/>
      <c r="S62594" s="178"/>
    </row>
    <row r="62595" spans="18:19">
      <c r="R62595" s="178"/>
      <c r="S62595" s="178"/>
    </row>
    <row r="62596" spans="18:19">
      <c r="R62596" s="178"/>
      <c r="S62596" s="178"/>
    </row>
    <row r="62597" spans="18:19">
      <c r="R62597" s="178"/>
      <c r="S62597" s="178"/>
    </row>
    <row r="62598" spans="18:19">
      <c r="R62598" s="178"/>
      <c r="S62598" s="178"/>
    </row>
    <row r="62599" spans="18:19">
      <c r="R62599" s="178"/>
      <c r="S62599" s="178"/>
    </row>
    <row r="62600" spans="18:19">
      <c r="R62600" s="178"/>
      <c r="S62600" s="178"/>
    </row>
    <row r="62601" spans="18:19">
      <c r="R62601" s="178"/>
      <c r="S62601" s="178"/>
    </row>
    <row r="62602" spans="18:19">
      <c r="R62602" s="178"/>
      <c r="S62602" s="178"/>
    </row>
    <row r="62603" spans="18:19">
      <c r="R62603" s="178"/>
      <c r="S62603" s="178"/>
    </row>
    <row r="62604" spans="18:19">
      <c r="R62604" s="178"/>
      <c r="S62604" s="178"/>
    </row>
    <row r="62605" spans="18:19">
      <c r="R62605" s="178"/>
      <c r="S62605" s="178"/>
    </row>
    <row r="62606" spans="18:19">
      <c r="R62606" s="178"/>
      <c r="S62606" s="178"/>
    </row>
    <row r="62607" spans="18:19">
      <c r="R62607" s="178"/>
      <c r="S62607" s="178"/>
    </row>
    <row r="62608" spans="18:19">
      <c r="R62608" s="178"/>
      <c r="S62608" s="178"/>
    </row>
    <row r="62609" spans="18:19">
      <c r="R62609" s="178"/>
      <c r="S62609" s="178"/>
    </row>
    <row r="62610" spans="18:19">
      <c r="R62610" s="178"/>
      <c r="S62610" s="178"/>
    </row>
    <row r="62611" spans="18:19">
      <c r="R62611" s="178"/>
      <c r="S62611" s="178"/>
    </row>
    <row r="62612" spans="18:19">
      <c r="R62612" s="178"/>
      <c r="S62612" s="178"/>
    </row>
    <row r="62613" spans="18:19">
      <c r="R62613" s="178"/>
      <c r="S62613" s="178"/>
    </row>
    <row r="62614" spans="18:19">
      <c r="R62614" s="178"/>
      <c r="S62614" s="178"/>
    </row>
    <row r="62615" spans="18:19">
      <c r="R62615" s="178"/>
      <c r="S62615" s="178"/>
    </row>
    <row r="62616" spans="18:19">
      <c r="R62616" s="178"/>
      <c r="S62616" s="178"/>
    </row>
    <row r="62617" spans="18:19">
      <c r="R62617" s="178"/>
      <c r="S62617" s="178"/>
    </row>
    <row r="62618" spans="18:19">
      <c r="R62618" s="178"/>
      <c r="S62618" s="178"/>
    </row>
    <row r="62619" spans="18:19">
      <c r="R62619" s="178"/>
      <c r="S62619" s="178"/>
    </row>
    <row r="62620" spans="18:19">
      <c r="R62620" s="178"/>
      <c r="S62620" s="178"/>
    </row>
    <row r="62621" spans="18:19">
      <c r="R62621" s="178"/>
      <c r="S62621" s="178"/>
    </row>
    <row r="62622" spans="18:19">
      <c r="R62622" s="178"/>
      <c r="S62622" s="178"/>
    </row>
    <row r="62623" spans="18:19">
      <c r="R62623" s="178"/>
      <c r="S62623" s="178"/>
    </row>
    <row r="62624" spans="18:19">
      <c r="R62624" s="178"/>
      <c r="S62624" s="178"/>
    </row>
    <row r="62625" spans="18:19">
      <c r="R62625" s="178"/>
      <c r="S62625" s="178"/>
    </row>
    <row r="62626" spans="18:19">
      <c r="R62626" s="178"/>
      <c r="S62626" s="178"/>
    </row>
    <row r="62627" spans="18:19">
      <c r="R62627" s="178"/>
      <c r="S62627" s="178"/>
    </row>
    <row r="62628" spans="18:19">
      <c r="R62628" s="178"/>
      <c r="S62628" s="178"/>
    </row>
    <row r="62629" spans="18:19">
      <c r="R62629" s="178"/>
      <c r="S62629" s="178"/>
    </row>
    <row r="62630" spans="18:19">
      <c r="R62630" s="178"/>
      <c r="S62630" s="178"/>
    </row>
    <row r="62631" spans="18:19">
      <c r="R62631" s="178"/>
      <c r="S62631" s="178"/>
    </row>
    <row r="62632" spans="18:19">
      <c r="R62632" s="178"/>
      <c r="S62632" s="178"/>
    </row>
    <row r="62633" spans="18:19">
      <c r="R62633" s="178"/>
      <c r="S62633" s="178"/>
    </row>
    <row r="62634" spans="18:19">
      <c r="R62634" s="178"/>
      <c r="S62634" s="178"/>
    </row>
    <row r="62635" spans="18:19">
      <c r="R62635" s="178"/>
      <c r="S62635" s="178"/>
    </row>
    <row r="62636" spans="18:19">
      <c r="R62636" s="178"/>
      <c r="S62636" s="178"/>
    </row>
    <row r="62637" spans="18:19">
      <c r="R62637" s="178"/>
      <c r="S62637" s="178"/>
    </row>
    <row r="62638" spans="18:19">
      <c r="R62638" s="178"/>
      <c r="S62638" s="178"/>
    </row>
    <row r="62639" spans="18:19">
      <c r="R62639" s="178"/>
      <c r="S62639" s="178"/>
    </row>
    <row r="62640" spans="18:19">
      <c r="R62640" s="178"/>
      <c r="S62640" s="178"/>
    </row>
    <row r="62641" spans="18:19">
      <c r="R62641" s="178"/>
      <c r="S62641" s="178"/>
    </row>
    <row r="62642" spans="18:19">
      <c r="R62642" s="178"/>
      <c r="S62642" s="178"/>
    </row>
    <row r="62643" spans="18:19">
      <c r="R62643" s="178"/>
      <c r="S62643" s="178"/>
    </row>
    <row r="62644" spans="18:19">
      <c r="R62644" s="178"/>
      <c r="S62644" s="178"/>
    </row>
    <row r="62645" spans="18:19">
      <c r="R62645" s="178"/>
      <c r="S62645" s="178"/>
    </row>
    <row r="62646" spans="18:19">
      <c r="R62646" s="178"/>
      <c r="S62646" s="178"/>
    </row>
    <row r="62647" spans="18:19">
      <c r="R62647" s="178"/>
      <c r="S62647" s="178"/>
    </row>
    <row r="62648" spans="18:19">
      <c r="R62648" s="178"/>
      <c r="S62648" s="178"/>
    </row>
    <row r="62649" spans="18:19">
      <c r="R62649" s="178"/>
      <c r="S62649" s="178"/>
    </row>
    <row r="62650" spans="18:19">
      <c r="R62650" s="178"/>
      <c r="S62650" s="178"/>
    </row>
    <row r="62651" spans="18:19">
      <c r="R62651" s="178"/>
      <c r="S62651" s="178"/>
    </row>
    <row r="62652" spans="18:19">
      <c r="R62652" s="178"/>
      <c r="S62652" s="178"/>
    </row>
    <row r="62653" spans="18:19">
      <c r="R62653" s="178"/>
      <c r="S62653" s="178"/>
    </row>
    <row r="62654" spans="18:19">
      <c r="R62654" s="178"/>
      <c r="S62654" s="178"/>
    </row>
    <row r="62655" spans="18:19">
      <c r="R62655" s="178"/>
      <c r="S62655" s="178"/>
    </row>
    <row r="62656" spans="18:19">
      <c r="R62656" s="178"/>
      <c r="S62656" s="178"/>
    </row>
    <row r="62657" spans="18:19">
      <c r="R62657" s="178"/>
      <c r="S62657" s="178"/>
    </row>
    <row r="62658" spans="18:19">
      <c r="R62658" s="178"/>
      <c r="S62658" s="178"/>
    </row>
    <row r="62659" spans="18:19">
      <c r="R62659" s="178"/>
      <c r="S62659" s="178"/>
    </row>
    <row r="62660" spans="18:19">
      <c r="R62660" s="178"/>
      <c r="S62660" s="178"/>
    </row>
    <row r="62661" spans="18:19">
      <c r="R62661" s="178"/>
      <c r="S62661" s="178"/>
    </row>
    <row r="62662" spans="18:19">
      <c r="R62662" s="178"/>
      <c r="S62662" s="178"/>
    </row>
    <row r="62663" spans="18:19">
      <c r="R62663" s="178"/>
      <c r="S62663" s="178"/>
    </row>
    <row r="62664" spans="18:19">
      <c r="R62664" s="178"/>
      <c r="S62664" s="178"/>
    </row>
    <row r="62665" spans="18:19">
      <c r="R62665" s="178"/>
      <c r="S62665" s="178"/>
    </row>
    <row r="62666" spans="18:19">
      <c r="R62666" s="178"/>
      <c r="S62666" s="178"/>
    </row>
    <row r="62667" spans="18:19">
      <c r="R62667" s="178"/>
      <c r="S62667" s="178"/>
    </row>
    <row r="62668" spans="18:19">
      <c r="R62668" s="178"/>
      <c r="S62668" s="178"/>
    </row>
    <row r="62669" spans="18:19">
      <c r="R62669" s="178"/>
      <c r="S62669" s="178"/>
    </row>
    <row r="62670" spans="18:19">
      <c r="R62670" s="178"/>
      <c r="S62670" s="178"/>
    </row>
    <row r="62671" spans="18:19">
      <c r="R62671" s="178"/>
      <c r="S62671" s="178"/>
    </row>
    <row r="62672" spans="18:19">
      <c r="R62672" s="178"/>
      <c r="S62672" s="178"/>
    </row>
    <row r="62673" spans="18:19">
      <c r="R62673" s="178"/>
      <c r="S62673" s="178"/>
    </row>
    <row r="62674" spans="18:19">
      <c r="R62674" s="178"/>
      <c r="S62674" s="178"/>
    </row>
    <row r="62675" spans="18:19">
      <c r="R62675" s="178"/>
      <c r="S62675" s="178"/>
    </row>
    <row r="62676" spans="18:19">
      <c r="R62676" s="178"/>
      <c r="S62676" s="178"/>
    </row>
    <row r="62677" spans="18:19">
      <c r="R62677" s="178"/>
      <c r="S62677" s="178"/>
    </row>
    <row r="62678" spans="18:19">
      <c r="R62678" s="178"/>
      <c r="S62678" s="178"/>
    </row>
    <row r="62679" spans="18:19">
      <c r="R62679" s="178"/>
      <c r="S62679" s="178"/>
    </row>
    <row r="62680" spans="18:19">
      <c r="R62680" s="178"/>
      <c r="S62680" s="178"/>
    </row>
    <row r="62681" spans="18:19">
      <c r="R62681" s="178"/>
      <c r="S62681" s="178"/>
    </row>
    <row r="62682" spans="18:19">
      <c r="R62682" s="178"/>
      <c r="S62682" s="178"/>
    </row>
    <row r="62683" spans="18:19">
      <c r="R62683" s="178"/>
      <c r="S62683" s="178"/>
    </row>
    <row r="62684" spans="18:19">
      <c r="R62684" s="178"/>
      <c r="S62684" s="178"/>
    </row>
    <row r="62685" spans="18:19">
      <c r="R62685" s="178"/>
      <c r="S62685" s="178"/>
    </row>
    <row r="62686" spans="18:19">
      <c r="R62686" s="178"/>
      <c r="S62686" s="178"/>
    </row>
    <row r="62687" spans="18:19">
      <c r="R62687" s="178"/>
      <c r="S62687" s="178"/>
    </row>
    <row r="62688" spans="18:19">
      <c r="R62688" s="178"/>
      <c r="S62688" s="178"/>
    </row>
    <row r="62689" spans="18:19">
      <c r="R62689" s="178"/>
      <c r="S62689" s="178"/>
    </row>
    <row r="62690" spans="18:19">
      <c r="R62690" s="178"/>
      <c r="S62690" s="178"/>
    </row>
    <row r="62691" spans="18:19">
      <c r="R62691" s="178"/>
      <c r="S62691" s="178"/>
    </row>
    <row r="62692" spans="18:19">
      <c r="R62692" s="178"/>
      <c r="S62692" s="178"/>
    </row>
    <row r="62693" spans="18:19">
      <c r="R62693" s="178"/>
      <c r="S62693" s="178"/>
    </row>
    <row r="62694" spans="18:19">
      <c r="R62694" s="178"/>
      <c r="S62694" s="178"/>
    </row>
    <row r="62695" spans="18:19">
      <c r="R62695" s="178"/>
      <c r="S62695" s="178"/>
    </row>
    <row r="62696" spans="18:19">
      <c r="R62696" s="178"/>
      <c r="S62696" s="178"/>
    </row>
    <row r="62697" spans="18:19">
      <c r="R62697" s="178"/>
      <c r="S62697" s="178"/>
    </row>
    <row r="62698" spans="18:19">
      <c r="R62698" s="178"/>
      <c r="S62698" s="178"/>
    </row>
    <row r="62699" spans="18:19">
      <c r="R62699" s="178"/>
      <c r="S62699" s="178"/>
    </row>
    <row r="62700" spans="18:19">
      <c r="R62700" s="178"/>
      <c r="S62700" s="178"/>
    </row>
    <row r="62701" spans="18:19">
      <c r="R62701" s="178"/>
      <c r="S62701" s="178"/>
    </row>
    <row r="62702" spans="18:19">
      <c r="R62702" s="178"/>
      <c r="S62702" s="178"/>
    </row>
    <row r="62703" spans="18:19">
      <c r="R62703" s="178"/>
      <c r="S62703" s="178"/>
    </row>
    <row r="62704" spans="18:19">
      <c r="R62704" s="178"/>
      <c r="S62704" s="178"/>
    </row>
    <row r="62705" spans="18:19">
      <c r="R62705" s="178"/>
      <c r="S62705" s="178"/>
    </row>
    <row r="62706" spans="18:19">
      <c r="R62706" s="178"/>
      <c r="S62706" s="178"/>
    </row>
    <row r="62707" spans="18:19">
      <c r="R62707" s="178"/>
      <c r="S62707" s="178"/>
    </row>
    <row r="62708" spans="18:19">
      <c r="R62708" s="178"/>
      <c r="S62708" s="178"/>
    </row>
    <row r="62709" spans="18:19">
      <c r="R62709" s="178"/>
      <c r="S62709" s="178"/>
    </row>
    <row r="62710" spans="18:19">
      <c r="R62710" s="178"/>
      <c r="S62710" s="178"/>
    </row>
    <row r="62711" spans="18:19">
      <c r="R62711" s="178"/>
      <c r="S62711" s="178"/>
    </row>
    <row r="62712" spans="18:19">
      <c r="R62712" s="178"/>
      <c r="S62712" s="178"/>
    </row>
    <row r="62713" spans="18:19">
      <c r="R62713" s="178"/>
      <c r="S62713" s="178"/>
    </row>
    <row r="62714" spans="18:19">
      <c r="R62714" s="178"/>
      <c r="S62714" s="178"/>
    </row>
    <row r="62715" spans="18:19">
      <c r="R62715" s="178"/>
      <c r="S62715" s="178"/>
    </row>
    <row r="62716" spans="18:19">
      <c r="R62716" s="178"/>
      <c r="S62716" s="178"/>
    </row>
    <row r="62717" spans="18:19">
      <c r="R62717" s="178"/>
      <c r="S62717" s="178"/>
    </row>
    <row r="62718" spans="18:19">
      <c r="R62718" s="178"/>
      <c r="S62718" s="178"/>
    </row>
    <row r="62719" spans="18:19">
      <c r="R62719" s="178"/>
      <c r="S62719" s="178"/>
    </row>
    <row r="62720" spans="18:19">
      <c r="R62720" s="178"/>
      <c r="S62720" s="178"/>
    </row>
    <row r="62721" spans="18:19">
      <c r="R62721" s="178"/>
      <c r="S62721" s="178"/>
    </row>
    <row r="62722" spans="18:19">
      <c r="R62722" s="178"/>
      <c r="S62722" s="178"/>
    </row>
    <row r="62723" spans="18:19">
      <c r="R62723" s="178"/>
      <c r="S62723" s="178"/>
    </row>
    <row r="62724" spans="18:19">
      <c r="R62724" s="178"/>
      <c r="S62724" s="178"/>
    </row>
    <row r="62725" spans="18:19">
      <c r="R62725" s="178"/>
      <c r="S62725" s="178"/>
    </row>
    <row r="62726" spans="18:19">
      <c r="R62726" s="178"/>
      <c r="S62726" s="178"/>
    </row>
    <row r="62727" spans="18:19">
      <c r="R62727" s="178"/>
      <c r="S62727" s="178"/>
    </row>
    <row r="62728" spans="18:19">
      <c r="R62728" s="178"/>
      <c r="S62728" s="178"/>
    </row>
    <row r="62729" spans="18:19">
      <c r="R62729" s="178"/>
      <c r="S62729" s="178"/>
    </row>
    <row r="62730" spans="18:19">
      <c r="R62730" s="178"/>
      <c r="S62730" s="178"/>
    </row>
    <row r="62731" spans="18:19">
      <c r="R62731" s="178"/>
      <c r="S62731" s="178"/>
    </row>
    <row r="62732" spans="18:19">
      <c r="R62732" s="178"/>
      <c r="S62732" s="178"/>
    </row>
    <row r="62733" spans="18:19">
      <c r="R62733" s="178"/>
      <c r="S62733" s="178"/>
    </row>
    <row r="62734" spans="18:19">
      <c r="R62734" s="178"/>
      <c r="S62734" s="178"/>
    </row>
    <row r="62735" spans="18:19">
      <c r="R62735" s="178"/>
      <c r="S62735" s="178"/>
    </row>
    <row r="62736" spans="18:19">
      <c r="R62736" s="178"/>
      <c r="S62736" s="178"/>
    </row>
    <row r="62737" spans="18:19">
      <c r="R62737" s="178"/>
      <c r="S62737" s="178"/>
    </row>
    <row r="62738" spans="18:19">
      <c r="R62738" s="178"/>
      <c r="S62738" s="178"/>
    </row>
    <row r="62739" spans="18:19">
      <c r="R62739" s="178"/>
      <c r="S62739" s="178"/>
    </row>
    <row r="62740" spans="18:19">
      <c r="R62740" s="178"/>
      <c r="S62740" s="178"/>
    </row>
    <row r="62741" spans="18:19">
      <c r="R62741" s="178"/>
      <c r="S62741" s="178"/>
    </row>
    <row r="62742" spans="18:19">
      <c r="R62742" s="178"/>
      <c r="S62742" s="178"/>
    </row>
    <row r="62743" spans="18:19">
      <c r="R62743" s="178"/>
      <c r="S62743" s="178"/>
    </row>
    <row r="62744" spans="18:19">
      <c r="R62744" s="178"/>
      <c r="S62744" s="178"/>
    </row>
    <row r="62745" spans="18:19">
      <c r="R62745" s="178"/>
      <c r="S62745" s="178"/>
    </row>
    <row r="62746" spans="18:19">
      <c r="R62746" s="178"/>
      <c r="S62746" s="178"/>
    </row>
    <row r="62747" spans="18:19">
      <c r="R62747" s="178"/>
      <c r="S62747" s="178"/>
    </row>
    <row r="62748" spans="18:19">
      <c r="R62748" s="178"/>
      <c r="S62748" s="178"/>
    </row>
    <row r="62749" spans="18:19">
      <c r="R62749" s="178"/>
      <c r="S62749" s="178"/>
    </row>
    <row r="62750" spans="18:19">
      <c r="R62750" s="178"/>
      <c r="S62750" s="178"/>
    </row>
    <row r="62751" spans="18:19">
      <c r="R62751" s="178"/>
      <c r="S62751" s="178"/>
    </row>
    <row r="62752" spans="18:19">
      <c r="R62752" s="178"/>
      <c r="S62752" s="178"/>
    </row>
    <row r="62753" spans="18:19">
      <c r="R62753" s="178"/>
      <c r="S62753" s="178"/>
    </row>
    <row r="62754" spans="18:19">
      <c r="R62754" s="178"/>
      <c r="S62754" s="178"/>
    </row>
    <row r="62755" spans="18:19">
      <c r="R62755" s="178"/>
      <c r="S62755" s="178"/>
    </row>
    <row r="62756" spans="18:19">
      <c r="R62756" s="178"/>
      <c r="S62756" s="178"/>
    </row>
    <row r="62757" spans="18:19">
      <c r="R62757" s="178"/>
      <c r="S62757" s="178"/>
    </row>
    <row r="62758" spans="18:19">
      <c r="R62758" s="178"/>
      <c r="S62758" s="178"/>
    </row>
    <row r="62759" spans="18:19">
      <c r="R62759" s="178"/>
      <c r="S62759" s="178"/>
    </row>
    <row r="62760" spans="18:19">
      <c r="R62760" s="178"/>
      <c r="S62760" s="178"/>
    </row>
    <row r="62761" spans="18:19">
      <c r="R62761" s="178"/>
      <c r="S62761" s="178"/>
    </row>
    <row r="62762" spans="18:19">
      <c r="R62762" s="178"/>
      <c r="S62762" s="178"/>
    </row>
    <row r="62763" spans="18:19">
      <c r="R62763" s="178"/>
      <c r="S62763" s="178"/>
    </row>
    <row r="62764" spans="18:19">
      <c r="R62764" s="178"/>
      <c r="S62764" s="178"/>
    </row>
    <row r="62765" spans="18:19">
      <c r="R62765" s="178"/>
      <c r="S62765" s="178"/>
    </row>
    <row r="62766" spans="18:19">
      <c r="R62766" s="178"/>
      <c r="S62766" s="178"/>
    </row>
    <row r="62767" spans="18:19">
      <c r="R62767" s="178"/>
      <c r="S62767" s="178"/>
    </row>
    <row r="62768" spans="18:19">
      <c r="R62768" s="178"/>
      <c r="S62768" s="178"/>
    </row>
    <row r="62769" spans="18:19">
      <c r="R62769" s="178"/>
      <c r="S62769" s="178"/>
    </row>
    <row r="62770" spans="18:19">
      <c r="R62770" s="178"/>
      <c r="S62770" s="178"/>
    </row>
    <row r="62771" spans="18:19">
      <c r="R62771" s="178"/>
      <c r="S62771" s="178"/>
    </row>
    <row r="62772" spans="18:19">
      <c r="R62772" s="178"/>
      <c r="S62772" s="178"/>
    </row>
    <row r="62773" spans="18:19">
      <c r="R62773" s="178"/>
      <c r="S62773" s="178"/>
    </row>
    <row r="62774" spans="18:19">
      <c r="R62774" s="178"/>
      <c r="S62774" s="178"/>
    </row>
    <row r="62775" spans="18:19">
      <c r="R62775" s="178"/>
      <c r="S62775" s="178"/>
    </row>
    <row r="62776" spans="18:19">
      <c r="R62776" s="178"/>
      <c r="S62776" s="178"/>
    </row>
    <row r="62777" spans="18:19">
      <c r="R62777" s="178"/>
      <c r="S62777" s="178"/>
    </row>
    <row r="62778" spans="18:19">
      <c r="R62778" s="178"/>
      <c r="S62778" s="178"/>
    </row>
    <row r="62779" spans="18:19">
      <c r="R62779" s="178"/>
      <c r="S62779" s="178"/>
    </row>
    <row r="62780" spans="18:19">
      <c r="R62780" s="178"/>
      <c r="S62780" s="178"/>
    </row>
    <row r="62781" spans="18:19">
      <c r="R62781" s="178"/>
      <c r="S62781" s="178"/>
    </row>
    <row r="62782" spans="18:19">
      <c r="R62782" s="178"/>
      <c r="S62782" s="178"/>
    </row>
    <row r="62783" spans="18:19">
      <c r="R62783" s="178"/>
      <c r="S62783" s="178"/>
    </row>
    <row r="62784" spans="18:19">
      <c r="R62784" s="178"/>
      <c r="S62784" s="178"/>
    </row>
    <row r="62785" spans="18:19">
      <c r="R62785" s="178"/>
      <c r="S62785" s="178"/>
    </row>
    <row r="62786" spans="18:19">
      <c r="R62786" s="178"/>
      <c r="S62786" s="178"/>
    </row>
    <row r="62787" spans="18:19">
      <c r="R62787" s="178"/>
      <c r="S62787" s="178"/>
    </row>
    <row r="62788" spans="18:19">
      <c r="R62788" s="178"/>
      <c r="S62788" s="178"/>
    </row>
    <row r="62789" spans="18:19">
      <c r="R62789" s="178"/>
      <c r="S62789" s="178"/>
    </row>
    <row r="62790" spans="18:19">
      <c r="R62790" s="178"/>
      <c r="S62790" s="178"/>
    </row>
    <row r="62791" spans="18:19">
      <c r="R62791" s="178"/>
      <c r="S62791" s="178"/>
    </row>
    <row r="62792" spans="18:19">
      <c r="R62792" s="178"/>
      <c r="S62792" s="178"/>
    </row>
    <row r="62793" spans="18:19">
      <c r="R62793" s="178"/>
      <c r="S62793" s="178"/>
    </row>
    <row r="62794" spans="18:19">
      <c r="R62794" s="178"/>
      <c r="S62794" s="178"/>
    </row>
    <row r="62795" spans="18:19">
      <c r="R62795" s="178"/>
      <c r="S62795" s="178"/>
    </row>
    <row r="62796" spans="18:19">
      <c r="R62796" s="178"/>
      <c r="S62796" s="178"/>
    </row>
    <row r="62797" spans="18:19">
      <c r="R62797" s="178"/>
      <c r="S62797" s="178"/>
    </row>
    <row r="62798" spans="18:19">
      <c r="R62798" s="178"/>
      <c r="S62798" s="178"/>
    </row>
    <row r="62799" spans="18:19">
      <c r="R62799" s="178"/>
      <c r="S62799" s="178"/>
    </row>
    <row r="62800" spans="18:19">
      <c r="R62800" s="178"/>
      <c r="S62800" s="178"/>
    </row>
    <row r="62801" spans="18:19">
      <c r="R62801" s="178"/>
      <c r="S62801" s="178"/>
    </row>
    <row r="62802" spans="18:19">
      <c r="R62802" s="178"/>
      <c r="S62802" s="178"/>
    </row>
    <row r="62803" spans="18:19">
      <c r="R62803" s="178"/>
      <c r="S62803" s="178"/>
    </row>
    <row r="62804" spans="18:19">
      <c r="R62804" s="178"/>
      <c r="S62804" s="178"/>
    </row>
    <row r="62805" spans="18:19">
      <c r="R62805" s="178"/>
      <c r="S62805" s="178"/>
    </row>
    <row r="62806" spans="18:19">
      <c r="R62806" s="178"/>
      <c r="S62806" s="178"/>
    </row>
    <row r="62807" spans="18:19">
      <c r="R62807" s="178"/>
      <c r="S62807" s="178"/>
    </row>
    <row r="62808" spans="18:19">
      <c r="R62808" s="178"/>
      <c r="S62808" s="178"/>
    </row>
    <row r="62809" spans="18:19">
      <c r="R62809" s="178"/>
      <c r="S62809" s="178"/>
    </row>
    <row r="62810" spans="18:19">
      <c r="R62810" s="178"/>
      <c r="S62810" s="178"/>
    </row>
    <row r="62811" spans="18:19">
      <c r="R62811" s="178"/>
      <c r="S62811" s="178"/>
    </row>
    <row r="62812" spans="18:19">
      <c r="R62812" s="178"/>
      <c r="S62812" s="178"/>
    </row>
    <row r="62813" spans="18:19">
      <c r="R62813" s="178"/>
      <c r="S62813" s="178"/>
    </row>
    <row r="62814" spans="18:19">
      <c r="R62814" s="178"/>
      <c r="S62814" s="178"/>
    </row>
    <row r="62815" spans="18:19">
      <c r="R62815" s="178"/>
      <c r="S62815" s="178"/>
    </row>
    <row r="62816" spans="18:19">
      <c r="R62816" s="178"/>
      <c r="S62816" s="178"/>
    </row>
    <row r="62817" spans="18:19">
      <c r="R62817" s="178"/>
      <c r="S62817" s="178"/>
    </row>
    <row r="62818" spans="18:19">
      <c r="R62818" s="178"/>
      <c r="S62818" s="178"/>
    </row>
    <row r="62819" spans="18:19">
      <c r="R62819" s="178"/>
      <c r="S62819" s="178"/>
    </row>
    <row r="62820" spans="18:19">
      <c r="R62820" s="178"/>
      <c r="S62820" s="178"/>
    </row>
    <row r="62821" spans="18:19">
      <c r="R62821" s="178"/>
      <c r="S62821" s="178"/>
    </row>
    <row r="62822" spans="18:19">
      <c r="R62822" s="178"/>
      <c r="S62822" s="178"/>
    </row>
    <row r="62823" spans="18:19">
      <c r="R62823" s="178"/>
      <c r="S62823" s="178"/>
    </row>
    <row r="62824" spans="18:19">
      <c r="R62824" s="178"/>
      <c r="S62824" s="178"/>
    </row>
    <row r="62825" spans="18:19">
      <c r="R62825" s="178"/>
      <c r="S62825" s="178"/>
    </row>
    <row r="62826" spans="18:19">
      <c r="R62826" s="178"/>
      <c r="S62826" s="178"/>
    </row>
    <row r="62827" spans="18:19">
      <c r="R62827" s="178"/>
      <c r="S62827" s="178"/>
    </row>
    <row r="62828" spans="18:19">
      <c r="R62828" s="178"/>
      <c r="S62828" s="178"/>
    </row>
    <row r="62829" spans="18:19">
      <c r="R62829" s="178"/>
      <c r="S62829" s="178"/>
    </row>
    <row r="62830" spans="18:19">
      <c r="R62830" s="178"/>
      <c r="S62830" s="178"/>
    </row>
    <row r="62831" spans="18:19">
      <c r="R62831" s="178"/>
      <c r="S62831" s="178"/>
    </row>
    <row r="62832" spans="18:19">
      <c r="R62832" s="178"/>
      <c r="S62832" s="178"/>
    </row>
    <row r="62833" spans="18:19">
      <c r="R62833" s="178"/>
      <c r="S62833" s="178"/>
    </row>
    <row r="62834" spans="18:19">
      <c r="R62834" s="178"/>
      <c r="S62834" s="178"/>
    </row>
    <row r="62835" spans="18:19">
      <c r="R62835" s="178"/>
      <c r="S62835" s="178"/>
    </row>
    <row r="62836" spans="18:19">
      <c r="R62836" s="178"/>
      <c r="S62836" s="178"/>
    </row>
    <row r="62837" spans="18:19">
      <c r="R62837" s="178"/>
      <c r="S62837" s="178"/>
    </row>
    <row r="62838" spans="18:19">
      <c r="R62838" s="178"/>
      <c r="S62838" s="178"/>
    </row>
    <row r="62839" spans="18:19">
      <c r="R62839" s="178"/>
      <c r="S62839" s="178"/>
    </row>
    <row r="62840" spans="18:19">
      <c r="R62840" s="178"/>
      <c r="S62840" s="178"/>
    </row>
    <row r="62841" spans="18:19">
      <c r="R62841" s="178"/>
      <c r="S62841" s="178"/>
    </row>
    <row r="62842" spans="18:19">
      <c r="R62842" s="178"/>
      <c r="S62842" s="178"/>
    </row>
    <row r="62843" spans="18:19">
      <c r="R62843" s="178"/>
      <c r="S62843" s="178"/>
    </row>
    <row r="62844" spans="18:19">
      <c r="R62844" s="178"/>
      <c r="S62844" s="178"/>
    </row>
    <row r="62845" spans="18:19">
      <c r="R62845" s="178"/>
      <c r="S62845" s="178"/>
    </row>
    <row r="62846" spans="18:19">
      <c r="R62846" s="178"/>
      <c r="S62846" s="178"/>
    </row>
    <row r="62847" spans="18:19">
      <c r="R62847" s="178"/>
      <c r="S62847" s="178"/>
    </row>
    <row r="62848" spans="18:19">
      <c r="R62848" s="178"/>
      <c r="S62848" s="178"/>
    </row>
    <row r="62849" spans="18:19">
      <c r="R62849" s="178"/>
      <c r="S62849" s="178"/>
    </row>
    <row r="62850" spans="18:19">
      <c r="R62850" s="178"/>
      <c r="S62850" s="178"/>
    </row>
    <row r="62851" spans="18:19">
      <c r="R62851" s="178"/>
      <c r="S62851" s="178"/>
    </row>
    <row r="62852" spans="18:19">
      <c r="R62852" s="178"/>
      <c r="S62852" s="178"/>
    </row>
    <row r="62853" spans="18:19">
      <c r="R62853" s="178"/>
      <c r="S62853" s="178"/>
    </row>
    <row r="62854" spans="18:19">
      <c r="R62854" s="178"/>
      <c r="S62854" s="178"/>
    </row>
    <row r="62855" spans="18:19">
      <c r="R62855" s="178"/>
      <c r="S62855" s="178"/>
    </row>
    <row r="62856" spans="18:19">
      <c r="R62856" s="178"/>
      <c r="S62856" s="178"/>
    </row>
    <row r="62857" spans="18:19">
      <c r="R62857" s="178"/>
      <c r="S62857" s="178"/>
    </row>
    <row r="62858" spans="18:19">
      <c r="R62858" s="178"/>
      <c r="S62858" s="178"/>
    </row>
    <row r="62859" spans="18:19">
      <c r="R62859" s="178"/>
      <c r="S62859" s="178"/>
    </row>
    <row r="62860" spans="18:19">
      <c r="R62860" s="178"/>
      <c r="S62860" s="178"/>
    </row>
    <row r="62861" spans="18:19">
      <c r="R62861" s="178"/>
      <c r="S62861" s="178"/>
    </row>
    <row r="62862" spans="18:19">
      <c r="R62862" s="178"/>
      <c r="S62862" s="178"/>
    </row>
    <row r="62863" spans="18:19">
      <c r="R62863" s="178"/>
      <c r="S62863" s="178"/>
    </row>
    <row r="62864" spans="18:19">
      <c r="R62864" s="178"/>
      <c r="S62864" s="178"/>
    </row>
    <row r="62865" spans="18:19">
      <c r="R62865" s="178"/>
      <c r="S62865" s="178"/>
    </row>
    <row r="62866" spans="18:19">
      <c r="R62866" s="178"/>
      <c r="S62866" s="178"/>
    </row>
    <row r="62867" spans="18:19">
      <c r="R62867" s="178"/>
      <c r="S62867" s="178"/>
    </row>
    <row r="62868" spans="18:19">
      <c r="R62868" s="178"/>
      <c r="S62868" s="178"/>
    </row>
    <row r="62869" spans="18:19">
      <c r="R62869" s="178"/>
      <c r="S62869" s="178"/>
    </row>
    <row r="62870" spans="18:19">
      <c r="R62870" s="178"/>
      <c r="S62870" s="178"/>
    </row>
    <row r="62871" spans="18:19">
      <c r="R62871" s="178"/>
      <c r="S62871" s="178"/>
    </row>
    <row r="62872" spans="18:19">
      <c r="R62872" s="178"/>
      <c r="S62872" s="178"/>
    </row>
    <row r="62873" spans="18:19">
      <c r="R62873" s="178"/>
      <c r="S62873" s="178"/>
    </row>
    <row r="62874" spans="18:19">
      <c r="R62874" s="178"/>
      <c r="S62874" s="178"/>
    </row>
    <row r="62875" spans="18:19">
      <c r="R62875" s="178"/>
      <c r="S62875" s="178"/>
    </row>
    <row r="62876" spans="18:19">
      <c r="R62876" s="178"/>
      <c r="S62876" s="178"/>
    </row>
    <row r="62877" spans="18:19">
      <c r="R62877" s="178"/>
      <c r="S62877" s="178"/>
    </row>
    <row r="62878" spans="18:19">
      <c r="R62878" s="178"/>
      <c r="S62878" s="178"/>
    </row>
    <row r="62879" spans="18:19">
      <c r="R62879" s="178"/>
      <c r="S62879" s="178"/>
    </row>
    <row r="62880" spans="18:19">
      <c r="R62880" s="178"/>
      <c r="S62880" s="178"/>
    </row>
    <row r="62881" spans="18:19">
      <c r="R62881" s="178"/>
      <c r="S62881" s="178"/>
    </row>
    <row r="62882" spans="18:19">
      <c r="R62882" s="178"/>
      <c r="S62882" s="178"/>
    </row>
    <row r="62883" spans="18:19">
      <c r="R62883" s="178"/>
      <c r="S62883" s="178"/>
    </row>
    <row r="62884" spans="18:19">
      <c r="R62884" s="178"/>
      <c r="S62884" s="178"/>
    </row>
    <row r="62885" spans="18:19">
      <c r="R62885" s="178"/>
      <c r="S62885" s="178"/>
    </row>
    <row r="62886" spans="18:19">
      <c r="R62886" s="178"/>
      <c r="S62886" s="178"/>
    </row>
    <row r="62887" spans="18:19">
      <c r="R62887" s="178"/>
      <c r="S62887" s="178"/>
    </row>
    <row r="62888" spans="18:19">
      <c r="R62888" s="178"/>
      <c r="S62888" s="178"/>
    </row>
    <row r="62889" spans="18:19">
      <c r="R62889" s="178"/>
      <c r="S62889" s="178"/>
    </row>
    <row r="62890" spans="18:19">
      <c r="R62890" s="178"/>
      <c r="S62890" s="178"/>
    </row>
    <row r="62891" spans="18:19">
      <c r="R62891" s="178"/>
      <c r="S62891" s="178"/>
    </row>
    <row r="62892" spans="18:19">
      <c r="R62892" s="178"/>
      <c r="S62892" s="178"/>
    </row>
    <row r="62893" spans="18:19">
      <c r="R62893" s="178"/>
      <c r="S62893" s="178"/>
    </row>
    <row r="62894" spans="18:19">
      <c r="R62894" s="178"/>
      <c r="S62894" s="178"/>
    </row>
    <row r="62895" spans="18:19">
      <c r="R62895" s="178"/>
      <c r="S62895" s="178"/>
    </row>
    <row r="62896" spans="18:19">
      <c r="R62896" s="178"/>
      <c r="S62896" s="178"/>
    </row>
    <row r="62897" spans="18:19">
      <c r="R62897" s="178"/>
      <c r="S62897" s="178"/>
    </row>
    <row r="62898" spans="18:19">
      <c r="R62898" s="178"/>
      <c r="S62898" s="178"/>
    </row>
    <row r="62899" spans="18:19">
      <c r="R62899" s="178"/>
      <c r="S62899" s="178"/>
    </row>
    <row r="62900" spans="18:19">
      <c r="R62900" s="178"/>
      <c r="S62900" s="178"/>
    </row>
    <row r="62901" spans="18:19">
      <c r="R62901" s="178"/>
      <c r="S62901" s="178"/>
    </row>
    <row r="62902" spans="18:19">
      <c r="R62902" s="178"/>
      <c r="S62902" s="178"/>
    </row>
    <row r="62903" spans="18:19">
      <c r="R62903" s="178"/>
      <c r="S62903" s="178"/>
    </row>
    <row r="62904" spans="18:19">
      <c r="R62904" s="178"/>
      <c r="S62904" s="178"/>
    </row>
    <row r="62905" spans="18:19">
      <c r="R62905" s="178"/>
      <c r="S62905" s="178"/>
    </row>
    <row r="62906" spans="18:19">
      <c r="R62906" s="178"/>
      <c r="S62906" s="178"/>
    </row>
    <row r="62907" spans="18:19">
      <c r="R62907" s="178"/>
      <c r="S62907" s="178"/>
    </row>
    <row r="62908" spans="18:19">
      <c r="R62908" s="178"/>
      <c r="S62908" s="178"/>
    </row>
    <row r="62909" spans="18:19">
      <c r="R62909" s="178"/>
      <c r="S62909" s="178"/>
    </row>
    <row r="62910" spans="18:19">
      <c r="R62910" s="178"/>
      <c r="S62910" s="178"/>
    </row>
    <row r="62911" spans="18:19">
      <c r="R62911" s="178"/>
      <c r="S62911" s="178"/>
    </row>
    <row r="62912" spans="18:19">
      <c r="R62912" s="178"/>
      <c r="S62912" s="178"/>
    </row>
    <row r="62913" spans="18:19">
      <c r="R62913" s="178"/>
      <c r="S62913" s="178"/>
    </row>
    <row r="62914" spans="18:19">
      <c r="R62914" s="178"/>
      <c r="S62914" s="178"/>
    </row>
    <row r="62915" spans="18:19">
      <c r="R62915" s="178"/>
      <c r="S62915" s="178"/>
    </row>
    <row r="62916" spans="18:19">
      <c r="R62916" s="178"/>
      <c r="S62916" s="178"/>
    </row>
    <row r="62917" spans="18:19">
      <c r="R62917" s="178"/>
      <c r="S62917" s="178"/>
    </row>
    <row r="62918" spans="18:19">
      <c r="R62918" s="178"/>
      <c r="S62918" s="178"/>
    </row>
    <row r="62919" spans="18:19">
      <c r="R62919" s="178"/>
      <c r="S62919" s="178"/>
    </row>
    <row r="62920" spans="18:19">
      <c r="R62920" s="178"/>
      <c r="S62920" s="178"/>
    </row>
    <row r="62921" spans="18:19">
      <c r="R62921" s="178"/>
      <c r="S62921" s="178"/>
    </row>
    <row r="62922" spans="18:19">
      <c r="R62922" s="178"/>
      <c r="S62922" s="178"/>
    </row>
    <row r="62923" spans="18:19">
      <c r="R62923" s="178"/>
      <c r="S62923" s="178"/>
    </row>
    <row r="62924" spans="18:19">
      <c r="R62924" s="178"/>
      <c r="S62924" s="178"/>
    </row>
    <row r="62925" spans="18:19">
      <c r="R62925" s="178"/>
      <c r="S62925" s="178"/>
    </row>
    <row r="62926" spans="18:19">
      <c r="R62926" s="178"/>
      <c r="S62926" s="178"/>
    </row>
    <row r="62927" spans="18:19">
      <c r="R62927" s="178"/>
      <c r="S62927" s="178"/>
    </row>
    <row r="62928" spans="18:19">
      <c r="R62928" s="178"/>
      <c r="S62928" s="178"/>
    </row>
    <row r="62929" spans="18:19">
      <c r="R62929" s="178"/>
      <c r="S62929" s="178"/>
    </row>
    <row r="62930" spans="18:19">
      <c r="R62930" s="178"/>
      <c r="S62930" s="178"/>
    </row>
    <row r="62931" spans="18:19">
      <c r="R62931" s="178"/>
      <c r="S62931" s="178"/>
    </row>
    <row r="62932" spans="18:19">
      <c r="R62932" s="178"/>
      <c r="S62932" s="178"/>
    </row>
    <row r="62933" spans="18:19">
      <c r="R62933" s="178"/>
      <c r="S62933" s="178"/>
    </row>
    <row r="62934" spans="18:19">
      <c r="R62934" s="178"/>
      <c r="S62934" s="178"/>
    </row>
    <row r="62935" spans="18:19">
      <c r="R62935" s="178"/>
      <c r="S62935" s="178"/>
    </row>
    <row r="62936" spans="18:19">
      <c r="R62936" s="178"/>
      <c r="S62936" s="178"/>
    </row>
    <row r="62937" spans="18:19">
      <c r="R62937" s="178"/>
      <c r="S62937" s="178"/>
    </row>
    <row r="62938" spans="18:19">
      <c r="R62938" s="178"/>
      <c r="S62938" s="178"/>
    </row>
    <row r="62939" spans="18:19">
      <c r="R62939" s="178"/>
      <c r="S62939" s="178"/>
    </row>
    <row r="62940" spans="18:19">
      <c r="R62940" s="178"/>
      <c r="S62940" s="178"/>
    </row>
    <row r="62941" spans="18:19">
      <c r="R62941" s="178"/>
      <c r="S62941" s="178"/>
    </row>
    <row r="62942" spans="18:19">
      <c r="R62942" s="178"/>
      <c r="S62942" s="178"/>
    </row>
    <row r="62943" spans="18:19">
      <c r="R62943" s="178"/>
      <c r="S62943" s="178"/>
    </row>
    <row r="62944" spans="18:19">
      <c r="R62944" s="178"/>
      <c r="S62944" s="178"/>
    </row>
    <row r="62945" spans="18:19">
      <c r="R62945" s="178"/>
      <c r="S62945" s="178"/>
    </row>
    <row r="62946" spans="18:19">
      <c r="R62946" s="178"/>
      <c r="S62946" s="178"/>
    </row>
    <row r="62947" spans="18:19">
      <c r="R62947" s="178"/>
      <c r="S62947" s="178"/>
    </row>
    <row r="62948" spans="18:19">
      <c r="R62948" s="178"/>
      <c r="S62948" s="178"/>
    </row>
    <row r="62949" spans="18:19">
      <c r="R62949" s="178"/>
      <c r="S62949" s="178"/>
    </row>
    <row r="62950" spans="18:19">
      <c r="R62950" s="178"/>
      <c r="S62950" s="178"/>
    </row>
    <row r="62951" spans="18:19">
      <c r="R62951" s="178"/>
      <c r="S62951" s="178"/>
    </row>
    <row r="62952" spans="18:19">
      <c r="R62952" s="178"/>
      <c r="S62952" s="178"/>
    </row>
    <row r="62953" spans="18:19">
      <c r="R62953" s="178"/>
      <c r="S62953" s="178"/>
    </row>
    <row r="62954" spans="18:19">
      <c r="R62954" s="178"/>
      <c r="S62954" s="178"/>
    </row>
    <row r="62955" spans="18:19">
      <c r="R62955" s="178"/>
      <c r="S62955" s="178"/>
    </row>
    <row r="62956" spans="18:19">
      <c r="R62956" s="178"/>
      <c r="S62956" s="178"/>
    </row>
    <row r="62957" spans="18:19">
      <c r="R62957" s="178"/>
      <c r="S62957" s="178"/>
    </row>
    <row r="62958" spans="18:19">
      <c r="R62958" s="178"/>
      <c r="S62958" s="178"/>
    </row>
    <row r="62959" spans="18:19">
      <c r="R62959" s="178"/>
      <c r="S62959" s="178"/>
    </row>
    <row r="62960" spans="18:19">
      <c r="R62960" s="178"/>
      <c r="S62960" s="178"/>
    </row>
    <row r="62961" spans="18:19">
      <c r="R62961" s="178"/>
      <c r="S62961" s="178"/>
    </row>
    <row r="62962" spans="18:19">
      <c r="R62962" s="178"/>
      <c r="S62962" s="178"/>
    </row>
    <row r="62963" spans="18:19">
      <c r="R62963" s="178"/>
      <c r="S62963" s="178"/>
    </row>
    <row r="62964" spans="18:19">
      <c r="R62964" s="178"/>
      <c r="S62964" s="178"/>
    </row>
    <row r="62965" spans="18:19">
      <c r="R62965" s="178"/>
      <c r="S62965" s="178"/>
    </row>
    <row r="62966" spans="18:19">
      <c r="R62966" s="178"/>
      <c r="S62966" s="178"/>
    </row>
    <row r="62967" spans="18:19">
      <c r="R62967" s="178"/>
      <c r="S62967" s="178"/>
    </row>
    <row r="62968" spans="18:19">
      <c r="R62968" s="178"/>
      <c r="S62968" s="178"/>
    </row>
    <row r="62969" spans="18:19">
      <c r="R62969" s="178"/>
      <c r="S62969" s="178"/>
    </row>
    <row r="62970" spans="18:19">
      <c r="R62970" s="178"/>
      <c r="S62970" s="178"/>
    </row>
    <row r="62971" spans="18:19">
      <c r="R62971" s="178"/>
      <c r="S62971" s="178"/>
    </row>
    <row r="62972" spans="18:19">
      <c r="R62972" s="178"/>
      <c r="S62972" s="178"/>
    </row>
    <row r="62973" spans="18:19">
      <c r="R62973" s="178"/>
      <c r="S62973" s="178"/>
    </row>
    <row r="62974" spans="18:19">
      <c r="R62974" s="178"/>
      <c r="S62974" s="178"/>
    </row>
    <row r="62975" spans="18:19">
      <c r="R62975" s="178"/>
      <c r="S62975" s="178"/>
    </row>
    <row r="62976" spans="18:19">
      <c r="R62976" s="178"/>
      <c r="S62976" s="178"/>
    </row>
    <row r="62977" spans="18:19">
      <c r="R62977" s="178"/>
      <c r="S62977" s="178"/>
    </row>
    <row r="62978" spans="18:19">
      <c r="R62978" s="178"/>
      <c r="S62978" s="178"/>
    </row>
    <row r="62979" spans="18:19">
      <c r="R62979" s="178"/>
      <c r="S62979" s="178"/>
    </row>
    <row r="62980" spans="18:19">
      <c r="R62980" s="178"/>
      <c r="S62980" s="178"/>
    </row>
    <row r="62981" spans="18:19">
      <c r="R62981" s="178"/>
      <c r="S62981" s="178"/>
    </row>
    <row r="62982" spans="18:19">
      <c r="R62982" s="178"/>
      <c r="S62982" s="178"/>
    </row>
    <row r="62983" spans="18:19">
      <c r="R62983" s="178"/>
      <c r="S62983" s="178"/>
    </row>
    <row r="62984" spans="18:19">
      <c r="R62984" s="178"/>
      <c r="S62984" s="178"/>
    </row>
    <row r="62985" spans="18:19">
      <c r="R62985" s="178"/>
      <c r="S62985" s="178"/>
    </row>
    <row r="62986" spans="18:19">
      <c r="R62986" s="178"/>
      <c r="S62986" s="178"/>
    </row>
    <row r="62987" spans="18:19">
      <c r="R62987" s="178"/>
      <c r="S62987" s="178"/>
    </row>
    <row r="62988" spans="18:19">
      <c r="R62988" s="178"/>
      <c r="S62988" s="178"/>
    </row>
    <row r="62989" spans="18:19">
      <c r="R62989" s="178"/>
      <c r="S62989" s="178"/>
    </row>
    <row r="62990" spans="18:19">
      <c r="R62990" s="178"/>
      <c r="S62990" s="178"/>
    </row>
    <row r="62991" spans="18:19">
      <c r="R62991" s="178"/>
      <c r="S62991" s="178"/>
    </row>
    <row r="62992" spans="18:19">
      <c r="R62992" s="178"/>
      <c r="S62992" s="178"/>
    </row>
    <row r="62993" spans="18:19">
      <c r="R62993" s="178"/>
      <c r="S62993" s="178"/>
    </row>
    <row r="62994" spans="18:19">
      <c r="R62994" s="178"/>
      <c r="S62994" s="178"/>
    </row>
    <row r="62995" spans="18:19">
      <c r="R62995" s="178"/>
      <c r="S62995" s="178"/>
    </row>
    <row r="62996" spans="18:19">
      <c r="R62996" s="178"/>
      <c r="S62996" s="178"/>
    </row>
    <row r="62997" spans="18:19">
      <c r="R62997" s="178"/>
      <c r="S62997" s="178"/>
    </row>
    <row r="62998" spans="18:19">
      <c r="R62998" s="178"/>
      <c r="S62998" s="178"/>
    </row>
    <row r="62999" spans="18:19">
      <c r="R62999" s="178"/>
      <c r="S62999" s="178"/>
    </row>
    <row r="63000" spans="18:19">
      <c r="R63000" s="178"/>
      <c r="S63000" s="178"/>
    </row>
    <row r="63001" spans="18:19">
      <c r="R63001" s="178"/>
      <c r="S63001" s="178"/>
    </row>
    <row r="63002" spans="18:19">
      <c r="R63002" s="178"/>
      <c r="S63002" s="178"/>
    </row>
    <row r="63003" spans="18:19">
      <c r="R63003" s="178"/>
      <c r="S63003" s="178"/>
    </row>
    <row r="63004" spans="18:19">
      <c r="R63004" s="178"/>
      <c r="S63004" s="178"/>
    </row>
    <row r="63005" spans="18:19">
      <c r="R63005" s="178"/>
      <c r="S63005" s="178"/>
    </row>
    <row r="63006" spans="18:19">
      <c r="R63006" s="178"/>
      <c r="S63006" s="178"/>
    </row>
    <row r="63007" spans="18:19">
      <c r="R63007" s="178"/>
      <c r="S63007" s="178"/>
    </row>
    <row r="63008" spans="18:19">
      <c r="R63008" s="178"/>
      <c r="S63008" s="178"/>
    </row>
    <row r="63009" spans="18:19">
      <c r="R63009" s="178"/>
      <c r="S63009" s="178"/>
    </row>
    <row r="63010" spans="18:19">
      <c r="R63010" s="178"/>
      <c r="S63010" s="178"/>
    </row>
    <row r="63011" spans="18:19">
      <c r="R63011" s="178"/>
      <c r="S63011" s="178"/>
    </row>
    <row r="63012" spans="18:19">
      <c r="R63012" s="178"/>
      <c r="S63012" s="178"/>
    </row>
    <row r="63013" spans="18:19">
      <c r="R63013" s="178"/>
      <c r="S63013" s="178"/>
    </row>
    <row r="63014" spans="18:19">
      <c r="R63014" s="178"/>
      <c r="S63014" s="178"/>
    </row>
    <row r="63015" spans="18:19">
      <c r="R63015" s="178"/>
      <c r="S63015" s="178"/>
    </row>
    <row r="63016" spans="18:19">
      <c r="R63016" s="178"/>
      <c r="S63016" s="178"/>
    </row>
    <row r="63017" spans="18:19">
      <c r="R63017" s="178"/>
      <c r="S63017" s="178"/>
    </row>
    <row r="63018" spans="18:19">
      <c r="R63018" s="178"/>
      <c r="S63018" s="178"/>
    </row>
    <row r="63019" spans="18:19">
      <c r="R63019" s="178"/>
      <c r="S63019" s="178"/>
    </row>
    <row r="63020" spans="18:19">
      <c r="R63020" s="178"/>
      <c r="S63020" s="178"/>
    </row>
    <row r="63021" spans="18:19">
      <c r="R63021" s="178"/>
      <c r="S63021" s="178"/>
    </row>
    <row r="63022" spans="18:19">
      <c r="R63022" s="178"/>
      <c r="S63022" s="178"/>
    </row>
    <row r="63023" spans="18:19">
      <c r="R63023" s="178"/>
      <c r="S63023" s="178"/>
    </row>
    <row r="63024" spans="18:19">
      <c r="R63024" s="178"/>
      <c r="S63024" s="178"/>
    </row>
    <row r="63025" spans="18:19">
      <c r="R63025" s="178"/>
      <c r="S63025" s="178"/>
    </row>
    <row r="63026" spans="18:19">
      <c r="R63026" s="178"/>
      <c r="S63026" s="178"/>
    </row>
    <row r="63027" spans="18:19">
      <c r="R63027" s="178"/>
      <c r="S63027" s="178"/>
    </row>
    <row r="63028" spans="18:19">
      <c r="R63028" s="178"/>
      <c r="S63028" s="178"/>
    </row>
    <row r="63029" spans="18:19">
      <c r="R63029" s="178"/>
      <c r="S63029" s="178"/>
    </row>
    <row r="63030" spans="18:19">
      <c r="R63030" s="178"/>
      <c r="S63030" s="178"/>
    </row>
    <row r="63031" spans="18:19">
      <c r="R63031" s="178"/>
      <c r="S63031" s="178"/>
    </row>
    <row r="63032" spans="18:19">
      <c r="R63032" s="178"/>
      <c r="S63032" s="178"/>
    </row>
    <row r="63033" spans="18:19">
      <c r="R63033" s="178"/>
      <c r="S63033" s="178"/>
    </row>
    <row r="63034" spans="18:19">
      <c r="R63034" s="178"/>
      <c r="S63034" s="178"/>
    </row>
    <row r="63035" spans="18:19">
      <c r="R63035" s="178"/>
      <c r="S63035" s="178"/>
    </row>
    <row r="63036" spans="18:19">
      <c r="R63036" s="178"/>
      <c r="S63036" s="178"/>
    </row>
    <row r="63037" spans="18:19">
      <c r="R63037" s="178"/>
      <c r="S63037" s="178"/>
    </row>
    <row r="63038" spans="18:19">
      <c r="R63038" s="178"/>
      <c r="S63038" s="178"/>
    </row>
    <row r="63039" spans="18:19">
      <c r="R63039" s="178"/>
      <c r="S63039" s="178"/>
    </row>
    <row r="63040" spans="18:19">
      <c r="R63040" s="178"/>
      <c r="S63040" s="178"/>
    </row>
    <row r="63041" spans="18:19">
      <c r="R63041" s="178"/>
      <c r="S63041" s="178"/>
    </row>
    <row r="63042" spans="18:19">
      <c r="R63042" s="178"/>
      <c r="S63042" s="178"/>
    </row>
    <row r="63043" spans="18:19">
      <c r="R63043" s="178"/>
      <c r="S63043" s="178"/>
    </row>
    <row r="63044" spans="18:19">
      <c r="R63044" s="178"/>
      <c r="S63044" s="178"/>
    </row>
    <row r="63045" spans="18:19">
      <c r="R63045" s="178"/>
      <c r="S63045" s="178"/>
    </row>
    <row r="63046" spans="18:19">
      <c r="R63046" s="178"/>
      <c r="S63046" s="178"/>
    </row>
    <row r="63047" spans="18:19">
      <c r="R63047" s="178"/>
      <c r="S63047" s="178"/>
    </row>
    <row r="63048" spans="18:19">
      <c r="R63048" s="178"/>
      <c r="S63048" s="178"/>
    </row>
    <row r="63049" spans="18:19">
      <c r="R63049" s="178"/>
      <c r="S63049" s="178"/>
    </row>
    <row r="63050" spans="18:19">
      <c r="R63050" s="178"/>
      <c r="S63050" s="178"/>
    </row>
    <row r="63051" spans="18:19">
      <c r="R63051" s="178"/>
      <c r="S63051" s="178"/>
    </row>
    <row r="63052" spans="18:19">
      <c r="R63052" s="178"/>
      <c r="S63052" s="178"/>
    </row>
    <row r="63053" spans="18:19">
      <c r="R63053" s="178"/>
      <c r="S63053" s="178"/>
    </row>
    <row r="63054" spans="18:19">
      <c r="R63054" s="178"/>
      <c r="S63054" s="178"/>
    </row>
    <row r="63055" spans="18:19">
      <c r="R63055" s="178"/>
      <c r="S63055" s="178"/>
    </row>
    <row r="63056" spans="18:19">
      <c r="R63056" s="178"/>
      <c r="S63056" s="178"/>
    </row>
    <row r="63057" spans="18:19">
      <c r="R63057" s="178"/>
      <c r="S63057" s="178"/>
    </row>
    <row r="63058" spans="18:19">
      <c r="R63058" s="178"/>
      <c r="S63058" s="178"/>
    </row>
    <row r="63059" spans="18:19">
      <c r="R63059" s="178"/>
      <c r="S63059" s="178"/>
    </row>
    <row r="63060" spans="18:19">
      <c r="R63060" s="178"/>
      <c r="S63060" s="178"/>
    </row>
    <row r="63061" spans="18:19">
      <c r="R63061" s="178"/>
      <c r="S63061" s="178"/>
    </row>
    <row r="63062" spans="18:19">
      <c r="R63062" s="178"/>
      <c r="S63062" s="178"/>
    </row>
    <row r="63063" spans="18:19">
      <c r="R63063" s="178"/>
      <c r="S63063" s="178"/>
    </row>
    <row r="63064" spans="18:19">
      <c r="R63064" s="178"/>
      <c r="S63064" s="178"/>
    </row>
    <row r="63065" spans="18:19">
      <c r="R63065" s="178"/>
      <c r="S63065" s="178"/>
    </row>
    <row r="63066" spans="18:19">
      <c r="R63066" s="178"/>
      <c r="S63066" s="178"/>
    </row>
    <row r="63067" spans="18:19">
      <c r="R63067" s="178"/>
      <c r="S63067" s="178"/>
    </row>
    <row r="63068" spans="18:19">
      <c r="R63068" s="178"/>
      <c r="S63068" s="178"/>
    </row>
    <row r="63069" spans="18:19">
      <c r="R63069" s="178"/>
      <c r="S63069" s="178"/>
    </row>
    <row r="63070" spans="18:19">
      <c r="R63070" s="178"/>
      <c r="S63070" s="178"/>
    </row>
    <row r="63071" spans="18:19">
      <c r="R63071" s="178"/>
      <c r="S63071" s="178"/>
    </row>
    <row r="63072" spans="18:19">
      <c r="R63072" s="178"/>
      <c r="S63072" s="178"/>
    </row>
    <row r="63073" spans="18:19">
      <c r="R63073" s="178"/>
      <c r="S63073" s="178"/>
    </row>
    <row r="63074" spans="18:19">
      <c r="R63074" s="178"/>
      <c r="S63074" s="178"/>
    </row>
    <row r="63075" spans="18:19">
      <c r="R63075" s="178"/>
      <c r="S63075" s="178"/>
    </row>
    <row r="63076" spans="18:19">
      <c r="R63076" s="178"/>
      <c r="S63076" s="178"/>
    </row>
    <row r="63077" spans="18:19">
      <c r="R63077" s="178"/>
      <c r="S63077" s="178"/>
    </row>
    <row r="63078" spans="18:19">
      <c r="R63078" s="178"/>
      <c r="S63078" s="178"/>
    </row>
    <row r="63079" spans="18:19">
      <c r="R63079" s="178"/>
      <c r="S63079" s="178"/>
    </row>
    <row r="63080" spans="18:19">
      <c r="R63080" s="178"/>
      <c r="S63080" s="178"/>
    </row>
    <row r="63081" spans="18:19">
      <c r="R63081" s="178"/>
      <c r="S63081" s="178"/>
    </row>
    <row r="63082" spans="18:19">
      <c r="R63082" s="178"/>
      <c r="S63082" s="178"/>
    </row>
    <row r="63083" spans="18:19">
      <c r="R63083" s="178"/>
      <c r="S63083" s="178"/>
    </row>
    <row r="63084" spans="18:19">
      <c r="R63084" s="178"/>
      <c r="S63084" s="178"/>
    </row>
    <row r="63085" spans="18:19">
      <c r="R63085" s="178"/>
      <c r="S63085" s="178"/>
    </row>
    <row r="63086" spans="18:19">
      <c r="R63086" s="178"/>
      <c r="S63086" s="178"/>
    </row>
    <row r="63087" spans="18:19">
      <c r="R63087" s="178"/>
      <c r="S63087" s="178"/>
    </row>
    <row r="63088" spans="18:19">
      <c r="R63088" s="178"/>
      <c r="S63088" s="178"/>
    </row>
    <row r="63089" spans="18:19">
      <c r="R63089" s="178"/>
      <c r="S63089" s="178"/>
    </row>
    <row r="63090" spans="18:19">
      <c r="R63090" s="178"/>
      <c r="S63090" s="178"/>
    </row>
    <row r="63091" spans="18:19">
      <c r="R63091" s="178"/>
      <c r="S63091" s="178"/>
    </row>
    <row r="63092" spans="18:19">
      <c r="R63092" s="178"/>
      <c r="S63092" s="178"/>
    </row>
    <row r="63093" spans="18:19">
      <c r="R63093" s="178"/>
      <c r="S63093" s="178"/>
    </row>
    <row r="63094" spans="18:19">
      <c r="R63094" s="178"/>
      <c r="S63094" s="178"/>
    </row>
    <row r="63095" spans="18:19">
      <c r="R63095" s="178"/>
      <c r="S63095" s="178"/>
    </row>
    <row r="63096" spans="18:19">
      <c r="R63096" s="178"/>
      <c r="S63096" s="178"/>
    </row>
    <row r="63097" spans="18:19">
      <c r="R63097" s="178"/>
      <c r="S63097" s="178"/>
    </row>
    <row r="63098" spans="18:19">
      <c r="R63098" s="178"/>
      <c r="S63098" s="178"/>
    </row>
    <row r="63099" spans="18:19">
      <c r="R63099" s="178"/>
      <c r="S63099" s="178"/>
    </row>
    <row r="63100" spans="18:19">
      <c r="R63100" s="178"/>
      <c r="S63100" s="178"/>
    </row>
    <row r="63101" spans="18:19">
      <c r="R63101" s="178"/>
      <c r="S63101" s="178"/>
    </row>
    <row r="63102" spans="18:19">
      <c r="R63102" s="178"/>
      <c r="S63102" s="178"/>
    </row>
    <row r="63103" spans="18:19">
      <c r="R63103" s="178"/>
      <c r="S63103" s="178"/>
    </row>
    <row r="63104" spans="18:19">
      <c r="R63104" s="178"/>
      <c r="S63104" s="178"/>
    </row>
    <row r="63105" spans="18:19">
      <c r="R63105" s="178"/>
      <c r="S63105" s="178"/>
    </row>
    <row r="63106" spans="18:19">
      <c r="R63106" s="178"/>
      <c r="S63106" s="178"/>
    </row>
    <row r="63107" spans="18:19">
      <c r="R63107" s="178"/>
      <c r="S63107" s="178"/>
    </row>
    <row r="63108" spans="18:19">
      <c r="R63108" s="178"/>
      <c r="S63108" s="178"/>
    </row>
    <row r="63109" spans="18:19">
      <c r="R63109" s="178"/>
      <c r="S63109" s="178"/>
    </row>
    <row r="63110" spans="18:19">
      <c r="R63110" s="178"/>
      <c r="S63110" s="178"/>
    </row>
    <row r="63111" spans="18:19">
      <c r="R63111" s="178"/>
      <c r="S63111" s="178"/>
    </row>
    <row r="63112" spans="18:19">
      <c r="R63112" s="178"/>
      <c r="S63112" s="178"/>
    </row>
    <row r="63113" spans="18:19">
      <c r="R63113" s="178"/>
      <c r="S63113" s="178"/>
    </row>
    <row r="63114" spans="18:19">
      <c r="R63114" s="178"/>
      <c r="S63114" s="178"/>
    </row>
    <row r="63115" spans="18:19">
      <c r="R63115" s="178"/>
      <c r="S63115" s="178"/>
    </row>
    <row r="63116" spans="18:19">
      <c r="R63116" s="178"/>
      <c r="S63116" s="178"/>
    </row>
    <row r="63117" spans="18:19">
      <c r="R63117" s="178"/>
      <c r="S63117" s="178"/>
    </row>
    <row r="63118" spans="18:19">
      <c r="R63118" s="178"/>
      <c r="S63118" s="178"/>
    </row>
    <row r="63119" spans="18:19">
      <c r="R63119" s="178"/>
      <c r="S63119" s="178"/>
    </row>
    <row r="63120" spans="18:19">
      <c r="R63120" s="178"/>
      <c r="S63120" s="178"/>
    </row>
    <row r="63121" spans="18:19">
      <c r="R63121" s="178"/>
      <c r="S63121" s="178"/>
    </row>
    <row r="63122" spans="18:19">
      <c r="R63122" s="178"/>
      <c r="S63122" s="178"/>
    </row>
    <row r="63123" spans="18:19">
      <c r="R63123" s="178"/>
      <c r="S63123" s="178"/>
    </row>
    <row r="63124" spans="18:19">
      <c r="R63124" s="178"/>
      <c r="S63124" s="178"/>
    </row>
    <row r="63125" spans="18:19">
      <c r="R63125" s="178"/>
      <c r="S63125" s="178"/>
    </row>
    <row r="63126" spans="18:19">
      <c r="R63126" s="178"/>
      <c r="S63126" s="178"/>
    </row>
    <row r="63127" spans="18:19">
      <c r="R63127" s="178"/>
      <c r="S63127" s="178"/>
    </row>
    <row r="63128" spans="18:19">
      <c r="R63128" s="178"/>
      <c r="S63128" s="178"/>
    </row>
    <row r="63129" spans="18:19">
      <c r="R63129" s="178"/>
      <c r="S63129" s="178"/>
    </row>
    <row r="63130" spans="18:19">
      <c r="R63130" s="178"/>
      <c r="S63130" s="178"/>
    </row>
    <row r="63131" spans="18:19">
      <c r="R63131" s="178"/>
      <c r="S63131" s="178"/>
    </row>
    <row r="63132" spans="18:19">
      <c r="R63132" s="178"/>
      <c r="S63132" s="178"/>
    </row>
    <row r="63133" spans="18:19">
      <c r="R63133" s="178"/>
      <c r="S63133" s="178"/>
    </row>
    <row r="63134" spans="18:19">
      <c r="R63134" s="178"/>
      <c r="S63134" s="178"/>
    </row>
    <row r="63135" spans="18:19">
      <c r="R63135" s="178"/>
      <c r="S63135" s="178"/>
    </row>
    <row r="63136" spans="18:19">
      <c r="R63136" s="178"/>
      <c r="S63136" s="178"/>
    </row>
    <row r="63137" spans="18:19">
      <c r="R63137" s="178"/>
      <c r="S63137" s="178"/>
    </row>
    <row r="63138" spans="18:19">
      <c r="R63138" s="178"/>
      <c r="S63138" s="178"/>
    </row>
    <row r="63139" spans="18:19">
      <c r="R63139" s="178"/>
      <c r="S63139" s="178"/>
    </row>
    <row r="63140" spans="18:19">
      <c r="R63140" s="178"/>
      <c r="S63140" s="178"/>
    </row>
    <row r="63141" spans="18:19">
      <c r="R63141" s="178"/>
      <c r="S63141" s="178"/>
    </row>
    <row r="63142" spans="18:19">
      <c r="R63142" s="178"/>
      <c r="S63142" s="178"/>
    </row>
    <row r="63143" spans="18:19">
      <c r="R63143" s="178"/>
      <c r="S63143" s="178"/>
    </row>
    <row r="63144" spans="18:19">
      <c r="R63144" s="178"/>
      <c r="S63144" s="178"/>
    </row>
    <row r="63145" spans="18:19">
      <c r="R63145" s="178"/>
      <c r="S63145" s="178"/>
    </row>
    <row r="63146" spans="18:19">
      <c r="R63146" s="178"/>
      <c r="S63146" s="178"/>
    </row>
    <row r="63147" spans="18:19">
      <c r="R63147" s="178"/>
      <c r="S63147" s="178"/>
    </row>
    <row r="63148" spans="18:19">
      <c r="R63148" s="178"/>
      <c r="S63148" s="178"/>
    </row>
    <row r="63149" spans="18:19">
      <c r="R63149" s="178"/>
      <c r="S63149" s="178"/>
    </row>
    <row r="63150" spans="18:19">
      <c r="R63150" s="178"/>
      <c r="S63150" s="178"/>
    </row>
    <row r="63151" spans="18:19">
      <c r="R63151" s="178"/>
      <c r="S63151" s="178"/>
    </row>
    <row r="63152" spans="18:19">
      <c r="R63152" s="178"/>
      <c r="S63152" s="178"/>
    </row>
    <row r="63153" spans="18:19">
      <c r="R63153" s="178"/>
      <c r="S63153" s="178"/>
    </row>
    <row r="63154" spans="18:19">
      <c r="R63154" s="178"/>
      <c r="S63154" s="178"/>
    </row>
    <row r="63155" spans="18:19">
      <c r="R63155" s="178"/>
      <c r="S63155" s="178"/>
    </row>
    <row r="63156" spans="18:19">
      <c r="R63156" s="178"/>
      <c r="S63156" s="178"/>
    </row>
    <row r="63157" spans="18:19">
      <c r="R63157" s="178"/>
      <c r="S63157" s="178"/>
    </row>
    <row r="63158" spans="18:19">
      <c r="R63158" s="178"/>
      <c r="S63158" s="178"/>
    </row>
    <row r="63159" spans="18:19">
      <c r="R63159" s="178"/>
      <c r="S63159" s="178"/>
    </row>
    <row r="63160" spans="18:19">
      <c r="R63160" s="178"/>
      <c r="S63160" s="178"/>
    </row>
    <row r="63161" spans="18:19">
      <c r="R63161" s="178"/>
      <c r="S63161" s="178"/>
    </row>
    <row r="63162" spans="18:19">
      <c r="R63162" s="178"/>
      <c r="S63162" s="178"/>
    </row>
    <row r="63163" spans="18:19">
      <c r="R63163" s="178"/>
      <c r="S63163" s="178"/>
    </row>
    <row r="63164" spans="18:19">
      <c r="R63164" s="178"/>
      <c r="S63164" s="178"/>
    </row>
    <row r="63165" spans="18:19">
      <c r="R63165" s="178"/>
      <c r="S63165" s="178"/>
    </row>
    <row r="63166" spans="18:19">
      <c r="R63166" s="178"/>
      <c r="S63166" s="178"/>
    </row>
    <row r="63167" spans="18:19">
      <c r="R63167" s="178"/>
      <c r="S63167" s="178"/>
    </row>
    <row r="63168" spans="18:19">
      <c r="R63168" s="178"/>
      <c r="S63168" s="178"/>
    </row>
    <row r="63169" spans="18:19">
      <c r="R63169" s="178"/>
      <c r="S63169" s="178"/>
    </row>
    <row r="63170" spans="18:19">
      <c r="R63170" s="178"/>
      <c r="S63170" s="178"/>
    </row>
    <row r="63171" spans="18:19">
      <c r="R63171" s="178"/>
      <c r="S63171" s="178"/>
    </row>
    <row r="63172" spans="18:19">
      <c r="R63172" s="178"/>
      <c r="S63172" s="178"/>
    </row>
    <row r="63173" spans="18:19">
      <c r="R63173" s="178"/>
      <c r="S63173" s="178"/>
    </row>
    <row r="63174" spans="18:19">
      <c r="R63174" s="178"/>
      <c r="S63174" s="178"/>
    </row>
    <row r="63175" spans="18:19">
      <c r="R63175" s="178"/>
      <c r="S63175" s="178"/>
    </row>
    <row r="63176" spans="18:19">
      <c r="R63176" s="178"/>
      <c r="S63176" s="178"/>
    </row>
    <row r="63177" spans="18:19">
      <c r="R63177" s="178"/>
      <c r="S63177" s="178"/>
    </row>
    <row r="63178" spans="18:19">
      <c r="R63178" s="178"/>
      <c r="S63178" s="178"/>
    </row>
    <row r="63179" spans="18:19">
      <c r="R63179" s="178"/>
      <c r="S63179" s="178"/>
    </row>
    <row r="63180" spans="18:19">
      <c r="R63180" s="178"/>
      <c r="S63180" s="178"/>
    </row>
    <row r="63181" spans="18:19">
      <c r="R63181" s="178"/>
      <c r="S63181" s="178"/>
    </row>
    <row r="63182" spans="18:19">
      <c r="R63182" s="178"/>
      <c r="S63182" s="178"/>
    </row>
    <row r="63183" spans="18:19">
      <c r="R63183" s="178"/>
      <c r="S63183" s="178"/>
    </row>
    <row r="63184" spans="18:19">
      <c r="R63184" s="178"/>
      <c r="S63184" s="178"/>
    </row>
    <row r="63185" spans="18:19">
      <c r="R63185" s="178"/>
      <c r="S63185" s="178"/>
    </row>
    <row r="63186" spans="18:19">
      <c r="R63186" s="178"/>
      <c r="S63186" s="178"/>
    </row>
    <row r="63187" spans="18:19">
      <c r="R63187" s="178"/>
      <c r="S63187" s="178"/>
    </row>
    <row r="63188" spans="18:19">
      <c r="R63188" s="178"/>
      <c r="S63188" s="178"/>
    </row>
    <row r="63189" spans="18:19">
      <c r="R63189" s="178"/>
      <c r="S63189" s="178"/>
    </row>
    <row r="63190" spans="18:19">
      <c r="R63190" s="178"/>
      <c r="S63190" s="178"/>
    </row>
    <row r="63191" spans="18:19">
      <c r="R63191" s="178"/>
      <c r="S63191" s="178"/>
    </row>
    <row r="63192" spans="18:19">
      <c r="R63192" s="178"/>
      <c r="S63192" s="178"/>
    </row>
    <row r="63193" spans="18:19">
      <c r="R63193" s="178"/>
      <c r="S63193" s="178"/>
    </row>
    <row r="63194" spans="18:19">
      <c r="R63194" s="178"/>
      <c r="S63194" s="178"/>
    </row>
    <row r="63195" spans="18:19">
      <c r="R63195" s="178"/>
      <c r="S63195" s="178"/>
    </row>
    <row r="63196" spans="18:19">
      <c r="R63196" s="178"/>
      <c r="S63196" s="178"/>
    </row>
    <row r="63197" spans="18:19">
      <c r="R63197" s="178"/>
      <c r="S63197" s="178"/>
    </row>
    <row r="63198" spans="18:19">
      <c r="R63198" s="178"/>
      <c r="S63198" s="178"/>
    </row>
    <row r="63199" spans="18:19">
      <c r="R63199" s="178"/>
      <c r="S63199" s="178"/>
    </row>
    <row r="63200" spans="18:19">
      <c r="R63200" s="178"/>
      <c r="S63200" s="178"/>
    </row>
    <row r="63201" spans="18:19">
      <c r="R63201" s="178"/>
      <c r="S63201" s="178"/>
    </row>
    <row r="63202" spans="18:19">
      <c r="R63202" s="178"/>
      <c r="S63202" s="178"/>
    </row>
    <row r="63203" spans="18:19">
      <c r="R63203" s="178"/>
      <c r="S63203" s="178"/>
    </row>
    <row r="63204" spans="18:19">
      <c r="R63204" s="178"/>
      <c r="S63204" s="178"/>
    </row>
    <row r="63205" spans="18:19">
      <c r="R63205" s="178"/>
      <c r="S63205" s="178"/>
    </row>
    <row r="63206" spans="18:19">
      <c r="R63206" s="178"/>
      <c r="S63206" s="178"/>
    </row>
    <row r="63207" spans="18:19">
      <c r="R63207" s="178"/>
      <c r="S63207" s="178"/>
    </row>
    <row r="63208" spans="18:19">
      <c r="R63208" s="178"/>
      <c r="S63208" s="178"/>
    </row>
    <row r="63209" spans="18:19">
      <c r="R63209" s="178"/>
      <c r="S63209" s="178"/>
    </row>
    <row r="63210" spans="18:19">
      <c r="R63210" s="178"/>
      <c r="S63210" s="178"/>
    </row>
    <row r="63211" spans="18:19">
      <c r="R63211" s="178"/>
      <c r="S63211" s="178"/>
    </row>
    <row r="63212" spans="18:19">
      <c r="R63212" s="178"/>
      <c r="S63212" s="178"/>
    </row>
    <row r="63213" spans="18:19">
      <c r="R63213" s="178"/>
      <c r="S63213" s="178"/>
    </row>
    <row r="63214" spans="18:19">
      <c r="R63214" s="178"/>
      <c r="S63214" s="178"/>
    </row>
    <row r="63215" spans="18:19">
      <c r="R63215" s="178"/>
      <c r="S63215" s="178"/>
    </row>
    <row r="63216" spans="18:19">
      <c r="R63216" s="178"/>
      <c r="S63216" s="178"/>
    </row>
    <row r="63217" spans="18:19">
      <c r="R63217" s="178"/>
      <c r="S63217" s="178"/>
    </row>
    <row r="63218" spans="18:19">
      <c r="R63218" s="178"/>
      <c r="S63218" s="178"/>
    </row>
    <row r="63219" spans="18:19">
      <c r="R63219" s="178"/>
      <c r="S63219" s="178"/>
    </row>
    <row r="63220" spans="18:19">
      <c r="R63220" s="178"/>
      <c r="S63220" s="178"/>
    </row>
    <row r="63221" spans="18:19">
      <c r="R63221" s="178"/>
      <c r="S63221" s="178"/>
    </row>
    <row r="63222" spans="18:19">
      <c r="R63222" s="178"/>
      <c r="S63222" s="178"/>
    </row>
    <row r="63223" spans="18:19">
      <c r="R63223" s="178"/>
      <c r="S63223" s="178"/>
    </row>
    <row r="63224" spans="18:19">
      <c r="R63224" s="178"/>
      <c r="S63224" s="178"/>
    </row>
    <row r="63225" spans="18:19">
      <c r="R63225" s="178"/>
      <c r="S63225" s="178"/>
    </row>
    <row r="63226" spans="18:19">
      <c r="R63226" s="178"/>
      <c r="S63226" s="178"/>
    </row>
    <row r="63227" spans="18:19">
      <c r="R63227" s="178"/>
      <c r="S63227" s="178"/>
    </row>
    <row r="63228" spans="18:19">
      <c r="R63228" s="178"/>
      <c r="S63228" s="178"/>
    </row>
    <row r="63229" spans="18:19">
      <c r="R63229" s="178"/>
      <c r="S63229" s="178"/>
    </row>
    <row r="63230" spans="18:19">
      <c r="R63230" s="178"/>
      <c r="S63230" s="178"/>
    </row>
    <row r="63231" spans="18:19">
      <c r="R63231" s="178"/>
      <c r="S63231" s="178"/>
    </row>
    <row r="63232" spans="18:19">
      <c r="R63232" s="178"/>
      <c r="S63232" s="178"/>
    </row>
    <row r="63233" spans="18:19">
      <c r="R63233" s="178"/>
      <c r="S63233" s="178"/>
    </row>
    <row r="63234" spans="18:19">
      <c r="R63234" s="178"/>
      <c r="S63234" s="178"/>
    </row>
    <row r="63235" spans="18:19">
      <c r="R63235" s="178"/>
      <c r="S63235" s="178"/>
    </row>
    <row r="63236" spans="18:19">
      <c r="R63236" s="178"/>
      <c r="S63236" s="178"/>
    </row>
    <row r="63237" spans="18:19">
      <c r="R63237" s="178"/>
      <c r="S63237" s="178"/>
    </row>
    <row r="63238" spans="18:19">
      <c r="R63238" s="178"/>
      <c r="S63238" s="178"/>
    </row>
    <row r="63239" spans="18:19">
      <c r="R63239" s="178"/>
      <c r="S63239" s="178"/>
    </row>
    <row r="63240" spans="18:19">
      <c r="R63240" s="178"/>
      <c r="S63240" s="178"/>
    </row>
    <row r="63241" spans="18:19">
      <c r="R63241" s="178"/>
      <c r="S63241" s="178"/>
    </row>
    <row r="63242" spans="18:19">
      <c r="R63242" s="178"/>
      <c r="S63242" s="178"/>
    </row>
    <row r="63243" spans="18:19">
      <c r="R63243" s="178"/>
      <c r="S63243" s="178"/>
    </row>
    <row r="63244" spans="18:19">
      <c r="R63244" s="178"/>
      <c r="S63244" s="178"/>
    </row>
    <row r="63245" spans="18:19">
      <c r="R63245" s="178"/>
      <c r="S63245" s="178"/>
    </row>
    <row r="63246" spans="18:19">
      <c r="R63246" s="178"/>
      <c r="S63246" s="178"/>
    </row>
    <row r="63247" spans="18:19">
      <c r="R63247" s="178"/>
      <c r="S63247" s="178"/>
    </row>
    <row r="63248" spans="18:19">
      <c r="R63248" s="178"/>
      <c r="S63248" s="178"/>
    </row>
    <row r="63249" spans="18:19">
      <c r="R63249" s="178"/>
      <c r="S63249" s="178"/>
    </row>
    <row r="63250" spans="18:19">
      <c r="R63250" s="178"/>
      <c r="S63250" s="178"/>
    </row>
    <row r="63251" spans="18:19">
      <c r="R63251" s="178"/>
      <c r="S63251" s="178"/>
    </row>
    <row r="63252" spans="18:19">
      <c r="R63252" s="178"/>
      <c r="S63252" s="178"/>
    </row>
    <row r="63253" spans="18:19">
      <c r="R63253" s="178"/>
      <c r="S63253" s="178"/>
    </row>
    <row r="63254" spans="18:19">
      <c r="R63254" s="178"/>
      <c r="S63254" s="178"/>
    </row>
    <row r="63255" spans="18:19">
      <c r="R63255" s="178"/>
      <c r="S63255" s="178"/>
    </row>
    <row r="63256" spans="18:19">
      <c r="R63256" s="178"/>
      <c r="S63256" s="178"/>
    </row>
    <row r="63257" spans="18:19">
      <c r="R63257" s="178"/>
      <c r="S63257" s="178"/>
    </row>
    <row r="63258" spans="18:19">
      <c r="R63258" s="178"/>
      <c r="S63258" s="178"/>
    </row>
    <row r="63259" spans="18:19">
      <c r="R63259" s="178"/>
      <c r="S63259" s="178"/>
    </row>
    <row r="63260" spans="18:19">
      <c r="R63260" s="178"/>
      <c r="S63260" s="178"/>
    </row>
    <row r="63261" spans="18:19">
      <c r="R63261" s="178"/>
      <c r="S63261" s="178"/>
    </row>
    <row r="63262" spans="18:19">
      <c r="R63262" s="178"/>
      <c r="S63262" s="178"/>
    </row>
    <row r="63263" spans="18:19">
      <c r="R63263" s="178"/>
      <c r="S63263" s="178"/>
    </row>
    <row r="63264" spans="18:19">
      <c r="R63264" s="178"/>
      <c r="S63264" s="178"/>
    </row>
    <row r="63265" spans="18:19">
      <c r="R63265" s="178"/>
      <c r="S63265" s="178"/>
    </row>
    <row r="63266" spans="18:19">
      <c r="R63266" s="178"/>
      <c r="S63266" s="178"/>
    </row>
    <row r="63267" spans="18:19">
      <c r="R63267" s="178"/>
      <c r="S63267" s="178"/>
    </row>
    <row r="63268" spans="18:19">
      <c r="R63268" s="178"/>
      <c r="S63268" s="178"/>
    </row>
    <row r="63269" spans="18:19">
      <c r="R63269" s="178"/>
      <c r="S63269" s="178"/>
    </row>
    <row r="63270" spans="18:19">
      <c r="R63270" s="178"/>
      <c r="S63270" s="178"/>
    </row>
    <row r="63271" spans="18:19">
      <c r="R63271" s="178"/>
      <c r="S63271" s="178"/>
    </row>
    <row r="63272" spans="18:19">
      <c r="R63272" s="178"/>
      <c r="S63272" s="178"/>
    </row>
    <row r="63273" spans="18:19">
      <c r="R63273" s="178"/>
      <c r="S63273" s="178"/>
    </row>
    <row r="63274" spans="18:19">
      <c r="R63274" s="178"/>
      <c r="S63274" s="178"/>
    </row>
    <row r="63275" spans="18:19">
      <c r="R63275" s="178"/>
      <c r="S63275" s="178"/>
    </row>
    <row r="63276" spans="18:19">
      <c r="R63276" s="178"/>
      <c r="S63276" s="178"/>
    </row>
    <row r="63277" spans="18:19">
      <c r="R63277" s="178"/>
      <c r="S63277" s="178"/>
    </row>
    <row r="63278" spans="18:19">
      <c r="R63278" s="178"/>
      <c r="S63278" s="178"/>
    </row>
    <row r="63279" spans="18:19">
      <c r="R63279" s="178"/>
      <c r="S63279" s="178"/>
    </row>
    <row r="63280" spans="18:19">
      <c r="R63280" s="178"/>
      <c r="S63280" s="178"/>
    </row>
    <row r="63281" spans="18:19">
      <c r="R63281" s="178"/>
      <c r="S63281" s="178"/>
    </row>
    <row r="63282" spans="18:19">
      <c r="R63282" s="178"/>
      <c r="S63282" s="178"/>
    </row>
    <row r="63283" spans="18:19">
      <c r="R63283" s="178"/>
      <c r="S63283" s="178"/>
    </row>
    <row r="63284" spans="18:19">
      <c r="R63284" s="178"/>
      <c r="S63284" s="178"/>
    </row>
    <row r="63285" spans="18:19">
      <c r="R63285" s="178"/>
      <c r="S63285" s="178"/>
    </row>
    <row r="63286" spans="18:19">
      <c r="R63286" s="178"/>
      <c r="S63286" s="178"/>
    </row>
    <row r="63287" spans="18:19">
      <c r="R63287" s="178"/>
      <c r="S63287" s="178"/>
    </row>
    <row r="63288" spans="18:19">
      <c r="R63288" s="178"/>
      <c r="S63288" s="178"/>
    </row>
    <row r="63289" spans="18:19">
      <c r="R63289" s="178"/>
      <c r="S63289" s="178"/>
    </row>
    <row r="63290" spans="18:19">
      <c r="R63290" s="178"/>
      <c r="S63290" s="178"/>
    </row>
    <row r="63291" spans="18:19">
      <c r="R63291" s="178"/>
      <c r="S63291" s="178"/>
    </row>
    <row r="63292" spans="18:19">
      <c r="R63292" s="178"/>
      <c r="S63292" s="178"/>
    </row>
    <row r="63293" spans="18:19">
      <c r="R63293" s="178"/>
      <c r="S63293" s="178"/>
    </row>
    <row r="63294" spans="18:19">
      <c r="R63294" s="178"/>
      <c r="S63294" s="178"/>
    </row>
    <row r="63295" spans="18:19">
      <c r="R63295" s="178"/>
      <c r="S63295" s="178"/>
    </row>
    <row r="63296" spans="18:19">
      <c r="R63296" s="178"/>
      <c r="S63296" s="178"/>
    </row>
    <row r="63297" spans="18:19">
      <c r="R63297" s="178"/>
      <c r="S63297" s="178"/>
    </row>
    <row r="63298" spans="18:19">
      <c r="R63298" s="178"/>
      <c r="S63298" s="178"/>
    </row>
    <row r="63299" spans="18:19">
      <c r="R63299" s="178"/>
      <c r="S63299" s="178"/>
    </row>
    <row r="63300" spans="18:19">
      <c r="R63300" s="178"/>
      <c r="S63300" s="178"/>
    </row>
    <row r="63301" spans="18:19">
      <c r="R63301" s="178"/>
      <c r="S63301" s="178"/>
    </row>
    <row r="63302" spans="18:19">
      <c r="R63302" s="178"/>
      <c r="S63302" s="178"/>
    </row>
    <row r="63303" spans="18:19">
      <c r="R63303" s="178"/>
      <c r="S63303" s="178"/>
    </row>
    <row r="63304" spans="18:19">
      <c r="R63304" s="178"/>
      <c r="S63304" s="178"/>
    </row>
    <row r="63305" spans="18:19">
      <c r="R63305" s="178"/>
      <c r="S63305" s="178"/>
    </row>
    <row r="63306" spans="18:19">
      <c r="R63306" s="178"/>
      <c r="S63306" s="178"/>
    </row>
    <row r="63307" spans="18:19">
      <c r="R63307" s="178"/>
      <c r="S63307" s="178"/>
    </row>
    <row r="63308" spans="18:19">
      <c r="R63308" s="178"/>
      <c r="S63308" s="178"/>
    </row>
    <row r="63309" spans="18:19">
      <c r="R63309" s="178"/>
      <c r="S63309" s="178"/>
    </row>
    <row r="63310" spans="18:19">
      <c r="R63310" s="178"/>
      <c r="S63310" s="178"/>
    </row>
    <row r="63311" spans="18:19">
      <c r="R63311" s="178"/>
      <c r="S63311" s="178"/>
    </row>
    <row r="63312" spans="18:19">
      <c r="R63312" s="178"/>
      <c r="S63312" s="178"/>
    </row>
    <row r="63313" spans="18:19">
      <c r="R63313" s="178"/>
      <c r="S63313" s="178"/>
    </row>
    <row r="63314" spans="18:19">
      <c r="R63314" s="178"/>
      <c r="S63314" s="178"/>
    </row>
    <row r="63315" spans="18:19">
      <c r="R63315" s="178"/>
      <c r="S63315" s="178"/>
    </row>
    <row r="63316" spans="18:19">
      <c r="R63316" s="178"/>
      <c r="S63316" s="178"/>
    </row>
    <row r="63317" spans="18:19">
      <c r="R63317" s="178"/>
      <c r="S63317" s="178"/>
    </row>
    <row r="63318" spans="18:19">
      <c r="R63318" s="178"/>
      <c r="S63318" s="178"/>
    </row>
    <row r="63319" spans="18:19">
      <c r="R63319" s="178"/>
      <c r="S63319" s="178"/>
    </row>
    <row r="63320" spans="18:19">
      <c r="R63320" s="178"/>
      <c r="S63320" s="178"/>
    </row>
    <row r="63321" spans="18:19">
      <c r="R63321" s="178"/>
      <c r="S63321" s="178"/>
    </row>
    <row r="63322" spans="18:19">
      <c r="R63322" s="178"/>
      <c r="S63322" s="178"/>
    </row>
    <row r="63323" spans="18:19">
      <c r="R63323" s="178"/>
      <c r="S63323" s="178"/>
    </row>
    <row r="63324" spans="18:19">
      <c r="R63324" s="178"/>
      <c r="S63324" s="178"/>
    </row>
    <row r="63325" spans="18:19">
      <c r="R63325" s="178"/>
      <c r="S63325" s="178"/>
    </row>
    <row r="63326" spans="18:19">
      <c r="R63326" s="178"/>
      <c r="S63326" s="178"/>
    </row>
    <row r="63327" spans="18:19">
      <c r="R63327" s="178"/>
      <c r="S63327" s="178"/>
    </row>
    <row r="63328" spans="18:19">
      <c r="R63328" s="178"/>
      <c r="S63328" s="178"/>
    </row>
    <row r="63329" spans="18:19">
      <c r="R63329" s="178"/>
      <c r="S63329" s="178"/>
    </row>
    <row r="63330" spans="18:19">
      <c r="R63330" s="178"/>
      <c r="S63330" s="178"/>
    </row>
    <row r="63331" spans="18:19">
      <c r="R63331" s="178"/>
      <c r="S63331" s="178"/>
    </row>
    <row r="63332" spans="18:19">
      <c r="R63332" s="178"/>
      <c r="S63332" s="178"/>
    </row>
    <row r="63333" spans="18:19">
      <c r="R63333" s="178"/>
      <c r="S63333" s="178"/>
    </row>
    <row r="63334" spans="18:19">
      <c r="R63334" s="178"/>
      <c r="S63334" s="178"/>
    </row>
    <row r="63335" spans="18:19">
      <c r="R63335" s="178"/>
      <c r="S63335" s="178"/>
    </row>
    <row r="63336" spans="18:19">
      <c r="R63336" s="178"/>
      <c r="S63336" s="178"/>
    </row>
    <row r="63337" spans="18:19">
      <c r="R63337" s="178"/>
      <c r="S63337" s="178"/>
    </row>
    <row r="63338" spans="18:19">
      <c r="R63338" s="178"/>
      <c r="S63338" s="178"/>
    </row>
    <row r="63339" spans="18:19">
      <c r="R63339" s="178"/>
      <c r="S63339" s="178"/>
    </row>
    <row r="63340" spans="18:19">
      <c r="R63340" s="178"/>
      <c r="S63340" s="178"/>
    </row>
    <row r="63341" spans="18:19">
      <c r="R63341" s="178"/>
      <c r="S63341" s="178"/>
    </row>
    <row r="63342" spans="18:19">
      <c r="R63342" s="178"/>
      <c r="S63342" s="178"/>
    </row>
    <row r="63343" spans="18:19">
      <c r="R63343" s="178"/>
      <c r="S63343" s="178"/>
    </row>
    <row r="63344" spans="18:19">
      <c r="R63344" s="178"/>
      <c r="S63344" s="178"/>
    </row>
    <row r="63345" spans="18:19">
      <c r="R63345" s="178"/>
      <c r="S63345" s="178"/>
    </row>
    <row r="63346" spans="18:19">
      <c r="R63346" s="178"/>
      <c r="S63346" s="178"/>
    </row>
    <row r="63347" spans="18:19">
      <c r="R63347" s="178"/>
      <c r="S63347" s="178"/>
    </row>
    <row r="63348" spans="18:19">
      <c r="R63348" s="178"/>
      <c r="S63348" s="178"/>
    </row>
    <row r="63349" spans="18:19">
      <c r="R63349" s="178"/>
      <c r="S63349" s="178"/>
    </row>
    <row r="63350" spans="18:19">
      <c r="R63350" s="178"/>
      <c r="S63350" s="178"/>
    </row>
    <row r="63351" spans="18:19">
      <c r="R63351" s="178"/>
      <c r="S63351" s="178"/>
    </row>
    <row r="63352" spans="18:19">
      <c r="R63352" s="178"/>
      <c r="S63352" s="178"/>
    </row>
    <row r="63353" spans="18:19">
      <c r="R63353" s="178"/>
      <c r="S63353" s="178"/>
    </row>
    <row r="63354" spans="18:19">
      <c r="R63354" s="178"/>
      <c r="S63354" s="178"/>
    </row>
    <row r="63355" spans="18:19">
      <c r="R63355" s="178"/>
      <c r="S63355" s="178"/>
    </row>
    <row r="63356" spans="18:19">
      <c r="R63356" s="178"/>
      <c r="S63356" s="178"/>
    </row>
    <row r="63357" spans="18:19">
      <c r="R63357" s="178"/>
      <c r="S63357" s="178"/>
    </row>
    <row r="63358" spans="18:19">
      <c r="R63358" s="178"/>
      <c r="S63358" s="178"/>
    </row>
    <row r="63359" spans="18:19">
      <c r="R63359" s="178"/>
      <c r="S63359" s="178"/>
    </row>
    <row r="63360" spans="18:19">
      <c r="R63360" s="178"/>
      <c r="S63360" s="178"/>
    </row>
    <row r="63361" spans="18:19">
      <c r="R63361" s="178"/>
      <c r="S63361" s="178"/>
    </row>
    <row r="63362" spans="18:19">
      <c r="R63362" s="178"/>
      <c r="S63362" s="178"/>
    </row>
    <row r="63363" spans="18:19">
      <c r="R63363" s="178"/>
      <c r="S63363" s="178"/>
    </row>
    <row r="63364" spans="18:19">
      <c r="R63364" s="178"/>
      <c r="S63364" s="178"/>
    </row>
    <row r="63365" spans="18:19">
      <c r="R63365" s="178"/>
      <c r="S63365" s="178"/>
    </row>
    <row r="63366" spans="18:19">
      <c r="R63366" s="178"/>
      <c r="S63366" s="178"/>
    </row>
    <row r="63367" spans="18:19">
      <c r="R63367" s="178"/>
      <c r="S63367" s="178"/>
    </row>
    <row r="63368" spans="18:19">
      <c r="R63368" s="178"/>
      <c r="S63368" s="178"/>
    </row>
    <row r="63369" spans="18:19">
      <c r="R63369" s="178"/>
      <c r="S63369" s="178"/>
    </row>
    <row r="63370" spans="18:19">
      <c r="R63370" s="178"/>
      <c r="S63370" s="178"/>
    </row>
    <row r="63371" spans="18:19">
      <c r="R63371" s="178"/>
      <c r="S63371" s="178"/>
    </row>
    <row r="63372" spans="18:19">
      <c r="R63372" s="178"/>
      <c r="S63372" s="178"/>
    </row>
    <row r="63373" spans="18:19">
      <c r="R63373" s="178"/>
      <c r="S63373" s="178"/>
    </row>
    <row r="63374" spans="18:19">
      <c r="R63374" s="178"/>
      <c r="S63374" s="178"/>
    </row>
    <row r="63375" spans="18:19">
      <c r="R63375" s="178"/>
      <c r="S63375" s="178"/>
    </row>
    <row r="63376" spans="18:19">
      <c r="R63376" s="178"/>
      <c r="S63376" s="178"/>
    </row>
    <row r="63377" spans="18:19">
      <c r="R63377" s="178"/>
      <c r="S63377" s="178"/>
    </row>
    <row r="63378" spans="18:19">
      <c r="R63378" s="178"/>
      <c r="S63378" s="178"/>
    </row>
    <row r="63379" spans="18:19">
      <c r="R63379" s="178"/>
      <c r="S63379" s="178"/>
    </row>
    <row r="63380" spans="18:19">
      <c r="R63380" s="178"/>
      <c r="S63380" s="178"/>
    </row>
    <row r="63381" spans="18:19">
      <c r="R63381" s="178"/>
      <c r="S63381" s="178"/>
    </row>
    <row r="63382" spans="18:19">
      <c r="R63382" s="178"/>
      <c r="S63382" s="178"/>
    </row>
    <row r="63383" spans="18:19">
      <c r="R63383" s="178"/>
      <c r="S63383" s="178"/>
    </row>
    <row r="63384" spans="18:19">
      <c r="R63384" s="178"/>
      <c r="S63384" s="178"/>
    </row>
    <row r="63385" spans="18:19">
      <c r="R63385" s="178"/>
      <c r="S63385" s="178"/>
    </row>
    <row r="63386" spans="18:19">
      <c r="R63386" s="178"/>
      <c r="S63386" s="178"/>
    </row>
    <row r="63387" spans="18:19">
      <c r="R63387" s="178"/>
      <c r="S63387" s="178"/>
    </row>
    <row r="63388" spans="18:19">
      <c r="R63388" s="178"/>
      <c r="S63388" s="178"/>
    </row>
    <row r="63389" spans="18:19">
      <c r="R63389" s="178"/>
      <c r="S63389" s="178"/>
    </row>
    <row r="63390" spans="18:19">
      <c r="R63390" s="178"/>
      <c r="S63390" s="178"/>
    </row>
    <row r="63391" spans="18:19">
      <c r="R63391" s="178"/>
      <c r="S63391" s="178"/>
    </row>
    <row r="63392" spans="18:19">
      <c r="R63392" s="178"/>
      <c r="S63392" s="178"/>
    </row>
    <row r="63393" spans="18:19">
      <c r="R63393" s="178"/>
      <c r="S63393" s="178"/>
    </row>
    <row r="63394" spans="18:19">
      <c r="R63394" s="178"/>
      <c r="S63394" s="178"/>
    </row>
    <row r="63395" spans="18:19">
      <c r="R63395" s="178"/>
      <c r="S63395" s="178"/>
    </row>
    <row r="63396" spans="18:19">
      <c r="R63396" s="178"/>
      <c r="S63396" s="178"/>
    </row>
    <row r="63397" spans="18:19">
      <c r="R63397" s="178"/>
      <c r="S63397" s="178"/>
    </row>
    <row r="63398" spans="18:19">
      <c r="R63398" s="178"/>
      <c r="S63398" s="178"/>
    </row>
    <row r="63399" spans="18:19">
      <c r="R63399" s="178"/>
      <c r="S63399" s="178"/>
    </row>
    <row r="63400" spans="18:19">
      <c r="R63400" s="178"/>
      <c r="S63400" s="178"/>
    </row>
    <row r="63401" spans="18:19">
      <c r="R63401" s="178"/>
      <c r="S63401" s="178"/>
    </row>
    <row r="63402" spans="18:19">
      <c r="R63402" s="178"/>
      <c r="S63402" s="178"/>
    </row>
    <row r="63403" spans="18:19">
      <c r="R63403" s="178"/>
      <c r="S63403" s="178"/>
    </row>
    <row r="63404" spans="18:19">
      <c r="R63404" s="178"/>
      <c r="S63404" s="178"/>
    </row>
    <row r="63405" spans="18:19">
      <c r="R63405" s="178"/>
      <c r="S63405" s="178"/>
    </row>
    <row r="63406" spans="18:19">
      <c r="R63406" s="178"/>
      <c r="S63406" s="178"/>
    </row>
    <row r="63407" spans="18:19">
      <c r="R63407" s="178"/>
      <c r="S63407" s="178"/>
    </row>
    <row r="63408" spans="18:19">
      <c r="R63408" s="178"/>
      <c r="S63408" s="178"/>
    </row>
    <row r="63409" spans="18:19">
      <c r="R63409" s="178"/>
      <c r="S63409" s="178"/>
    </row>
    <row r="63410" spans="18:19">
      <c r="R63410" s="178"/>
      <c r="S63410" s="178"/>
    </row>
    <row r="63411" spans="18:19">
      <c r="R63411" s="178"/>
      <c r="S63411" s="178"/>
    </row>
    <row r="63412" spans="18:19">
      <c r="R63412" s="178"/>
      <c r="S63412" s="178"/>
    </row>
    <row r="63413" spans="18:19">
      <c r="R63413" s="178"/>
      <c r="S63413" s="178"/>
    </row>
    <row r="63414" spans="18:19">
      <c r="R63414" s="178"/>
      <c r="S63414" s="178"/>
    </row>
    <row r="63415" spans="18:19">
      <c r="R63415" s="178"/>
      <c r="S63415" s="178"/>
    </row>
    <row r="63416" spans="18:19">
      <c r="R63416" s="178"/>
      <c r="S63416" s="178"/>
    </row>
    <row r="63417" spans="18:19">
      <c r="R63417" s="178"/>
      <c r="S63417" s="178"/>
    </row>
    <row r="63418" spans="18:19">
      <c r="R63418" s="178"/>
      <c r="S63418" s="178"/>
    </row>
    <row r="63419" spans="18:19">
      <c r="R63419" s="178"/>
      <c r="S63419" s="178"/>
    </row>
    <row r="63420" spans="18:19">
      <c r="R63420" s="178"/>
      <c r="S63420" s="178"/>
    </row>
    <row r="63421" spans="18:19">
      <c r="R63421" s="178"/>
      <c r="S63421" s="178"/>
    </row>
    <row r="63422" spans="18:19">
      <c r="R63422" s="178"/>
      <c r="S63422" s="178"/>
    </row>
    <row r="63423" spans="18:19">
      <c r="R63423" s="178"/>
      <c r="S63423" s="178"/>
    </row>
    <row r="63424" spans="18:19">
      <c r="R63424" s="178"/>
      <c r="S63424" s="178"/>
    </row>
    <row r="63425" spans="18:19">
      <c r="R63425" s="178"/>
      <c r="S63425" s="178"/>
    </row>
    <row r="63426" spans="18:19">
      <c r="R63426" s="178"/>
      <c r="S63426" s="178"/>
    </row>
    <row r="63427" spans="18:19">
      <c r="R63427" s="178"/>
      <c r="S63427" s="178"/>
    </row>
    <row r="63428" spans="18:19">
      <c r="R63428" s="178"/>
      <c r="S63428" s="178"/>
    </row>
    <row r="63429" spans="18:19">
      <c r="R63429" s="178"/>
      <c r="S63429" s="178"/>
    </row>
    <row r="63430" spans="18:19">
      <c r="R63430" s="178"/>
      <c r="S63430" s="178"/>
    </row>
    <row r="63431" spans="18:19">
      <c r="R63431" s="178"/>
      <c r="S63431" s="178"/>
    </row>
    <row r="63432" spans="18:19">
      <c r="R63432" s="178"/>
      <c r="S63432" s="178"/>
    </row>
    <row r="63433" spans="18:19">
      <c r="R63433" s="178"/>
      <c r="S63433" s="178"/>
    </row>
    <row r="63434" spans="18:19">
      <c r="R63434" s="178"/>
      <c r="S63434" s="178"/>
    </row>
    <row r="63435" spans="18:19">
      <c r="R63435" s="178"/>
      <c r="S63435" s="178"/>
    </row>
    <row r="63436" spans="18:19">
      <c r="R63436" s="178"/>
      <c r="S63436" s="178"/>
    </row>
    <row r="63437" spans="18:19">
      <c r="R63437" s="178"/>
      <c r="S63437" s="178"/>
    </row>
    <row r="63438" spans="18:19">
      <c r="R63438" s="178"/>
      <c r="S63438" s="178"/>
    </row>
    <row r="63439" spans="18:19">
      <c r="R63439" s="178"/>
      <c r="S63439" s="178"/>
    </row>
    <row r="63440" spans="18:19">
      <c r="R63440" s="178"/>
      <c r="S63440" s="178"/>
    </row>
    <row r="63441" spans="18:19">
      <c r="R63441" s="178"/>
      <c r="S63441" s="178"/>
    </row>
    <row r="63442" spans="18:19">
      <c r="R63442" s="178"/>
      <c r="S63442" s="178"/>
    </row>
    <row r="63443" spans="18:19">
      <c r="R63443" s="178"/>
      <c r="S63443" s="178"/>
    </row>
    <row r="63444" spans="18:19">
      <c r="R63444" s="178"/>
      <c r="S63444" s="178"/>
    </row>
    <row r="63445" spans="18:19">
      <c r="R63445" s="178"/>
      <c r="S63445" s="178"/>
    </row>
    <row r="63446" spans="18:19">
      <c r="R63446" s="178"/>
      <c r="S63446" s="178"/>
    </row>
    <row r="63447" spans="18:19">
      <c r="R63447" s="178"/>
      <c r="S63447" s="178"/>
    </row>
    <row r="63448" spans="18:19">
      <c r="R63448" s="178"/>
      <c r="S63448" s="178"/>
    </row>
    <row r="63449" spans="18:19">
      <c r="R63449" s="178"/>
      <c r="S63449" s="178"/>
    </row>
    <row r="63450" spans="18:19">
      <c r="R63450" s="178"/>
      <c r="S63450" s="178"/>
    </row>
    <row r="63451" spans="18:19">
      <c r="R63451" s="178"/>
      <c r="S63451" s="178"/>
    </row>
    <row r="63452" spans="18:19">
      <c r="R63452" s="178"/>
      <c r="S63452" s="178"/>
    </row>
    <row r="63453" spans="18:19">
      <c r="R63453" s="178"/>
      <c r="S63453" s="178"/>
    </row>
    <row r="63454" spans="18:19">
      <c r="R63454" s="178"/>
      <c r="S63454" s="178"/>
    </row>
    <row r="63455" spans="18:19">
      <c r="R63455" s="178"/>
      <c r="S63455" s="178"/>
    </row>
    <row r="63456" spans="18:19">
      <c r="R63456" s="178"/>
      <c r="S63456" s="178"/>
    </row>
    <row r="63457" spans="18:19">
      <c r="R63457" s="178"/>
      <c r="S63457" s="178"/>
    </row>
    <row r="63458" spans="18:19">
      <c r="R63458" s="178"/>
      <c r="S63458" s="178"/>
    </row>
    <row r="63459" spans="18:19">
      <c r="R63459" s="178"/>
      <c r="S63459" s="178"/>
    </row>
    <row r="63460" spans="18:19">
      <c r="R63460" s="178"/>
      <c r="S63460" s="178"/>
    </row>
    <row r="63461" spans="18:19">
      <c r="R63461" s="178"/>
      <c r="S63461" s="178"/>
    </row>
    <row r="63462" spans="18:19">
      <c r="R63462" s="178"/>
      <c r="S63462" s="178"/>
    </row>
    <row r="63463" spans="18:19">
      <c r="R63463" s="178"/>
      <c r="S63463" s="178"/>
    </row>
    <row r="63464" spans="18:19">
      <c r="R63464" s="178"/>
      <c r="S63464" s="178"/>
    </row>
    <row r="63465" spans="18:19">
      <c r="R63465" s="178"/>
      <c r="S63465" s="178"/>
    </row>
    <row r="63466" spans="18:19">
      <c r="R63466" s="178"/>
      <c r="S63466" s="178"/>
    </row>
    <row r="63467" spans="18:19">
      <c r="R63467" s="178"/>
      <c r="S63467" s="178"/>
    </row>
    <row r="63468" spans="18:19">
      <c r="R63468" s="178"/>
      <c r="S63468" s="178"/>
    </row>
    <row r="63469" spans="18:19">
      <c r="R63469" s="178"/>
      <c r="S63469" s="178"/>
    </row>
    <row r="63470" spans="18:19">
      <c r="R63470" s="178"/>
      <c r="S63470" s="178"/>
    </row>
    <row r="63471" spans="18:19">
      <c r="R63471" s="178"/>
      <c r="S63471" s="178"/>
    </row>
    <row r="63472" spans="18:19">
      <c r="R63472" s="178"/>
      <c r="S63472" s="178"/>
    </row>
    <row r="63473" spans="18:19">
      <c r="R63473" s="178"/>
      <c r="S63473" s="178"/>
    </row>
    <row r="63474" spans="18:19">
      <c r="R63474" s="178"/>
      <c r="S63474" s="178"/>
    </row>
    <row r="63475" spans="18:19">
      <c r="R63475" s="178"/>
      <c r="S63475" s="178"/>
    </row>
    <row r="63476" spans="18:19">
      <c r="R63476" s="178"/>
      <c r="S63476" s="178"/>
    </row>
    <row r="63477" spans="18:19">
      <c r="R63477" s="178"/>
      <c r="S63477" s="178"/>
    </row>
    <row r="63478" spans="18:19">
      <c r="R63478" s="178"/>
      <c r="S63478" s="178"/>
    </row>
    <row r="63479" spans="18:19">
      <c r="R63479" s="178"/>
      <c r="S63479" s="178"/>
    </row>
    <row r="63480" spans="18:19">
      <c r="R63480" s="178"/>
      <c r="S63480" s="178"/>
    </row>
    <row r="63481" spans="18:19">
      <c r="R63481" s="178"/>
      <c r="S63481" s="178"/>
    </row>
    <row r="63482" spans="18:19">
      <c r="R63482" s="178"/>
      <c r="S63482" s="178"/>
    </row>
    <row r="63483" spans="18:19">
      <c r="R63483" s="178"/>
      <c r="S63483" s="178"/>
    </row>
    <row r="63484" spans="18:19">
      <c r="R63484" s="178"/>
      <c r="S63484" s="178"/>
    </row>
    <row r="63485" spans="18:19">
      <c r="R63485" s="178"/>
      <c r="S63485" s="178"/>
    </row>
    <row r="63486" spans="18:19">
      <c r="R63486" s="178"/>
      <c r="S63486" s="178"/>
    </row>
    <row r="63487" spans="18:19">
      <c r="R63487" s="178"/>
      <c r="S63487" s="178"/>
    </row>
    <row r="63488" spans="18:19">
      <c r="R63488" s="178"/>
      <c r="S63488" s="178"/>
    </row>
    <row r="63489" spans="18:19">
      <c r="R63489" s="178"/>
      <c r="S63489" s="178"/>
    </row>
    <row r="63490" spans="18:19">
      <c r="R63490" s="178"/>
      <c r="S63490" s="178"/>
    </row>
    <row r="63491" spans="18:19">
      <c r="R63491" s="178"/>
      <c r="S63491" s="178"/>
    </row>
    <row r="63492" spans="18:19">
      <c r="R63492" s="178"/>
      <c r="S63492" s="178"/>
    </row>
    <row r="63493" spans="18:19">
      <c r="R63493" s="178"/>
      <c r="S63493" s="178"/>
    </row>
    <row r="63494" spans="18:19">
      <c r="R63494" s="178"/>
      <c r="S63494" s="178"/>
    </row>
    <row r="63495" spans="18:19">
      <c r="R63495" s="178"/>
      <c r="S63495" s="178"/>
    </row>
    <row r="63496" spans="18:19">
      <c r="R63496" s="178"/>
      <c r="S63496" s="178"/>
    </row>
    <row r="63497" spans="18:19">
      <c r="R63497" s="178"/>
      <c r="S63497" s="178"/>
    </row>
    <row r="63498" spans="18:19">
      <c r="R63498" s="178"/>
      <c r="S63498" s="178"/>
    </row>
    <row r="63499" spans="18:19">
      <c r="R63499" s="178"/>
      <c r="S63499" s="178"/>
    </row>
    <row r="63500" spans="18:19">
      <c r="R63500" s="178"/>
      <c r="S63500" s="178"/>
    </row>
    <row r="63501" spans="18:19">
      <c r="R63501" s="178"/>
      <c r="S63501" s="178"/>
    </row>
    <row r="63502" spans="18:19">
      <c r="R63502" s="178"/>
      <c r="S63502" s="178"/>
    </row>
    <row r="63503" spans="18:19">
      <c r="R63503" s="178"/>
      <c r="S63503" s="178"/>
    </row>
    <row r="63504" spans="18:19">
      <c r="R63504" s="178"/>
      <c r="S63504" s="178"/>
    </row>
    <row r="63505" spans="18:19">
      <c r="R63505" s="178"/>
      <c r="S63505" s="178"/>
    </row>
    <row r="63506" spans="18:19">
      <c r="R63506" s="178"/>
      <c r="S63506" s="178"/>
    </row>
    <row r="63507" spans="18:19">
      <c r="R63507" s="178"/>
      <c r="S63507" s="178"/>
    </row>
    <row r="63508" spans="18:19">
      <c r="R63508" s="178"/>
      <c r="S63508" s="178"/>
    </row>
    <row r="63509" spans="18:19">
      <c r="R63509" s="178"/>
      <c r="S63509" s="178"/>
    </row>
    <row r="63510" spans="18:19">
      <c r="R63510" s="178"/>
      <c r="S63510" s="178"/>
    </row>
    <row r="63511" spans="18:19">
      <c r="R63511" s="178"/>
      <c r="S63511" s="178"/>
    </row>
    <row r="63512" spans="18:19">
      <c r="R63512" s="178"/>
      <c r="S63512" s="178"/>
    </row>
    <row r="63513" spans="18:19">
      <c r="R63513" s="178"/>
      <c r="S63513" s="178"/>
    </row>
    <row r="63514" spans="18:19">
      <c r="R63514" s="178"/>
      <c r="S63514" s="178"/>
    </row>
    <row r="63515" spans="18:19">
      <c r="R63515" s="178"/>
      <c r="S63515" s="178"/>
    </row>
    <row r="63516" spans="18:19">
      <c r="R63516" s="178"/>
      <c r="S63516" s="178"/>
    </row>
    <row r="63517" spans="18:19">
      <c r="R63517" s="178"/>
      <c r="S63517" s="178"/>
    </row>
    <row r="63518" spans="18:19">
      <c r="R63518" s="178"/>
      <c r="S63518" s="178"/>
    </row>
    <row r="63519" spans="18:19">
      <c r="R63519" s="178"/>
      <c r="S63519" s="178"/>
    </row>
    <row r="63520" spans="18:19">
      <c r="R63520" s="178"/>
      <c r="S63520" s="178"/>
    </row>
    <row r="63521" spans="18:19">
      <c r="R63521" s="178"/>
      <c r="S63521" s="178"/>
    </row>
    <row r="63522" spans="18:19">
      <c r="R63522" s="178"/>
      <c r="S63522" s="178"/>
    </row>
    <row r="63523" spans="18:19">
      <c r="R63523" s="178"/>
      <c r="S63523" s="178"/>
    </row>
    <row r="63524" spans="18:19">
      <c r="R63524" s="178"/>
      <c r="S63524" s="178"/>
    </row>
    <row r="63525" spans="18:19">
      <c r="R63525" s="178"/>
      <c r="S63525" s="178"/>
    </row>
    <row r="63526" spans="18:19">
      <c r="R63526" s="178"/>
      <c r="S63526" s="178"/>
    </row>
    <row r="63527" spans="18:19">
      <c r="R63527" s="178"/>
      <c r="S63527" s="178"/>
    </row>
    <row r="63528" spans="18:19">
      <c r="R63528" s="178"/>
      <c r="S63528" s="178"/>
    </row>
    <row r="63529" spans="18:19">
      <c r="R63529" s="178"/>
      <c r="S63529" s="178"/>
    </row>
    <row r="63530" spans="18:19">
      <c r="R63530" s="178"/>
      <c r="S63530" s="178"/>
    </row>
    <row r="63531" spans="18:19">
      <c r="R63531" s="178"/>
      <c r="S63531" s="178"/>
    </row>
    <row r="63532" spans="18:19">
      <c r="R63532" s="178"/>
      <c r="S63532" s="178"/>
    </row>
    <row r="63533" spans="18:19">
      <c r="R63533" s="178"/>
      <c r="S63533" s="178"/>
    </row>
    <row r="63534" spans="18:19">
      <c r="R63534" s="178"/>
      <c r="S63534" s="178"/>
    </row>
    <row r="63535" spans="18:19">
      <c r="R63535" s="178"/>
      <c r="S63535" s="178"/>
    </row>
    <row r="63536" spans="18:19">
      <c r="R63536" s="178"/>
      <c r="S63536" s="178"/>
    </row>
    <row r="63537" spans="18:19">
      <c r="R63537" s="178"/>
      <c r="S63537" s="178"/>
    </row>
    <row r="63538" spans="18:19">
      <c r="R63538" s="178"/>
      <c r="S63538" s="178"/>
    </row>
    <row r="63539" spans="18:19">
      <c r="R63539" s="178"/>
      <c r="S63539" s="178"/>
    </row>
    <row r="63540" spans="18:19">
      <c r="R63540" s="178"/>
      <c r="S63540" s="178"/>
    </row>
    <row r="63541" spans="18:19">
      <c r="R63541" s="178"/>
      <c r="S63541" s="178"/>
    </row>
    <row r="63542" spans="18:19">
      <c r="R63542" s="178"/>
      <c r="S63542" s="178"/>
    </row>
    <row r="63543" spans="18:19">
      <c r="R63543" s="178"/>
      <c r="S63543" s="178"/>
    </row>
    <row r="63544" spans="18:19">
      <c r="R63544" s="178"/>
      <c r="S63544" s="178"/>
    </row>
    <row r="63545" spans="18:19">
      <c r="R63545" s="178"/>
      <c r="S63545" s="178"/>
    </row>
    <row r="63546" spans="18:19">
      <c r="R63546" s="178"/>
      <c r="S63546" s="178"/>
    </row>
    <row r="63547" spans="18:19">
      <c r="R63547" s="178"/>
      <c r="S63547" s="178"/>
    </row>
    <row r="63548" spans="18:19">
      <c r="R63548" s="178"/>
      <c r="S63548" s="178"/>
    </row>
    <row r="63549" spans="18:19">
      <c r="R63549" s="178"/>
      <c r="S63549" s="178"/>
    </row>
    <row r="63550" spans="18:19">
      <c r="R63550" s="178"/>
      <c r="S63550" s="178"/>
    </row>
    <row r="63551" spans="18:19">
      <c r="R63551" s="178"/>
      <c r="S63551" s="178"/>
    </row>
    <row r="63552" spans="18:19">
      <c r="R63552" s="178"/>
      <c r="S63552" s="178"/>
    </row>
    <row r="63553" spans="18:19">
      <c r="R63553" s="178"/>
      <c r="S63553" s="178"/>
    </row>
    <row r="63554" spans="18:19">
      <c r="R63554" s="178"/>
      <c r="S63554" s="178"/>
    </row>
    <row r="63555" spans="18:19">
      <c r="R63555" s="178"/>
      <c r="S63555" s="178"/>
    </row>
    <row r="63556" spans="18:19">
      <c r="R63556" s="178"/>
      <c r="S63556" s="178"/>
    </row>
    <row r="63557" spans="18:19">
      <c r="R63557" s="178"/>
      <c r="S63557" s="178"/>
    </row>
    <row r="63558" spans="18:19">
      <c r="R63558" s="178"/>
      <c r="S63558" s="178"/>
    </row>
    <row r="63559" spans="18:19">
      <c r="R63559" s="178"/>
      <c r="S63559" s="178"/>
    </row>
    <row r="63560" spans="18:19">
      <c r="R63560" s="178"/>
      <c r="S63560" s="178"/>
    </row>
    <row r="63561" spans="18:19">
      <c r="R63561" s="178"/>
      <c r="S63561" s="178"/>
    </row>
    <row r="63562" spans="18:19">
      <c r="R63562" s="178"/>
      <c r="S63562" s="178"/>
    </row>
    <row r="63563" spans="18:19">
      <c r="R63563" s="178"/>
      <c r="S63563" s="178"/>
    </row>
    <row r="63564" spans="18:19">
      <c r="R63564" s="178"/>
      <c r="S63564" s="178"/>
    </row>
    <row r="63565" spans="18:19">
      <c r="R63565" s="178"/>
      <c r="S63565" s="178"/>
    </row>
    <row r="63566" spans="18:19">
      <c r="R63566" s="178"/>
      <c r="S63566" s="178"/>
    </row>
    <row r="63567" spans="18:19">
      <c r="R63567" s="178"/>
      <c r="S63567" s="178"/>
    </row>
    <row r="63568" spans="18:19">
      <c r="R63568" s="178"/>
      <c r="S63568" s="178"/>
    </row>
    <row r="63569" spans="18:19">
      <c r="R63569" s="178"/>
      <c r="S63569" s="178"/>
    </row>
    <row r="63570" spans="18:19">
      <c r="R63570" s="178"/>
      <c r="S63570" s="178"/>
    </row>
    <row r="63571" spans="18:19">
      <c r="R63571" s="178"/>
      <c r="S63571" s="178"/>
    </row>
    <row r="63572" spans="18:19">
      <c r="R63572" s="178"/>
      <c r="S63572" s="178"/>
    </row>
    <row r="63573" spans="18:19">
      <c r="R63573" s="178"/>
      <c r="S63573" s="178"/>
    </row>
    <row r="63574" spans="18:19">
      <c r="R63574" s="178"/>
      <c r="S63574" s="178"/>
    </row>
    <row r="63575" spans="18:19">
      <c r="R63575" s="178"/>
      <c r="S63575" s="178"/>
    </row>
    <row r="63576" spans="18:19">
      <c r="R63576" s="178"/>
      <c r="S63576" s="178"/>
    </row>
    <row r="63577" spans="18:19">
      <c r="R63577" s="178"/>
      <c r="S63577" s="178"/>
    </row>
    <row r="63578" spans="18:19">
      <c r="R63578" s="178"/>
      <c r="S63578" s="178"/>
    </row>
    <row r="63579" spans="18:19">
      <c r="R63579" s="178"/>
      <c r="S63579" s="178"/>
    </row>
    <row r="63580" spans="18:19">
      <c r="R63580" s="178"/>
      <c r="S63580" s="178"/>
    </row>
    <row r="63581" spans="18:19">
      <c r="R63581" s="178"/>
      <c r="S63581" s="178"/>
    </row>
    <row r="63582" spans="18:19">
      <c r="R63582" s="178"/>
      <c r="S63582" s="178"/>
    </row>
    <row r="63583" spans="18:19">
      <c r="R63583" s="178"/>
      <c r="S63583" s="178"/>
    </row>
    <row r="63584" spans="18:19">
      <c r="R63584" s="178"/>
      <c r="S63584" s="178"/>
    </row>
    <row r="63585" spans="18:19">
      <c r="R63585" s="178"/>
      <c r="S63585" s="178"/>
    </row>
    <row r="63586" spans="18:19">
      <c r="R63586" s="178"/>
      <c r="S63586" s="178"/>
    </row>
    <row r="63587" spans="18:19">
      <c r="R63587" s="178"/>
      <c r="S63587" s="178"/>
    </row>
    <row r="63588" spans="18:19">
      <c r="R63588" s="178"/>
      <c r="S63588" s="178"/>
    </row>
    <row r="63589" spans="18:19">
      <c r="R63589" s="178"/>
      <c r="S63589" s="178"/>
    </row>
    <row r="63590" spans="18:19">
      <c r="R63590" s="178"/>
      <c r="S63590" s="178"/>
    </row>
    <row r="63591" spans="18:19">
      <c r="R63591" s="178"/>
      <c r="S63591" s="178"/>
    </row>
    <row r="63592" spans="18:19">
      <c r="R63592" s="178"/>
      <c r="S63592" s="178"/>
    </row>
    <row r="63593" spans="18:19">
      <c r="R63593" s="178"/>
      <c r="S63593" s="178"/>
    </row>
    <row r="63594" spans="18:19">
      <c r="R63594" s="178"/>
      <c r="S63594" s="178"/>
    </row>
    <row r="63595" spans="18:19">
      <c r="R63595" s="178"/>
      <c r="S63595" s="178"/>
    </row>
    <row r="63596" spans="18:19">
      <c r="R63596" s="178"/>
      <c r="S63596" s="178"/>
    </row>
    <row r="63597" spans="18:19">
      <c r="R63597" s="178"/>
      <c r="S63597" s="178"/>
    </row>
    <row r="63598" spans="18:19">
      <c r="R63598" s="178"/>
      <c r="S63598" s="178"/>
    </row>
    <row r="63599" spans="18:19">
      <c r="R63599" s="178"/>
      <c r="S63599" s="178"/>
    </row>
    <row r="63600" spans="18:19">
      <c r="R63600" s="178"/>
      <c r="S63600" s="178"/>
    </row>
    <row r="63601" spans="18:19">
      <c r="R63601" s="178"/>
      <c r="S63601" s="178"/>
    </row>
    <row r="63602" spans="18:19">
      <c r="R63602" s="178"/>
      <c r="S63602" s="178"/>
    </row>
    <row r="63603" spans="18:19">
      <c r="R63603" s="178"/>
      <c r="S63603" s="178"/>
    </row>
    <row r="63604" spans="18:19">
      <c r="R63604" s="178"/>
      <c r="S63604" s="178"/>
    </row>
    <row r="63605" spans="18:19">
      <c r="R63605" s="178"/>
      <c r="S63605" s="178"/>
    </row>
    <row r="63606" spans="18:19">
      <c r="R63606" s="178"/>
      <c r="S63606" s="178"/>
    </row>
    <row r="63607" spans="18:19">
      <c r="R63607" s="178"/>
      <c r="S63607" s="178"/>
    </row>
    <row r="63608" spans="18:19">
      <c r="R63608" s="178"/>
      <c r="S63608" s="178"/>
    </row>
    <row r="63609" spans="18:19">
      <c r="R63609" s="178"/>
      <c r="S63609" s="178"/>
    </row>
    <row r="63610" spans="18:19">
      <c r="R63610" s="178"/>
      <c r="S63610" s="178"/>
    </row>
    <row r="63611" spans="18:19">
      <c r="R63611" s="178"/>
      <c r="S63611" s="178"/>
    </row>
    <row r="63612" spans="18:19">
      <c r="R63612" s="178"/>
      <c r="S63612" s="178"/>
    </row>
    <row r="63613" spans="18:19">
      <c r="R63613" s="178"/>
      <c r="S63613" s="178"/>
    </row>
    <row r="63614" spans="18:19">
      <c r="R63614" s="178"/>
      <c r="S63614" s="178"/>
    </row>
    <row r="63615" spans="18:19">
      <c r="R63615" s="178"/>
      <c r="S63615" s="178"/>
    </row>
    <row r="63616" spans="18:19">
      <c r="R63616" s="178"/>
      <c r="S63616" s="178"/>
    </row>
    <row r="63617" spans="18:19">
      <c r="R63617" s="178"/>
      <c r="S63617" s="178"/>
    </row>
    <row r="63618" spans="18:19">
      <c r="R63618" s="178"/>
      <c r="S63618" s="178"/>
    </row>
    <row r="63619" spans="18:19">
      <c r="R63619" s="178"/>
      <c r="S63619" s="178"/>
    </row>
    <row r="63620" spans="18:19">
      <c r="R63620" s="178"/>
      <c r="S63620" s="178"/>
    </row>
    <row r="63621" spans="18:19">
      <c r="R63621" s="178"/>
      <c r="S63621" s="178"/>
    </row>
    <row r="63622" spans="18:19">
      <c r="R63622" s="178"/>
      <c r="S63622" s="178"/>
    </row>
    <row r="63623" spans="18:19">
      <c r="R63623" s="178"/>
      <c r="S63623" s="178"/>
    </row>
    <row r="63624" spans="18:19">
      <c r="R63624" s="178"/>
      <c r="S63624" s="178"/>
    </row>
    <row r="63625" spans="18:19">
      <c r="R63625" s="178"/>
      <c r="S63625" s="178"/>
    </row>
    <row r="63626" spans="18:19">
      <c r="R63626" s="178"/>
      <c r="S63626" s="178"/>
    </row>
    <row r="63627" spans="18:19">
      <c r="R63627" s="178"/>
      <c r="S63627" s="178"/>
    </row>
    <row r="63628" spans="18:19">
      <c r="R63628" s="178"/>
      <c r="S63628" s="178"/>
    </row>
    <row r="63629" spans="18:19">
      <c r="R63629" s="178"/>
      <c r="S63629" s="178"/>
    </row>
    <row r="63630" spans="18:19">
      <c r="R63630" s="178"/>
      <c r="S63630" s="178"/>
    </row>
    <row r="63631" spans="18:19">
      <c r="R63631" s="178"/>
      <c r="S63631" s="178"/>
    </row>
    <row r="63632" spans="18:19">
      <c r="R63632" s="178"/>
      <c r="S63632" s="178"/>
    </row>
    <row r="63633" spans="18:19">
      <c r="R63633" s="178"/>
      <c r="S63633" s="178"/>
    </row>
    <row r="63634" spans="18:19">
      <c r="R63634" s="178"/>
      <c r="S63634" s="178"/>
    </row>
    <row r="63635" spans="18:19">
      <c r="R63635" s="178"/>
      <c r="S63635" s="178"/>
    </row>
    <row r="63636" spans="18:19">
      <c r="R63636" s="178"/>
      <c r="S63636" s="178"/>
    </row>
    <row r="63637" spans="18:19">
      <c r="R63637" s="178"/>
      <c r="S63637" s="178"/>
    </row>
    <row r="63638" spans="18:19">
      <c r="R63638" s="178"/>
      <c r="S63638" s="178"/>
    </row>
    <row r="63639" spans="18:19">
      <c r="R63639" s="178"/>
      <c r="S63639" s="178"/>
    </row>
    <row r="63640" spans="18:19">
      <c r="R63640" s="178"/>
      <c r="S63640" s="178"/>
    </row>
    <row r="63641" spans="18:19">
      <c r="R63641" s="178"/>
      <c r="S63641" s="178"/>
    </row>
    <row r="63642" spans="18:19">
      <c r="R63642" s="178"/>
      <c r="S63642" s="178"/>
    </row>
    <row r="63643" spans="18:19">
      <c r="R63643" s="178"/>
      <c r="S63643" s="178"/>
    </row>
    <row r="63644" spans="18:19">
      <c r="R63644" s="178"/>
      <c r="S63644" s="178"/>
    </row>
    <row r="63645" spans="18:19">
      <c r="R63645" s="178"/>
      <c r="S63645" s="178"/>
    </row>
    <row r="63646" spans="18:19">
      <c r="R63646" s="178"/>
      <c r="S63646" s="178"/>
    </row>
    <row r="63647" spans="18:19">
      <c r="R63647" s="178"/>
      <c r="S63647" s="178"/>
    </row>
    <row r="63648" spans="18:19">
      <c r="R63648" s="178"/>
      <c r="S63648" s="178"/>
    </row>
    <row r="63649" spans="18:19">
      <c r="R63649" s="178"/>
      <c r="S63649" s="178"/>
    </row>
    <row r="63650" spans="18:19">
      <c r="R63650" s="178"/>
      <c r="S63650" s="178"/>
    </row>
    <row r="63651" spans="18:19">
      <c r="R63651" s="178"/>
      <c r="S63651" s="178"/>
    </row>
    <row r="63652" spans="18:19">
      <c r="R63652" s="178"/>
      <c r="S63652" s="178"/>
    </row>
    <row r="63653" spans="18:19">
      <c r="R63653" s="178"/>
      <c r="S63653" s="178"/>
    </row>
    <row r="63654" spans="18:19">
      <c r="R63654" s="178"/>
      <c r="S63654" s="178"/>
    </row>
    <row r="63655" spans="18:19">
      <c r="R63655" s="178"/>
      <c r="S63655" s="178"/>
    </row>
    <row r="63656" spans="18:19">
      <c r="R63656" s="178"/>
      <c r="S63656" s="178"/>
    </row>
    <row r="63657" spans="18:19">
      <c r="R63657" s="178"/>
      <c r="S63657" s="178"/>
    </row>
    <row r="63658" spans="18:19">
      <c r="R63658" s="178"/>
      <c r="S63658" s="178"/>
    </row>
    <row r="63659" spans="18:19">
      <c r="R63659" s="178"/>
      <c r="S63659" s="178"/>
    </row>
    <row r="63660" spans="18:19">
      <c r="R63660" s="178"/>
      <c r="S63660" s="178"/>
    </row>
    <row r="63661" spans="18:19">
      <c r="R63661" s="178"/>
      <c r="S63661" s="178"/>
    </row>
    <row r="63662" spans="18:19">
      <c r="R63662" s="178"/>
      <c r="S63662" s="178"/>
    </row>
    <row r="63663" spans="18:19">
      <c r="R63663" s="178"/>
      <c r="S63663" s="178"/>
    </row>
    <row r="63664" spans="18:19">
      <c r="R63664" s="178"/>
      <c r="S63664" s="178"/>
    </row>
    <row r="63665" spans="18:19">
      <c r="R63665" s="178"/>
      <c r="S63665" s="178"/>
    </row>
    <row r="63666" spans="18:19">
      <c r="R63666" s="178"/>
      <c r="S63666" s="178"/>
    </row>
    <row r="63667" spans="18:19">
      <c r="R63667" s="178"/>
      <c r="S63667" s="178"/>
    </row>
    <row r="63668" spans="18:19">
      <c r="R63668" s="178"/>
      <c r="S63668" s="178"/>
    </row>
    <row r="63669" spans="18:19">
      <c r="R63669" s="178"/>
      <c r="S63669" s="178"/>
    </row>
    <row r="63670" spans="18:19">
      <c r="R63670" s="178"/>
      <c r="S63670" s="178"/>
    </row>
    <row r="63671" spans="18:19">
      <c r="R63671" s="178"/>
      <c r="S63671" s="178"/>
    </row>
    <row r="63672" spans="18:19">
      <c r="R63672" s="178"/>
      <c r="S63672" s="178"/>
    </row>
    <row r="63673" spans="18:19">
      <c r="R63673" s="178"/>
      <c r="S63673" s="178"/>
    </row>
    <row r="63674" spans="18:19">
      <c r="R63674" s="178"/>
      <c r="S63674" s="178"/>
    </row>
    <row r="63675" spans="18:19">
      <c r="R63675" s="178"/>
      <c r="S63675" s="178"/>
    </row>
    <row r="63676" spans="18:19">
      <c r="R63676" s="178"/>
      <c r="S63676" s="178"/>
    </row>
    <row r="63677" spans="18:19">
      <c r="R63677" s="178"/>
      <c r="S63677" s="178"/>
    </row>
    <row r="63678" spans="18:19">
      <c r="R63678" s="178"/>
      <c r="S63678" s="178"/>
    </row>
    <row r="63679" spans="18:19">
      <c r="R63679" s="178"/>
      <c r="S63679" s="178"/>
    </row>
    <row r="63680" spans="18:19">
      <c r="R63680" s="178"/>
      <c r="S63680" s="178"/>
    </row>
    <row r="63681" spans="18:19">
      <c r="R63681" s="178"/>
      <c r="S63681" s="178"/>
    </row>
    <row r="63682" spans="18:19">
      <c r="R63682" s="178"/>
      <c r="S63682" s="178"/>
    </row>
    <row r="63683" spans="18:19">
      <c r="R63683" s="178"/>
      <c r="S63683" s="178"/>
    </row>
    <row r="63684" spans="18:19">
      <c r="R63684" s="178"/>
      <c r="S63684" s="178"/>
    </row>
    <row r="63685" spans="18:19">
      <c r="R63685" s="178"/>
      <c r="S63685" s="178"/>
    </row>
    <row r="63686" spans="18:19">
      <c r="R63686" s="178"/>
      <c r="S63686" s="178"/>
    </row>
    <row r="63687" spans="18:19">
      <c r="R63687" s="178"/>
      <c r="S63687" s="178"/>
    </row>
    <row r="63688" spans="18:19">
      <c r="R63688" s="178"/>
      <c r="S63688" s="178"/>
    </row>
    <row r="63689" spans="18:19">
      <c r="R63689" s="178"/>
      <c r="S63689" s="178"/>
    </row>
    <row r="63690" spans="18:19">
      <c r="R63690" s="178"/>
      <c r="S63690" s="178"/>
    </row>
    <row r="63691" spans="18:19">
      <c r="R63691" s="178"/>
      <c r="S63691" s="178"/>
    </row>
    <row r="63692" spans="18:19">
      <c r="R63692" s="178"/>
      <c r="S63692" s="178"/>
    </row>
    <row r="63693" spans="18:19">
      <c r="R63693" s="178"/>
      <c r="S63693" s="178"/>
    </row>
    <row r="63694" spans="18:19">
      <c r="R63694" s="178"/>
      <c r="S63694" s="178"/>
    </row>
    <row r="63695" spans="18:19">
      <c r="R63695" s="178"/>
      <c r="S63695" s="178"/>
    </row>
    <row r="63696" spans="18:19">
      <c r="R63696" s="178"/>
      <c r="S63696" s="178"/>
    </row>
    <row r="63697" spans="18:19">
      <c r="R63697" s="178"/>
      <c r="S63697" s="178"/>
    </row>
    <row r="63698" spans="18:19">
      <c r="R63698" s="178"/>
      <c r="S63698" s="178"/>
    </row>
    <row r="63699" spans="18:19">
      <c r="R63699" s="178"/>
      <c r="S63699" s="178"/>
    </row>
    <row r="63700" spans="18:19">
      <c r="R63700" s="178"/>
      <c r="S63700" s="178"/>
    </row>
    <row r="63701" spans="18:19">
      <c r="R63701" s="178"/>
      <c r="S63701" s="178"/>
    </row>
    <row r="63702" spans="18:19">
      <c r="R63702" s="178"/>
      <c r="S63702" s="178"/>
    </row>
    <row r="63703" spans="18:19">
      <c r="R63703" s="178"/>
      <c r="S63703" s="178"/>
    </row>
    <row r="63704" spans="18:19">
      <c r="R63704" s="178"/>
      <c r="S63704" s="178"/>
    </row>
    <row r="63705" spans="18:19">
      <c r="R63705" s="178"/>
      <c r="S63705" s="178"/>
    </row>
    <row r="63706" spans="18:19">
      <c r="R63706" s="178"/>
      <c r="S63706" s="178"/>
    </row>
    <row r="63707" spans="18:19">
      <c r="R63707" s="178"/>
      <c r="S63707" s="178"/>
    </row>
    <row r="63708" spans="18:19">
      <c r="R63708" s="178"/>
      <c r="S63708" s="178"/>
    </row>
    <row r="63709" spans="18:19">
      <c r="R63709" s="178"/>
      <c r="S63709" s="178"/>
    </row>
    <row r="63710" spans="18:19">
      <c r="R63710" s="178"/>
      <c r="S63710" s="178"/>
    </row>
    <row r="63711" spans="18:19">
      <c r="R63711" s="178"/>
      <c r="S63711" s="178"/>
    </row>
    <row r="63712" spans="18:19">
      <c r="R63712" s="178"/>
      <c r="S63712" s="178"/>
    </row>
    <row r="63713" spans="18:19">
      <c r="R63713" s="178"/>
      <c r="S63713" s="178"/>
    </row>
    <row r="63714" spans="18:19">
      <c r="R63714" s="178"/>
      <c r="S63714" s="178"/>
    </row>
    <row r="63715" spans="18:19">
      <c r="R63715" s="178"/>
      <c r="S63715" s="178"/>
    </row>
    <row r="63716" spans="18:19">
      <c r="R63716" s="178"/>
      <c r="S63716" s="178"/>
    </row>
    <row r="63717" spans="18:19">
      <c r="R63717" s="178"/>
      <c r="S63717" s="178"/>
    </row>
    <row r="63718" spans="18:19">
      <c r="R63718" s="178"/>
      <c r="S63718" s="178"/>
    </row>
    <row r="63719" spans="18:19">
      <c r="R63719" s="178"/>
      <c r="S63719" s="178"/>
    </row>
    <row r="63720" spans="18:19">
      <c r="R63720" s="178"/>
      <c r="S63720" s="178"/>
    </row>
    <row r="63721" spans="18:19">
      <c r="R63721" s="178"/>
      <c r="S63721" s="178"/>
    </row>
    <row r="63722" spans="18:19">
      <c r="R63722" s="178"/>
      <c r="S63722" s="178"/>
    </row>
    <row r="63723" spans="18:19">
      <c r="R63723" s="178"/>
      <c r="S63723" s="178"/>
    </row>
    <row r="63724" spans="18:19">
      <c r="R63724" s="178"/>
      <c r="S63724" s="178"/>
    </row>
    <row r="63725" spans="18:19">
      <c r="R63725" s="178"/>
      <c r="S63725" s="178"/>
    </row>
    <row r="63726" spans="18:19">
      <c r="R63726" s="178"/>
      <c r="S63726" s="178"/>
    </row>
    <row r="63727" spans="18:19">
      <c r="R63727" s="178"/>
      <c r="S63727" s="178"/>
    </row>
    <row r="63728" spans="18:19">
      <c r="R63728" s="178"/>
      <c r="S63728" s="178"/>
    </row>
    <row r="63729" spans="18:19">
      <c r="R63729" s="178"/>
      <c r="S63729" s="178"/>
    </row>
    <row r="63730" spans="18:19">
      <c r="R63730" s="178"/>
      <c r="S63730" s="178"/>
    </row>
    <row r="63731" spans="18:19">
      <c r="R63731" s="178"/>
      <c r="S63731" s="178"/>
    </row>
    <row r="63732" spans="18:19">
      <c r="R63732" s="178"/>
      <c r="S63732" s="178"/>
    </row>
    <row r="63733" spans="18:19">
      <c r="R63733" s="178"/>
      <c r="S63733" s="178"/>
    </row>
    <row r="63734" spans="18:19">
      <c r="R63734" s="178"/>
      <c r="S63734" s="178"/>
    </row>
    <row r="63735" spans="18:19">
      <c r="R63735" s="178"/>
      <c r="S63735" s="178"/>
    </row>
    <row r="63736" spans="18:19">
      <c r="R63736" s="178"/>
      <c r="S63736" s="178"/>
    </row>
    <row r="63737" spans="18:19">
      <c r="R63737" s="178"/>
      <c r="S63737" s="178"/>
    </row>
    <row r="63738" spans="18:19">
      <c r="R63738" s="178"/>
      <c r="S63738" s="178"/>
    </row>
    <row r="63739" spans="18:19">
      <c r="R63739" s="178"/>
      <c r="S63739" s="178"/>
    </row>
    <row r="63740" spans="18:19">
      <c r="R63740" s="178"/>
      <c r="S63740" s="178"/>
    </row>
    <row r="63741" spans="18:19">
      <c r="R63741" s="178"/>
      <c r="S63741" s="178"/>
    </row>
    <row r="63742" spans="18:19">
      <c r="R63742" s="178"/>
      <c r="S63742" s="178"/>
    </row>
    <row r="63743" spans="18:19">
      <c r="R63743" s="178"/>
      <c r="S63743" s="178"/>
    </row>
    <row r="63744" spans="18:19">
      <c r="R63744" s="178"/>
      <c r="S63744" s="178"/>
    </row>
    <row r="63745" spans="18:19">
      <c r="R63745" s="178"/>
      <c r="S63745" s="178"/>
    </row>
    <row r="63746" spans="18:19">
      <c r="R63746" s="178"/>
      <c r="S63746" s="178"/>
    </row>
    <row r="63747" spans="18:19">
      <c r="R63747" s="178"/>
      <c r="S63747" s="178"/>
    </row>
    <row r="63748" spans="18:19">
      <c r="R63748" s="178"/>
      <c r="S63748" s="178"/>
    </row>
    <row r="63749" spans="18:19">
      <c r="R63749" s="178"/>
      <c r="S63749" s="178"/>
    </row>
    <row r="63750" spans="18:19">
      <c r="R63750" s="178"/>
      <c r="S63750" s="178"/>
    </row>
    <row r="63751" spans="18:19">
      <c r="R63751" s="178"/>
      <c r="S63751" s="178"/>
    </row>
    <row r="63752" spans="18:19">
      <c r="R63752" s="178"/>
      <c r="S63752" s="178"/>
    </row>
    <row r="63753" spans="18:19">
      <c r="R63753" s="178"/>
      <c r="S63753" s="178"/>
    </row>
    <row r="63754" spans="18:19">
      <c r="R63754" s="178"/>
      <c r="S63754" s="178"/>
    </row>
    <row r="63755" spans="18:19">
      <c r="R63755" s="178"/>
      <c r="S63755" s="178"/>
    </row>
    <row r="63756" spans="18:19">
      <c r="R63756" s="178"/>
      <c r="S63756" s="178"/>
    </row>
    <row r="63757" spans="18:19">
      <c r="R63757" s="178"/>
      <c r="S63757" s="178"/>
    </row>
    <row r="63758" spans="18:19">
      <c r="R63758" s="178"/>
      <c r="S63758" s="178"/>
    </row>
    <row r="63759" spans="18:19">
      <c r="R63759" s="178"/>
      <c r="S63759" s="178"/>
    </row>
    <row r="63760" spans="18:19">
      <c r="R63760" s="178"/>
      <c r="S63760" s="178"/>
    </row>
    <row r="63761" spans="18:19">
      <c r="R63761" s="178"/>
      <c r="S63761" s="178"/>
    </row>
    <row r="63762" spans="18:19">
      <c r="R63762" s="178"/>
      <c r="S63762" s="178"/>
    </row>
    <row r="63763" spans="18:19">
      <c r="R63763" s="178"/>
      <c r="S63763" s="178"/>
    </row>
    <row r="63764" spans="18:19">
      <c r="R63764" s="178"/>
      <c r="S63764" s="178"/>
    </row>
    <row r="63765" spans="18:19">
      <c r="R63765" s="178"/>
      <c r="S63765" s="178"/>
    </row>
    <row r="63766" spans="18:19">
      <c r="R63766" s="178"/>
      <c r="S63766" s="178"/>
    </row>
    <row r="63767" spans="18:19">
      <c r="R63767" s="178"/>
      <c r="S63767" s="178"/>
    </row>
    <row r="63768" spans="18:19">
      <c r="R63768" s="178"/>
      <c r="S63768" s="178"/>
    </row>
    <row r="63769" spans="18:19">
      <c r="R63769" s="178"/>
      <c r="S63769" s="178"/>
    </row>
    <row r="63770" spans="18:19">
      <c r="R63770" s="178"/>
      <c r="S63770" s="178"/>
    </row>
    <row r="63771" spans="18:19">
      <c r="R63771" s="178"/>
      <c r="S63771" s="178"/>
    </row>
    <row r="63772" spans="18:19">
      <c r="R63772" s="178"/>
      <c r="S63772" s="178"/>
    </row>
    <row r="63773" spans="18:19">
      <c r="R63773" s="178"/>
      <c r="S63773" s="178"/>
    </row>
    <row r="63774" spans="18:19">
      <c r="R63774" s="178"/>
      <c r="S63774" s="178"/>
    </row>
    <row r="63775" spans="18:19">
      <c r="R63775" s="178"/>
      <c r="S63775" s="178"/>
    </row>
    <row r="63776" spans="18:19">
      <c r="R63776" s="178"/>
      <c r="S63776" s="178"/>
    </row>
    <row r="63777" spans="18:19">
      <c r="R63777" s="178"/>
      <c r="S63777" s="178"/>
    </row>
    <row r="63778" spans="18:19">
      <c r="R63778" s="178"/>
      <c r="S63778" s="178"/>
    </row>
    <row r="63779" spans="18:19">
      <c r="R63779" s="178"/>
      <c r="S63779" s="178"/>
    </row>
    <row r="63780" spans="18:19">
      <c r="R63780" s="178"/>
      <c r="S63780" s="178"/>
    </row>
    <row r="63781" spans="18:19">
      <c r="R63781" s="178"/>
      <c r="S63781" s="178"/>
    </row>
    <row r="63782" spans="18:19">
      <c r="R63782" s="178"/>
      <c r="S63782" s="178"/>
    </row>
    <row r="63783" spans="18:19">
      <c r="R63783" s="178"/>
      <c r="S63783" s="178"/>
    </row>
    <row r="63784" spans="18:19">
      <c r="R63784" s="178"/>
      <c r="S63784" s="178"/>
    </row>
    <row r="63785" spans="18:19">
      <c r="R63785" s="178"/>
      <c r="S63785" s="178"/>
    </row>
    <row r="63786" spans="18:19">
      <c r="R63786" s="178"/>
      <c r="S63786" s="178"/>
    </row>
    <row r="63787" spans="18:19">
      <c r="R63787" s="178"/>
      <c r="S63787" s="178"/>
    </row>
    <row r="63788" spans="18:19">
      <c r="R63788" s="178"/>
      <c r="S63788" s="178"/>
    </row>
    <row r="63789" spans="18:19">
      <c r="R63789" s="178"/>
      <c r="S63789" s="178"/>
    </row>
    <row r="63790" spans="18:19">
      <c r="R63790" s="178"/>
      <c r="S63790" s="178"/>
    </row>
    <row r="63791" spans="18:19">
      <c r="R63791" s="178"/>
      <c r="S63791" s="178"/>
    </row>
    <row r="63792" spans="18:19">
      <c r="R63792" s="178"/>
      <c r="S63792" s="178"/>
    </row>
    <row r="63793" spans="18:19">
      <c r="R63793" s="178"/>
      <c r="S63793" s="178"/>
    </row>
    <row r="63794" spans="18:19">
      <c r="R63794" s="178"/>
      <c r="S63794" s="178"/>
    </row>
    <row r="63795" spans="18:19">
      <c r="R63795" s="178"/>
      <c r="S63795" s="178"/>
    </row>
    <row r="63796" spans="18:19">
      <c r="R63796" s="178"/>
      <c r="S63796" s="178"/>
    </row>
    <row r="63797" spans="18:19">
      <c r="R63797" s="178"/>
      <c r="S63797" s="178"/>
    </row>
    <row r="63798" spans="18:19">
      <c r="R63798" s="178"/>
      <c r="S63798" s="178"/>
    </row>
    <row r="63799" spans="18:19">
      <c r="R63799" s="178"/>
      <c r="S63799" s="178"/>
    </row>
    <row r="63800" spans="18:19">
      <c r="R63800" s="178"/>
      <c r="S63800" s="178"/>
    </row>
    <row r="63801" spans="18:19">
      <c r="R63801" s="178"/>
      <c r="S63801" s="178"/>
    </row>
    <row r="63802" spans="18:19">
      <c r="R63802" s="178"/>
      <c r="S63802" s="178"/>
    </row>
    <row r="63803" spans="18:19">
      <c r="R63803" s="178"/>
      <c r="S63803" s="178"/>
    </row>
    <row r="63804" spans="18:19">
      <c r="R63804" s="178"/>
      <c r="S63804" s="178"/>
    </row>
    <row r="63805" spans="18:19">
      <c r="R63805" s="178"/>
      <c r="S63805" s="178"/>
    </row>
    <row r="63806" spans="18:19">
      <c r="R63806" s="178"/>
      <c r="S63806" s="178"/>
    </row>
    <row r="63807" spans="18:19">
      <c r="R63807" s="178"/>
      <c r="S63807" s="178"/>
    </row>
    <row r="63808" spans="18:19">
      <c r="R63808" s="178"/>
      <c r="S63808" s="178"/>
    </row>
    <row r="63809" spans="18:19">
      <c r="R63809" s="178"/>
      <c r="S63809" s="178"/>
    </row>
    <row r="63810" spans="18:19">
      <c r="R63810" s="178"/>
      <c r="S63810" s="178"/>
    </row>
    <row r="63811" spans="18:19">
      <c r="R63811" s="178"/>
      <c r="S63811" s="178"/>
    </row>
    <row r="63812" spans="18:19">
      <c r="R63812" s="178"/>
      <c r="S63812" s="178"/>
    </row>
    <row r="63813" spans="18:19">
      <c r="R63813" s="178"/>
      <c r="S63813" s="178"/>
    </row>
    <row r="63814" spans="18:19">
      <c r="R63814" s="178"/>
      <c r="S63814" s="178"/>
    </row>
    <row r="63815" spans="18:19">
      <c r="R63815" s="178"/>
      <c r="S63815" s="178"/>
    </row>
    <row r="63816" spans="18:19">
      <c r="R63816" s="178"/>
      <c r="S63816" s="178"/>
    </row>
    <row r="63817" spans="18:19">
      <c r="R63817" s="178"/>
      <c r="S63817" s="178"/>
    </row>
    <row r="63818" spans="18:19">
      <c r="R63818" s="178"/>
      <c r="S63818" s="178"/>
    </row>
    <row r="63819" spans="18:19">
      <c r="R63819" s="178"/>
      <c r="S63819" s="178"/>
    </row>
    <row r="63820" spans="18:19">
      <c r="R63820" s="178"/>
      <c r="S63820" s="178"/>
    </row>
    <row r="63821" spans="18:19">
      <c r="R63821" s="178"/>
      <c r="S63821" s="178"/>
    </row>
    <row r="63822" spans="18:19">
      <c r="R63822" s="178"/>
      <c r="S63822" s="178"/>
    </row>
    <row r="63823" spans="18:19">
      <c r="R63823" s="178"/>
      <c r="S63823" s="178"/>
    </row>
    <row r="63824" spans="18:19">
      <c r="R63824" s="178"/>
      <c r="S63824" s="178"/>
    </row>
    <row r="63825" spans="18:19">
      <c r="R63825" s="178"/>
      <c r="S63825" s="178"/>
    </row>
    <row r="63826" spans="18:19">
      <c r="R63826" s="178"/>
      <c r="S63826" s="178"/>
    </row>
    <row r="63827" spans="18:19">
      <c r="R63827" s="178"/>
      <c r="S63827" s="178"/>
    </row>
    <row r="63828" spans="18:19">
      <c r="R63828" s="178"/>
      <c r="S63828" s="178"/>
    </row>
    <row r="63829" spans="18:19">
      <c r="R63829" s="178"/>
      <c r="S63829" s="178"/>
    </row>
    <row r="63830" spans="18:19">
      <c r="R63830" s="178"/>
      <c r="S63830" s="178"/>
    </row>
    <row r="63831" spans="18:19">
      <c r="R63831" s="178"/>
      <c r="S63831" s="178"/>
    </row>
    <row r="63832" spans="18:19">
      <c r="R63832" s="178"/>
      <c r="S63832" s="178"/>
    </row>
    <row r="63833" spans="18:19">
      <c r="R63833" s="178"/>
      <c r="S63833" s="178"/>
    </row>
    <row r="63834" spans="18:19">
      <c r="R63834" s="178"/>
      <c r="S63834" s="178"/>
    </row>
    <row r="63835" spans="18:19">
      <c r="R63835" s="178"/>
      <c r="S63835" s="178"/>
    </row>
    <row r="63836" spans="18:19">
      <c r="R63836" s="178"/>
      <c r="S63836" s="178"/>
    </row>
    <row r="63837" spans="18:19">
      <c r="R63837" s="178"/>
      <c r="S63837" s="178"/>
    </row>
    <row r="63838" spans="18:19">
      <c r="R63838" s="178"/>
      <c r="S63838" s="178"/>
    </row>
    <row r="63839" spans="18:19">
      <c r="R63839" s="178"/>
      <c r="S63839" s="178"/>
    </row>
    <row r="63840" spans="18:19">
      <c r="R63840" s="178"/>
      <c r="S63840" s="178"/>
    </row>
    <row r="63841" spans="18:19">
      <c r="R63841" s="178"/>
      <c r="S63841" s="178"/>
    </row>
    <row r="63842" spans="18:19">
      <c r="R63842" s="178"/>
      <c r="S63842" s="178"/>
    </row>
    <row r="63843" spans="18:19">
      <c r="R63843" s="178"/>
      <c r="S63843" s="178"/>
    </row>
    <row r="63844" spans="18:19">
      <c r="R63844" s="178"/>
      <c r="S63844" s="178"/>
    </row>
    <row r="63845" spans="18:19">
      <c r="R63845" s="178"/>
      <c r="S63845" s="178"/>
    </row>
    <row r="63846" spans="18:19">
      <c r="R63846" s="178"/>
      <c r="S63846" s="178"/>
    </row>
    <row r="63847" spans="18:19">
      <c r="R63847" s="178"/>
      <c r="S63847" s="178"/>
    </row>
    <row r="63848" spans="18:19">
      <c r="R63848" s="178"/>
      <c r="S63848" s="178"/>
    </row>
    <row r="63849" spans="18:19">
      <c r="R63849" s="178"/>
      <c r="S63849" s="178"/>
    </row>
    <row r="63850" spans="18:19">
      <c r="R63850" s="178"/>
      <c r="S63850" s="178"/>
    </row>
    <row r="63851" spans="18:19">
      <c r="R63851" s="178"/>
      <c r="S63851" s="178"/>
    </row>
    <row r="63852" spans="18:19">
      <c r="R63852" s="178"/>
      <c r="S63852" s="178"/>
    </row>
    <row r="63853" spans="18:19">
      <c r="R63853" s="178"/>
      <c r="S63853" s="178"/>
    </row>
    <row r="63854" spans="18:19">
      <c r="R63854" s="178"/>
      <c r="S63854" s="178"/>
    </row>
    <row r="63855" spans="18:19">
      <c r="R63855" s="178"/>
      <c r="S63855" s="178"/>
    </row>
    <row r="63856" spans="18:19">
      <c r="R63856" s="178"/>
      <c r="S63856" s="178"/>
    </row>
    <row r="63857" spans="18:19">
      <c r="R63857" s="178"/>
      <c r="S63857" s="178"/>
    </row>
    <row r="63858" spans="18:19">
      <c r="R63858" s="178"/>
      <c r="S63858" s="178"/>
    </row>
    <row r="63859" spans="18:19">
      <c r="R63859" s="178"/>
      <c r="S63859" s="178"/>
    </row>
    <row r="63860" spans="18:19">
      <c r="R63860" s="178"/>
      <c r="S63860" s="178"/>
    </row>
    <row r="63861" spans="18:19">
      <c r="R63861" s="178"/>
      <c r="S63861" s="178"/>
    </row>
    <row r="63862" spans="18:19">
      <c r="R63862" s="178"/>
      <c r="S63862" s="178"/>
    </row>
    <row r="63863" spans="18:19">
      <c r="R63863" s="178"/>
      <c r="S63863" s="178"/>
    </row>
    <row r="63864" spans="18:19">
      <c r="R63864" s="178"/>
      <c r="S63864" s="178"/>
    </row>
    <row r="63865" spans="18:19">
      <c r="R63865" s="178"/>
      <c r="S63865" s="178"/>
    </row>
    <row r="63866" spans="18:19">
      <c r="R63866" s="178"/>
      <c r="S63866" s="178"/>
    </row>
    <row r="63867" spans="18:19">
      <c r="R63867" s="178"/>
      <c r="S63867" s="178"/>
    </row>
    <row r="63868" spans="18:19">
      <c r="R63868" s="178"/>
      <c r="S63868" s="178"/>
    </row>
    <row r="63869" spans="18:19">
      <c r="R63869" s="178"/>
      <c r="S63869" s="178"/>
    </row>
    <row r="63870" spans="18:19">
      <c r="R63870" s="178"/>
      <c r="S63870" s="178"/>
    </row>
    <row r="63871" spans="18:19">
      <c r="R63871" s="178"/>
      <c r="S63871" s="178"/>
    </row>
    <row r="63872" spans="18:19">
      <c r="R63872" s="178"/>
      <c r="S63872" s="178"/>
    </row>
    <row r="63873" spans="18:19">
      <c r="R63873" s="178"/>
      <c r="S63873" s="178"/>
    </row>
    <row r="63874" spans="18:19">
      <c r="R63874" s="178"/>
      <c r="S63874" s="178"/>
    </row>
    <row r="63875" spans="18:19">
      <c r="R63875" s="178"/>
      <c r="S63875" s="178"/>
    </row>
    <row r="63876" spans="18:19">
      <c r="R63876" s="178"/>
      <c r="S63876" s="178"/>
    </row>
    <row r="63877" spans="18:19">
      <c r="R63877" s="178"/>
      <c r="S63877" s="178"/>
    </row>
    <row r="63878" spans="18:19">
      <c r="R63878" s="178"/>
      <c r="S63878" s="178"/>
    </row>
    <row r="63879" spans="18:19">
      <c r="R63879" s="178"/>
      <c r="S63879" s="178"/>
    </row>
    <row r="63880" spans="18:19">
      <c r="R63880" s="178"/>
      <c r="S63880" s="178"/>
    </row>
    <row r="63881" spans="18:19">
      <c r="R63881" s="178"/>
      <c r="S63881" s="178"/>
    </row>
    <row r="63882" spans="18:19">
      <c r="R63882" s="178"/>
      <c r="S63882" s="178"/>
    </row>
    <row r="63883" spans="18:19">
      <c r="R63883" s="178"/>
      <c r="S63883" s="178"/>
    </row>
    <row r="63884" spans="18:19">
      <c r="R63884" s="178"/>
      <c r="S63884" s="178"/>
    </row>
    <row r="63885" spans="18:19">
      <c r="R63885" s="178"/>
      <c r="S63885" s="178"/>
    </row>
    <row r="63886" spans="18:19">
      <c r="R63886" s="178"/>
      <c r="S63886" s="178"/>
    </row>
    <row r="63887" spans="18:19">
      <c r="R63887" s="178"/>
      <c r="S63887" s="178"/>
    </row>
    <row r="63888" spans="18:19">
      <c r="R63888" s="178"/>
      <c r="S63888" s="178"/>
    </row>
    <row r="63889" spans="18:19">
      <c r="R63889" s="178"/>
      <c r="S63889" s="178"/>
    </row>
    <row r="63890" spans="18:19">
      <c r="R63890" s="178"/>
      <c r="S63890" s="178"/>
    </row>
    <row r="63891" spans="18:19">
      <c r="R63891" s="178"/>
      <c r="S63891" s="178"/>
    </row>
    <row r="63892" spans="18:19">
      <c r="R63892" s="178"/>
      <c r="S63892" s="178"/>
    </row>
    <row r="63893" spans="18:19">
      <c r="R63893" s="178"/>
      <c r="S63893" s="178"/>
    </row>
    <row r="63894" spans="18:19">
      <c r="R63894" s="178"/>
      <c r="S63894" s="178"/>
    </row>
    <row r="63895" spans="18:19">
      <c r="R63895" s="178"/>
      <c r="S63895" s="178"/>
    </row>
    <row r="63896" spans="18:19">
      <c r="R63896" s="178"/>
      <c r="S63896" s="178"/>
    </row>
    <row r="63897" spans="18:19">
      <c r="R63897" s="178"/>
      <c r="S63897" s="178"/>
    </row>
    <row r="63898" spans="18:19">
      <c r="R63898" s="178"/>
      <c r="S63898" s="178"/>
    </row>
    <row r="63899" spans="18:19">
      <c r="R63899" s="178"/>
      <c r="S63899" s="178"/>
    </row>
    <row r="63900" spans="18:19">
      <c r="R63900" s="178"/>
      <c r="S63900" s="178"/>
    </row>
    <row r="63901" spans="18:19">
      <c r="R63901" s="178"/>
      <c r="S63901" s="178"/>
    </row>
    <row r="63902" spans="18:19">
      <c r="R63902" s="178"/>
      <c r="S63902" s="178"/>
    </row>
    <row r="63903" spans="18:19">
      <c r="R63903" s="178"/>
      <c r="S63903" s="178"/>
    </row>
    <row r="63904" spans="18:19">
      <c r="R63904" s="178"/>
      <c r="S63904" s="178"/>
    </row>
    <row r="63905" spans="18:19">
      <c r="R63905" s="178"/>
      <c r="S63905" s="178"/>
    </row>
    <row r="63906" spans="18:19">
      <c r="R63906" s="178"/>
      <c r="S63906" s="178"/>
    </row>
    <row r="63907" spans="18:19">
      <c r="R63907" s="178"/>
      <c r="S63907" s="178"/>
    </row>
    <row r="63908" spans="18:19">
      <c r="R63908" s="178"/>
      <c r="S63908" s="178"/>
    </row>
    <row r="63909" spans="18:19">
      <c r="R63909" s="178"/>
      <c r="S63909" s="178"/>
    </row>
    <row r="63910" spans="18:19">
      <c r="R63910" s="178"/>
      <c r="S63910" s="178"/>
    </row>
    <row r="63911" spans="18:19">
      <c r="R63911" s="178"/>
      <c r="S63911" s="178"/>
    </row>
    <row r="63912" spans="18:19">
      <c r="R63912" s="178"/>
      <c r="S63912" s="178"/>
    </row>
    <row r="63913" spans="18:19">
      <c r="R63913" s="178"/>
      <c r="S63913" s="178"/>
    </row>
    <row r="63914" spans="18:19">
      <c r="R63914" s="178"/>
      <c r="S63914" s="178"/>
    </row>
    <row r="63915" spans="18:19">
      <c r="R63915" s="178"/>
      <c r="S63915" s="178"/>
    </row>
    <row r="63916" spans="18:19">
      <c r="R63916" s="178"/>
      <c r="S63916" s="178"/>
    </row>
    <row r="63917" spans="18:19">
      <c r="R63917" s="178"/>
      <c r="S63917" s="178"/>
    </row>
    <row r="63918" spans="18:19">
      <c r="R63918" s="178"/>
      <c r="S63918" s="178"/>
    </row>
    <row r="63919" spans="18:19">
      <c r="R63919" s="178"/>
      <c r="S63919" s="178"/>
    </row>
    <row r="63920" spans="18:19">
      <c r="R63920" s="178"/>
      <c r="S63920" s="178"/>
    </row>
    <row r="63921" spans="18:19">
      <c r="R63921" s="178"/>
      <c r="S63921" s="178"/>
    </row>
    <row r="63922" spans="18:19">
      <c r="R63922" s="178"/>
      <c r="S63922" s="178"/>
    </row>
    <row r="63923" spans="18:19">
      <c r="R63923" s="178"/>
      <c r="S63923" s="178"/>
    </row>
    <row r="63924" spans="18:19">
      <c r="R63924" s="178"/>
      <c r="S63924" s="178"/>
    </row>
    <row r="63925" spans="18:19">
      <c r="R63925" s="178"/>
      <c r="S63925" s="178"/>
    </row>
    <row r="63926" spans="18:19">
      <c r="R63926" s="178"/>
      <c r="S63926" s="178"/>
    </row>
    <row r="63927" spans="18:19">
      <c r="R63927" s="178"/>
      <c r="S63927" s="178"/>
    </row>
    <row r="63928" spans="18:19">
      <c r="R63928" s="178"/>
      <c r="S63928" s="178"/>
    </row>
    <row r="63929" spans="18:19">
      <c r="R63929" s="178"/>
      <c r="S63929" s="178"/>
    </row>
    <row r="63930" spans="18:19">
      <c r="R63930" s="178"/>
      <c r="S63930" s="178"/>
    </row>
    <row r="63931" spans="18:19">
      <c r="R63931" s="178"/>
      <c r="S63931" s="178"/>
    </row>
    <row r="63932" spans="18:19">
      <c r="R63932" s="178"/>
      <c r="S63932" s="178"/>
    </row>
    <row r="63933" spans="18:19">
      <c r="R63933" s="178"/>
      <c r="S63933" s="178"/>
    </row>
    <row r="63934" spans="18:19">
      <c r="R63934" s="178"/>
      <c r="S63934" s="178"/>
    </row>
    <row r="63935" spans="18:19">
      <c r="R63935" s="178"/>
      <c r="S63935" s="178"/>
    </row>
    <row r="63936" spans="18:19">
      <c r="R63936" s="178"/>
      <c r="S63936" s="178"/>
    </row>
    <row r="63937" spans="18:19">
      <c r="R63937" s="178"/>
      <c r="S63937" s="178"/>
    </row>
    <row r="63938" spans="18:19">
      <c r="R63938" s="178"/>
      <c r="S63938" s="178"/>
    </row>
    <row r="63939" spans="18:19">
      <c r="R63939" s="178"/>
      <c r="S63939" s="178"/>
    </row>
    <row r="63940" spans="18:19">
      <c r="R63940" s="178"/>
      <c r="S63940" s="178"/>
    </row>
    <row r="63941" spans="18:19">
      <c r="R63941" s="178"/>
      <c r="S63941" s="178"/>
    </row>
    <row r="63942" spans="18:19">
      <c r="R63942" s="178"/>
      <c r="S63942" s="178"/>
    </row>
    <row r="63943" spans="18:19">
      <c r="R63943" s="178"/>
      <c r="S63943" s="178"/>
    </row>
    <row r="63944" spans="18:19">
      <c r="R63944" s="178"/>
      <c r="S63944" s="178"/>
    </row>
    <row r="63945" spans="18:19">
      <c r="R63945" s="178"/>
      <c r="S63945" s="178"/>
    </row>
    <row r="63946" spans="18:19">
      <c r="R63946" s="178"/>
      <c r="S63946" s="178"/>
    </row>
    <row r="63947" spans="18:19">
      <c r="R63947" s="178"/>
      <c r="S63947" s="178"/>
    </row>
    <row r="63948" spans="18:19">
      <c r="R63948" s="178"/>
      <c r="S63948" s="178"/>
    </row>
    <row r="63949" spans="18:19">
      <c r="R63949" s="178"/>
      <c r="S63949" s="178"/>
    </row>
    <row r="63950" spans="18:19">
      <c r="R63950" s="178"/>
      <c r="S63950" s="178"/>
    </row>
    <row r="63951" spans="18:19">
      <c r="R63951" s="178"/>
      <c r="S63951" s="178"/>
    </row>
    <row r="63952" spans="18:19">
      <c r="R63952" s="178"/>
      <c r="S63952" s="178"/>
    </row>
    <row r="63953" spans="18:19">
      <c r="R63953" s="178"/>
      <c r="S63953" s="178"/>
    </row>
    <row r="63954" spans="18:19">
      <c r="R63954" s="178"/>
      <c r="S63954" s="178"/>
    </row>
    <row r="63955" spans="18:19">
      <c r="R63955" s="178"/>
      <c r="S63955" s="178"/>
    </row>
    <row r="63956" spans="18:19">
      <c r="R63956" s="178"/>
      <c r="S63956" s="178"/>
    </row>
    <row r="63957" spans="18:19">
      <c r="R63957" s="178"/>
      <c r="S63957" s="178"/>
    </row>
    <row r="63958" spans="18:19">
      <c r="R63958" s="178"/>
      <c r="S63958" s="178"/>
    </row>
    <row r="63959" spans="18:19">
      <c r="R63959" s="178"/>
      <c r="S63959" s="178"/>
    </row>
    <row r="63960" spans="18:19">
      <c r="R63960" s="178"/>
      <c r="S63960" s="178"/>
    </row>
    <row r="63961" spans="18:19">
      <c r="R63961" s="178"/>
      <c r="S63961" s="178"/>
    </row>
    <row r="63962" spans="18:19">
      <c r="R63962" s="178"/>
      <c r="S63962" s="178"/>
    </row>
    <row r="63963" spans="18:19">
      <c r="R63963" s="178"/>
      <c r="S63963" s="178"/>
    </row>
    <row r="63964" spans="18:19">
      <c r="R63964" s="178"/>
      <c r="S63964" s="178"/>
    </row>
    <row r="63965" spans="18:19">
      <c r="R63965" s="178"/>
      <c r="S63965" s="178"/>
    </row>
    <row r="63966" spans="18:19">
      <c r="R63966" s="178"/>
      <c r="S63966" s="178"/>
    </row>
    <row r="63967" spans="18:19">
      <c r="R63967" s="178"/>
      <c r="S63967" s="178"/>
    </row>
    <row r="63968" spans="18:19">
      <c r="R63968" s="178"/>
      <c r="S63968" s="178"/>
    </row>
    <row r="63969" spans="18:19">
      <c r="R63969" s="178"/>
      <c r="S63969" s="178"/>
    </row>
    <row r="63970" spans="18:19">
      <c r="R63970" s="178"/>
      <c r="S63970" s="178"/>
    </row>
    <row r="63971" spans="18:19">
      <c r="R63971" s="178"/>
      <c r="S63971" s="178"/>
    </row>
    <row r="63972" spans="18:19">
      <c r="R63972" s="178"/>
      <c r="S63972" s="178"/>
    </row>
    <row r="63973" spans="18:19">
      <c r="R63973" s="178"/>
      <c r="S63973" s="178"/>
    </row>
    <row r="63974" spans="18:19">
      <c r="R63974" s="178"/>
      <c r="S63974" s="178"/>
    </row>
    <row r="63975" spans="18:19">
      <c r="R63975" s="178"/>
      <c r="S63975" s="178"/>
    </row>
    <row r="63976" spans="18:19">
      <c r="R63976" s="178"/>
      <c r="S63976" s="178"/>
    </row>
    <row r="63977" spans="18:19">
      <c r="R63977" s="178"/>
      <c r="S63977" s="178"/>
    </row>
    <row r="63978" spans="18:19">
      <c r="R63978" s="178"/>
      <c r="S63978" s="178"/>
    </row>
    <row r="63979" spans="18:19">
      <c r="R63979" s="178"/>
      <c r="S63979" s="178"/>
    </row>
    <row r="63980" spans="18:19">
      <c r="R63980" s="178"/>
      <c r="S63980" s="178"/>
    </row>
    <row r="63981" spans="18:19">
      <c r="R63981" s="178"/>
      <c r="S63981" s="178"/>
    </row>
    <row r="63982" spans="18:19">
      <c r="R63982" s="178"/>
      <c r="S63982" s="178"/>
    </row>
    <row r="63983" spans="18:19">
      <c r="R63983" s="178"/>
      <c r="S63983" s="178"/>
    </row>
    <row r="63984" spans="18:19">
      <c r="R63984" s="178"/>
      <c r="S63984" s="178"/>
    </row>
    <row r="63985" spans="18:19">
      <c r="R63985" s="178"/>
      <c r="S63985" s="178"/>
    </row>
    <row r="63986" spans="18:19">
      <c r="R63986" s="178"/>
      <c r="S63986" s="178"/>
    </row>
    <row r="63987" spans="18:19">
      <c r="R63987" s="178"/>
      <c r="S63987" s="178"/>
    </row>
    <row r="63988" spans="18:19">
      <c r="R63988" s="178"/>
      <c r="S63988" s="178"/>
    </row>
    <row r="63989" spans="18:19">
      <c r="R63989" s="178"/>
      <c r="S63989" s="178"/>
    </row>
    <row r="63990" spans="18:19">
      <c r="R63990" s="178"/>
      <c r="S63990" s="178"/>
    </row>
    <row r="63991" spans="18:19">
      <c r="R63991" s="178"/>
      <c r="S63991" s="178"/>
    </row>
    <row r="63992" spans="18:19">
      <c r="R63992" s="178"/>
      <c r="S63992" s="178"/>
    </row>
    <row r="63993" spans="18:19">
      <c r="R63993" s="178"/>
      <c r="S63993" s="178"/>
    </row>
    <row r="63994" spans="18:19">
      <c r="R63994" s="178"/>
      <c r="S63994" s="178"/>
    </row>
    <row r="63995" spans="18:19">
      <c r="R63995" s="178"/>
      <c r="S63995" s="178"/>
    </row>
    <row r="63996" spans="18:19">
      <c r="R63996" s="178"/>
      <c r="S63996" s="178"/>
    </row>
    <row r="63997" spans="18:19">
      <c r="R63997" s="178"/>
      <c r="S63997" s="178"/>
    </row>
    <row r="63998" spans="18:19">
      <c r="R63998" s="178"/>
      <c r="S63998" s="178"/>
    </row>
    <row r="63999" spans="18:19">
      <c r="R63999" s="178"/>
      <c r="S63999" s="178"/>
    </row>
    <row r="64000" spans="18:19">
      <c r="R64000" s="178"/>
      <c r="S64000" s="178"/>
    </row>
    <row r="64001" spans="18:19">
      <c r="R64001" s="178"/>
      <c r="S64001" s="178"/>
    </row>
    <row r="64002" spans="18:19">
      <c r="R64002" s="178"/>
      <c r="S64002" s="178"/>
    </row>
    <row r="64003" spans="18:19">
      <c r="R64003" s="178"/>
      <c r="S64003" s="178"/>
    </row>
    <row r="64004" spans="18:19">
      <c r="R64004" s="178"/>
      <c r="S64004" s="178"/>
    </row>
    <row r="64005" spans="18:19">
      <c r="R64005" s="178"/>
      <c r="S64005" s="178"/>
    </row>
    <row r="64006" spans="18:19">
      <c r="R64006" s="178"/>
      <c r="S64006" s="178"/>
    </row>
    <row r="64007" spans="18:19">
      <c r="R64007" s="178"/>
      <c r="S64007" s="178"/>
    </row>
    <row r="64008" spans="18:19">
      <c r="R64008" s="178"/>
      <c r="S64008" s="178"/>
    </row>
    <row r="64009" spans="18:19">
      <c r="R64009" s="178"/>
      <c r="S64009" s="178"/>
    </row>
    <row r="64010" spans="18:19">
      <c r="R64010" s="178"/>
      <c r="S64010" s="178"/>
    </row>
    <row r="64011" spans="18:19">
      <c r="R64011" s="178"/>
      <c r="S64011" s="178"/>
    </row>
    <row r="64012" spans="18:19">
      <c r="R64012" s="178"/>
      <c r="S64012" s="178"/>
    </row>
    <row r="64013" spans="18:19">
      <c r="R64013" s="178"/>
      <c r="S64013" s="178"/>
    </row>
    <row r="64014" spans="18:19">
      <c r="R64014" s="178"/>
      <c r="S64014" s="178"/>
    </row>
    <row r="64015" spans="18:19">
      <c r="R64015" s="178"/>
      <c r="S64015" s="178"/>
    </row>
    <row r="64016" spans="18:19">
      <c r="R64016" s="178"/>
      <c r="S64016" s="178"/>
    </row>
    <row r="64017" spans="18:19">
      <c r="R64017" s="178"/>
      <c r="S64017" s="178"/>
    </row>
    <row r="64018" spans="18:19">
      <c r="R64018" s="178"/>
      <c r="S64018" s="178"/>
    </row>
    <row r="64019" spans="18:19">
      <c r="R64019" s="178"/>
      <c r="S64019" s="178"/>
    </row>
    <row r="64020" spans="18:19">
      <c r="R64020" s="178"/>
      <c r="S64020" s="178"/>
    </row>
    <row r="64021" spans="18:19">
      <c r="R64021" s="178"/>
      <c r="S64021" s="178"/>
    </row>
    <row r="64022" spans="18:19">
      <c r="R64022" s="178"/>
      <c r="S64022" s="178"/>
    </row>
    <row r="64023" spans="18:19">
      <c r="R64023" s="178"/>
      <c r="S64023" s="178"/>
    </row>
    <row r="64024" spans="18:19">
      <c r="R64024" s="178"/>
      <c r="S64024" s="178"/>
    </row>
    <row r="64025" spans="18:19">
      <c r="R64025" s="178"/>
      <c r="S64025" s="178"/>
    </row>
    <row r="64026" spans="18:19">
      <c r="R64026" s="178"/>
      <c r="S64026" s="178"/>
    </row>
    <row r="64027" spans="18:19">
      <c r="R64027" s="178"/>
      <c r="S64027" s="178"/>
    </row>
    <row r="64028" spans="18:19">
      <c r="R64028" s="178"/>
      <c r="S64028" s="178"/>
    </row>
    <row r="64029" spans="18:19">
      <c r="R64029" s="178"/>
      <c r="S64029" s="178"/>
    </row>
    <row r="64030" spans="18:19">
      <c r="R64030" s="178"/>
      <c r="S64030" s="178"/>
    </row>
    <row r="64031" spans="18:19">
      <c r="R64031" s="178"/>
      <c r="S64031" s="178"/>
    </row>
    <row r="64032" spans="18:19">
      <c r="R64032" s="178"/>
      <c r="S64032" s="178"/>
    </row>
    <row r="64033" spans="18:19">
      <c r="R64033" s="178"/>
      <c r="S64033" s="178"/>
    </row>
    <row r="64034" spans="18:19">
      <c r="R64034" s="178"/>
      <c r="S64034" s="178"/>
    </row>
    <row r="64035" spans="18:19">
      <c r="R64035" s="178"/>
      <c r="S64035" s="178"/>
    </row>
    <row r="64036" spans="18:19">
      <c r="R64036" s="178"/>
      <c r="S64036" s="178"/>
    </row>
    <row r="64037" spans="18:19">
      <c r="R64037" s="178"/>
      <c r="S64037" s="178"/>
    </row>
    <row r="64038" spans="18:19">
      <c r="R64038" s="178"/>
      <c r="S64038" s="178"/>
    </row>
    <row r="64039" spans="18:19">
      <c r="R64039" s="178"/>
      <c r="S64039" s="178"/>
    </row>
    <row r="64040" spans="18:19">
      <c r="R64040" s="178"/>
      <c r="S64040" s="178"/>
    </row>
    <row r="64041" spans="18:19">
      <c r="R64041" s="178"/>
      <c r="S64041" s="178"/>
    </row>
    <row r="64042" spans="18:19">
      <c r="R64042" s="178"/>
      <c r="S64042" s="178"/>
    </row>
    <row r="64043" spans="18:19">
      <c r="R64043" s="178"/>
      <c r="S64043" s="178"/>
    </row>
    <row r="64044" spans="18:19">
      <c r="R64044" s="178"/>
      <c r="S64044" s="178"/>
    </row>
    <row r="64045" spans="18:19">
      <c r="R64045" s="178"/>
      <c r="S64045" s="178"/>
    </row>
    <row r="64046" spans="18:19">
      <c r="R64046" s="178"/>
      <c r="S64046" s="178"/>
    </row>
    <row r="64047" spans="18:19">
      <c r="R64047" s="178"/>
      <c r="S64047" s="178"/>
    </row>
    <row r="64048" spans="18:19">
      <c r="R64048" s="178"/>
      <c r="S64048" s="178"/>
    </row>
    <row r="64049" spans="18:19">
      <c r="R64049" s="178"/>
      <c r="S64049" s="178"/>
    </row>
    <row r="64050" spans="18:19">
      <c r="R64050" s="178"/>
      <c r="S64050" s="178"/>
    </row>
    <row r="64051" spans="18:19">
      <c r="R64051" s="178"/>
      <c r="S64051" s="178"/>
    </row>
    <row r="64052" spans="18:19">
      <c r="R64052" s="178"/>
      <c r="S64052" s="178"/>
    </row>
    <row r="64053" spans="18:19">
      <c r="R64053" s="178"/>
      <c r="S64053" s="178"/>
    </row>
    <row r="64054" spans="18:19">
      <c r="R64054" s="178"/>
      <c r="S64054" s="178"/>
    </row>
    <row r="64055" spans="18:19">
      <c r="R64055" s="178"/>
      <c r="S64055" s="178"/>
    </row>
    <row r="64056" spans="18:19">
      <c r="R64056" s="178"/>
      <c r="S64056" s="178"/>
    </row>
    <row r="64057" spans="18:19">
      <c r="R64057" s="178"/>
      <c r="S64057" s="178"/>
    </row>
    <row r="64058" spans="18:19">
      <c r="R64058" s="178"/>
      <c r="S64058" s="178"/>
    </row>
    <row r="64059" spans="18:19">
      <c r="R64059" s="178"/>
      <c r="S64059" s="178"/>
    </row>
    <row r="64060" spans="18:19">
      <c r="R64060" s="178"/>
      <c r="S64060" s="178"/>
    </row>
    <row r="64061" spans="18:19">
      <c r="R64061" s="178"/>
      <c r="S64061" s="178"/>
    </row>
    <row r="64062" spans="18:19">
      <c r="R64062" s="178"/>
      <c r="S64062" s="178"/>
    </row>
    <row r="64063" spans="18:19">
      <c r="R64063" s="178"/>
      <c r="S64063" s="178"/>
    </row>
    <row r="64064" spans="18:19">
      <c r="R64064" s="178"/>
      <c r="S64064" s="178"/>
    </row>
    <row r="64065" spans="18:19">
      <c r="R64065" s="178"/>
      <c r="S64065" s="178"/>
    </row>
    <row r="64066" spans="18:19">
      <c r="R64066" s="178"/>
      <c r="S64066" s="178"/>
    </row>
    <row r="64067" spans="18:19">
      <c r="R64067" s="178"/>
      <c r="S64067" s="178"/>
    </row>
    <row r="64068" spans="18:19">
      <c r="R64068" s="178"/>
      <c r="S64068" s="178"/>
    </row>
    <row r="64069" spans="18:19">
      <c r="R64069" s="178"/>
      <c r="S64069" s="178"/>
    </row>
    <row r="64070" spans="18:19">
      <c r="R64070" s="178"/>
      <c r="S64070" s="178"/>
    </row>
    <row r="64071" spans="18:19">
      <c r="R64071" s="178"/>
      <c r="S64071" s="178"/>
    </row>
    <row r="64072" spans="18:19">
      <c r="R64072" s="178"/>
      <c r="S64072" s="178"/>
    </row>
    <row r="64073" spans="18:19">
      <c r="R64073" s="178"/>
      <c r="S64073" s="178"/>
    </row>
    <row r="64074" spans="18:19">
      <c r="R64074" s="178"/>
      <c r="S64074" s="178"/>
    </row>
    <row r="64075" spans="18:19">
      <c r="R64075" s="178"/>
      <c r="S64075" s="178"/>
    </row>
    <row r="64076" spans="18:19">
      <c r="R64076" s="178"/>
      <c r="S64076" s="178"/>
    </row>
    <row r="64077" spans="18:19">
      <c r="R64077" s="178"/>
      <c r="S64077" s="178"/>
    </row>
    <row r="64078" spans="18:19">
      <c r="R64078" s="178"/>
      <c r="S64078" s="178"/>
    </row>
    <row r="64079" spans="18:19">
      <c r="R64079" s="178"/>
      <c r="S64079" s="178"/>
    </row>
    <row r="64080" spans="18:19">
      <c r="R64080" s="178"/>
      <c r="S64080" s="178"/>
    </row>
    <row r="64081" spans="18:19">
      <c r="R64081" s="178"/>
      <c r="S64081" s="178"/>
    </row>
    <row r="64082" spans="18:19">
      <c r="R64082" s="178"/>
      <c r="S64082" s="178"/>
    </row>
    <row r="64083" spans="18:19">
      <c r="R64083" s="178"/>
      <c r="S64083" s="178"/>
    </row>
    <row r="64084" spans="18:19">
      <c r="R64084" s="178"/>
      <c r="S64084" s="178"/>
    </row>
    <row r="64085" spans="18:19">
      <c r="R64085" s="178"/>
      <c r="S64085" s="178"/>
    </row>
    <row r="64086" spans="18:19">
      <c r="R64086" s="178"/>
      <c r="S64086" s="178"/>
    </row>
    <row r="64087" spans="18:19">
      <c r="R64087" s="178"/>
      <c r="S64087" s="178"/>
    </row>
    <row r="64088" spans="18:19">
      <c r="R64088" s="178"/>
      <c r="S64088" s="178"/>
    </row>
    <row r="64089" spans="18:19">
      <c r="R64089" s="178"/>
      <c r="S64089" s="178"/>
    </row>
    <row r="64090" spans="18:19">
      <c r="R64090" s="178"/>
      <c r="S64090" s="178"/>
    </row>
    <row r="64091" spans="18:19">
      <c r="R64091" s="178"/>
      <c r="S64091" s="178"/>
    </row>
    <row r="64092" spans="18:19">
      <c r="R64092" s="178"/>
      <c r="S64092" s="178"/>
    </row>
    <row r="64093" spans="18:19">
      <c r="R64093" s="178"/>
      <c r="S64093" s="178"/>
    </row>
    <row r="64094" spans="18:19">
      <c r="R64094" s="178"/>
      <c r="S64094" s="178"/>
    </row>
    <row r="64095" spans="18:19">
      <c r="R64095" s="178"/>
      <c r="S64095" s="178"/>
    </row>
    <row r="64096" spans="18:19">
      <c r="R64096" s="178"/>
      <c r="S64096" s="178"/>
    </row>
    <row r="64097" spans="18:19">
      <c r="R64097" s="178"/>
      <c r="S64097" s="178"/>
    </row>
    <row r="64098" spans="18:19">
      <c r="R64098" s="178"/>
      <c r="S64098" s="178"/>
    </row>
    <row r="64099" spans="18:19">
      <c r="R64099" s="178"/>
      <c r="S64099" s="178"/>
    </row>
    <row r="64100" spans="18:19">
      <c r="R64100" s="178"/>
      <c r="S64100" s="178"/>
    </row>
    <row r="64101" spans="18:19">
      <c r="R64101" s="178"/>
      <c r="S64101" s="178"/>
    </row>
    <row r="64102" spans="18:19">
      <c r="R64102" s="178"/>
      <c r="S64102" s="178"/>
    </row>
    <row r="64103" spans="18:19">
      <c r="R64103" s="178"/>
      <c r="S64103" s="178"/>
    </row>
    <row r="64104" spans="18:19">
      <c r="R64104" s="178"/>
      <c r="S64104" s="178"/>
    </row>
    <row r="64105" spans="18:19">
      <c r="R64105" s="178"/>
      <c r="S64105" s="178"/>
    </row>
    <row r="64106" spans="18:19">
      <c r="R64106" s="178"/>
      <c r="S64106" s="178"/>
    </row>
    <row r="64107" spans="18:19">
      <c r="R64107" s="178"/>
      <c r="S64107" s="178"/>
    </row>
    <row r="64108" spans="18:19">
      <c r="R64108" s="178"/>
      <c r="S64108" s="178"/>
    </row>
    <row r="64109" spans="18:19">
      <c r="R64109" s="178"/>
      <c r="S64109" s="178"/>
    </row>
    <row r="64110" spans="18:19">
      <c r="R64110" s="178"/>
      <c r="S64110" s="178"/>
    </row>
    <row r="64111" spans="18:19">
      <c r="R64111" s="178"/>
      <c r="S64111" s="178"/>
    </row>
    <row r="64112" spans="18:19">
      <c r="R64112" s="178"/>
      <c r="S64112" s="178"/>
    </row>
    <row r="64113" spans="18:19">
      <c r="R64113" s="178"/>
      <c r="S64113" s="178"/>
    </row>
    <row r="64114" spans="18:19">
      <c r="R64114" s="178"/>
      <c r="S64114" s="178"/>
    </row>
    <row r="64115" spans="18:19">
      <c r="R64115" s="178"/>
      <c r="S64115" s="178"/>
    </row>
    <row r="64116" spans="18:19">
      <c r="R64116" s="178"/>
      <c r="S64116" s="178"/>
    </row>
    <row r="64117" spans="18:19">
      <c r="R64117" s="178"/>
      <c r="S64117" s="178"/>
    </row>
    <row r="64118" spans="18:19">
      <c r="R64118" s="178"/>
      <c r="S64118" s="178"/>
    </row>
    <row r="64119" spans="18:19">
      <c r="R64119" s="178"/>
      <c r="S64119" s="178"/>
    </row>
    <row r="64120" spans="18:19">
      <c r="R64120" s="178"/>
      <c r="S64120" s="178"/>
    </row>
    <row r="64121" spans="18:19">
      <c r="R64121" s="178"/>
      <c r="S64121" s="178"/>
    </row>
    <row r="64122" spans="18:19">
      <c r="R64122" s="178"/>
      <c r="S64122" s="178"/>
    </row>
    <row r="64123" spans="18:19">
      <c r="R64123" s="178"/>
      <c r="S64123" s="178"/>
    </row>
    <row r="64124" spans="18:19">
      <c r="R64124" s="178"/>
      <c r="S64124" s="178"/>
    </row>
    <row r="64125" spans="18:19">
      <c r="R64125" s="178"/>
      <c r="S64125" s="178"/>
    </row>
    <row r="64126" spans="18:19">
      <c r="R64126" s="178"/>
      <c r="S64126" s="178"/>
    </row>
    <row r="64127" spans="18:19">
      <c r="R64127" s="178"/>
      <c r="S64127" s="178"/>
    </row>
    <row r="64128" spans="18:19">
      <c r="R64128" s="178"/>
      <c r="S64128" s="178"/>
    </row>
    <row r="64129" spans="18:19">
      <c r="R64129" s="178"/>
      <c r="S64129" s="178"/>
    </row>
    <row r="64130" spans="18:19">
      <c r="R64130" s="178"/>
      <c r="S64130" s="178"/>
    </row>
    <row r="64131" spans="18:19">
      <c r="R64131" s="178"/>
      <c r="S64131" s="178"/>
    </row>
    <row r="64132" spans="18:19">
      <c r="R64132" s="178"/>
      <c r="S64132" s="178"/>
    </row>
    <row r="64133" spans="18:19">
      <c r="R64133" s="178"/>
      <c r="S64133" s="178"/>
    </row>
    <row r="64134" spans="18:19">
      <c r="R64134" s="178"/>
      <c r="S64134" s="178"/>
    </row>
    <row r="64135" spans="18:19">
      <c r="R64135" s="178"/>
      <c r="S64135" s="178"/>
    </row>
    <row r="64136" spans="18:19">
      <c r="R64136" s="178"/>
      <c r="S64136" s="178"/>
    </row>
    <row r="64137" spans="18:19">
      <c r="R64137" s="178"/>
      <c r="S64137" s="178"/>
    </row>
    <row r="64138" spans="18:19">
      <c r="R64138" s="178"/>
      <c r="S64138" s="178"/>
    </row>
    <row r="64139" spans="18:19">
      <c r="R64139" s="178"/>
      <c r="S64139" s="178"/>
    </row>
    <row r="64140" spans="18:19">
      <c r="R64140" s="178"/>
      <c r="S64140" s="178"/>
    </row>
    <row r="64141" spans="18:19">
      <c r="R64141" s="178"/>
      <c r="S64141" s="178"/>
    </row>
    <row r="64142" spans="18:19">
      <c r="R64142" s="178"/>
      <c r="S64142" s="178"/>
    </row>
    <row r="64143" spans="18:19">
      <c r="R64143" s="178"/>
      <c r="S64143" s="178"/>
    </row>
    <row r="64144" spans="18:19">
      <c r="R64144" s="178"/>
      <c r="S64144" s="178"/>
    </row>
    <row r="64145" spans="18:19">
      <c r="R64145" s="178"/>
      <c r="S64145" s="178"/>
    </row>
    <row r="64146" spans="18:19">
      <c r="R64146" s="178"/>
      <c r="S64146" s="178"/>
    </row>
    <row r="64147" spans="18:19">
      <c r="R64147" s="178"/>
      <c r="S64147" s="178"/>
    </row>
    <row r="64148" spans="18:19">
      <c r="R64148" s="178"/>
      <c r="S64148" s="178"/>
    </row>
    <row r="64149" spans="18:19">
      <c r="R64149" s="178"/>
      <c r="S64149" s="178"/>
    </row>
    <row r="64150" spans="18:19">
      <c r="R64150" s="178"/>
      <c r="S64150" s="178"/>
    </row>
    <row r="64151" spans="18:19">
      <c r="R64151" s="178"/>
      <c r="S64151" s="178"/>
    </row>
    <row r="64152" spans="18:19">
      <c r="R64152" s="178"/>
      <c r="S64152" s="178"/>
    </row>
    <row r="64153" spans="18:19">
      <c r="R64153" s="178"/>
      <c r="S64153" s="178"/>
    </row>
    <row r="64154" spans="18:19">
      <c r="R64154" s="178"/>
      <c r="S64154" s="178"/>
    </row>
    <row r="64155" spans="18:19">
      <c r="R64155" s="178"/>
      <c r="S64155" s="178"/>
    </row>
    <row r="64156" spans="18:19">
      <c r="R64156" s="178"/>
      <c r="S64156" s="178"/>
    </row>
    <row r="64157" spans="18:19">
      <c r="R64157" s="178"/>
      <c r="S64157" s="178"/>
    </row>
    <row r="64158" spans="18:19">
      <c r="R64158" s="178"/>
      <c r="S64158" s="178"/>
    </row>
    <row r="64159" spans="18:19">
      <c r="R64159" s="178"/>
      <c r="S64159" s="178"/>
    </row>
    <row r="64160" spans="18:19">
      <c r="R64160" s="178"/>
      <c r="S64160" s="178"/>
    </row>
    <row r="64161" spans="18:19">
      <c r="R64161" s="178"/>
      <c r="S64161" s="178"/>
    </row>
    <row r="64162" spans="18:19">
      <c r="R64162" s="178"/>
      <c r="S64162" s="178"/>
    </row>
    <row r="64163" spans="18:19">
      <c r="R64163" s="178"/>
      <c r="S64163" s="178"/>
    </row>
    <row r="64164" spans="18:19">
      <c r="R64164" s="178"/>
      <c r="S64164" s="178"/>
    </row>
    <row r="64165" spans="18:19">
      <c r="R64165" s="178"/>
      <c r="S64165" s="178"/>
    </row>
    <row r="64166" spans="18:19">
      <c r="R64166" s="178"/>
      <c r="S64166" s="178"/>
    </row>
    <row r="64167" spans="18:19">
      <c r="R64167" s="178"/>
      <c r="S64167" s="178"/>
    </row>
    <row r="64168" spans="18:19">
      <c r="R64168" s="178"/>
      <c r="S64168" s="178"/>
    </row>
    <row r="64169" spans="18:19">
      <c r="R64169" s="178"/>
      <c r="S64169" s="178"/>
    </row>
    <row r="64170" spans="18:19">
      <c r="R64170" s="178"/>
      <c r="S64170" s="178"/>
    </row>
    <row r="64171" spans="18:19">
      <c r="R64171" s="178"/>
      <c r="S64171" s="178"/>
    </row>
    <row r="64172" spans="18:19">
      <c r="R64172" s="178"/>
      <c r="S64172" s="178"/>
    </row>
    <row r="64173" spans="18:19">
      <c r="R64173" s="178"/>
      <c r="S64173" s="178"/>
    </row>
    <row r="64174" spans="18:19">
      <c r="R64174" s="178"/>
      <c r="S64174" s="178"/>
    </row>
    <row r="64175" spans="18:19">
      <c r="R64175" s="178"/>
      <c r="S64175" s="178"/>
    </row>
    <row r="64176" spans="18:19">
      <c r="R64176" s="178"/>
      <c r="S64176" s="178"/>
    </row>
    <row r="64177" spans="18:19">
      <c r="R64177" s="178"/>
      <c r="S64177" s="178"/>
    </row>
    <row r="64178" spans="18:19">
      <c r="R64178" s="178"/>
      <c r="S64178" s="178"/>
    </row>
    <row r="64179" spans="18:19">
      <c r="R64179" s="178"/>
      <c r="S64179" s="178"/>
    </row>
    <row r="64180" spans="18:19">
      <c r="R64180" s="178"/>
      <c r="S64180" s="178"/>
    </row>
    <row r="64181" spans="18:19">
      <c r="R64181" s="178"/>
      <c r="S64181" s="178"/>
    </row>
    <row r="64182" spans="18:19">
      <c r="R64182" s="178"/>
      <c r="S64182" s="178"/>
    </row>
    <row r="64183" spans="18:19">
      <c r="R64183" s="178"/>
      <c r="S64183" s="178"/>
    </row>
    <row r="64184" spans="18:19">
      <c r="R64184" s="178"/>
      <c r="S64184" s="178"/>
    </row>
    <row r="64185" spans="18:19">
      <c r="R64185" s="178"/>
      <c r="S64185" s="178"/>
    </row>
    <row r="64186" spans="18:19">
      <c r="R64186" s="178"/>
      <c r="S64186" s="178"/>
    </row>
    <row r="64187" spans="18:19">
      <c r="R64187" s="178"/>
      <c r="S64187" s="178"/>
    </row>
    <row r="64188" spans="18:19">
      <c r="R64188" s="178"/>
      <c r="S64188" s="178"/>
    </row>
    <row r="64189" spans="18:19">
      <c r="R64189" s="178"/>
      <c r="S64189" s="178"/>
    </row>
    <row r="64190" spans="18:19">
      <c r="R64190" s="178"/>
      <c r="S64190" s="178"/>
    </row>
    <row r="64191" spans="18:19">
      <c r="R64191" s="178"/>
      <c r="S64191" s="178"/>
    </row>
    <row r="64192" spans="18:19">
      <c r="R64192" s="178"/>
      <c r="S64192" s="178"/>
    </row>
    <row r="64193" spans="18:19">
      <c r="R64193" s="178"/>
      <c r="S64193" s="178"/>
    </row>
    <row r="64194" spans="18:19">
      <c r="R64194" s="178"/>
      <c r="S64194" s="178"/>
    </row>
    <row r="64195" spans="18:19">
      <c r="R64195" s="178"/>
      <c r="S64195" s="178"/>
    </row>
    <row r="64196" spans="18:19">
      <c r="R64196" s="178"/>
      <c r="S64196" s="178"/>
    </row>
    <row r="64197" spans="18:19">
      <c r="R64197" s="178"/>
      <c r="S64197" s="178"/>
    </row>
    <row r="64198" spans="18:19">
      <c r="R64198" s="178"/>
      <c r="S64198" s="178"/>
    </row>
    <row r="64199" spans="18:19">
      <c r="R64199" s="178"/>
      <c r="S64199" s="178"/>
    </row>
    <row r="64200" spans="18:19">
      <c r="R64200" s="178"/>
      <c r="S64200" s="178"/>
    </row>
    <row r="64201" spans="18:19">
      <c r="R64201" s="178"/>
      <c r="S64201" s="178"/>
    </row>
    <row r="64202" spans="18:19">
      <c r="R64202" s="178"/>
      <c r="S64202" s="178"/>
    </row>
    <row r="64203" spans="18:19">
      <c r="R64203" s="178"/>
      <c r="S64203" s="178"/>
    </row>
    <row r="64204" spans="18:19">
      <c r="R64204" s="178"/>
      <c r="S64204" s="178"/>
    </row>
    <row r="64205" spans="18:19">
      <c r="R64205" s="178"/>
      <c r="S64205" s="178"/>
    </row>
    <row r="64206" spans="18:19">
      <c r="R64206" s="178"/>
      <c r="S64206" s="178"/>
    </row>
    <row r="64207" spans="18:19">
      <c r="R64207" s="178"/>
      <c r="S64207" s="178"/>
    </row>
    <row r="64208" spans="18:19">
      <c r="R64208" s="178"/>
      <c r="S64208" s="178"/>
    </row>
    <row r="64209" spans="18:19">
      <c r="R64209" s="178"/>
      <c r="S64209" s="178"/>
    </row>
    <row r="64210" spans="18:19">
      <c r="R64210" s="178"/>
      <c r="S64210" s="178"/>
    </row>
    <row r="64211" spans="18:19">
      <c r="R64211" s="178"/>
      <c r="S64211" s="178"/>
    </row>
    <row r="64212" spans="18:19">
      <c r="R64212" s="178"/>
      <c r="S64212" s="178"/>
    </row>
    <row r="64213" spans="18:19">
      <c r="R64213" s="178"/>
      <c r="S64213" s="178"/>
    </row>
    <row r="64214" spans="18:19">
      <c r="R64214" s="178"/>
      <c r="S64214" s="178"/>
    </row>
    <row r="64215" spans="18:19">
      <c r="R64215" s="178"/>
      <c r="S64215" s="178"/>
    </row>
    <row r="64216" spans="18:19">
      <c r="R64216" s="178"/>
      <c r="S64216" s="178"/>
    </row>
    <row r="64217" spans="18:19">
      <c r="R64217" s="178"/>
      <c r="S64217" s="178"/>
    </row>
    <row r="64218" spans="18:19">
      <c r="R64218" s="178"/>
      <c r="S64218" s="178"/>
    </row>
    <row r="64219" spans="18:19">
      <c r="R64219" s="178"/>
      <c r="S64219" s="178"/>
    </row>
    <row r="64220" spans="18:19">
      <c r="R64220" s="178"/>
      <c r="S64220" s="178"/>
    </row>
    <row r="64221" spans="18:19">
      <c r="R64221" s="178"/>
      <c r="S64221" s="178"/>
    </row>
    <row r="64222" spans="18:19">
      <c r="R64222" s="178"/>
      <c r="S64222" s="178"/>
    </row>
    <row r="64223" spans="18:19">
      <c r="R64223" s="178"/>
      <c r="S64223" s="178"/>
    </row>
    <row r="64224" spans="18:19">
      <c r="R64224" s="178"/>
      <c r="S64224" s="178"/>
    </row>
    <row r="64225" spans="18:19">
      <c r="R64225" s="178"/>
      <c r="S64225" s="178"/>
    </row>
    <row r="64226" spans="18:19">
      <c r="R64226" s="178"/>
      <c r="S64226" s="178"/>
    </row>
    <row r="64227" spans="18:19">
      <c r="R64227" s="178"/>
      <c r="S64227" s="178"/>
    </row>
    <row r="64228" spans="18:19">
      <c r="R64228" s="178"/>
      <c r="S64228" s="178"/>
    </row>
    <row r="64229" spans="18:19">
      <c r="R64229" s="178"/>
      <c r="S64229" s="178"/>
    </row>
    <row r="64230" spans="18:19">
      <c r="R64230" s="178"/>
      <c r="S64230" s="178"/>
    </row>
    <row r="64231" spans="18:19">
      <c r="R64231" s="178"/>
      <c r="S64231" s="178"/>
    </row>
    <row r="64232" spans="18:19">
      <c r="R64232" s="178"/>
      <c r="S64232" s="178"/>
    </row>
    <row r="64233" spans="18:19">
      <c r="R64233" s="178"/>
      <c r="S64233" s="178"/>
    </row>
    <row r="64234" spans="18:19">
      <c r="R64234" s="178"/>
      <c r="S64234" s="178"/>
    </row>
    <row r="64235" spans="18:19">
      <c r="R64235" s="178"/>
      <c r="S64235" s="178"/>
    </row>
    <row r="64236" spans="18:19">
      <c r="R64236" s="178"/>
      <c r="S64236" s="178"/>
    </row>
    <row r="64237" spans="18:19">
      <c r="R64237" s="178"/>
      <c r="S64237" s="178"/>
    </row>
    <row r="64238" spans="18:19">
      <c r="R64238" s="178"/>
      <c r="S64238" s="178"/>
    </row>
    <row r="64239" spans="18:19">
      <c r="R64239" s="178"/>
      <c r="S64239" s="178"/>
    </row>
    <row r="64240" spans="18:19">
      <c r="R64240" s="178"/>
      <c r="S64240" s="178"/>
    </row>
    <row r="64241" spans="18:19">
      <c r="R64241" s="178"/>
      <c r="S64241" s="178"/>
    </row>
    <row r="64242" spans="18:19">
      <c r="R64242" s="178"/>
      <c r="S64242" s="178"/>
    </row>
    <row r="64243" spans="18:19">
      <c r="R64243" s="178"/>
      <c r="S64243" s="178"/>
    </row>
    <row r="64244" spans="18:19">
      <c r="R64244" s="178"/>
      <c r="S64244" s="178"/>
    </row>
    <row r="64245" spans="18:19">
      <c r="R64245" s="178"/>
      <c r="S64245" s="178"/>
    </row>
    <row r="64246" spans="18:19">
      <c r="R64246" s="178"/>
      <c r="S64246" s="178"/>
    </row>
    <row r="64247" spans="18:19">
      <c r="R64247" s="178"/>
      <c r="S64247" s="178"/>
    </row>
    <row r="64248" spans="18:19">
      <c r="R64248" s="178"/>
      <c r="S64248" s="178"/>
    </row>
    <row r="64249" spans="18:19">
      <c r="R64249" s="178"/>
      <c r="S64249" s="178"/>
    </row>
    <row r="64250" spans="18:19">
      <c r="R64250" s="178"/>
      <c r="S64250" s="178"/>
    </row>
    <row r="64251" spans="18:19">
      <c r="R64251" s="178"/>
      <c r="S64251" s="178"/>
    </row>
    <row r="64252" spans="18:19">
      <c r="R64252" s="178"/>
      <c r="S64252" s="178"/>
    </row>
    <row r="64253" spans="18:19">
      <c r="R64253" s="178"/>
      <c r="S64253" s="178"/>
    </row>
    <row r="64254" spans="18:19">
      <c r="R64254" s="178"/>
      <c r="S64254" s="178"/>
    </row>
    <row r="64255" spans="18:19">
      <c r="R64255" s="178"/>
      <c r="S64255" s="178"/>
    </row>
    <row r="64256" spans="18:19">
      <c r="R64256" s="178"/>
      <c r="S64256" s="178"/>
    </row>
    <row r="64257" spans="18:19">
      <c r="R64257" s="178"/>
      <c r="S64257" s="178"/>
    </row>
    <row r="64258" spans="18:19">
      <c r="R64258" s="178"/>
      <c r="S64258" s="178"/>
    </row>
    <row r="64259" spans="18:19">
      <c r="R64259" s="178"/>
      <c r="S64259" s="178"/>
    </row>
    <row r="64260" spans="18:19">
      <c r="R64260" s="178"/>
      <c r="S64260" s="178"/>
    </row>
    <row r="64261" spans="18:19">
      <c r="R64261" s="178"/>
      <c r="S64261" s="178"/>
    </row>
    <row r="64262" spans="18:19">
      <c r="R64262" s="178"/>
      <c r="S64262" s="178"/>
    </row>
    <row r="64263" spans="18:19">
      <c r="R64263" s="178"/>
      <c r="S64263" s="178"/>
    </row>
    <row r="64264" spans="18:19">
      <c r="R64264" s="178"/>
      <c r="S64264" s="178"/>
    </row>
    <row r="64265" spans="18:19">
      <c r="R64265" s="178"/>
      <c r="S64265" s="178"/>
    </row>
    <row r="64266" spans="18:19">
      <c r="R64266" s="178"/>
      <c r="S64266" s="178"/>
    </row>
    <row r="64267" spans="18:19">
      <c r="R64267" s="178"/>
      <c r="S64267" s="178"/>
    </row>
    <row r="64268" spans="18:19">
      <c r="R64268" s="178"/>
      <c r="S64268" s="178"/>
    </row>
    <row r="64269" spans="18:19">
      <c r="R64269" s="178"/>
      <c r="S64269" s="178"/>
    </row>
    <row r="64270" spans="18:19">
      <c r="R64270" s="178"/>
      <c r="S64270" s="178"/>
    </row>
    <row r="64271" spans="18:19">
      <c r="R64271" s="178"/>
      <c r="S64271" s="178"/>
    </row>
    <row r="64272" spans="18:19">
      <c r="R64272" s="178"/>
      <c r="S64272" s="178"/>
    </row>
    <row r="64273" spans="18:19">
      <c r="R64273" s="178"/>
      <c r="S64273" s="178"/>
    </row>
    <row r="64274" spans="18:19">
      <c r="R64274" s="178"/>
      <c r="S64274" s="178"/>
    </row>
    <row r="64275" spans="18:19">
      <c r="R64275" s="178"/>
      <c r="S64275" s="178"/>
    </row>
    <row r="64276" spans="18:19">
      <c r="R64276" s="178"/>
      <c r="S64276" s="178"/>
    </row>
    <row r="64277" spans="18:19">
      <c r="R64277" s="178"/>
      <c r="S64277" s="178"/>
    </row>
    <row r="64278" spans="18:19">
      <c r="R64278" s="178"/>
      <c r="S64278" s="178"/>
    </row>
    <row r="64279" spans="18:19">
      <c r="R64279" s="178"/>
      <c r="S64279" s="178"/>
    </row>
    <row r="64280" spans="18:19">
      <c r="R64280" s="178"/>
      <c r="S64280" s="178"/>
    </row>
    <row r="64281" spans="18:19">
      <c r="R64281" s="178"/>
      <c r="S64281" s="178"/>
    </row>
    <row r="64282" spans="18:19">
      <c r="R64282" s="178"/>
      <c r="S64282" s="178"/>
    </row>
    <row r="64283" spans="18:19">
      <c r="R64283" s="178"/>
      <c r="S64283" s="178"/>
    </row>
    <row r="64284" spans="18:19">
      <c r="R64284" s="178"/>
      <c r="S64284" s="178"/>
    </row>
    <row r="64285" spans="18:19">
      <c r="R64285" s="178"/>
      <c r="S64285" s="178"/>
    </row>
    <row r="64286" spans="18:19">
      <c r="R64286" s="178"/>
      <c r="S64286" s="178"/>
    </row>
    <row r="64287" spans="18:19">
      <c r="R64287" s="178"/>
      <c r="S64287" s="178"/>
    </row>
    <row r="64288" spans="18:19">
      <c r="R64288" s="178"/>
      <c r="S64288" s="178"/>
    </row>
    <row r="64289" spans="18:19">
      <c r="R64289" s="178"/>
      <c r="S64289" s="178"/>
    </row>
    <row r="64290" spans="18:19">
      <c r="R64290" s="178"/>
      <c r="S64290" s="178"/>
    </row>
    <row r="64291" spans="18:19">
      <c r="R64291" s="178"/>
      <c r="S64291" s="178"/>
    </row>
    <row r="64292" spans="18:19">
      <c r="R64292" s="178"/>
      <c r="S64292" s="178"/>
    </row>
    <row r="64293" spans="18:19">
      <c r="R64293" s="178"/>
      <c r="S64293" s="178"/>
    </row>
    <row r="64294" spans="18:19">
      <c r="R64294" s="178"/>
      <c r="S64294" s="178"/>
    </row>
    <row r="64295" spans="18:19">
      <c r="R64295" s="178"/>
      <c r="S64295" s="178"/>
    </row>
    <row r="64296" spans="18:19">
      <c r="R64296" s="178"/>
      <c r="S64296" s="178"/>
    </row>
    <row r="64297" spans="18:19">
      <c r="R64297" s="178"/>
      <c r="S64297" s="178"/>
    </row>
    <row r="64298" spans="18:19">
      <c r="R64298" s="178"/>
      <c r="S64298" s="178"/>
    </row>
    <row r="64299" spans="18:19">
      <c r="R64299" s="178"/>
      <c r="S64299" s="178"/>
    </row>
    <row r="64300" spans="18:19">
      <c r="R64300" s="178"/>
      <c r="S64300" s="178"/>
    </row>
    <row r="64301" spans="18:19">
      <c r="R64301" s="178"/>
      <c r="S64301" s="178"/>
    </row>
    <row r="64302" spans="18:19">
      <c r="R64302" s="178"/>
      <c r="S64302" s="178"/>
    </row>
    <row r="64303" spans="18:19">
      <c r="R64303" s="178"/>
      <c r="S64303" s="178"/>
    </row>
    <row r="64304" spans="18:19">
      <c r="R64304" s="178"/>
      <c r="S64304" s="178"/>
    </row>
    <row r="64305" spans="18:19">
      <c r="R64305" s="178"/>
      <c r="S64305" s="178"/>
    </row>
    <row r="64306" spans="18:19">
      <c r="R64306" s="178"/>
      <c r="S64306" s="178"/>
    </row>
    <row r="64307" spans="18:19">
      <c r="R64307" s="178"/>
      <c r="S64307" s="178"/>
    </row>
    <row r="64308" spans="18:19">
      <c r="R64308" s="178"/>
      <c r="S64308" s="178"/>
    </row>
    <row r="64309" spans="18:19">
      <c r="R64309" s="178"/>
      <c r="S64309" s="178"/>
    </row>
    <row r="64310" spans="18:19">
      <c r="R64310" s="178"/>
      <c r="S64310" s="178"/>
    </row>
    <row r="64311" spans="18:19">
      <c r="R64311" s="178"/>
      <c r="S64311" s="178"/>
    </row>
    <row r="64312" spans="18:19">
      <c r="R64312" s="178"/>
      <c r="S64312" s="178"/>
    </row>
    <row r="64313" spans="18:19">
      <c r="R64313" s="178"/>
      <c r="S64313" s="178"/>
    </row>
    <row r="64314" spans="18:19">
      <c r="R64314" s="178"/>
      <c r="S64314" s="178"/>
    </row>
    <row r="64315" spans="18:19">
      <c r="R64315" s="178"/>
      <c r="S64315" s="178"/>
    </row>
    <row r="64316" spans="18:19">
      <c r="R64316" s="178"/>
      <c r="S64316" s="178"/>
    </row>
    <row r="64317" spans="18:19">
      <c r="R64317" s="178"/>
      <c r="S64317" s="178"/>
    </row>
    <row r="64318" spans="18:19">
      <c r="R64318" s="178"/>
      <c r="S64318" s="178"/>
    </row>
    <row r="64319" spans="18:19">
      <c r="R64319" s="178"/>
      <c r="S64319" s="178"/>
    </row>
    <row r="64320" spans="18:19">
      <c r="R64320" s="178"/>
      <c r="S64320" s="178"/>
    </row>
    <row r="64321" spans="18:19">
      <c r="R64321" s="178"/>
      <c r="S64321" s="178"/>
    </row>
    <row r="64322" spans="18:19">
      <c r="R64322" s="178"/>
      <c r="S64322" s="178"/>
    </row>
    <row r="64323" spans="18:19">
      <c r="R64323" s="178"/>
      <c r="S64323" s="178"/>
    </row>
    <row r="64324" spans="18:19">
      <c r="R64324" s="178"/>
      <c r="S64324" s="178"/>
    </row>
    <row r="64325" spans="18:19">
      <c r="R64325" s="178"/>
      <c r="S64325" s="178"/>
    </row>
    <row r="64326" spans="18:19">
      <c r="R64326" s="178"/>
      <c r="S64326" s="178"/>
    </row>
    <row r="64327" spans="18:19">
      <c r="R64327" s="178"/>
      <c r="S64327" s="178"/>
    </row>
    <row r="64328" spans="18:19">
      <c r="R64328" s="178"/>
      <c r="S64328" s="178"/>
    </row>
    <row r="64329" spans="18:19">
      <c r="R64329" s="178"/>
      <c r="S64329" s="178"/>
    </row>
    <row r="64330" spans="18:19">
      <c r="R64330" s="178"/>
      <c r="S64330" s="178"/>
    </row>
    <row r="64331" spans="18:19">
      <c r="R64331" s="178"/>
      <c r="S64331" s="178"/>
    </row>
    <row r="64332" spans="18:19">
      <c r="R64332" s="178"/>
      <c r="S64332" s="178"/>
    </row>
    <row r="64333" spans="18:19">
      <c r="R64333" s="178"/>
      <c r="S64333" s="178"/>
    </row>
    <row r="64334" spans="18:19">
      <c r="R64334" s="178"/>
      <c r="S64334" s="178"/>
    </row>
    <row r="64335" spans="18:19">
      <c r="R64335" s="178"/>
      <c r="S64335" s="178"/>
    </row>
    <row r="64336" spans="18:19">
      <c r="R64336" s="178"/>
      <c r="S64336" s="178"/>
    </row>
    <row r="64337" spans="18:19">
      <c r="R64337" s="178"/>
      <c r="S64337" s="178"/>
    </row>
    <row r="64338" spans="18:19">
      <c r="R64338" s="178"/>
      <c r="S64338" s="178"/>
    </row>
    <row r="64339" spans="18:19">
      <c r="R64339" s="178"/>
      <c r="S64339" s="178"/>
    </row>
    <row r="64340" spans="18:19">
      <c r="R64340" s="178"/>
      <c r="S64340" s="178"/>
    </row>
    <row r="64341" spans="18:19">
      <c r="R64341" s="178"/>
      <c r="S64341" s="178"/>
    </row>
    <row r="64342" spans="18:19">
      <c r="R64342" s="178"/>
      <c r="S64342" s="178"/>
    </row>
    <row r="64343" spans="18:19">
      <c r="R64343" s="178"/>
      <c r="S64343" s="178"/>
    </row>
    <row r="64344" spans="18:19">
      <c r="R64344" s="178"/>
      <c r="S64344" s="178"/>
    </row>
    <row r="64345" spans="18:19">
      <c r="R64345" s="178"/>
      <c r="S64345" s="178"/>
    </row>
    <row r="64346" spans="18:19">
      <c r="R64346" s="178"/>
      <c r="S64346" s="178"/>
    </row>
    <row r="64347" spans="18:19">
      <c r="R64347" s="178"/>
      <c r="S64347" s="178"/>
    </row>
    <row r="64348" spans="18:19">
      <c r="R64348" s="178"/>
      <c r="S64348" s="178"/>
    </row>
    <row r="64349" spans="18:19">
      <c r="R64349" s="178"/>
      <c r="S64349" s="178"/>
    </row>
    <row r="64350" spans="18:19">
      <c r="R64350" s="178"/>
      <c r="S64350" s="178"/>
    </row>
    <row r="64351" spans="18:19">
      <c r="R64351" s="178"/>
      <c r="S64351" s="178"/>
    </row>
    <row r="64352" spans="18:19">
      <c r="R64352" s="178"/>
      <c r="S64352" s="178"/>
    </row>
    <row r="64353" spans="18:19">
      <c r="R64353" s="178"/>
      <c r="S64353" s="178"/>
    </row>
    <row r="64354" spans="18:19">
      <c r="R64354" s="178"/>
      <c r="S64354" s="178"/>
    </row>
    <row r="64355" spans="18:19">
      <c r="R64355" s="178"/>
      <c r="S64355" s="178"/>
    </row>
    <row r="64356" spans="18:19">
      <c r="R64356" s="178"/>
      <c r="S64356" s="178"/>
    </row>
    <row r="64357" spans="18:19">
      <c r="R64357" s="178"/>
      <c r="S64357" s="178"/>
    </row>
    <row r="64358" spans="18:19">
      <c r="R64358" s="178"/>
      <c r="S64358" s="178"/>
    </row>
    <row r="64359" spans="18:19">
      <c r="R64359" s="178"/>
      <c r="S64359" s="178"/>
    </row>
    <row r="64360" spans="18:19">
      <c r="R64360" s="178"/>
      <c r="S64360" s="178"/>
    </row>
    <row r="64361" spans="18:19">
      <c r="R64361" s="178"/>
      <c r="S64361" s="178"/>
    </row>
    <row r="64362" spans="18:19">
      <c r="R64362" s="178"/>
      <c r="S64362" s="178"/>
    </row>
    <row r="64363" spans="18:19">
      <c r="R64363" s="178"/>
      <c r="S64363" s="178"/>
    </row>
    <row r="64364" spans="18:19">
      <c r="R64364" s="178"/>
      <c r="S64364" s="178"/>
    </row>
    <row r="64365" spans="18:19">
      <c r="R64365" s="178"/>
      <c r="S64365" s="178"/>
    </row>
    <row r="64366" spans="18:19">
      <c r="R64366" s="178"/>
      <c r="S64366" s="178"/>
    </row>
    <row r="64367" spans="18:19">
      <c r="R64367" s="178"/>
      <c r="S64367" s="178"/>
    </row>
    <row r="64368" spans="18:19">
      <c r="R64368" s="178"/>
      <c r="S64368" s="178"/>
    </row>
    <row r="64369" spans="18:19">
      <c r="R64369" s="178"/>
      <c r="S64369" s="178"/>
    </row>
    <row r="64370" spans="18:19">
      <c r="R64370" s="178"/>
      <c r="S64370" s="178"/>
    </row>
    <row r="64371" spans="18:19">
      <c r="R64371" s="178"/>
      <c r="S64371" s="178"/>
    </row>
    <row r="64372" spans="18:19">
      <c r="R64372" s="178"/>
      <c r="S64372" s="178"/>
    </row>
    <row r="64373" spans="18:19">
      <c r="R64373" s="178"/>
      <c r="S64373" s="178"/>
    </row>
    <row r="64374" spans="18:19">
      <c r="R64374" s="178"/>
      <c r="S64374" s="178"/>
    </row>
    <row r="64375" spans="18:19">
      <c r="R64375" s="178"/>
      <c r="S64375" s="178"/>
    </row>
    <row r="64376" spans="18:19">
      <c r="R64376" s="178"/>
      <c r="S64376" s="178"/>
    </row>
    <row r="64377" spans="18:19">
      <c r="R64377" s="178"/>
      <c r="S64377" s="178"/>
    </row>
    <row r="64378" spans="18:19">
      <c r="R64378" s="178"/>
      <c r="S64378" s="178"/>
    </row>
    <row r="64379" spans="18:19">
      <c r="R64379" s="178"/>
      <c r="S64379" s="178"/>
    </row>
    <row r="64380" spans="18:19">
      <c r="R64380" s="178"/>
      <c r="S64380" s="178"/>
    </row>
    <row r="64381" spans="18:19">
      <c r="R64381" s="178"/>
      <c r="S64381" s="178"/>
    </row>
    <row r="64382" spans="18:19">
      <c r="R64382" s="178"/>
      <c r="S64382" s="178"/>
    </row>
    <row r="64383" spans="18:19">
      <c r="R64383" s="178"/>
      <c r="S64383" s="178"/>
    </row>
    <row r="64384" spans="18:19">
      <c r="R64384" s="178"/>
      <c r="S64384" s="178"/>
    </row>
    <row r="64385" spans="18:19">
      <c r="R64385" s="178"/>
      <c r="S64385" s="178"/>
    </row>
    <row r="64386" spans="18:19">
      <c r="R64386" s="178"/>
      <c r="S64386" s="178"/>
    </row>
    <row r="64387" spans="18:19">
      <c r="R64387" s="178"/>
      <c r="S64387" s="178"/>
    </row>
    <row r="64388" spans="18:19">
      <c r="R64388" s="178"/>
      <c r="S64388" s="178"/>
    </row>
    <row r="64389" spans="18:19">
      <c r="R64389" s="178"/>
      <c r="S64389" s="178"/>
    </row>
    <row r="64390" spans="18:19">
      <c r="R64390" s="178"/>
      <c r="S64390" s="178"/>
    </row>
    <row r="64391" spans="18:19">
      <c r="R64391" s="178"/>
      <c r="S64391" s="178"/>
    </row>
    <row r="64392" spans="18:19">
      <c r="R64392" s="178"/>
      <c r="S64392" s="178"/>
    </row>
    <row r="64393" spans="18:19">
      <c r="R64393" s="178"/>
      <c r="S64393" s="178"/>
    </row>
    <row r="64394" spans="18:19">
      <c r="R64394" s="178"/>
      <c r="S64394" s="178"/>
    </row>
    <row r="64395" spans="18:19">
      <c r="R64395" s="178"/>
      <c r="S64395" s="178"/>
    </row>
    <row r="64396" spans="18:19">
      <c r="R64396" s="178"/>
      <c r="S64396" s="178"/>
    </row>
    <row r="64397" spans="18:19">
      <c r="R64397" s="178"/>
      <c r="S64397" s="178"/>
    </row>
    <row r="64398" spans="18:19">
      <c r="R64398" s="178"/>
      <c r="S64398" s="178"/>
    </row>
    <row r="64399" spans="18:19">
      <c r="R64399" s="178"/>
      <c r="S64399" s="178"/>
    </row>
    <row r="64400" spans="18:19">
      <c r="R64400" s="178"/>
      <c r="S64400" s="178"/>
    </row>
    <row r="64401" spans="18:19">
      <c r="R64401" s="178"/>
      <c r="S64401" s="178"/>
    </row>
    <row r="64402" spans="18:19">
      <c r="R64402" s="178"/>
      <c r="S64402" s="178"/>
    </row>
    <row r="64403" spans="18:19">
      <c r="R64403" s="178"/>
      <c r="S64403" s="178"/>
    </row>
    <row r="64404" spans="18:19">
      <c r="R64404" s="178"/>
      <c r="S64404" s="178"/>
    </row>
    <row r="64405" spans="18:19">
      <c r="R64405" s="178"/>
      <c r="S64405" s="178"/>
    </row>
    <row r="64406" spans="18:19">
      <c r="R64406" s="178"/>
      <c r="S64406" s="178"/>
    </row>
    <row r="64407" spans="18:19">
      <c r="R64407" s="178"/>
      <c r="S64407" s="178"/>
    </row>
    <row r="64408" spans="18:19">
      <c r="R64408" s="178"/>
      <c r="S64408" s="178"/>
    </row>
    <row r="64409" spans="18:19">
      <c r="R64409" s="178"/>
      <c r="S64409" s="178"/>
    </row>
    <row r="64410" spans="18:19">
      <c r="R64410" s="178"/>
      <c r="S64410" s="178"/>
    </row>
    <row r="64411" spans="18:19">
      <c r="R64411" s="178"/>
      <c r="S64411" s="178"/>
    </row>
    <row r="64412" spans="18:19">
      <c r="R64412" s="178"/>
      <c r="S64412" s="178"/>
    </row>
    <row r="64413" spans="18:19">
      <c r="R64413" s="178"/>
      <c r="S64413" s="178"/>
    </row>
    <row r="64414" spans="18:19">
      <c r="R64414" s="178"/>
      <c r="S64414" s="178"/>
    </row>
    <row r="64415" spans="18:19">
      <c r="R64415" s="178"/>
      <c r="S64415" s="178"/>
    </row>
    <row r="64416" spans="18:19">
      <c r="R64416" s="178"/>
      <c r="S64416" s="178"/>
    </row>
    <row r="64417" spans="18:19">
      <c r="R64417" s="178"/>
      <c r="S64417" s="178"/>
    </row>
    <row r="64418" spans="18:19">
      <c r="R64418" s="178"/>
      <c r="S64418" s="178"/>
    </row>
    <row r="64419" spans="18:19">
      <c r="R64419" s="178"/>
      <c r="S64419" s="178"/>
    </row>
    <row r="64420" spans="18:19">
      <c r="R64420" s="178"/>
      <c r="S64420" s="178"/>
    </row>
    <row r="64421" spans="18:19">
      <c r="R64421" s="178"/>
      <c r="S64421" s="178"/>
    </row>
    <row r="64422" spans="18:19">
      <c r="R64422" s="178"/>
      <c r="S64422" s="178"/>
    </row>
    <row r="64423" spans="18:19">
      <c r="R64423" s="178"/>
      <c r="S64423" s="178"/>
    </row>
    <row r="64424" spans="18:19">
      <c r="R64424" s="178"/>
      <c r="S64424" s="178"/>
    </row>
    <row r="64425" spans="18:19">
      <c r="R64425" s="178"/>
      <c r="S64425" s="178"/>
    </row>
    <row r="64426" spans="18:19">
      <c r="R64426" s="178"/>
      <c r="S64426" s="178"/>
    </row>
    <row r="64427" spans="18:19">
      <c r="R64427" s="178"/>
      <c r="S64427" s="178"/>
    </row>
    <row r="64428" spans="18:19">
      <c r="R64428" s="178"/>
      <c r="S64428" s="178"/>
    </row>
    <row r="64429" spans="18:19">
      <c r="R64429" s="178"/>
      <c r="S64429" s="178"/>
    </row>
    <row r="64430" spans="18:19">
      <c r="R64430" s="178"/>
      <c r="S64430" s="178"/>
    </row>
    <row r="64431" spans="18:19">
      <c r="R64431" s="178"/>
      <c r="S64431" s="178"/>
    </row>
    <row r="64432" spans="18:19">
      <c r="R64432" s="178"/>
      <c r="S64432" s="178"/>
    </row>
    <row r="64433" spans="18:19">
      <c r="R64433" s="178"/>
      <c r="S64433" s="178"/>
    </row>
    <row r="64434" spans="18:19">
      <c r="R64434" s="178"/>
      <c r="S64434" s="178"/>
    </row>
    <row r="64435" spans="18:19">
      <c r="R64435" s="178"/>
      <c r="S64435" s="178"/>
    </row>
    <row r="64436" spans="18:19">
      <c r="R64436" s="178"/>
      <c r="S64436" s="178"/>
    </row>
    <row r="64437" spans="18:19">
      <c r="R64437" s="178"/>
      <c r="S64437" s="178"/>
    </row>
    <row r="64438" spans="18:19">
      <c r="R64438" s="178"/>
      <c r="S64438" s="178"/>
    </row>
    <row r="64439" spans="18:19">
      <c r="R64439" s="178"/>
      <c r="S64439" s="178"/>
    </row>
    <row r="64440" spans="18:19">
      <c r="R64440" s="178"/>
      <c r="S64440" s="178"/>
    </row>
    <row r="64441" spans="18:19">
      <c r="R64441" s="178"/>
      <c r="S64441" s="178"/>
    </row>
    <row r="64442" spans="18:19">
      <c r="R64442" s="178"/>
      <c r="S64442" s="178"/>
    </row>
    <row r="64443" spans="18:19">
      <c r="R64443" s="178"/>
      <c r="S64443" s="178"/>
    </row>
    <row r="64444" spans="18:19">
      <c r="R64444" s="178"/>
      <c r="S64444" s="178"/>
    </row>
    <row r="64445" spans="18:19">
      <c r="R64445" s="178"/>
      <c r="S64445" s="178"/>
    </row>
    <row r="64446" spans="18:19">
      <c r="R64446" s="178"/>
      <c r="S64446" s="178"/>
    </row>
    <row r="64447" spans="18:19">
      <c r="R64447" s="178"/>
      <c r="S64447" s="178"/>
    </row>
    <row r="64448" spans="18:19">
      <c r="R64448" s="178"/>
      <c r="S64448" s="178"/>
    </row>
    <row r="64449" spans="18:19">
      <c r="R64449" s="178"/>
      <c r="S64449" s="178"/>
    </row>
    <row r="64450" spans="18:19">
      <c r="R64450" s="178"/>
      <c r="S64450" s="178"/>
    </row>
    <row r="64451" spans="18:19">
      <c r="R64451" s="178"/>
      <c r="S64451" s="178"/>
    </row>
    <row r="64452" spans="18:19">
      <c r="R64452" s="178"/>
      <c r="S64452" s="178"/>
    </row>
    <row r="64453" spans="18:19">
      <c r="R64453" s="178"/>
      <c r="S64453" s="178"/>
    </row>
    <row r="64454" spans="18:19">
      <c r="R64454" s="178"/>
      <c r="S64454" s="178"/>
    </row>
    <row r="64455" spans="18:19">
      <c r="R64455" s="178"/>
      <c r="S64455" s="178"/>
    </row>
    <row r="64456" spans="18:19">
      <c r="R64456" s="178"/>
      <c r="S64456" s="178"/>
    </row>
    <row r="64457" spans="18:19">
      <c r="R64457" s="178"/>
      <c r="S64457" s="178"/>
    </row>
    <row r="64458" spans="18:19">
      <c r="R64458" s="178"/>
      <c r="S64458" s="178"/>
    </row>
    <row r="64459" spans="18:19">
      <c r="R64459" s="178"/>
      <c r="S64459" s="178"/>
    </row>
    <row r="64460" spans="18:19">
      <c r="R64460" s="178"/>
      <c r="S64460" s="178"/>
    </row>
    <row r="64461" spans="18:19">
      <c r="R64461" s="178"/>
      <c r="S64461" s="178"/>
    </row>
    <row r="64462" spans="18:19">
      <c r="R64462" s="178"/>
      <c r="S64462" s="178"/>
    </row>
    <row r="64463" spans="18:19">
      <c r="R64463" s="178"/>
      <c r="S64463" s="178"/>
    </row>
    <row r="64464" spans="18:19">
      <c r="R64464" s="178"/>
      <c r="S64464" s="178"/>
    </row>
    <row r="64465" spans="18:19">
      <c r="R64465" s="178"/>
      <c r="S64465" s="178"/>
    </row>
    <row r="64466" spans="18:19">
      <c r="R64466" s="178"/>
      <c r="S64466" s="178"/>
    </row>
    <row r="64467" spans="18:19">
      <c r="R64467" s="178"/>
      <c r="S64467" s="178"/>
    </row>
    <row r="64468" spans="18:19">
      <c r="R64468" s="178"/>
      <c r="S64468" s="178"/>
    </row>
    <row r="64469" spans="18:19">
      <c r="R64469" s="178"/>
      <c r="S64469" s="178"/>
    </row>
    <row r="64470" spans="18:19">
      <c r="R64470" s="178"/>
      <c r="S64470" s="178"/>
    </row>
    <row r="64471" spans="18:19">
      <c r="R64471" s="178"/>
      <c r="S64471" s="178"/>
    </row>
    <row r="64472" spans="18:19">
      <c r="R64472" s="178"/>
      <c r="S64472" s="178"/>
    </row>
    <row r="64473" spans="18:19">
      <c r="R64473" s="178"/>
      <c r="S64473" s="178"/>
    </row>
    <row r="64474" spans="18:19">
      <c r="R64474" s="178"/>
      <c r="S64474" s="178"/>
    </row>
    <row r="64475" spans="18:19">
      <c r="R64475" s="178"/>
      <c r="S64475" s="178"/>
    </row>
    <row r="64476" spans="18:19">
      <c r="R64476" s="178"/>
      <c r="S64476" s="178"/>
    </row>
    <row r="64477" spans="18:19">
      <c r="R64477" s="178"/>
      <c r="S64477" s="178"/>
    </row>
    <row r="64478" spans="18:19">
      <c r="R64478" s="178"/>
      <c r="S64478" s="178"/>
    </row>
    <row r="64479" spans="18:19">
      <c r="R64479" s="178"/>
      <c r="S64479" s="178"/>
    </row>
    <row r="64480" spans="18:19">
      <c r="R64480" s="178"/>
      <c r="S64480" s="178"/>
    </row>
    <row r="64481" spans="18:19">
      <c r="R64481" s="178"/>
      <c r="S64481" s="178"/>
    </row>
    <row r="64482" spans="18:19">
      <c r="R64482" s="178"/>
      <c r="S64482" s="178"/>
    </row>
    <row r="64483" spans="18:19">
      <c r="R64483" s="178"/>
      <c r="S64483" s="178"/>
    </row>
    <row r="64484" spans="18:19">
      <c r="R64484" s="178"/>
      <c r="S64484" s="178"/>
    </row>
    <row r="64485" spans="18:19">
      <c r="R64485" s="178"/>
      <c r="S64485" s="178"/>
    </row>
    <row r="64486" spans="18:19">
      <c r="R64486" s="178"/>
      <c r="S64486" s="178"/>
    </row>
    <row r="64487" spans="18:19">
      <c r="R64487" s="178"/>
      <c r="S64487" s="178"/>
    </row>
    <row r="64488" spans="18:19">
      <c r="R64488" s="178"/>
      <c r="S64488" s="178"/>
    </row>
    <row r="64489" spans="18:19">
      <c r="R64489" s="178"/>
      <c r="S64489" s="178"/>
    </row>
    <row r="64490" spans="18:19">
      <c r="R64490" s="178"/>
      <c r="S64490" s="178"/>
    </row>
    <row r="64491" spans="18:19">
      <c r="R64491" s="178"/>
      <c r="S64491" s="178"/>
    </row>
    <row r="64492" spans="18:19">
      <c r="R64492" s="178"/>
      <c r="S64492" s="178"/>
    </row>
    <row r="64493" spans="18:19">
      <c r="R64493" s="178"/>
      <c r="S64493" s="178"/>
    </row>
    <row r="64494" spans="18:19">
      <c r="R64494" s="178"/>
      <c r="S64494" s="178"/>
    </row>
    <row r="64495" spans="18:19">
      <c r="R64495" s="178"/>
      <c r="S64495" s="178"/>
    </row>
    <row r="64496" spans="18:19">
      <c r="R64496" s="178"/>
      <c r="S64496" s="178"/>
    </row>
    <row r="64497" spans="18:19">
      <c r="R64497" s="178"/>
      <c r="S64497" s="178"/>
    </row>
    <row r="64498" spans="18:19">
      <c r="R64498" s="178"/>
      <c r="S64498" s="178"/>
    </row>
    <row r="64499" spans="18:19">
      <c r="R64499" s="178"/>
      <c r="S64499" s="178"/>
    </row>
    <row r="64500" spans="18:19">
      <c r="R64500" s="178"/>
      <c r="S64500" s="178"/>
    </row>
    <row r="64501" spans="18:19">
      <c r="R64501" s="178"/>
      <c r="S64501" s="178"/>
    </row>
    <row r="64502" spans="18:19">
      <c r="R64502" s="178"/>
      <c r="S64502" s="178"/>
    </row>
    <row r="64503" spans="18:19">
      <c r="R64503" s="178"/>
      <c r="S64503" s="178"/>
    </row>
    <row r="64504" spans="18:19">
      <c r="R64504" s="178"/>
      <c r="S64504" s="178"/>
    </row>
    <row r="64505" spans="18:19">
      <c r="R64505" s="178"/>
      <c r="S64505" s="178"/>
    </row>
    <row r="64506" spans="18:19">
      <c r="R64506" s="178"/>
      <c r="S64506" s="178"/>
    </row>
    <row r="64507" spans="18:19">
      <c r="R64507" s="178"/>
      <c r="S64507" s="178"/>
    </row>
    <row r="64508" spans="18:19">
      <c r="R64508" s="178"/>
      <c r="S64508" s="178"/>
    </row>
    <row r="64509" spans="18:19">
      <c r="R64509" s="178"/>
      <c r="S64509" s="178"/>
    </row>
    <row r="64510" spans="18:19">
      <c r="R64510" s="178"/>
      <c r="S64510" s="178"/>
    </row>
    <row r="64511" spans="18:19">
      <c r="R64511" s="178"/>
      <c r="S64511" s="178"/>
    </row>
    <row r="64512" spans="18:19">
      <c r="R64512" s="178"/>
      <c r="S64512" s="178"/>
    </row>
    <row r="64513" spans="18:19">
      <c r="R64513" s="178"/>
      <c r="S64513" s="178"/>
    </row>
    <row r="64514" spans="18:19">
      <c r="R64514" s="178"/>
      <c r="S64514" s="178"/>
    </row>
    <row r="64515" spans="18:19">
      <c r="R64515" s="178"/>
      <c r="S64515" s="178"/>
    </row>
    <row r="64516" spans="18:19">
      <c r="R64516" s="178"/>
      <c r="S64516" s="178"/>
    </row>
    <row r="64517" spans="18:19">
      <c r="R64517" s="178"/>
      <c r="S64517" s="178"/>
    </row>
    <row r="64518" spans="18:19">
      <c r="R64518" s="178"/>
      <c r="S64518" s="178"/>
    </row>
    <row r="64519" spans="18:19">
      <c r="R64519" s="178"/>
      <c r="S64519" s="178"/>
    </row>
    <row r="64520" spans="18:19">
      <c r="R64520" s="178"/>
      <c r="S64520" s="178"/>
    </row>
    <row r="64521" spans="18:19">
      <c r="R64521" s="178"/>
      <c r="S64521" s="178"/>
    </row>
    <row r="64522" spans="18:19">
      <c r="R64522" s="178"/>
      <c r="S64522" s="178"/>
    </row>
    <row r="64523" spans="18:19">
      <c r="R64523" s="178"/>
      <c r="S64523" s="178"/>
    </row>
    <row r="64524" spans="18:19">
      <c r="R64524" s="178"/>
      <c r="S64524" s="178"/>
    </row>
    <row r="64525" spans="18:19">
      <c r="R64525" s="178"/>
      <c r="S64525" s="178"/>
    </row>
    <row r="64526" spans="18:19">
      <c r="R64526" s="178"/>
      <c r="S64526" s="178"/>
    </row>
    <row r="64527" spans="18:19">
      <c r="R64527" s="178"/>
      <c r="S64527" s="178"/>
    </row>
    <row r="64528" spans="18:19">
      <c r="R64528" s="178"/>
      <c r="S64528" s="178"/>
    </row>
    <row r="64529" spans="18:19">
      <c r="R64529" s="178"/>
      <c r="S64529" s="178"/>
    </row>
    <row r="64530" spans="18:19">
      <c r="R64530" s="178"/>
      <c r="S64530" s="178"/>
    </row>
    <row r="64531" spans="18:19">
      <c r="R64531" s="178"/>
      <c r="S64531" s="178"/>
    </row>
    <row r="64532" spans="18:19">
      <c r="R64532" s="178"/>
      <c r="S64532" s="178"/>
    </row>
    <row r="64533" spans="18:19">
      <c r="R64533" s="178"/>
      <c r="S64533" s="178"/>
    </row>
    <row r="64534" spans="18:19">
      <c r="R64534" s="178"/>
      <c r="S64534" s="178"/>
    </row>
    <row r="64535" spans="18:19">
      <c r="R64535" s="178"/>
      <c r="S64535" s="178"/>
    </row>
    <row r="64536" spans="18:19">
      <c r="R64536" s="178"/>
      <c r="S64536" s="178"/>
    </row>
    <row r="64537" spans="18:19">
      <c r="R64537" s="178"/>
      <c r="S64537" s="178"/>
    </row>
    <row r="64538" spans="18:19">
      <c r="R64538" s="178"/>
      <c r="S64538" s="178"/>
    </row>
    <row r="64539" spans="18:19">
      <c r="R64539" s="178"/>
      <c r="S64539" s="178"/>
    </row>
    <row r="64540" spans="18:19">
      <c r="R64540" s="178"/>
      <c r="S64540" s="178"/>
    </row>
    <row r="64541" spans="18:19">
      <c r="R64541" s="178"/>
      <c r="S64541" s="178"/>
    </row>
    <row r="64542" spans="18:19">
      <c r="R64542" s="178"/>
      <c r="S64542" s="178"/>
    </row>
    <row r="64543" spans="18:19">
      <c r="R64543" s="178"/>
      <c r="S64543" s="178"/>
    </row>
    <row r="64544" spans="18:19">
      <c r="R64544" s="178"/>
      <c r="S64544" s="178"/>
    </row>
    <row r="64545" spans="18:19">
      <c r="R64545" s="178"/>
      <c r="S64545" s="178"/>
    </row>
    <row r="64546" spans="18:19">
      <c r="R64546" s="178"/>
      <c r="S64546" s="178"/>
    </row>
    <row r="64547" spans="18:19">
      <c r="R64547" s="178"/>
      <c r="S64547" s="178"/>
    </row>
    <row r="64548" spans="18:19">
      <c r="R64548" s="178"/>
      <c r="S64548" s="178"/>
    </row>
    <row r="64549" spans="18:19">
      <c r="R64549" s="178"/>
      <c r="S64549" s="178"/>
    </row>
    <row r="64550" spans="18:19">
      <c r="R64550" s="178"/>
      <c r="S64550" s="178"/>
    </row>
    <row r="64551" spans="18:19">
      <c r="R64551" s="178"/>
      <c r="S64551" s="178"/>
    </row>
    <row r="64552" spans="18:19">
      <c r="R64552" s="178"/>
      <c r="S64552" s="178"/>
    </row>
    <row r="64553" spans="18:19">
      <c r="R64553" s="178"/>
      <c r="S64553" s="178"/>
    </row>
    <row r="64554" spans="18:19">
      <c r="R64554" s="178"/>
      <c r="S64554" s="178"/>
    </row>
    <row r="64555" spans="18:19">
      <c r="R64555" s="178"/>
      <c r="S64555" s="178"/>
    </row>
    <row r="64556" spans="18:19">
      <c r="R64556" s="178"/>
      <c r="S64556" s="178"/>
    </row>
    <row r="64557" spans="18:19">
      <c r="R64557" s="178"/>
      <c r="S64557" s="178"/>
    </row>
    <row r="64558" spans="18:19">
      <c r="R64558" s="178"/>
      <c r="S64558" s="178"/>
    </row>
    <row r="64559" spans="18:19">
      <c r="R64559" s="178"/>
      <c r="S64559" s="178"/>
    </row>
    <row r="64560" spans="18:19">
      <c r="R64560" s="178"/>
      <c r="S64560" s="178"/>
    </row>
    <row r="64561" spans="18:19">
      <c r="R64561" s="178"/>
      <c r="S64561" s="178"/>
    </row>
    <row r="64562" spans="18:19">
      <c r="R64562" s="178"/>
      <c r="S64562" s="178"/>
    </row>
    <row r="64563" spans="18:19">
      <c r="R64563" s="178"/>
      <c r="S64563" s="178"/>
    </row>
    <row r="64564" spans="18:19">
      <c r="R64564" s="178"/>
      <c r="S64564" s="178"/>
    </row>
    <row r="64565" spans="18:19">
      <c r="R64565" s="178"/>
      <c r="S64565" s="178"/>
    </row>
    <row r="64566" spans="18:19">
      <c r="R64566" s="178"/>
      <c r="S64566" s="178"/>
    </row>
    <row r="64567" spans="18:19">
      <c r="R64567" s="178"/>
      <c r="S64567" s="178"/>
    </row>
    <row r="64568" spans="18:19">
      <c r="R64568" s="178"/>
      <c r="S64568" s="178"/>
    </row>
    <row r="64569" spans="18:19">
      <c r="R64569" s="178"/>
      <c r="S64569" s="178"/>
    </row>
    <row r="64570" spans="18:19">
      <c r="R64570" s="178"/>
      <c r="S64570" s="178"/>
    </row>
    <row r="64571" spans="18:19">
      <c r="R64571" s="178"/>
      <c r="S64571" s="178"/>
    </row>
    <row r="64572" spans="18:19">
      <c r="R64572" s="178"/>
      <c r="S64572" s="178"/>
    </row>
    <row r="64573" spans="18:19">
      <c r="R64573" s="178"/>
      <c r="S64573" s="178"/>
    </row>
    <row r="64574" spans="18:19">
      <c r="R64574" s="178"/>
      <c r="S64574" s="178"/>
    </row>
    <row r="64575" spans="18:19">
      <c r="R64575" s="178"/>
      <c r="S64575" s="178"/>
    </row>
    <row r="64576" spans="18:19">
      <c r="R64576" s="178"/>
      <c r="S64576" s="178"/>
    </row>
    <row r="64577" spans="18:19">
      <c r="R64577" s="178"/>
      <c r="S64577" s="178"/>
    </row>
    <row r="64578" spans="18:19">
      <c r="R64578" s="178"/>
      <c r="S64578" s="178"/>
    </row>
    <row r="64579" spans="18:19">
      <c r="R64579" s="178"/>
      <c r="S64579" s="178"/>
    </row>
    <row r="64580" spans="18:19">
      <c r="R64580" s="178"/>
      <c r="S64580" s="178"/>
    </row>
    <row r="64581" spans="18:19">
      <c r="R64581" s="178"/>
      <c r="S64581" s="178"/>
    </row>
    <row r="64582" spans="18:19">
      <c r="R64582" s="178"/>
      <c r="S64582" s="178"/>
    </row>
    <row r="64583" spans="18:19">
      <c r="R64583" s="178"/>
      <c r="S64583" s="178"/>
    </row>
    <row r="64584" spans="18:19">
      <c r="R64584" s="178"/>
      <c r="S64584" s="178"/>
    </row>
    <row r="64585" spans="18:19">
      <c r="R64585" s="178"/>
      <c r="S64585" s="178"/>
    </row>
    <row r="64586" spans="18:19">
      <c r="R64586" s="178"/>
      <c r="S64586" s="178"/>
    </row>
    <row r="64587" spans="18:19">
      <c r="R64587" s="178"/>
      <c r="S64587" s="178"/>
    </row>
    <row r="64588" spans="18:19">
      <c r="R64588" s="178"/>
      <c r="S64588" s="178"/>
    </row>
    <row r="64589" spans="18:19">
      <c r="R64589" s="178"/>
      <c r="S64589" s="178"/>
    </row>
    <row r="64590" spans="18:19">
      <c r="R64590" s="178"/>
      <c r="S64590" s="178"/>
    </row>
    <row r="64591" spans="18:19">
      <c r="R64591" s="178"/>
      <c r="S64591" s="178"/>
    </row>
    <row r="64592" spans="18:19">
      <c r="R64592" s="178"/>
      <c r="S64592" s="178"/>
    </row>
    <row r="64593" spans="18:19">
      <c r="R64593" s="178"/>
      <c r="S64593" s="178"/>
    </row>
    <row r="64594" spans="18:19">
      <c r="R64594" s="178"/>
      <c r="S64594" s="178"/>
    </row>
    <row r="64595" spans="18:19">
      <c r="R64595" s="178"/>
      <c r="S64595" s="178"/>
    </row>
    <row r="64596" spans="18:19">
      <c r="R64596" s="178"/>
      <c r="S64596" s="178"/>
    </row>
    <row r="64597" spans="18:19">
      <c r="R64597" s="178"/>
      <c r="S64597" s="178"/>
    </row>
    <row r="64598" spans="18:19">
      <c r="R64598" s="178"/>
      <c r="S64598" s="178"/>
    </row>
    <row r="64599" spans="18:19">
      <c r="R64599" s="178"/>
      <c r="S64599" s="178"/>
    </row>
    <row r="64600" spans="18:19">
      <c r="R64600" s="178"/>
      <c r="S64600" s="178"/>
    </row>
    <row r="64601" spans="18:19">
      <c r="R64601" s="178"/>
      <c r="S64601" s="178"/>
    </row>
    <row r="64602" spans="18:19">
      <c r="R64602" s="178"/>
      <c r="S64602" s="178"/>
    </row>
    <row r="64603" spans="18:19">
      <c r="R64603" s="178"/>
      <c r="S64603" s="178"/>
    </row>
    <row r="64604" spans="18:19">
      <c r="R64604" s="178"/>
      <c r="S64604" s="178"/>
    </row>
    <row r="64605" spans="18:19">
      <c r="R64605" s="178"/>
      <c r="S64605" s="178"/>
    </row>
    <row r="64606" spans="18:19">
      <c r="R64606" s="178"/>
      <c r="S64606" s="178"/>
    </row>
    <row r="64607" spans="18:19">
      <c r="R64607" s="178"/>
      <c r="S64607" s="178"/>
    </row>
    <row r="64608" spans="18:19">
      <c r="R64608" s="178"/>
      <c r="S64608" s="178"/>
    </row>
    <row r="64609" spans="18:19">
      <c r="R64609" s="178"/>
      <c r="S64609" s="178"/>
    </row>
    <row r="64610" spans="18:19">
      <c r="R64610" s="178"/>
      <c r="S64610" s="178"/>
    </row>
    <row r="64611" spans="18:19">
      <c r="R64611" s="178"/>
      <c r="S64611" s="178"/>
    </row>
    <row r="64612" spans="18:19">
      <c r="R64612" s="178"/>
      <c r="S64612" s="178"/>
    </row>
    <row r="64613" spans="18:19">
      <c r="R64613" s="178"/>
      <c r="S64613" s="178"/>
    </row>
    <row r="64614" spans="18:19">
      <c r="R64614" s="178"/>
      <c r="S64614" s="178"/>
    </row>
    <row r="64615" spans="18:19">
      <c r="R64615" s="178"/>
      <c r="S64615" s="178"/>
    </row>
    <row r="64616" spans="18:19">
      <c r="R64616" s="178"/>
      <c r="S64616" s="178"/>
    </row>
    <row r="64617" spans="18:19">
      <c r="R64617" s="178"/>
      <c r="S64617" s="178"/>
    </row>
    <row r="64618" spans="18:19">
      <c r="R64618" s="178"/>
      <c r="S64618" s="178"/>
    </row>
    <row r="64619" spans="18:19">
      <c r="R64619" s="178"/>
      <c r="S64619" s="178"/>
    </row>
    <row r="64620" spans="18:19">
      <c r="R64620" s="178"/>
      <c r="S64620" s="178"/>
    </row>
    <row r="64621" spans="18:19">
      <c r="R64621" s="178"/>
      <c r="S64621" s="178"/>
    </row>
    <row r="64622" spans="18:19">
      <c r="R64622" s="178"/>
      <c r="S64622" s="178"/>
    </row>
    <row r="64623" spans="18:19">
      <c r="R64623" s="178"/>
      <c r="S64623" s="178"/>
    </row>
    <row r="64624" spans="18:19">
      <c r="R64624" s="178"/>
      <c r="S64624" s="178"/>
    </row>
    <row r="64625" spans="18:19">
      <c r="R64625" s="178"/>
      <c r="S64625" s="178"/>
    </row>
    <row r="64626" spans="18:19">
      <c r="R64626" s="178"/>
      <c r="S64626" s="178"/>
    </row>
    <row r="64627" spans="18:19">
      <c r="R64627" s="178"/>
      <c r="S64627" s="178"/>
    </row>
    <row r="64628" spans="18:19">
      <c r="R64628" s="178"/>
      <c r="S64628" s="178"/>
    </row>
    <row r="64629" spans="18:19">
      <c r="R64629" s="178"/>
      <c r="S64629" s="178"/>
    </row>
    <row r="64630" spans="18:19">
      <c r="R64630" s="178"/>
      <c r="S64630" s="178"/>
    </row>
    <row r="64631" spans="18:19">
      <c r="R64631" s="178"/>
      <c r="S64631" s="178"/>
    </row>
    <row r="64632" spans="18:19">
      <c r="R64632" s="178"/>
      <c r="S64632" s="178"/>
    </row>
    <row r="64633" spans="18:19">
      <c r="R64633" s="178"/>
      <c r="S64633" s="178"/>
    </row>
    <row r="64634" spans="18:19">
      <c r="R64634" s="178"/>
      <c r="S64634" s="178"/>
    </row>
    <row r="64635" spans="18:19">
      <c r="R64635" s="178"/>
      <c r="S64635" s="178"/>
    </row>
    <row r="64636" spans="18:19">
      <c r="R64636" s="178"/>
      <c r="S64636" s="178"/>
    </row>
    <row r="64637" spans="18:19">
      <c r="R64637" s="178"/>
      <c r="S64637" s="178"/>
    </row>
    <row r="64638" spans="18:19">
      <c r="R64638" s="178"/>
      <c r="S64638" s="178"/>
    </row>
    <row r="64639" spans="18:19">
      <c r="R64639" s="178"/>
      <c r="S64639" s="178"/>
    </row>
    <row r="64640" spans="18:19">
      <c r="R64640" s="178"/>
      <c r="S64640" s="178"/>
    </row>
    <row r="64641" spans="18:19">
      <c r="R64641" s="178"/>
      <c r="S64641" s="178"/>
    </row>
    <row r="64642" spans="18:19">
      <c r="R64642" s="178"/>
      <c r="S64642" s="178"/>
    </row>
    <row r="64643" spans="18:19">
      <c r="R64643" s="178"/>
      <c r="S64643" s="178"/>
    </row>
    <row r="64644" spans="18:19">
      <c r="R64644" s="178"/>
      <c r="S64644" s="178"/>
    </row>
    <row r="64645" spans="18:19">
      <c r="R64645" s="178"/>
      <c r="S64645" s="178"/>
    </row>
    <row r="64646" spans="18:19">
      <c r="R64646" s="178"/>
      <c r="S64646" s="178"/>
    </row>
    <row r="64647" spans="18:19">
      <c r="R64647" s="178"/>
      <c r="S64647" s="178"/>
    </row>
    <row r="64648" spans="18:19">
      <c r="R64648" s="178"/>
      <c r="S64648" s="178"/>
    </row>
    <row r="64649" spans="18:19">
      <c r="R64649" s="178"/>
      <c r="S64649" s="178"/>
    </row>
    <row r="64650" spans="18:19">
      <c r="R64650" s="178"/>
      <c r="S64650" s="178"/>
    </row>
    <row r="64651" spans="18:19">
      <c r="R64651" s="178"/>
      <c r="S64651" s="178"/>
    </row>
    <row r="64652" spans="18:19">
      <c r="R64652" s="178"/>
      <c r="S64652" s="178"/>
    </row>
    <row r="64653" spans="18:19">
      <c r="R64653" s="178"/>
      <c r="S64653" s="178"/>
    </row>
    <row r="64654" spans="18:19">
      <c r="R64654" s="178"/>
      <c r="S64654" s="178"/>
    </row>
    <row r="64655" spans="18:19">
      <c r="R64655" s="178"/>
      <c r="S64655" s="178"/>
    </row>
    <row r="64656" spans="18:19">
      <c r="R64656" s="178"/>
      <c r="S64656" s="178"/>
    </row>
    <row r="64657" spans="18:19">
      <c r="R64657" s="178"/>
      <c r="S64657" s="178"/>
    </row>
    <row r="64658" spans="18:19">
      <c r="R64658" s="178"/>
      <c r="S64658" s="178"/>
    </row>
    <row r="64659" spans="18:19">
      <c r="R64659" s="178"/>
      <c r="S64659" s="178"/>
    </row>
    <row r="64660" spans="18:19">
      <c r="R64660" s="178"/>
      <c r="S64660" s="178"/>
    </row>
    <row r="64661" spans="18:19">
      <c r="R64661" s="178"/>
      <c r="S64661" s="178"/>
    </row>
    <row r="64662" spans="18:19">
      <c r="R64662" s="178"/>
      <c r="S64662" s="178"/>
    </row>
    <row r="64663" spans="18:19">
      <c r="R64663" s="178"/>
      <c r="S64663" s="178"/>
    </row>
    <row r="64664" spans="18:19">
      <c r="R64664" s="178"/>
      <c r="S64664" s="178"/>
    </row>
    <row r="64665" spans="18:19">
      <c r="R64665" s="178"/>
      <c r="S64665" s="178"/>
    </row>
    <row r="64666" spans="18:19">
      <c r="R64666" s="178"/>
      <c r="S64666" s="178"/>
    </row>
    <row r="64667" spans="18:19">
      <c r="R64667" s="178"/>
      <c r="S64667" s="178"/>
    </row>
    <row r="64668" spans="18:19">
      <c r="R64668" s="178"/>
      <c r="S64668" s="178"/>
    </row>
    <row r="64669" spans="18:19">
      <c r="R64669" s="178"/>
      <c r="S64669" s="178"/>
    </row>
    <row r="64670" spans="18:19">
      <c r="R64670" s="178"/>
      <c r="S64670" s="178"/>
    </row>
    <row r="64671" spans="18:19">
      <c r="R64671" s="178"/>
      <c r="S64671" s="178"/>
    </row>
    <row r="64672" spans="18:19">
      <c r="R64672" s="178"/>
      <c r="S64672" s="178"/>
    </row>
    <row r="64673" spans="18:19">
      <c r="R64673" s="178"/>
      <c r="S64673" s="178"/>
    </row>
    <row r="64674" spans="18:19">
      <c r="R64674" s="178"/>
      <c r="S64674" s="178"/>
    </row>
    <row r="64675" spans="18:19">
      <c r="R64675" s="178"/>
      <c r="S64675" s="178"/>
    </row>
    <row r="64676" spans="18:19">
      <c r="R64676" s="178"/>
      <c r="S64676" s="178"/>
    </row>
    <row r="64677" spans="18:19">
      <c r="R64677" s="178"/>
      <c r="S64677" s="178"/>
    </row>
    <row r="64678" spans="18:19">
      <c r="R64678" s="178"/>
      <c r="S64678" s="178"/>
    </row>
    <row r="64679" spans="18:19">
      <c r="R64679" s="178"/>
      <c r="S64679" s="178"/>
    </row>
    <row r="64680" spans="18:19">
      <c r="R64680" s="178"/>
      <c r="S64680" s="178"/>
    </row>
    <row r="64681" spans="18:19">
      <c r="R64681" s="178"/>
      <c r="S64681" s="178"/>
    </row>
    <row r="64682" spans="18:19">
      <c r="R64682" s="178"/>
      <c r="S64682" s="178"/>
    </row>
    <row r="64683" spans="18:19">
      <c r="R64683" s="178"/>
      <c r="S64683" s="178"/>
    </row>
    <row r="64684" spans="18:19">
      <c r="R64684" s="178"/>
      <c r="S64684" s="178"/>
    </row>
    <row r="64685" spans="18:19">
      <c r="R64685" s="178"/>
      <c r="S64685" s="178"/>
    </row>
    <row r="64686" spans="18:19">
      <c r="R64686" s="178"/>
      <c r="S64686" s="178"/>
    </row>
    <row r="64687" spans="18:19">
      <c r="R64687" s="178"/>
      <c r="S64687" s="178"/>
    </row>
    <row r="64688" spans="18:19">
      <c r="R64688" s="178"/>
      <c r="S64688" s="178"/>
    </row>
    <row r="64689" spans="18:19">
      <c r="R64689" s="178"/>
      <c r="S64689" s="178"/>
    </row>
    <row r="64690" spans="18:19">
      <c r="R64690" s="178"/>
      <c r="S64690" s="178"/>
    </row>
    <row r="64691" spans="18:19">
      <c r="R64691" s="178"/>
      <c r="S64691" s="178"/>
    </row>
    <row r="64692" spans="18:19">
      <c r="R64692" s="178"/>
      <c r="S64692" s="178"/>
    </row>
    <row r="64693" spans="18:19">
      <c r="R64693" s="178"/>
      <c r="S64693" s="178"/>
    </row>
    <row r="64694" spans="18:19">
      <c r="R64694" s="178"/>
      <c r="S64694" s="178"/>
    </row>
    <row r="64695" spans="18:19">
      <c r="R64695" s="178"/>
      <c r="S64695" s="178"/>
    </row>
    <row r="64696" spans="18:19">
      <c r="R64696" s="178"/>
      <c r="S64696" s="178"/>
    </row>
    <row r="64697" spans="18:19">
      <c r="R64697" s="178"/>
      <c r="S64697" s="178"/>
    </row>
    <row r="64698" spans="18:19">
      <c r="R64698" s="178"/>
      <c r="S64698" s="178"/>
    </row>
    <row r="64699" spans="18:19">
      <c r="R64699" s="178"/>
      <c r="S64699" s="178"/>
    </row>
    <row r="64700" spans="18:19">
      <c r="R64700" s="178"/>
      <c r="S64700" s="178"/>
    </row>
    <row r="64701" spans="18:19">
      <c r="R64701" s="178"/>
      <c r="S64701" s="178"/>
    </row>
    <row r="64702" spans="18:19">
      <c r="R64702" s="178"/>
      <c r="S64702" s="178"/>
    </row>
    <row r="64703" spans="18:19">
      <c r="R64703" s="178"/>
      <c r="S64703" s="178"/>
    </row>
    <row r="64704" spans="18:19">
      <c r="R64704" s="178"/>
      <c r="S64704" s="178"/>
    </row>
    <row r="64705" spans="18:19">
      <c r="R64705" s="178"/>
      <c r="S64705" s="178"/>
    </row>
    <row r="64706" spans="18:19">
      <c r="R64706" s="178"/>
      <c r="S64706" s="178"/>
    </row>
    <row r="64707" spans="18:19">
      <c r="R64707" s="178"/>
      <c r="S64707" s="178"/>
    </row>
    <row r="64708" spans="18:19">
      <c r="R64708" s="178"/>
      <c r="S64708" s="178"/>
    </row>
    <row r="64709" spans="18:19">
      <c r="R64709" s="178"/>
      <c r="S64709" s="178"/>
    </row>
    <row r="64710" spans="18:19">
      <c r="R64710" s="178"/>
      <c r="S64710" s="178"/>
    </row>
    <row r="64711" spans="18:19">
      <c r="R64711" s="178"/>
      <c r="S64711" s="178"/>
    </row>
    <row r="64712" spans="18:19">
      <c r="R64712" s="178"/>
      <c r="S64712" s="178"/>
    </row>
    <row r="64713" spans="18:19">
      <c r="R64713" s="178"/>
      <c r="S64713" s="178"/>
    </row>
    <row r="64714" spans="18:19">
      <c r="R64714" s="178"/>
      <c r="S64714" s="178"/>
    </row>
    <row r="64715" spans="18:19">
      <c r="R64715" s="178"/>
      <c r="S64715" s="178"/>
    </row>
    <row r="64716" spans="18:19">
      <c r="R64716" s="178"/>
      <c r="S64716" s="178"/>
    </row>
    <row r="64717" spans="18:19">
      <c r="R64717" s="178"/>
      <c r="S64717" s="178"/>
    </row>
    <row r="64718" spans="18:19">
      <c r="R64718" s="178"/>
      <c r="S64718" s="178"/>
    </row>
    <row r="64719" spans="18:19">
      <c r="R64719" s="178"/>
      <c r="S64719" s="178"/>
    </row>
    <row r="64720" spans="18:19">
      <c r="R64720" s="178"/>
      <c r="S64720" s="178"/>
    </row>
    <row r="64721" spans="18:19">
      <c r="R64721" s="178"/>
      <c r="S64721" s="178"/>
    </row>
    <row r="64722" spans="18:19">
      <c r="R64722" s="178"/>
      <c r="S64722" s="178"/>
    </row>
    <row r="64723" spans="18:19">
      <c r="R64723" s="178"/>
      <c r="S64723" s="178"/>
    </row>
    <row r="64724" spans="18:19">
      <c r="R64724" s="178"/>
      <c r="S64724" s="178"/>
    </row>
    <row r="64725" spans="18:19">
      <c r="R64725" s="178"/>
      <c r="S64725" s="178"/>
    </row>
    <row r="64726" spans="18:19">
      <c r="R64726" s="178"/>
      <c r="S64726" s="178"/>
    </row>
    <row r="64727" spans="18:19">
      <c r="R64727" s="178"/>
      <c r="S64727" s="178"/>
    </row>
    <row r="64728" spans="18:19">
      <c r="R64728" s="178"/>
      <c r="S64728" s="178"/>
    </row>
    <row r="64729" spans="18:19">
      <c r="R64729" s="178"/>
      <c r="S64729" s="178"/>
    </row>
    <row r="64730" spans="18:19">
      <c r="R64730" s="178"/>
      <c r="S64730" s="178"/>
    </row>
    <row r="64731" spans="18:19">
      <c r="R64731" s="178"/>
      <c r="S64731" s="178"/>
    </row>
    <row r="64732" spans="18:19">
      <c r="R64732" s="178"/>
      <c r="S64732" s="178"/>
    </row>
    <row r="64733" spans="18:19">
      <c r="R64733" s="178"/>
      <c r="S64733" s="178"/>
    </row>
    <row r="64734" spans="18:19">
      <c r="R64734" s="178"/>
      <c r="S64734" s="178"/>
    </row>
    <row r="64735" spans="18:19">
      <c r="R64735" s="178"/>
      <c r="S64735" s="178"/>
    </row>
    <row r="64736" spans="18:19">
      <c r="R64736" s="178"/>
      <c r="S64736" s="178"/>
    </row>
    <row r="64737" spans="18:19">
      <c r="R64737" s="178"/>
      <c r="S64737" s="178"/>
    </row>
    <row r="64738" spans="18:19">
      <c r="R64738" s="178"/>
      <c r="S64738" s="178"/>
    </row>
    <row r="64739" spans="18:19">
      <c r="R64739" s="178"/>
      <c r="S64739" s="178"/>
    </row>
    <row r="64740" spans="18:19">
      <c r="R64740" s="178"/>
      <c r="S64740" s="178"/>
    </row>
    <row r="64741" spans="18:19">
      <c r="R64741" s="178"/>
      <c r="S64741" s="178"/>
    </row>
    <row r="64742" spans="18:19">
      <c r="R64742" s="178"/>
      <c r="S64742" s="178"/>
    </row>
    <row r="64743" spans="18:19">
      <c r="R64743" s="178"/>
      <c r="S64743" s="178"/>
    </row>
    <row r="64744" spans="18:19">
      <c r="R64744" s="178"/>
      <c r="S64744" s="178"/>
    </row>
    <row r="64745" spans="18:19">
      <c r="R64745" s="178"/>
      <c r="S64745" s="178"/>
    </row>
    <row r="64746" spans="18:19">
      <c r="R64746" s="178"/>
      <c r="S64746" s="178"/>
    </row>
    <row r="64747" spans="18:19">
      <c r="R64747" s="178"/>
      <c r="S64747" s="178"/>
    </row>
    <row r="64748" spans="18:19">
      <c r="R64748" s="178"/>
      <c r="S64748" s="178"/>
    </row>
    <row r="64749" spans="18:19">
      <c r="R64749" s="178"/>
      <c r="S64749" s="178"/>
    </row>
    <row r="64750" spans="18:19">
      <c r="R64750" s="178"/>
      <c r="S64750" s="178"/>
    </row>
    <row r="64751" spans="18:19">
      <c r="R64751" s="178"/>
      <c r="S64751" s="178"/>
    </row>
    <row r="64752" spans="18:19">
      <c r="R64752" s="178"/>
      <c r="S64752" s="178"/>
    </row>
    <row r="64753" spans="18:19">
      <c r="R64753" s="178"/>
      <c r="S64753" s="178"/>
    </row>
    <row r="64754" spans="18:19">
      <c r="R64754" s="178"/>
      <c r="S64754" s="178"/>
    </row>
    <row r="64755" spans="18:19">
      <c r="R64755" s="178"/>
      <c r="S64755" s="178"/>
    </row>
    <row r="64756" spans="18:19">
      <c r="R64756" s="178"/>
      <c r="S64756" s="178"/>
    </row>
    <row r="64757" spans="18:19">
      <c r="R64757" s="178"/>
      <c r="S64757" s="178"/>
    </row>
    <row r="64758" spans="18:19">
      <c r="R64758" s="178"/>
      <c r="S64758" s="178"/>
    </row>
    <row r="64759" spans="18:19">
      <c r="R64759" s="178"/>
      <c r="S64759" s="178"/>
    </row>
    <row r="64760" spans="18:19">
      <c r="R64760" s="178"/>
      <c r="S64760" s="178"/>
    </row>
    <row r="64761" spans="18:19">
      <c r="R64761" s="178"/>
      <c r="S64761" s="178"/>
    </row>
    <row r="64762" spans="18:19">
      <c r="R64762" s="178"/>
      <c r="S64762" s="178"/>
    </row>
    <row r="64763" spans="18:19">
      <c r="R64763" s="178"/>
      <c r="S64763" s="178"/>
    </row>
    <row r="64764" spans="18:19">
      <c r="R64764" s="178"/>
      <c r="S64764" s="178"/>
    </row>
    <row r="64765" spans="18:19">
      <c r="R64765" s="178"/>
      <c r="S64765" s="178"/>
    </row>
    <row r="64766" spans="18:19">
      <c r="R64766" s="178"/>
      <c r="S64766" s="178"/>
    </row>
    <row r="64767" spans="18:19">
      <c r="R64767" s="178"/>
      <c r="S64767" s="178"/>
    </row>
    <row r="64768" spans="18:19">
      <c r="R64768" s="178"/>
      <c r="S64768" s="178"/>
    </row>
    <row r="64769" spans="18:19">
      <c r="R64769" s="178"/>
      <c r="S64769" s="178"/>
    </row>
    <row r="64770" spans="18:19">
      <c r="R64770" s="178"/>
      <c r="S64770" s="178"/>
    </row>
    <row r="64771" spans="18:19">
      <c r="R64771" s="178"/>
      <c r="S64771" s="178"/>
    </row>
    <row r="64772" spans="18:19">
      <c r="R64772" s="178"/>
      <c r="S64772" s="178"/>
    </row>
    <row r="64773" spans="18:19">
      <c r="R64773" s="178"/>
      <c r="S64773" s="178"/>
    </row>
    <row r="64774" spans="18:19">
      <c r="R64774" s="178"/>
      <c r="S64774" s="178"/>
    </row>
    <row r="64775" spans="18:19">
      <c r="R64775" s="178"/>
      <c r="S64775" s="178"/>
    </row>
    <row r="64776" spans="18:19">
      <c r="R64776" s="178"/>
      <c r="S64776" s="178"/>
    </row>
    <row r="64777" spans="18:19">
      <c r="R64777" s="178"/>
      <c r="S64777" s="178"/>
    </row>
    <row r="64778" spans="18:19">
      <c r="R64778" s="178"/>
      <c r="S64778" s="178"/>
    </row>
    <row r="64779" spans="18:19">
      <c r="R64779" s="178"/>
      <c r="S64779" s="178"/>
    </row>
    <row r="64780" spans="18:19">
      <c r="R64780" s="178"/>
      <c r="S64780" s="178"/>
    </row>
    <row r="64781" spans="18:19">
      <c r="R64781" s="178"/>
      <c r="S64781" s="178"/>
    </row>
    <row r="64782" spans="18:19">
      <c r="R64782" s="178"/>
      <c r="S64782" s="178"/>
    </row>
    <row r="64783" spans="18:19">
      <c r="R64783" s="178"/>
      <c r="S64783" s="178"/>
    </row>
    <row r="64784" spans="18:19">
      <c r="R64784" s="178"/>
      <c r="S64784" s="178"/>
    </row>
    <row r="64785" spans="18:19">
      <c r="R64785" s="178"/>
      <c r="S64785" s="178"/>
    </row>
    <row r="64786" spans="18:19">
      <c r="R64786" s="178"/>
      <c r="S64786" s="178"/>
    </row>
    <row r="64787" spans="18:19">
      <c r="R64787" s="178"/>
      <c r="S64787" s="178"/>
    </row>
    <row r="64788" spans="18:19">
      <c r="R64788" s="178"/>
      <c r="S64788" s="178"/>
    </row>
    <row r="64789" spans="18:19">
      <c r="R64789" s="178"/>
      <c r="S64789" s="178"/>
    </row>
    <row r="64790" spans="18:19">
      <c r="R64790" s="178"/>
      <c r="S64790" s="178"/>
    </row>
    <row r="64791" spans="18:19">
      <c r="R64791" s="178"/>
      <c r="S64791" s="178"/>
    </row>
    <row r="64792" spans="18:19">
      <c r="R64792" s="178"/>
      <c r="S64792" s="178"/>
    </row>
    <row r="64793" spans="18:19">
      <c r="R64793" s="178"/>
      <c r="S64793" s="178"/>
    </row>
    <row r="64794" spans="18:19">
      <c r="R64794" s="178"/>
      <c r="S64794" s="178"/>
    </row>
    <row r="64795" spans="18:19">
      <c r="R64795" s="178"/>
      <c r="S64795" s="178"/>
    </row>
    <row r="64796" spans="18:19">
      <c r="R64796" s="178"/>
      <c r="S64796" s="178"/>
    </row>
    <row r="64797" spans="18:19">
      <c r="R64797" s="178"/>
      <c r="S64797" s="178"/>
    </row>
    <row r="64798" spans="18:19">
      <c r="R64798" s="178"/>
      <c r="S64798" s="178"/>
    </row>
    <row r="64799" spans="18:19">
      <c r="R64799" s="178"/>
      <c r="S64799" s="178"/>
    </row>
    <row r="64800" spans="18:19">
      <c r="R64800" s="178"/>
      <c r="S64800" s="178"/>
    </row>
    <row r="64801" spans="18:19">
      <c r="R64801" s="178"/>
      <c r="S64801" s="178"/>
    </row>
    <row r="64802" spans="18:19">
      <c r="R64802" s="178"/>
      <c r="S64802" s="178"/>
    </row>
    <row r="64803" spans="18:19">
      <c r="R64803" s="178"/>
      <c r="S64803" s="178"/>
    </row>
    <row r="64804" spans="18:19">
      <c r="R64804" s="178"/>
      <c r="S64804" s="178"/>
    </row>
    <row r="64805" spans="18:19">
      <c r="R64805" s="178"/>
      <c r="S64805" s="178"/>
    </row>
    <row r="64806" spans="18:19">
      <c r="R64806" s="178"/>
      <c r="S64806" s="178"/>
    </row>
    <row r="64807" spans="18:19">
      <c r="R64807" s="178"/>
      <c r="S64807" s="178"/>
    </row>
    <row r="64808" spans="18:19">
      <c r="R64808" s="178"/>
      <c r="S64808" s="178"/>
    </row>
    <row r="64809" spans="18:19">
      <c r="R64809" s="178"/>
      <c r="S64809" s="178"/>
    </row>
    <row r="64810" spans="18:19">
      <c r="R64810" s="178"/>
      <c r="S64810" s="178"/>
    </row>
    <row r="64811" spans="18:19">
      <c r="R64811" s="178"/>
      <c r="S64811" s="178"/>
    </row>
    <row r="64812" spans="18:19">
      <c r="R64812" s="178"/>
      <c r="S64812" s="178"/>
    </row>
    <row r="64813" spans="18:19">
      <c r="R64813" s="178"/>
      <c r="S64813" s="178"/>
    </row>
    <row r="64814" spans="18:19">
      <c r="R64814" s="178"/>
      <c r="S64814" s="178"/>
    </row>
    <row r="64815" spans="18:19">
      <c r="R64815" s="178"/>
      <c r="S64815" s="178"/>
    </row>
    <row r="64816" spans="18:19">
      <c r="R64816" s="178"/>
      <c r="S64816" s="178"/>
    </row>
    <row r="64817" spans="18:19">
      <c r="R64817" s="178"/>
      <c r="S64817" s="178"/>
    </row>
    <row r="64818" spans="18:19">
      <c r="R64818" s="178"/>
      <c r="S64818" s="178"/>
    </row>
    <row r="64819" spans="18:19">
      <c r="R64819" s="178"/>
      <c r="S64819" s="178"/>
    </row>
    <row r="64820" spans="18:19">
      <c r="R64820" s="178"/>
      <c r="S64820" s="178"/>
    </row>
    <row r="64821" spans="18:19">
      <c r="R64821" s="178"/>
      <c r="S64821" s="178"/>
    </row>
    <row r="64822" spans="18:19">
      <c r="R64822" s="178"/>
      <c r="S64822" s="178"/>
    </row>
    <row r="64823" spans="18:19">
      <c r="R64823" s="178"/>
      <c r="S64823" s="178"/>
    </row>
    <row r="64824" spans="18:19">
      <c r="R64824" s="178"/>
      <c r="S64824" s="178"/>
    </row>
    <row r="64825" spans="18:19">
      <c r="R64825" s="178"/>
      <c r="S64825" s="178"/>
    </row>
    <row r="64826" spans="18:19">
      <c r="R64826" s="178"/>
      <c r="S64826" s="178"/>
    </row>
    <row r="64827" spans="18:19">
      <c r="R64827" s="178"/>
      <c r="S64827" s="178"/>
    </row>
    <row r="64828" spans="18:19">
      <c r="R64828" s="178"/>
      <c r="S64828" s="178"/>
    </row>
    <row r="64829" spans="18:19">
      <c r="R64829" s="178"/>
      <c r="S64829" s="178"/>
    </row>
    <row r="64830" spans="18:19">
      <c r="R64830" s="178"/>
      <c r="S64830" s="178"/>
    </row>
    <row r="64831" spans="18:19">
      <c r="R64831" s="178"/>
      <c r="S64831" s="178"/>
    </row>
    <row r="64832" spans="18:19">
      <c r="R64832" s="178"/>
      <c r="S64832" s="178"/>
    </row>
    <row r="64833" spans="18:19">
      <c r="R64833" s="178"/>
      <c r="S64833" s="178"/>
    </row>
    <row r="64834" spans="18:19">
      <c r="R64834" s="178"/>
      <c r="S64834" s="178"/>
    </row>
    <row r="64835" spans="18:19">
      <c r="R64835" s="178"/>
      <c r="S64835" s="178"/>
    </row>
    <row r="64836" spans="18:19">
      <c r="R64836" s="178"/>
      <c r="S64836" s="178"/>
    </row>
    <row r="64837" spans="18:19">
      <c r="R64837" s="178"/>
      <c r="S64837" s="178"/>
    </row>
    <row r="64838" spans="18:19">
      <c r="R64838" s="178"/>
      <c r="S64838" s="178"/>
    </row>
    <row r="64839" spans="18:19">
      <c r="R64839" s="178"/>
      <c r="S64839" s="178"/>
    </row>
    <row r="64840" spans="18:19">
      <c r="R64840" s="178"/>
      <c r="S64840" s="178"/>
    </row>
    <row r="64841" spans="18:19">
      <c r="R64841" s="178"/>
      <c r="S64841" s="178"/>
    </row>
    <row r="64842" spans="18:19">
      <c r="R64842" s="178"/>
      <c r="S64842" s="178"/>
    </row>
    <row r="64843" spans="18:19">
      <c r="R64843" s="178"/>
      <c r="S64843" s="178"/>
    </row>
    <row r="64844" spans="18:19">
      <c r="R64844" s="178"/>
      <c r="S64844" s="178"/>
    </row>
    <row r="64845" spans="18:19">
      <c r="R64845" s="178"/>
      <c r="S64845" s="178"/>
    </row>
    <row r="64846" spans="18:19">
      <c r="R64846" s="178"/>
      <c r="S64846" s="178"/>
    </row>
    <row r="64847" spans="18:19">
      <c r="R64847" s="178"/>
      <c r="S64847" s="178"/>
    </row>
    <row r="64848" spans="18:19">
      <c r="R64848" s="178"/>
      <c r="S64848" s="178"/>
    </row>
    <row r="64849" spans="18:19">
      <c r="R64849" s="178"/>
      <c r="S64849" s="178"/>
    </row>
    <row r="64850" spans="18:19">
      <c r="R64850" s="178"/>
      <c r="S64850" s="178"/>
    </row>
    <row r="64851" spans="18:19">
      <c r="R64851" s="178"/>
      <c r="S64851" s="178"/>
    </row>
    <row r="64852" spans="18:19">
      <c r="R64852" s="178"/>
      <c r="S64852" s="178"/>
    </row>
    <row r="64853" spans="18:19">
      <c r="R64853" s="178"/>
      <c r="S64853" s="178"/>
    </row>
    <row r="64854" spans="18:19">
      <c r="R64854" s="178"/>
      <c r="S64854" s="178"/>
    </row>
    <row r="64855" spans="18:19">
      <c r="R64855" s="178"/>
      <c r="S64855" s="178"/>
    </row>
    <row r="64856" spans="18:19">
      <c r="R64856" s="178"/>
      <c r="S64856" s="178"/>
    </row>
    <row r="64857" spans="18:19">
      <c r="R64857" s="178"/>
      <c r="S64857" s="178"/>
    </row>
    <row r="64858" spans="18:19">
      <c r="R64858" s="178"/>
      <c r="S64858" s="178"/>
    </row>
    <row r="64859" spans="18:19">
      <c r="R64859" s="178"/>
      <c r="S64859" s="178"/>
    </row>
    <row r="64860" spans="18:19">
      <c r="R64860" s="178"/>
      <c r="S64860" s="178"/>
    </row>
    <row r="64861" spans="18:19">
      <c r="R64861" s="178"/>
      <c r="S64861" s="178"/>
    </row>
    <row r="64862" spans="18:19">
      <c r="R64862" s="178"/>
      <c r="S64862" s="178"/>
    </row>
    <row r="64863" spans="18:19">
      <c r="R64863" s="178"/>
      <c r="S64863" s="178"/>
    </row>
    <row r="64864" spans="18:19">
      <c r="R64864" s="178"/>
      <c r="S64864" s="178"/>
    </row>
    <row r="64865" spans="18:19">
      <c r="R64865" s="178"/>
      <c r="S64865" s="178"/>
    </row>
    <row r="64866" spans="18:19">
      <c r="R64866" s="178"/>
      <c r="S64866" s="178"/>
    </row>
    <row r="64867" spans="18:19">
      <c r="R64867" s="178"/>
      <c r="S64867" s="178"/>
    </row>
    <row r="64868" spans="18:19">
      <c r="R64868" s="178"/>
      <c r="S64868" s="178"/>
    </row>
    <row r="64869" spans="18:19">
      <c r="R64869" s="178"/>
      <c r="S64869" s="178"/>
    </row>
    <row r="64870" spans="18:19">
      <c r="R64870" s="178"/>
      <c r="S64870" s="178"/>
    </row>
    <row r="64871" spans="18:19">
      <c r="R64871" s="178"/>
      <c r="S64871" s="178"/>
    </row>
    <row r="64872" spans="18:19">
      <c r="R64872" s="178"/>
      <c r="S64872" s="178"/>
    </row>
    <row r="64873" spans="18:19">
      <c r="R64873" s="178"/>
      <c r="S64873" s="178"/>
    </row>
    <row r="64874" spans="18:19">
      <c r="R64874" s="178"/>
      <c r="S64874" s="178"/>
    </row>
    <row r="64875" spans="18:19">
      <c r="R64875" s="178"/>
      <c r="S64875" s="178"/>
    </row>
    <row r="64876" spans="18:19">
      <c r="R64876" s="178"/>
      <c r="S64876" s="178"/>
    </row>
    <row r="64877" spans="18:19">
      <c r="R64877" s="178"/>
      <c r="S64877" s="178"/>
    </row>
    <row r="64878" spans="18:19">
      <c r="R64878" s="178"/>
      <c r="S64878" s="178"/>
    </row>
    <row r="64879" spans="18:19">
      <c r="R64879" s="178"/>
      <c r="S64879" s="178"/>
    </row>
    <row r="64880" spans="18:19">
      <c r="R64880" s="178"/>
      <c r="S64880" s="178"/>
    </row>
    <row r="64881" spans="18:19">
      <c r="R64881" s="178"/>
      <c r="S64881" s="178"/>
    </row>
    <row r="64882" spans="18:19">
      <c r="R64882" s="178"/>
      <c r="S64882" s="178"/>
    </row>
    <row r="64883" spans="18:19">
      <c r="R64883" s="178"/>
      <c r="S64883" s="178"/>
    </row>
    <row r="64884" spans="18:19">
      <c r="R64884" s="178"/>
      <c r="S64884" s="178"/>
    </row>
    <row r="64885" spans="18:19">
      <c r="R64885" s="178"/>
      <c r="S64885" s="178"/>
    </row>
    <row r="64886" spans="18:19">
      <c r="R64886" s="178"/>
      <c r="S64886" s="178"/>
    </row>
    <row r="64887" spans="18:19">
      <c r="R64887" s="178"/>
      <c r="S64887" s="178"/>
    </row>
    <row r="64888" spans="18:19">
      <c r="R64888" s="178"/>
      <c r="S64888" s="178"/>
    </row>
    <row r="64889" spans="18:19">
      <c r="R64889" s="178"/>
      <c r="S64889" s="178"/>
    </row>
    <row r="64890" spans="18:19">
      <c r="R64890" s="178"/>
      <c r="S64890" s="178"/>
    </row>
    <row r="64891" spans="18:19">
      <c r="R64891" s="178"/>
      <c r="S64891" s="178"/>
    </row>
    <row r="64892" spans="18:19">
      <c r="R64892" s="178"/>
      <c r="S64892" s="178"/>
    </row>
    <row r="64893" spans="18:19">
      <c r="R64893" s="178"/>
      <c r="S64893" s="178"/>
    </row>
    <row r="64894" spans="18:19">
      <c r="R64894" s="178"/>
      <c r="S64894" s="178"/>
    </row>
    <row r="64895" spans="18:19">
      <c r="R64895" s="178"/>
      <c r="S64895" s="178"/>
    </row>
    <row r="64896" spans="18:19">
      <c r="R64896" s="178"/>
      <c r="S64896" s="178"/>
    </row>
    <row r="64897" spans="18:19">
      <c r="R64897" s="178"/>
      <c r="S64897" s="178"/>
    </row>
    <row r="64898" spans="18:19">
      <c r="R64898" s="178"/>
      <c r="S64898" s="178"/>
    </row>
    <row r="64899" spans="18:19">
      <c r="R64899" s="178"/>
      <c r="S64899" s="178"/>
    </row>
    <row r="64900" spans="18:19">
      <c r="R64900" s="178"/>
      <c r="S64900" s="178"/>
    </row>
    <row r="64901" spans="18:19">
      <c r="R64901" s="178"/>
      <c r="S64901" s="178"/>
    </row>
    <row r="64902" spans="18:19">
      <c r="R64902" s="178"/>
      <c r="S64902" s="178"/>
    </row>
    <row r="64903" spans="18:19">
      <c r="R64903" s="178"/>
      <c r="S64903" s="178"/>
    </row>
    <row r="64904" spans="18:19">
      <c r="R64904" s="178"/>
      <c r="S64904" s="178"/>
    </row>
    <row r="64905" spans="18:19">
      <c r="R64905" s="178"/>
      <c r="S64905" s="178"/>
    </row>
    <row r="64906" spans="18:19">
      <c r="R64906" s="178"/>
      <c r="S64906" s="178"/>
    </row>
    <row r="64907" spans="18:19">
      <c r="R64907" s="178"/>
      <c r="S64907" s="178"/>
    </row>
    <row r="64908" spans="18:19">
      <c r="R64908" s="178"/>
      <c r="S64908" s="178"/>
    </row>
    <row r="64909" spans="18:19">
      <c r="R64909" s="178"/>
      <c r="S64909" s="178"/>
    </row>
    <row r="64910" spans="18:19">
      <c r="R64910" s="178"/>
      <c r="S64910" s="178"/>
    </row>
    <row r="64911" spans="18:19">
      <c r="R64911" s="178"/>
      <c r="S64911" s="178"/>
    </row>
    <row r="64912" spans="18:19">
      <c r="R64912" s="178"/>
      <c r="S64912" s="178"/>
    </row>
    <row r="64913" spans="18:19">
      <c r="R64913" s="178"/>
      <c r="S64913" s="178"/>
    </row>
    <row r="64914" spans="18:19">
      <c r="R64914" s="178"/>
      <c r="S64914" s="178"/>
    </row>
    <row r="64915" spans="18:19">
      <c r="R64915" s="178"/>
      <c r="S64915" s="178"/>
    </row>
    <row r="64916" spans="18:19">
      <c r="R64916" s="178"/>
      <c r="S64916" s="178"/>
    </row>
    <row r="64917" spans="18:19">
      <c r="R64917" s="178"/>
      <c r="S64917" s="178"/>
    </row>
    <row r="64918" spans="18:19">
      <c r="R64918" s="178"/>
      <c r="S64918" s="178"/>
    </row>
    <row r="64919" spans="18:19">
      <c r="R64919" s="178"/>
      <c r="S64919" s="178"/>
    </row>
    <row r="64920" spans="18:19">
      <c r="R64920" s="178"/>
      <c r="S64920" s="178"/>
    </row>
    <row r="64921" spans="18:19">
      <c r="R64921" s="178"/>
      <c r="S64921" s="178"/>
    </row>
    <row r="64922" spans="18:19">
      <c r="R64922" s="178"/>
      <c r="S64922" s="178"/>
    </row>
    <row r="64923" spans="18:19">
      <c r="R64923" s="178"/>
      <c r="S64923" s="178"/>
    </row>
    <row r="64924" spans="18:19">
      <c r="R64924" s="178"/>
      <c r="S64924" s="178"/>
    </row>
    <row r="64925" spans="18:19">
      <c r="R64925" s="178"/>
      <c r="S64925" s="178"/>
    </row>
    <row r="64926" spans="18:19">
      <c r="R64926" s="178"/>
      <c r="S64926" s="178"/>
    </row>
    <row r="64927" spans="18:19">
      <c r="R64927" s="178"/>
      <c r="S64927" s="178"/>
    </row>
    <row r="64928" spans="18:19">
      <c r="R64928" s="178"/>
      <c r="S64928" s="178"/>
    </row>
    <row r="64929" spans="18:19">
      <c r="R64929" s="178"/>
      <c r="S64929" s="178"/>
    </row>
    <row r="64930" spans="18:19">
      <c r="R64930" s="178"/>
      <c r="S64930" s="178"/>
    </row>
    <row r="64931" spans="18:19">
      <c r="R64931" s="178"/>
      <c r="S64931" s="178"/>
    </row>
    <row r="64932" spans="18:19">
      <c r="R64932" s="178"/>
      <c r="S64932" s="178"/>
    </row>
    <row r="64933" spans="18:19">
      <c r="R64933" s="178"/>
      <c r="S64933" s="178"/>
    </row>
    <row r="64934" spans="18:19">
      <c r="R64934" s="178"/>
      <c r="S64934" s="178"/>
    </row>
    <row r="64935" spans="18:19">
      <c r="R64935" s="178"/>
      <c r="S64935" s="178"/>
    </row>
    <row r="64936" spans="18:19">
      <c r="R64936" s="178"/>
      <c r="S64936" s="178"/>
    </row>
    <row r="64937" spans="18:19">
      <c r="R64937" s="178"/>
      <c r="S64937" s="178"/>
    </row>
    <row r="64938" spans="18:19">
      <c r="R64938" s="178"/>
      <c r="S64938" s="178"/>
    </row>
    <row r="64939" spans="18:19">
      <c r="R64939" s="178"/>
      <c r="S64939" s="178"/>
    </row>
    <row r="64940" spans="18:19">
      <c r="R64940" s="178"/>
      <c r="S64940" s="178"/>
    </row>
    <row r="64941" spans="18:19">
      <c r="R64941" s="178"/>
      <c r="S64941" s="178"/>
    </row>
    <row r="64942" spans="18:19">
      <c r="R64942" s="178"/>
      <c r="S64942" s="178"/>
    </row>
    <row r="64943" spans="18:19">
      <c r="R64943" s="178"/>
      <c r="S64943" s="178"/>
    </row>
    <row r="64944" spans="18:19">
      <c r="R64944" s="178"/>
      <c r="S64944" s="178"/>
    </row>
    <row r="64945" spans="18:19">
      <c r="R64945" s="178"/>
      <c r="S64945" s="178"/>
    </row>
    <row r="64946" spans="18:19">
      <c r="R64946" s="178"/>
      <c r="S64946" s="178"/>
    </row>
    <row r="64947" spans="18:19">
      <c r="R64947" s="178"/>
      <c r="S64947" s="178"/>
    </row>
    <row r="64948" spans="18:19">
      <c r="R64948" s="178"/>
      <c r="S64948" s="178"/>
    </row>
    <row r="64949" spans="18:19">
      <c r="R64949" s="178"/>
      <c r="S64949" s="178"/>
    </row>
    <row r="64950" spans="18:19">
      <c r="R64950" s="178"/>
      <c r="S64950" s="178"/>
    </row>
    <row r="64951" spans="18:19">
      <c r="R64951" s="178"/>
      <c r="S64951" s="178"/>
    </row>
    <row r="64952" spans="18:19">
      <c r="R64952" s="178"/>
      <c r="S64952" s="178"/>
    </row>
    <row r="64953" spans="18:19">
      <c r="R64953" s="178"/>
      <c r="S64953" s="178"/>
    </row>
    <row r="64954" spans="18:19">
      <c r="R64954" s="178"/>
      <c r="S64954" s="178"/>
    </row>
    <row r="64955" spans="18:19">
      <c r="R64955" s="178"/>
      <c r="S64955" s="178"/>
    </row>
    <row r="64956" spans="18:19">
      <c r="R64956" s="178"/>
      <c r="S64956" s="178"/>
    </row>
    <row r="64957" spans="18:19">
      <c r="R64957" s="178"/>
      <c r="S64957" s="178"/>
    </row>
    <row r="64958" spans="18:19">
      <c r="R64958" s="178"/>
      <c r="S64958" s="178"/>
    </row>
    <row r="64959" spans="18:19">
      <c r="R64959" s="178"/>
      <c r="S64959" s="178"/>
    </row>
    <row r="64960" spans="18:19">
      <c r="R64960" s="178"/>
      <c r="S64960" s="178"/>
    </row>
    <row r="64961" spans="18:19">
      <c r="R64961" s="178"/>
      <c r="S64961" s="178"/>
    </row>
    <row r="64962" spans="18:19">
      <c r="R64962" s="178"/>
      <c r="S64962" s="178"/>
    </row>
    <row r="64963" spans="18:19">
      <c r="R64963" s="178"/>
      <c r="S64963" s="178"/>
    </row>
    <row r="64964" spans="18:19">
      <c r="R64964" s="178"/>
      <c r="S64964" s="178"/>
    </row>
    <row r="64965" spans="18:19">
      <c r="R64965" s="178"/>
      <c r="S64965" s="178"/>
    </row>
    <row r="64966" spans="18:19">
      <c r="R64966" s="178"/>
      <c r="S64966" s="178"/>
    </row>
    <row r="64967" spans="18:19">
      <c r="R64967" s="178"/>
      <c r="S64967" s="178"/>
    </row>
    <row r="64968" spans="18:19">
      <c r="R64968" s="178"/>
      <c r="S64968" s="178"/>
    </row>
    <row r="64969" spans="18:19">
      <c r="R64969" s="178"/>
      <c r="S64969" s="178"/>
    </row>
    <row r="64970" spans="18:19">
      <c r="R64970" s="178"/>
      <c r="S64970" s="178"/>
    </row>
    <row r="64971" spans="18:19">
      <c r="R64971" s="178"/>
      <c r="S64971" s="178"/>
    </row>
    <row r="64972" spans="18:19">
      <c r="R64972" s="178"/>
      <c r="S64972" s="178"/>
    </row>
    <row r="64973" spans="18:19">
      <c r="R64973" s="178"/>
      <c r="S64973" s="178"/>
    </row>
    <row r="64974" spans="18:19">
      <c r="R64974" s="178"/>
      <c r="S64974" s="178"/>
    </row>
    <row r="64975" spans="18:19">
      <c r="R64975" s="178"/>
      <c r="S64975" s="178"/>
    </row>
    <row r="64976" spans="18:19">
      <c r="R64976" s="178"/>
      <c r="S64976" s="178"/>
    </row>
    <row r="64977" spans="18:19">
      <c r="R64977" s="178"/>
      <c r="S64977" s="178"/>
    </row>
    <row r="64978" spans="18:19">
      <c r="R64978" s="178"/>
      <c r="S64978" s="178"/>
    </row>
    <row r="64979" spans="18:19">
      <c r="R64979" s="178"/>
      <c r="S64979" s="178"/>
    </row>
    <row r="64980" spans="18:19">
      <c r="R64980" s="178"/>
      <c r="S64980" s="178"/>
    </row>
    <row r="64981" spans="18:19">
      <c r="R64981" s="178"/>
      <c r="S64981" s="178"/>
    </row>
    <row r="64982" spans="18:19">
      <c r="R64982" s="178"/>
      <c r="S64982" s="178"/>
    </row>
    <row r="64983" spans="18:19">
      <c r="R64983" s="178"/>
      <c r="S64983" s="178"/>
    </row>
    <row r="64984" spans="18:19">
      <c r="R64984" s="178"/>
      <c r="S64984" s="178"/>
    </row>
    <row r="64985" spans="18:19">
      <c r="R64985" s="178"/>
      <c r="S64985" s="178"/>
    </row>
    <row r="64986" spans="18:19">
      <c r="R64986" s="178"/>
      <c r="S64986" s="178"/>
    </row>
    <row r="64987" spans="18:19">
      <c r="R64987" s="178"/>
      <c r="S64987" s="178"/>
    </row>
    <row r="64988" spans="18:19">
      <c r="R64988" s="178"/>
      <c r="S64988" s="178"/>
    </row>
    <row r="64989" spans="18:19">
      <c r="R64989" s="178"/>
      <c r="S64989" s="178"/>
    </row>
    <row r="64990" spans="18:19">
      <c r="R64990" s="178"/>
      <c r="S64990" s="178"/>
    </row>
    <row r="64991" spans="18:19">
      <c r="R64991" s="178"/>
      <c r="S64991" s="178"/>
    </row>
    <row r="64992" spans="18:19">
      <c r="R64992" s="178"/>
      <c r="S64992" s="178"/>
    </row>
    <row r="64993" spans="18:19">
      <c r="R64993" s="178"/>
      <c r="S64993" s="178"/>
    </row>
    <row r="64994" spans="18:19">
      <c r="R64994" s="178"/>
      <c r="S64994" s="178"/>
    </row>
    <row r="64995" spans="18:19">
      <c r="R64995" s="178"/>
      <c r="S64995" s="178"/>
    </row>
    <row r="64996" spans="18:19">
      <c r="R64996" s="178"/>
      <c r="S64996" s="178"/>
    </row>
    <row r="64997" spans="18:19">
      <c r="R64997" s="178"/>
      <c r="S64997" s="178"/>
    </row>
    <row r="64998" spans="18:19">
      <c r="R64998" s="178"/>
      <c r="S64998" s="178"/>
    </row>
    <row r="64999" spans="18:19">
      <c r="R64999" s="178"/>
      <c r="S64999" s="178"/>
    </row>
    <row r="65000" spans="18:19">
      <c r="R65000" s="178"/>
      <c r="S65000" s="178"/>
    </row>
    <row r="65001" spans="18:19">
      <c r="R65001" s="178"/>
      <c r="S65001" s="178"/>
    </row>
    <row r="65002" spans="18:19">
      <c r="R65002" s="178"/>
      <c r="S65002" s="178"/>
    </row>
    <row r="65003" spans="18:19">
      <c r="R65003" s="178"/>
      <c r="S65003" s="178"/>
    </row>
    <row r="65004" spans="18:19">
      <c r="R65004" s="178"/>
      <c r="S65004" s="178"/>
    </row>
    <row r="65005" spans="18:19">
      <c r="R65005" s="178"/>
      <c r="S65005" s="178"/>
    </row>
    <row r="65006" spans="18:19">
      <c r="R65006" s="178"/>
      <c r="S65006" s="178"/>
    </row>
    <row r="65007" spans="18:19">
      <c r="R65007" s="178"/>
      <c r="S65007" s="178"/>
    </row>
    <row r="65008" spans="18:19">
      <c r="R65008" s="178"/>
      <c r="S65008" s="178"/>
    </row>
    <row r="65009" spans="18:19">
      <c r="R65009" s="178"/>
      <c r="S65009" s="178"/>
    </row>
    <row r="65010" spans="18:19">
      <c r="R65010" s="178"/>
      <c r="S65010" s="178"/>
    </row>
    <row r="65011" spans="18:19">
      <c r="R65011" s="178"/>
      <c r="S65011" s="178"/>
    </row>
    <row r="65012" spans="18:19">
      <c r="R65012" s="178"/>
      <c r="S65012" s="178"/>
    </row>
    <row r="65013" spans="18:19">
      <c r="R65013" s="178"/>
      <c r="S65013" s="178"/>
    </row>
    <row r="65014" spans="18:19">
      <c r="R65014" s="178"/>
      <c r="S65014" s="178"/>
    </row>
    <row r="65015" spans="18:19">
      <c r="R65015" s="178"/>
      <c r="S65015" s="178"/>
    </row>
    <row r="65016" spans="18:19">
      <c r="R65016" s="178"/>
      <c r="S65016" s="178"/>
    </row>
    <row r="65017" spans="18:19">
      <c r="R65017" s="178"/>
      <c r="S65017" s="178"/>
    </row>
    <row r="65018" spans="18:19">
      <c r="R65018" s="178"/>
      <c r="S65018" s="178"/>
    </row>
    <row r="65019" spans="18:19">
      <c r="R65019" s="178"/>
      <c r="S65019" s="178"/>
    </row>
    <row r="65020" spans="18:19">
      <c r="R65020" s="178"/>
      <c r="S65020" s="178"/>
    </row>
    <row r="65021" spans="18:19">
      <c r="R65021" s="178"/>
      <c r="S65021" s="178"/>
    </row>
    <row r="65022" spans="18:19">
      <c r="R65022" s="178"/>
      <c r="S65022" s="178"/>
    </row>
    <row r="65023" spans="18:19">
      <c r="R65023" s="178"/>
      <c r="S65023" s="178"/>
    </row>
    <row r="65024" spans="18:19">
      <c r="R65024" s="178"/>
      <c r="S65024" s="178"/>
    </row>
    <row r="65025" spans="18:19">
      <c r="R65025" s="178"/>
      <c r="S65025" s="178"/>
    </row>
    <row r="65026" spans="18:19">
      <c r="R65026" s="178"/>
      <c r="S65026" s="178"/>
    </row>
    <row r="65027" spans="18:19">
      <c r="R65027" s="178"/>
      <c r="S65027" s="178"/>
    </row>
    <row r="65028" spans="18:19">
      <c r="R65028" s="178"/>
      <c r="S65028" s="178"/>
    </row>
    <row r="65029" spans="18:19">
      <c r="R65029" s="178"/>
      <c r="S65029" s="178"/>
    </row>
    <row r="65030" spans="18:19">
      <c r="R65030" s="178"/>
      <c r="S65030" s="178"/>
    </row>
    <row r="65031" spans="18:19">
      <c r="R65031" s="178"/>
      <c r="S65031" s="178"/>
    </row>
    <row r="65032" spans="18:19">
      <c r="R65032" s="178"/>
      <c r="S65032" s="178"/>
    </row>
    <row r="65033" spans="18:19">
      <c r="R65033" s="178"/>
      <c r="S65033" s="178"/>
    </row>
    <row r="65034" spans="18:19">
      <c r="R65034" s="178"/>
      <c r="S65034" s="178"/>
    </row>
    <row r="65035" spans="18:19">
      <c r="R65035" s="178"/>
      <c r="S65035" s="178"/>
    </row>
    <row r="65036" spans="18:19">
      <c r="R65036" s="178"/>
      <c r="S65036" s="178"/>
    </row>
    <row r="65037" spans="18:19">
      <c r="R65037" s="178"/>
      <c r="S65037" s="178"/>
    </row>
    <row r="65038" spans="18:19">
      <c r="R65038" s="178"/>
      <c r="S65038" s="178"/>
    </row>
    <row r="65039" spans="18:19">
      <c r="R65039" s="178"/>
      <c r="S65039" s="178"/>
    </row>
    <row r="65040" spans="18:19">
      <c r="R65040" s="178"/>
      <c r="S65040" s="178"/>
    </row>
    <row r="65041" spans="18:19">
      <c r="R65041" s="178"/>
      <c r="S65041" s="178"/>
    </row>
    <row r="65042" spans="18:19">
      <c r="R65042" s="178"/>
      <c r="S65042" s="178"/>
    </row>
    <row r="65043" spans="18:19">
      <c r="R65043" s="178"/>
      <c r="S65043" s="178"/>
    </row>
    <row r="65044" spans="18:19">
      <c r="R65044" s="178"/>
      <c r="S65044" s="178"/>
    </row>
    <row r="65045" spans="18:19">
      <c r="R65045" s="178"/>
      <c r="S65045" s="178"/>
    </row>
    <row r="65046" spans="18:19">
      <c r="R65046" s="178"/>
      <c r="S65046" s="178"/>
    </row>
    <row r="65047" spans="18:19">
      <c r="R65047" s="178"/>
      <c r="S65047" s="178"/>
    </row>
    <row r="65048" spans="18:19">
      <c r="R65048" s="178"/>
      <c r="S65048" s="178"/>
    </row>
    <row r="65049" spans="18:19">
      <c r="R65049" s="178"/>
      <c r="S65049" s="178"/>
    </row>
    <row r="65050" spans="18:19">
      <c r="R65050" s="178"/>
      <c r="S65050" s="178"/>
    </row>
    <row r="65051" spans="18:19">
      <c r="R65051" s="178"/>
      <c r="S65051" s="178"/>
    </row>
    <row r="65052" spans="18:19">
      <c r="R65052" s="178"/>
      <c r="S65052" s="178"/>
    </row>
    <row r="65053" spans="18:19">
      <c r="R65053" s="178"/>
      <c r="S65053" s="178"/>
    </row>
    <row r="65054" spans="18:19">
      <c r="R65054" s="178"/>
      <c r="S65054" s="178"/>
    </row>
    <row r="65055" spans="18:19">
      <c r="R65055" s="178"/>
      <c r="S65055" s="178"/>
    </row>
    <row r="65056" spans="18:19">
      <c r="R65056" s="178"/>
      <c r="S65056" s="178"/>
    </row>
    <row r="65057" spans="18:19">
      <c r="R65057" s="178"/>
      <c r="S65057" s="178"/>
    </row>
    <row r="65058" spans="18:19">
      <c r="R65058" s="178"/>
      <c r="S65058" s="178"/>
    </row>
    <row r="65059" spans="18:19">
      <c r="R65059" s="178"/>
      <c r="S65059" s="178"/>
    </row>
    <row r="65060" spans="18:19">
      <c r="R65060" s="178"/>
      <c r="S65060" s="178"/>
    </row>
    <row r="65061" spans="18:19">
      <c r="R65061" s="178"/>
      <c r="S65061" s="178"/>
    </row>
    <row r="65062" spans="18:19">
      <c r="R65062" s="178"/>
      <c r="S65062" s="178"/>
    </row>
    <row r="65063" spans="18:19">
      <c r="R65063" s="178"/>
      <c r="S65063" s="178"/>
    </row>
    <row r="65064" spans="18:19">
      <c r="R65064" s="178"/>
      <c r="S65064" s="178"/>
    </row>
    <row r="65065" spans="18:19">
      <c r="R65065" s="178"/>
      <c r="S65065" s="178"/>
    </row>
    <row r="65066" spans="18:19">
      <c r="R65066" s="178"/>
      <c r="S65066" s="178"/>
    </row>
    <row r="65067" spans="18:19">
      <c r="R65067" s="178"/>
      <c r="S65067" s="178"/>
    </row>
    <row r="65068" spans="18:19">
      <c r="R65068" s="178"/>
      <c r="S65068" s="178"/>
    </row>
    <row r="65069" spans="18:19">
      <c r="R65069" s="178"/>
      <c r="S65069" s="178"/>
    </row>
    <row r="65070" spans="18:19">
      <c r="R65070" s="178"/>
      <c r="S65070" s="178"/>
    </row>
    <row r="65071" spans="18:19">
      <c r="R65071" s="178"/>
      <c r="S65071" s="178"/>
    </row>
    <row r="65072" spans="18:19">
      <c r="R65072" s="178"/>
      <c r="S65072" s="178"/>
    </row>
    <row r="65073" spans="18:19">
      <c r="R65073" s="178"/>
      <c r="S65073" s="178"/>
    </row>
    <row r="65074" spans="18:19">
      <c r="R65074" s="178"/>
      <c r="S65074" s="178"/>
    </row>
    <row r="65075" spans="18:19">
      <c r="R65075" s="178"/>
      <c r="S65075" s="178"/>
    </row>
    <row r="65076" spans="18:19">
      <c r="R65076" s="178"/>
      <c r="S65076" s="178"/>
    </row>
    <row r="65077" spans="18:19">
      <c r="R65077" s="178"/>
      <c r="S65077" s="178"/>
    </row>
    <row r="65078" spans="18:19">
      <c r="R65078" s="178"/>
      <c r="S65078" s="178"/>
    </row>
    <row r="65079" spans="18:19">
      <c r="R65079" s="178"/>
      <c r="S65079" s="178"/>
    </row>
    <row r="65080" spans="18:19">
      <c r="R65080" s="178"/>
      <c r="S65080" s="178"/>
    </row>
    <row r="65081" spans="18:19">
      <c r="R65081" s="178"/>
      <c r="S65081" s="178"/>
    </row>
    <row r="65082" spans="18:19">
      <c r="R65082" s="178"/>
      <c r="S65082" s="178"/>
    </row>
    <row r="65083" spans="18:19">
      <c r="R65083" s="178"/>
      <c r="S65083" s="178"/>
    </row>
    <row r="65084" spans="18:19">
      <c r="R65084" s="178"/>
      <c r="S65084" s="178"/>
    </row>
    <row r="65085" spans="18:19">
      <c r="R65085" s="178"/>
      <c r="S65085" s="178"/>
    </row>
    <row r="65086" spans="18:19">
      <c r="R65086" s="178"/>
      <c r="S65086" s="178"/>
    </row>
    <row r="65087" spans="18:19">
      <c r="R65087" s="178"/>
      <c r="S65087" s="178"/>
    </row>
    <row r="65088" spans="18:19">
      <c r="R65088" s="178"/>
      <c r="S65088" s="178"/>
    </row>
    <row r="65089" spans="18:19">
      <c r="R65089" s="178"/>
      <c r="S65089" s="178"/>
    </row>
    <row r="65090" spans="18:19">
      <c r="R65090" s="178"/>
      <c r="S65090" s="178"/>
    </row>
    <row r="65091" spans="18:19">
      <c r="R65091" s="178"/>
      <c r="S65091" s="178"/>
    </row>
    <row r="65092" spans="18:19">
      <c r="R65092" s="178"/>
      <c r="S65092" s="178"/>
    </row>
    <row r="65093" spans="18:19">
      <c r="R65093" s="178"/>
      <c r="S65093" s="178"/>
    </row>
    <row r="65094" spans="18:19">
      <c r="R65094" s="178"/>
      <c r="S65094" s="178"/>
    </row>
    <row r="65095" spans="18:19">
      <c r="R65095" s="178"/>
      <c r="S65095" s="178"/>
    </row>
    <row r="65096" spans="18:19">
      <c r="R65096" s="178"/>
      <c r="S65096" s="178"/>
    </row>
    <row r="65097" spans="18:19">
      <c r="R65097" s="178"/>
      <c r="S65097" s="178"/>
    </row>
    <row r="65098" spans="18:19">
      <c r="R65098" s="178"/>
      <c r="S65098" s="178"/>
    </row>
    <row r="65099" spans="18:19">
      <c r="R65099" s="178"/>
      <c r="S65099" s="178"/>
    </row>
    <row r="65100" spans="18:19">
      <c r="R65100" s="178"/>
      <c r="S65100" s="178"/>
    </row>
    <row r="65101" spans="18:19">
      <c r="R65101" s="178"/>
      <c r="S65101" s="178"/>
    </row>
    <row r="65102" spans="18:19">
      <c r="R65102" s="178"/>
      <c r="S65102" s="178"/>
    </row>
    <row r="65103" spans="18:19">
      <c r="R65103" s="178"/>
      <c r="S65103" s="178"/>
    </row>
    <row r="65104" spans="18:19">
      <c r="R65104" s="178"/>
      <c r="S65104" s="178"/>
    </row>
    <row r="65105" spans="18:19">
      <c r="R65105" s="178"/>
      <c r="S65105" s="178"/>
    </row>
    <row r="65106" spans="18:19">
      <c r="R65106" s="178"/>
      <c r="S65106" s="178"/>
    </row>
    <row r="65107" spans="18:19">
      <c r="R65107" s="178"/>
      <c r="S65107" s="178"/>
    </row>
    <row r="65108" spans="18:19">
      <c r="R65108" s="178"/>
      <c r="S65108" s="178"/>
    </row>
    <row r="65109" spans="18:19">
      <c r="R65109" s="178"/>
      <c r="S65109" s="178"/>
    </row>
    <row r="65110" spans="18:19">
      <c r="R65110" s="178"/>
      <c r="S65110" s="178"/>
    </row>
    <row r="65111" spans="18:19">
      <c r="R65111" s="178"/>
      <c r="S65111" s="178"/>
    </row>
    <row r="65112" spans="18:19">
      <c r="R65112" s="178"/>
      <c r="S65112" s="178"/>
    </row>
    <row r="65113" spans="18:19">
      <c r="R65113" s="178"/>
      <c r="S65113" s="178"/>
    </row>
    <row r="65114" spans="18:19">
      <c r="R65114" s="178"/>
      <c r="S65114" s="178"/>
    </row>
    <row r="65115" spans="18:19">
      <c r="R65115" s="178"/>
      <c r="S65115" s="178"/>
    </row>
    <row r="65116" spans="18:19">
      <c r="R65116" s="178"/>
      <c r="S65116" s="178"/>
    </row>
    <row r="65117" spans="18:19">
      <c r="R65117" s="178"/>
      <c r="S65117" s="178"/>
    </row>
    <row r="65118" spans="18:19">
      <c r="R65118" s="178"/>
      <c r="S65118" s="178"/>
    </row>
    <row r="65119" spans="18:19">
      <c r="R65119" s="178"/>
      <c r="S65119" s="178"/>
    </row>
    <row r="65120" spans="18:19">
      <c r="R65120" s="178"/>
      <c r="S65120" s="178"/>
    </row>
    <row r="65121" spans="18:19">
      <c r="R65121" s="178"/>
      <c r="S65121" s="178"/>
    </row>
    <row r="65122" spans="18:19">
      <c r="R65122" s="178"/>
      <c r="S65122" s="178"/>
    </row>
    <row r="65123" spans="18:19">
      <c r="R65123" s="178"/>
      <c r="S65123" s="178"/>
    </row>
    <row r="65124" spans="18:19">
      <c r="R65124" s="178"/>
      <c r="S65124" s="178"/>
    </row>
    <row r="65125" spans="18:19">
      <c r="R65125" s="178"/>
      <c r="S65125" s="178"/>
    </row>
    <row r="65126" spans="18:19">
      <c r="R65126" s="178"/>
      <c r="S65126" s="178"/>
    </row>
    <row r="65127" spans="18:19">
      <c r="R65127" s="178"/>
      <c r="S65127" s="178"/>
    </row>
    <row r="65128" spans="18:19">
      <c r="R65128" s="178"/>
      <c r="S65128" s="178"/>
    </row>
    <row r="65129" spans="18:19">
      <c r="R65129" s="178"/>
      <c r="S65129" s="178"/>
    </row>
    <row r="65130" spans="18:19">
      <c r="R65130" s="178"/>
      <c r="S65130" s="178"/>
    </row>
    <row r="65131" spans="18:19">
      <c r="R65131" s="178"/>
      <c r="S65131" s="178"/>
    </row>
    <row r="65132" spans="18:19">
      <c r="R65132" s="178"/>
      <c r="S65132" s="178"/>
    </row>
    <row r="65133" spans="18:19">
      <c r="R65133" s="178"/>
      <c r="S65133" s="178"/>
    </row>
    <row r="65134" spans="18:19">
      <c r="R65134" s="178"/>
      <c r="S65134" s="178"/>
    </row>
    <row r="65135" spans="18:19">
      <c r="R65135" s="178"/>
      <c r="S65135" s="178"/>
    </row>
    <row r="65136" spans="18:19">
      <c r="R65136" s="178"/>
      <c r="S65136" s="178"/>
    </row>
    <row r="65137" spans="18:19">
      <c r="R65137" s="178"/>
      <c r="S65137" s="178"/>
    </row>
    <row r="65138" spans="18:19">
      <c r="R65138" s="178"/>
      <c r="S65138" s="178"/>
    </row>
    <row r="65139" spans="18:19">
      <c r="R65139" s="178"/>
      <c r="S65139" s="178"/>
    </row>
    <row r="65140" spans="18:19">
      <c r="R65140" s="178"/>
      <c r="S65140" s="178"/>
    </row>
    <row r="65141" spans="18:19">
      <c r="R65141" s="178"/>
      <c r="S65141" s="178"/>
    </row>
    <row r="65142" spans="18:19">
      <c r="R65142" s="178"/>
      <c r="S65142" s="178"/>
    </row>
    <row r="65143" spans="18:19">
      <c r="R65143" s="178"/>
      <c r="S65143" s="178"/>
    </row>
    <row r="65144" spans="18:19">
      <c r="R65144" s="178"/>
      <c r="S65144" s="178"/>
    </row>
    <row r="65145" spans="18:19">
      <c r="R65145" s="178"/>
      <c r="S65145" s="178"/>
    </row>
    <row r="65146" spans="18:19">
      <c r="R65146" s="178"/>
      <c r="S65146" s="178"/>
    </row>
    <row r="65147" spans="18:19">
      <c r="R65147" s="178"/>
      <c r="S65147" s="178"/>
    </row>
    <row r="65148" spans="18:19">
      <c r="R65148" s="178"/>
      <c r="S65148" s="178"/>
    </row>
    <row r="65149" spans="18:19">
      <c r="R65149" s="178"/>
      <c r="S65149" s="178"/>
    </row>
    <row r="65150" spans="18:19">
      <c r="R65150" s="178"/>
      <c r="S65150" s="178"/>
    </row>
    <row r="65151" spans="18:19">
      <c r="R65151" s="178"/>
      <c r="S65151" s="178"/>
    </row>
    <row r="65152" spans="18:19">
      <c r="R65152" s="178"/>
      <c r="S65152" s="178"/>
    </row>
    <row r="65153" spans="18:19">
      <c r="R65153" s="178"/>
      <c r="S65153" s="178"/>
    </row>
    <row r="65154" spans="18:19">
      <c r="R65154" s="178"/>
      <c r="S65154" s="178"/>
    </row>
    <row r="65155" spans="18:19">
      <c r="R65155" s="178"/>
      <c r="S65155" s="178"/>
    </row>
    <row r="65156" spans="18:19">
      <c r="R65156" s="178"/>
      <c r="S65156" s="178"/>
    </row>
    <row r="65157" spans="18:19">
      <c r="R65157" s="178"/>
      <c r="S65157" s="178"/>
    </row>
    <row r="65158" spans="18:19">
      <c r="R65158" s="178"/>
      <c r="S65158" s="178"/>
    </row>
    <row r="65159" spans="18:19">
      <c r="R65159" s="178"/>
      <c r="S65159" s="178"/>
    </row>
    <row r="65160" spans="18:19">
      <c r="R65160" s="178"/>
      <c r="S65160" s="178"/>
    </row>
    <row r="65161" spans="18:19">
      <c r="R65161" s="178"/>
      <c r="S65161" s="178"/>
    </row>
    <row r="65162" spans="18:19">
      <c r="R65162" s="178"/>
      <c r="S65162" s="178"/>
    </row>
    <row r="65163" spans="18:19">
      <c r="R65163" s="178"/>
      <c r="S65163" s="178"/>
    </row>
    <row r="65164" spans="18:19">
      <c r="R65164" s="178"/>
      <c r="S65164" s="178"/>
    </row>
    <row r="65165" spans="18:19">
      <c r="R65165" s="178"/>
      <c r="S65165" s="178"/>
    </row>
    <row r="65166" spans="18:19">
      <c r="R65166" s="178"/>
      <c r="S65166" s="178"/>
    </row>
    <row r="65167" spans="18:19">
      <c r="R65167" s="178"/>
      <c r="S65167" s="178"/>
    </row>
    <row r="65168" spans="18:19">
      <c r="R65168" s="178"/>
      <c r="S65168" s="178"/>
    </row>
    <row r="65169" spans="18:19">
      <c r="R65169" s="178"/>
      <c r="S65169" s="178"/>
    </row>
    <row r="65170" spans="18:19">
      <c r="R65170" s="178"/>
      <c r="S65170" s="178"/>
    </row>
    <row r="65171" spans="18:19">
      <c r="R65171" s="178"/>
      <c r="S65171" s="178"/>
    </row>
    <row r="65172" spans="18:19">
      <c r="R65172" s="178"/>
      <c r="S65172" s="178"/>
    </row>
    <row r="65173" spans="18:19">
      <c r="R65173" s="178"/>
      <c r="S65173" s="178"/>
    </row>
    <row r="65174" spans="18:19">
      <c r="R65174" s="178"/>
      <c r="S65174" s="178"/>
    </row>
    <row r="65175" spans="18:19">
      <c r="R65175" s="178"/>
      <c r="S65175" s="178"/>
    </row>
    <row r="65176" spans="18:19">
      <c r="R65176" s="178"/>
      <c r="S65176" s="178"/>
    </row>
    <row r="65177" spans="18:19">
      <c r="R65177" s="178"/>
      <c r="S65177" s="178"/>
    </row>
    <row r="65178" spans="18:19">
      <c r="R65178" s="178"/>
      <c r="S65178" s="178"/>
    </row>
    <row r="65179" spans="18:19">
      <c r="R65179" s="178"/>
      <c r="S65179" s="178"/>
    </row>
    <row r="65180" spans="18:19">
      <c r="R65180" s="178"/>
      <c r="S65180" s="178"/>
    </row>
    <row r="65181" spans="18:19">
      <c r="R65181" s="178"/>
      <c r="S65181" s="178"/>
    </row>
    <row r="65182" spans="18:19">
      <c r="R65182" s="178"/>
      <c r="S65182" s="178"/>
    </row>
    <row r="65183" spans="18:19">
      <c r="R65183" s="178"/>
      <c r="S65183" s="178"/>
    </row>
    <row r="65184" spans="18:19">
      <c r="R65184" s="178"/>
      <c r="S65184" s="178"/>
    </row>
    <row r="65185" spans="18:19">
      <c r="R65185" s="178"/>
      <c r="S65185" s="178"/>
    </row>
    <row r="65186" spans="18:19">
      <c r="R65186" s="178"/>
      <c r="S65186" s="178"/>
    </row>
    <row r="65187" spans="18:19">
      <c r="R65187" s="178"/>
      <c r="S65187" s="178"/>
    </row>
    <row r="65188" spans="18:19">
      <c r="R65188" s="178"/>
      <c r="S65188" s="178"/>
    </row>
    <row r="65189" spans="18:19">
      <c r="R65189" s="178"/>
      <c r="S65189" s="178"/>
    </row>
    <row r="65190" spans="18:19">
      <c r="R65190" s="178"/>
      <c r="S65190" s="178"/>
    </row>
    <row r="65191" spans="18:19">
      <c r="R65191" s="178"/>
      <c r="S65191" s="178"/>
    </row>
    <row r="65192" spans="18:19">
      <c r="R65192" s="178"/>
      <c r="S65192" s="178"/>
    </row>
    <row r="65193" spans="18:19">
      <c r="R65193" s="178"/>
      <c r="S65193" s="178"/>
    </row>
    <row r="65194" spans="18:19">
      <c r="R65194" s="178"/>
      <c r="S65194" s="178"/>
    </row>
    <row r="65195" spans="18:19">
      <c r="R65195" s="178"/>
      <c r="S65195" s="178"/>
    </row>
    <row r="65196" spans="18:19">
      <c r="R65196" s="178"/>
      <c r="S65196" s="178"/>
    </row>
    <row r="65197" spans="18:19">
      <c r="R65197" s="178"/>
      <c r="S65197" s="178"/>
    </row>
    <row r="65198" spans="18:19">
      <c r="R65198" s="178"/>
      <c r="S65198" s="178"/>
    </row>
    <row r="65199" spans="18:19">
      <c r="R65199" s="178"/>
      <c r="S65199" s="178"/>
    </row>
    <row r="65200" spans="18:19">
      <c r="R65200" s="178"/>
      <c r="S65200" s="178"/>
    </row>
    <row r="65201" spans="18:19">
      <c r="R65201" s="178"/>
      <c r="S65201" s="178"/>
    </row>
    <row r="65202" spans="18:19">
      <c r="R65202" s="178"/>
      <c r="S65202" s="178"/>
    </row>
    <row r="65203" spans="18:19">
      <c r="R65203" s="178"/>
      <c r="S65203" s="178"/>
    </row>
    <row r="65204" spans="18:19">
      <c r="R65204" s="178"/>
      <c r="S65204" s="178"/>
    </row>
    <row r="65205" spans="18:19">
      <c r="R65205" s="178"/>
      <c r="S65205" s="178"/>
    </row>
    <row r="65206" spans="18:19">
      <c r="R65206" s="178"/>
      <c r="S65206" s="178"/>
    </row>
    <row r="65207" spans="18:19">
      <c r="R65207" s="178"/>
      <c r="S65207" s="178"/>
    </row>
    <row r="65208" spans="18:19">
      <c r="R65208" s="178"/>
      <c r="S65208" s="178"/>
    </row>
    <row r="65209" spans="18:19">
      <c r="R65209" s="178"/>
      <c r="S65209" s="178"/>
    </row>
    <row r="65210" spans="18:19">
      <c r="R65210" s="178"/>
      <c r="S65210" s="178"/>
    </row>
    <row r="65211" spans="18:19">
      <c r="R65211" s="178"/>
      <c r="S65211" s="178"/>
    </row>
    <row r="65212" spans="18:19">
      <c r="R65212" s="178"/>
      <c r="S65212" s="178"/>
    </row>
    <row r="65213" spans="18:19">
      <c r="R65213" s="178"/>
      <c r="S65213" s="178"/>
    </row>
    <row r="65214" spans="18:19">
      <c r="R65214" s="178"/>
      <c r="S65214" s="178"/>
    </row>
    <row r="65215" spans="18:19">
      <c r="R65215" s="178"/>
      <c r="S65215" s="178"/>
    </row>
    <row r="65216" spans="18:19">
      <c r="R65216" s="178"/>
      <c r="S65216" s="178"/>
    </row>
    <row r="65217" spans="18:19">
      <c r="R65217" s="178"/>
      <c r="S65217" s="178"/>
    </row>
    <row r="65218" spans="18:19">
      <c r="R65218" s="178"/>
      <c r="S65218" s="178"/>
    </row>
    <row r="65219" spans="18:19">
      <c r="R65219" s="178"/>
      <c r="S65219" s="178"/>
    </row>
    <row r="65220" spans="18:19">
      <c r="R65220" s="178"/>
      <c r="S65220" s="178"/>
    </row>
    <row r="65221" spans="18:19">
      <c r="R65221" s="178"/>
      <c r="S65221" s="178"/>
    </row>
    <row r="65222" spans="18:19">
      <c r="R65222" s="178"/>
      <c r="S65222" s="178"/>
    </row>
    <row r="65223" spans="18:19">
      <c r="R65223" s="178"/>
      <c r="S65223" s="178"/>
    </row>
    <row r="65224" spans="18:19">
      <c r="R65224" s="178"/>
      <c r="S65224" s="178"/>
    </row>
    <row r="65225" spans="18:19">
      <c r="R65225" s="178"/>
      <c r="S65225" s="178"/>
    </row>
    <row r="65226" spans="18:19">
      <c r="R65226" s="178"/>
      <c r="S65226" s="178"/>
    </row>
    <row r="65227" spans="18:19">
      <c r="R65227" s="178"/>
      <c r="S65227" s="178"/>
    </row>
    <row r="65228" spans="18:19">
      <c r="R65228" s="178"/>
      <c r="S65228" s="178"/>
    </row>
    <row r="65229" spans="18:19">
      <c r="R65229" s="178"/>
      <c r="S65229" s="178"/>
    </row>
    <row r="65230" spans="18:19">
      <c r="R65230" s="178"/>
      <c r="S65230" s="178"/>
    </row>
    <row r="65231" spans="18:19">
      <c r="R65231" s="178"/>
      <c r="S65231" s="178"/>
    </row>
    <row r="65232" spans="18:19">
      <c r="R65232" s="178"/>
      <c r="S65232" s="178"/>
    </row>
    <row r="65233" spans="18:19">
      <c r="R65233" s="178"/>
      <c r="S65233" s="178"/>
    </row>
    <row r="65234" spans="18:19">
      <c r="R65234" s="178"/>
      <c r="S65234" s="178"/>
    </row>
    <row r="65235" spans="18:19">
      <c r="R65235" s="178"/>
      <c r="S65235" s="178"/>
    </row>
    <row r="65236" spans="18:19">
      <c r="R65236" s="178"/>
      <c r="S65236" s="178"/>
    </row>
    <row r="65237" spans="18:19">
      <c r="R65237" s="178"/>
      <c r="S65237" s="178"/>
    </row>
    <row r="65238" spans="18:19">
      <c r="R65238" s="178"/>
      <c r="S65238" s="178"/>
    </row>
    <row r="65239" spans="18:19">
      <c r="R65239" s="178"/>
      <c r="S65239" s="178"/>
    </row>
    <row r="65240" spans="18:19">
      <c r="R65240" s="178"/>
      <c r="S65240" s="178"/>
    </row>
    <row r="65241" spans="18:19">
      <c r="R65241" s="178"/>
      <c r="S65241" s="178"/>
    </row>
    <row r="65242" spans="18:19">
      <c r="R65242" s="178"/>
      <c r="S65242" s="178"/>
    </row>
    <row r="65243" spans="18:19">
      <c r="R65243" s="178"/>
      <c r="S65243" s="178"/>
    </row>
    <row r="65244" spans="18:19">
      <c r="R65244" s="178"/>
      <c r="S65244" s="178"/>
    </row>
    <row r="65245" spans="18:19">
      <c r="R65245" s="178"/>
      <c r="S65245" s="178"/>
    </row>
    <row r="65246" spans="18:19">
      <c r="R65246" s="178"/>
      <c r="S65246" s="178"/>
    </row>
    <row r="65247" spans="18:19">
      <c r="R65247" s="178"/>
      <c r="S65247" s="178"/>
    </row>
    <row r="65248" spans="18:19">
      <c r="R65248" s="178"/>
      <c r="S65248" s="178"/>
    </row>
    <row r="65249" spans="18:19">
      <c r="R65249" s="178"/>
      <c r="S65249" s="178"/>
    </row>
    <row r="65250" spans="18:19">
      <c r="R65250" s="178"/>
      <c r="S65250" s="178"/>
    </row>
    <row r="65251" spans="18:19">
      <c r="R65251" s="178"/>
      <c r="S65251" s="178"/>
    </row>
    <row r="65252" spans="18:19">
      <c r="R65252" s="178"/>
      <c r="S65252" s="178"/>
    </row>
    <row r="65253" spans="18:19">
      <c r="R65253" s="178"/>
      <c r="S65253" s="178"/>
    </row>
    <row r="65254" spans="18:19">
      <c r="R65254" s="178"/>
      <c r="S65254" s="178"/>
    </row>
    <row r="65255" spans="18:19">
      <c r="R65255" s="178"/>
      <c r="S65255" s="178"/>
    </row>
    <row r="65256" spans="18:19">
      <c r="R65256" s="178"/>
      <c r="S65256" s="178"/>
    </row>
    <row r="65257" spans="18:19">
      <c r="R65257" s="178"/>
      <c r="S65257" s="178"/>
    </row>
    <row r="65258" spans="18:19">
      <c r="R65258" s="178"/>
      <c r="S65258" s="178"/>
    </row>
    <row r="65259" spans="18:19">
      <c r="R65259" s="178"/>
      <c r="S65259" s="178"/>
    </row>
    <row r="65260" spans="18:19">
      <c r="R65260" s="178"/>
      <c r="S65260" s="178"/>
    </row>
    <row r="65261" spans="18:19">
      <c r="R65261" s="178"/>
      <c r="S65261" s="178"/>
    </row>
    <row r="65262" spans="18:19">
      <c r="R65262" s="178"/>
      <c r="S65262" s="178"/>
    </row>
    <row r="65263" spans="18:19">
      <c r="R65263" s="178"/>
      <c r="S65263" s="178"/>
    </row>
    <row r="65264" spans="18:19">
      <c r="R65264" s="178"/>
      <c r="S65264" s="178"/>
    </row>
    <row r="65265" spans="18:19">
      <c r="R65265" s="178"/>
      <c r="S65265" s="178"/>
    </row>
    <row r="65266" spans="18:19">
      <c r="R65266" s="178"/>
      <c r="S65266" s="178"/>
    </row>
    <row r="65267" spans="18:19">
      <c r="R65267" s="178"/>
      <c r="S65267" s="178"/>
    </row>
    <row r="65268" spans="18:19">
      <c r="R65268" s="178"/>
      <c r="S65268" s="178"/>
    </row>
    <row r="65269" spans="18:19">
      <c r="R65269" s="178"/>
      <c r="S65269" s="178"/>
    </row>
    <row r="65270" spans="18:19">
      <c r="R65270" s="178"/>
      <c r="S65270" s="178"/>
    </row>
    <row r="65271" spans="18:19">
      <c r="R65271" s="178"/>
      <c r="S65271" s="178"/>
    </row>
    <row r="65272" spans="18:19">
      <c r="R65272" s="178"/>
      <c r="S65272" s="178"/>
    </row>
    <row r="65273" spans="18:19">
      <c r="R65273" s="178"/>
      <c r="S65273" s="178"/>
    </row>
    <row r="65274" spans="18:19">
      <c r="R65274" s="178"/>
      <c r="S65274" s="178"/>
    </row>
    <row r="65275" spans="18:19">
      <c r="R65275" s="178"/>
      <c r="S65275" s="178"/>
    </row>
    <row r="65276" spans="18:19">
      <c r="R65276" s="178"/>
      <c r="S65276" s="178"/>
    </row>
    <row r="65277" spans="18:19">
      <c r="R65277" s="178"/>
      <c r="S65277" s="178"/>
    </row>
    <row r="65278" spans="18:19">
      <c r="R65278" s="178"/>
      <c r="S65278" s="178"/>
    </row>
    <row r="65279" spans="18:19">
      <c r="R65279" s="178"/>
      <c r="S65279" s="178"/>
    </row>
    <row r="65280" spans="18:19">
      <c r="R65280" s="178"/>
      <c r="S65280" s="178"/>
    </row>
    <row r="65281" spans="18:19">
      <c r="R65281" s="178"/>
      <c r="S65281" s="178"/>
    </row>
    <row r="65282" spans="18:19">
      <c r="R65282" s="178"/>
      <c r="S65282" s="178"/>
    </row>
    <row r="65283" spans="18:19">
      <c r="R65283" s="178"/>
      <c r="S65283" s="178"/>
    </row>
    <row r="65284" spans="18:19">
      <c r="R65284" s="178"/>
      <c r="S65284" s="178"/>
    </row>
    <row r="65285" spans="18:19">
      <c r="R65285" s="178"/>
      <c r="S65285" s="178"/>
    </row>
    <row r="65286" spans="18:19">
      <c r="R65286" s="178"/>
      <c r="S65286" s="178"/>
    </row>
    <row r="65287" spans="18:19">
      <c r="R65287" s="178"/>
      <c r="S65287" s="178"/>
    </row>
    <row r="65288" spans="18:19">
      <c r="R65288" s="178"/>
      <c r="S65288" s="178"/>
    </row>
    <row r="65289" spans="18:19">
      <c r="R65289" s="178"/>
      <c r="S65289" s="178"/>
    </row>
    <row r="65290" spans="18:19">
      <c r="R65290" s="178"/>
      <c r="S65290" s="178"/>
    </row>
    <row r="65291" spans="18:19">
      <c r="R65291" s="178"/>
      <c r="S65291" s="178"/>
    </row>
    <row r="65292" spans="18:19">
      <c r="R65292" s="178"/>
      <c r="S65292" s="178"/>
    </row>
    <row r="65293" spans="18:19">
      <c r="R65293" s="178"/>
      <c r="S65293" s="178"/>
    </row>
    <row r="65294" spans="18:19">
      <c r="R65294" s="178"/>
      <c r="S65294" s="178"/>
    </row>
    <row r="65295" spans="18:19">
      <c r="R65295" s="178"/>
      <c r="S65295" s="178"/>
    </row>
    <row r="65296" spans="18:19">
      <c r="R65296" s="178"/>
      <c r="S65296" s="178"/>
    </row>
    <row r="65297" spans="18:19">
      <c r="R65297" s="178"/>
      <c r="S65297" s="178"/>
    </row>
    <row r="65298" spans="18:19">
      <c r="R65298" s="178"/>
      <c r="S65298" s="178"/>
    </row>
    <row r="65299" spans="18:19">
      <c r="R65299" s="178"/>
      <c r="S65299" s="178"/>
    </row>
    <row r="65300" spans="18:19">
      <c r="R65300" s="178"/>
      <c r="S65300" s="178"/>
    </row>
    <row r="65301" spans="18:19">
      <c r="R65301" s="178"/>
      <c r="S65301" s="178"/>
    </row>
    <row r="65302" spans="18:19">
      <c r="R65302" s="178"/>
      <c r="S65302" s="178"/>
    </row>
    <row r="65303" spans="18:19">
      <c r="R65303" s="178"/>
      <c r="S65303" s="178"/>
    </row>
    <row r="65304" spans="18:19">
      <c r="R65304" s="178"/>
      <c r="S65304" s="178"/>
    </row>
    <row r="65305" spans="18:19">
      <c r="R65305" s="178"/>
      <c r="S65305" s="178"/>
    </row>
    <row r="65306" spans="18:19">
      <c r="R65306" s="178"/>
      <c r="S65306" s="178"/>
    </row>
    <row r="65307" spans="18:19">
      <c r="R65307" s="178"/>
      <c r="S65307" s="178"/>
    </row>
    <row r="65308" spans="18:19">
      <c r="R65308" s="178"/>
      <c r="S65308" s="178"/>
    </row>
    <row r="65309" spans="18:19">
      <c r="R65309" s="178"/>
      <c r="S65309" s="178"/>
    </row>
    <row r="65310" spans="18:19">
      <c r="R65310" s="178"/>
      <c r="S65310" s="178"/>
    </row>
    <row r="65311" spans="18:19">
      <c r="R65311" s="178"/>
      <c r="S65311" s="178"/>
    </row>
    <row r="65312" spans="18:19">
      <c r="R65312" s="178"/>
      <c r="S65312" s="178"/>
    </row>
    <row r="65313" spans="18:19">
      <c r="R65313" s="178"/>
      <c r="S65313" s="178"/>
    </row>
    <row r="65314" spans="18:19">
      <c r="R65314" s="178"/>
      <c r="S65314" s="178"/>
    </row>
    <row r="65315" spans="18:19">
      <c r="R65315" s="178"/>
      <c r="S65315" s="178"/>
    </row>
    <row r="65316" spans="18:19">
      <c r="R65316" s="178"/>
      <c r="S65316" s="178"/>
    </row>
    <row r="65317" spans="18:19">
      <c r="R65317" s="178"/>
      <c r="S65317" s="178"/>
    </row>
    <row r="65318" spans="18:19">
      <c r="R65318" s="178"/>
      <c r="S65318" s="178"/>
    </row>
    <row r="65319" spans="18:19">
      <c r="R65319" s="178"/>
      <c r="S65319" s="178"/>
    </row>
    <row r="65320" spans="18:19">
      <c r="R65320" s="178"/>
      <c r="S65320" s="178"/>
    </row>
    <row r="65321" spans="18:19">
      <c r="R65321" s="178"/>
      <c r="S65321" s="178"/>
    </row>
    <row r="65322" spans="18:19">
      <c r="R65322" s="178"/>
      <c r="S65322" s="178"/>
    </row>
    <row r="65323" spans="18:19">
      <c r="R65323" s="178"/>
      <c r="S65323" s="178"/>
    </row>
    <row r="65324" spans="18:19">
      <c r="R65324" s="178"/>
      <c r="S65324" s="178"/>
    </row>
    <row r="65325" spans="18:19">
      <c r="R65325" s="178"/>
      <c r="S65325" s="178"/>
    </row>
    <row r="65326" spans="18:19">
      <c r="R65326" s="178"/>
      <c r="S65326" s="178"/>
    </row>
    <row r="65327" spans="18:19">
      <c r="R65327" s="178"/>
      <c r="S65327" s="178"/>
    </row>
    <row r="65328" spans="18:19">
      <c r="R65328" s="178"/>
      <c r="S65328" s="178"/>
    </row>
    <row r="65329" spans="18:19">
      <c r="R65329" s="178"/>
      <c r="S65329" s="178"/>
    </row>
    <row r="65330" spans="18:19">
      <c r="R65330" s="178"/>
      <c r="S65330" s="178"/>
    </row>
    <row r="65331" spans="18:19">
      <c r="R65331" s="178"/>
      <c r="S65331" s="178"/>
    </row>
    <row r="65332" spans="18:19">
      <c r="R65332" s="178"/>
      <c r="S65332" s="178"/>
    </row>
    <row r="65333" spans="18:19">
      <c r="R65333" s="178"/>
      <c r="S65333" s="178"/>
    </row>
    <row r="65334" spans="18:19">
      <c r="R65334" s="178"/>
      <c r="S65334" s="178"/>
    </row>
    <row r="65335" spans="18:19">
      <c r="R65335" s="178"/>
      <c r="S65335" s="178"/>
    </row>
    <row r="65336" spans="18:19">
      <c r="R65336" s="178"/>
      <c r="S65336" s="178"/>
    </row>
    <row r="65337" spans="18:19">
      <c r="R65337" s="178"/>
      <c r="S65337" s="178"/>
    </row>
    <row r="65338" spans="18:19">
      <c r="R65338" s="178"/>
      <c r="S65338" s="178"/>
    </row>
    <row r="65339" spans="18:19">
      <c r="R65339" s="178"/>
      <c r="S65339" s="178"/>
    </row>
    <row r="65340" spans="18:19">
      <c r="R65340" s="178"/>
      <c r="S65340" s="178"/>
    </row>
    <row r="65341" spans="18:19">
      <c r="R65341" s="178"/>
      <c r="S65341" s="178"/>
    </row>
    <row r="65342" spans="18:19">
      <c r="R65342" s="178"/>
      <c r="S65342" s="178"/>
    </row>
    <row r="65343" spans="18:19">
      <c r="R65343" s="178"/>
      <c r="S65343" s="178"/>
    </row>
    <row r="65344" spans="18:19">
      <c r="R65344" s="178"/>
      <c r="S65344" s="178"/>
    </row>
    <row r="65345" spans="18:19">
      <c r="R65345" s="178"/>
      <c r="S65345" s="178"/>
    </row>
    <row r="65346" spans="18:19">
      <c r="R65346" s="178"/>
      <c r="S65346" s="178"/>
    </row>
    <row r="65347" spans="18:19">
      <c r="R65347" s="178"/>
      <c r="S65347" s="178"/>
    </row>
    <row r="65348" spans="18:19">
      <c r="R65348" s="178"/>
      <c r="S65348" s="178"/>
    </row>
    <row r="65349" spans="18:19">
      <c r="R65349" s="178"/>
      <c r="S65349" s="178"/>
    </row>
    <row r="65350" spans="18:19">
      <c r="R65350" s="178"/>
      <c r="S65350" s="178"/>
    </row>
    <row r="65351" spans="18:19">
      <c r="R65351" s="178"/>
      <c r="S65351" s="178"/>
    </row>
    <row r="65352" spans="18:19">
      <c r="R65352" s="178"/>
      <c r="S65352" s="178"/>
    </row>
    <row r="65353" spans="18:19">
      <c r="R65353" s="178"/>
      <c r="S65353" s="178"/>
    </row>
    <row r="65354" spans="18:19">
      <c r="R65354" s="178"/>
      <c r="S65354" s="178"/>
    </row>
    <row r="65355" spans="18:19">
      <c r="R65355" s="178"/>
      <c r="S65355" s="178"/>
    </row>
    <row r="65356" spans="18:19">
      <c r="R65356" s="178"/>
      <c r="S65356" s="178"/>
    </row>
    <row r="65357" spans="18:19">
      <c r="R65357" s="178"/>
      <c r="S65357" s="178"/>
    </row>
    <row r="65358" spans="18:19">
      <c r="R65358" s="178"/>
      <c r="S65358" s="178"/>
    </row>
    <row r="65359" spans="18:19">
      <c r="R65359" s="178"/>
      <c r="S65359" s="178"/>
    </row>
    <row r="65360" spans="18:19">
      <c r="R65360" s="178"/>
      <c r="S65360" s="178"/>
    </row>
    <row r="65361" spans="18:19">
      <c r="R65361" s="178"/>
      <c r="S65361" s="178"/>
    </row>
    <row r="65362" spans="18:19">
      <c r="R65362" s="178"/>
      <c r="S65362" s="178"/>
    </row>
    <row r="65363" spans="18:19">
      <c r="R65363" s="178"/>
      <c r="S65363" s="178"/>
    </row>
    <row r="65364" spans="18:19">
      <c r="R65364" s="178"/>
      <c r="S65364" s="178"/>
    </row>
    <row r="65365" spans="18:19">
      <c r="R65365" s="178"/>
      <c r="S65365" s="178"/>
    </row>
    <row r="65366" spans="18:19">
      <c r="R65366" s="178"/>
      <c r="S65366" s="178"/>
    </row>
    <row r="65367" spans="18:19">
      <c r="R65367" s="178"/>
      <c r="S65367" s="178"/>
    </row>
    <row r="65368" spans="18:19">
      <c r="R65368" s="178"/>
      <c r="S65368" s="178"/>
    </row>
    <row r="65369" spans="18:19">
      <c r="R65369" s="178"/>
      <c r="S65369" s="178"/>
    </row>
    <row r="65370" spans="18:19">
      <c r="R65370" s="178"/>
      <c r="S65370" s="178"/>
    </row>
    <row r="65371" spans="18:19">
      <c r="R65371" s="178"/>
      <c r="S65371" s="178"/>
    </row>
    <row r="65372" spans="18:19">
      <c r="R65372" s="178"/>
      <c r="S65372" s="178"/>
    </row>
    <row r="65373" spans="18:19">
      <c r="R65373" s="178"/>
      <c r="S65373" s="178"/>
    </row>
    <row r="65374" spans="18:19">
      <c r="R65374" s="178"/>
      <c r="S65374" s="178"/>
    </row>
    <row r="65375" spans="18:19">
      <c r="R65375" s="178"/>
      <c r="S65375" s="178"/>
    </row>
    <row r="65376" spans="18:19">
      <c r="R65376" s="178"/>
      <c r="S65376" s="178"/>
    </row>
    <row r="65377" spans="18:19">
      <c r="R65377" s="178"/>
      <c r="S65377" s="178"/>
    </row>
    <row r="65378" spans="18:19">
      <c r="R65378" s="178"/>
      <c r="S65378" s="178"/>
    </row>
    <row r="65379" spans="18:19">
      <c r="R65379" s="178"/>
      <c r="S65379" s="178"/>
    </row>
    <row r="65380" spans="18:19">
      <c r="R65380" s="178"/>
      <c r="S65380" s="178"/>
    </row>
    <row r="65381" spans="18:19">
      <c r="R65381" s="178"/>
      <c r="S65381" s="178"/>
    </row>
    <row r="65382" spans="18:19">
      <c r="R65382" s="178"/>
      <c r="S65382" s="178"/>
    </row>
    <row r="65383" spans="18:19">
      <c r="R65383" s="178"/>
      <c r="S65383" s="178"/>
    </row>
    <row r="65384" spans="18:19">
      <c r="R65384" s="178"/>
      <c r="S65384" s="178"/>
    </row>
    <row r="65385" spans="18:19">
      <c r="R65385" s="178"/>
      <c r="S65385" s="178"/>
    </row>
    <row r="65386" spans="18:19">
      <c r="R65386" s="178"/>
      <c r="S65386" s="178"/>
    </row>
    <row r="65387" spans="18:19">
      <c r="R65387" s="178"/>
      <c r="S65387" s="178"/>
    </row>
    <row r="65388" spans="18:19">
      <c r="R65388" s="178"/>
      <c r="S65388" s="178"/>
    </row>
    <row r="65389" spans="18:19">
      <c r="R65389" s="178"/>
      <c r="S65389" s="178"/>
    </row>
    <row r="65390" spans="18:19">
      <c r="R65390" s="178"/>
      <c r="S65390" s="178"/>
    </row>
    <row r="65391" spans="18:19">
      <c r="R65391" s="178"/>
      <c r="S65391" s="178"/>
    </row>
    <row r="65392" spans="18:19">
      <c r="R65392" s="178"/>
      <c r="S65392" s="178"/>
    </row>
    <row r="65393" spans="18:19">
      <c r="R65393" s="178"/>
      <c r="S65393" s="178"/>
    </row>
    <row r="65394" spans="18:19">
      <c r="R65394" s="178"/>
      <c r="S65394" s="178"/>
    </row>
    <row r="65395" spans="18:19">
      <c r="R65395" s="178"/>
      <c r="S65395" s="178"/>
    </row>
    <row r="65396" spans="18:19">
      <c r="R65396" s="178"/>
      <c r="S65396" s="178"/>
    </row>
    <row r="65397" spans="18:19">
      <c r="R65397" s="178"/>
      <c r="S65397" s="178"/>
    </row>
    <row r="65398" spans="18:19">
      <c r="R65398" s="178"/>
      <c r="S65398" s="178"/>
    </row>
    <row r="65399" spans="18:19">
      <c r="R65399" s="178"/>
      <c r="S65399" s="178"/>
    </row>
    <row r="65400" spans="18:19">
      <c r="R65400" s="178"/>
      <c r="S65400" s="178"/>
    </row>
    <row r="65401" spans="18:19">
      <c r="R65401" s="178"/>
      <c r="S65401" s="178"/>
    </row>
    <row r="65402" spans="18:19">
      <c r="R65402" s="178"/>
      <c r="S65402" s="178"/>
    </row>
    <row r="65403" spans="18:19">
      <c r="R65403" s="178"/>
      <c r="S65403" s="178"/>
    </row>
    <row r="65404" spans="18:19">
      <c r="R65404" s="178"/>
      <c r="S65404" s="178"/>
    </row>
    <row r="65405" spans="18:19">
      <c r="R65405" s="178"/>
      <c r="S65405" s="178"/>
    </row>
    <row r="65406" spans="18:19">
      <c r="R65406" s="178"/>
      <c r="S65406" s="178"/>
    </row>
    <row r="65407" spans="18:19">
      <c r="R65407" s="178"/>
      <c r="S65407" s="178"/>
    </row>
    <row r="65408" spans="18:19">
      <c r="R65408" s="178"/>
      <c r="S65408" s="178"/>
    </row>
    <row r="65409" spans="18:19">
      <c r="R65409" s="178"/>
      <c r="S65409" s="178"/>
    </row>
    <row r="65410" spans="18:19">
      <c r="R65410" s="178"/>
      <c r="S65410" s="178"/>
    </row>
    <row r="65411" spans="18:19">
      <c r="R65411" s="178"/>
      <c r="S65411" s="178"/>
    </row>
    <row r="65412" spans="18:19">
      <c r="R65412" s="178"/>
      <c r="S65412" s="178"/>
    </row>
    <row r="65413" spans="18:19">
      <c r="R65413" s="178"/>
      <c r="S65413" s="178"/>
    </row>
    <row r="65414" spans="18:19">
      <c r="R65414" s="178"/>
      <c r="S65414" s="178"/>
    </row>
    <row r="65415" spans="18:19">
      <c r="R65415" s="178"/>
      <c r="S65415" s="178"/>
    </row>
    <row r="65416" spans="18:19">
      <c r="R65416" s="178"/>
      <c r="S65416" s="178"/>
    </row>
    <row r="65417" spans="18:19">
      <c r="R65417" s="178"/>
      <c r="S65417" s="178"/>
    </row>
    <row r="65418" spans="18:19">
      <c r="R65418" s="178"/>
      <c r="S65418" s="178"/>
    </row>
    <row r="65419" spans="18:19">
      <c r="R65419" s="178"/>
      <c r="S65419" s="178"/>
    </row>
    <row r="65420" spans="18:19">
      <c r="R65420" s="178"/>
      <c r="S65420" s="178"/>
    </row>
    <row r="65421" spans="18:19">
      <c r="R65421" s="178"/>
      <c r="S65421" s="178"/>
    </row>
    <row r="65422" spans="18:19">
      <c r="R65422" s="178"/>
      <c r="S65422" s="178"/>
    </row>
    <row r="65423" spans="18:19">
      <c r="R65423" s="178"/>
      <c r="S65423" s="178"/>
    </row>
    <row r="65424" spans="18:19">
      <c r="R65424" s="178"/>
      <c r="S65424" s="178"/>
    </row>
    <row r="65425" spans="18:19">
      <c r="R65425" s="178"/>
      <c r="S65425" s="178"/>
    </row>
    <row r="65426" spans="18:19">
      <c r="R65426" s="178"/>
      <c r="S65426" s="178"/>
    </row>
    <row r="65427" spans="18:19">
      <c r="R65427" s="178"/>
      <c r="S65427" s="178"/>
    </row>
    <row r="65428" spans="18:19">
      <c r="R65428" s="178"/>
      <c r="S65428" s="178"/>
    </row>
    <row r="65429" spans="18:19">
      <c r="R65429" s="178"/>
      <c r="S65429" s="178"/>
    </row>
    <row r="65430" spans="18:19">
      <c r="R65430" s="178"/>
      <c r="S65430" s="178"/>
    </row>
    <row r="65431" spans="18:19">
      <c r="R65431" s="178"/>
      <c r="S65431" s="178"/>
    </row>
    <row r="65432" spans="18:19">
      <c r="R65432" s="178"/>
      <c r="S65432" s="178"/>
    </row>
    <row r="65433" spans="18:19">
      <c r="R65433" s="178"/>
      <c r="S65433" s="178"/>
    </row>
    <row r="65434" spans="18:19">
      <c r="R65434" s="178"/>
      <c r="S65434" s="178"/>
    </row>
    <row r="65435" spans="18:19">
      <c r="R65435" s="178"/>
      <c r="S65435" s="178"/>
    </row>
    <row r="65436" spans="18:19">
      <c r="R65436" s="178"/>
      <c r="S65436" s="178"/>
    </row>
    <row r="65437" spans="18:19">
      <c r="R65437" s="178"/>
      <c r="S65437" s="178"/>
    </row>
    <row r="65438" spans="18:19">
      <c r="R65438" s="178"/>
      <c r="S65438" s="178"/>
    </row>
    <row r="65439" spans="18:19">
      <c r="R65439" s="178"/>
      <c r="S65439" s="178"/>
    </row>
    <row r="65440" spans="18:19">
      <c r="R65440" s="178"/>
      <c r="S65440" s="178"/>
    </row>
    <row r="65441" spans="18:19">
      <c r="R65441" s="178"/>
      <c r="S65441" s="178"/>
    </row>
    <row r="65442" spans="18:19">
      <c r="R65442" s="178"/>
      <c r="S65442" s="178"/>
    </row>
    <row r="65443" spans="18:19">
      <c r="R65443" s="178"/>
      <c r="S65443" s="178"/>
    </row>
    <row r="65444" spans="18:19">
      <c r="R65444" s="178"/>
      <c r="S65444" s="178"/>
    </row>
    <row r="65445" spans="18:19">
      <c r="R65445" s="178"/>
      <c r="S65445" s="178"/>
    </row>
    <row r="65446" spans="18:19">
      <c r="R65446" s="178"/>
      <c r="S65446" s="178"/>
    </row>
    <row r="65447" spans="18:19">
      <c r="R65447" s="178"/>
      <c r="S65447" s="178"/>
    </row>
    <row r="65448" spans="18:19">
      <c r="R65448" s="178"/>
      <c r="S65448" s="178"/>
    </row>
    <row r="65449" spans="18:19">
      <c r="R65449" s="178"/>
      <c r="S65449" s="178"/>
    </row>
    <row r="65450" spans="18:19">
      <c r="R65450" s="178"/>
      <c r="S65450" s="178"/>
    </row>
    <row r="65451" spans="18:19">
      <c r="R65451" s="178"/>
      <c r="S65451" s="178"/>
    </row>
    <row r="65452" spans="18:19">
      <c r="R65452" s="178"/>
      <c r="S65452" s="178"/>
    </row>
    <row r="65453" spans="18:19">
      <c r="R65453" s="178"/>
      <c r="S65453" s="178"/>
    </row>
    <row r="65454" spans="18:19">
      <c r="R65454" s="178"/>
      <c r="S65454" s="178"/>
    </row>
    <row r="65455" spans="18:19">
      <c r="R65455" s="178"/>
      <c r="S65455" s="178"/>
    </row>
    <row r="65456" spans="18:19">
      <c r="R65456" s="178"/>
      <c r="S65456" s="178"/>
    </row>
    <row r="65457" spans="18:19">
      <c r="R65457" s="178"/>
      <c r="S65457" s="178"/>
    </row>
    <row r="65458" spans="18:19">
      <c r="R65458" s="178"/>
      <c r="S65458" s="178"/>
    </row>
    <row r="65459" spans="18:19">
      <c r="R65459" s="178"/>
      <c r="S65459" s="178"/>
    </row>
    <row r="65460" spans="18:19">
      <c r="R65460" s="178"/>
      <c r="S65460" s="178"/>
    </row>
    <row r="65461" spans="18:19">
      <c r="R65461" s="178"/>
      <c r="S65461" s="178"/>
    </row>
    <row r="65462" spans="18:19">
      <c r="R65462" s="178"/>
      <c r="S65462" s="178"/>
    </row>
    <row r="65463" spans="18:19">
      <c r="R65463" s="178"/>
      <c r="S65463" s="178"/>
    </row>
    <row r="65464" spans="18:19">
      <c r="R65464" s="178"/>
      <c r="S65464" s="178"/>
    </row>
    <row r="65465" spans="18:19">
      <c r="R65465" s="178"/>
      <c r="S65465" s="178"/>
    </row>
    <row r="65466" spans="18:19">
      <c r="R65466" s="178"/>
      <c r="S65466" s="178"/>
    </row>
    <row r="65467" spans="18:19">
      <c r="R65467" s="178"/>
      <c r="S65467" s="178"/>
    </row>
    <row r="65468" spans="18:19">
      <c r="R65468" s="178"/>
      <c r="S65468" s="178"/>
    </row>
    <row r="65469" spans="18:19">
      <c r="R65469" s="178"/>
      <c r="S65469" s="178"/>
    </row>
    <row r="65470" spans="18:19">
      <c r="R65470" s="178"/>
      <c r="S65470" s="178"/>
    </row>
    <row r="65471" spans="18:19">
      <c r="R65471" s="178"/>
      <c r="S65471" s="178"/>
    </row>
    <row r="65472" spans="18:19">
      <c r="R65472" s="178"/>
      <c r="S65472" s="178"/>
    </row>
    <row r="65473" spans="18:19">
      <c r="R65473" s="178"/>
      <c r="S65473" s="178"/>
    </row>
    <row r="65474" spans="18:19">
      <c r="R65474" s="178"/>
      <c r="S65474" s="178"/>
    </row>
    <row r="65475" spans="18:19">
      <c r="R65475" s="178"/>
      <c r="S65475" s="178"/>
    </row>
    <row r="65476" spans="18:19">
      <c r="R65476" s="178"/>
      <c r="S65476" s="178"/>
    </row>
    <row r="65477" spans="18:19">
      <c r="R65477" s="178"/>
      <c r="S65477" s="178"/>
    </row>
    <row r="65478" spans="18:19">
      <c r="R65478" s="178"/>
      <c r="S65478" s="178"/>
    </row>
    <row r="65479" spans="18:19">
      <c r="R65479" s="178"/>
      <c r="S65479" s="178"/>
    </row>
    <row r="65480" spans="18:19">
      <c r="R65480" s="178"/>
      <c r="S65480" s="178"/>
    </row>
    <row r="65481" spans="18:19">
      <c r="R65481" s="178"/>
      <c r="S65481" s="178"/>
    </row>
    <row r="65482" spans="18:19">
      <c r="R65482" s="178"/>
      <c r="S65482" s="178"/>
    </row>
    <row r="65483" spans="18:19">
      <c r="R65483" s="178"/>
      <c r="S65483" s="178"/>
    </row>
    <row r="65484" spans="18:19">
      <c r="R65484" s="178"/>
      <c r="S65484" s="178"/>
    </row>
    <row r="65485" spans="18:19">
      <c r="R65485" s="178"/>
      <c r="S65485" s="178"/>
    </row>
    <row r="65486" spans="18:19">
      <c r="R65486" s="178"/>
      <c r="S65486" s="178"/>
    </row>
    <row r="65487" spans="18:19">
      <c r="R65487" s="178"/>
      <c r="S65487" s="178"/>
    </row>
    <row r="65488" spans="18:19">
      <c r="R65488" s="178"/>
      <c r="S65488" s="178"/>
    </row>
    <row r="65489" spans="18:19">
      <c r="R65489" s="178"/>
      <c r="S65489" s="178"/>
    </row>
    <row r="65490" spans="18:19">
      <c r="R65490" s="178"/>
      <c r="S65490" s="178"/>
    </row>
    <row r="65491" spans="18:19">
      <c r="R65491" s="178"/>
      <c r="S65491" s="178"/>
    </row>
    <row r="65492" spans="18:19">
      <c r="R65492" s="178"/>
      <c r="S65492" s="178"/>
    </row>
    <row r="65493" spans="18:19">
      <c r="R65493" s="178"/>
      <c r="S65493" s="178"/>
    </row>
    <row r="65494" spans="18:19">
      <c r="R65494" s="178"/>
      <c r="S65494" s="178"/>
    </row>
    <row r="65495" spans="18:19">
      <c r="R65495" s="178"/>
      <c r="S65495" s="178"/>
    </row>
    <row r="65496" spans="18:19">
      <c r="R65496" s="178"/>
      <c r="S65496" s="178"/>
    </row>
    <row r="65497" spans="18:19">
      <c r="R65497" s="178"/>
      <c r="S65497" s="178"/>
    </row>
    <row r="65498" spans="18:19">
      <c r="R65498" s="178"/>
      <c r="S65498" s="178"/>
    </row>
    <row r="65499" spans="18:19">
      <c r="R65499" s="178"/>
      <c r="S65499" s="178"/>
    </row>
    <row r="65500" spans="18:19">
      <c r="R65500" s="178"/>
      <c r="S65500" s="178"/>
    </row>
    <row r="65501" spans="18:19">
      <c r="R65501" s="178"/>
      <c r="S65501" s="178"/>
    </row>
    <row r="65502" spans="18:19">
      <c r="R65502" s="178"/>
      <c r="S65502" s="178"/>
    </row>
    <row r="65503" spans="18:19">
      <c r="R65503" s="178"/>
      <c r="S65503" s="178"/>
    </row>
    <row r="65504" spans="18:19">
      <c r="R65504" s="178"/>
      <c r="S65504" s="178"/>
    </row>
    <row r="65505" spans="18:19">
      <c r="R65505" s="178"/>
      <c r="S65505" s="178"/>
    </row>
    <row r="65506" spans="18:19">
      <c r="R65506" s="178"/>
      <c r="S65506" s="178"/>
    </row>
    <row r="65507" spans="18:19">
      <c r="R65507" s="178"/>
      <c r="S65507" s="178"/>
    </row>
    <row r="65508" spans="18:19">
      <c r="R65508" s="178"/>
      <c r="S65508" s="178"/>
    </row>
    <row r="65509" spans="18:19">
      <c r="R65509" s="178"/>
      <c r="S65509" s="178"/>
    </row>
    <row r="65510" spans="18:19">
      <c r="R65510" s="178"/>
      <c r="S65510" s="178"/>
    </row>
    <row r="65511" spans="18:19">
      <c r="R65511" s="178"/>
      <c r="S65511" s="178"/>
    </row>
    <row r="65512" spans="18:19">
      <c r="R65512" s="178"/>
      <c r="S65512" s="178"/>
    </row>
    <row r="65513" spans="18:19">
      <c r="R65513" s="178"/>
      <c r="S65513" s="178"/>
    </row>
    <row r="65514" spans="18:19">
      <c r="R65514" s="178"/>
      <c r="S65514" s="178"/>
    </row>
    <row r="65515" spans="18:19">
      <c r="R65515" s="178"/>
      <c r="S65515" s="178"/>
    </row>
    <row r="65516" spans="18:19">
      <c r="R65516" s="178"/>
      <c r="S65516" s="178"/>
    </row>
    <row r="65517" spans="18:19">
      <c r="R65517" s="178"/>
      <c r="S65517" s="178"/>
    </row>
    <row r="65518" spans="18:19">
      <c r="R65518" s="178"/>
      <c r="S65518" s="178"/>
    </row>
    <row r="65519" spans="18:19">
      <c r="R65519" s="178"/>
      <c r="S65519" s="178"/>
    </row>
    <row r="65520" spans="18:19">
      <c r="R65520" s="178"/>
      <c r="S65520" s="178"/>
    </row>
    <row r="65521" spans="18:19">
      <c r="R65521" s="178"/>
      <c r="S65521" s="178"/>
    </row>
    <row r="65522" spans="18:19">
      <c r="R65522" s="178"/>
      <c r="S65522" s="178"/>
    </row>
    <row r="65523" spans="18:19">
      <c r="R65523" s="178"/>
      <c r="S65523" s="178"/>
    </row>
    <row r="65524" spans="18:19">
      <c r="R65524" s="178"/>
      <c r="S65524" s="178"/>
    </row>
    <row r="65525" spans="18:19">
      <c r="R65525" s="178"/>
      <c r="S65525" s="178"/>
    </row>
    <row r="65526" spans="18:19">
      <c r="R65526" s="178"/>
      <c r="S65526" s="178"/>
    </row>
    <row r="65527" spans="18:19">
      <c r="R65527" s="178"/>
      <c r="S65527" s="178"/>
    </row>
    <row r="65528" spans="18:19">
      <c r="R65528" s="178"/>
      <c r="S65528" s="178"/>
    </row>
    <row r="65529" spans="18:19">
      <c r="R65529" s="178"/>
      <c r="S65529" s="178"/>
    </row>
    <row r="65530" spans="18:19">
      <c r="R65530" s="178"/>
      <c r="S65530" s="178"/>
    </row>
    <row r="65531" spans="18:19">
      <c r="R65531" s="178"/>
      <c r="S65531" s="178"/>
    </row>
    <row r="65532" spans="18:19">
      <c r="R65532" s="178"/>
      <c r="S65532" s="178"/>
    </row>
    <row r="65533" spans="18:19">
      <c r="R65533" s="178"/>
      <c r="S65533" s="178"/>
    </row>
    <row r="65534" spans="18:19">
      <c r="R65534" s="178"/>
      <c r="S65534" s="178"/>
    </row>
    <row r="65535" spans="18:19">
      <c r="R65535" s="178"/>
      <c r="S65535" s="178"/>
    </row>
    <row r="65536" spans="18:19">
      <c r="R65536" s="178"/>
      <c r="S65536" s="178"/>
    </row>
    <row r="65537" spans="18:19">
      <c r="R65537" s="178"/>
      <c r="S65537" s="178"/>
    </row>
    <row r="65538" spans="18:19">
      <c r="R65538" s="178"/>
      <c r="S65538" s="178"/>
    </row>
    <row r="65539" spans="18:19">
      <c r="R65539" s="178"/>
      <c r="S65539" s="178"/>
    </row>
    <row r="65540" spans="18:19">
      <c r="R65540" s="178"/>
      <c r="S65540" s="178"/>
    </row>
    <row r="65541" spans="18:19">
      <c r="R65541" s="178"/>
      <c r="S65541" s="178"/>
    </row>
    <row r="65542" spans="18:19">
      <c r="R65542" s="178"/>
      <c r="S65542" s="178"/>
    </row>
    <row r="65543" spans="18:19">
      <c r="R65543" s="178"/>
      <c r="S65543" s="178"/>
    </row>
    <row r="65544" spans="18:19">
      <c r="R65544" s="178"/>
      <c r="S65544" s="178"/>
    </row>
  </sheetData>
  <phoneticPr fontId="39" type="noConversion"/>
  <pageMargins left="0.75" right="0.75" top="1" bottom="1" header="0.5" footer="0.5"/>
  <pageSetup scale="64" orientation="portrait" r:id="rId1"/>
  <headerFooter alignWithMargins="0"/>
  <rowBreaks count="1" manualBreakCount="1">
    <brk id="150" max="39"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BB67"/>
  <sheetViews>
    <sheetView view="pageBreakPreview" zoomScale="85" zoomScaleNormal="100" zoomScaleSheetLayoutView="85" workbookViewId="0">
      <pane xSplit="3" ySplit="10" topLeftCell="D11" activePane="bottomRight" state="frozen"/>
      <selection activeCell="H177" sqref="H177"/>
      <selection pane="topRight" activeCell="H177" sqref="H177"/>
      <selection pane="bottomLeft" activeCell="H177" sqref="H177"/>
      <selection pane="bottomRight" activeCell="L57" sqref="L57"/>
    </sheetView>
  </sheetViews>
  <sheetFormatPr defaultRowHeight="12.75" outlineLevelRow="1" outlineLevelCol="1"/>
  <cols>
    <col min="1" max="1" width="2.7109375" style="3" customWidth="1"/>
    <col min="2" max="2" width="7.28515625" style="3" customWidth="1"/>
    <col min="3" max="3" width="1.85546875" style="3" customWidth="1"/>
    <col min="4" max="4" width="6.7109375" style="3" customWidth="1"/>
    <col min="5" max="5" width="1.5703125" style="3" customWidth="1"/>
    <col min="6" max="6" width="6.42578125" style="3" customWidth="1"/>
    <col min="7" max="7" width="6.42578125" style="3" customWidth="1" outlineLevel="1"/>
    <col min="8" max="8" width="2.140625" style="3" customWidth="1"/>
    <col min="9" max="9" width="6.5703125" style="3" customWidth="1"/>
    <col min="10" max="10" width="1.7109375" style="3" customWidth="1"/>
    <col min="11" max="11" width="7.85546875" style="3" customWidth="1"/>
    <col min="12" max="12" width="4.140625" style="3" customWidth="1"/>
    <col min="13" max="13" width="6" style="3" customWidth="1"/>
    <col min="14" max="14" width="3.5703125" style="3" bestFit="1" customWidth="1"/>
    <col min="15" max="15" width="6.42578125" style="3" customWidth="1"/>
    <col min="16" max="16" width="1.42578125" style="3" customWidth="1"/>
    <col min="17" max="17" width="7.7109375" style="3" customWidth="1"/>
    <col min="18" max="18" width="1.7109375" style="3" customWidth="1"/>
    <col min="19" max="19" width="9" style="3" customWidth="1"/>
    <col min="20" max="20" width="4" style="3" customWidth="1"/>
    <col min="21" max="21" width="1.7109375" style="3" customWidth="1"/>
    <col min="22" max="22" width="10.140625" style="3" customWidth="1"/>
    <col min="23" max="24" width="10.140625" style="3" hidden="1" customWidth="1" outlineLevel="1"/>
    <col min="25" max="25" width="2.5703125" style="3" customWidth="1" collapsed="1"/>
    <col min="26" max="26" width="1.42578125" style="3" customWidth="1"/>
    <col min="27" max="27" width="6.7109375" style="3" customWidth="1"/>
    <col min="28" max="28" width="1.42578125" style="3" customWidth="1"/>
    <col min="29" max="29" width="6.7109375" style="3" customWidth="1"/>
    <col min="30" max="30" width="10" style="3" hidden="1" customWidth="1" outlineLevel="1"/>
    <col min="31" max="31" width="12.140625" style="63" hidden="1" customWidth="1" outlineLevel="1"/>
    <col min="32" max="34" width="9.140625" style="63" hidden="1" customWidth="1" outlineLevel="1"/>
    <col min="35" max="35" width="1.7109375" style="3" customWidth="1" collapsed="1"/>
    <col min="36" max="36" width="9" style="3" customWidth="1"/>
    <col min="37" max="37" width="1.42578125" style="3" customWidth="1"/>
    <col min="38" max="38" width="7" style="3" customWidth="1"/>
    <col min="39" max="39" width="1.42578125" style="3" customWidth="1"/>
    <col min="40" max="40" width="8.140625" style="3" customWidth="1"/>
    <col min="41" max="41" width="1.7109375" style="3" customWidth="1"/>
    <col min="42" max="42" width="8.42578125" style="3" customWidth="1"/>
    <col min="43" max="43" width="4" style="3" customWidth="1"/>
    <col min="44" max="44" width="1.42578125" style="3" customWidth="1"/>
    <col min="45" max="45" width="8.42578125" style="3" customWidth="1"/>
    <col min="46" max="46" width="1.42578125" style="3" customWidth="1"/>
    <col min="47" max="47" width="7.5703125" style="3" customWidth="1"/>
    <col min="48" max="48" width="1.42578125" style="3" customWidth="1"/>
    <col min="49" max="49" width="9.28515625" style="3" bestFit="1" customWidth="1"/>
    <col min="50" max="50" width="1.7109375" style="3" customWidth="1"/>
    <col min="51" max="53" width="9.28515625" style="3" bestFit="1" customWidth="1"/>
    <col min="54" max="16384" width="9.140625" style="3"/>
  </cols>
  <sheetData>
    <row r="1" spans="1:54">
      <c r="A1" s="93" t="s">
        <v>342</v>
      </c>
      <c r="B1" s="41"/>
      <c r="C1" s="5"/>
      <c r="D1" s="5"/>
      <c r="E1" s="22"/>
      <c r="F1" s="5"/>
      <c r="G1" s="5"/>
      <c r="H1" s="5"/>
      <c r="I1" s="5"/>
      <c r="J1" s="22"/>
      <c r="K1" s="25"/>
      <c r="L1" s="25"/>
      <c r="M1" s="25"/>
      <c r="N1" s="25"/>
      <c r="O1" s="25"/>
      <c r="P1" s="26"/>
      <c r="Q1" s="25"/>
      <c r="R1" s="26"/>
      <c r="S1" s="1073"/>
      <c r="T1" s="25"/>
      <c r="U1" s="26"/>
      <c r="V1" s="25"/>
      <c r="W1" s="25"/>
      <c r="X1" s="25"/>
      <c r="Y1" s="25"/>
      <c r="Z1" s="25"/>
      <c r="AA1" s="26"/>
      <c r="AB1" s="26"/>
      <c r="AC1" s="25"/>
      <c r="AD1" s="25"/>
      <c r="AE1" s="709"/>
      <c r="AF1" s="709"/>
      <c r="AG1" s="709"/>
      <c r="AH1" s="709"/>
      <c r="AI1" s="25"/>
      <c r="AJ1" s="25"/>
      <c r="AK1" s="25"/>
      <c r="AL1" s="25"/>
      <c r="AM1" s="26"/>
      <c r="AN1" s="25"/>
      <c r="AO1" s="26"/>
      <c r="AP1" s="25"/>
      <c r="AQ1" s="25"/>
      <c r="AR1" s="26"/>
      <c r="AS1" s="25"/>
      <c r="AT1" s="25"/>
      <c r="AU1" s="26"/>
      <c r="AV1" s="26"/>
      <c r="AW1" s="25"/>
      <c r="AX1" s="25"/>
      <c r="AY1" s="25"/>
      <c r="AZ1" s="25"/>
      <c r="BA1" s="25"/>
      <c r="BB1" s="25"/>
    </row>
    <row r="2" spans="1:54">
      <c r="A2" s="7" t="s">
        <v>870</v>
      </c>
      <c r="B2" s="42"/>
      <c r="C2" s="7"/>
      <c r="D2" s="7"/>
      <c r="E2" s="23"/>
      <c r="F2" s="7"/>
      <c r="G2" s="7"/>
      <c r="H2" s="7"/>
      <c r="I2" s="7"/>
      <c r="J2" s="23"/>
      <c r="K2" s="7"/>
      <c r="L2" s="7"/>
      <c r="M2" s="7"/>
      <c r="N2" s="7"/>
      <c r="O2" s="7"/>
      <c r="P2" s="23"/>
      <c r="Q2" s="7"/>
      <c r="R2" s="23"/>
      <c r="S2" s="7"/>
      <c r="T2" s="7"/>
      <c r="U2" s="23"/>
      <c r="V2" s="7"/>
      <c r="W2" s="7"/>
      <c r="X2" s="7"/>
      <c r="Y2" s="7"/>
      <c r="Z2" s="7"/>
      <c r="AA2" s="23"/>
      <c r="AB2" s="23"/>
      <c r="AC2" s="7"/>
      <c r="AD2" s="7"/>
      <c r="AE2" s="710"/>
      <c r="AF2" s="710"/>
      <c r="AG2" s="710"/>
      <c r="AH2" s="710"/>
      <c r="AI2" s="7"/>
      <c r="AJ2" s="7"/>
      <c r="AK2" s="7"/>
      <c r="AL2" s="7"/>
      <c r="AM2" s="23"/>
      <c r="AN2" s="7"/>
      <c r="AO2" s="23"/>
      <c r="AP2" s="7"/>
      <c r="AQ2" s="7"/>
      <c r="AR2" s="23"/>
      <c r="AS2" s="7"/>
      <c r="AT2" s="7"/>
      <c r="AU2" s="23"/>
      <c r="AV2" s="23"/>
      <c r="AW2" s="7"/>
      <c r="AX2" s="25"/>
      <c r="AY2" s="25"/>
      <c r="AZ2" s="25"/>
      <c r="BA2" s="25"/>
      <c r="BB2" s="25"/>
    </row>
    <row r="3" spans="1:54">
      <c r="B3" s="216"/>
      <c r="AZ3" s="56"/>
    </row>
    <row r="4" spans="1:54">
      <c r="B4" s="216"/>
      <c r="AZ4" s="56"/>
    </row>
    <row r="5" spans="1:54">
      <c r="B5" s="216"/>
      <c r="K5" s="1074"/>
      <c r="L5" s="1075"/>
      <c r="M5" s="1075" t="s">
        <v>154</v>
      </c>
      <c r="N5" s="1075"/>
      <c r="O5" s="1075"/>
      <c r="P5" s="1075"/>
      <c r="Q5" s="1075"/>
      <c r="R5" s="1075"/>
      <c r="S5" s="1075"/>
      <c r="T5" s="1075"/>
      <c r="U5" s="1075"/>
      <c r="V5" s="1075"/>
      <c r="W5" s="1075"/>
      <c r="X5" s="1075"/>
      <c r="Y5" s="1075"/>
      <c r="Z5" s="1075"/>
      <c r="AA5" s="1075"/>
      <c r="AB5" s="1075"/>
      <c r="AC5" s="1076"/>
      <c r="AD5" s="1077"/>
      <c r="AE5" s="1078"/>
      <c r="AF5" s="1078"/>
      <c r="AG5" s="1078"/>
      <c r="AH5" s="1078"/>
      <c r="AJ5" s="1074" t="s">
        <v>155</v>
      </c>
      <c r="AK5" s="1075"/>
      <c r="AL5" s="1075"/>
      <c r="AM5" s="1075"/>
      <c r="AN5" s="1075"/>
      <c r="AO5" s="1075"/>
      <c r="AP5" s="1075"/>
      <c r="AQ5" s="1075"/>
      <c r="AR5" s="1075"/>
      <c r="AS5" s="1075"/>
      <c r="AT5" s="1075"/>
      <c r="AU5" s="1075"/>
      <c r="AV5" s="1075"/>
      <c r="AW5" s="1076"/>
      <c r="AZ5" s="56"/>
    </row>
    <row r="6" spans="1:54">
      <c r="B6" s="216"/>
      <c r="D6" s="2393" t="s">
        <v>482</v>
      </c>
      <c r="E6" s="2393"/>
      <c r="F6" s="2393"/>
      <c r="G6" s="60"/>
      <c r="I6" s="24" t="s">
        <v>544</v>
      </c>
      <c r="Q6" s="24" t="s">
        <v>306</v>
      </c>
      <c r="S6" s="1077" t="s">
        <v>554</v>
      </c>
      <c r="T6" s="1077"/>
      <c r="V6" s="54"/>
      <c r="W6" s="54"/>
      <c r="X6" s="54"/>
      <c r="Y6" s="54"/>
      <c r="Z6" s="54"/>
      <c r="AA6" s="156"/>
      <c r="AB6" s="1079"/>
      <c r="AC6" s="54"/>
      <c r="AD6" s="56"/>
      <c r="AE6" s="1080"/>
      <c r="AF6" s="1080"/>
      <c r="AG6" s="1080"/>
      <c r="AH6" s="1080"/>
      <c r="AP6" s="1077" t="s">
        <v>554</v>
      </c>
      <c r="AQ6" s="1077"/>
      <c r="AS6" s="54"/>
      <c r="AT6" s="54"/>
      <c r="AU6" s="49" t="s">
        <v>174</v>
      </c>
      <c r="AV6" s="54"/>
      <c r="AW6" s="54"/>
      <c r="AZ6" s="56"/>
    </row>
    <row r="7" spans="1:54">
      <c r="B7" s="216"/>
      <c r="D7" s="24"/>
      <c r="E7" s="24"/>
      <c r="F7" s="24" t="s">
        <v>543</v>
      </c>
      <c r="G7" s="24" t="s">
        <v>846</v>
      </c>
      <c r="H7" s="24"/>
      <c r="I7" s="60" t="s">
        <v>545</v>
      </c>
      <c r="K7" s="303" t="s">
        <v>549</v>
      </c>
      <c r="L7" s="303"/>
      <c r="M7" s="303"/>
      <c r="N7" s="1187"/>
      <c r="O7" s="303"/>
      <c r="P7" s="24"/>
      <c r="Q7" s="60" t="s">
        <v>552</v>
      </c>
      <c r="S7" s="1077" t="s">
        <v>555</v>
      </c>
      <c r="T7" s="1077"/>
      <c r="V7" s="24" t="s">
        <v>542</v>
      </c>
      <c r="W7" s="24" t="s">
        <v>863</v>
      </c>
      <c r="X7" s="24" t="s">
        <v>409</v>
      </c>
      <c r="AA7" s="24" t="s">
        <v>559</v>
      </c>
      <c r="AC7" s="24" t="s">
        <v>561</v>
      </c>
      <c r="AD7" s="1081" t="s">
        <v>732</v>
      </c>
      <c r="AE7" s="1081" t="s">
        <v>735</v>
      </c>
      <c r="AF7" s="1081" t="s">
        <v>733</v>
      </c>
      <c r="AG7" s="1081" t="s">
        <v>606</v>
      </c>
      <c r="AH7" s="1081" t="s">
        <v>731</v>
      </c>
      <c r="AJ7" s="49"/>
      <c r="AK7" s="49" t="s">
        <v>150</v>
      </c>
      <c r="AL7" s="49"/>
      <c r="AM7" s="24"/>
      <c r="AN7" s="60" t="s">
        <v>552</v>
      </c>
      <c r="AP7" s="1077" t="s">
        <v>555</v>
      </c>
      <c r="AQ7" s="1077"/>
      <c r="AU7" s="24" t="s">
        <v>559</v>
      </c>
      <c r="AW7" s="24" t="s">
        <v>561</v>
      </c>
      <c r="AZ7" s="56"/>
    </row>
    <row r="8" spans="1:54">
      <c r="B8" s="216"/>
      <c r="D8" s="49" t="s">
        <v>542</v>
      </c>
      <c r="E8" s="24"/>
      <c r="F8" s="49" t="s">
        <v>482</v>
      </c>
      <c r="G8" s="49" t="s">
        <v>525</v>
      </c>
      <c r="H8" s="24"/>
      <c r="I8" s="49" t="s">
        <v>775</v>
      </c>
      <c r="K8" s="49" t="s">
        <v>539</v>
      </c>
      <c r="L8" s="49"/>
      <c r="M8" s="49" t="s">
        <v>542</v>
      </c>
      <c r="N8" s="1384"/>
      <c r="O8" s="49" t="s">
        <v>871</v>
      </c>
      <c r="P8" s="24"/>
      <c r="Q8" s="49" t="s">
        <v>428</v>
      </c>
      <c r="S8" s="303" t="s">
        <v>556</v>
      </c>
      <c r="T8" s="303"/>
      <c r="V8" s="49" t="s">
        <v>482</v>
      </c>
      <c r="W8" s="60" t="s">
        <v>864</v>
      </c>
      <c r="X8" s="60"/>
      <c r="Y8" s="60"/>
      <c r="AA8" s="49" t="s">
        <v>525</v>
      </c>
      <c r="AC8" s="49" t="s">
        <v>526</v>
      </c>
      <c r="AD8" s="1082" t="s">
        <v>149</v>
      </c>
      <c r="AE8" s="1083" t="s">
        <v>736</v>
      </c>
      <c r="AF8" s="1083" t="s">
        <v>734</v>
      </c>
      <c r="AG8" s="1083" t="s">
        <v>5</v>
      </c>
      <c r="AH8" s="1082" t="s">
        <v>149</v>
      </c>
      <c r="AJ8" s="49" t="s">
        <v>606</v>
      </c>
      <c r="AK8" s="24"/>
      <c r="AL8" s="49" t="s">
        <v>326</v>
      </c>
      <c r="AM8" s="24"/>
      <c r="AN8" s="49" t="s">
        <v>428</v>
      </c>
      <c r="AP8" s="303" t="s">
        <v>161</v>
      </c>
      <c r="AQ8" s="303"/>
      <c r="AS8" s="49" t="s">
        <v>542</v>
      </c>
      <c r="AU8" s="49" t="s">
        <v>156</v>
      </c>
      <c r="AW8" s="49" t="s">
        <v>526</v>
      </c>
      <c r="AZ8" s="56"/>
    </row>
    <row r="9" spans="1:54">
      <c r="B9" s="216"/>
      <c r="D9" s="1084" t="s">
        <v>547</v>
      </c>
      <c r="E9" s="24"/>
      <c r="F9" s="1084" t="s">
        <v>548</v>
      </c>
      <c r="G9" s="1084"/>
      <c r="H9" s="24"/>
      <c r="I9" s="1084" t="s">
        <v>546</v>
      </c>
      <c r="K9" s="1084" t="s">
        <v>550</v>
      </c>
      <c r="L9" s="1084"/>
      <c r="M9" s="1084" t="s">
        <v>550</v>
      </c>
      <c r="N9" s="24"/>
      <c r="O9" s="1084" t="s">
        <v>551</v>
      </c>
      <c r="P9" s="24"/>
      <c r="Q9" s="1084" t="s">
        <v>553</v>
      </c>
      <c r="S9" s="1085" t="s">
        <v>557</v>
      </c>
      <c r="T9" s="1085"/>
      <c r="V9" s="1084" t="s">
        <v>558</v>
      </c>
      <c r="W9" s="1084" t="s">
        <v>865</v>
      </c>
      <c r="X9" s="1084" t="s">
        <v>866</v>
      </c>
      <c r="Y9" s="1084"/>
      <c r="AA9" s="1084" t="s">
        <v>560</v>
      </c>
      <c r="AC9" s="1084" t="s">
        <v>562</v>
      </c>
      <c r="AD9" s="1084" t="s">
        <v>750</v>
      </c>
      <c r="AE9" s="1086" t="s">
        <v>230</v>
      </c>
      <c r="AF9" s="1087" t="s">
        <v>230</v>
      </c>
      <c r="AG9" s="1087" t="s">
        <v>230</v>
      </c>
      <c r="AH9" s="1088"/>
      <c r="AJ9" s="1084" t="s">
        <v>157</v>
      </c>
      <c r="AK9" s="24"/>
      <c r="AL9" s="1084" t="s">
        <v>158</v>
      </c>
      <c r="AM9" s="24"/>
      <c r="AN9" s="1084" t="s">
        <v>160</v>
      </c>
      <c r="AP9" s="1085" t="s">
        <v>159</v>
      </c>
      <c r="AQ9" s="1085"/>
      <c r="AS9" s="1084" t="s">
        <v>162</v>
      </c>
      <c r="AU9" s="1084" t="s">
        <v>163</v>
      </c>
      <c r="AW9" s="1084" t="s">
        <v>164</v>
      </c>
      <c r="AZ9" s="56"/>
    </row>
    <row r="10" spans="1:54">
      <c r="B10" s="216"/>
      <c r="AD10" s="1084" t="s">
        <v>751</v>
      </c>
      <c r="AZ10" s="56"/>
    </row>
    <row r="11" spans="1:54" hidden="1" outlineLevel="1">
      <c r="B11" s="1567">
        <v>2007</v>
      </c>
      <c r="V11" s="2103">
        <v>90.5</v>
      </c>
      <c r="AD11" s="1084"/>
      <c r="AZ11" s="56"/>
    </row>
    <row r="12" spans="1:54" hidden="1" outlineLevel="1">
      <c r="B12" s="1567">
        <v>2008</v>
      </c>
      <c r="V12" s="2103">
        <v>126</v>
      </c>
      <c r="AD12" s="1084"/>
      <c r="AZ12" s="56"/>
    </row>
    <row r="13" spans="1:54" hidden="1" outlineLevel="1">
      <c r="B13" s="1567">
        <v>2009</v>
      </c>
      <c r="F13" s="2103">
        <v>-6.8</v>
      </c>
      <c r="V13" s="2103">
        <v>141.19999999999999</v>
      </c>
      <c r="AD13" s="1084"/>
      <c r="AZ13" s="56"/>
    </row>
    <row r="14" spans="1:54" hidden="1" outlineLevel="1">
      <c r="B14" s="1567">
        <v>2010</v>
      </c>
      <c r="F14" s="2103">
        <v>23.6</v>
      </c>
      <c r="V14" s="2103">
        <v>184.3</v>
      </c>
      <c r="AD14" s="1084"/>
      <c r="AZ14" s="56"/>
    </row>
    <row r="15" spans="1:54" hidden="1" outlineLevel="1">
      <c r="B15" s="1567">
        <v>2011</v>
      </c>
      <c r="F15" s="2103">
        <v>68.900000000000006</v>
      </c>
      <c r="V15" s="2103">
        <v>312.89999999999998</v>
      </c>
      <c r="AD15" s="1084"/>
      <c r="AZ15" s="56"/>
    </row>
    <row r="16" spans="1:54" hidden="1" outlineLevel="1">
      <c r="B16" s="1567">
        <v>2012</v>
      </c>
      <c r="F16" s="2103">
        <v>29.5</v>
      </c>
      <c r="V16" s="2103">
        <v>461.9</v>
      </c>
      <c r="AD16" s="1084"/>
      <c r="AZ16" s="56"/>
    </row>
    <row r="17" spans="1:54" hidden="1" outlineLevel="1">
      <c r="B17" s="1567">
        <v>2013</v>
      </c>
      <c r="F17" s="2103">
        <v>28.2</v>
      </c>
      <c r="V17" s="2103">
        <v>743.2</v>
      </c>
      <c r="AD17" s="1084"/>
      <c r="AZ17" s="56"/>
    </row>
    <row r="18" spans="1:54" hidden="1" outlineLevel="1">
      <c r="B18" s="216"/>
      <c r="AD18" s="1084"/>
      <c r="AZ18" s="56"/>
    </row>
    <row r="19" spans="1:54" hidden="1" outlineLevel="1">
      <c r="A19" s="1147"/>
      <c r="B19" s="1145">
        <v>2013</v>
      </c>
      <c r="C19" s="61"/>
      <c r="D19" s="61"/>
      <c r="E19" s="959"/>
      <c r="F19" s="61"/>
      <c r="G19" s="61"/>
      <c r="H19" s="959"/>
      <c r="I19" s="980"/>
      <c r="J19" s="959"/>
      <c r="K19" s="61"/>
      <c r="L19" s="61"/>
      <c r="M19" s="61"/>
      <c r="O19" s="61"/>
      <c r="P19" s="61"/>
      <c r="Q19" s="61"/>
      <c r="R19" s="959"/>
      <c r="S19" s="61"/>
      <c r="T19" s="1148"/>
      <c r="U19" s="61"/>
      <c r="V19" s="705"/>
      <c r="W19" s="705"/>
      <c r="X19" s="705"/>
      <c r="Y19" s="61"/>
      <c r="Z19" s="61"/>
      <c r="AA19" s="61"/>
      <c r="AB19" s="61"/>
      <c r="AC19" s="61"/>
      <c r="AD19" s="61"/>
      <c r="AE19" s="219"/>
      <c r="AF19" s="219"/>
      <c r="AG19" s="219"/>
      <c r="AH19" s="219"/>
      <c r="AI19" s="959"/>
      <c r="AJ19" s="1549"/>
      <c r="AK19" s="61"/>
      <c r="AL19" s="1149"/>
      <c r="AM19" s="61"/>
      <c r="AN19" s="61"/>
      <c r="AO19" s="959"/>
      <c r="AP19" s="61"/>
      <c r="AQ19" s="1148"/>
      <c r="AR19" s="61"/>
      <c r="AS19" s="61"/>
      <c r="AT19" s="61"/>
      <c r="AU19" s="1386"/>
      <c r="AV19" s="61"/>
      <c r="AW19" s="61"/>
      <c r="AX19" s="959"/>
      <c r="AY19" s="61"/>
      <c r="AZ19" s="61"/>
      <c r="BA19" s="154"/>
      <c r="BB19" s="61"/>
    </row>
    <row r="20" spans="1:54" hidden="1" outlineLevel="1">
      <c r="A20" s="61" t="s">
        <v>457</v>
      </c>
      <c r="B20" s="216" t="s">
        <v>63</v>
      </c>
      <c r="C20" s="61"/>
      <c r="D20" s="1141"/>
      <c r="E20" s="959"/>
      <c r="F20" s="195"/>
      <c r="G20" s="195"/>
      <c r="H20" s="959" t="s">
        <v>428</v>
      </c>
      <c r="I20" s="980"/>
      <c r="J20" s="959" t="s">
        <v>428</v>
      </c>
      <c r="K20" s="61"/>
      <c r="M20" s="61"/>
      <c r="O20" s="1128"/>
      <c r="P20" s="61"/>
      <c r="Q20" s="981"/>
      <c r="R20" s="959"/>
      <c r="S20" s="1128"/>
      <c r="T20" s="1148"/>
      <c r="U20" s="61"/>
      <c r="V20" s="705"/>
      <c r="W20" s="705"/>
      <c r="X20" s="705"/>
      <c r="Y20" s="1065"/>
      <c r="Z20" s="61"/>
      <c r="AA20" s="1091"/>
      <c r="AB20" s="61"/>
      <c r="AC20" s="1141"/>
      <c r="AD20" s="1143"/>
      <c r="AE20" s="1143"/>
      <c r="AF20" s="1143"/>
      <c r="AG20" s="1143"/>
      <c r="AH20" s="1143"/>
      <c r="AI20" s="959"/>
      <c r="AJ20" s="1549"/>
      <c r="AK20" s="184"/>
      <c r="AL20" s="1149"/>
      <c r="AM20" s="61"/>
      <c r="AN20" s="981"/>
      <c r="AO20" s="959"/>
      <c r="AP20" s="1128"/>
      <c r="AQ20" s="1148"/>
      <c r="AR20" s="61"/>
      <c r="AS20" s="1065"/>
      <c r="AT20" s="61"/>
      <c r="AU20" s="1151"/>
      <c r="AV20" s="61"/>
      <c r="AW20" s="1141"/>
      <c r="AX20" s="959" t="s">
        <v>428</v>
      </c>
      <c r="AY20" s="465"/>
      <c r="AZ20" s="1152"/>
      <c r="BA20" s="1026"/>
      <c r="BB20" s="1052"/>
    </row>
    <row r="21" spans="1:54" hidden="1" outlineLevel="1">
      <c r="A21" s="61" t="s">
        <v>458</v>
      </c>
      <c r="B21" s="216" t="s">
        <v>167</v>
      </c>
      <c r="C21" s="61"/>
      <c r="D21" s="1141"/>
      <c r="E21" s="61"/>
      <c r="F21" s="195"/>
      <c r="G21" s="195"/>
      <c r="H21" s="61"/>
      <c r="I21" s="980"/>
      <c r="J21" s="61"/>
      <c r="K21" s="61"/>
      <c r="M21" s="61"/>
      <c r="O21" s="1128"/>
      <c r="P21" s="61"/>
      <c r="Q21" s="981"/>
      <c r="R21" s="61"/>
      <c r="S21" s="1128"/>
      <c r="T21" s="61"/>
      <c r="U21" s="61"/>
      <c r="V21" s="165"/>
      <c r="W21" s="165"/>
      <c r="X21" s="165"/>
      <c r="Y21" s="218"/>
      <c r="Z21" s="61"/>
      <c r="AA21" s="1091"/>
      <c r="AB21" s="61"/>
      <c r="AC21" s="1141"/>
      <c r="AD21" s="1143"/>
      <c r="AE21" s="1143"/>
      <c r="AF21" s="1143"/>
      <c r="AG21" s="1143"/>
      <c r="AH21" s="1143"/>
      <c r="AI21" s="61"/>
      <c r="AJ21" s="1549"/>
      <c r="AK21" s="184"/>
      <c r="AL21" s="1149"/>
      <c r="AM21" s="61"/>
      <c r="AN21" s="981"/>
      <c r="AO21" s="61"/>
      <c r="AP21" s="1128"/>
      <c r="AQ21" s="1148"/>
      <c r="AR21" s="61"/>
      <c r="AS21" s="1153"/>
      <c r="AT21" s="61"/>
      <c r="AU21" s="1046"/>
      <c r="AV21" s="61"/>
      <c r="AW21" s="1141"/>
      <c r="AX21" s="61"/>
      <c r="AY21" s="465"/>
      <c r="AZ21" s="1152"/>
      <c r="BA21" s="1026"/>
      <c r="BB21" s="1052"/>
    </row>
    <row r="22" spans="1:54" hidden="1" outlineLevel="1">
      <c r="A22" s="61" t="s">
        <v>459</v>
      </c>
      <c r="B22" s="216" t="s">
        <v>166</v>
      </c>
      <c r="C22" s="61"/>
      <c r="D22" s="1141"/>
      <c r="E22" s="61"/>
      <c r="F22" s="195"/>
      <c r="G22" s="195"/>
      <c r="H22" s="61"/>
      <c r="I22" s="980"/>
      <c r="J22" s="61"/>
      <c r="K22" s="61"/>
      <c r="M22" s="61"/>
      <c r="O22" s="1128"/>
      <c r="P22" s="61"/>
      <c r="Q22" s="981"/>
      <c r="R22" s="61"/>
      <c r="S22" s="1128"/>
      <c r="T22" s="61"/>
      <c r="U22" s="61"/>
      <c r="V22" s="2034">
        <v>245.68700000000001</v>
      </c>
      <c r="W22" s="2034"/>
      <c r="X22" s="2034"/>
      <c r="Y22" s="218"/>
      <c r="Z22" s="61"/>
      <c r="AA22" s="1091"/>
      <c r="AB22" s="61"/>
      <c r="AC22" s="1141"/>
      <c r="AD22" s="1143"/>
      <c r="AE22" s="1143"/>
      <c r="AF22" s="1143"/>
      <c r="AG22" s="1143"/>
      <c r="AH22" s="1143"/>
      <c r="AI22" s="61"/>
      <c r="AJ22" s="1549"/>
      <c r="AK22" s="184"/>
      <c r="AL22" s="1149"/>
      <c r="AM22" s="61"/>
      <c r="AN22" s="981"/>
      <c r="AO22" s="61"/>
      <c r="AP22" s="1128"/>
      <c r="AQ22" s="61"/>
      <c r="AR22" s="61"/>
      <c r="AS22" s="1153"/>
      <c r="AT22" s="61"/>
      <c r="AU22" s="1046"/>
      <c r="AV22" s="61"/>
      <c r="AW22" s="1141"/>
      <c r="AX22" s="61"/>
      <c r="AY22" s="465"/>
      <c r="AZ22" s="1152"/>
      <c r="BA22" s="1026"/>
      <c r="BB22" s="1052"/>
    </row>
    <row r="23" spans="1:54" hidden="1" outlineLevel="1">
      <c r="A23" s="61" t="s">
        <v>460</v>
      </c>
      <c r="B23" s="216" t="s">
        <v>62</v>
      </c>
      <c r="C23" s="61"/>
      <c r="D23" s="1138"/>
      <c r="E23" s="61"/>
      <c r="F23" s="193"/>
      <c r="G23" s="195"/>
      <c r="H23" s="61"/>
      <c r="I23" s="1033"/>
      <c r="J23" s="61"/>
      <c r="K23" s="2026"/>
      <c r="L23" s="61"/>
      <c r="M23" s="2026"/>
      <c r="N23" s="61"/>
      <c r="O23" s="1129"/>
      <c r="P23" s="61"/>
      <c r="Q23" s="1146"/>
      <c r="R23" s="61"/>
      <c r="S23" s="1129"/>
      <c r="T23" s="61"/>
      <c r="U23" s="61"/>
      <c r="V23" s="2028">
        <v>178.881</v>
      </c>
      <c r="W23" s="2095"/>
      <c r="X23" s="2095"/>
      <c r="Y23" s="218"/>
      <c r="Z23" s="61"/>
      <c r="AA23" s="1385"/>
      <c r="AB23" s="61"/>
      <c r="AC23" s="1138"/>
      <c r="AD23" s="1143"/>
      <c r="AE23" s="1143"/>
      <c r="AF23" s="1143"/>
      <c r="AG23" s="1143"/>
      <c r="AH23" s="1143"/>
      <c r="AI23" s="61"/>
      <c r="AJ23" s="1549"/>
      <c r="AK23" s="184"/>
      <c r="AL23" s="1154"/>
      <c r="AM23" s="61"/>
      <c r="AN23" s="1146"/>
      <c r="AO23" s="61"/>
      <c r="AP23" s="1129"/>
      <c r="AQ23" s="61"/>
      <c r="AR23" s="61"/>
      <c r="AS23" s="1132"/>
      <c r="AT23" s="61"/>
      <c r="AU23" s="1155"/>
      <c r="AV23" s="61"/>
      <c r="AW23" s="1138"/>
      <c r="AX23" s="61"/>
      <c r="AY23" s="465"/>
      <c r="AZ23" s="1152"/>
      <c r="BA23" s="1026"/>
      <c r="BB23" s="1052"/>
    </row>
    <row r="24" spans="1:54" hidden="1" outlineLevel="1">
      <c r="A24" s="61"/>
      <c r="B24" s="216" t="s">
        <v>461</v>
      </c>
      <c r="C24" s="61"/>
      <c r="D24" s="981"/>
      <c r="E24" s="61"/>
      <c r="F24" s="195"/>
      <c r="G24" s="195"/>
      <c r="H24" s="61"/>
      <c r="I24" s="980"/>
      <c r="J24" s="61"/>
      <c r="K24" s="61"/>
      <c r="L24" s="61"/>
      <c r="M24" s="61"/>
      <c r="N24" s="61"/>
      <c r="O24" s="1128"/>
      <c r="P24" s="61"/>
      <c r="Q24" s="981"/>
      <c r="R24" s="61"/>
      <c r="S24" s="1128"/>
      <c r="T24" s="61"/>
      <c r="U24" s="61"/>
      <c r="V24" s="2027">
        <v>743.2</v>
      </c>
      <c r="W24" s="705"/>
      <c r="X24" s="705"/>
      <c r="Y24" s="1065"/>
      <c r="Z24" s="61"/>
      <c r="AA24" s="1091"/>
      <c r="AB24" s="61"/>
      <c r="AC24" s="1141"/>
      <c r="AD24" s="1143"/>
      <c r="AE24" s="1143"/>
      <c r="AF24" s="1143"/>
      <c r="AG24" s="1143"/>
      <c r="AH24" s="1143"/>
      <c r="AI24" s="61"/>
      <c r="AJ24" s="1548"/>
      <c r="AK24" s="61"/>
      <c r="AL24" s="1149"/>
      <c r="AM24" s="61"/>
      <c r="AN24" s="981"/>
      <c r="AO24" s="61"/>
      <c r="AP24" s="1128"/>
      <c r="AQ24" s="61"/>
      <c r="AR24" s="61"/>
      <c r="AS24" s="1065"/>
      <c r="AT24" s="61"/>
      <c r="AU24" s="1151"/>
      <c r="AV24" s="61"/>
      <c r="AW24" s="1141"/>
      <c r="AX24" s="61"/>
      <c r="AY24" s="1156"/>
      <c r="AZ24" s="1026"/>
      <c r="BA24" s="1026"/>
      <c r="BB24" s="61"/>
    </row>
    <row r="25" spans="1:54" hidden="1" outlineLevel="1">
      <c r="B25" s="216"/>
      <c r="D25" s="980"/>
      <c r="F25" s="1131"/>
      <c r="G25" s="1131"/>
      <c r="I25" s="980"/>
      <c r="Q25" s="980"/>
      <c r="S25" s="564"/>
      <c r="V25" s="705"/>
      <c r="W25" s="705"/>
      <c r="X25" s="705"/>
      <c r="Y25" s="2"/>
      <c r="AA25" s="1091"/>
      <c r="AC25" s="1092"/>
      <c r="AD25" s="1092"/>
      <c r="AE25" s="1093"/>
      <c r="AF25" s="1093"/>
      <c r="AG25" s="1093"/>
      <c r="AH25" s="1093"/>
      <c r="AJ25" s="1547"/>
      <c r="AL25" s="1031"/>
      <c r="AN25" s="980"/>
      <c r="AP25" s="564"/>
      <c r="AS25" s="705"/>
      <c r="AU25" s="1112"/>
      <c r="AW25" s="1092"/>
      <c r="AY25" s="1107"/>
      <c r="AZ25" s="1029"/>
      <c r="BA25" s="1029"/>
    </row>
    <row r="26" spans="1:54" hidden="1" outlineLevel="1">
      <c r="A26" s="1147"/>
      <c r="B26" s="1145">
        <v>2014</v>
      </c>
      <c r="D26" s="980"/>
      <c r="F26" s="1131"/>
      <c r="G26" s="1131"/>
      <c r="I26" s="980"/>
      <c r="Q26" s="980"/>
      <c r="S26" s="564"/>
      <c r="V26" s="705"/>
      <c r="W26" s="705"/>
      <c r="X26" s="705"/>
      <c r="Y26" s="705"/>
      <c r="AA26" s="1091"/>
      <c r="AC26" s="1092"/>
      <c r="AD26" s="1092"/>
      <c r="AE26" s="1093"/>
      <c r="AF26" s="1093"/>
      <c r="AG26" s="1093"/>
      <c r="AH26" s="1093"/>
      <c r="AJ26" s="1548"/>
      <c r="AL26" s="1114"/>
      <c r="AN26" s="980"/>
      <c r="AP26" s="564"/>
      <c r="AS26" s="1065"/>
      <c r="AU26" s="1112"/>
      <c r="AW26" s="1092"/>
      <c r="AY26" s="1107"/>
      <c r="AZ26" s="1029"/>
      <c r="BA26" s="1029"/>
    </row>
    <row r="27" spans="1:54" hidden="1" outlineLevel="1">
      <c r="A27" s="61" t="str">
        <f t="shared" ref="A27:B30" si="0">A20</f>
        <v>1Q</v>
      </c>
      <c r="B27" s="1148" t="str">
        <f t="shared" si="0"/>
        <v>Sept</v>
      </c>
      <c r="D27" s="2090"/>
      <c r="E27" s="959" t="s">
        <v>428</v>
      </c>
      <c r="F27" s="2030"/>
      <c r="G27" s="2030"/>
      <c r="H27" s="3" t="s">
        <v>428</v>
      </c>
      <c r="I27" s="980"/>
      <c r="J27" s="3" t="s">
        <v>428</v>
      </c>
      <c r="K27" s="2026">
        <f>98+57-21-18</f>
        <v>116</v>
      </c>
      <c r="L27" s="3">
        <f>+K27-K23</f>
        <v>116</v>
      </c>
      <c r="M27" s="2026">
        <f>K27+(43+11+50-7-1-7-6-2-1)</f>
        <v>196</v>
      </c>
      <c r="N27" s="3">
        <f>+M27-M23</f>
        <v>196</v>
      </c>
      <c r="O27" s="1128">
        <f>AVERAGE(M27,M23)</f>
        <v>196</v>
      </c>
      <c r="Q27" s="981"/>
      <c r="S27" s="1128"/>
      <c r="T27" s="3" t="s">
        <v>428</v>
      </c>
      <c r="V27" s="2027">
        <v>192.61199999999999</v>
      </c>
      <c r="W27" s="2027"/>
      <c r="X27" s="2027"/>
      <c r="Y27" s="1065"/>
      <c r="AA27" s="1065">
        <f>(V27/M27)*0.6</f>
        <v>0.58962857142857139</v>
      </c>
      <c r="AC27" s="1141"/>
      <c r="AD27" s="1143">
        <f>'qtrP&amp;L'!CB10</f>
        <v>1150.76</v>
      </c>
      <c r="AE27" s="1143" t="e">
        <f>#REF!+#REF!</f>
        <v>#REF!</v>
      </c>
      <c r="AF27" s="1143" t="e">
        <f>#REF!-(AE27-AH27)</f>
        <v>#REF!</v>
      </c>
      <c r="AG27" s="1143" t="e">
        <f>AF27+#REF!</f>
        <v>#REF!</v>
      </c>
      <c r="AH27" s="1143">
        <f>'CoachSegsales&amp;OldOM'!D65</f>
        <v>778</v>
      </c>
      <c r="AI27" s="959" t="s">
        <v>428</v>
      </c>
      <c r="AJ27" s="1549"/>
      <c r="AL27" s="1149"/>
      <c r="AN27" s="981"/>
      <c r="AO27" s="959"/>
      <c r="AP27" s="1128"/>
      <c r="AQ27" s="1148" t="s">
        <v>428</v>
      </c>
      <c r="AS27" s="1065">
        <f>(V27*0.6)</f>
        <v>115.56719999999999</v>
      </c>
      <c r="AU27" s="1151"/>
      <c r="AW27" s="1141"/>
      <c r="AX27" s="959" t="s">
        <v>428</v>
      </c>
      <c r="AY27" s="1107"/>
      <c r="AZ27" s="1029"/>
      <c r="BA27" s="1029"/>
    </row>
    <row r="28" spans="1:54" hidden="1" outlineLevel="1">
      <c r="A28" s="61" t="str">
        <f t="shared" si="0"/>
        <v>2Q</v>
      </c>
      <c r="B28" s="1148" t="str">
        <f t="shared" si="0"/>
        <v>Dec</v>
      </c>
      <c r="D28" s="2090"/>
      <c r="E28" s="217"/>
      <c r="F28" s="2030"/>
      <c r="G28" s="2030"/>
      <c r="I28" s="980"/>
      <c r="K28" s="2026">
        <f>K35-20-16</f>
        <v>114</v>
      </c>
      <c r="L28" s="3">
        <f>+K28-K27</f>
        <v>-2</v>
      </c>
      <c r="M28" s="2026">
        <v>212</v>
      </c>
      <c r="N28" s="3">
        <f>+M28-M27</f>
        <v>16</v>
      </c>
      <c r="O28" s="1128">
        <f>AVERAGE(M28,M24)</f>
        <v>212</v>
      </c>
      <c r="Q28" s="981"/>
      <c r="S28" s="1128"/>
      <c r="V28" s="2034">
        <v>275.42899999999997</v>
      </c>
      <c r="W28" s="2034"/>
      <c r="X28" s="2034"/>
      <c r="Y28" s="218"/>
      <c r="AA28" s="1153">
        <f>(V28/M28)*0.6</f>
        <v>0.77951603773584899</v>
      </c>
      <c r="AC28" s="1141"/>
      <c r="AD28" s="1143">
        <f>'qtrP&amp;L'!CB11</f>
        <v>1419.624</v>
      </c>
      <c r="AE28" s="1143" t="e">
        <f>#REF!+#REF!</f>
        <v>#REF!</v>
      </c>
      <c r="AF28" s="1143" t="e">
        <f>#REF!-(AE28-AH28)</f>
        <v>#REF!</v>
      </c>
      <c r="AG28" s="1143" t="e">
        <f>AF28+#REF!</f>
        <v>#REF!</v>
      </c>
      <c r="AH28" s="1143">
        <f>'CoachSegsales&amp;OldOM'!D66</f>
        <v>983</v>
      </c>
      <c r="AJ28" s="1549">
        <v>0.314</v>
      </c>
      <c r="AL28" s="1149">
        <f>AVERAGE(AJ28,AJ27)</f>
        <v>0.314</v>
      </c>
      <c r="AN28" s="981"/>
      <c r="AP28" s="1128"/>
      <c r="AS28" s="1153">
        <f>(V28*0.6)</f>
        <v>165.25739999999999</v>
      </c>
      <c r="AU28" s="1046">
        <f>AS28/AL28</f>
        <v>526.29745222929932</v>
      </c>
      <c r="AW28" s="1141"/>
      <c r="AY28" s="1107"/>
      <c r="AZ28" s="1029"/>
      <c r="BA28" s="1029"/>
    </row>
    <row r="29" spans="1:54" hidden="1" outlineLevel="1">
      <c r="A29" s="61" t="str">
        <f t="shared" si="0"/>
        <v>3Q</v>
      </c>
      <c r="B29" s="1148" t="str">
        <f t="shared" si="0"/>
        <v>Mar</v>
      </c>
      <c r="D29" s="2090">
        <f>(V29/V22-1)*100</f>
        <v>-8.984195337970668</v>
      </c>
      <c r="E29" s="217"/>
      <c r="F29" s="2030"/>
      <c r="G29" s="2030"/>
      <c r="I29" s="980"/>
      <c r="K29" s="2026">
        <f>K36-15-18</f>
        <v>119</v>
      </c>
      <c r="L29" s="3">
        <f>+K29-K28</f>
        <v>5</v>
      </c>
      <c r="M29" s="2026">
        <f>K29+(M36-K36-6-3+3)</f>
        <v>203</v>
      </c>
      <c r="N29" s="3">
        <f>+M29-M28</f>
        <v>-9</v>
      </c>
      <c r="O29" s="1128">
        <f>AVERAGE(M29,M25)</f>
        <v>203</v>
      </c>
      <c r="Q29" s="981"/>
      <c r="S29" s="1128"/>
      <c r="V29" s="2034">
        <v>223.614</v>
      </c>
      <c r="W29" s="2034"/>
      <c r="X29" s="2034"/>
      <c r="Y29" s="218"/>
      <c r="AA29" s="1153">
        <f>(V29/M29)*0.6</f>
        <v>0.66092807881773397</v>
      </c>
      <c r="AC29" s="1141"/>
      <c r="AD29" s="1143">
        <f>'qtrP&amp;L'!CB12</f>
        <v>1099.626</v>
      </c>
      <c r="AE29" s="1143" t="e">
        <f>#REF!+#REF!</f>
        <v>#REF!</v>
      </c>
      <c r="AF29" s="1143" t="e">
        <f>#REF!-(AE29-AH29)</f>
        <v>#REF!</v>
      </c>
      <c r="AG29" s="1143" t="e">
        <f>AF29+#REF!</f>
        <v>#REF!</v>
      </c>
      <c r="AH29" s="1143">
        <f>'CoachSegsales&amp;OldOM'!D67</f>
        <v>647.923</v>
      </c>
      <c r="AJ29" s="1549"/>
      <c r="AL29" s="1149">
        <f>AVERAGE(AJ29,AJ28)</f>
        <v>0.314</v>
      </c>
      <c r="AN29" s="981"/>
      <c r="AP29" s="1128"/>
      <c r="AS29" s="1153">
        <f>(V29*0.6)</f>
        <v>134.16839999999999</v>
      </c>
      <c r="AU29" s="1046">
        <f>AS29/AL29</f>
        <v>427.28789808917196</v>
      </c>
      <c r="AW29" s="1141"/>
      <c r="AY29" s="1107"/>
      <c r="AZ29" s="1029"/>
      <c r="BA29" s="1029"/>
    </row>
    <row r="30" spans="1:54" hidden="1" outlineLevel="1">
      <c r="A30" s="61" t="str">
        <f t="shared" si="0"/>
        <v>4Q</v>
      </c>
      <c r="B30" s="1148" t="str">
        <f t="shared" si="0"/>
        <v>June</v>
      </c>
      <c r="D30" s="2091">
        <f>(V30/V23-1)*100</f>
        <v>48.701091787277576</v>
      </c>
      <c r="E30" s="217"/>
      <c r="F30" s="2091"/>
      <c r="G30" s="2090"/>
      <c r="I30" s="1033"/>
      <c r="K30" s="2088">
        <f>K37-15-11</f>
        <v>133</v>
      </c>
      <c r="L30" s="3">
        <f>+K30-K29</f>
        <v>14</v>
      </c>
      <c r="M30" s="2088">
        <f>K30+((M37-K37)-5-3-4)</f>
        <v>212</v>
      </c>
      <c r="N30" s="3">
        <f>+M30-M29</f>
        <v>9</v>
      </c>
      <c r="O30" s="1129">
        <f>AVERAGE(M30,M26)</f>
        <v>212</v>
      </c>
      <c r="Q30" s="1146"/>
      <c r="S30" s="1129"/>
      <c r="V30" s="2028">
        <v>265.99799999999999</v>
      </c>
      <c r="W30" s="2095"/>
      <c r="X30" s="2095"/>
      <c r="Y30" s="218"/>
      <c r="AA30" s="1132">
        <f>(V30/M30)*0.6</f>
        <v>0.75282452830188673</v>
      </c>
      <c r="AC30" s="1138"/>
      <c r="AD30" s="1143">
        <f>'qtrP&amp;L'!CB13</f>
        <v>1136.2159999999999</v>
      </c>
      <c r="AE30" s="1143" t="e">
        <f>#REF!+#REF!</f>
        <v>#REF!</v>
      </c>
      <c r="AF30" s="1143" t="e">
        <f>#REF!-(AE30-AH30)</f>
        <v>#REF!</v>
      </c>
      <c r="AG30" s="1143" t="e">
        <f>AF30+#REF!</f>
        <v>#REF!</v>
      </c>
      <c r="AH30" s="1143">
        <f>'CoachSegsales&amp;OldOM'!D68</f>
        <v>691.57700000000023</v>
      </c>
      <c r="AJ30" s="1549">
        <f>0.295+0.093</f>
        <v>0.38800000000000001</v>
      </c>
      <c r="AL30" s="1154">
        <f>AVERAGE(AJ30,AJ29)</f>
        <v>0.38800000000000001</v>
      </c>
      <c r="AN30" s="1146"/>
      <c r="AP30" s="1129"/>
      <c r="AS30" s="1132">
        <f>(V30*0.6)</f>
        <v>159.59879999999998</v>
      </c>
      <c r="AU30" s="1155">
        <f>AS30/AL30</f>
        <v>411.33711340206179</v>
      </c>
      <c r="AW30" s="1138"/>
      <c r="AY30" s="1107"/>
      <c r="AZ30" s="1029"/>
      <c r="BA30" s="1029"/>
    </row>
    <row r="31" spans="1:54" hidden="1" outlineLevel="1">
      <c r="A31" s="61"/>
      <c r="B31" s="1148" t="str">
        <f>B24</f>
        <v>Year</v>
      </c>
      <c r="D31" s="2092"/>
      <c r="E31" s="217"/>
      <c r="F31" s="2039">
        <v>24.4</v>
      </c>
      <c r="G31" s="2039">
        <v>21.6</v>
      </c>
      <c r="I31" s="980"/>
      <c r="K31" s="1128">
        <f>AVERAGE(K27:K30)</f>
        <v>120.5</v>
      </c>
      <c r="M31" s="1128">
        <f>AVERAGE(M27:M30)</f>
        <v>205.75</v>
      </c>
      <c r="O31" s="1128">
        <f>AVERAGE(M31,M27)</f>
        <v>200.875</v>
      </c>
      <c r="Q31" s="981"/>
      <c r="S31" s="1128"/>
      <c r="V31" s="705">
        <f>SUM(V27:V30)</f>
        <v>957.65300000000002</v>
      </c>
      <c r="W31" s="705"/>
      <c r="X31" s="705"/>
      <c r="Y31" s="1065"/>
      <c r="AA31" s="1065">
        <f>(V31/M31)*0.6</f>
        <v>2.7926697448359659</v>
      </c>
      <c r="AC31" s="1141"/>
      <c r="AD31" s="1143">
        <f>'qtrP&amp;L'!CB14</f>
        <v>4806.2260000000006</v>
      </c>
      <c r="AE31" s="1143" t="e">
        <f>#REF!+#REF!</f>
        <v>#REF!</v>
      </c>
      <c r="AF31" s="1143" t="e">
        <f>#REF!-(AE31-AH31)</f>
        <v>#REF!</v>
      </c>
      <c r="AG31" s="1143" t="e">
        <f>AF31+#REF!</f>
        <v>#REF!</v>
      </c>
      <c r="AH31" s="1143">
        <f>'CoachSegsales&amp;OldOM'!D69</f>
        <v>3100.5</v>
      </c>
      <c r="AJ31" s="1149"/>
      <c r="AL31" s="1149">
        <f>AVERAGE(AL27:AL30)</f>
        <v>0.33866666666666667</v>
      </c>
      <c r="AN31" s="981"/>
      <c r="AP31" s="1128"/>
      <c r="AS31" s="1065">
        <f>SUM(AS27:AS30)</f>
        <v>574.59179999999992</v>
      </c>
      <c r="AU31" s="1151">
        <f>SUM(AU27:AU30)</f>
        <v>1364.922463720533</v>
      </c>
      <c r="AW31" s="1141"/>
      <c r="AY31" s="1107"/>
      <c r="AZ31" s="1029"/>
      <c r="BA31" s="1029"/>
    </row>
    <row r="32" spans="1:54" hidden="1" outlineLevel="1">
      <c r="A32" s="61"/>
      <c r="B32" s="1148"/>
      <c r="D32" s="2093"/>
      <c r="E32" s="217"/>
      <c r="F32" s="2030"/>
      <c r="G32" s="2030"/>
      <c r="I32" s="980"/>
      <c r="O32" s="1128"/>
      <c r="Q32" s="981"/>
      <c r="S32" s="1128"/>
      <c r="V32" s="705"/>
      <c r="W32" s="705"/>
      <c r="X32" s="705"/>
      <c r="Y32" s="179"/>
      <c r="AA32" s="1150"/>
      <c r="AC32" s="1141"/>
      <c r="AD32" s="1141"/>
      <c r="AE32" s="1143"/>
      <c r="AF32" s="1143"/>
      <c r="AG32" s="1143"/>
      <c r="AH32" s="1143"/>
      <c r="AJ32" s="1149"/>
      <c r="AL32" s="1149"/>
      <c r="AN32" s="981"/>
      <c r="AP32" s="1128"/>
      <c r="AS32" s="1065"/>
      <c r="AU32" s="1151"/>
      <c r="AW32" s="1141"/>
      <c r="AY32" s="1107"/>
      <c r="AZ32" s="1029"/>
      <c r="BA32" s="1029"/>
    </row>
    <row r="33" spans="1:53" collapsed="1">
      <c r="A33" s="1147"/>
      <c r="B33" s="1145">
        <v>2015</v>
      </c>
      <c r="D33" s="1546"/>
      <c r="E33" s="217"/>
      <c r="F33" s="2030"/>
      <c r="G33" s="2030"/>
      <c r="I33" s="980"/>
      <c r="Q33" s="980"/>
      <c r="S33" s="564"/>
      <c r="V33" s="705"/>
      <c r="W33" s="705"/>
      <c r="X33" s="705"/>
      <c r="Y33" s="705"/>
      <c r="AA33" s="1091"/>
      <c r="AC33" s="1092"/>
      <c r="AD33" s="1092"/>
      <c r="AE33" s="1093"/>
      <c r="AF33" s="1093"/>
      <c r="AG33" s="1093"/>
      <c r="AH33" s="1093"/>
      <c r="AJ33" s="1149"/>
      <c r="AL33" s="1114"/>
      <c r="AN33" s="980"/>
      <c r="AP33" s="564"/>
      <c r="AS33" s="1065"/>
      <c r="AU33" s="1112"/>
      <c r="AW33" s="1092"/>
      <c r="AY33" s="1107"/>
      <c r="AZ33" s="1029"/>
      <c r="BA33" s="1029"/>
    </row>
    <row r="34" spans="1:53">
      <c r="A34" s="61" t="str">
        <f t="shared" ref="A34:B37" si="1">A27</f>
        <v>1Q</v>
      </c>
      <c r="B34" s="1148" t="str">
        <f t="shared" si="1"/>
        <v>Sept</v>
      </c>
      <c r="D34" s="2090">
        <f>(V34/V27-1)*100</f>
        <v>30.011110418873187</v>
      </c>
      <c r="E34" s="959" t="s">
        <v>428</v>
      </c>
      <c r="F34" s="2039">
        <v>15.2</v>
      </c>
      <c r="G34" s="2039">
        <v>13.2</v>
      </c>
      <c r="H34" s="3" t="s">
        <v>428</v>
      </c>
      <c r="I34" s="980">
        <f>D34-F34</f>
        <v>14.811110418873188</v>
      </c>
      <c r="J34" s="3" t="s">
        <v>428</v>
      </c>
      <c r="K34" s="2026">
        <f>K41-17-7</f>
        <v>140</v>
      </c>
      <c r="L34" s="3">
        <f>+K34-K30</f>
        <v>7</v>
      </c>
      <c r="M34" s="2026">
        <f>K34+(M41-K41-3-3+13)</f>
        <v>232</v>
      </c>
      <c r="N34" s="3">
        <f>+M34-M30</f>
        <v>20</v>
      </c>
      <c r="O34" s="1128">
        <f>AVERAGE(M34,M30)</f>
        <v>222</v>
      </c>
      <c r="Q34" s="1026">
        <f>(O34/O27-1)*100</f>
        <v>13.265306122448983</v>
      </c>
      <c r="R34" s="3" t="s">
        <v>428</v>
      </c>
      <c r="S34" s="1128">
        <f>I34/Q34*100</f>
        <v>111.65298623458246</v>
      </c>
      <c r="T34" s="3" t="s">
        <v>428</v>
      </c>
      <c r="V34" s="2027">
        <v>250.417</v>
      </c>
      <c r="W34" s="2027"/>
      <c r="X34" s="2027"/>
      <c r="Y34" s="1065"/>
      <c r="AA34" s="1065">
        <f>(V34*0.6)/M34</f>
        <v>0.64763017241379317</v>
      </c>
      <c r="AC34" s="1141">
        <f>(AA34/AA27-1)*100</f>
        <v>9.8369725952549345</v>
      </c>
      <c r="AD34" s="1143">
        <f>'qtrP&amp;L'!CF10</f>
        <v>1038.8</v>
      </c>
      <c r="AE34" s="1143" t="e">
        <f>#REF!+#REF!</f>
        <v>#REF!</v>
      </c>
      <c r="AF34" s="1143" t="e">
        <f>#REF!-(AE34-AH34)</f>
        <v>#REF!</v>
      </c>
      <c r="AG34" s="1143" t="e">
        <f>AF34+#REF!</f>
        <v>#REF!</v>
      </c>
      <c r="AH34" s="1143">
        <f>'CoachSegsales&amp;OldOM'!D72</f>
        <v>633.70000000000005</v>
      </c>
      <c r="AI34" s="959" t="s">
        <v>428</v>
      </c>
      <c r="AJ34" s="1549">
        <f>0.332+0.096</f>
        <v>0.42800000000000005</v>
      </c>
      <c r="AL34" s="1149">
        <f>AVERAGE(AJ34,AJ30)</f>
        <v>0.40800000000000003</v>
      </c>
      <c r="AN34" s="981"/>
      <c r="AO34" s="959" t="s">
        <v>428</v>
      </c>
      <c r="AP34" s="1128"/>
      <c r="AQ34" s="1148" t="s">
        <v>428</v>
      </c>
      <c r="AS34" s="1065">
        <f>(V34*0.6)</f>
        <v>150.25020000000001</v>
      </c>
      <c r="AU34" s="1151">
        <f>AS34/AL34</f>
        <v>368.26029411764705</v>
      </c>
      <c r="AW34" s="1141"/>
      <c r="AX34" s="959" t="s">
        <v>428</v>
      </c>
      <c r="AY34" s="1107"/>
      <c r="AZ34" s="1029"/>
      <c r="BA34" s="1029"/>
    </row>
    <row r="35" spans="1:53">
      <c r="A35" s="61" t="str">
        <f t="shared" si="1"/>
        <v>2Q</v>
      </c>
      <c r="B35" s="1148" t="str">
        <f t="shared" si="1"/>
        <v>Dec</v>
      </c>
      <c r="D35" s="2090">
        <f>(V35/V28-1)*100</f>
        <v>44.710252006869311</v>
      </c>
      <c r="E35" s="217"/>
      <c r="F35" s="2040">
        <v>28</v>
      </c>
      <c r="G35" s="2040">
        <v>21</v>
      </c>
      <c r="I35" s="980">
        <f>D35-F35</f>
        <v>16.710252006869311</v>
      </c>
      <c r="K35" s="2026">
        <f>93+57</f>
        <v>150</v>
      </c>
      <c r="L35" s="3">
        <f>+K35-K34</f>
        <v>10</v>
      </c>
      <c r="M35" s="2026">
        <f>93+32+57+14+52</f>
        <v>248</v>
      </c>
      <c r="N35" s="3">
        <f>+M35-M34</f>
        <v>16</v>
      </c>
      <c r="O35" s="1128">
        <f>AVERAGE(M35,M31)</f>
        <v>226.875</v>
      </c>
      <c r="Q35" s="1026">
        <f>(O35/O28-1)*100</f>
        <v>7.0165094339622591</v>
      </c>
      <c r="S35" s="1128">
        <f>I35/Q35*100</f>
        <v>238.15619666933085</v>
      </c>
      <c r="V35" s="2034">
        <v>398.57400000000001</v>
      </c>
      <c r="W35" s="2097"/>
      <c r="X35" s="2097"/>
      <c r="Y35" s="218"/>
      <c r="AA35" s="1153">
        <f>(V35*0.6)/M35</f>
        <v>0.96429193548387093</v>
      </c>
      <c r="AC35" s="1141">
        <f>(AA35/AA28-1)*100</f>
        <v>23.703925102646338</v>
      </c>
      <c r="AD35" s="1143">
        <f>'qtrP&amp;L'!CF11</f>
        <v>1219.4000000000001</v>
      </c>
      <c r="AE35" s="1143" t="e">
        <f>#REF!+#REF!</f>
        <v>#REF!</v>
      </c>
      <c r="AF35" s="1143" t="e">
        <f>#REF!-(AE35-AH35)</f>
        <v>#REF!</v>
      </c>
      <c r="AG35" s="1143" t="e">
        <f>AF35+#REF!</f>
        <v>#REF!</v>
      </c>
      <c r="AH35" s="1143">
        <f>'CoachSegsales&amp;OldOM'!D73</f>
        <v>784.6</v>
      </c>
      <c r="AJ35" s="2041">
        <v>0.48</v>
      </c>
      <c r="AL35" s="1149">
        <f>AVERAGE(AJ35,AJ34)</f>
        <v>0.45400000000000001</v>
      </c>
      <c r="AN35" s="981">
        <f>(AL35/AL28-1)*100</f>
        <v>44.585987261146506</v>
      </c>
      <c r="AP35" s="1128">
        <f>I35/AN35*100</f>
        <v>37.478708072549729</v>
      </c>
      <c r="AS35" s="1153">
        <f>(V35*0.6)</f>
        <v>239.14439999999999</v>
      </c>
      <c r="AU35" s="1046">
        <f>AS35/AL35</f>
        <v>526.74977973568275</v>
      </c>
      <c r="AW35" s="1141">
        <f>(AU35/AU28-1)*100</f>
        <v>8.5945220610028628E-2</v>
      </c>
      <c r="AY35" s="1107"/>
      <c r="AZ35" s="1029"/>
      <c r="BA35" s="1029"/>
    </row>
    <row r="36" spans="1:53">
      <c r="A36" s="61" t="str">
        <f t="shared" si="1"/>
        <v>3Q</v>
      </c>
      <c r="B36" s="1148" t="str">
        <f t="shared" si="1"/>
        <v>Mar</v>
      </c>
      <c r="D36" s="2090">
        <f>(V36/V29-1)*100</f>
        <v>14.177108767787349</v>
      </c>
      <c r="E36" s="217"/>
      <c r="F36" s="2039">
        <v>8.9</v>
      </c>
      <c r="G36" s="2039">
        <v>6.1</v>
      </c>
      <c r="I36" s="980">
        <f>D36-F36</f>
        <v>5.2771087677873485</v>
      </c>
      <c r="K36" s="2026">
        <f>92+60</f>
        <v>152</v>
      </c>
      <c r="L36" s="61">
        <f>+K36-K35</f>
        <v>2</v>
      </c>
      <c r="M36" s="2026">
        <f>K36+26+13+51</f>
        <v>242</v>
      </c>
      <c r="N36" s="3">
        <f>+M36-M35</f>
        <v>-6</v>
      </c>
      <c r="O36" s="1128">
        <f>AVERAGE(M36,M32)</f>
        <v>242</v>
      </c>
      <c r="Q36" s="1026">
        <f>(O36/O29-1)*100</f>
        <v>19.211822660098534</v>
      </c>
      <c r="S36" s="1128">
        <f>I36/Q36*100</f>
        <v>27.468027688739262</v>
      </c>
      <c r="V36" s="2034">
        <v>255.316</v>
      </c>
      <c r="Y36" s="218"/>
      <c r="AA36" s="1153">
        <f>(V36*0.6)/M36</f>
        <v>0.63301487603305784</v>
      </c>
      <c r="AC36" s="1141">
        <f>(AA36/AA29-1)*100</f>
        <v>-4.2233343807403623</v>
      </c>
      <c r="AD36" s="1143">
        <f>'qtrP&amp;L'!CF12</f>
        <v>929.3</v>
      </c>
      <c r="AE36" s="1143" t="e">
        <f>#REF!+#REF!</f>
        <v>#REF!</v>
      </c>
      <c r="AF36" s="1143" t="e">
        <f>#REF!-(AE36-AH36)</f>
        <v>#REF!</v>
      </c>
      <c r="AG36" s="1143" t="e">
        <f>AF36+#REF!</f>
        <v>#REF!</v>
      </c>
      <c r="AH36" s="1143">
        <f>'CoachSegsales&amp;OldOM'!D74</f>
        <v>493.2</v>
      </c>
      <c r="AJ36" s="1549">
        <f>0.345+0.089</f>
        <v>0.43399999999999994</v>
      </c>
      <c r="AL36" s="1149">
        <f>AVERAGE(AJ36,AJ35)</f>
        <v>0.45699999999999996</v>
      </c>
      <c r="AN36" s="981">
        <f>(AL36/AL29-1)*100</f>
        <v>45.541401273885327</v>
      </c>
      <c r="AP36" s="1128">
        <f>I36/AN36*100</f>
        <v>11.587497574022574</v>
      </c>
      <c r="AS36" s="1153">
        <f>(V36*0.6)</f>
        <v>153.18959999999998</v>
      </c>
      <c r="AU36" s="1046">
        <f>AS36/AL36</f>
        <v>335.20700218818382</v>
      </c>
      <c r="AW36" s="1141">
        <f>(AU36/AU29-1)*100</f>
        <v>-21.550082816006068</v>
      </c>
      <c r="AY36" s="1107"/>
      <c r="AZ36" s="1029"/>
      <c r="BA36" s="1029"/>
    </row>
    <row r="37" spans="1:53">
      <c r="A37" s="61" t="str">
        <f t="shared" si="1"/>
        <v>4Q</v>
      </c>
      <c r="B37" s="1148" t="str">
        <f t="shared" si="1"/>
        <v>June</v>
      </c>
      <c r="D37" s="2091">
        <f>(V37/V30-1)*100</f>
        <v>5.6842532650621447</v>
      </c>
      <c r="E37" s="217"/>
      <c r="F37" s="2039">
        <v>9.6</v>
      </c>
      <c r="G37" s="2039">
        <v>11.6</v>
      </c>
      <c r="I37" s="1033">
        <f>D37-F37</f>
        <v>-3.915746734937855</v>
      </c>
      <c r="K37" s="2088">
        <f>97+62</f>
        <v>159</v>
      </c>
      <c r="L37" s="61">
        <f>+K37-K36</f>
        <v>7</v>
      </c>
      <c r="M37" s="2088">
        <f>K37+26+13+52</f>
        <v>250</v>
      </c>
      <c r="N37" s="3">
        <f>+M37-M36</f>
        <v>8</v>
      </c>
      <c r="O37" s="1129">
        <f>AVERAGE(M37,M33)</f>
        <v>250</v>
      </c>
      <c r="Q37" s="1146">
        <f>(O37/O30-1)*100</f>
        <v>17.924528301886799</v>
      </c>
      <c r="S37" s="1129">
        <f>I37/Q37*100</f>
        <v>-21.845744942284867</v>
      </c>
      <c r="V37" s="2028">
        <v>281.11799999999999</v>
      </c>
      <c r="W37" s="2095"/>
      <c r="X37" s="2095"/>
      <c r="Y37" s="218"/>
      <c r="AA37" s="1132">
        <f>(V37*0.6)/M37</f>
        <v>0.67468319999999993</v>
      </c>
      <c r="AC37" s="1138">
        <f>(AA37/AA30-1)*100</f>
        <v>-10.379753231227307</v>
      </c>
      <c r="AD37" s="1143">
        <f>'qtrP&amp;L'!CF13</f>
        <v>1004.1</v>
      </c>
      <c r="AE37" s="1143" t="e">
        <f>#REF!+#REF!</f>
        <v>#REF!</v>
      </c>
      <c r="AF37" s="1143" t="e">
        <f>#REF!-(AE37-AH37)</f>
        <v>#REF!</v>
      </c>
      <c r="AG37" s="1143" t="e">
        <f>AF37+#REF!</f>
        <v>#REF!</v>
      </c>
      <c r="AH37" s="1143">
        <f>'CoachSegsales&amp;OldOM'!D75</f>
        <v>556</v>
      </c>
      <c r="AJ37" s="1594">
        <f>0.358+0.071</f>
        <v>0.42899999999999999</v>
      </c>
      <c r="AL37" s="1154">
        <f>AVERAGE(AJ37,AJ36)</f>
        <v>0.43149999999999999</v>
      </c>
      <c r="AN37" s="1146">
        <f>(AL37/AL30-1)*100</f>
        <v>11.211340206185572</v>
      </c>
      <c r="AP37" s="1129">
        <f>I37/AN37*100</f>
        <v>-34.926660532319239</v>
      </c>
      <c r="AS37" s="1132">
        <f>(V37*0.6)</f>
        <v>168.67079999999999</v>
      </c>
      <c r="AU37" s="1155">
        <f>AS37/AL37</f>
        <v>390.89409038238699</v>
      </c>
      <c r="AW37" s="1138">
        <f>(AU37/AU30-1)*100</f>
        <v>-4.9698950942199005</v>
      </c>
      <c r="AY37" s="1107"/>
      <c r="AZ37" s="1029"/>
      <c r="BA37" s="1029"/>
    </row>
    <row r="38" spans="1:53">
      <c r="A38" s="61"/>
      <c r="B38" s="1148" t="str">
        <f>B31</f>
        <v>Year</v>
      </c>
      <c r="D38" s="2092">
        <f>(V38/V31-1)*100</f>
        <v>23.784397897777154</v>
      </c>
      <c r="E38" s="217"/>
      <c r="F38" s="2038">
        <f>SUMPRODUCT(F34:F37,V34:V37)/V38</f>
        <v>16.818824978383283</v>
      </c>
      <c r="G38" s="2037">
        <f>SUMPRODUCT(G34:G37,V34:V37)/V38</f>
        <v>13.913958959866715</v>
      </c>
      <c r="I38" s="980">
        <f>D38-F38</f>
        <v>6.9655729193938711</v>
      </c>
      <c r="K38" s="1128">
        <f>AVERAGE(K34:K37)</f>
        <v>150.25</v>
      </c>
      <c r="M38" s="1128">
        <f>AVERAGE(M34:M37)</f>
        <v>243</v>
      </c>
      <c r="O38" s="1128">
        <f>AVERAGE(M38,M34)</f>
        <v>237.5</v>
      </c>
      <c r="Q38" s="981">
        <f>(O38/O31-1)*100</f>
        <v>18.232731798382073</v>
      </c>
      <c r="S38" s="1128">
        <f>I38/Q38*100</f>
        <v>38.203671267801894</v>
      </c>
      <c r="V38" s="705">
        <f>SUM(V34:V37)</f>
        <v>1185.425</v>
      </c>
      <c r="W38" s="165"/>
      <c r="X38" s="165"/>
      <c r="Y38" s="1065"/>
      <c r="AA38" s="1065">
        <f>(V38*0.6)/M38</f>
        <v>2.9269753086419752</v>
      </c>
      <c r="AC38" s="1141">
        <f>(AA38/AA31-1)*100</f>
        <v>4.8092175615952693</v>
      </c>
      <c r="AD38" s="1143">
        <f>'qtrP&amp;L'!CF14</f>
        <v>4191.6000000000004</v>
      </c>
      <c r="AE38" s="1143" t="e">
        <f>#REF!+#REF!</f>
        <v>#REF!</v>
      </c>
      <c r="AF38" s="1143" t="e">
        <f>#REF!-(AE38-AH38)</f>
        <v>#REF!</v>
      </c>
      <c r="AG38" s="1143" t="e">
        <f>AF38+#REF!</f>
        <v>#REF!</v>
      </c>
      <c r="AH38" s="1143">
        <f>'CoachSegsales&amp;OldOM'!D76</f>
        <v>2467.5</v>
      </c>
      <c r="AJ38" s="1114"/>
      <c r="AL38" s="1149">
        <f>AVERAGE(AL34:AL37)</f>
        <v>0.43762499999999999</v>
      </c>
      <c r="AN38" s="981">
        <f>(AL38/AL31-1)*100</f>
        <v>29.219980314960626</v>
      </c>
      <c r="AP38" s="1128">
        <f>I38/AN38*100</f>
        <v>23.838390184771953</v>
      </c>
      <c r="AS38" s="1065">
        <f>SUM(AS34:AS37)</f>
        <v>711.255</v>
      </c>
      <c r="AU38" s="1151">
        <f>SUM(AU34:AU37)</f>
        <v>1621.1111664239006</v>
      </c>
      <c r="AW38" s="1141">
        <f>(AU38/AU31-1)*100</f>
        <v>18.769469293152618</v>
      </c>
      <c r="AY38" s="1107"/>
      <c r="AZ38" s="1029"/>
      <c r="BA38" s="1029"/>
    </row>
    <row r="39" spans="1:53">
      <c r="A39" s="61"/>
      <c r="B39" s="1148"/>
      <c r="D39" s="2093"/>
      <c r="E39" s="217"/>
      <c r="F39" s="2030"/>
      <c r="G39" s="2030"/>
      <c r="I39" s="981"/>
      <c r="O39" s="1128"/>
      <c r="Q39" s="981"/>
      <c r="S39" s="1128"/>
      <c r="V39" s="705"/>
      <c r="W39" s="705"/>
      <c r="X39" s="705"/>
      <c r="Y39" s="179"/>
      <c r="AA39" s="1150"/>
      <c r="AC39" s="1141"/>
      <c r="AD39" s="1141"/>
      <c r="AE39" s="1143"/>
      <c r="AF39" s="1143"/>
      <c r="AG39" s="1143"/>
      <c r="AH39" s="1143"/>
      <c r="AJ39" s="1114"/>
      <c r="AL39" s="1149"/>
      <c r="AN39" s="981"/>
      <c r="AP39" s="1128"/>
      <c r="AS39" s="1065"/>
      <c r="AU39" s="1151"/>
      <c r="AW39" s="1141"/>
      <c r="AY39" s="1107"/>
      <c r="AZ39" s="1029"/>
      <c r="BA39" s="1029"/>
    </row>
    <row r="40" spans="1:53">
      <c r="A40" s="1147"/>
      <c r="B40" s="1145">
        <v>2016</v>
      </c>
      <c r="D40" s="1546"/>
      <c r="E40" s="217"/>
      <c r="F40" s="2030"/>
      <c r="G40" s="2030"/>
      <c r="I40" s="980"/>
      <c r="Q40" s="980"/>
      <c r="S40" s="564"/>
      <c r="V40" s="705"/>
      <c r="W40" s="705"/>
      <c r="X40" s="705"/>
      <c r="Y40" s="705"/>
      <c r="AA40" s="1091"/>
      <c r="AC40" s="1092"/>
      <c r="AD40" s="1092"/>
      <c r="AE40" s="1093"/>
      <c r="AF40" s="1093"/>
      <c r="AG40" s="1093"/>
      <c r="AH40" s="1093"/>
      <c r="AJ40" s="1114"/>
      <c r="AL40" s="1114"/>
      <c r="AN40" s="980"/>
      <c r="AP40" s="564"/>
      <c r="AS40" s="1065"/>
      <c r="AU40" s="1112"/>
      <c r="AW40" s="1092"/>
      <c r="AY40" s="1107"/>
      <c r="AZ40" s="1029"/>
      <c r="BA40" s="1029"/>
    </row>
    <row r="41" spans="1:53">
      <c r="A41" s="61" t="str">
        <f t="shared" ref="A41:B44" si="2">A34</f>
        <v>1Q</v>
      </c>
      <c r="B41" s="1148" t="str">
        <f t="shared" si="2"/>
        <v>Sept</v>
      </c>
      <c r="D41" s="2090">
        <f>(V41/V34-1)*100</f>
        <v>10.746474879900326</v>
      </c>
      <c r="E41" s="959" t="s">
        <v>428</v>
      </c>
      <c r="F41" s="2031">
        <v>16</v>
      </c>
      <c r="G41" s="2031">
        <v>11</v>
      </c>
      <c r="H41" s="3" t="s">
        <v>428</v>
      </c>
      <c r="I41" s="980">
        <f>D41-F41</f>
        <v>-5.253525120099674</v>
      </c>
      <c r="J41" s="3" t="s">
        <v>428</v>
      </c>
      <c r="K41" s="2026">
        <f>101+63</f>
        <v>164</v>
      </c>
      <c r="L41" s="3">
        <f>+K41-K37</f>
        <v>5</v>
      </c>
      <c r="M41" s="2026">
        <f>+K41+20+52+13</f>
        <v>249</v>
      </c>
      <c r="N41" s="3">
        <f>+M41-M37</f>
        <v>-1</v>
      </c>
      <c r="O41" s="1128">
        <f>AVERAGE(M41,M37)</f>
        <v>249.5</v>
      </c>
      <c r="Q41" s="1026">
        <f>(O41/O34-1)*100</f>
        <v>12.387387387387383</v>
      </c>
      <c r="R41" s="3" t="s">
        <v>428</v>
      </c>
      <c r="S41" s="1128">
        <f>I41/Q41*100</f>
        <v>-42.410275514986473</v>
      </c>
      <c r="T41" s="3" t="s">
        <v>428</v>
      </c>
      <c r="V41" s="2027">
        <v>277.32799999999997</v>
      </c>
      <c r="W41" s="2027"/>
      <c r="X41" s="2027"/>
      <c r="Y41" s="1065"/>
      <c r="AA41" s="1065">
        <f>(V41*0.6)/M41</f>
        <v>0.66826024096385539</v>
      </c>
      <c r="AC41" s="1141">
        <f>(AA41/AA34-1)*100</f>
        <v>3.1854705708308062</v>
      </c>
      <c r="AD41" s="1143">
        <f>'qtrP&amp;L'!CF17</f>
        <v>0</v>
      </c>
      <c r="AE41" s="1143" t="e">
        <f>#REF!+#REF!</f>
        <v>#REF!</v>
      </c>
      <c r="AF41" s="1143" t="e">
        <f>#REF!-(AE41-AH41)</f>
        <v>#REF!</v>
      </c>
      <c r="AG41" s="1143" t="e">
        <f>AF41+#REF!</f>
        <v>#REF!</v>
      </c>
      <c r="AH41" s="1143">
        <f>'CoachSegsales&amp;OldOM'!D79</f>
        <v>561</v>
      </c>
      <c r="AI41" s="959" t="s">
        <v>428</v>
      </c>
      <c r="AJ41" s="1594">
        <f>0.367+0.075</f>
        <v>0.442</v>
      </c>
      <c r="AL41" s="1149">
        <f>AVERAGE(AJ41,AJ37)</f>
        <v>0.4355</v>
      </c>
      <c r="AN41" s="981">
        <f>(AL41/AL34-1)*100</f>
        <v>6.7401960784313708</v>
      </c>
      <c r="AO41" s="959" t="s">
        <v>428</v>
      </c>
      <c r="AP41" s="1128">
        <f>I41/AN41*100</f>
        <v>-77.943209054569735</v>
      </c>
      <c r="AQ41" s="1148" t="s">
        <v>428</v>
      </c>
      <c r="AS41" s="1065">
        <f>(V41*0.6)</f>
        <v>166.39679999999998</v>
      </c>
      <c r="AU41" s="1151">
        <f>AS41/AL41</f>
        <v>382.08220436280135</v>
      </c>
      <c r="AW41" s="1141">
        <f>(AU41/AU34-1)*100</f>
        <v>3.7532990838101687</v>
      </c>
      <c r="AX41" s="959" t="s">
        <v>428</v>
      </c>
      <c r="AY41" s="1107"/>
      <c r="AZ41" s="1029"/>
      <c r="BA41" s="1029"/>
    </row>
    <row r="42" spans="1:53">
      <c r="A42" s="61" t="str">
        <f t="shared" si="2"/>
        <v>2Q</v>
      </c>
      <c r="B42" s="1148" t="str">
        <f t="shared" si="2"/>
        <v>Dec</v>
      </c>
      <c r="D42" s="2090">
        <f>(V42/V35-1)*100</f>
        <v>7.3338953368759618</v>
      </c>
      <c r="E42" s="217"/>
      <c r="F42" s="2031">
        <v>14</v>
      </c>
      <c r="G42" s="2031">
        <v>9</v>
      </c>
      <c r="I42" s="980">
        <f>D42-F42</f>
        <v>-6.6661046631240382</v>
      </c>
      <c r="K42" s="2026">
        <f>104+64</f>
        <v>168</v>
      </c>
      <c r="L42" s="3">
        <f>+K42-K41</f>
        <v>4</v>
      </c>
      <c r="M42" s="2026">
        <v>255</v>
      </c>
      <c r="N42" s="3">
        <f>+M42-M41</f>
        <v>6</v>
      </c>
      <c r="O42" s="1128">
        <f>AVERAGE(M42,M38)</f>
        <v>249</v>
      </c>
      <c r="Q42" s="1026">
        <f>(O42/O35-1)*100</f>
        <v>9.7520661157024726</v>
      </c>
      <c r="S42" s="1128">
        <f>I42/Q42*100</f>
        <v>-68.355819003221114</v>
      </c>
      <c r="V42" s="2034">
        <v>427.80500000000001</v>
      </c>
      <c r="W42" s="2097">
        <v>1031</v>
      </c>
      <c r="X42" s="2097">
        <v>188.2</v>
      </c>
      <c r="Y42" s="218"/>
      <c r="AA42" s="1153">
        <f>(V42*0.6)/M42</f>
        <v>1.0065999999999999</v>
      </c>
      <c r="AC42" s="1141">
        <f>(AA42/AA35-1)*100</f>
        <v>4.3874746805695697</v>
      </c>
      <c r="AD42" s="1143" t="e">
        <f>'qtrP&amp;L'!#REF!</f>
        <v>#REF!</v>
      </c>
      <c r="AE42" s="1143" t="e">
        <f>#REF!+#REF!</f>
        <v>#REF!</v>
      </c>
      <c r="AF42" s="1143" t="e">
        <f>#REF!-(AE42-AH42)</f>
        <v>#REF!</v>
      </c>
      <c r="AG42" s="1143" t="e">
        <f>AF42+#REF!</f>
        <v>#REF!</v>
      </c>
      <c r="AH42" s="1143">
        <f>'CoachSegsales&amp;OldOM'!D80</f>
        <v>731</v>
      </c>
      <c r="AJ42" s="1549">
        <v>0.45400000000000001</v>
      </c>
      <c r="AL42" s="1149">
        <f>AVERAGE(AJ42,AJ41)</f>
        <v>0.44800000000000001</v>
      </c>
      <c r="AN42" s="981">
        <f>(AL42/AL35-1)*100</f>
        <v>-1.3215859030836996</v>
      </c>
      <c r="AP42" s="1128">
        <f>I42/AN42*100</f>
        <v>504.40191950971922</v>
      </c>
      <c r="AS42" s="1153">
        <f>(V42*0.6)</f>
        <v>256.68299999999999</v>
      </c>
      <c r="AU42" s="1046">
        <f>AS42/AL42</f>
        <v>572.953125</v>
      </c>
      <c r="AW42" s="1141">
        <f>(AU42/AU35-1)*100</f>
        <v>8.7714028637091435</v>
      </c>
      <c r="AY42" s="1107"/>
      <c r="AZ42" s="1029"/>
      <c r="BA42" s="1029"/>
    </row>
    <row r="43" spans="1:53">
      <c r="A43" s="61" t="str">
        <f t="shared" si="2"/>
        <v>3Q</v>
      </c>
      <c r="B43" s="1148" t="str">
        <f t="shared" si="2"/>
        <v>Mar</v>
      </c>
      <c r="D43" s="2090">
        <f>(V43/V36-1)*100</f>
        <v>7.4832756270660772</v>
      </c>
      <c r="E43" s="217"/>
      <c r="F43" s="2031">
        <v>19</v>
      </c>
      <c r="G43" s="2031">
        <v>8</v>
      </c>
      <c r="I43" s="980">
        <f>D43-F43</f>
        <v>-11.516724372933922</v>
      </c>
      <c r="K43" s="2026">
        <v>169</v>
      </c>
      <c r="L43" s="3">
        <f>+K43-K42</f>
        <v>1</v>
      </c>
      <c r="M43" s="2026">
        <v>260</v>
      </c>
      <c r="N43" s="3">
        <f>+M43-M42</f>
        <v>5</v>
      </c>
      <c r="O43" s="1128">
        <f>AVERAGE(M43,M39)</f>
        <v>260</v>
      </c>
      <c r="Q43" s="1026">
        <f>(O43/O36-1)*100</f>
        <v>7.4380165289256173</v>
      </c>
      <c r="S43" s="1128">
        <f>I43/Q43*100</f>
        <v>-154.83596101388946</v>
      </c>
      <c r="V43" s="2034">
        <v>274.42200000000003</v>
      </c>
      <c r="W43" s="1063"/>
      <c r="X43" s="1063"/>
      <c r="Y43" s="218"/>
      <c r="AA43" s="1153">
        <f>(V43*0.6)/M43</f>
        <v>0.63328153846153845</v>
      </c>
      <c r="AC43" s="1141">
        <f>(AA43/AA36-1)*100</f>
        <v>4.2125775961499023E-2</v>
      </c>
      <c r="AD43" s="1143">
        <f>'qtrP&amp;L'!CF19</f>
        <v>0</v>
      </c>
      <c r="AE43" s="1143" t="e">
        <f>#REF!+#REF!</f>
        <v>#REF!</v>
      </c>
      <c r="AF43" s="1143" t="e">
        <f>#REF!-(AE43-AH43)</f>
        <v>#REF!</v>
      </c>
      <c r="AG43" s="1143" t="e">
        <f>AF43+#REF!</f>
        <v>#REF!</v>
      </c>
      <c r="AH43" s="1143">
        <f>'CoachSegsales&amp;OldOM'!D81</f>
        <v>498.9</v>
      </c>
      <c r="AJ43" s="1549">
        <v>0.46300000000000002</v>
      </c>
      <c r="AL43" s="1149">
        <f>AVERAGE(AJ43,AJ42)</f>
        <v>0.45850000000000002</v>
      </c>
      <c r="AN43" s="981">
        <f>(AL43/AL36-1)*100</f>
        <v>0.32822757111599099</v>
      </c>
      <c r="AP43" s="1128">
        <f>I43/AN43*100</f>
        <v>-3508.7620256203509</v>
      </c>
      <c r="AS43" s="1153">
        <f>(V43*0.6)</f>
        <v>164.6532</v>
      </c>
      <c r="AU43" s="1046">
        <f>AS43/AL43</f>
        <v>359.11275899672842</v>
      </c>
      <c r="AW43" s="1141">
        <f>(AU43/AU36-1)*100</f>
        <v>7.131640047042942</v>
      </c>
      <c r="AY43" s="1107"/>
      <c r="AZ43" s="1029"/>
      <c r="BA43" s="1029"/>
    </row>
    <row r="44" spans="1:53">
      <c r="A44" s="61" t="str">
        <f t="shared" si="2"/>
        <v>4Q</v>
      </c>
      <c r="B44" s="1148" t="str">
        <f t="shared" si="2"/>
        <v>June</v>
      </c>
      <c r="D44" s="2091">
        <f>(V44/V37-1)*100</f>
        <v>13.721284300542823</v>
      </c>
      <c r="E44" s="217"/>
      <c r="F44" s="2035">
        <v>4</v>
      </c>
      <c r="G44" s="2032">
        <v>1</v>
      </c>
      <c r="I44" s="1033">
        <f>D44-F44</f>
        <v>9.7212843005428233</v>
      </c>
      <c r="K44" s="2088">
        <v>173</v>
      </c>
      <c r="L44" s="3">
        <f>+K44-K43</f>
        <v>4</v>
      </c>
      <c r="M44" s="2088">
        <v>267</v>
      </c>
      <c r="N44" s="3">
        <f>+M44-M43</f>
        <v>7</v>
      </c>
      <c r="O44" s="1129">
        <f>AVERAGE(M44,M40)</f>
        <v>267</v>
      </c>
      <c r="Q44" s="1146">
        <f>(O44/O37-1)*100</f>
        <v>6.800000000000006</v>
      </c>
      <c r="S44" s="1129">
        <f>I44/Q44*100</f>
        <v>142.96006324327669</v>
      </c>
      <c r="V44" s="2028">
        <v>319.69099999999997</v>
      </c>
      <c r="W44" s="2095"/>
      <c r="X44" s="2095"/>
      <c r="Y44" s="218"/>
      <c r="AA44" s="1132">
        <f>(V44*0.6)/M44</f>
        <v>0.71840674157303364</v>
      </c>
      <c r="AC44" s="1138">
        <f>(AA44/AA37-1)*100</f>
        <v>6.4806032776618228</v>
      </c>
      <c r="AD44" s="1143">
        <f>'qtrP&amp;L'!CF20</f>
        <v>319.39999999999998</v>
      </c>
      <c r="AE44" s="1143" t="e">
        <f>#REF!+#REF!</f>
        <v>#REF!</v>
      </c>
      <c r="AF44" s="1143" t="e">
        <f>#REF!-(AE44-AH44)</f>
        <v>#REF!</v>
      </c>
      <c r="AG44" s="1143" t="e">
        <f>AF44+#REF!</f>
        <v>#REF!</v>
      </c>
      <c r="AH44" s="1143">
        <f>'CoachSegsales&amp;OldOM'!D82</f>
        <v>606</v>
      </c>
      <c r="AJ44" s="1594">
        <v>0.47799999999999998</v>
      </c>
      <c r="AL44" s="1154">
        <f>AVERAGE(AJ44,AJ43)</f>
        <v>0.47050000000000003</v>
      </c>
      <c r="AN44" s="1146">
        <f>(AL44/AL37-1)*100</f>
        <v>9.0382387022016388</v>
      </c>
      <c r="AP44" s="1129">
        <f>I44/AN44*100</f>
        <v>107.55728655600565</v>
      </c>
      <c r="AS44" s="1132">
        <f>(V44*0.6)</f>
        <v>191.81459999999998</v>
      </c>
      <c r="AU44" s="1155">
        <f>AS44/AL44</f>
        <v>407.68246546227414</v>
      </c>
      <c r="AW44" s="1138">
        <f>(AU44/AU37-1)*100</f>
        <v>4.2948654105934736</v>
      </c>
      <c r="AY44" s="1107"/>
      <c r="AZ44" s="1029"/>
      <c r="BA44" s="1029"/>
    </row>
    <row r="45" spans="1:53">
      <c r="A45" s="61"/>
      <c r="B45" s="1148" t="str">
        <f>B38</f>
        <v>Year</v>
      </c>
      <c r="D45" s="2092">
        <f>(V45/V38-1)*100</f>
        <v>9.6017040302001533</v>
      </c>
      <c r="E45" s="217"/>
      <c r="F45" s="2036">
        <f>SUMPRODUCT(F41:F44,V41:V44)/V45</f>
        <v>13.022399145350455</v>
      </c>
      <c r="G45" s="2037">
        <f>SUMPRODUCT(G41:G44,V41:V44)/V45</f>
        <v>7.2472187715028555</v>
      </c>
      <c r="I45" s="980">
        <f>D45-F45</f>
        <v>-3.420695115150302</v>
      </c>
      <c r="K45" s="1128">
        <f>AVERAGE(K41:K44)</f>
        <v>168.5</v>
      </c>
      <c r="M45" s="1128">
        <f>AVERAGE(M41:M44)</f>
        <v>257.75</v>
      </c>
      <c r="O45" s="1128">
        <f>AVERAGE(M45,M41)</f>
        <v>253.375</v>
      </c>
      <c r="Q45" s="981">
        <f>(O45/O38-1)*100</f>
        <v>6.6842105263157814</v>
      </c>
      <c r="S45" s="1128">
        <f>I45/Q45*100</f>
        <v>-51.175753691225054</v>
      </c>
      <c r="V45" s="705">
        <f>SUM(V41:V44)</f>
        <v>1299.2460000000001</v>
      </c>
      <c r="Y45" s="1065"/>
      <c r="AA45" s="1065">
        <f>(V45*0.6)/M45</f>
        <v>3.0244329776915615</v>
      </c>
      <c r="AC45" s="1141">
        <f>(AA45/AA38-1)*100</f>
        <v>3.329637553205167</v>
      </c>
      <c r="AD45" s="1143">
        <f>'qtrP&amp;L'!CF21</f>
        <v>378.4</v>
      </c>
      <c r="AE45" s="1143" t="e">
        <f>#REF!+#REF!</f>
        <v>#REF!</v>
      </c>
      <c r="AF45" s="1143" t="e">
        <f>#REF!-(AE45-AH45)</f>
        <v>#REF!</v>
      </c>
      <c r="AG45" s="1143" t="e">
        <f>AF45+#REF!</f>
        <v>#REF!</v>
      </c>
      <c r="AH45" s="1143">
        <f>'CoachSegsales&amp;OldOM'!D83</f>
        <v>2396.9</v>
      </c>
      <c r="AJ45" s="1114"/>
      <c r="AL45" s="1149">
        <f>AVERAGE(AL41:AL44)</f>
        <v>0.453125</v>
      </c>
      <c r="AN45" s="981">
        <f>(AL45/AL38-1)*100</f>
        <v>3.5418451870893986</v>
      </c>
      <c r="AP45" s="1128">
        <f>I45/AN45*100</f>
        <v>-96.579464501138887</v>
      </c>
      <c r="AS45" s="1065">
        <f>SUM(AS41:AS44)</f>
        <v>779.54759999999987</v>
      </c>
      <c r="AU45" s="1151">
        <f>SUM(AU41:AU44)</f>
        <v>1721.830553821804</v>
      </c>
      <c r="AW45" s="1141">
        <f>(AU45/AU38-1)*100</f>
        <v>6.2129846172169545</v>
      </c>
      <c r="AY45" s="1107"/>
      <c r="AZ45" s="1029"/>
      <c r="BA45" s="1029"/>
    </row>
    <row r="46" spans="1:53">
      <c r="A46" s="61"/>
      <c r="B46" s="1148"/>
      <c r="D46" s="2093"/>
      <c r="E46" s="217"/>
      <c r="F46" s="2030"/>
      <c r="G46" s="2030"/>
      <c r="I46" s="981"/>
      <c r="O46" s="1128"/>
      <c r="Q46" s="981"/>
      <c r="S46" s="1128"/>
      <c r="V46" s="705"/>
      <c r="W46" s="705"/>
      <c r="X46" s="705"/>
      <c r="Y46" s="179"/>
      <c r="AA46" s="1150"/>
      <c r="AC46" s="1141"/>
      <c r="AD46" s="1141"/>
      <c r="AE46" s="1143"/>
      <c r="AF46" s="1143"/>
      <c r="AG46" s="1143"/>
      <c r="AH46" s="1143"/>
      <c r="AJ46" s="1114"/>
      <c r="AL46" s="1149"/>
      <c r="AN46" s="981"/>
      <c r="AP46" s="1128"/>
      <c r="AS46" s="1065"/>
      <c r="AU46" s="1151"/>
      <c r="AW46" s="1141"/>
      <c r="AY46" s="1107"/>
      <c r="AZ46" s="1029"/>
      <c r="BA46" s="1029"/>
    </row>
    <row r="47" spans="1:53">
      <c r="A47" s="1147"/>
      <c r="B47" s="1145" t="s">
        <v>853</v>
      </c>
      <c r="D47" s="1546"/>
      <c r="E47" s="217"/>
      <c r="F47" s="2030"/>
      <c r="G47" s="2030"/>
      <c r="I47" s="980"/>
      <c r="Q47" s="980"/>
      <c r="S47" s="1651"/>
      <c r="V47" s="2"/>
      <c r="W47" s="2"/>
      <c r="X47" s="2"/>
      <c r="Y47" s="705"/>
      <c r="AA47" s="1091"/>
      <c r="AC47" s="1092"/>
      <c r="AD47" s="1092"/>
      <c r="AE47" s="1093"/>
      <c r="AF47" s="1093"/>
      <c r="AG47" s="1093"/>
      <c r="AH47" s="1093"/>
      <c r="AJ47" s="1114"/>
      <c r="AL47" s="1114"/>
      <c r="AN47" s="980"/>
      <c r="AP47" s="564"/>
      <c r="AS47" s="1065"/>
      <c r="AU47" s="1112"/>
      <c r="AW47" s="1092"/>
      <c r="AY47" s="1107"/>
      <c r="AZ47" s="1029"/>
      <c r="BA47" s="1029"/>
    </row>
    <row r="48" spans="1:53">
      <c r="A48" s="61" t="str">
        <f t="shared" ref="A48:B51" si="3">A41</f>
        <v>1Q</v>
      </c>
      <c r="B48" s="1148" t="str">
        <f t="shared" si="3"/>
        <v>Sept</v>
      </c>
      <c r="D48" s="2090">
        <f>(V48/V41-1)*100</f>
        <v>14.134887209369417</v>
      </c>
      <c r="E48" s="959" t="s">
        <v>428</v>
      </c>
      <c r="F48" s="2033">
        <v>6.7</v>
      </c>
      <c r="G48" s="2033">
        <v>0</v>
      </c>
      <c r="H48" s="1030" t="s">
        <v>428</v>
      </c>
      <c r="I48" s="1674">
        <f>D48-F48</f>
        <v>7.4348872093694167</v>
      </c>
      <c r="J48" s="3" t="s">
        <v>428</v>
      </c>
      <c r="K48" s="2026">
        <v>175</v>
      </c>
      <c r="L48" s="3">
        <f>+K48-K44</f>
        <v>2</v>
      </c>
      <c r="M48" s="2026">
        <v>268</v>
      </c>
      <c r="N48" s="3">
        <f>+M48-M44</f>
        <v>1</v>
      </c>
      <c r="O48" s="1128">
        <f>AVERAGE(M48,M44)</f>
        <v>267.5</v>
      </c>
      <c r="Q48" s="1026">
        <f>(O48/O41-1)*100</f>
        <v>7.2144288577154381</v>
      </c>
      <c r="R48" s="3" t="s">
        <v>428</v>
      </c>
      <c r="S48" s="1652">
        <f>I48/Q48*100</f>
        <v>103.05579770764821</v>
      </c>
      <c r="T48" s="3" t="s">
        <v>428</v>
      </c>
      <c r="V48" s="2027">
        <v>316.52800000000002</v>
      </c>
      <c r="W48" s="2027"/>
      <c r="X48" s="2027"/>
      <c r="Y48" s="1065"/>
      <c r="AA48" s="1065">
        <f>(V48*0.6)/M48</f>
        <v>0.70864477611940302</v>
      </c>
      <c r="AC48" s="1141">
        <f>(AA48/AA41-1)*100</f>
        <v>6.043234757958893</v>
      </c>
      <c r="AD48" s="1143">
        <f>'qtrP&amp;L'!CF24</f>
        <v>1273.3</v>
      </c>
      <c r="AE48" s="1143" t="e">
        <f>#REF!+#REF!</f>
        <v>#REF!</v>
      </c>
      <c r="AF48" s="1143" t="e">
        <f>#REF!-(AE48-AH48)</f>
        <v>#REF!</v>
      </c>
      <c r="AG48" s="1143" t="e">
        <f>AF48+#REF!</f>
        <v>#REF!</v>
      </c>
      <c r="AH48" s="1143" t="str">
        <f>'CoachSegsales&amp;OldOM'!D92</f>
        <v>No Longer Reported</v>
      </c>
      <c r="AI48" s="959" t="s">
        <v>428</v>
      </c>
      <c r="AJ48" s="1594">
        <v>0.49</v>
      </c>
      <c r="AL48" s="1149">
        <f>AVERAGE(AJ48,AJ44)</f>
        <v>0.48399999999999999</v>
      </c>
      <c r="AN48" s="981">
        <f>(AL48/AL41-1)*100</f>
        <v>11.136624569460384</v>
      </c>
      <c r="AO48" s="959" t="s">
        <v>428</v>
      </c>
      <c r="AP48" s="1128">
        <f>I48/AN48*100</f>
        <v>66.760688240832636</v>
      </c>
      <c r="AQ48" s="1148" t="s">
        <v>428</v>
      </c>
      <c r="AS48" s="1065">
        <f>(V48*0.6)</f>
        <v>189.91679999999999</v>
      </c>
      <c r="AU48" s="1151">
        <f>AS48/AL48</f>
        <v>392.39008264462808</v>
      </c>
      <c r="AW48" s="1141">
        <f>(AU48/AU41-1)*100</f>
        <v>2.6978169001660834</v>
      </c>
      <c r="AX48" s="959" t="s">
        <v>428</v>
      </c>
      <c r="AY48" s="1107"/>
      <c r="AZ48" s="1029"/>
      <c r="BA48" s="1029"/>
    </row>
    <row r="49" spans="1:53">
      <c r="A49" s="61" t="str">
        <f t="shared" si="3"/>
        <v>2Q</v>
      </c>
      <c r="B49" s="1148" t="str">
        <f t="shared" si="3"/>
        <v>Dec</v>
      </c>
      <c r="D49" s="2090">
        <f>(V49/V42-1)*100</f>
        <v>10.058788466707957</v>
      </c>
      <c r="E49" s="217"/>
      <c r="F49" s="2033">
        <v>9.3000000000000007</v>
      </c>
      <c r="G49" s="2033">
        <v>-1.5</v>
      </c>
      <c r="H49" s="1030"/>
      <c r="I49" s="1674">
        <f>D49-F49</f>
        <v>0.75878846670795674</v>
      </c>
      <c r="K49" s="2026">
        <v>176</v>
      </c>
      <c r="L49" s="3">
        <f>+K49-K48</f>
        <v>1</v>
      </c>
      <c r="M49" s="2026">
        <v>269</v>
      </c>
      <c r="N49" s="3">
        <f>+M49-M48</f>
        <v>1</v>
      </c>
      <c r="O49" s="1128">
        <f>AVERAGE(M49,M45)</f>
        <v>263.375</v>
      </c>
      <c r="Q49" s="1026">
        <f>(O49/O42-1)*100</f>
        <v>5.7730923694779168</v>
      </c>
      <c r="S49" s="1652">
        <f>I49/Q49*100</f>
        <v>13.143535875497815</v>
      </c>
      <c r="V49" s="2034">
        <v>470.83699999999999</v>
      </c>
      <c r="W49" s="2097">
        <v>1156</v>
      </c>
      <c r="X49" s="2097">
        <v>201.8</v>
      </c>
      <c r="Y49" s="218"/>
      <c r="AA49" s="1153">
        <f>(V49*0.6)/M49</f>
        <v>1.0501940520446096</v>
      </c>
      <c r="AC49" s="1141">
        <f>(AA49/AA42-1)*100</f>
        <v>4.3308217807082938</v>
      </c>
      <c r="AD49" s="1143">
        <f>'qtrP&amp;L'!CF25</f>
        <v>697.8</v>
      </c>
      <c r="AE49" s="1143" t="e">
        <f>#REF!+#REF!</f>
        <v>#REF!</v>
      </c>
      <c r="AF49" s="1143" t="e">
        <f>#REF!-(AE49-AH49)</f>
        <v>#REF!</v>
      </c>
      <c r="AG49" s="1143" t="e">
        <f>AF49+#REF!</f>
        <v>#REF!</v>
      </c>
      <c r="AH49" s="1143">
        <f>'CoachSegsales&amp;OldOM'!D93</f>
        <v>529</v>
      </c>
      <c r="AJ49" s="1594">
        <v>0.496</v>
      </c>
      <c r="AL49" s="1149">
        <f>AVERAGE(AJ49,AJ48)</f>
        <v>0.49299999999999999</v>
      </c>
      <c r="AN49" s="981">
        <f>(AL49/AL42-1)*100</f>
        <v>10.044642857142861</v>
      </c>
      <c r="AP49" s="1128">
        <f>I49/AN49*100</f>
        <v>7.5541607352258771</v>
      </c>
      <c r="AS49" s="1153">
        <f>(V49*0.6)</f>
        <v>282.50219999999996</v>
      </c>
      <c r="AU49" s="1046">
        <f>AS49/AL49</f>
        <v>573.02677484787012</v>
      </c>
      <c r="AW49" s="1141">
        <f>(AU49/AU42-1)*100</f>
        <v>1.2854428164632559E-2</v>
      </c>
      <c r="AY49" s="1107"/>
      <c r="AZ49" s="1029"/>
      <c r="BA49" s="1029"/>
    </row>
    <row r="50" spans="1:53">
      <c r="A50" s="61" t="str">
        <f t="shared" si="3"/>
        <v>3Q</v>
      </c>
      <c r="B50" s="1148" t="str">
        <f t="shared" si="3"/>
        <v>Mar</v>
      </c>
      <c r="D50" s="2090">
        <f>(V50/V43-1)*100</f>
        <v>-1.1649940602429854</v>
      </c>
      <c r="E50" s="217"/>
      <c r="F50" s="2033">
        <v>-2.4</v>
      </c>
      <c r="G50" s="2033">
        <v>-8.1</v>
      </c>
      <c r="H50" s="1030"/>
      <c r="I50" s="1674">
        <f>D50-F50</f>
        <v>1.2350059397570146</v>
      </c>
      <c r="K50" s="2026">
        <f>109+68</f>
        <v>177</v>
      </c>
      <c r="L50" s="3">
        <f>+K50-K49</f>
        <v>1</v>
      </c>
      <c r="M50" s="2026">
        <v>270</v>
      </c>
      <c r="N50" s="3">
        <f>+M50-M49</f>
        <v>1</v>
      </c>
      <c r="O50" s="1128">
        <f>AVERAGE(M50,M46)</f>
        <v>270</v>
      </c>
      <c r="Q50" s="1026">
        <f>(O50/O43-1)*100</f>
        <v>3.8461538461538547</v>
      </c>
      <c r="S50" s="1652">
        <f>I50/Q50*100</f>
        <v>32.110154433682311</v>
      </c>
      <c r="V50" s="2034">
        <v>271.22500000000002</v>
      </c>
      <c r="W50" s="1063">
        <f>W49/W42-1</f>
        <v>0.12124151309408338</v>
      </c>
      <c r="X50" s="1063">
        <f>X49/X42-1</f>
        <v>7.2263549415515493E-2</v>
      </c>
      <c r="Y50" s="218"/>
      <c r="AA50" s="1153">
        <f>(V50*0.6)/M50</f>
        <v>0.60272222222222227</v>
      </c>
      <c r="AC50" s="1141">
        <f>(AA50/AA43-1)*100</f>
        <v>-4.8255498357895332</v>
      </c>
      <c r="AD50" s="1143">
        <f>'qtrP&amp;L'!CF26</f>
        <v>961.59999999999991</v>
      </c>
      <c r="AE50" s="1143" t="e">
        <f>#REF!+#REF!</f>
        <v>#REF!</v>
      </c>
      <c r="AF50" s="1143" t="e">
        <f>#REF!-(AE50-AH50)</f>
        <v>#REF!</v>
      </c>
      <c r="AG50" s="1143" t="e">
        <f>AF50+#REF!</f>
        <v>#REF!</v>
      </c>
      <c r="AH50" s="1143">
        <f>'CoachSegsales&amp;OldOM'!D94</f>
        <v>781.2</v>
      </c>
      <c r="AJ50" s="1594">
        <v>0.499</v>
      </c>
      <c r="AL50" s="1149">
        <f>AVERAGE(AJ50,AJ49)</f>
        <v>0.4975</v>
      </c>
      <c r="AN50" s="981">
        <f>(AL50/AL43-1)*100</f>
        <v>8.5059978189749188</v>
      </c>
      <c r="AP50" s="1128">
        <f>I50/AN50*100</f>
        <v>14.519236496886952</v>
      </c>
      <c r="AS50" s="1153">
        <f>(V50*0.6)</f>
        <v>162.73500000000001</v>
      </c>
      <c r="AU50" s="1046">
        <f>AS50/AL50</f>
        <v>327.10552763819101</v>
      </c>
      <c r="AW50" s="1141">
        <f>(AU50/AU43-1)*100</f>
        <v>-8.9128638726058149</v>
      </c>
      <c r="AY50" s="1107"/>
      <c r="AZ50" s="1029"/>
      <c r="BA50" s="1029"/>
    </row>
    <row r="51" spans="1:53">
      <c r="A51" s="956" t="str">
        <f t="shared" si="3"/>
        <v>4Q</v>
      </c>
      <c r="B51" s="1148" t="str">
        <f t="shared" si="3"/>
        <v>June</v>
      </c>
      <c r="C51" s="1030"/>
      <c r="D51" s="2091">
        <f>(V51/V44-1)*100</f>
        <v>-5.9717039266041105</v>
      </c>
      <c r="E51" s="217"/>
      <c r="F51" s="2089" t="s">
        <v>606</v>
      </c>
      <c r="G51" s="2033">
        <v>-8</v>
      </c>
      <c r="H51" s="1030"/>
      <c r="I51" s="2050" t="s">
        <v>606</v>
      </c>
      <c r="J51" s="1030"/>
      <c r="K51" s="2359">
        <v>181</v>
      </c>
      <c r="L51" s="1030">
        <f>+K51-K50</f>
        <v>4</v>
      </c>
      <c r="M51" s="2359">
        <v>275</v>
      </c>
      <c r="N51" s="1030">
        <v>5</v>
      </c>
      <c r="O51" s="1129">
        <f>AVERAGE(M51,M47)</f>
        <v>275</v>
      </c>
      <c r="P51" s="1030"/>
      <c r="Q51" s="1146">
        <f>(O51/O44-1)*100</f>
        <v>2.9962546816479474</v>
      </c>
      <c r="R51" s="1030"/>
      <c r="S51" s="2076" t="s">
        <v>606</v>
      </c>
      <c r="T51" s="1030"/>
      <c r="U51" s="1030"/>
      <c r="V51" s="2028">
        <v>300.60000000000002</v>
      </c>
      <c r="W51" s="2096"/>
      <c r="X51" s="2096"/>
      <c r="Y51" s="2077"/>
      <c r="Z51" s="1030"/>
      <c r="AA51" s="1132">
        <f>(V51*0.6)/M51</f>
        <v>0.65585454545454547</v>
      </c>
      <c r="AB51" s="1030"/>
      <c r="AC51" s="2075">
        <f>(AA51/AA44-1)*100</f>
        <v>-8.7070725396483635</v>
      </c>
      <c r="AD51" s="2078">
        <f>'qtrP&amp;L'!CF27</f>
        <v>0</v>
      </c>
      <c r="AE51" s="2078" t="e">
        <f>#REF!+#REF!</f>
        <v>#REF!</v>
      </c>
      <c r="AF51" s="2078" t="e">
        <f>#REF!-(AE51-AH51)</f>
        <v>#REF!</v>
      </c>
      <c r="AG51" s="2078" t="e">
        <f>AF51+#REF!</f>
        <v>#REF!</v>
      </c>
      <c r="AH51" s="2078">
        <f>'CoachSegsales&amp;OldOM'!D95</f>
        <v>492.96000000000004</v>
      </c>
      <c r="AI51" s="1030"/>
      <c r="AJ51" s="1552">
        <f>+(M51-M50)*yrSales!W91/1000000+AJ50</f>
        <v>0.51497897916666668</v>
      </c>
      <c r="AK51" s="1030"/>
      <c r="AL51" s="1154">
        <f>AVERAGE(AJ51,AJ50)</f>
        <v>0.50698948958333334</v>
      </c>
      <c r="AM51" s="1030"/>
      <c r="AN51" s="2050">
        <f>(AL51/AL44-1)*100</f>
        <v>7.7554706872121848</v>
      </c>
      <c r="AO51" s="1030"/>
      <c r="AP51" s="2076" t="s">
        <v>606</v>
      </c>
      <c r="AQ51" s="1030"/>
      <c r="AR51" s="1030"/>
      <c r="AS51" s="1132">
        <f>(V51*0.6)</f>
        <v>180.36</v>
      </c>
      <c r="AT51" s="1030"/>
      <c r="AU51" s="2079">
        <f>AS51/AL51</f>
        <v>355.7470198213141</v>
      </c>
      <c r="AV51" s="1030"/>
      <c r="AW51" s="2075">
        <f>(AU51/AU44-1)*100</f>
        <v>-12.739190433925106</v>
      </c>
      <c r="AY51" s="1107"/>
      <c r="AZ51" s="1029"/>
      <c r="BA51" s="1029"/>
    </row>
    <row r="52" spans="1:53">
      <c r="A52" s="61"/>
      <c r="B52" s="1148" t="str">
        <f>B45</f>
        <v>Year</v>
      </c>
      <c r="D52" s="2092">
        <f>(V52/V45-1)*100</f>
        <v>4.6137528997587829</v>
      </c>
      <c r="E52" s="217"/>
      <c r="F52" s="2094">
        <f>SUMPRODUCT(F48:F51,V48:V51)/V52</f>
        <v>4.3029905311251557</v>
      </c>
      <c r="G52" s="2094"/>
      <c r="H52" s="1030"/>
      <c r="I52" s="1654">
        <f>D52-F52</f>
        <v>0.31076236863362716</v>
      </c>
      <c r="K52" s="1128">
        <f>AVERAGE(K48:K51)</f>
        <v>177.25</v>
      </c>
      <c r="M52" s="1128">
        <f>AVERAGE(M48:M51)</f>
        <v>270.5</v>
      </c>
      <c r="O52" s="1128">
        <f>AVERAGE(M52,M48)</f>
        <v>269.25</v>
      </c>
      <c r="Q52" s="981">
        <f>(O52/O45-1)*100</f>
        <v>6.2654168722249715</v>
      </c>
      <c r="S52" s="1128">
        <f>I52/Q52*100</f>
        <v>4.9599631592154445</v>
      </c>
      <c r="V52" s="705">
        <f>SUM(V48:V51)</f>
        <v>1359.19</v>
      </c>
      <c r="Y52" s="1065"/>
      <c r="AA52" s="1065">
        <f>(V52*0.6)/M52</f>
        <v>3.0148391866913125</v>
      </c>
      <c r="AC52" s="1141">
        <f>(AA52/AA45-1)*100</f>
        <v>-0.31720957518363013</v>
      </c>
      <c r="AD52" s="1143">
        <f>'qtrP&amp;L'!CF28</f>
        <v>0</v>
      </c>
      <c r="AE52" s="1143" t="e">
        <f>#REF!+#REF!</f>
        <v>#REF!</v>
      </c>
      <c r="AF52" s="1143" t="e">
        <f>#REF!-(AE52-AH52)</f>
        <v>#REF!</v>
      </c>
      <c r="AG52" s="1143" t="e">
        <f>AF52+#REF!</f>
        <v>#REF!</v>
      </c>
      <c r="AH52" s="1143">
        <f>'CoachSegsales&amp;OldOM'!D96</f>
        <v>603.58000000000004</v>
      </c>
      <c r="AJ52" s="1134"/>
      <c r="AL52" s="1149">
        <f>AVERAGE(AL48:AL51)</f>
        <v>0.49537237239583332</v>
      </c>
      <c r="AN52" s="981">
        <f>(AL52/AL45-1)*100</f>
        <v>9.3235580459769984</v>
      </c>
      <c r="AP52" s="1128">
        <f>I52/AN52*100</f>
        <v>3.3330877236048031</v>
      </c>
      <c r="AS52" s="1065">
        <f>SUM(AS48:AS51)</f>
        <v>815.51400000000001</v>
      </c>
      <c r="AU52" s="1151">
        <f>SUM(AU48:AU51)</f>
        <v>1648.2694049520032</v>
      </c>
      <c r="AW52" s="1141">
        <f>(AU52/AU45-1)*100</f>
        <v>-4.2722641148702607</v>
      </c>
      <c r="AY52" s="1107"/>
      <c r="AZ52" s="1029"/>
      <c r="BA52" s="1029"/>
    </row>
    <row r="53" spans="1:53">
      <c r="A53" s="61"/>
      <c r="B53" s="1148"/>
      <c r="D53" s="2093"/>
      <c r="E53" s="217"/>
      <c r="F53" s="2030"/>
      <c r="G53" s="2030"/>
      <c r="I53" s="981"/>
      <c r="M53" s="1031"/>
      <c r="O53" s="1128"/>
      <c r="Q53" s="981"/>
      <c r="S53" s="1128"/>
      <c r="V53" s="1065"/>
      <c r="W53" s="1065"/>
      <c r="X53" s="1065"/>
      <c r="Y53" s="1065"/>
      <c r="AA53" s="1150"/>
      <c r="AC53" s="1141"/>
      <c r="AD53" s="1143"/>
      <c r="AE53" s="1143"/>
      <c r="AF53" s="1143"/>
      <c r="AG53" s="1143"/>
      <c r="AH53" s="1143"/>
      <c r="AJ53" s="1114"/>
      <c r="AL53" s="1149"/>
      <c r="AN53" s="981"/>
      <c r="AP53" s="1128"/>
      <c r="AS53" s="1065"/>
      <c r="AU53" s="1151"/>
      <c r="AW53" s="1141"/>
      <c r="AY53" s="1107"/>
      <c r="AZ53" s="1029"/>
      <c r="BA53" s="1029"/>
    </row>
    <row r="54" spans="1:53">
      <c r="A54" s="1147"/>
      <c r="B54" s="1038" t="s">
        <v>12</v>
      </c>
      <c r="D54" s="1546"/>
      <c r="E54" s="217"/>
      <c r="F54" s="2030"/>
      <c r="G54" s="2030"/>
      <c r="I54" s="980"/>
      <c r="Q54" s="980"/>
      <c r="S54" s="1651"/>
      <c r="V54" s="2"/>
      <c r="W54" s="2"/>
      <c r="X54" s="2"/>
      <c r="Y54" s="705"/>
      <c r="AA54" s="1091"/>
      <c r="AC54" s="1092"/>
      <c r="AD54" s="1092"/>
      <c r="AE54" s="1093"/>
      <c r="AF54" s="1093"/>
      <c r="AG54" s="1093"/>
      <c r="AH54" s="1093"/>
      <c r="AJ54" s="1114"/>
      <c r="AL54" s="1114"/>
      <c r="AN54" s="980"/>
      <c r="AP54" s="564"/>
      <c r="AS54" s="1065"/>
      <c r="AU54" s="1112"/>
      <c r="AW54" s="1092"/>
      <c r="AY54" s="1107"/>
      <c r="AZ54" s="1029"/>
      <c r="BA54" s="1029"/>
    </row>
    <row r="55" spans="1:53">
      <c r="A55" s="2107" t="str">
        <f t="shared" ref="A55:B58" si="4">A48</f>
        <v>1Q</v>
      </c>
      <c r="B55" s="2257" t="str">
        <f t="shared" si="4"/>
        <v>Sept</v>
      </c>
      <c r="C55" s="2107"/>
      <c r="D55" s="2370">
        <v>-4</v>
      </c>
      <c r="E55" s="2259" t="s">
        <v>428</v>
      </c>
      <c r="F55" s="2370">
        <v>-9</v>
      </c>
      <c r="G55" s="2371">
        <v>-3</v>
      </c>
      <c r="H55" s="2261" t="s">
        <v>428</v>
      </c>
      <c r="I55" s="2372">
        <f>D55-F55</f>
        <v>5</v>
      </c>
      <c r="J55" s="2107" t="s">
        <v>428</v>
      </c>
      <c r="K55" s="2116">
        <f>K51+L55</f>
        <v>183</v>
      </c>
      <c r="L55" s="2116">
        <v>2</v>
      </c>
      <c r="M55" s="2116">
        <f>+K55+93</f>
        <v>276</v>
      </c>
      <c r="N55" s="2107">
        <f>+M55-M51</f>
        <v>1</v>
      </c>
      <c r="O55" s="2109">
        <f>AVERAGE(M55,M51)</f>
        <v>275.5</v>
      </c>
      <c r="P55" s="2107"/>
      <c r="Q55" s="2263">
        <f>(O55/O48-1)*100</f>
        <v>2.9906542056074681</v>
      </c>
      <c r="R55" s="2107" t="s">
        <v>428</v>
      </c>
      <c r="S55" s="2264">
        <f>I55/Q55*100</f>
        <v>167.18750000000048</v>
      </c>
      <c r="T55" s="2107" t="s">
        <v>428</v>
      </c>
      <c r="U55" s="2107"/>
      <c r="V55" s="2360">
        <f>+'SegOM-New'!I30</f>
        <v>269</v>
      </c>
      <c r="W55" s="2265"/>
      <c r="X55" s="2265"/>
      <c r="Y55" s="2266"/>
      <c r="Z55" s="2107"/>
      <c r="AA55" s="2266">
        <f>(V55*0.6)/M55</f>
        <v>0.58478260869565224</v>
      </c>
      <c r="AB55" s="2107"/>
      <c r="AC55" s="2258">
        <f>(AA55/AA48-1)*100</f>
        <v>-17.478738515794923</v>
      </c>
      <c r="AD55" s="2268">
        <f>'qtrP&amp;L'!CF31</f>
        <v>542</v>
      </c>
      <c r="AE55" s="2268" t="e">
        <f>#REF!+#REF!</f>
        <v>#REF!</v>
      </c>
      <c r="AF55" s="2268" t="e">
        <f>#REF!-(AE55-AH55)</f>
        <v>#REF!</v>
      </c>
      <c r="AG55" s="2268" t="e">
        <f>AF55+#REF!</f>
        <v>#REF!</v>
      </c>
      <c r="AH55" s="2268">
        <f>'CoachSegsales&amp;OldOM'!D99</f>
        <v>0</v>
      </c>
      <c r="AI55" s="2259" t="s">
        <v>428</v>
      </c>
      <c r="AJ55" s="2269">
        <f>+(M55-M51)*yrSales!X91/1000000+AJ51</f>
        <v>0.51814002502388401</v>
      </c>
      <c r="AK55" s="2107"/>
      <c r="AL55" s="2271">
        <f>AVERAGE(AJ55,AJ51)</f>
        <v>0.51655950209527535</v>
      </c>
      <c r="AM55" s="2107"/>
      <c r="AN55" s="2272">
        <f>(AL55/AL48-1)*100</f>
        <v>6.7271698543957426</v>
      </c>
      <c r="AO55" s="2259" t="s">
        <v>428</v>
      </c>
      <c r="AP55" s="2109">
        <f>I55/AN55*100</f>
        <v>74.325460902891336</v>
      </c>
      <c r="AQ55" s="2257" t="s">
        <v>428</v>
      </c>
      <c r="AR55" s="2107"/>
      <c r="AS55" s="2266">
        <f>(V55*0.6)</f>
        <v>161.4</v>
      </c>
      <c r="AT55" s="2107"/>
      <c r="AU55" s="2273">
        <f>AS55/AL55</f>
        <v>312.45190407944727</v>
      </c>
      <c r="AV55" s="2107"/>
      <c r="AW55" s="2258">
        <f>(AU55/AU48-1)*100</f>
        <v>-20.372120015473882</v>
      </c>
      <c r="AX55" s="2259" t="s">
        <v>428</v>
      </c>
      <c r="AY55" s="1107"/>
      <c r="AZ55" s="1029"/>
      <c r="BA55" s="1029"/>
    </row>
    <row r="56" spans="1:53">
      <c r="A56" s="2107" t="str">
        <f t="shared" si="4"/>
        <v>2Q</v>
      </c>
      <c r="B56" s="2257" t="str">
        <f t="shared" si="4"/>
        <v>Dec</v>
      </c>
      <c r="C56" s="2107"/>
      <c r="D56" s="2373">
        <f>(V56/V49-1)*100</f>
        <v>-7.6113389559444133</v>
      </c>
      <c r="E56" s="2259"/>
      <c r="F56" s="2371">
        <v>-7</v>
      </c>
      <c r="G56" s="2371">
        <v>-3</v>
      </c>
      <c r="H56" s="2261"/>
      <c r="I56" s="2372">
        <f>D56-F56</f>
        <v>-0.61133895594441334</v>
      </c>
      <c r="J56" s="2107"/>
      <c r="K56" s="2386">
        <v>189</v>
      </c>
      <c r="L56" s="2386">
        <f>K56-K55</f>
        <v>6</v>
      </c>
      <c r="M56" s="2116">
        <f>189+95</f>
        <v>284</v>
      </c>
      <c r="N56" s="2387">
        <f>M56-M55</f>
        <v>8</v>
      </c>
      <c r="O56" s="2109">
        <f>AVERAGE(M56,M52)</f>
        <v>277.25</v>
      </c>
      <c r="P56" s="2107"/>
      <c r="Q56" s="2263">
        <f>(O56/O49-1)*100</f>
        <v>5.268153773137163</v>
      </c>
      <c r="R56" s="2107"/>
      <c r="S56" s="2264">
        <f>I56/Q56*100</f>
        <v>-11.604425046620529</v>
      </c>
      <c r="T56" s="2107"/>
      <c r="U56" s="2107"/>
      <c r="V56" s="2360">
        <f>+'SegOM-New'!I31</f>
        <v>435</v>
      </c>
      <c r="W56" s="2265"/>
      <c r="X56" s="2265"/>
      <c r="Y56" s="2274"/>
      <c r="Z56" s="2107"/>
      <c r="AA56" s="2275">
        <f>(V56*0.6)/M56</f>
        <v>0.91901408450704225</v>
      </c>
      <c r="AB56" s="2107"/>
      <c r="AC56" s="2258">
        <f>(AA56/AA49-1)*100</f>
        <v>-12.491021757567067</v>
      </c>
      <c r="AD56" s="2268">
        <f>'qtrP&amp;L'!CF32</f>
        <v>519</v>
      </c>
      <c r="AE56" s="2268" t="e">
        <f>#REF!+#REF!</f>
        <v>#REF!</v>
      </c>
      <c r="AF56" s="2268" t="e">
        <f>#REF!-(AE56-AH56)</f>
        <v>#REF!</v>
      </c>
      <c r="AG56" s="2268" t="e">
        <f>AF56+#REF!</f>
        <v>#REF!</v>
      </c>
      <c r="AH56" s="2268">
        <f>'CoachSegsales&amp;OldOM'!D100</f>
        <v>0</v>
      </c>
      <c r="AI56" s="2107"/>
      <c r="AJ56" s="2269">
        <f>+(M56-M55)*yrSales!X91/1000000+AJ55</f>
        <v>0.5434283918816224</v>
      </c>
      <c r="AK56" s="2107"/>
      <c r="AL56" s="2271">
        <f>AVERAGE(AJ56,AJ55)</f>
        <v>0.5307842084527532</v>
      </c>
      <c r="AM56" s="2107"/>
      <c r="AN56" s="2272">
        <f>(AL56/AL49-1)*100</f>
        <v>7.6641396455888966</v>
      </c>
      <c r="AO56" s="2107"/>
      <c r="AP56" s="2109">
        <f>I56/AN56*100</f>
        <v>-7.9766155656658748</v>
      </c>
      <c r="AQ56" s="2107"/>
      <c r="AR56" s="2107"/>
      <c r="AS56" s="2275">
        <f>(V56*0.6)</f>
        <v>261</v>
      </c>
      <c r="AT56" s="2107"/>
      <c r="AU56" s="2276">
        <f>AS56/AL56</f>
        <v>491.72525452635512</v>
      </c>
      <c r="AV56" s="2107"/>
      <c r="AW56" s="2258">
        <f>(AU56/AU49-1)*100</f>
        <v>-14.188084028551595</v>
      </c>
      <c r="AX56" s="2107"/>
      <c r="AY56" s="1107"/>
      <c r="AZ56" s="1029"/>
      <c r="BA56" s="1029"/>
    </row>
    <row r="57" spans="1:53">
      <c r="A57" s="2107" t="str">
        <f t="shared" si="4"/>
        <v>3Q</v>
      </c>
      <c r="B57" s="2257" t="str">
        <f t="shared" si="4"/>
        <v>Mar</v>
      </c>
      <c r="C57" s="2107"/>
      <c r="D57" s="2373">
        <f>F57+I57</f>
        <v>-6</v>
      </c>
      <c r="E57" s="2259"/>
      <c r="F57" s="2371">
        <v>-6</v>
      </c>
      <c r="G57" s="2371"/>
      <c r="H57" s="2261"/>
      <c r="I57" s="2262">
        <v>0</v>
      </c>
      <c r="J57" s="2107"/>
      <c r="K57" s="2107">
        <f>K56+L57</f>
        <v>244</v>
      </c>
      <c r="L57" s="2116">
        <v>55</v>
      </c>
      <c r="M57" s="2107">
        <f>M56+N57</f>
        <v>291</v>
      </c>
      <c r="N57" s="2116">
        <v>7</v>
      </c>
      <c r="O57" s="2109">
        <f>AVERAGE(M57,M53)</f>
        <v>291</v>
      </c>
      <c r="P57" s="2107"/>
      <c r="Q57" s="2263">
        <f>(O57/O50-1)*100</f>
        <v>7.7777777777777724</v>
      </c>
      <c r="R57" s="2107"/>
      <c r="S57" s="2264">
        <f>I57/Q57*100</f>
        <v>0</v>
      </c>
      <c r="T57" s="2107"/>
      <c r="U57" s="2107"/>
      <c r="V57" s="2265">
        <f>V50*(1+D57/100)</f>
        <v>254.95150000000001</v>
      </c>
      <c r="W57" s="2265"/>
      <c r="X57" s="2265"/>
      <c r="Y57" s="2274"/>
      <c r="Z57" s="2107"/>
      <c r="AA57" s="2275">
        <f>(V57*0.6)/M57</f>
        <v>0.52567319587628869</v>
      </c>
      <c r="AB57" s="2107"/>
      <c r="AC57" s="2258">
        <f>(AA57/AA50-1)*100</f>
        <v>-12.783505154639174</v>
      </c>
      <c r="AD57" s="2268">
        <f>'qtrP&amp;L'!CF33</f>
        <v>566.29999999999995</v>
      </c>
      <c r="AE57" s="2268" t="e">
        <f>#REF!+#REF!</f>
        <v>#REF!</v>
      </c>
      <c r="AF57" s="2268" t="e">
        <f>#REF!-(AE57-AH57)</f>
        <v>#REF!</v>
      </c>
      <c r="AG57" s="2268" t="e">
        <f>AF57+#REF!</f>
        <v>#REF!</v>
      </c>
      <c r="AH57" s="2268">
        <f>'CoachSegsales&amp;OldOM'!D101</f>
        <v>0.52336073791858828</v>
      </c>
      <c r="AI57" s="2107"/>
      <c r="AJ57" s="2269">
        <f>+(M57-M56)*yrSales!X91/1000000+AJ56</f>
        <v>0.56555571288214346</v>
      </c>
      <c r="AK57" s="2107"/>
      <c r="AL57" s="2271">
        <f>AVERAGE(AJ57,AJ56)</f>
        <v>0.55449205238188293</v>
      </c>
      <c r="AM57" s="2107"/>
      <c r="AN57" s="2272">
        <f>(AL57/AL50-1)*100</f>
        <v>11.455688920981499</v>
      </c>
      <c r="AO57" s="2107"/>
      <c r="AP57" s="2109">
        <f>I57/AN57*100</f>
        <v>0</v>
      </c>
      <c r="AQ57" s="2107"/>
      <c r="AR57" s="2107"/>
      <c r="AS57" s="2275">
        <f>(V57*0.6)</f>
        <v>152.9709</v>
      </c>
      <c r="AT57" s="2107"/>
      <c r="AU57" s="2276">
        <f>AS57/AL57</f>
        <v>275.87573048684163</v>
      </c>
      <c r="AV57" s="2107"/>
      <c r="AW57" s="2258">
        <f>(AU57/AU50-1)*100</f>
        <v>-15.66155042418429</v>
      </c>
      <c r="AX57" s="2107"/>
      <c r="AY57" s="1107"/>
      <c r="AZ57" s="1029"/>
      <c r="BA57" s="1029"/>
    </row>
    <row r="58" spans="1:53">
      <c r="A58" s="2107" t="str">
        <f t="shared" si="4"/>
        <v>4Q</v>
      </c>
      <c r="B58" s="2257" t="str">
        <f t="shared" si="4"/>
        <v>June</v>
      </c>
      <c r="C58" s="2107"/>
      <c r="D58" s="2374">
        <f>F58+I58</f>
        <v>-5</v>
      </c>
      <c r="E58" s="2259"/>
      <c r="F58" s="2375">
        <v>-5</v>
      </c>
      <c r="G58" s="2371"/>
      <c r="H58" s="2261"/>
      <c r="I58" s="2278">
        <v>0</v>
      </c>
      <c r="J58" s="2107"/>
      <c r="K58" s="2339">
        <f>K57+L58</f>
        <v>249</v>
      </c>
      <c r="L58" s="2116">
        <v>5</v>
      </c>
      <c r="M58" s="2109">
        <f>yrSales!Y224</f>
        <v>298</v>
      </c>
      <c r="N58" s="2107">
        <f>+M58-M57</f>
        <v>7</v>
      </c>
      <c r="O58" s="2279">
        <f>AVERAGE(M58,M54)</f>
        <v>298</v>
      </c>
      <c r="P58" s="2107"/>
      <c r="Q58" s="2280">
        <f>(O58/O51-1)*100</f>
        <v>8.363636363636374</v>
      </c>
      <c r="R58" s="2107"/>
      <c r="S58" s="2279">
        <f>I58/Q58*100</f>
        <v>0</v>
      </c>
      <c r="T58" s="2107"/>
      <c r="U58" s="2107"/>
      <c r="V58" s="2281">
        <f>V51*(1+D58/100)</f>
        <v>285.57</v>
      </c>
      <c r="W58" s="2265"/>
      <c r="X58" s="2265"/>
      <c r="Y58" s="2274"/>
      <c r="Z58" s="2107"/>
      <c r="AA58" s="2284">
        <f>(V58*0.6)/M58</f>
        <v>0.57497315436241603</v>
      </c>
      <c r="AB58" s="2107"/>
      <c r="AC58" s="2277">
        <f>(AA58/AA51-1)*100</f>
        <v>-12.33221476510068</v>
      </c>
      <c r="AD58" s="2268">
        <f>'qtrP&amp;L'!CF34</f>
        <v>2129.8000000000002</v>
      </c>
      <c r="AE58" s="2268" t="e">
        <f>#REF!+#REF!</f>
        <v>#REF!</v>
      </c>
      <c r="AF58" s="2268" t="e">
        <f>#REF!-(AE58-AH58)</f>
        <v>#REF!</v>
      </c>
      <c r="AG58" s="2268" t="e">
        <f>AF58+#REF!</f>
        <v>#REF!</v>
      </c>
      <c r="AH58" s="2268">
        <f>'CoachSegsales&amp;OldOM'!D102</f>
        <v>0.13216275981958428</v>
      </c>
      <c r="AI58" s="2107"/>
      <c r="AJ58" s="2269">
        <f>yrSales!Y240</f>
        <v>0.55637897916666668</v>
      </c>
      <c r="AK58" s="2107"/>
      <c r="AL58" s="2283">
        <f>AVERAGE(AJ58,AJ57)</f>
        <v>0.56096734602440512</v>
      </c>
      <c r="AM58" s="2107"/>
      <c r="AN58" s="2280">
        <f>(AL58/AL51-1)*100</f>
        <v>10.646740721475933</v>
      </c>
      <c r="AO58" s="2107"/>
      <c r="AP58" s="2279">
        <f>I58/AN58*100</f>
        <v>0</v>
      </c>
      <c r="AQ58" s="2107"/>
      <c r="AR58" s="2107"/>
      <c r="AS58" s="2284">
        <f>(V58*0.6)</f>
        <v>171.34199999999998</v>
      </c>
      <c r="AT58" s="2107"/>
      <c r="AU58" s="2285">
        <f>AS58/AL58</f>
        <v>305.44023857058102</v>
      </c>
      <c r="AV58" s="2107"/>
      <c r="AW58" s="2277">
        <f>(AU58/AU51-1)*100</f>
        <v>-14.141167303664648</v>
      </c>
      <c r="AX58" s="2107"/>
      <c r="AY58" s="1107"/>
      <c r="AZ58" s="1029"/>
      <c r="BA58" s="1029"/>
    </row>
    <row r="59" spans="1:53">
      <c r="A59" s="2107"/>
      <c r="B59" s="2257" t="str">
        <f>B52</f>
        <v>Year</v>
      </c>
      <c r="C59" s="2107"/>
      <c r="D59" s="2376">
        <f>(V59/V52-1)*100</f>
        <v>-8.4365320521781371</v>
      </c>
      <c r="E59" s="2259"/>
      <c r="F59" s="2377">
        <f>SUMPRODUCT(F55:F58,V55:V58)/V59</f>
        <v>-6.7685122354254217</v>
      </c>
      <c r="G59" s="2377"/>
      <c r="H59" s="2261"/>
      <c r="I59" s="2262">
        <f>D59-F59</f>
        <v>-1.6680198167527154</v>
      </c>
      <c r="J59" s="2107"/>
      <c r="K59" s="2109">
        <f>AVERAGE(K55:K58)</f>
        <v>216.25</v>
      </c>
      <c r="L59" s="2107"/>
      <c r="M59" s="2378">
        <f>AVERAGE(M55:M58)</f>
        <v>287.25</v>
      </c>
      <c r="N59" s="2107"/>
      <c r="O59" s="2109">
        <f>AVERAGE(M59,M55)</f>
        <v>281.625</v>
      </c>
      <c r="P59" s="2107"/>
      <c r="Q59" s="2272">
        <f>(O59/O52-1)*100</f>
        <v>4.5961002785515293</v>
      </c>
      <c r="R59" s="2107"/>
      <c r="S59" s="2109">
        <f>I59/Q59*100</f>
        <v>-36.292067528134858</v>
      </c>
      <c r="T59" s="2107"/>
      <c r="U59" s="2107"/>
      <c r="V59" s="2266">
        <f>SUM(V55:V58)</f>
        <v>1244.5215000000001</v>
      </c>
      <c r="W59" s="2266"/>
      <c r="X59" s="2266"/>
      <c r="Y59" s="2266"/>
      <c r="Z59" s="2107"/>
      <c r="AA59" s="2266">
        <f>(V59*0.6)/M59</f>
        <v>2.5995227154046998</v>
      </c>
      <c r="AB59" s="2107"/>
      <c r="AC59" s="2258">
        <f>(AA59/AA52-1)*100</f>
        <v>-13.775742106576793</v>
      </c>
      <c r="AD59" s="2268">
        <f>'qtrP&amp;L'!CF35</f>
        <v>1044.5</v>
      </c>
      <c r="AE59" s="2268" t="e">
        <f>#REF!+#REF!</f>
        <v>#REF!</v>
      </c>
      <c r="AF59" s="2268" t="e">
        <f>#REF!-(AE59-AH59)</f>
        <v>#REF!</v>
      </c>
      <c r="AG59" s="2268" t="e">
        <f>AF59+#REF!</f>
        <v>#REF!</v>
      </c>
      <c r="AH59" s="2268">
        <f>'CoachSegsales&amp;OldOM'!D103</f>
        <v>0.12402640139561188</v>
      </c>
      <c r="AI59" s="2107"/>
      <c r="AJ59" s="2289"/>
      <c r="AK59" s="2107"/>
      <c r="AL59" s="2271">
        <f>AVERAGE(AL55:AL58)</f>
        <v>0.54070077723857923</v>
      </c>
      <c r="AM59" s="2107"/>
      <c r="AN59" s="2272">
        <f>(AL59/AL52-1)*100</f>
        <v>9.1503699779457381</v>
      </c>
      <c r="AO59" s="2107"/>
      <c r="AP59" s="2109">
        <f>I59/AN59*100</f>
        <v>-18.228987688727166</v>
      </c>
      <c r="AQ59" s="2107"/>
      <c r="AR59" s="2107"/>
      <c r="AS59" s="2266">
        <f>SUM(AS55:AS58)</f>
        <v>746.71289999999999</v>
      </c>
      <c r="AT59" s="2107"/>
      <c r="AU59" s="2273">
        <f>SUM(AU55:AU58)</f>
        <v>1385.4931276632249</v>
      </c>
      <c r="AV59" s="2107"/>
      <c r="AW59" s="2258">
        <f>(AU59/AU52-1)*100</f>
        <v>-15.942556265335172</v>
      </c>
      <c r="AX59" s="2107"/>
      <c r="AY59" s="1107"/>
      <c r="AZ59" s="1029"/>
      <c r="BA59" s="1029"/>
    </row>
    <row r="60" spans="1:53">
      <c r="A60" s="61"/>
      <c r="B60" s="1148"/>
      <c r="D60" s="981"/>
      <c r="F60" s="1131"/>
      <c r="G60" s="1131"/>
      <c r="I60" s="981"/>
      <c r="M60" s="1031"/>
      <c r="O60" s="1128"/>
      <c r="Q60" s="981"/>
      <c r="S60" s="1128"/>
      <c r="V60" s="1065"/>
      <c r="W60" s="1065"/>
      <c r="X60" s="1065"/>
      <c r="Y60" s="1065"/>
      <c r="AA60" s="1150"/>
      <c r="AC60" s="1141"/>
      <c r="AD60" s="1143"/>
      <c r="AE60" s="1143"/>
      <c r="AF60" s="1143"/>
      <c r="AG60" s="1143"/>
      <c r="AH60" s="1143"/>
      <c r="AJ60" s="1114"/>
      <c r="AL60" s="1149"/>
      <c r="AN60" s="981"/>
      <c r="AP60" s="1128"/>
      <c r="AS60" s="1065"/>
      <c r="AU60" s="1151"/>
      <c r="AW60" s="1141"/>
      <c r="AY60" s="1107"/>
      <c r="AZ60" s="1029"/>
      <c r="BA60" s="1029"/>
    </row>
    <row r="61" spans="1:53">
      <c r="A61" s="168" t="s">
        <v>114</v>
      </c>
      <c r="B61" s="216"/>
      <c r="BA61" s="56"/>
    </row>
    <row r="62" spans="1:53">
      <c r="A62" s="3" t="s">
        <v>337</v>
      </c>
      <c r="B62" s="216"/>
      <c r="BA62" s="56"/>
    </row>
    <row r="63" spans="1:53">
      <c r="F63" s="1090"/>
      <c r="G63" s="1090"/>
    </row>
    <row r="64" spans="1:53">
      <c r="F64" s="1090">
        <v>20</v>
      </c>
      <c r="G64" s="1090"/>
      <c r="V64" s="1091"/>
      <c r="W64" s="1091"/>
      <c r="X64" s="1091"/>
    </row>
    <row r="65" spans="6:7">
      <c r="F65" s="1090">
        <v>5</v>
      </c>
      <c r="G65" s="1090"/>
    </row>
    <row r="66" spans="6:7">
      <c r="F66" s="1090">
        <v>20</v>
      </c>
      <c r="G66" s="1090"/>
    </row>
    <row r="67" spans="6:7">
      <c r="F67" s="1090">
        <v>5</v>
      </c>
      <c r="G67" s="1090"/>
    </row>
  </sheetData>
  <mergeCells count="1">
    <mergeCell ref="D6:F6"/>
  </mergeCells>
  <printOptions horizontalCentered="1"/>
  <pageMargins left="0" right="0" top="0.32" bottom="0" header="0.24" footer="0.5"/>
  <pageSetup scale="69" orientation="landscape" r:id="rId1"/>
  <headerFooter alignWithMargins="0">
    <oddFooter>&amp;R&amp;8&amp;D
&amp;F/&amp;A</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I143"/>
  <sheetViews>
    <sheetView topLeftCell="A50" zoomScale="85" zoomScaleNormal="85" workbookViewId="0">
      <pane xSplit="2" topLeftCell="AB1" activePane="topRight" state="frozen"/>
      <selection activeCell="CK92" sqref="CK92"/>
      <selection pane="topRight" activeCell="D95" sqref="D95"/>
    </sheetView>
  </sheetViews>
  <sheetFormatPr defaultRowHeight="12.75" outlineLevelRow="1" outlineLevelCol="2"/>
  <cols>
    <col min="1" max="1" width="3" style="3" customWidth="1"/>
    <col min="2" max="2" width="7" style="3" customWidth="1"/>
    <col min="3" max="3" width="1.42578125" style="3" customWidth="1" outlineLevel="1"/>
    <col min="4" max="4" width="10.140625" style="3" customWidth="1" outlineLevel="1"/>
    <col min="5" max="5" width="5.140625" style="4" customWidth="1" outlineLevel="1"/>
    <col min="6" max="6" width="5.42578125" style="58" customWidth="1" outlineLevel="1"/>
    <col min="7" max="7" width="9.28515625" style="3" customWidth="1" outlineLevel="1"/>
    <col min="8" max="8" width="2.5703125" style="3" customWidth="1" outlineLevel="1" collapsed="1"/>
    <col min="9" max="9" width="12.140625" style="3" hidden="1" customWidth="1" outlineLevel="2"/>
    <col min="10" max="10" width="10.85546875" style="3" customWidth="1" outlineLevel="1" collapsed="1"/>
    <col min="11" max="11" width="4.5703125" style="4" customWidth="1" outlineLevel="1"/>
    <col min="12" max="12" width="3.7109375" style="4" customWidth="1" outlineLevel="1"/>
    <col min="13" max="13" width="1.85546875" style="3" customWidth="1" outlineLevel="1"/>
    <col min="14" max="14" width="9.42578125" style="3" customWidth="1" outlineLevel="1"/>
    <col min="15" max="15" width="6.140625" style="58" customWidth="1" outlineLevel="1"/>
    <col min="16" max="16" width="4" style="4" customWidth="1" outlineLevel="1"/>
    <col min="17" max="17" width="4.140625" style="4" customWidth="1" outlineLevel="1"/>
    <col min="18" max="18" width="5" style="10" customWidth="1" outlineLevel="1"/>
    <col min="19" max="19" width="2.42578125" style="3" customWidth="1" outlineLevel="1"/>
    <col min="20" max="20" width="8.42578125" style="3" customWidth="1" outlineLevel="1"/>
    <col min="21" max="21" width="5.140625" style="4" customWidth="1" outlineLevel="1"/>
    <col min="22" max="22" width="4.28515625" style="4" customWidth="1" outlineLevel="1"/>
    <col min="23" max="23" width="5" style="4" customWidth="1" outlineLevel="1"/>
    <col min="24" max="24" width="2.140625" style="56" customWidth="1" outlineLevel="1"/>
    <col min="25" max="25" width="9.42578125" style="56" customWidth="1" outlineLevel="1"/>
    <col min="26" max="26" width="5.28515625" style="10" customWidth="1" outlineLevel="1"/>
    <col min="27" max="27" width="5" style="4" customWidth="1" outlineLevel="1"/>
    <col min="28" max="28" width="1.7109375" style="56" customWidth="1" outlineLevel="1"/>
    <col min="29" max="29" width="10.140625" style="56" customWidth="1" outlineLevel="1"/>
    <col min="30" max="30" width="3.85546875" style="56" customWidth="1" outlineLevel="1"/>
    <col min="31" max="31" width="4.28515625" style="56" customWidth="1" outlineLevel="1"/>
    <col min="32" max="32" width="3.5703125" style="56" customWidth="1" outlineLevel="1"/>
    <col min="33" max="33" width="8.140625" style="10" bestFit="1" customWidth="1" outlineLevel="1"/>
    <col min="34" max="34" width="7.85546875" style="10" customWidth="1" outlineLevel="1"/>
    <col min="35" max="35" width="8.42578125" style="10" bestFit="1" customWidth="1" outlineLevel="1"/>
    <col min="36" max="36" width="2.85546875" style="56" customWidth="1" outlineLevel="1"/>
    <col min="37" max="37" width="7.28515625" style="56" customWidth="1" outlineLevel="1"/>
    <col min="38" max="38" width="4.7109375" style="10" customWidth="1" outlineLevel="1"/>
    <col min="39" max="39" width="2.5703125" style="56" customWidth="1"/>
    <col min="40" max="40" width="7.85546875" style="56" hidden="1" customWidth="1" outlineLevel="2"/>
    <col min="41" max="41" width="9.42578125" style="56" customWidth="1" collapsed="1"/>
    <col min="42" max="42" width="4.85546875" style="10" customWidth="1"/>
    <col min="43" max="43" width="5.42578125" style="56" customWidth="1"/>
    <col min="44" max="44" width="2.28515625" style="56" customWidth="1"/>
    <col min="45" max="45" width="8.7109375" style="56" customWidth="1"/>
    <col min="46" max="46" width="4.85546875" style="10" customWidth="1"/>
    <col min="47" max="47" width="5.7109375" style="56" customWidth="1"/>
    <col min="48" max="48" width="1.28515625" style="56" customWidth="1"/>
    <col min="49" max="49" width="7.7109375" style="56" customWidth="1"/>
    <col min="50" max="50" width="4.42578125" style="56" customWidth="1"/>
    <col min="51" max="51" width="5.42578125" style="56" customWidth="1"/>
    <col min="52" max="52" width="0.85546875" style="56" customWidth="1"/>
    <col min="53" max="53" width="8.7109375" style="56" customWidth="1"/>
    <col min="54" max="54" width="5.5703125" style="10" customWidth="1"/>
    <col min="55" max="55" width="6" style="56" customWidth="1"/>
    <col min="56" max="56" width="2.85546875" style="56" customWidth="1"/>
    <col min="57" max="57" width="8.5703125" style="56" customWidth="1"/>
    <col min="58" max="58" width="4.5703125" style="10" customWidth="1"/>
    <col min="59" max="59" width="5.85546875" style="56" customWidth="1"/>
    <col min="60" max="60" width="1.7109375" style="56" customWidth="1"/>
    <col min="61" max="61" width="8.7109375" style="56" customWidth="1"/>
    <col min="62" max="62" width="4.5703125" style="10" customWidth="1"/>
    <col min="63" max="63" width="5" style="56" customWidth="1"/>
    <col min="64" max="64" width="2.140625" style="56" customWidth="1"/>
    <col min="65" max="65" width="7.42578125" style="56" customWidth="1"/>
    <col min="66" max="66" width="5" style="10" customWidth="1"/>
    <col min="67" max="67" width="6" style="56" customWidth="1"/>
    <col min="68" max="68" width="1.28515625" style="56" customWidth="1"/>
    <col min="69" max="69" width="6" style="56" customWidth="1"/>
    <col min="70" max="70" width="5.5703125" style="56" customWidth="1"/>
    <col min="71" max="71" width="4.85546875" style="56" customWidth="1"/>
    <col min="72" max="72" width="1.85546875" style="56" customWidth="1"/>
    <col min="73" max="73" width="9.85546875" style="56" customWidth="1"/>
    <col min="74" max="74" width="5.5703125" style="10" customWidth="1"/>
    <col min="75" max="75" width="1.7109375" style="10" customWidth="1"/>
    <col min="76" max="76" width="9" style="56" customWidth="1"/>
    <col min="77" max="77" width="5" style="56" customWidth="1"/>
    <col min="78" max="78" width="4.85546875" style="56" customWidth="1"/>
    <col min="79" max="79" width="9.140625" style="10"/>
    <col min="80" max="87" width="9.140625" style="56"/>
    <col min="88" max="16384" width="9.140625" style="3"/>
  </cols>
  <sheetData>
    <row r="1" spans="1:79" s="3" customFormat="1">
      <c r="A1" s="93" t="s">
        <v>342</v>
      </c>
      <c r="B1" s="41"/>
      <c r="C1" s="5"/>
      <c r="D1" s="5"/>
      <c r="E1" s="57"/>
      <c r="F1" s="36"/>
      <c r="G1" s="5"/>
      <c r="H1" s="5"/>
      <c r="I1" s="5"/>
      <c r="J1" s="572"/>
      <c r="K1" s="1388"/>
      <c r="L1" s="1388"/>
      <c r="M1" s="572"/>
      <c r="N1" s="5"/>
      <c r="O1" s="36"/>
      <c r="P1" s="57"/>
      <c r="Q1" s="57"/>
      <c r="R1" s="1467"/>
      <c r="S1" s="5"/>
      <c r="T1" s="5"/>
      <c r="U1" s="57"/>
      <c r="V1" s="57"/>
      <c r="W1" s="57"/>
      <c r="X1" s="56"/>
      <c r="Y1" s="317"/>
      <c r="Z1" s="1481"/>
      <c r="AA1" s="57"/>
      <c r="AB1" s="317"/>
      <c r="AC1" s="317"/>
      <c r="AD1" s="317"/>
      <c r="AE1" s="317"/>
      <c r="AF1" s="317"/>
      <c r="AG1" s="1481"/>
      <c r="AH1" s="1496"/>
      <c r="AI1" s="1496"/>
      <c r="AJ1" s="317"/>
      <c r="AK1" s="317"/>
      <c r="AL1" s="1481"/>
      <c r="AM1" s="319"/>
      <c r="AN1" s="317"/>
      <c r="AO1" s="319"/>
      <c r="AP1" s="1467"/>
      <c r="AQ1" s="25"/>
      <c r="AR1" s="26"/>
      <c r="AS1" s="25"/>
      <c r="AT1" s="1467"/>
      <c r="AU1" s="26"/>
      <c r="AV1" s="26"/>
      <c r="AW1" s="26"/>
      <c r="AX1" s="26"/>
      <c r="AY1" s="26"/>
      <c r="AZ1" s="25"/>
      <c r="BA1" s="25"/>
      <c r="BB1" s="1467"/>
      <c r="BC1" s="26"/>
      <c r="BD1" s="25"/>
      <c r="BE1" s="26"/>
      <c r="BF1" s="1467"/>
      <c r="BG1" s="25"/>
      <c r="BH1" s="26"/>
      <c r="BI1" s="25"/>
      <c r="BJ1" s="1534"/>
      <c r="BK1" s="26"/>
      <c r="BL1" s="540"/>
      <c r="BM1" s="60"/>
      <c r="BN1" s="1467"/>
      <c r="BO1" s="317"/>
      <c r="BP1" s="317"/>
      <c r="BQ1" s="317"/>
      <c r="BR1" s="317"/>
      <c r="BS1" s="317"/>
      <c r="BT1" s="317"/>
      <c r="BU1" s="25"/>
      <c r="BV1" s="10"/>
      <c r="BW1" s="10"/>
      <c r="BX1" s="56"/>
      <c r="BY1" s="56"/>
      <c r="BZ1" s="56"/>
      <c r="CA1" s="10"/>
    </row>
    <row r="2" spans="1:79" s="3" customFormat="1">
      <c r="A2" s="1018" t="s">
        <v>777</v>
      </c>
      <c r="B2" s="61"/>
      <c r="C2" s="61"/>
      <c r="D2" s="61"/>
      <c r="E2" s="65"/>
      <c r="F2" s="315"/>
      <c r="G2" s="61"/>
      <c r="H2" s="61"/>
      <c r="I2" s="61"/>
      <c r="J2" s="1043"/>
      <c r="K2" s="1389"/>
      <c r="L2" s="1389"/>
      <c r="M2" s="1043"/>
      <c r="N2" s="61"/>
      <c r="O2" s="315"/>
      <c r="P2" s="65"/>
      <c r="Q2" s="65"/>
      <c r="R2" s="115"/>
      <c r="S2" s="61"/>
      <c r="T2" s="61"/>
      <c r="U2" s="65"/>
      <c r="V2" s="65"/>
      <c r="W2" s="65"/>
      <c r="X2" s="154"/>
      <c r="Y2" s="154"/>
      <c r="Z2" s="115"/>
      <c r="AA2" s="65"/>
      <c r="AB2" s="154"/>
      <c r="AC2" s="154"/>
      <c r="AD2" s="154"/>
      <c r="AE2" s="154"/>
      <c r="AF2" s="154"/>
      <c r="AG2" s="115"/>
      <c r="AH2" s="115"/>
      <c r="AI2" s="115"/>
      <c r="AJ2" s="154"/>
      <c r="AK2" s="154"/>
      <c r="AL2" s="115"/>
      <c r="AM2" s="154"/>
      <c r="AN2" s="154"/>
      <c r="AO2" s="56"/>
      <c r="AP2" s="10"/>
      <c r="AQ2" s="56"/>
      <c r="AR2" s="56"/>
      <c r="AS2" s="56"/>
      <c r="AT2" s="10"/>
      <c r="AU2" s="56"/>
      <c r="AV2" s="56"/>
      <c r="AW2" s="56"/>
      <c r="AX2" s="56"/>
      <c r="AY2" s="56"/>
      <c r="AZ2" s="56"/>
      <c r="BA2" s="56"/>
      <c r="BB2" s="10"/>
      <c r="BC2" s="56"/>
      <c r="BD2" s="154"/>
      <c r="BE2" s="154"/>
      <c r="BF2" s="115"/>
      <c r="BG2" s="154"/>
      <c r="BH2" s="154"/>
      <c r="BI2" s="154"/>
      <c r="BJ2" s="115"/>
      <c r="BK2" s="154"/>
      <c r="BL2" s="1042"/>
      <c r="BM2" s="154"/>
      <c r="BN2" s="10"/>
      <c r="BO2" s="154"/>
      <c r="BP2" s="154"/>
      <c r="BQ2" s="154"/>
      <c r="BR2" s="154"/>
      <c r="BS2" s="154"/>
      <c r="BT2" s="154"/>
      <c r="BU2" s="154"/>
      <c r="BV2" s="10"/>
      <c r="BW2" s="10"/>
      <c r="BX2" s="56"/>
      <c r="BY2" s="56"/>
      <c r="BZ2" s="56"/>
      <c r="CA2" s="10"/>
    </row>
    <row r="3" spans="1:79" s="3" customFormat="1">
      <c r="A3" s="125" t="s">
        <v>634</v>
      </c>
      <c r="B3" s="61"/>
      <c r="C3" s="61"/>
      <c r="D3" s="61"/>
      <c r="E3" s="65"/>
      <c r="F3" s="315"/>
      <c r="G3" s="61"/>
      <c r="H3" s="61"/>
      <c r="I3" s="61"/>
      <c r="J3" s="1043"/>
      <c r="K3" s="1389"/>
      <c r="L3" s="1389"/>
      <c r="M3" s="1043"/>
      <c r="N3" s="61"/>
      <c r="O3" s="315"/>
      <c r="P3" s="65"/>
      <c r="Q3" s="4"/>
      <c r="R3" s="115"/>
      <c r="S3" s="61"/>
      <c r="T3" s="61"/>
      <c r="U3" s="65"/>
      <c r="V3" s="4"/>
      <c r="W3" s="65"/>
      <c r="X3" s="154"/>
      <c r="Y3" s="154"/>
      <c r="Z3" s="1482"/>
      <c r="AA3" s="65"/>
      <c r="AB3" s="958"/>
      <c r="AC3" s="958"/>
      <c r="AD3" s="958"/>
      <c r="AE3" s="958"/>
      <c r="AF3" s="958"/>
      <c r="AG3" s="1482"/>
      <c r="AH3" s="1482"/>
      <c r="AI3" s="1482"/>
      <c r="AJ3" s="958"/>
      <c r="AK3" s="958"/>
      <c r="AL3" s="1482"/>
      <c r="AM3" s="958"/>
      <c r="AN3" s="154"/>
      <c r="AO3" s="61"/>
      <c r="AP3" s="65"/>
      <c r="AQ3" s="61"/>
      <c r="AR3" s="61"/>
      <c r="AS3" s="61"/>
      <c r="AT3" s="65"/>
      <c r="AU3" s="61"/>
      <c r="AV3" s="61"/>
      <c r="AW3" s="61"/>
      <c r="AX3" s="61"/>
      <c r="AY3" s="61"/>
      <c r="AZ3" s="61"/>
      <c r="BA3" s="61"/>
      <c r="BB3" s="65"/>
      <c r="BC3" s="61"/>
      <c r="BD3" s="154"/>
      <c r="BE3" s="154"/>
      <c r="BF3" s="1482"/>
      <c r="BG3" s="154"/>
      <c r="BH3" s="1020"/>
      <c r="BI3" s="958"/>
      <c r="BJ3" s="1482"/>
      <c r="BK3" s="958"/>
      <c r="BL3" s="1042"/>
      <c r="BM3" s="154"/>
      <c r="BN3" s="10"/>
      <c r="BO3" s="154"/>
      <c r="BP3" s="154"/>
      <c r="BQ3" s="154"/>
      <c r="BR3" s="154"/>
      <c r="BS3" s="154"/>
      <c r="BT3" s="154"/>
      <c r="BU3" s="154"/>
      <c r="BV3" s="10"/>
      <c r="BW3" s="10"/>
      <c r="BX3" s="56"/>
      <c r="BY3" s="56"/>
      <c r="BZ3" s="56"/>
      <c r="CA3" s="10"/>
    </row>
    <row r="4" spans="1:79" s="3" customFormat="1">
      <c r="A4" s="125" t="s">
        <v>468</v>
      </c>
      <c r="B4" s="61"/>
      <c r="C4" s="61"/>
      <c r="D4" s="1039"/>
      <c r="E4" s="1506"/>
      <c r="F4" s="1507"/>
      <c r="G4" s="1508"/>
      <c r="H4" s="1508"/>
      <c r="I4" s="1508"/>
      <c r="J4" s="1509"/>
      <c r="K4" s="1510"/>
      <c r="L4" s="1510"/>
      <c r="M4" s="1509"/>
      <c r="N4" s="1511" t="s">
        <v>513</v>
      </c>
      <c r="O4" s="1507"/>
      <c r="P4" s="1506"/>
      <c r="Q4" s="116"/>
      <c r="R4" s="1506"/>
      <c r="S4" s="1508"/>
      <c r="T4" s="1508"/>
      <c r="U4" s="1506"/>
      <c r="V4" s="116"/>
      <c r="W4" s="1506"/>
      <c r="X4" s="1508"/>
      <c r="Y4" s="1508"/>
      <c r="Z4" s="1512"/>
      <c r="AA4" s="1506"/>
      <c r="AB4" s="1513"/>
      <c r="AC4" s="1513"/>
      <c r="AD4" s="1513"/>
      <c r="AE4" s="1513"/>
      <c r="AF4" s="1513"/>
      <c r="AG4" s="1512"/>
      <c r="AH4" s="1512"/>
      <c r="AI4" s="1512"/>
      <c r="AJ4" s="1513"/>
      <c r="AK4" s="1513"/>
      <c r="AL4" s="1514"/>
      <c r="AM4" s="958"/>
      <c r="AN4" s="154"/>
      <c r="AO4" s="953" t="s">
        <v>407</v>
      </c>
      <c r="AP4" s="1524"/>
      <c r="AQ4" s="954"/>
      <c r="AR4" s="954"/>
      <c r="AS4" s="954"/>
      <c r="AT4" s="1524"/>
      <c r="AU4" s="954"/>
      <c r="AV4" s="954"/>
      <c r="AW4" s="954"/>
      <c r="AX4" s="954"/>
      <c r="AY4" s="954"/>
      <c r="AZ4" s="954"/>
      <c r="BA4" s="954"/>
      <c r="BB4" s="1524"/>
      <c r="BC4" s="955"/>
      <c r="BD4" s="154"/>
      <c r="BE4" s="1040"/>
      <c r="BF4" s="1531"/>
      <c r="BG4" s="1041"/>
      <c r="BH4" s="1041"/>
      <c r="BI4" s="1041"/>
      <c r="BJ4" s="1531"/>
      <c r="BK4" s="1041" t="s">
        <v>514</v>
      </c>
      <c r="BL4" s="1041"/>
      <c r="BM4" s="1041"/>
      <c r="BN4" s="1531"/>
      <c r="BO4" s="1041"/>
      <c r="BP4" s="1041"/>
      <c r="BQ4" s="1041"/>
      <c r="BR4" s="1041"/>
      <c r="BS4" s="1041"/>
      <c r="BT4" s="1041"/>
      <c r="BU4" s="1041"/>
      <c r="BV4" s="1531"/>
      <c r="BW4" s="1531"/>
      <c r="BX4" s="1531"/>
      <c r="BY4" s="1531"/>
      <c r="BZ4" s="1535"/>
      <c r="CA4" s="10"/>
    </row>
    <row r="5" spans="1:79" s="3" customFormat="1">
      <c r="B5" s="61"/>
      <c r="C5" s="61"/>
      <c r="D5" s="1044"/>
      <c r="E5" s="315" t="s">
        <v>428</v>
      </c>
      <c r="F5" s="315" t="s">
        <v>428</v>
      </c>
      <c r="G5" s="959"/>
      <c r="H5" s="959"/>
      <c r="I5" s="959"/>
      <c r="K5" s="315" t="s">
        <v>428</v>
      </c>
      <c r="L5" s="315" t="s">
        <v>428</v>
      </c>
      <c r="M5" s="959"/>
      <c r="N5" s="959"/>
      <c r="O5" s="315" t="s">
        <v>428</v>
      </c>
      <c r="P5" s="315"/>
      <c r="Q5" s="315" t="s">
        <v>428</v>
      </c>
      <c r="R5" s="1468" t="s">
        <v>428</v>
      </c>
      <c r="S5" s="959"/>
      <c r="T5" s="61"/>
      <c r="U5" s="315" t="s">
        <v>428</v>
      </c>
      <c r="V5" s="315" t="s">
        <v>428</v>
      </c>
      <c r="W5" s="315" t="s">
        <v>428</v>
      </c>
      <c r="X5" s="1157"/>
      <c r="Y5" s="154"/>
      <c r="Z5" s="1468"/>
      <c r="AA5" s="315" t="s">
        <v>428</v>
      </c>
      <c r="AB5" s="1157"/>
      <c r="AC5" s="1157"/>
      <c r="AD5" s="1468"/>
      <c r="AE5" s="315" t="s">
        <v>428</v>
      </c>
      <c r="AF5" s="1157"/>
      <c r="AG5" s="1497"/>
      <c r="AH5" s="1468"/>
      <c r="AI5" s="1468"/>
      <c r="AJ5" s="1157"/>
      <c r="AK5" s="1157"/>
      <c r="AL5" s="1468" t="s">
        <v>428</v>
      </c>
      <c r="AM5" s="1157"/>
      <c r="AN5" s="154"/>
      <c r="AO5" s="957"/>
      <c r="AP5" s="315" t="s">
        <v>428</v>
      </c>
      <c r="AQ5" s="315" t="s">
        <v>428</v>
      </c>
      <c r="AR5" s="61"/>
      <c r="AS5" s="957"/>
      <c r="AT5" s="315" t="s">
        <v>428</v>
      </c>
      <c r="AU5" s="315" t="s">
        <v>428</v>
      </c>
      <c r="AV5" s="315"/>
      <c r="AW5" s="957"/>
      <c r="AX5" s="315" t="s">
        <v>428</v>
      </c>
      <c r="AY5" s="315" t="s">
        <v>428</v>
      </c>
      <c r="AZ5" s="61"/>
      <c r="BA5" s="957"/>
      <c r="BB5" s="315" t="s">
        <v>428</v>
      </c>
      <c r="BC5" s="315" t="s">
        <v>428</v>
      </c>
      <c r="BD5" s="154"/>
      <c r="BE5" s="957"/>
      <c r="BF5" s="315" t="s">
        <v>428</v>
      </c>
      <c r="BG5" s="959" t="s">
        <v>428</v>
      </c>
      <c r="BH5" s="61"/>
      <c r="BI5" s="957"/>
      <c r="BJ5" s="315" t="s">
        <v>428</v>
      </c>
      <c r="BK5" s="959" t="s">
        <v>428</v>
      </c>
      <c r="BL5" s="61"/>
      <c r="BM5" s="957"/>
      <c r="BN5" s="315" t="s">
        <v>428</v>
      </c>
      <c r="BO5" s="959" t="s">
        <v>428</v>
      </c>
      <c r="BP5" s="959"/>
      <c r="BQ5" s="957"/>
      <c r="BR5" s="315" t="s">
        <v>428</v>
      </c>
      <c r="BS5" s="315" t="s">
        <v>428</v>
      </c>
      <c r="BT5" s="61"/>
      <c r="BU5" s="957"/>
      <c r="BV5" s="315" t="s">
        <v>428</v>
      </c>
      <c r="BW5" s="315"/>
      <c r="BX5" s="56"/>
      <c r="BY5" s="315" t="s">
        <v>428</v>
      </c>
      <c r="BZ5" s="959" t="s">
        <v>428</v>
      </c>
      <c r="CA5" s="10"/>
    </row>
    <row r="6" spans="1:79" s="3" customFormat="1" ht="35.25" customHeight="1">
      <c r="A6" s="956"/>
      <c r="B6" s="61"/>
      <c r="C6" s="61"/>
      <c r="D6" s="1019" t="s">
        <v>231</v>
      </c>
      <c r="E6" s="1390" t="s">
        <v>515</v>
      </c>
      <c r="F6" s="1394" t="s">
        <v>635</v>
      </c>
      <c r="G6" s="957" t="s">
        <v>349</v>
      </c>
      <c r="H6" s="960"/>
      <c r="I6" s="960"/>
      <c r="J6" s="1019" t="s">
        <v>229</v>
      </c>
      <c r="K6" s="1390" t="s">
        <v>515</v>
      </c>
      <c r="L6" s="1390" t="s">
        <v>778</v>
      </c>
      <c r="M6" s="960"/>
      <c r="N6" s="957" t="s">
        <v>595</v>
      </c>
      <c r="O6" s="1390" t="s">
        <v>515</v>
      </c>
      <c r="P6" s="1390" t="s">
        <v>543</v>
      </c>
      <c r="Q6" s="1390" t="s">
        <v>778</v>
      </c>
      <c r="R6" s="1474" t="s">
        <v>635</v>
      </c>
      <c r="S6" s="1475"/>
      <c r="T6" s="962" t="s">
        <v>780</v>
      </c>
      <c r="U6" s="1476" t="s">
        <v>515</v>
      </c>
      <c r="V6" s="1390" t="s">
        <v>778</v>
      </c>
      <c r="W6" s="1394" t="s">
        <v>635</v>
      </c>
      <c r="X6" s="1158"/>
      <c r="Y6" s="957" t="s">
        <v>779</v>
      </c>
      <c r="Z6" s="1390" t="s">
        <v>515</v>
      </c>
      <c r="AA6" s="1394" t="s">
        <v>635</v>
      </c>
      <c r="AB6" s="960"/>
      <c r="AC6" s="1587" t="s">
        <v>793</v>
      </c>
      <c r="AD6" s="1390" t="s">
        <v>515</v>
      </c>
      <c r="AE6" s="1394" t="s">
        <v>635</v>
      </c>
      <c r="AF6" s="960"/>
      <c r="AG6" s="1588" t="s">
        <v>794</v>
      </c>
      <c r="AH6" s="1497" t="s">
        <v>334</v>
      </c>
      <c r="AI6" s="1497" t="s">
        <v>5</v>
      </c>
      <c r="AJ6" s="1159"/>
      <c r="AK6" s="98" t="s">
        <v>181</v>
      </c>
      <c r="AL6" s="1390" t="s">
        <v>515</v>
      </c>
      <c r="AM6" s="1159"/>
      <c r="AN6" s="1047" t="s">
        <v>411</v>
      </c>
      <c r="AO6" s="1048" t="s">
        <v>408</v>
      </c>
      <c r="AP6" s="1390" t="s">
        <v>515</v>
      </c>
      <c r="AQ6" s="1394" t="s">
        <v>516</v>
      </c>
      <c r="AR6" s="61"/>
      <c r="AS6" s="962" t="s">
        <v>781</v>
      </c>
      <c r="AT6" s="1390" t="s">
        <v>515</v>
      </c>
      <c r="AU6" s="1394" t="s">
        <v>516</v>
      </c>
      <c r="AV6" s="1394"/>
      <c r="AW6" s="1048" t="s">
        <v>799</v>
      </c>
      <c r="AX6" s="1390" t="s">
        <v>515</v>
      </c>
      <c r="AY6" s="1394" t="s">
        <v>516</v>
      </c>
      <c r="AZ6" s="61"/>
      <c r="BA6" s="1527" t="s">
        <v>782</v>
      </c>
      <c r="BB6" s="1390" t="s">
        <v>515</v>
      </c>
      <c r="BC6" s="1394" t="s">
        <v>516</v>
      </c>
      <c r="BD6" s="154"/>
      <c r="BE6" s="1048" t="s">
        <v>408</v>
      </c>
      <c r="BF6" s="1390" t="s">
        <v>515</v>
      </c>
      <c r="BG6" s="963" t="s">
        <v>516</v>
      </c>
      <c r="BH6" s="61"/>
      <c r="BI6" s="1048" t="s">
        <v>781</v>
      </c>
      <c r="BJ6" s="1390" t="s">
        <v>515</v>
      </c>
      <c r="BK6" s="963" t="s">
        <v>516</v>
      </c>
      <c r="BL6" s="61"/>
      <c r="BM6" s="1048" t="s">
        <v>181</v>
      </c>
      <c r="BN6" s="1390" t="s">
        <v>515</v>
      </c>
      <c r="BO6" s="963" t="s">
        <v>516</v>
      </c>
      <c r="BP6" s="963"/>
      <c r="BQ6" s="1048" t="s">
        <v>799</v>
      </c>
      <c r="BR6" s="1390" t="s">
        <v>515</v>
      </c>
      <c r="BS6" s="1394" t="s">
        <v>516</v>
      </c>
      <c r="BT6" s="61"/>
      <c r="BU6" s="1527" t="s">
        <v>410</v>
      </c>
      <c r="BV6" s="1390" t="s">
        <v>515</v>
      </c>
      <c r="BW6" s="1390"/>
      <c r="BX6" s="1527" t="s">
        <v>783</v>
      </c>
      <c r="BY6" s="1390" t="s">
        <v>515</v>
      </c>
      <c r="BZ6" s="963" t="s">
        <v>516</v>
      </c>
      <c r="CA6" s="1555" t="s">
        <v>5</v>
      </c>
    </row>
    <row r="7" spans="1:79" s="3" customFormat="1">
      <c r="A7" s="956"/>
      <c r="B7" s="61"/>
      <c r="C7" s="61"/>
      <c r="D7" s="1415" t="s">
        <v>149</v>
      </c>
      <c r="E7" s="1395"/>
      <c r="F7" s="1441"/>
      <c r="G7" s="1045" t="s">
        <v>149</v>
      </c>
      <c r="H7" s="61"/>
      <c r="I7" s="61"/>
      <c r="J7" s="1415" t="s">
        <v>149</v>
      </c>
      <c r="K7" s="1395"/>
      <c r="L7" s="1395"/>
      <c r="M7" s="1160"/>
      <c r="N7" s="1161" t="s">
        <v>230</v>
      </c>
      <c r="O7" s="1435" t="s">
        <v>149</v>
      </c>
      <c r="P7" s="1446" t="s">
        <v>790</v>
      </c>
      <c r="Q7" s="1446"/>
      <c r="R7" s="115"/>
      <c r="S7" s="61"/>
      <c r="T7" s="1161" t="s">
        <v>230</v>
      </c>
      <c r="U7" s="1435" t="s">
        <v>149</v>
      </c>
      <c r="V7" s="1435" t="s">
        <v>149</v>
      </c>
      <c r="W7" s="65"/>
      <c r="X7" s="154"/>
      <c r="Y7" s="1161" t="s">
        <v>230</v>
      </c>
      <c r="Z7" s="1435"/>
      <c r="AA7" s="65"/>
      <c r="AB7" s="1045"/>
      <c r="AC7" s="1045"/>
      <c r="AD7" s="1045"/>
      <c r="AE7" s="1045"/>
      <c r="AF7" s="1045"/>
      <c r="AG7" s="1498"/>
      <c r="AH7" s="115"/>
      <c r="AI7" s="115"/>
      <c r="AJ7" s="154"/>
      <c r="AK7" s="154"/>
      <c r="AL7" s="115"/>
      <c r="AM7" s="154"/>
      <c r="AN7" s="154"/>
      <c r="AO7" s="154"/>
      <c r="AP7" s="115"/>
      <c r="AQ7" s="154"/>
      <c r="AR7" s="154"/>
      <c r="AS7" s="154"/>
      <c r="AT7" s="115"/>
      <c r="AU7" s="154"/>
      <c r="AV7" s="154"/>
      <c r="AW7" s="154"/>
      <c r="AX7" s="154"/>
      <c r="AY7" s="154"/>
      <c r="AZ7" s="154"/>
      <c r="BA7" s="154"/>
      <c r="BB7" s="115"/>
      <c r="BC7" s="154"/>
      <c r="BD7" s="154"/>
      <c r="BE7" s="154"/>
      <c r="BF7" s="115"/>
      <c r="BG7" s="154"/>
      <c r="BH7" s="154"/>
      <c r="BI7" s="154"/>
      <c r="BJ7" s="115"/>
      <c r="BK7" s="154"/>
      <c r="BL7" s="1042"/>
      <c r="BM7" s="154"/>
      <c r="BN7" s="10"/>
      <c r="BO7" s="154"/>
      <c r="BP7" s="154"/>
      <c r="BQ7" s="154"/>
      <c r="BR7" s="154"/>
      <c r="BS7" s="154"/>
      <c r="BT7" s="154"/>
      <c r="BU7" s="154"/>
      <c r="BV7" s="10"/>
      <c r="BW7" s="10"/>
      <c r="BX7" s="56"/>
      <c r="BY7" s="56"/>
      <c r="BZ7" s="56"/>
      <c r="CA7" s="10"/>
    </row>
    <row r="8" spans="1:79" s="3" customFormat="1" hidden="1" outlineLevel="1">
      <c r="A8" s="956"/>
      <c r="B8" s="965" t="s">
        <v>623</v>
      </c>
      <c r="C8" s="61"/>
      <c r="D8" s="591"/>
      <c r="E8" s="65"/>
      <c r="F8" s="1441"/>
      <c r="H8" s="61"/>
      <c r="I8" s="61"/>
      <c r="J8" s="1423"/>
      <c r="K8" s="1391"/>
      <c r="L8" s="1391"/>
      <c r="M8" s="1056"/>
      <c r="N8" s="1000"/>
      <c r="O8" s="315"/>
      <c r="P8" s="65"/>
      <c r="Q8" s="65"/>
      <c r="R8" s="115"/>
      <c r="S8" s="61"/>
      <c r="T8" s="61"/>
      <c r="U8" s="65"/>
      <c r="V8" s="65"/>
      <c r="W8" s="65"/>
      <c r="X8" s="154"/>
      <c r="Y8" s="154"/>
      <c r="Z8" s="1483"/>
      <c r="AA8" s="65"/>
      <c r="AB8" s="1037"/>
      <c r="AC8" s="1037"/>
      <c r="AD8" s="1037"/>
      <c r="AE8" s="1037"/>
      <c r="AF8" s="1037"/>
      <c r="AG8" s="1498"/>
      <c r="AH8" s="1483"/>
      <c r="AI8" s="1483"/>
      <c r="AJ8" s="1162"/>
      <c r="AK8" s="1162"/>
      <c r="AL8" s="1499"/>
      <c r="AM8" s="1162"/>
      <c r="AN8" s="154"/>
      <c r="AO8" s="154"/>
      <c r="AP8" s="1483"/>
      <c r="AQ8" s="1037"/>
      <c r="AR8" s="154"/>
      <c r="AS8" s="154"/>
      <c r="AT8" s="115"/>
      <c r="AU8" s="154"/>
      <c r="AV8" s="154"/>
      <c r="AW8" s="154"/>
      <c r="AX8" s="154"/>
      <c r="AY8" s="154"/>
      <c r="AZ8" s="154"/>
      <c r="BA8" s="154"/>
      <c r="BB8" s="115"/>
      <c r="BC8" s="154"/>
      <c r="BD8" s="154"/>
      <c r="BE8" s="154"/>
      <c r="BF8" s="115"/>
      <c r="BG8" s="154"/>
      <c r="BH8" s="154"/>
      <c r="BI8" s="154"/>
      <c r="BJ8" s="115"/>
      <c r="BK8" s="154"/>
      <c r="BL8" s="1042"/>
      <c r="BM8" s="154"/>
      <c r="BN8" s="10"/>
      <c r="BO8" s="154"/>
      <c r="BP8" s="154"/>
      <c r="BQ8" s="154"/>
      <c r="BR8" s="154"/>
      <c r="BS8" s="154"/>
      <c r="BT8" s="154"/>
      <c r="BU8" s="154"/>
      <c r="BV8" s="10"/>
      <c r="BW8" s="10"/>
      <c r="BX8" s="56"/>
      <c r="BY8" s="56"/>
      <c r="BZ8" s="56"/>
      <c r="CA8" s="10"/>
    </row>
    <row r="9" spans="1:79" s="3" customFormat="1" ht="10.5" hidden="1" customHeight="1" outlineLevel="1">
      <c r="A9" s="956" t="s">
        <v>457</v>
      </c>
      <c r="B9" s="3" t="s">
        <v>63</v>
      </c>
      <c r="C9" s="61"/>
      <c r="D9" s="1174"/>
      <c r="E9" s="1397"/>
      <c r="F9" s="1441"/>
      <c r="G9" s="184">
        <f>'qtrP&amp;L'!AX10</f>
        <v>25.1</v>
      </c>
      <c r="H9" s="975"/>
      <c r="I9" s="975"/>
      <c r="J9" s="1053"/>
      <c r="K9" s="66"/>
      <c r="L9" s="66"/>
      <c r="M9" s="969"/>
      <c r="N9" s="1000"/>
      <c r="O9" s="1439"/>
      <c r="P9" s="12"/>
      <c r="Q9" s="12"/>
      <c r="R9" s="1469"/>
      <c r="S9" s="975"/>
      <c r="T9" s="969">
        <v>84.025000000000006</v>
      </c>
      <c r="U9" s="12">
        <v>21.911408383268281</v>
      </c>
      <c r="V9" s="12"/>
      <c r="W9" s="1404">
        <v>19.360599078341014</v>
      </c>
      <c r="X9" s="999"/>
      <c r="Y9" s="154"/>
      <c r="Z9" s="1483"/>
      <c r="AA9" s="1404">
        <v>19.360599078341014</v>
      </c>
      <c r="AB9" s="1037"/>
      <c r="AC9" s="1037"/>
      <c r="AD9" s="1037"/>
      <c r="AE9" s="1037"/>
      <c r="AF9" s="1037"/>
      <c r="AG9" s="1403"/>
      <c r="AH9" s="1483"/>
      <c r="AI9" s="1499"/>
      <c r="AJ9" s="1162"/>
      <c r="AK9" s="1162"/>
      <c r="AL9" s="1499"/>
      <c r="AM9" s="1162"/>
      <c r="AN9" s="154"/>
      <c r="AO9" s="1036"/>
      <c r="AP9" s="1483"/>
      <c r="AQ9" s="1037"/>
      <c r="AR9" s="154"/>
      <c r="AS9" s="1027"/>
      <c r="AT9" s="1483"/>
      <c r="AU9" s="1162"/>
      <c r="AV9" s="1162"/>
      <c r="AW9" s="1162"/>
      <c r="AX9" s="1162"/>
      <c r="AY9" s="1162"/>
      <c r="AZ9" s="154"/>
      <c r="BA9" s="1027"/>
      <c r="BB9" s="1483"/>
      <c r="BC9" s="1162"/>
      <c r="BD9" s="154"/>
      <c r="BE9" s="1027"/>
      <c r="BF9" s="1483"/>
      <c r="BG9" s="154"/>
      <c r="BH9" s="977"/>
      <c r="BI9" s="1037"/>
      <c r="BJ9" s="1499"/>
      <c r="BK9" s="154"/>
      <c r="BL9" s="1042"/>
      <c r="BM9" s="1163"/>
      <c r="BN9" s="10"/>
      <c r="BO9" s="1037"/>
      <c r="BP9" s="1037"/>
      <c r="BQ9" s="1037"/>
      <c r="BR9" s="1037"/>
      <c r="BS9" s="1037"/>
      <c r="BT9" s="1037"/>
      <c r="BU9" s="1164"/>
      <c r="BV9" s="10"/>
      <c r="BW9" s="10"/>
      <c r="BX9" s="56"/>
      <c r="BY9" s="56"/>
      <c r="BZ9" s="56"/>
      <c r="CA9" s="10"/>
    </row>
    <row r="10" spans="1:79" s="3" customFormat="1" ht="10.5" hidden="1" customHeight="1" outlineLevel="1">
      <c r="A10" s="956" t="s">
        <v>458</v>
      </c>
      <c r="B10" s="3" t="s">
        <v>167</v>
      </c>
      <c r="C10" s="61"/>
      <c r="D10" s="1174"/>
      <c r="E10" s="1397"/>
      <c r="F10" s="1441"/>
      <c r="G10" s="184">
        <f>'qtrP&amp;L'!AX11</f>
        <v>19.899999999999999</v>
      </c>
      <c r="H10" s="975"/>
      <c r="I10" s="975"/>
      <c r="J10" s="1054"/>
      <c r="K10" s="1428"/>
      <c r="L10" s="1428"/>
      <c r="M10" s="136"/>
      <c r="N10" s="1000"/>
      <c r="O10" s="1439"/>
      <c r="P10" s="12"/>
      <c r="Q10" s="12"/>
      <c r="R10" s="1469"/>
      <c r="S10" s="975"/>
      <c r="T10" s="136">
        <v>116.212</v>
      </c>
      <c r="U10" s="12">
        <v>6.8606265689510781</v>
      </c>
      <c r="V10" s="12"/>
      <c r="W10" s="1404">
        <v>18.749919328815746</v>
      </c>
      <c r="X10" s="999"/>
      <c r="Y10" s="154"/>
      <c r="Z10" s="1483"/>
      <c r="AA10" s="1404">
        <v>18.749919328815746</v>
      </c>
      <c r="AB10" s="1037"/>
      <c r="AC10" s="1037"/>
      <c r="AD10" s="1037"/>
      <c r="AE10" s="1037"/>
      <c r="AF10" s="1037"/>
      <c r="AG10" s="1500"/>
      <c r="AH10" s="1483"/>
      <c r="AI10" s="1499"/>
      <c r="AJ10" s="1162"/>
      <c r="AK10" s="1162"/>
      <c r="AL10" s="1499"/>
      <c r="AM10" s="1162"/>
      <c r="AN10" s="154"/>
      <c r="AO10" s="195"/>
      <c r="AP10" s="1483"/>
      <c r="AQ10" s="1037"/>
      <c r="AR10" s="154"/>
      <c r="AS10" s="1022"/>
      <c r="AT10" s="1483"/>
      <c r="AU10" s="1162"/>
      <c r="AV10" s="1162"/>
      <c r="AW10" s="1162"/>
      <c r="AX10" s="1162"/>
      <c r="AY10" s="1162"/>
      <c r="AZ10" s="154"/>
      <c r="BA10" s="1022"/>
      <c r="BB10" s="1483"/>
      <c r="BC10" s="1162"/>
      <c r="BD10" s="154"/>
      <c r="BE10" s="1022"/>
      <c r="BF10" s="1483"/>
      <c r="BG10" s="154"/>
      <c r="BH10" s="978"/>
      <c r="BI10" s="1037"/>
      <c r="BJ10" s="1499"/>
      <c r="BK10" s="154"/>
      <c r="BL10" s="1042"/>
      <c r="BM10" s="1163"/>
      <c r="BN10" s="10"/>
      <c r="BO10" s="1037"/>
      <c r="BP10" s="1037"/>
      <c r="BQ10" s="1037"/>
      <c r="BR10" s="1037"/>
      <c r="BS10" s="1037"/>
      <c r="BT10" s="1037"/>
      <c r="BU10" s="1164"/>
      <c r="BV10" s="10"/>
      <c r="BW10" s="10"/>
      <c r="BX10" s="56"/>
      <c r="BY10" s="56"/>
      <c r="BZ10" s="56"/>
      <c r="CA10" s="10"/>
    </row>
    <row r="11" spans="1:79" s="3" customFormat="1" ht="10.5" hidden="1" customHeight="1" outlineLevel="1">
      <c r="A11" s="956" t="s">
        <v>459</v>
      </c>
      <c r="B11" s="3" t="s">
        <v>166</v>
      </c>
      <c r="C11" s="61"/>
      <c r="D11" s="1174"/>
      <c r="E11" s="1397"/>
      <c r="F11" s="1441"/>
      <c r="G11" s="184">
        <f>'qtrP&amp;L'!AX12</f>
        <v>21.1</v>
      </c>
      <c r="H11" s="975"/>
      <c r="I11" s="975"/>
      <c r="J11" s="1054"/>
      <c r="K11" s="1428"/>
      <c r="L11" s="1428"/>
      <c r="M11" s="136"/>
      <c r="N11" s="1000"/>
      <c r="O11" s="1439"/>
      <c r="P11" s="12"/>
      <c r="Q11" s="12"/>
      <c r="R11" s="1469"/>
      <c r="S11" s="975"/>
      <c r="T11" s="136">
        <v>109.015</v>
      </c>
      <c r="U11" s="12">
        <v>10.548304990214262</v>
      </c>
      <c r="V11" s="12"/>
      <c r="W11" s="1404">
        <v>22.724809158714077</v>
      </c>
      <c r="X11" s="999"/>
      <c r="Y11" s="154"/>
      <c r="Z11" s="1483"/>
      <c r="AA11" s="1404">
        <v>22.724809158714077</v>
      </c>
      <c r="AB11" s="1037"/>
      <c r="AC11" s="1037"/>
      <c r="AD11" s="1037"/>
      <c r="AE11" s="1037"/>
      <c r="AF11" s="1037"/>
      <c r="AG11" s="1500"/>
      <c r="AH11" s="1483"/>
      <c r="AI11" s="1499"/>
      <c r="AJ11" s="1162"/>
      <c r="AK11" s="1162"/>
      <c r="AL11" s="1499"/>
      <c r="AM11" s="1162"/>
      <c r="AN11" s="154"/>
      <c r="AO11" s="195"/>
      <c r="AP11" s="1483"/>
      <c r="AQ11" s="1037"/>
      <c r="AR11" s="154"/>
      <c r="AS11" s="1022"/>
      <c r="AT11" s="1483"/>
      <c r="AU11" s="1162"/>
      <c r="AV11" s="1162"/>
      <c r="AW11" s="1162"/>
      <c r="AX11" s="1162"/>
      <c r="AY11" s="1162"/>
      <c r="AZ11" s="154"/>
      <c r="BA11" s="1022"/>
      <c r="BB11" s="1483"/>
      <c r="BC11" s="1162"/>
      <c r="BD11" s="154"/>
      <c r="BE11" s="1022"/>
      <c r="BF11" s="1483"/>
      <c r="BG11" s="154"/>
      <c r="BH11" s="978"/>
      <c r="BI11" s="1037"/>
      <c r="BJ11" s="1499"/>
      <c r="BK11" s="154"/>
      <c r="BL11" s="1042"/>
      <c r="BM11" s="154"/>
      <c r="BN11" s="10"/>
      <c r="BO11" s="1037"/>
      <c r="BP11" s="1037"/>
      <c r="BQ11" s="1037"/>
      <c r="BR11" s="1037"/>
      <c r="BS11" s="1037"/>
      <c r="BT11" s="1037"/>
      <c r="BU11" s="1164"/>
      <c r="BV11" s="10"/>
      <c r="BW11" s="10"/>
      <c r="BX11" s="56"/>
      <c r="BY11" s="56"/>
      <c r="BZ11" s="56"/>
      <c r="CA11" s="10"/>
    </row>
    <row r="12" spans="1:79" s="3" customFormat="1" ht="10.5" hidden="1" customHeight="1" outlineLevel="1">
      <c r="A12" s="956" t="s">
        <v>460</v>
      </c>
      <c r="B12" s="3" t="s">
        <v>62</v>
      </c>
      <c r="C12" s="61"/>
      <c r="D12" s="1174"/>
      <c r="E12" s="1397"/>
      <c r="F12" s="1441"/>
      <c r="G12" s="1165">
        <f>'qtrP&amp;L'!AX13</f>
        <v>18.5</v>
      </c>
      <c r="H12" s="975"/>
      <c r="I12" s="975"/>
      <c r="J12" s="1051"/>
      <c r="K12" s="1397"/>
      <c r="L12" s="1397"/>
      <c r="M12" s="999"/>
      <c r="N12" s="1000"/>
      <c r="O12" s="1439"/>
      <c r="P12" s="12"/>
      <c r="Q12" s="12"/>
      <c r="R12" s="1469"/>
      <c r="S12" s="975"/>
      <c r="T12" s="972">
        <v>111.25700000000003</v>
      </c>
      <c r="U12" s="12">
        <v>15.845646039629745</v>
      </c>
      <c r="V12" s="12"/>
      <c r="W12" s="1464">
        <v>22.181881981868834</v>
      </c>
      <c r="X12" s="999"/>
      <c r="Y12" s="154"/>
      <c r="Z12" s="1483"/>
      <c r="AA12" s="1464">
        <v>22.181881981868834</v>
      </c>
      <c r="AB12" s="1037"/>
      <c r="AC12" s="1037"/>
      <c r="AD12" s="1037"/>
      <c r="AE12" s="1037"/>
      <c r="AF12" s="1037"/>
      <c r="AG12" s="1500"/>
      <c r="AH12" s="1483"/>
      <c r="AI12" s="1499"/>
      <c r="AJ12" s="1162"/>
      <c r="AK12" s="1162"/>
      <c r="AL12" s="1499"/>
      <c r="AM12" s="1162"/>
      <c r="AN12" s="154"/>
      <c r="AO12" s="195"/>
      <c r="AP12" s="1483"/>
      <c r="AQ12" s="1037"/>
      <c r="AR12" s="154"/>
      <c r="AS12" s="999"/>
      <c r="AT12" s="1483"/>
      <c r="AU12" s="1162"/>
      <c r="AV12" s="1162"/>
      <c r="AW12" s="1162"/>
      <c r="AX12" s="1162"/>
      <c r="AY12" s="1162"/>
      <c r="AZ12" s="154"/>
      <c r="BA12" s="999"/>
      <c r="BB12" s="1483"/>
      <c r="BC12" s="1162"/>
      <c r="BD12" s="154"/>
      <c r="BE12" s="999"/>
      <c r="BF12" s="1483"/>
      <c r="BG12" s="154"/>
      <c r="BH12" s="978"/>
      <c r="BI12" s="1037"/>
      <c r="BJ12" s="1499"/>
      <c r="BK12" s="154"/>
      <c r="BL12" s="1042"/>
      <c r="BM12" s="1163"/>
      <c r="BN12" s="10"/>
      <c r="BO12" s="1037"/>
      <c r="BP12" s="1037"/>
      <c r="BQ12" s="1037"/>
      <c r="BR12" s="1037"/>
      <c r="BS12" s="1037"/>
      <c r="BT12" s="1037"/>
      <c r="BU12" s="1164"/>
      <c r="BV12" s="10"/>
      <c r="BW12" s="10"/>
      <c r="BX12" s="56"/>
      <c r="BY12" s="56"/>
      <c r="BZ12" s="56"/>
      <c r="CA12" s="10"/>
    </row>
    <row r="13" spans="1:79" s="3" customFormat="1" ht="10.5" hidden="1" customHeight="1" outlineLevel="1">
      <c r="A13" s="956"/>
      <c r="B13" s="61" t="s">
        <v>461</v>
      </c>
      <c r="C13" s="61"/>
      <c r="D13" s="1416"/>
      <c r="E13" s="1398"/>
      <c r="F13" s="1441"/>
      <c r="G13" s="184">
        <f>'qtrP&amp;L'!AX14</f>
        <v>20.7</v>
      </c>
      <c r="H13" s="975"/>
      <c r="I13" s="975"/>
      <c r="J13" s="1053"/>
      <c r="K13" s="66"/>
      <c r="L13" s="66"/>
      <c r="M13" s="969"/>
      <c r="N13" s="1000"/>
      <c r="O13" s="1439"/>
      <c r="P13" s="12"/>
      <c r="Q13" s="12"/>
      <c r="R13" s="1469"/>
      <c r="S13" s="975"/>
      <c r="T13" s="969">
        <v>420.50900000000001</v>
      </c>
      <c r="U13" s="12">
        <v>12.9410785172134</v>
      </c>
      <c r="V13" s="12"/>
      <c r="W13" s="1404">
        <v>20.66296985138213</v>
      </c>
      <c r="X13" s="1037"/>
      <c r="Y13" s="154"/>
      <c r="Z13" s="1483"/>
      <c r="AA13" s="1404">
        <v>20.66296985138213</v>
      </c>
      <c r="AB13" s="1037"/>
      <c r="AC13" s="1037"/>
      <c r="AD13" s="1037"/>
      <c r="AE13" s="1037"/>
      <c r="AF13" s="1037"/>
      <c r="AG13" s="1403"/>
      <c r="AH13" s="1483"/>
      <c r="AI13" s="1499"/>
      <c r="AJ13" s="1162"/>
      <c r="AK13" s="1162"/>
      <c r="AL13" s="1499"/>
      <c r="AM13" s="1162"/>
      <c r="AN13" s="154"/>
      <c r="AO13" s="1036"/>
      <c r="AP13" s="1483"/>
      <c r="AQ13" s="1037"/>
      <c r="AR13" s="154"/>
      <c r="AS13" s="1027"/>
      <c r="AT13" s="1483"/>
      <c r="AU13" s="1162"/>
      <c r="AV13" s="1162"/>
      <c r="AW13" s="1162"/>
      <c r="AX13" s="1162"/>
      <c r="AY13" s="1162"/>
      <c r="AZ13" s="154"/>
      <c r="BA13" s="1027"/>
      <c r="BB13" s="1483"/>
      <c r="BC13" s="1162"/>
      <c r="BD13" s="154"/>
      <c r="BE13" s="1027"/>
      <c r="BF13" s="1483"/>
      <c r="BG13" s="154"/>
      <c r="BH13" s="144"/>
      <c r="BI13" s="1037"/>
      <c r="BJ13" s="1499"/>
      <c r="BK13" s="154"/>
      <c r="BL13" s="1042"/>
      <c r="BM13" s="154"/>
      <c r="BN13" s="10"/>
      <c r="BO13" s="1037"/>
      <c r="BP13" s="1037"/>
      <c r="BQ13" s="1037"/>
      <c r="BR13" s="1037"/>
      <c r="BS13" s="1037"/>
      <c r="BT13" s="1037"/>
      <c r="BU13" s="1164"/>
      <c r="BV13" s="10"/>
      <c r="BW13" s="10"/>
      <c r="BX13" s="56"/>
      <c r="BY13" s="56"/>
      <c r="BZ13" s="56"/>
      <c r="CA13" s="10"/>
    </row>
    <row r="14" spans="1:79" s="3" customFormat="1" hidden="1" outlineLevel="1">
      <c r="A14" s="956"/>
      <c r="B14" s="61"/>
      <c r="C14" s="61"/>
      <c r="D14" s="421"/>
      <c r="E14" s="115"/>
      <c r="F14" s="315"/>
      <c r="G14" s="61"/>
      <c r="H14" s="969"/>
      <c r="I14" s="969"/>
      <c r="J14" s="1053"/>
      <c r="K14" s="66"/>
      <c r="L14" s="66"/>
      <c r="M14" s="969"/>
      <c r="N14" s="184"/>
      <c r="O14" s="1440"/>
      <c r="P14" s="66"/>
      <c r="Q14" s="66"/>
      <c r="R14" s="1470"/>
      <c r="S14" s="969"/>
      <c r="T14" s="969"/>
      <c r="U14" s="66"/>
      <c r="V14" s="66"/>
      <c r="W14" s="65"/>
      <c r="X14" s="478"/>
      <c r="Y14" s="154"/>
      <c r="Z14" s="115"/>
      <c r="AA14" s="65"/>
      <c r="AB14" s="154"/>
      <c r="AC14" s="154"/>
      <c r="AD14" s="154"/>
      <c r="AE14" s="154"/>
      <c r="AF14" s="154"/>
      <c r="AG14" s="1501"/>
      <c r="AH14" s="115"/>
      <c r="AI14" s="115"/>
      <c r="AJ14" s="154"/>
      <c r="AK14" s="154"/>
      <c r="AL14" s="115"/>
      <c r="AM14" s="154"/>
      <c r="AN14" s="154"/>
      <c r="AO14" s="154"/>
      <c r="AP14" s="115"/>
      <c r="AQ14" s="154"/>
      <c r="AR14" s="154"/>
      <c r="AS14" s="154"/>
      <c r="AT14" s="115"/>
      <c r="AU14" s="154"/>
      <c r="AV14" s="154"/>
      <c r="AW14" s="154"/>
      <c r="AX14" s="154"/>
      <c r="AY14" s="154"/>
      <c r="AZ14" s="154"/>
      <c r="BA14" s="1036"/>
      <c r="BB14" s="115"/>
      <c r="BC14" s="1162"/>
      <c r="BD14" s="154"/>
      <c r="BE14" s="154"/>
      <c r="BF14" s="115"/>
      <c r="BG14" s="154"/>
      <c r="BH14" s="154"/>
      <c r="BI14" s="154"/>
      <c r="BJ14" s="115"/>
      <c r="BK14" s="154"/>
      <c r="BL14" s="1042"/>
      <c r="BM14" s="154"/>
      <c r="BN14" s="10"/>
      <c r="BO14" s="154"/>
      <c r="BP14" s="154"/>
      <c r="BQ14" s="154"/>
      <c r="BR14" s="154"/>
      <c r="BS14" s="154"/>
      <c r="BT14" s="154"/>
      <c r="BU14" s="154"/>
      <c r="BV14" s="10"/>
      <c r="BW14" s="10"/>
      <c r="BX14" s="56"/>
      <c r="BY14" s="56"/>
      <c r="BZ14" s="56"/>
      <c r="CA14" s="10"/>
    </row>
    <row r="15" spans="1:79" s="3" customFormat="1" hidden="1" outlineLevel="1">
      <c r="A15" s="956"/>
      <c r="B15" s="965" t="s">
        <v>145</v>
      </c>
      <c r="C15" s="61"/>
      <c r="D15" s="421"/>
      <c r="E15" s="115"/>
      <c r="F15" s="315"/>
      <c r="G15" s="61"/>
      <c r="H15" s="61"/>
      <c r="I15" s="61"/>
      <c r="J15" s="591"/>
      <c r="K15" s="65"/>
      <c r="L15" s="65"/>
      <c r="M15" s="61"/>
      <c r="N15" s="61"/>
      <c r="O15" s="315"/>
      <c r="P15" s="65"/>
      <c r="Q15" s="65"/>
      <c r="R15" s="115"/>
      <c r="S15" s="61"/>
      <c r="T15" s="61"/>
      <c r="U15" s="65"/>
      <c r="V15" s="65"/>
      <c r="W15" s="65"/>
      <c r="X15" s="478"/>
      <c r="Y15" s="154"/>
      <c r="Z15" s="1483"/>
      <c r="AA15" s="65"/>
      <c r="AB15" s="1037"/>
      <c r="AC15" s="1037"/>
      <c r="AD15" s="1037"/>
      <c r="AE15" s="1037"/>
      <c r="AF15" s="1037"/>
      <c r="AG15" s="1498"/>
      <c r="AH15" s="1483"/>
      <c r="AI15" s="1483"/>
      <c r="AJ15" s="1162"/>
      <c r="AK15" s="1162"/>
      <c r="AL15" s="1499"/>
      <c r="AM15" s="1162"/>
      <c r="AN15" s="154"/>
      <c r="AO15" s="154"/>
      <c r="AP15" s="1483"/>
      <c r="AQ15" s="1037"/>
      <c r="AR15" s="154"/>
      <c r="AS15" s="154"/>
      <c r="AT15" s="115"/>
      <c r="AU15" s="154"/>
      <c r="AV15" s="154"/>
      <c r="AW15" s="154"/>
      <c r="AX15" s="154"/>
      <c r="AY15" s="154"/>
      <c r="AZ15" s="154"/>
      <c r="BA15" s="154"/>
      <c r="BB15" s="115"/>
      <c r="BC15" s="154"/>
      <c r="BD15" s="154"/>
      <c r="BE15" s="154"/>
      <c r="BF15" s="115"/>
      <c r="BG15" s="154"/>
      <c r="BH15" s="154"/>
      <c r="BI15" s="154"/>
      <c r="BJ15" s="115"/>
      <c r="BK15" s="154"/>
      <c r="BL15" s="1042"/>
      <c r="BM15" s="154"/>
      <c r="BN15" s="10"/>
      <c r="BO15" s="154"/>
      <c r="BP15" s="154"/>
      <c r="BQ15" s="154"/>
      <c r="BR15" s="154"/>
      <c r="BS15" s="154"/>
      <c r="BT15" s="154"/>
      <c r="BU15" s="154"/>
      <c r="BV15" s="10"/>
      <c r="BW15" s="10"/>
      <c r="BX15" s="56"/>
      <c r="BY15" s="56"/>
      <c r="BZ15" s="56"/>
      <c r="CA15" s="10"/>
    </row>
    <row r="16" spans="1:79" s="3" customFormat="1" ht="10.5" hidden="1" customHeight="1" outlineLevel="1">
      <c r="A16" s="956" t="s">
        <v>457</v>
      </c>
      <c r="B16" s="3" t="s">
        <v>63</v>
      </c>
      <c r="C16" s="61"/>
      <c r="D16" s="1174"/>
      <c r="E16" s="1397"/>
      <c r="F16" s="1443"/>
      <c r="G16" s="135">
        <f>'qtrP&amp;L'!BB10</f>
        <v>21.4</v>
      </c>
      <c r="H16" s="975"/>
      <c r="I16" s="975"/>
      <c r="J16" s="1053"/>
      <c r="K16" s="66"/>
      <c r="L16" s="66"/>
      <c r="M16" s="969"/>
      <c r="N16" s="90"/>
      <c r="O16" s="1439"/>
      <c r="P16" s="12"/>
      <c r="Q16" s="12"/>
      <c r="R16" s="1469"/>
      <c r="S16" s="975"/>
      <c r="T16" s="969">
        <v>99.537999999999997</v>
      </c>
      <c r="U16" s="12">
        <v>18.462362392145181</v>
      </c>
      <c r="V16" s="12">
        <v>21</v>
      </c>
      <c r="W16" s="1404">
        <v>18.801294244089295</v>
      </c>
      <c r="X16" s="478"/>
      <c r="Y16" s="154"/>
      <c r="Z16" s="1483"/>
      <c r="AA16" s="1404">
        <v>18.801294244089295</v>
      </c>
      <c r="AB16" s="1037"/>
      <c r="AC16" s="1037"/>
      <c r="AD16" s="1037"/>
      <c r="AE16" s="1037"/>
      <c r="AF16" s="1037"/>
      <c r="AG16" s="1403"/>
      <c r="AH16" s="1483"/>
      <c r="AI16" s="1499"/>
      <c r="AJ16" s="1162"/>
      <c r="AK16" s="1162"/>
      <c r="AL16" s="1499"/>
      <c r="AM16" s="1162"/>
      <c r="AN16" s="154"/>
      <c r="AO16" s="1036"/>
      <c r="AP16" s="1483"/>
      <c r="AQ16" s="1166"/>
      <c r="AR16" s="154"/>
      <c r="AS16" s="1027"/>
      <c r="AT16" s="1483"/>
      <c r="AU16" s="1162"/>
      <c r="AV16" s="1162"/>
      <c r="AW16" s="1162"/>
      <c r="AX16" s="1162"/>
      <c r="AY16" s="1162"/>
      <c r="AZ16" s="154"/>
      <c r="BA16" s="1027"/>
      <c r="BB16" s="1483"/>
      <c r="BC16" s="1162"/>
      <c r="BD16" s="154"/>
      <c r="BE16" s="1027"/>
      <c r="BF16" s="1483"/>
      <c r="BG16" s="154"/>
      <c r="BH16" s="977"/>
      <c r="BI16" s="1037"/>
      <c r="BJ16" s="1499"/>
      <c r="BK16" s="1167"/>
      <c r="BL16" s="1042"/>
      <c r="BM16" s="1163"/>
      <c r="BN16" s="10"/>
      <c r="BO16" s="1037"/>
      <c r="BP16" s="1037"/>
      <c r="BQ16" s="1037"/>
      <c r="BR16" s="1037"/>
      <c r="BS16" s="1037"/>
      <c r="BT16" s="1037"/>
      <c r="BU16" s="1164"/>
      <c r="BV16" s="10"/>
      <c r="BW16" s="10"/>
      <c r="BX16" s="56"/>
      <c r="BY16" s="56"/>
      <c r="BZ16" s="56"/>
      <c r="CA16" s="10"/>
    </row>
    <row r="17" spans="1:73" s="3" customFormat="1" ht="10.5" hidden="1" customHeight="1" outlineLevel="1">
      <c r="A17" s="956" t="s">
        <v>458</v>
      </c>
      <c r="B17" s="3" t="s">
        <v>167</v>
      </c>
      <c r="C17" s="61"/>
      <c r="D17" s="1174"/>
      <c r="E17" s="1397"/>
      <c r="F17" s="1443"/>
      <c r="G17" s="135">
        <f>'qtrP&amp;L'!BB11</f>
        <v>25.7</v>
      </c>
      <c r="H17" s="975"/>
      <c r="I17" s="975"/>
      <c r="J17" s="1054"/>
      <c r="K17" s="1428"/>
      <c r="L17" s="1428"/>
      <c r="M17" s="136"/>
      <c r="N17" s="90"/>
      <c r="O17" s="1439"/>
      <c r="P17" s="12"/>
      <c r="Q17" s="12"/>
      <c r="R17" s="1469"/>
      <c r="S17" s="975"/>
      <c r="T17" s="136">
        <v>138.15600000000001</v>
      </c>
      <c r="U17" s="12">
        <v>18.882731559563549</v>
      </c>
      <c r="V17" s="12">
        <v>17</v>
      </c>
      <c r="W17" s="1404">
        <v>17.149389960067179</v>
      </c>
      <c r="X17" s="478"/>
      <c r="Y17" s="154"/>
      <c r="Z17" s="1483"/>
      <c r="AA17" s="1404">
        <v>17.149389960067179</v>
      </c>
      <c r="AB17" s="1037"/>
      <c r="AC17" s="1037"/>
      <c r="AD17" s="1037"/>
      <c r="AE17" s="1037"/>
      <c r="AF17" s="1037"/>
      <c r="AG17" s="1500"/>
      <c r="AH17" s="1483"/>
      <c r="AI17" s="1499"/>
      <c r="AJ17" s="1162"/>
      <c r="AK17" s="1162"/>
      <c r="AL17" s="1499"/>
      <c r="AM17" s="1162"/>
      <c r="AN17" s="154"/>
      <c r="AO17" s="195"/>
      <c r="AP17" s="1483"/>
      <c r="AQ17" s="1166"/>
      <c r="AR17" s="154"/>
      <c r="AS17" s="1022"/>
      <c r="AT17" s="1483"/>
      <c r="AU17" s="1162"/>
      <c r="AV17" s="1162"/>
      <c r="AW17" s="1162"/>
      <c r="AX17" s="1162"/>
      <c r="AY17" s="1162"/>
      <c r="AZ17" s="154"/>
      <c r="BA17" s="1022"/>
      <c r="BB17" s="1483"/>
      <c r="BC17" s="1162"/>
      <c r="BD17" s="154"/>
      <c r="BE17" s="1022"/>
      <c r="BF17" s="1483"/>
      <c r="BG17" s="154"/>
      <c r="BH17" s="978"/>
      <c r="BI17" s="1037"/>
      <c r="BJ17" s="1499"/>
      <c r="BK17" s="1167"/>
      <c r="BL17" s="1042"/>
      <c r="BM17" s="1163"/>
      <c r="BN17" s="10"/>
      <c r="BO17" s="1037"/>
      <c r="BP17" s="1037"/>
      <c r="BQ17" s="1037"/>
      <c r="BR17" s="1037"/>
      <c r="BS17" s="1037"/>
      <c r="BT17" s="1037"/>
      <c r="BU17" s="1164"/>
    </row>
    <row r="18" spans="1:73" s="3" customFormat="1" ht="10.5" hidden="1" customHeight="1" outlineLevel="1">
      <c r="A18" s="956" t="s">
        <v>459</v>
      </c>
      <c r="B18" s="3" t="s">
        <v>166</v>
      </c>
      <c r="C18" s="61"/>
      <c r="D18" s="1174"/>
      <c r="E18" s="1397"/>
      <c r="F18" s="1443"/>
      <c r="G18" s="135">
        <f>'qtrP&amp;L'!BB12</f>
        <v>20</v>
      </c>
      <c r="H18" s="975"/>
      <c r="I18" s="975"/>
      <c r="J18" s="1054"/>
      <c r="K18" s="1428"/>
      <c r="L18" s="1428"/>
      <c r="M18" s="136"/>
      <c r="N18" s="90"/>
      <c r="O18" s="1439"/>
      <c r="P18" s="12"/>
      <c r="Q18" s="12"/>
      <c r="R18" s="1469"/>
      <c r="S18" s="975"/>
      <c r="T18" s="136">
        <v>126.711</v>
      </c>
      <c r="U18" s="12">
        <v>16.23262853735725</v>
      </c>
      <c r="V18" s="12">
        <v>15</v>
      </c>
      <c r="W18" s="1404">
        <v>20.263936043805963</v>
      </c>
      <c r="X18" s="478"/>
      <c r="Y18" s="154"/>
      <c r="Z18" s="1483"/>
      <c r="AA18" s="1404">
        <v>20.263936043805963</v>
      </c>
      <c r="AB18" s="1037"/>
      <c r="AC18" s="1037"/>
      <c r="AD18" s="1037"/>
      <c r="AE18" s="1037"/>
      <c r="AF18" s="1037"/>
      <c r="AG18" s="1500"/>
      <c r="AH18" s="1483"/>
      <c r="AI18" s="1499"/>
      <c r="AJ18" s="1162"/>
      <c r="AK18" s="1162"/>
      <c r="AL18" s="1499"/>
      <c r="AM18" s="1162"/>
      <c r="AN18" s="154"/>
      <c r="AO18" s="195"/>
      <c r="AP18" s="1483"/>
      <c r="AQ18" s="1166"/>
      <c r="AR18" s="154"/>
      <c r="AS18" s="1022"/>
      <c r="AT18" s="1483"/>
      <c r="AU18" s="1162"/>
      <c r="AV18" s="1162"/>
      <c r="AW18" s="1162"/>
      <c r="AX18" s="1162"/>
      <c r="AY18" s="1162"/>
      <c r="AZ18" s="154"/>
      <c r="BA18" s="1022"/>
      <c r="BB18" s="1483"/>
      <c r="BC18" s="1162"/>
      <c r="BD18" s="154"/>
      <c r="BE18" s="1022"/>
      <c r="BF18" s="1483"/>
      <c r="BG18" s="154"/>
      <c r="BH18" s="978"/>
      <c r="BI18" s="1037"/>
      <c r="BJ18" s="1499"/>
      <c r="BK18" s="1167"/>
      <c r="BL18" s="1042"/>
      <c r="BM18" s="154"/>
      <c r="BN18" s="10"/>
      <c r="BO18" s="1037"/>
      <c r="BP18" s="1037"/>
      <c r="BQ18" s="1037"/>
      <c r="BR18" s="1037"/>
      <c r="BS18" s="1037"/>
      <c r="BT18" s="1037"/>
      <c r="BU18" s="1164"/>
    </row>
    <row r="19" spans="1:73" s="3" customFormat="1" ht="10.5" hidden="1" customHeight="1" outlineLevel="1">
      <c r="A19" s="956" t="s">
        <v>460</v>
      </c>
      <c r="B19" s="3" t="s">
        <v>62</v>
      </c>
      <c r="C19" s="61"/>
      <c r="D19" s="1174"/>
      <c r="E19" s="1397"/>
      <c r="F19" s="1443"/>
      <c r="G19" s="138">
        <f>'qtrP&amp;L'!BB13</f>
        <v>20.2</v>
      </c>
      <c r="H19" s="975"/>
      <c r="I19" s="975"/>
      <c r="J19" s="1051"/>
      <c r="K19" s="1397"/>
      <c r="L19" s="1397"/>
      <c r="M19" s="999"/>
      <c r="N19" s="90"/>
      <c r="O19" s="1439"/>
      <c r="P19" s="12"/>
      <c r="Q19" s="12"/>
      <c r="R19" s="1469"/>
      <c r="S19" s="975"/>
      <c r="T19" s="972">
        <v>128.34299999999996</v>
      </c>
      <c r="U19" s="12">
        <v>15.357235949198621</v>
      </c>
      <c r="V19" s="12">
        <v>23</v>
      </c>
      <c r="W19" s="1464">
        <v>19.684509202453981</v>
      </c>
      <c r="X19" s="478"/>
      <c r="Y19" s="154"/>
      <c r="Z19" s="1483"/>
      <c r="AA19" s="1464">
        <v>19.684509202453981</v>
      </c>
      <c r="AB19" s="1037"/>
      <c r="AC19" s="1037"/>
      <c r="AD19" s="1037"/>
      <c r="AE19" s="1037"/>
      <c r="AF19" s="1037"/>
      <c r="AG19" s="1500"/>
      <c r="AH19" s="1483"/>
      <c r="AI19" s="1499"/>
      <c r="AJ19" s="1162"/>
      <c r="AK19" s="1162"/>
      <c r="AL19" s="1499"/>
      <c r="AM19" s="1162"/>
      <c r="AN19" s="154"/>
      <c r="AO19" s="195"/>
      <c r="AP19" s="1483"/>
      <c r="AQ19" s="1166"/>
      <c r="AR19" s="154"/>
      <c r="AS19" s="999"/>
      <c r="AT19" s="1483"/>
      <c r="AU19" s="1162"/>
      <c r="AV19" s="1162"/>
      <c r="AW19" s="1162"/>
      <c r="AX19" s="1162"/>
      <c r="AY19" s="1162"/>
      <c r="AZ19" s="154"/>
      <c r="BA19" s="999"/>
      <c r="BB19" s="1483"/>
      <c r="BC19" s="1162"/>
      <c r="BD19" s="154"/>
      <c r="BE19" s="999"/>
      <c r="BF19" s="1483"/>
      <c r="BG19" s="154"/>
      <c r="BH19" s="978"/>
      <c r="BI19" s="1037"/>
      <c r="BJ19" s="1499"/>
      <c r="BK19" s="1167"/>
      <c r="BL19" s="1042"/>
      <c r="BM19" s="1163"/>
      <c r="BN19" s="10"/>
      <c r="BO19" s="1037"/>
      <c r="BP19" s="1037"/>
      <c r="BQ19" s="1037"/>
      <c r="BR19" s="1037"/>
      <c r="BS19" s="1037"/>
      <c r="BT19" s="1037"/>
      <c r="BU19" s="1164"/>
    </row>
    <row r="20" spans="1:73" s="3" customFormat="1" ht="10.5" hidden="1" customHeight="1" outlineLevel="1">
      <c r="A20" s="956"/>
      <c r="B20" s="61" t="s">
        <v>461</v>
      </c>
      <c r="C20" s="61"/>
      <c r="D20" s="1416"/>
      <c r="E20" s="1398"/>
      <c r="F20" s="1390"/>
      <c r="G20" s="135">
        <f>'qtrP&amp;L'!BB14</f>
        <v>22.3</v>
      </c>
      <c r="H20" s="975"/>
      <c r="I20" s="975"/>
      <c r="J20" s="1053"/>
      <c r="K20" s="66"/>
      <c r="L20" s="66"/>
      <c r="M20" s="969"/>
      <c r="N20" s="967"/>
      <c r="O20" s="1439"/>
      <c r="P20" s="12"/>
      <c r="Q20" s="12"/>
      <c r="R20" s="1469"/>
      <c r="S20" s="975"/>
      <c r="T20" s="969">
        <v>492.74799999999999</v>
      </c>
      <c r="U20" s="12">
        <v>17.17894266234492</v>
      </c>
      <c r="V20" s="12"/>
      <c r="W20" s="1404">
        <v>18.861485131232833</v>
      </c>
      <c r="X20" s="1037"/>
      <c r="Y20" s="154"/>
      <c r="Z20" s="1483"/>
      <c r="AA20" s="1404">
        <v>18.861485131232833</v>
      </c>
      <c r="AB20" s="1037"/>
      <c r="AC20" s="1037"/>
      <c r="AD20" s="1037"/>
      <c r="AE20" s="1037"/>
      <c r="AF20" s="1037"/>
      <c r="AG20" s="1403"/>
      <c r="AH20" s="1483"/>
      <c r="AI20" s="1499"/>
      <c r="AJ20" s="1162"/>
      <c r="AK20" s="1162"/>
      <c r="AL20" s="1499"/>
      <c r="AM20" s="1162"/>
      <c r="AN20" s="154"/>
      <c r="AO20" s="1036"/>
      <c r="AP20" s="1483"/>
      <c r="AQ20" s="1166"/>
      <c r="AR20" s="154"/>
      <c r="AS20" s="1027"/>
      <c r="AT20" s="1483"/>
      <c r="AU20" s="1162"/>
      <c r="AV20" s="1162"/>
      <c r="AW20" s="1162"/>
      <c r="AX20" s="1162"/>
      <c r="AY20" s="1162"/>
      <c r="AZ20" s="154"/>
      <c r="BA20" s="1027"/>
      <c r="BB20" s="1483"/>
      <c r="BC20" s="1162"/>
      <c r="BD20" s="154"/>
      <c r="BE20" s="1027"/>
      <c r="BF20" s="1483"/>
      <c r="BG20" s="154"/>
      <c r="BH20" s="144"/>
      <c r="BI20" s="1037"/>
      <c r="BJ20" s="1499"/>
      <c r="BK20" s="1167"/>
      <c r="BL20" s="1042"/>
      <c r="BM20" s="154"/>
      <c r="BN20" s="10"/>
      <c r="BO20" s="1037"/>
      <c r="BP20" s="1037"/>
      <c r="BQ20" s="1037"/>
      <c r="BR20" s="1037"/>
      <c r="BS20" s="1037"/>
      <c r="BT20" s="1037"/>
      <c r="BU20" s="1164"/>
    </row>
    <row r="21" spans="1:73" s="3" customFormat="1" hidden="1" outlineLevel="1">
      <c r="A21" s="956"/>
      <c r="B21" s="61"/>
      <c r="C21" s="61"/>
      <c r="D21" s="421"/>
      <c r="E21" s="115"/>
      <c r="F21" s="315"/>
      <c r="G21" s="61"/>
      <c r="H21" s="61"/>
      <c r="I21" s="61"/>
      <c r="J21" s="591"/>
      <c r="K21" s="65"/>
      <c r="L21" s="65"/>
      <c r="M21" s="61"/>
      <c r="N21" s="61"/>
      <c r="O21" s="315"/>
      <c r="P21" s="65"/>
      <c r="Q21" s="65"/>
      <c r="R21" s="115"/>
      <c r="S21" s="61"/>
      <c r="T21" s="61"/>
      <c r="U21" s="65"/>
      <c r="V21" s="65"/>
      <c r="W21" s="12"/>
      <c r="X21" s="154"/>
      <c r="Y21" s="154"/>
      <c r="Z21" s="115"/>
      <c r="AA21" s="12"/>
      <c r="AB21" s="154"/>
      <c r="AC21" s="154"/>
      <c r="AD21" s="154"/>
      <c r="AE21" s="154"/>
      <c r="AF21" s="154"/>
      <c r="AG21" s="1501"/>
      <c r="AH21" s="115"/>
      <c r="AI21" s="115"/>
      <c r="AJ21" s="154"/>
      <c r="AK21" s="154"/>
      <c r="AL21" s="115"/>
      <c r="AM21" s="154"/>
      <c r="AN21" s="154"/>
      <c r="AO21" s="154"/>
      <c r="AP21" s="115"/>
      <c r="AQ21" s="154"/>
      <c r="AR21" s="154"/>
      <c r="AS21" s="154"/>
      <c r="AT21" s="115"/>
      <c r="AU21" s="154"/>
      <c r="AV21" s="154"/>
      <c r="AW21" s="154"/>
      <c r="AX21" s="154"/>
      <c r="AY21" s="154"/>
      <c r="AZ21" s="154"/>
      <c r="BA21" s="154"/>
      <c r="BB21" s="115"/>
      <c r="BC21" s="154"/>
      <c r="BD21" s="154"/>
      <c r="BE21" s="154"/>
      <c r="BF21" s="115"/>
      <c r="BG21" s="154"/>
      <c r="BH21" s="154"/>
      <c r="BI21" s="154"/>
      <c r="BJ21" s="115"/>
      <c r="BK21" s="1168"/>
      <c r="BL21" s="1042"/>
      <c r="BM21" s="154"/>
      <c r="BN21" s="10"/>
      <c r="BO21" s="1037"/>
      <c r="BP21" s="1037"/>
      <c r="BQ21" s="1037"/>
      <c r="BR21" s="1037"/>
      <c r="BS21" s="1037"/>
      <c r="BT21" s="1037"/>
      <c r="BU21" s="1164"/>
    </row>
    <row r="22" spans="1:73" s="3" customFormat="1" hidden="1" outlineLevel="1">
      <c r="A22" s="956"/>
      <c r="B22" s="965" t="s">
        <v>636</v>
      </c>
      <c r="C22" s="61"/>
      <c r="D22" s="421"/>
      <c r="E22" s="115"/>
      <c r="F22" s="315"/>
      <c r="G22" s="61"/>
      <c r="H22" s="61"/>
      <c r="I22" s="61"/>
      <c r="J22" s="591"/>
      <c r="K22" s="65"/>
      <c r="L22" s="65"/>
      <c r="M22" s="61"/>
      <c r="N22" s="61"/>
      <c r="O22" s="315"/>
      <c r="P22" s="65"/>
      <c r="Q22" s="65"/>
      <c r="R22" s="115"/>
      <c r="S22" s="61"/>
      <c r="T22" s="61"/>
      <c r="U22" s="65"/>
      <c r="V22" s="65"/>
      <c r="W22" s="12"/>
      <c r="X22" s="154"/>
      <c r="Y22" s="154"/>
      <c r="Z22" s="1483"/>
      <c r="AA22" s="12"/>
      <c r="AB22" s="1037"/>
      <c r="AC22" s="1037"/>
      <c r="AD22" s="1037"/>
      <c r="AE22" s="1037"/>
      <c r="AF22" s="1037"/>
      <c r="AG22" s="1498"/>
      <c r="AH22" s="1483"/>
      <c r="AI22" s="1483"/>
      <c r="AJ22" s="1162"/>
      <c r="AK22" s="1162"/>
      <c r="AL22" s="1499"/>
      <c r="AM22" s="1162"/>
      <c r="AN22" s="154"/>
      <c r="AO22" s="154"/>
      <c r="AP22" s="1483"/>
      <c r="AQ22" s="1037"/>
      <c r="AR22" s="154"/>
      <c r="AS22" s="154"/>
      <c r="AT22" s="115"/>
      <c r="AU22" s="154"/>
      <c r="AV22" s="154"/>
      <c r="AW22" s="154"/>
      <c r="AX22" s="154"/>
      <c r="AY22" s="154"/>
      <c r="AZ22" s="154"/>
      <c r="BA22" s="154"/>
      <c r="BB22" s="115"/>
      <c r="BC22" s="154"/>
      <c r="BD22" s="154"/>
      <c r="BE22" s="154"/>
      <c r="BF22" s="115"/>
      <c r="BG22" s="154"/>
      <c r="BH22" s="154"/>
      <c r="BI22" s="154"/>
      <c r="BJ22" s="115"/>
      <c r="BK22" s="1168"/>
      <c r="BL22" s="1042"/>
      <c r="BM22" s="154"/>
      <c r="BN22" s="10"/>
      <c r="BO22" s="1037"/>
      <c r="BP22" s="1037"/>
      <c r="BQ22" s="1037"/>
      <c r="BR22" s="1037"/>
      <c r="BS22" s="1037"/>
      <c r="BT22" s="1037"/>
      <c r="BU22" s="1164"/>
    </row>
    <row r="23" spans="1:73" s="3" customFormat="1" ht="10.5" hidden="1" customHeight="1" outlineLevel="1">
      <c r="A23" s="956" t="s">
        <v>457</v>
      </c>
      <c r="B23" s="3" t="s">
        <v>63</v>
      </c>
      <c r="C23" s="61"/>
      <c r="D23" s="1173"/>
      <c r="E23" s="1401"/>
      <c r="F23" s="1444"/>
      <c r="G23" s="192">
        <f>'qtrP&amp;L'!BF10</f>
        <v>19.3</v>
      </c>
      <c r="H23" s="975"/>
      <c r="I23" s="975"/>
      <c r="J23" s="1053"/>
      <c r="K23" s="66"/>
      <c r="L23" s="66"/>
      <c r="M23" s="969"/>
      <c r="N23" s="966"/>
      <c r="O23" s="1439"/>
      <c r="P23" s="12"/>
      <c r="Q23" s="12"/>
      <c r="R23" s="1469"/>
      <c r="S23" s="975"/>
      <c r="T23" s="969">
        <v>112.32599999999999</v>
      </c>
      <c r="U23" s="12">
        <v>12.847354779079346</v>
      </c>
      <c r="V23" s="12">
        <v>17</v>
      </c>
      <c r="W23" s="1404">
        <v>16.598642270487854</v>
      </c>
      <c r="X23" s="1023"/>
      <c r="Y23" s="154"/>
      <c r="Z23" s="1483"/>
      <c r="AA23" s="1404">
        <v>16.598642270487854</v>
      </c>
      <c r="AB23" s="1037"/>
      <c r="AC23" s="1037"/>
      <c r="AD23" s="1037"/>
      <c r="AE23" s="1037"/>
      <c r="AF23" s="1037"/>
      <c r="AG23" s="1403"/>
      <c r="AH23" s="1483"/>
      <c r="AI23" s="1499"/>
      <c r="AJ23" s="1162"/>
      <c r="AK23" s="1162"/>
      <c r="AL23" s="1499"/>
      <c r="AM23" s="1162"/>
      <c r="AN23" s="154"/>
      <c r="AO23" s="1036"/>
      <c r="AP23" s="1483"/>
      <c r="AQ23" s="1037"/>
      <c r="AR23" s="154"/>
      <c r="AS23" s="1027"/>
      <c r="AT23" s="1483"/>
      <c r="AU23" s="1162"/>
      <c r="AV23" s="1162"/>
      <c r="AW23" s="1162"/>
      <c r="AX23" s="1162"/>
      <c r="AY23" s="1162"/>
      <c r="AZ23" s="154"/>
      <c r="BA23" s="1027"/>
      <c r="BB23" s="1483"/>
      <c r="BC23" s="1162"/>
      <c r="BD23" s="154"/>
      <c r="BE23" s="1027"/>
      <c r="BF23" s="1483"/>
      <c r="BG23" s="154"/>
      <c r="BH23" s="977"/>
      <c r="BI23" s="1037"/>
      <c r="BJ23" s="1499"/>
      <c r="BK23" s="1167"/>
      <c r="BL23" s="1042"/>
      <c r="BM23" s="154"/>
      <c r="BN23" s="10"/>
      <c r="BO23" s="1037"/>
      <c r="BP23" s="1037"/>
      <c r="BQ23" s="1037"/>
      <c r="BR23" s="1037"/>
      <c r="BS23" s="1037"/>
      <c r="BT23" s="1037"/>
      <c r="BU23" s="1164"/>
    </row>
    <row r="24" spans="1:73" s="3" customFormat="1" ht="10.5" hidden="1" customHeight="1" outlineLevel="1">
      <c r="A24" s="956" t="s">
        <v>458</v>
      </c>
      <c r="B24" s="3" t="s">
        <v>167</v>
      </c>
      <c r="C24" s="61"/>
      <c r="D24" s="1174"/>
      <c r="E24" s="1397"/>
      <c r="F24" s="1443"/>
      <c r="G24" s="192">
        <f>'qtrP&amp;L'!BF11</f>
        <v>7</v>
      </c>
      <c r="H24" s="975"/>
      <c r="I24" s="975"/>
      <c r="J24" s="1054"/>
      <c r="K24" s="1429"/>
      <c r="L24" s="1429"/>
      <c r="M24" s="135"/>
      <c r="N24" s="90"/>
      <c r="O24" s="1439"/>
      <c r="P24" s="12"/>
      <c r="Q24" s="12"/>
      <c r="R24" s="1469"/>
      <c r="S24" s="975"/>
      <c r="T24" s="135">
        <v>165.8</v>
      </c>
      <c r="U24" s="12">
        <v>20.009264888966104</v>
      </c>
      <c r="V24" s="12">
        <v>17</v>
      </c>
      <c r="W24" s="1404">
        <v>16.952670556851263</v>
      </c>
      <c r="X24" s="999"/>
      <c r="Y24" s="154"/>
      <c r="Z24" s="1483"/>
      <c r="AA24" s="1404">
        <v>16.952670556851263</v>
      </c>
      <c r="AB24" s="1037"/>
      <c r="AC24" s="1037"/>
      <c r="AD24" s="1037"/>
      <c r="AE24" s="1037"/>
      <c r="AF24" s="1037"/>
      <c r="AG24" s="1500"/>
      <c r="AH24" s="1483"/>
      <c r="AI24" s="1499"/>
      <c r="AJ24" s="1162"/>
      <c r="AK24" s="1162"/>
      <c r="AL24" s="1499"/>
      <c r="AM24" s="1162"/>
      <c r="AN24" s="154"/>
      <c r="AO24" s="195"/>
      <c r="AP24" s="1483"/>
      <c r="AQ24" s="1037"/>
      <c r="AR24" s="154"/>
      <c r="AS24" s="1022"/>
      <c r="AT24" s="1483"/>
      <c r="AU24" s="1162"/>
      <c r="AV24" s="1162"/>
      <c r="AW24" s="1162"/>
      <c r="AX24" s="1162"/>
      <c r="AY24" s="1162"/>
      <c r="AZ24" s="154"/>
      <c r="BA24" s="1022"/>
      <c r="BB24" s="1483"/>
      <c r="BC24" s="1162"/>
      <c r="BD24" s="154"/>
      <c r="BE24" s="1022"/>
      <c r="BF24" s="1483"/>
      <c r="BG24" s="154"/>
      <c r="BH24" s="978"/>
      <c r="BI24" s="1037"/>
      <c r="BJ24" s="1499"/>
      <c r="BK24" s="1167"/>
      <c r="BL24" s="1042"/>
      <c r="BM24" s="154"/>
      <c r="BN24" s="10"/>
      <c r="BO24" s="1037"/>
      <c r="BP24" s="1037"/>
      <c r="BQ24" s="1037"/>
      <c r="BR24" s="1037"/>
      <c r="BS24" s="1037"/>
      <c r="BT24" s="1037"/>
      <c r="BU24" s="1164"/>
    </row>
    <row r="25" spans="1:73" s="3" customFormat="1" ht="10.5" hidden="1" customHeight="1" outlineLevel="1">
      <c r="A25" s="956" t="s">
        <v>459</v>
      </c>
      <c r="B25" s="3" t="s">
        <v>166</v>
      </c>
      <c r="C25" s="61"/>
      <c r="D25" s="1174"/>
      <c r="E25" s="1397"/>
      <c r="F25" s="1443"/>
      <c r="G25" s="192">
        <f>'qtrP&amp;L'!BF12</f>
        <v>9</v>
      </c>
      <c r="H25" s="975"/>
      <c r="I25" s="975"/>
      <c r="J25" s="1054"/>
      <c r="K25" s="1428"/>
      <c r="L25" s="1428"/>
      <c r="M25" s="136"/>
      <c r="N25" s="136">
        <v>3.8</v>
      </c>
      <c r="O25" s="1439"/>
      <c r="P25" s="12"/>
      <c r="Q25" s="12"/>
      <c r="R25" s="1469"/>
      <c r="S25" s="975"/>
      <c r="T25" s="136">
        <v>155.017</v>
      </c>
      <c r="U25" s="12">
        <v>22.339023447056693</v>
      </c>
      <c r="V25" s="12">
        <v>12</v>
      </c>
      <c r="W25" s="1404">
        <v>20.835618279569893</v>
      </c>
      <c r="X25" s="999"/>
      <c r="Y25" s="154"/>
      <c r="Z25" s="1483"/>
      <c r="AA25" s="1404">
        <v>20.835618279569893</v>
      </c>
      <c r="AB25" s="1037"/>
      <c r="AC25" s="1037"/>
      <c r="AD25" s="1037"/>
      <c r="AE25" s="1037"/>
      <c r="AF25" s="1037"/>
      <c r="AG25" s="1500"/>
      <c r="AH25" s="1483"/>
      <c r="AI25" s="1499"/>
      <c r="AJ25" s="1162"/>
      <c r="AK25" s="1162"/>
      <c r="AL25" s="1499"/>
      <c r="AM25" s="1162"/>
      <c r="AN25" s="154"/>
      <c r="AO25" s="195"/>
      <c r="AP25" s="1483"/>
      <c r="AQ25" s="1037"/>
      <c r="AR25" s="154"/>
      <c r="AS25" s="1022"/>
      <c r="AT25" s="1483"/>
      <c r="AU25" s="1162"/>
      <c r="AV25" s="1162"/>
      <c r="AW25" s="1162"/>
      <c r="AX25" s="1162"/>
      <c r="AY25" s="1162"/>
      <c r="AZ25" s="154"/>
      <c r="BA25" s="1022"/>
      <c r="BB25" s="1483"/>
      <c r="BC25" s="1162"/>
      <c r="BD25" s="154"/>
      <c r="BE25" s="1022"/>
      <c r="BF25" s="1483"/>
      <c r="BG25" s="154"/>
      <c r="BH25" s="978"/>
      <c r="BI25" s="1037"/>
      <c r="BJ25" s="1499"/>
      <c r="BK25" s="1167"/>
      <c r="BL25" s="1042"/>
      <c r="BM25" s="154"/>
      <c r="BN25" s="10"/>
      <c r="BO25" s="1515"/>
      <c r="BP25" s="1515"/>
      <c r="BQ25" s="1515"/>
      <c r="BR25" s="1515"/>
      <c r="BS25" s="1515"/>
      <c r="BT25" s="1037"/>
      <c r="BU25" s="1164"/>
    </row>
    <row r="26" spans="1:73" s="3" customFormat="1" ht="10.5" hidden="1" customHeight="1" outlineLevel="1">
      <c r="A26" s="956" t="s">
        <v>460</v>
      </c>
      <c r="B26" s="3" t="s">
        <v>62</v>
      </c>
      <c r="C26" s="61"/>
      <c r="D26" s="1174"/>
      <c r="E26" s="1397"/>
      <c r="F26" s="1443"/>
      <c r="G26" s="193">
        <f>'qtrP&amp;L'!BF13</f>
        <v>6.7</v>
      </c>
      <c r="H26" s="975"/>
      <c r="I26" s="975"/>
      <c r="J26" s="1051"/>
      <c r="K26" s="1397"/>
      <c r="L26" s="1397"/>
      <c r="M26" s="999"/>
      <c r="N26" s="192">
        <v>3.8</v>
      </c>
      <c r="O26" s="1439"/>
      <c r="P26" s="12"/>
      <c r="Q26" s="12"/>
      <c r="R26" s="1469"/>
      <c r="S26" s="975"/>
      <c r="T26" s="972">
        <v>172.38</v>
      </c>
      <c r="U26" s="12">
        <v>34.311960917229676</v>
      </c>
      <c r="V26" s="12">
        <v>12</v>
      </c>
      <c r="W26" s="1464">
        <v>22.041646154731382</v>
      </c>
      <c r="X26" s="999"/>
      <c r="Y26" s="154"/>
      <c r="Z26" s="1483"/>
      <c r="AA26" s="1464">
        <v>22.041646154731382</v>
      </c>
      <c r="AB26" s="1037"/>
      <c r="AC26" s="1037"/>
      <c r="AD26" s="1037"/>
      <c r="AE26" s="1037"/>
      <c r="AF26" s="1037"/>
      <c r="AG26" s="1500"/>
      <c r="AH26" s="1483"/>
      <c r="AI26" s="1499"/>
      <c r="AJ26" s="1162"/>
      <c r="AK26" s="1162"/>
      <c r="AL26" s="1499"/>
      <c r="AM26" s="1162"/>
      <c r="AN26" s="154"/>
      <c r="AO26" s="195"/>
      <c r="AP26" s="1483"/>
      <c r="AQ26" s="1037"/>
      <c r="AR26" s="154"/>
      <c r="AS26" s="999"/>
      <c r="AT26" s="1483"/>
      <c r="AU26" s="1162"/>
      <c r="AV26" s="1162"/>
      <c r="AW26" s="1162"/>
      <c r="AX26" s="1162"/>
      <c r="AY26" s="1162"/>
      <c r="AZ26" s="154"/>
      <c r="BA26" s="999"/>
      <c r="BB26" s="1483"/>
      <c r="BC26" s="1162"/>
      <c r="BD26" s="154"/>
      <c r="BE26" s="999"/>
      <c r="BF26" s="1483"/>
      <c r="BG26" s="154"/>
      <c r="BH26" s="978"/>
      <c r="BI26" s="1037"/>
      <c r="BJ26" s="1499"/>
      <c r="BK26" s="1167"/>
      <c r="BL26" s="1042"/>
      <c r="BM26" s="154"/>
      <c r="BN26" s="10"/>
      <c r="BO26" s="1515"/>
      <c r="BP26" s="1515"/>
      <c r="BQ26" s="1515"/>
      <c r="BR26" s="1515"/>
      <c r="BS26" s="1515"/>
      <c r="BT26" s="1037"/>
      <c r="BU26" s="1164"/>
    </row>
    <row r="27" spans="1:73" s="3" customFormat="1" ht="10.5" hidden="1" customHeight="1" outlineLevel="1">
      <c r="A27" s="956"/>
      <c r="B27" s="61" t="s">
        <v>461</v>
      </c>
      <c r="C27" s="61"/>
      <c r="D27" s="1173"/>
      <c r="E27" s="1401"/>
      <c r="F27" s="1390"/>
      <c r="G27" s="192">
        <f>'qtrP&amp;L'!BF14</f>
        <v>9.8000000000000007</v>
      </c>
      <c r="H27" s="975"/>
      <c r="I27" s="975"/>
      <c r="J27" s="1053"/>
      <c r="K27" s="66"/>
      <c r="L27" s="66"/>
      <c r="M27" s="969"/>
      <c r="N27" s="967"/>
      <c r="O27" s="1439"/>
      <c r="P27" s="12"/>
      <c r="Q27" s="12"/>
      <c r="R27" s="1469"/>
      <c r="S27" s="975"/>
      <c r="T27" s="969">
        <v>605.52300000000002</v>
      </c>
      <c r="U27" s="12">
        <v>22.886952356985724</v>
      </c>
      <c r="V27" s="12">
        <v>14</v>
      </c>
      <c r="W27" s="1404">
        <v>19.036814637826964</v>
      </c>
      <c r="X27" s="1037"/>
      <c r="Y27" s="154"/>
      <c r="Z27" s="1483"/>
      <c r="AA27" s="1404">
        <v>19.036814637826964</v>
      </c>
      <c r="AB27" s="1037"/>
      <c r="AC27" s="1037"/>
      <c r="AD27" s="1037"/>
      <c r="AE27" s="1037"/>
      <c r="AF27" s="1037"/>
      <c r="AG27" s="1403"/>
      <c r="AH27" s="1483"/>
      <c r="AI27" s="1499"/>
      <c r="AJ27" s="1162"/>
      <c r="AK27" s="1162"/>
      <c r="AL27" s="1499"/>
      <c r="AM27" s="1162"/>
      <c r="AN27" s="154"/>
      <c r="AO27" s="1036"/>
      <c r="AP27" s="1483"/>
      <c r="AQ27" s="1037"/>
      <c r="AR27" s="154"/>
      <c r="AS27" s="1027"/>
      <c r="AT27" s="1483"/>
      <c r="AU27" s="1162"/>
      <c r="AV27" s="1162"/>
      <c r="AW27" s="1162"/>
      <c r="AX27" s="1162"/>
      <c r="AY27" s="1162"/>
      <c r="AZ27" s="154"/>
      <c r="BA27" s="1027"/>
      <c r="BB27" s="1483"/>
      <c r="BC27" s="1162"/>
      <c r="BD27" s="154"/>
      <c r="BE27" s="1027"/>
      <c r="BF27" s="1483"/>
      <c r="BG27" s="154"/>
      <c r="BH27" s="144"/>
      <c r="BI27" s="1037"/>
      <c r="BJ27" s="1499"/>
      <c r="BK27" s="1167"/>
      <c r="BL27" s="1042"/>
      <c r="BM27" s="154"/>
      <c r="BN27" s="10"/>
      <c r="BO27" s="1515"/>
      <c r="BP27" s="1515"/>
      <c r="BQ27" s="1515"/>
      <c r="BR27" s="1515"/>
      <c r="BS27" s="1515"/>
      <c r="BT27" s="1037"/>
      <c r="BU27" s="1164"/>
    </row>
    <row r="28" spans="1:73" s="3" customFormat="1" ht="10.5" hidden="1" customHeight="1" outlineLevel="1">
      <c r="A28" s="956"/>
      <c r="B28" s="61"/>
      <c r="C28" s="61"/>
      <c r="D28" s="421"/>
      <c r="E28" s="115"/>
      <c r="F28" s="315"/>
      <c r="G28" s="61"/>
      <c r="H28" s="975"/>
      <c r="I28" s="975"/>
      <c r="J28" s="1424"/>
      <c r="K28" s="1430"/>
      <c r="L28" s="1430"/>
      <c r="M28" s="1059"/>
      <c r="N28" s="61"/>
      <c r="O28" s="1439"/>
      <c r="P28" s="12"/>
      <c r="Q28" s="12"/>
      <c r="R28" s="1469"/>
      <c r="S28" s="975"/>
      <c r="T28" s="1059"/>
      <c r="U28" s="12"/>
      <c r="V28" s="12"/>
      <c r="W28" s="65"/>
      <c r="X28" s="154"/>
      <c r="Y28" s="154"/>
      <c r="Z28" s="1483"/>
      <c r="AA28" s="65"/>
      <c r="AB28" s="1037"/>
      <c r="AC28" s="1037"/>
      <c r="AD28" s="1037"/>
      <c r="AE28" s="1037"/>
      <c r="AF28" s="1037"/>
      <c r="AG28" s="1501"/>
      <c r="AH28" s="1483"/>
      <c r="AI28" s="1499"/>
      <c r="AJ28" s="1162"/>
      <c r="AK28" s="1162"/>
      <c r="AL28" s="1499"/>
      <c r="AM28" s="1162"/>
      <c r="AN28" s="154"/>
      <c r="AO28" s="1036"/>
      <c r="AP28" s="1483"/>
      <c r="AQ28" s="1037"/>
      <c r="AR28" s="154"/>
      <c r="AS28" s="1023"/>
      <c r="AT28" s="1483"/>
      <c r="AU28" s="1162"/>
      <c r="AV28" s="1162"/>
      <c r="AW28" s="1162"/>
      <c r="AX28" s="1162"/>
      <c r="AY28" s="1162"/>
      <c r="AZ28" s="154"/>
      <c r="BA28" s="1023"/>
      <c r="BB28" s="1483"/>
      <c r="BC28" s="1162"/>
      <c r="BD28" s="154"/>
      <c r="BE28" s="534"/>
      <c r="BF28" s="1483"/>
      <c r="BG28" s="154"/>
      <c r="BH28" s="144"/>
      <c r="BI28" s="1037"/>
      <c r="BJ28" s="1499"/>
      <c r="BK28" s="1167"/>
      <c r="BL28" s="1042"/>
      <c r="BM28" s="154"/>
      <c r="BN28" s="10"/>
      <c r="BO28" s="154"/>
      <c r="BP28" s="154"/>
      <c r="BQ28" s="154"/>
      <c r="BR28" s="154"/>
      <c r="BS28" s="154"/>
      <c r="BT28" s="154"/>
      <c r="BU28" s="154"/>
    </row>
    <row r="29" spans="1:73" s="3" customFormat="1" hidden="1" outlineLevel="1">
      <c r="A29" s="956"/>
      <c r="B29" s="965" t="s">
        <v>422</v>
      </c>
      <c r="C29" s="61"/>
      <c r="D29" s="421"/>
      <c r="E29" s="115"/>
      <c r="F29" s="315"/>
      <c r="G29" s="61"/>
      <c r="H29" s="61"/>
      <c r="I29" s="61"/>
      <c r="J29" s="591"/>
      <c r="K29" s="65"/>
      <c r="L29" s="65"/>
      <c r="M29" s="61"/>
      <c r="N29" s="61"/>
      <c r="O29" s="315"/>
      <c r="P29" s="65"/>
      <c r="Q29" s="65"/>
      <c r="R29" s="115"/>
      <c r="S29" s="61"/>
      <c r="T29" s="61"/>
      <c r="U29" s="65"/>
      <c r="V29" s="65"/>
      <c r="W29" s="12"/>
      <c r="X29" s="154"/>
      <c r="Y29" s="154"/>
      <c r="Z29" s="1483"/>
      <c r="AA29" s="12"/>
      <c r="AB29" s="1037"/>
      <c r="AC29" s="1037"/>
      <c r="AD29" s="1037"/>
      <c r="AE29" s="1037"/>
      <c r="AF29" s="1037"/>
      <c r="AG29" s="1498"/>
      <c r="AH29" s="1483"/>
      <c r="AI29" s="1483"/>
      <c r="AJ29" s="1162"/>
      <c r="AK29" s="1162"/>
      <c r="AL29" s="1499"/>
      <c r="AM29" s="1162"/>
      <c r="AN29" s="154"/>
      <c r="AO29" s="154"/>
      <c r="AP29" s="1483"/>
      <c r="AQ29" s="1037"/>
      <c r="AR29" s="154"/>
      <c r="AS29" s="154"/>
      <c r="AT29" s="115"/>
      <c r="AU29" s="154"/>
      <c r="AV29" s="154"/>
      <c r="AW29" s="154"/>
      <c r="AX29" s="154"/>
      <c r="AY29" s="154"/>
      <c r="AZ29" s="154"/>
      <c r="BA29" s="154"/>
      <c r="BB29" s="115"/>
      <c r="BC29" s="154"/>
      <c r="BD29" s="154"/>
      <c r="BE29" s="154"/>
      <c r="BF29" s="115"/>
      <c r="BG29" s="154"/>
      <c r="BH29" s="154"/>
      <c r="BI29" s="154"/>
      <c r="BJ29" s="115"/>
      <c r="BK29" s="1168"/>
      <c r="BL29" s="1042"/>
      <c r="BM29" s="154"/>
      <c r="BN29" s="10"/>
      <c r="BO29" s="1516"/>
      <c r="BP29" s="1516"/>
      <c r="BQ29" s="1516"/>
      <c r="BR29" s="1516"/>
      <c r="BS29" s="1516"/>
      <c r="BT29" s="1516"/>
      <c r="BU29" s="1171"/>
    </row>
    <row r="30" spans="1:73" s="3" customFormat="1" ht="10.5" hidden="1" customHeight="1" outlineLevel="1">
      <c r="A30" s="956" t="s">
        <v>457</v>
      </c>
      <c r="B30" s="3" t="s">
        <v>63</v>
      </c>
      <c r="C30" s="61"/>
      <c r="D30" s="1173"/>
      <c r="E30" s="1401"/>
      <c r="F30" s="1444"/>
      <c r="G30" s="192">
        <f>'qtrP&amp;L'!BJ10</f>
        <v>0.6</v>
      </c>
      <c r="H30" s="1000"/>
      <c r="I30" s="1000"/>
      <c r="J30" s="1053"/>
      <c r="K30" s="66"/>
      <c r="L30" s="66"/>
      <c r="M30" s="969"/>
      <c r="N30" s="969">
        <v>5.55</v>
      </c>
      <c r="O30" s="1441">
        <v>12.55</v>
      </c>
      <c r="P30" s="1396"/>
      <c r="Q30" s="1396"/>
      <c r="R30" s="1471"/>
      <c r="S30" s="1000"/>
      <c r="T30" s="969">
        <v>136.9</v>
      </c>
      <c r="U30" s="12">
        <v>21.877392589427224</v>
      </c>
      <c r="V30" s="12">
        <v>12</v>
      </c>
      <c r="W30" s="12"/>
      <c r="X30" s="1023"/>
      <c r="Y30" s="154"/>
      <c r="Z30" s="1483"/>
      <c r="AA30" s="12"/>
      <c r="AB30" s="1037"/>
      <c r="AC30" s="1037"/>
      <c r="AD30" s="1037"/>
      <c r="AE30" s="1037"/>
      <c r="AF30" s="1037"/>
      <c r="AG30" s="1403"/>
      <c r="AH30" s="1483"/>
      <c r="AI30" s="1499"/>
      <c r="AJ30" s="1162"/>
      <c r="AK30" s="1162"/>
      <c r="AL30" s="1499"/>
      <c r="AM30" s="1162"/>
      <c r="AN30" s="154"/>
      <c r="AO30" s="1036"/>
      <c r="AP30" s="1483"/>
      <c r="AQ30" s="1037"/>
      <c r="AR30" s="154"/>
      <c r="AS30" s="1027"/>
      <c r="AT30" s="1483"/>
      <c r="AU30" s="1162"/>
      <c r="AV30" s="1162"/>
      <c r="AW30" s="1162"/>
      <c r="AX30" s="1162"/>
      <c r="AY30" s="1162"/>
      <c r="AZ30" s="154"/>
      <c r="BA30" s="1027"/>
      <c r="BB30" s="1483"/>
      <c r="BC30" s="1162"/>
      <c r="BD30" s="154"/>
      <c r="BE30" s="1027"/>
      <c r="BF30" s="1483"/>
      <c r="BG30" s="154"/>
      <c r="BH30" s="977"/>
      <c r="BI30" s="1037"/>
      <c r="BJ30" s="1499"/>
      <c r="BK30" s="1167"/>
      <c r="BL30" s="1042"/>
      <c r="BM30" s="154"/>
      <c r="BN30" s="10"/>
      <c r="BO30" s="1515"/>
      <c r="BP30" s="1515"/>
      <c r="BQ30" s="1515"/>
      <c r="BR30" s="1515"/>
      <c r="BS30" s="1515"/>
      <c r="BT30" s="1037"/>
      <c r="BU30" s="1164"/>
    </row>
    <row r="31" spans="1:73" s="3" customFormat="1" ht="10.5" hidden="1" customHeight="1" outlineLevel="1">
      <c r="A31" s="956" t="s">
        <v>458</v>
      </c>
      <c r="B31" s="3" t="s">
        <v>167</v>
      </c>
      <c r="C31" s="61"/>
      <c r="D31" s="1174"/>
      <c r="E31" s="1397"/>
      <c r="F31" s="1443"/>
      <c r="G31" s="192">
        <f>'qtrP&amp;L'!BJ11</f>
        <v>-13.2</v>
      </c>
      <c r="H31" s="1000"/>
      <c r="I31" s="1000"/>
      <c r="J31" s="1054"/>
      <c r="K31" s="1429"/>
      <c r="L31" s="1429"/>
      <c r="M31" s="135"/>
      <c r="N31" s="136">
        <v>12.5</v>
      </c>
      <c r="O31" s="1441">
        <v>19.5</v>
      </c>
      <c r="P31" s="1396"/>
      <c r="Q31" s="1396"/>
      <c r="R31" s="1471"/>
      <c r="S31" s="1000"/>
      <c r="T31" s="135">
        <v>191.285</v>
      </c>
      <c r="U31" s="1400">
        <v>15.370928829915552</v>
      </c>
      <c r="V31" s="12">
        <v>-1</v>
      </c>
      <c r="W31" s="12"/>
      <c r="X31" s="999"/>
      <c r="Y31" s="154"/>
      <c r="Z31" s="1483"/>
      <c r="AA31" s="12"/>
      <c r="AB31" s="1037"/>
      <c r="AC31" s="1037"/>
      <c r="AD31" s="1037"/>
      <c r="AE31" s="1037"/>
      <c r="AF31" s="1037"/>
      <c r="AG31" s="1500"/>
      <c r="AH31" s="1483"/>
      <c r="AI31" s="1499"/>
      <c r="AJ31" s="1162"/>
      <c r="AK31" s="1162"/>
      <c r="AL31" s="1499"/>
      <c r="AM31" s="1162"/>
      <c r="AN31" s="154"/>
      <c r="AO31" s="195"/>
      <c r="AP31" s="1483"/>
      <c r="AQ31" s="1037"/>
      <c r="AR31" s="154"/>
      <c r="AS31" s="1022"/>
      <c r="AT31" s="1483"/>
      <c r="AU31" s="1162"/>
      <c r="AV31" s="1162"/>
      <c r="AW31" s="1162"/>
      <c r="AX31" s="1162"/>
      <c r="AY31" s="1162"/>
      <c r="AZ31" s="154"/>
      <c r="BA31" s="1022"/>
      <c r="BB31" s="1483"/>
      <c r="BC31" s="1162"/>
      <c r="BD31" s="154"/>
      <c r="BE31" s="1022"/>
      <c r="BF31" s="1483"/>
      <c r="BG31" s="154"/>
      <c r="BH31" s="978"/>
      <c r="BI31" s="1037"/>
      <c r="BJ31" s="1499"/>
      <c r="BK31" s="1167"/>
      <c r="BL31" s="1042"/>
      <c r="BM31" s="154"/>
      <c r="BN31" s="10"/>
      <c r="BO31" s="1515"/>
      <c r="BP31" s="1515"/>
      <c r="BQ31" s="1515"/>
      <c r="BR31" s="1515"/>
      <c r="BS31" s="1515"/>
      <c r="BT31" s="1037"/>
      <c r="BU31" s="1164"/>
    </row>
    <row r="32" spans="1:73" s="3" customFormat="1" ht="10.5" hidden="1" customHeight="1" outlineLevel="1">
      <c r="A32" s="956" t="s">
        <v>459</v>
      </c>
      <c r="B32" s="3" t="s">
        <v>166</v>
      </c>
      <c r="C32" s="61"/>
      <c r="D32" s="1417"/>
      <c r="E32" s="1402"/>
      <c r="F32" s="1443"/>
      <c r="G32" s="192">
        <f>'qtrP&amp;L'!BJ12</f>
        <v>-4.2</v>
      </c>
      <c r="H32" s="1000"/>
      <c r="I32" s="1000"/>
      <c r="J32" s="1054"/>
      <c r="K32" s="1428"/>
      <c r="L32" s="1428"/>
      <c r="M32" s="136"/>
      <c r="N32" s="136">
        <v>12.5</v>
      </c>
      <c r="O32" s="1441"/>
      <c r="P32" s="1396"/>
      <c r="Q32" s="1396"/>
      <c r="R32" s="1471"/>
      <c r="S32" s="1000"/>
      <c r="T32" s="136">
        <v>177</v>
      </c>
      <c r="U32" s="12">
        <v>14.181025306901818</v>
      </c>
      <c r="V32" s="12">
        <v>1</v>
      </c>
      <c r="W32" s="92"/>
      <c r="X32" s="999"/>
      <c r="Y32" s="154"/>
      <c r="Z32" s="1483"/>
      <c r="AA32" s="92"/>
      <c r="AB32" s="1037"/>
      <c r="AC32" s="1037"/>
      <c r="AD32" s="1037"/>
      <c r="AE32" s="1037"/>
      <c r="AF32" s="1037"/>
      <c r="AG32" s="1500"/>
      <c r="AH32" s="1483"/>
      <c r="AI32" s="1499"/>
      <c r="AJ32" s="1162"/>
      <c r="AK32" s="1162"/>
      <c r="AL32" s="1499"/>
      <c r="AM32" s="1162"/>
      <c r="AN32" s="154"/>
      <c r="AO32" s="195"/>
      <c r="AP32" s="1483"/>
      <c r="AQ32" s="1037"/>
      <c r="AR32" s="154"/>
      <c r="AS32" s="1022"/>
      <c r="AT32" s="1483"/>
      <c r="AU32" s="1162"/>
      <c r="AV32" s="1162"/>
      <c r="AW32" s="1162"/>
      <c r="AX32" s="1162"/>
      <c r="AY32" s="1162"/>
      <c r="AZ32" s="154"/>
      <c r="BA32" s="1022"/>
      <c r="BB32" s="1483"/>
      <c r="BC32" s="1162"/>
      <c r="BD32" s="154"/>
      <c r="BE32" s="1022"/>
      <c r="BF32" s="1483"/>
      <c r="BG32" s="154"/>
      <c r="BH32" s="978"/>
      <c r="BI32" s="1037"/>
      <c r="BJ32" s="1499"/>
      <c r="BK32" s="1167"/>
      <c r="BL32" s="1042"/>
      <c r="BM32" s="1163"/>
      <c r="BN32" s="10"/>
      <c r="BO32" s="1515"/>
      <c r="BP32" s="1515"/>
      <c r="BQ32" s="1515"/>
      <c r="BR32" s="1515"/>
      <c r="BS32" s="1515"/>
      <c r="BT32" s="718"/>
      <c r="BU32" s="718"/>
    </row>
    <row r="33" spans="1:76" s="3" customFormat="1" ht="10.5" hidden="1" customHeight="1" outlineLevel="1">
      <c r="A33" s="956" t="s">
        <v>460</v>
      </c>
      <c r="B33" s="3" t="s">
        <v>62</v>
      </c>
      <c r="C33" s="61"/>
      <c r="D33" s="1174"/>
      <c r="E33" s="1397"/>
      <c r="F33" s="1443"/>
      <c r="G33" s="193">
        <f>'qtrP&amp;L'!BJ13</f>
        <v>-6.1</v>
      </c>
      <c r="H33" s="1000"/>
      <c r="I33" s="1000"/>
      <c r="J33" s="1425"/>
      <c r="K33" s="1431"/>
      <c r="L33" s="1431"/>
      <c r="M33" s="1024"/>
      <c r="N33" s="138">
        <v>14.4</v>
      </c>
      <c r="O33" s="1441"/>
      <c r="P33" s="1396"/>
      <c r="Q33" s="1396"/>
      <c r="R33" s="1471"/>
      <c r="S33" s="1000"/>
      <c r="T33" s="1024">
        <v>157</v>
      </c>
      <c r="U33" s="1396">
        <v>-8.9221487411532792</v>
      </c>
      <c r="V33" s="12">
        <v>-10</v>
      </c>
      <c r="W33" s="1399"/>
      <c r="X33" s="999"/>
      <c r="Y33" s="154"/>
      <c r="Z33" s="1483"/>
      <c r="AA33" s="1399"/>
      <c r="AB33" s="1037"/>
      <c r="AC33" s="1037"/>
      <c r="AD33" s="1037"/>
      <c r="AE33" s="1037"/>
      <c r="AF33" s="1037"/>
      <c r="AG33" s="1500"/>
      <c r="AH33" s="1483"/>
      <c r="AI33" s="1499"/>
      <c r="AJ33" s="1162"/>
      <c r="AK33" s="1162"/>
      <c r="AL33" s="1499"/>
      <c r="AM33" s="1162"/>
      <c r="AN33" s="154"/>
      <c r="AO33" s="195"/>
      <c r="AP33" s="1483"/>
      <c r="AQ33" s="1037"/>
      <c r="AR33" s="154"/>
      <c r="AS33" s="999"/>
      <c r="AT33" s="1483"/>
      <c r="AU33" s="1162"/>
      <c r="AV33" s="1162"/>
      <c r="AW33" s="1162"/>
      <c r="AX33" s="1162"/>
      <c r="AY33" s="1162"/>
      <c r="AZ33" s="154"/>
      <c r="BA33" s="999"/>
      <c r="BB33" s="1483"/>
      <c r="BC33" s="1162"/>
      <c r="BD33" s="154"/>
      <c r="BE33" s="999"/>
      <c r="BF33" s="1483"/>
      <c r="BG33" s="154"/>
      <c r="BH33" s="978"/>
      <c r="BI33" s="1037"/>
      <c r="BJ33" s="1499"/>
      <c r="BK33" s="1167"/>
      <c r="BL33" s="1042"/>
      <c r="BM33" s="1163"/>
      <c r="BN33" s="10"/>
      <c r="BO33" s="1515"/>
      <c r="BP33" s="1515"/>
      <c r="BQ33" s="1515"/>
      <c r="BR33" s="1515"/>
      <c r="BS33" s="1515"/>
      <c r="BT33" s="718"/>
      <c r="BU33" s="718"/>
      <c r="BV33" s="10"/>
      <c r="BW33" s="10"/>
      <c r="BX33" s="56"/>
    </row>
    <row r="34" spans="1:76" s="3" customFormat="1" ht="10.5" hidden="1" customHeight="1" outlineLevel="1">
      <c r="A34" s="956"/>
      <c r="B34" s="61" t="s">
        <v>461</v>
      </c>
      <c r="C34" s="61"/>
      <c r="D34" s="1173"/>
      <c r="E34" s="1401"/>
      <c r="F34" s="1390"/>
      <c r="G34" s="192">
        <f>'qtrP&amp;L'!BJ14</f>
        <v>-6.8</v>
      </c>
      <c r="H34" s="1060"/>
      <c r="I34" s="1060"/>
      <c r="J34" s="1049"/>
      <c r="K34" s="74"/>
      <c r="L34" s="74"/>
      <c r="M34" s="966"/>
      <c r="N34" s="966">
        <v>44.95</v>
      </c>
      <c r="O34" s="1392">
        <v>1.3914392589556684E-2</v>
      </c>
      <c r="P34" s="1436"/>
      <c r="Q34" s="1436"/>
      <c r="R34" s="1472"/>
      <c r="S34" s="1060"/>
      <c r="T34" s="966">
        <v>662.18499999999995</v>
      </c>
      <c r="U34" s="12">
        <v>9.3575305975165168</v>
      </c>
      <c r="V34" s="12">
        <v>0</v>
      </c>
      <c r="W34" s="1404">
        <v>20.498113586019116</v>
      </c>
      <c r="X34" s="1037"/>
      <c r="Y34" s="154"/>
      <c r="Z34" s="1483"/>
      <c r="AA34" s="1404">
        <v>20.498113586019116</v>
      </c>
      <c r="AB34" s="1037"/>
      <c r="AC34" s="1037"/>
      <c r="AD34" s="1037"/>
      <c r="AE34" s="1037"/>
      <c r="AF34" s="1037"/>
      <c r="AG34" s="1403"/>
      <c r="AH34" s="1483"/>
      <c r="AI34" s="1499"/>
      <c r="AJ34" s="1162"/>
      <c r="AK34" s="1162"/>
      <c r="AL34" s="1499"/>
      <c r="AM34" s="1162"/>
      <c r="AN34" s="154"/>
      <c r="AO34" s="1036"/>
      <c r="AP34" s="1483"/>
      <c r="AQ34" s="1037"/>
      <c r="AR34" s="154"/>
      <c r="AS34" s="1027"/>
      <c r="AT34" s="1483"/>
      <c r="AU34" s="1162"/>
      <c r="AV34" s="1162"/>
      <c r="AW34" s="1162"/>
      <c r="AX34" s="1162"/>
      <c r="AY34" s="1162"/>
      <c r="AZ34" s="154"/>
      <c r="BA34" s="1027"/>
      <c r="BB34" s="1483"/>
      <c r="BC34" s="1162"/>
      <c r="BD34" s="154"/>
      <c r="BE34" s="1027"/>
      <c r="BF34" s="1483"/>
      <c r="BG34" s="154"/>
      <c r="BH34" s="144"/>
      <c r="BI34" s="1037"/>
      <c r="BJ34" s="1499"/>
      <c r="BK34" s="1167"/>
      <c r="BL34" s="1042"/>
      <c r="BM34" s="1163"/>
      <c r="BN34" s="10"/>
      <c r="BO34" s="1037"/>
      <c r="BP34" s="1037"/>
      <c r="BQ34" s="1037"/>
      <c r="BR34" s="1037"/>
      <c r="BS34" s="1037"/>
      <c r="BT34" s="1037"/>
      <c r="BU34" s="1164"/>
      <c r="BV34" s="10"/>
      <c r="BW34" s="10"/>
      <c r="BX34" s="56"/>
    </row>
    <row r="35" spans="1:76" s="3" customFormat="1" ht="10.5" hidden="1" customHeight="1" outlineLevel="1">
      <c r="A35" s="956"/>
      <c r="B35" s="61"/>
      <c r="C35" s="61"/>
      <c r="D35" s="1173"/>
      <c r="E35" s="1403"/>
      <c r="F35" s="315"/>
      <c r="G35" s="61"/>
      <c r="H35" s="975"/>
      <c r="I35" s="975"/>
      <c r="J35" s="1426"/>
      <c r="K35" s="554"/>
      <c r="L35" s="554"/>
      <c r="M35" s="1061"/>
      <c r="N35" s="61"/>
      <c r="O35" s="1439"/>
      <c r="P35" s="12"/>
      <c r="Q35" s="12"/>
      <c r="R35" s="1469"/>
      <c r="S35" s="975"/>
      <c r="T35" s="1061"/>
      <c r="U35" s="12"/>
      <c r="V35" s="12"/>
      <c r="W35" s="65"/>
      <c r="X35" s="154"/>
      <c r="Y35" s="154"/>
      <c r="Z35" s="1483"/>
      <c r="AA35" s="65"/>
      <c r="AB35" s="1037"/>
      <c r="AC35" s="1037"/>
      <c r="AD35" s="1037"/>
      <c r="AE35" s="1037"/>
      <c r="AF35" s="1037"/>
      <c r="AG35" s="1403"/>
      <c r="AH35" s="1483"/>
      <c r="AI35" s="1499"/>
      <c r="AJ35" s="1162"/>
      <c r="AK35" s="1162"/>
      <c r="AL35" s="1499"/>
      <c r="AM35" s="1162"/>
      <c r="AN35" s="154"/>
      <c r="AO35" s="1036"/>
      <c r="AP35" s="1483"/>
      <c r="AQ35" s="1037"/>
      <c r="AR35" s="154"/>
      <c r="AS35" s="1023"/>
      <c r="AT35" s="1483"/>
      <c r="AU35" s="1162"/>
      <c r="AV35" s="1162"/>
      <c r="AW35" s="1162"/>
      <c r="AX35" s="1162"/>
      <c r="AY35" s="1162"/>
      <c r="AZ35" s="154"/>
      <c r="BA35" s="1023"/>
      <c r="BB35" s="1483"/>
      <c r="BC35" s="1162"/>
      <c r="BD35" s="154"/>
      <c r="BE35" s="534"/>
      <c r="BF35" s="1499"/>
      <c r="BG35" s="154"/>
      <c r="BH35" s="144"/>
      <c r="BI35" s="1037"/>
      <c r="BJ35" s="1499"/>
      <c r="BK35" s="1167"/>
      <c r="BL35" s="1042"/>
      <c r="BM35" s="154"/>
      <c r="BN35" s="10"/>
      <c r="BO35" s="154"/>
      <c r="BP35" s="154"/>
      <c r="BQ35" s="154"/>
      <c r="BR35" s="154"/>
      <c r="BS35" s="154"/>
      <c r="BT35" s="154"/>
      <c r="BU35" s="154"/>
      <c r="BV35" s="10"/>
      <c r="BW35" s="10"/>
      <c r="BX35" s="56"/>
    </row>
    <row r="36" spans="1:76" s="3" customFormat="1" hidden="1" outlineLevel="1">
      <c r="A36" s="956"/>
      <c r="B36" s="965" t="s">
        <v>118</v>
      </c>
      <c r="C36" s="61"/>
      <c r="D36" s="421"/>
      <c r="E36" s="115"/>
      <c r="F36" s="315"/>
      <c r="G36" s="61"/>
      <c r="H36" s="61"/>
      <c r="I36" s="61"/>
      <c r="J36" s="591"/>
      <c r="K36" s="65"/>
      <c r="L36" s="65"/>
      <c r="M36" s="61"/>
      <c r="N36" s="61"/>
      <c r="O36" s="315"/>
      <c r="P36" s="65"/>
      <c r="Q36" s="65"/>
      <c r="R36" s="115"/>
      <c r="S36" s="61"/>
      <c r="T36" s="61"/>
      <c r="U36" s="65"/>
      <c r="V36" s="65"/>
      <c r="W36" s="12"/>
      <c r="X36" s="154"/>
      <c r="Y36" s="154"/>
      <c r="Z36" s="1483"/>
      <c r="AA36" s="12"/>
      <c r="AB36" s="1037"/>
      <c r="AC36" s="1037"/>
      <c r="AD36" s="1037"/>
      <c r="AE36" s="1037"/>
      <c r="AF36" s="1037"/>
      <c r="AG36" s="1498"/>
      <c r="AH36" s="1483"/>
      <c r="AI36" s="1483"/>
      <c r="AJ36" s="1162"/>
      <c r="AK36" s="1162"/>
      <c r="AL36" s="1499"/>
      <c r="AM36" s="1162"/>
      <c r="AN36" s="154"/>
      <c r="AO36" s="154"/>
      <c r="AP36" s="1483"/>
      <c r="AQ36" s="1037"/>
      <c r="AR36" s="154"/>
      <c r="AS36" s="154"/>
      <c r="AT36" s="115"/>
      <c r="AU36" s="154"/>
      <c r="AV36" s="154"/>
      <c r="AW36" s="154"/>
      <c r="AX36" s="154"/>
      <c r="AY36" s="154"/>
      <c r="AZ36" s="154"/>
      <c r="BA36" s="154"/>
      <c r="BB36" s="115"/>
      <c r="BC36" s="154"/>
      <c r="BD36" s="154"/>
      <c r="BE36" s="154"/>
      <c r="BF36" s="115"/>
      <c r="BG36" s="154"/>
      <c r="BH36" s="154"/>
      <c r="BI36" s="154"/>
      <c r="BJ36" s="115"/>
      <c r="BK36" s="1168"/>
      <c r="BL36" s="1042"/>
      <c r="BM36" s="154"/>
      <c r="BN36" s="10"/>
      <c r="BO36" s="1516"/>
      <c r="BP36" s="1516"/>
      <c r="BQ36" s="1516"/>
      <c r="BR36" s="1516"/>
      <c r="BS36" s="1516"/>
      <c r="BT36" s="1516"/>
      <c r="BU36" s="1171"/>
      <c r="BV36" s="10"/>
      <c r="BW36" s="10"/>
      <c r="BX36" s="56"/>
    </row>
    <row r="37" spans="1:76" s="3" customFormat="1" ht="10.5" hidden="1" customHeight="1" outlineLevel="1">
      <c r="A37" s="956" t="s">
        <v>457</v>
      </c>
      <c r="B37" s="3" t="s">
        <v>63</v>
      </c>
      <c r="C37" s="61"/>
      <c r="D37" s="1173"/>
      <c r="E37" s="1401"/>
      <c r="F37" s="1444"/>
      <c r="G37" s="192">
        <f>'qtrP&amp;L'!BN10</f>
        <v>-1.1000000000000001</v>
      </c>
      <c r="H37" s="975"/>
      <c r="I37" s="975"/>
      <c r="J37" s="1053"/>
      <c r="K37" s="66"/>
      <c r="L37" s="66"/>
      <c r="M37" s="969"/>
      <c r="N37" s="969">
        <v>18.5</v>
      </c>
      <c r="O37" s="1439">
        <v>233.33333333333334</v>
      </c>
      <c r="P37" s="12"/>
      <c r="Q37" s="12"/>
      <c r="R37" s="1469">
        <v>2.4296166327614759</v>
      </c>
      <c r="S37" s="975"/>
      <c r="T37" s="969">
        <v>152.19999999999999</v>
      </c>
      <c r="U37" s="12">
        <v>11.176040905770623</v>
      </c>
      <c r="V37" s="12">
        <v>-3</v>
      </c>
      <c r="W37" s="12"/>
      <c r="X37" s="1023"/>
      <c r="Y37" s="154"/>
      <c r="Z37" s="1483"/>
      <c r="AA37" s="12"/>
      <c r="AB37" s="1037"/>
      <c r="AC37" s="1037"/>
      <c r="AD37" s="1037"/>
      <c r="AE37" s="1037"/>
      <c r="AF37" s="1037"/>
      <c r="AG37" s="1403"/>
      <c r="AH37" s="1483"/>
      <c r="AI37" s="1499"/>
      <c r="AJ37" s="1162"/>
      <c r="AK37" s="1162"/>
      <c r="AL37" s="1499"/>
      <c r="AM37" s="1162"/>
      <c r="AN37" s="154"/>
      <c r="AO37" s="1036"/>
      <c r="AP37" s="1483"/>
      <c r="AQ37" s="1037"/>
      <c r="AR37" s="154"/>
      <c r="AS37" s="1027"/>
      <c r="AT37" s="1483"/>
      <c r="AU37" s="1162"/>
      <c r="AV37" s="1162"/>
      <c r="AW37" s="1162"/>
      <c r="AX37" s="1162"/>
      <c r="AY37" s="1162"/>
      <c r="AZ37" s="154"/>
      <c r="BA37" s="1027"/>
      <c r="BB37" s="1483"/>
      <c r="BC37" s="1162"/>
      <c r="BD37" s="154"/>
      <c r="BE37" s="1027"/>
      <c r="BF37" s="1483"/>
      <c r="BG37" s="154"/>
      <c r="BH37" s="977"/>
      <c r="BI37" s="1037"/>
      <c r="BJ37" s="1499"/>
      <c r="BK37" s="1167"/>
      <c r="BL37" s="1042"/>
      <c r="BM37" s="154"/>
      <c r="BN37" s="10"/>
      <c r="BO37" s="1515"/>
      <c r="BP37" s="1515"/>
      <c r="BQ37" s="1515"/>
      <c r="BR37" s="1515"/>
      <c r="BS37" s="1515"/>
      <c r="BT37" s="718"/>
      <c r="BU37" s="718"/>
      <c r="BV37" s="10"/>
      <c r="BW37" s="10"/>
      <c r="BX37" s="56"/>
    </row>
    <row r="38" spans="1:76" s="3" customFormat="1" ht="10.5" hidden="1" customHeight="1" outlineLevel="1">
      <c r="A38" s="956" t="s">
        <v>458</v>
      </c>
      <c r="B38" s="3" t="s">
        <v>167</v>
      </c>
      <c r="C38" s="61"/>
      <c r="D38" s="1174"/>
      <c r="E38" s="1397"/>
      <c r="F38" s="1443"/>
      <c r="G38" s="192">
        <f>'qtrP&amp;L'!BN11</f>
        <v>3.2</v>
      </c>
      <c r="H38" s="975"/>
      <c r="I38" s="975"/>
      <c r="J38" s="1054"/>
      <c r="K38" s="1428"/>
      <c r="L38" s="1428"/>
      <c r="M38" s="136"/>
      <c r="N38" s="136">
        <v>26</v>
      </c>
      <c r="O38" s="1439">
        <v>108</v>
      </c>
      <c r="P38" s="12"/>
      <c r="Q38" s="12"/>
      <c r="R38" s="1469">
        <v>2.4413030924737442</v>
      </c>
      <c r="S38" s="975"/>
      <c r="T38" s="136">
        <v>204.1</v>
      </c>
      <c r="U38" s="12">
        <v>6.6994275557414218</v>
      </c>
      <c r="V38" s="12">
        <v>-2</v>
      </c>
      <c r="W38" s="12"/>
      <c r="X38" s="999"/>
      <c r="Y38" s="154"/>
      <c r="Z38" s="1483"/>
      <c r="AA38" s="12"/>
      <c r="AB38" s="1037"/>
      <c r="AC38" s="1037"/>
      <c r="AD38" s="1037"/>
      <c r="AE38" s="1037"/>
      <c r="AF38" s="1037"/>
      <c r="AG38" s="1500"/>
      <c r="AH38" s="1483"/>
      <c r="AI38" s="1499"/>
      <c r="AJ38" s="1162"/>
      <c r="AK38" s="1162"/>
      <c r="AL38" s="1499"/>
      <c r="AM38" s="1162"/>
      <c r="AN38" s="154"/>
      <c r="AO38" s="195"/>
      <c r="AP38" s="1483"/>
      <c r="AQ38" s="1037"/>
      <c r="AR38" s="154"/>
      <c r="AS38" s="1022"/>
      <c r="AT38" s="1483"/>
      <c r="AU38" s="1162"/>
      <c r="AV38" s="1162"/>
      <c r="AW38" s="1162"/>
      <c r="AX38" s="1162"/>
      <c r="AY38" s="1162"/>
      <c r="AZ38" s="154"/>
      <c r="BA38" s="1022"/>
      <c r="BB38" s="1483"/>
      <c r="BC38" s="1162"/>
      <c r="BD38" s="154"/>
      <c r="BE38" s="1022"/>
      <c r="BF38" s="1483"/>
      <c r="BG38" s="154"/>
      <c r="BH38" s="978"/>
      <c r="BI38" s="1037"/>
      <c r="BJ38" s="1499"/>
      <c r="BK38" s="1167"/>
      <c r="BL38" s="1042"/>
      <c r="BM38" s="154"/>
      <c r="BN38" s="10"/>
      <c r="BO38" s="1515"/>
      <c r="BP38" s="1515"/>
      <c r="BQ38" s="1515"/>
      <c r="BR38" s="1515"/>
      <c r="BS38" s="1515"/>
      <c r="BT38" s="718"/>
      <c r="BU38" s="718"/>
      <c r="BV38" s="10"/>
      <c r="BW38" s="10"/>
      <c r="BX38" s="56"/>
    </row>
    <row r="39" spans="1:76" s="3" customFormat="1" ht="10.5" hidden="1" customHeight="1" outlineLevel="1">
      <c r="A39" s="956" t="s">
        <v>459</v>
      </c>
      <c r="B39" s="3" t="s">
        <v>166</v>
      </c>
      <c r="C39" s="61"/>
      <c r="D39" s="1174"/>
      <c r="E39" s="1397"/>
      <c r="F39" s="1443"/>
      <c r="G39" s="192">
        <f>'qtrP&amp;L'!BN12</f>
        <v>5.0999999999999996</v>
      </c>
      <c r="H39" s="975"/>
      <c r="I39" s="975"/>
      <c r="J39" s="1054"/>
      <c r="K39" s="1428"/>
      <c r="L39" s="1428"/>
      <c r="M39" s="136"/>
      <c r="N39" s="136">
        <v>32</v>
      </c>
      <c r="O39" s="1439">
        <v>156</v>
      </c>
      <c r="P39" s="12"/>
      <c r="Q39" s="12"/>
      <c r="R39" s="1469">
        <v>3.8523166267189457</v>
      </c>
      <c r="S39" s="975"/>
      <c r="T39" s="136">
        <v>180.4</v>
      </c>
      <c r="U39" s="12">
        <v>1.9209039548022666</v>
      </c>
      <c r="V39" s="12">
        <v>-1</v>
      </c>
      <c r="W39" s="92"/>
      <c r="X39" s="999"/>
      <c r="Y39" s="154"/>
      <c r="Z39" s="1483"/>
      <c r="AA39" s="92"/>
      <c r="AB39" s="1037"/>
      <c r="AC39" s="1037"/>
      <c r="AD39" s="1037"/>
      <c r="AE39" s="1037"/>
      <c r="AF39" s="1037"/>
      <c r="AG39" s="1500"/>
      <c r="AH39" s="1483"/>
      <c r="AI39" s="1499"/>
      <c r="AJ39" s="1162"/>
      <c r="AK39" s="1162"/>
      <c r="AL39" s="1499"/>
      <c r="AM39" s="1162"/>
      <c r="AN39" s="154"/>
      <c r="AO39" s="195"/>
      <c r="AP39" s="1483"/>
      <c r="AQ39" s="1037"/>
      <c r="AR39" s="154"/>
      <c r="AS39" s="1022"/>
      <c r="AT39" s="1483"/>
      <c r="AU39" s="1162"/>
      <c r="AV39" s="1162"/>
      <c r="AW39" s="1162"/>
      <c r="AX39" s="1162"/>
      <c r="AY39" s="1162"/>
      <c r="AZ39" s="154"/>
      <c r="BA39" s="1022"/>
      <c r="BB39" s="1483"/>
      <c r="BC39" s="1162"/>
      <c r="BD39" s="154"/>
      <c r="BE39" s="1022"/>
      <c r="BF39" s="1483"/>
      <c r="BG39" s="154"/>
      <c r="BH39" s="978"/>
      <c r="BI39" s="1037"/>
      <c r="BJ39" s="1499"/>
      <c r="BK39" s="1167"/>
      <c r="BL39" s="1042"/>
      <c r="BM39" s="154"/>
      <c r="BN39" s="10"/>
      <c r="BO39" s="1515"/>
      <c r="BP39" s="1515"/>
      <c r="BQ39" s="1515"/>
      <c r="BR39" s="1515"/>
      <c r="BS39" s="1515"/>
      <c r="BT39" s="718"/>
      <c r="BU39" s="718"/>
      <c r="BV39" s="10"/>
      <c r="BW39" s="10"/>
      <c r="BX39" s="56"/>
    </row>
    <row r="40" spans="1:76" s="3" customFormat="1" ht="10.5" hidden="1" customHeight="1" outlineLevel="1">
      <c r="A40" s="956" t="s">
        <v>460</v>
      </c>
      <c r="B40" s="3" t="s">
        <v>62</v>
      </c>
      <c r="C40" s="61"/>
      <c r="D40" s="1174"/>
      <c r="E40" s="1397"/>
      <c r="F40" s="1443"/>
      <c r="G40" s="193">
        <f>'qtrP&amp;L'!BN13</f>
        <v>6.3</v>
      </c>
      <c r="H40" s="975"/>
      <c r="I40" s="975"/>
      <c r="J40" s="1051"/>
      <c r="K40" s="1432"/>
      <c r="L40" s="1432"/>
      <c r="M40" s="972"/>
      <c r="N40" s="138">
        <v>31</v>
      </c>
      <c r="O40" s="1439">
        <v>115.27777777777777</v>
      </c>
      <c r="P40" s="12"/>
      <c r="Q40" s="12"/>
      <c r="R40" s="1469">
        <v>3.2613555666605287</v>
      </c>
      <c r="S40" s="975"/>
      <c r="T40" s="972">
        <v>177.3</v>
      </c>
      <c r="U40" s="12">
        <v>12.929936305732493</v>
      </c>
      <c r="V40" s="12">
        <v>6</v>
      </c>
      <c r="W40" s="1399"/>
      <c r="X40" s="999"/>
      <c r="Y40" s="154"/>
      <c r="Z40" s="1483"/>
      <c r="AA40" s="1399"/>
      <c r="AB40" s="1037"/>
      <c r="AC40" s="1037"/>
      <c r="AD40" s="1037"/>
      <c r="AE40" s="1037"/>
      <c r="AF40" s="1037"/>
      <c r="AG40" s="1500"/>
      <c r="AH40" s="1483"/>
      <c r="AI40" s="1499"/>
      <c r="AJ40" s="1162"/>
      <c r="AK40" s="1162"/>
      <c r="AL40" s="1499"/>
      <c r="AM40" s="1162"/>
      <c r="AN40" s="154"/>
      <c r="AO40" s="195"/>
      <c r="AP40" s="1483"/>
      <c r="AQ40" s="1037"/>
      <c r="AR40" s="154"/>
      <c r="AS40" s="999"/>
      <c r="AT40" s="1483"/>
      <c r="AU40" s="1162"/>
      <c r="AV40" s="1162"/>
      <c r="AW40" s="1162"/>
      <c r="AX40" s="1162"/>
      <c r="AY40" s="1162"/>
      <c r="AZ40" s="154"/>
      <c r="BA40" s="999"/>
      <c r="BB40" s="1483"/>
      <c r="BC40" s="1162"/>
      <c r="BD40" s="154"/>
      <c r="BE40" s="999"/>
      <c r="BF40" s="1483"/>
      <c r="BG40" s="154"/>
      <c r="BH40" s="978"/>
      <c r="BI40" s="1037"/>
      <c r="BJ40" s="1499"/>
      <c r="BK40" s="1167"/>
      <c r="BL40" s="1042"/>
      <c r="BM40" s="154"/>
      <c r="BN40" s="10"/>
      <c r="BO40" s="1515"/>
      <c r="BP40" s="1515"/>
      <c r="BQ40" s="1515"/>
      <c r="BR40" s="1515"/>
      <c r="BS40" s="1515"/>
      <c r="BT40" s="718"/>
      <c r="BU40" s="718"/>
      <c r="BV40" s="10"/>
      <c r="BW40" s="10"/>
      <c r="BX40" s="56"/>
    </row>
    <row r="41" spans="1:76" s="3" customFormat="1" ht="10.5" hidden="1" customHeight="1" outlineLevel="1">
      <c r="A41" s="956"/>
      <c r="B41" s="61" t="s">
        <v>461</v>
      </c>
      <c r="C41" s="61"/>
      <c r="D41" s="1173"/>
      <c r="E41" s="1401"/>
      <c r="F41" s="1390"/>
      <c r="G41" s="192">
        <f>'qtrP&amp;L'!BN14</f>
        <v>3.5</v>
      </c>
      <c r="H41" s="975"/>
      <c r="I41" s="975"/>
      <c r="J41" s="1053"/>
      <c r="K41" s="66"/>
      <c r="L41" s="66"/>
      <c r="M41" s="969"/>
      <c r="N41" s="966">
        <v>107.5</v>
      </c>
      <c r="O41" s="1439">
        <v>139.15461624026696</v>
      </c>
      <c r="P41" s="12"/>
      <c r="Q41" s="12"/>
      <c r="R41" s="1469">
        <v>2.9797906440671951</v>
      </c>
      <c r="S41" s="975"/>
      <c r="T41" s="969">
        <v>714</v>
      </c>
      <c r="U41" s="12">
        <v>7.8248525714113226</v>
      </c>
      <c r="V41" s="12">
        <v>0</v>
      </c>
      <c r="W41" s="1404">
        <v>19.791353673153278</v>
      </c>
      <c r="X41" s="1037"/>
      <c r="Y41" s="154"/>
      <c r="Z41" s="1483"/>
      <c r="AA41" s="1404">
        <v>19.791353673153278</v>
      </c>
      <c r="AB41" s="1037"/>
      <c r="AC41" s="1037"/>
      <c r="AD41" s="1037"/>
      <c r="AE41" s="1037"/>
      <c r="AF41" s="1037"/>
      <c r="AG41" s="1403"/>
      <c r="AH41" s="1483"/>
      <c r="AI41" s="1499"/>
      <c r="AJ41" s="1162"/>
      <c r="AK41" s="1162"/>
      <c r="AL41" s="1499"/>
      <c r="AM41" s="1162"/>
      <c r="AN41" s="154"/>
      <c r="AO41" s="1036"/>
      <c r="AP41" s="1483"/>
      <c r="AQ41" s="1037"/>
      <c r="AR41" s="154"/>
      <c r="AS41" s="1027"/>
      <c r="AT41" s="1483"/>
      <c r="AU41" s="1162"/>
      <c r="AV41" s="1162"/>
      <c r="AW41" s="1162"/>
      <c r="AX41" s="1162"/>
      <c r="AY41" s="1162"/>
      <c r="AZ41" s="154"/>
      <c r="BA41" s="1027"/>
      <c r="BB41" s="1483"/>
      <c r="BC41" s="1162"/>
      <c r="BD41" s="154"/>
      <c r="BE41" s="1027"/>
      <c r="BF41" s="1483"/>
      <c r="BG41" s="154"/>
      <c r="BH41" s="144"/>
      <c r="BI41" s="1037"/>
      <c r="BJ41" s="1499"/>
      <c r="BK41" s="1167"/>
      <c r="BL41" s="1042"/>
      <c r="BM41" s="154"/>
      <c r="BN41" s="10"/>
      <c r="BO41" s="1037"/>
      <c r="BP41" s="1037"/>
      <c r="BQ41" s="1037"/>
      <c r="BR41" s="1037"/>
      <c r="BS41" s="1037"/>
      <c r="BT41" s="1037"/>
      <c r="BU41" s="1164"/>
      <c r="BV41" s="10"/>
      <c r="BW41" s="10"/>
      <c r="BX41" s="56"/>
    </row>
    <row r="42" spans="1:76" s="3" customFormat="1" ht="10.5" hidden="1" customHeight="1" outlineLevel="1">
      <c r="A42" s="956"/>
      <c r="B42" s="61"/>
      <c r="C42" s="61"/>
      <c r="D42" s="421"/>
      <c r="E42" s="115"/>
      <c r="F42" s="315"/>
      <c r="G42" s="192"/>
      <c r="H42" s="975"/>
      <c r="I42" s="975"/>
      <c r="J42" s="1427"/>
      <c r="K42" s="1433"/>
      <c r="L42" s="1433"/>
      <c r="M42" s="1062"/>
      <c r="N42" s="89"/>
      <c r="O42" s="1439"/>
      <c r="P42" s="12"/>
      <c r="Q42" s="12"/>
      <c r="R42" s="1469"/>
      <c r="S42" s="975"/>
      <c r="T42" s="1062"/>
      <c r="U42" s="1465">
        <v>14</v>
      </c>
      <c r="V42" s="12"/>
      <c r="W42" s="65"/>
      <c r="X42" s="1037"/>
      <c r="Y42" s="154"/>
      <c r="Z42" s="1483"/>
      <c r="AA42" s="65"/>
      <c r="AB42" s="1037"/>
      <c r="AC42" s="1037"/>
      <c r="AD42" s="1037"/>
      <c r="AE42" s="1037"/>
      <c r="AF42" s="1037"/>
      <c r="AG42" s="1403"/>
      <c r="AH42" s="1483"/>
      <c r="AI42" s="1499"/>
      <c r="AJ42" s="1162"/>
      <c r="AK42" s="1162"/>
      <c r="AL42" s="1499"/>
      <c r="AM42" s="1162"/>
      <c r="AN42" s="154"/>
      <c r="AO42" s="1036"/>
      <c r="AP42" s="1483"/>
      <c r="AQ42" s="1037"/>
      <c r="AR42" s="154"/>
      <c r="AS42" s="1023"/>
      <c r="AT42" s="1483"/>
      <c r="AU42" s="1162"/>
      <c r="AV42" s="1162"/>
      <c r="AW42" s="1162"/>
      <c r="AX42" s="1162"/>
      <c r="AY42" s="1162"/>
      <c r="AZ42" s="154"/>
      <c r="BA42" s="1023"/>
      <c r="BB42" s="1483"/>
      <c r="BC42" s="1162"/>
      <c r="BD42" s="154"/>
      <c r="BE42" s="1023"/>
      <c r="BF42" s="1483"/>
      <c r="BG42" s="154"/>
      <c r="BH42" s="144"/>
      <c r="BI42" s="1037"/>
      <c r="BJ42" s="1499"/>
      <c r="BK42" s="1167"/>
      <c r="BL42" s="1042"/>
      <c r="BM42" s="154"/>
      <c r="BN42" s="10"/>
      <c r="BO42" s="154"/>
      <c r="BP42" s="154"/>
      <c r="BQ42" s="154"/>
      <c r="BR42" s="154"/>
      <c r="BS42" s="154"/>
      <c r="BT42" s="154"/>
      <c r="BU42" s="154"/>
      <c r="BV42" s="10"/>
      <c r="BW42" s="10"/>
      <c r="BX42" s="56"/>
    </row>
    <row r="43" spans="1:76" s="3" customFormat="1" hidden="1" outlineLevel="1">
      <c r="A43" s="956"/>
      <c r="B43" s="965" t="s">
        <v>314</v>
      </c>
      <c r="C43" s="61"/>
      <c r="D43" s="421"/>
      <c r="E43" s="115"/>
      <c r="F43" s="315"/>
      <c r="G43" s="192"/>
      <c r="H43" s="61"/>
      <c r="I43" s="61"/>
      <c r="J43" s="1032"/>
      <c r="K43" s="1434"/>
      <c r="L43" s="1434"/>
      <c r="M43" s="981"/>
      <c r="N43" s="61"/>
      <c r="O43" s="315"/>
      <c r="P43" s="65"/>
      <c r="Q43" s="65"/>
      <c r="R43" s="115"/>
      <c r="S43" s="61"/>
      <c r="T43" s="981"/>
      <c r="U43" s="65"/>
      <c r="V43" s="65"/>
      <c r="W43" s="12"/>
      <c r="X43" s="154"/>
      <c r="Y43" s="154"/>
      <c r="Z43" s="1483"/>
      <c r="AA43" s="12"/>
      <c r="AB43" s="1037"/>
      <c r="AC43" s="1037"/>
      <c r="AD43" s="1037"/>
      <c r="AE43" s="1037"/>
      <c r="AF43" s="1037"/>
      <c r="AG43" s="1498"/>
      <c r="AH43" s="1483"/>
      <c r="AI43" s="1483"/>
      <c r="AJ43" s="1162"/>
      <c r="AK43" s="1162"/>
      <c r="AL43" s="1499"/>
      <c r="AM43" s="1162"/>
      <c r="AN43" s="154"/>
      <c r="AO43" s="154"/>
      <c r="AP43" s="1483"/>
      <c r="AQ43" s="1037"/>
      <c r="AR43" s="154"/>
      <c r="AS43" s="154"/>
      <c r="AT43" s="115"/>
      <c r="AU43" s="154"/>
      <c r="AV43" s="154"/>
      <c r="AW43" s="154"/>
      <c r="AX43" s="154"/>
      <c r="AY43" s="154"/>
      <c r="AZ43" s="154"/>
      <c r="BA43" s="154"/>
      <c r="BB43" s="115"/>
      <c r="BC43" s="154"/>
      <c r="BD43" s="154"/>
      <c r="BE43" s="154"/>
      <c r="BF43" s="115"/>
      <c r="BG43" s="154"/>
      <c r="BH43" s="154"/>
      <c r="BI43" s="154"/>
      <c r="BJ43" s="115"/>
      <c r="BK43" s="1168"/>
      <c r="BL43" s="1042"/>
      <c r="BM43" s="154"/>
      <c r="BN43" s="10"/>
      <c r="BO43" s="1517"/>
      <c r="BP43" s="1517"/>
      <c r="BQ43" s="1517"/>
      <c r="BR43" s="1517"/>
      <c r="BS43" s="1517"/>
      <c r="BT43" s="1517"/>
      <c r="BU43" s="1172"/>
      <c r="BV43" s="10"/>
      <c r="BW43" s="10"/>
      <c r="BX43" s="56"/>
    </row>
    <row r="44" spans="1:76" s="3" customFormat="1" ht="10.5" hidden="1" customHeight="1" outlineLevel="1">
      <c r="A44" s="956" t="s">
        <v>457</v>
      </c>
      <c r="B44" s="3" t="s">
        <v>63</v>
      </c>
      <c r="C44" s="61"/>
      <c r="D44" s="421"/>
      <c r="E44" s="115"/>
      <c r="F44" s="1444"/>
      <c r="G44" s="1405">
        <f>'qtrP&amp;L'!BR10</f>
        <v>8.5</v>
      </c>
      <c r="H44" s="975"/>
      <c r="I44" s="975"/>
      <c r="J44" s="1053"/>
      <c r="K44" s="66"/>
      <c r="L44" s="66"/>
      <c r="M44" s="969"/>
      <c r="N44" s="966">
        <v>34</v>
      </c>
      <c r="O44" s="1439">
        <v>79.411764705882362</v>
      </c>
      <c r="P44" s="12"/>
      <c r="Q44" s="12"/>
      <c r="R44" s="1469">
        <f>(N44/'qtrP&amp;L'!BP10)*100</f>
        <v>3.7294237272518864</v>
      </c>
      <c r="S44" s="975"/>
      <c r="T44" s="983">
        <v>173.13</v>
      </c>
      <c r="U44" s="1400">
        <v>13.751642575558476</v>
      </c>
      <c r="V44" s="12">
        <v>3</v>
      </c>
      <c r="W44" s="1404">
        <f>(T44/'qtrP&amp;L'!BP10)*100</f>
        <v>18.990444997032917</v>
      </c>
      <c r="X44" s="1037"/>
      <c r="Y44" s="154"/>
      <c r="Z44" s="1483"/>
      <c r="AA44" s="1404">
        <f>(X44/'qtrP&amp;L'!BT10)*100</f>
        <v>0</v>
      </c>
      <c r="AB44" s="1037"/>
      <c r="AC44" s="1037"/>
      <c r="AD44" s="1037"/>
      <c r="AE44" s="1037"/>
      <c r="AF44" s="1037"/>
      <c r="AG44" s="1502"/>
      <c r="AH44" s="1503"/>
      <c r="AI44" s="1504"/>
      <c r="AJ44" s="1162"/>
      <c r="AK44" s="1162"/>
      <c r="AL44" s="1499"/>
      <c r="AM44" s="1162"/>
      <c r="AN44" s="154"/>
      <c r="AO44" s="1036"/>
      <c r="AP44" s="1483"/>
      <c r="AQ44" s="1037"/>
      <c r="AR44" s="154"/>
      <c r="AS44" s="1027"/>
      <c r="AT44" s="1483"/>
      <c r="AU44" s="1162"/>
      <c r="AV44" s="1162"/>
      <c r="AW44" s="1162"/>
      <c r="AX44" s="1162"/>
      <c r="AY44" s="1162"/>
      <c r="AZ44" s="154"/>
      <c r="BA44" s="1027"/>
      <c r="BB44" s="1483"/>
      <c r="BC44" s="1162"/>
      <c r="BD44" s="154"/>
      <c r="BE44" s="1027"/>
      <c r="BF44" s="1483"/>
      <c r="BG44" s="154"/>
      <c r="BH44" s="977"/>
      <c r="BI44" s="1037"/>
      <c r="BJ44" s="1499"/>
      <c r="BK44" s="1167"/>
      <c r="BL44" s="1042"/>
      <c r="BM44" s="154"/>
      <c r="BN44" s="10"/>
      <c r="BO44" s="1515"/>
      <c r="BP44" s="1515"/>
      <c r="BQ44" s="1515"/>
      <c r="BR44" s="1515"/>
      <c r="BS44" s="1515"/>
      <c r="BT44" s="718"/>
      <c r="BU44" s="718"/>
      <c r="BV44" s="10"/>
      <c r="BW44" s="10"/>
      <c r="BX44" s="56"/>
    </row>
    <row r="45" spans="1:76" s="3" customFormat="1" ht="10.5" hidden="1" customHeight="1" outlineLevel="1">
      <c r="A45" s="956" t="s">
        <v>458</v>
      </c>
      <c r="B45" s="3" t="s">
        <v>167</v>
      </c>
      <c r="C45" s="61"/>
      <c r="D45" s="1174"/>
      <c r="E45" s="1397"/>
      <c r="F45" s="1443"/>
      <c r="G45" s="1405">
        <f>'qtrP&amp;L'!BR11</f>
        <v>12.6</v>
      </c>
      <c r="H45" s="975"/>
      <c r="I45" s="975"/>
      <c r="J45" s="1050"/>
      <c r="K45" s="1399"/>
      <c r="L45" s="1399"/>
      <c r="M45" s="90"/>
      <c r="N45" s="192">
        <v>48</v>
      </c>
      <c r="O45" s="1439">
        <v>66.666666666666671</v>
      </c>
      <c r="P45" s="12"/>
      <c r="Q45" s="12"/>
      <c r="R45" s="1469">
        <f>(N45/'qtrP&amp;L'!BP11)*100</f>
        <v>3.7960958735646999</v>
      </c>
      <c r="S45" s="975"/>
      <c r="T45" s="1169">
        <v>221.4485</v>
      </c>
      <c r="U45" s="1400">
        <v>8.5</v>
      </c>
      <c r="V45" s="12">
        <v>0</v>
      </c>
      <c r="W45" s="1404">
        <f>(T45/'qtrP&amp;L'!BP11)*100</f>
        <v>17.513327855356092</v>
      </c>
      <c r="X45" s="1037"/>
      <c r="Y45" s="154"/>
      <c r="Z45" s="1483"/>
      <c r="AA45" s="1404">
        <f>(X45/'qtrP&amp;L'!BT11)*100</f>
        <v>0</v>
      </c>
      <c r="AB45" s="1037"/>
      <c r="AC45" s="1037"/>
      <c r="AD45" s="1037"/>
      <c r="AE45" s="1037"/>
      <c r="AF45" s="1037"/>
      <c r="AG45" s="1505"/>
      <c r="AH45" s="1503"/>
      <c r="AI45" s="1504"/>
      <c r="AJ45" s="1162"/>
      <c r="AK45" s="1162"/>
      <c r="AL45" s="1499"/>
      <c r="AM45" s="1162"/>
      <c r="AN45" s="154"/>
      <c r="AO45" s="195"/>
      <c r="AP45" s="1483"/>
      <c r="AQ45" s="1037"/>
      <c r="AR45" s="154"/>
      <c r="AS45" s="1022"/>
      <c r="AT45" s="1483"/>
      <c r="AU45" s="1162"/>
      <c r="AV45" s="1162"/>
      <c r="AW45" s="1162"/>
      <c r="AX45" s="1162"/>
      <c r="AY45" s="1162"/>
      <c r="AZ45" s="154"/>
      <c r="BA45" s="1022"/>
      <c r="BB45" s="1483"/>
      <c r="BC45" s="1162"/>
      <c r="BD45" s="154"/>
      <c r="BE45" s="1022"/>
      <c r="BF45" s="1483"/>
      <c r="BG45" s="154"/>
      <c r="BH45" s="978"/>
      <c r="BI45" s="1037"/>
      <c r="BJ45" s="1499"/>
      <c r="BK45" s="1167"/>
      <c r="BL45" s="1042"/>
      <c r="BM45" s="154"/>
      <c r="BN45" s="10"/>
      <c r="BO45" s="1515"/>
      <c r="BP45" s="1515"/>
      <c r="BQ45" s="1515"/>
      <c r="BR45" s="1515"/>
      <c r="BS45" s="1515"/>
      <c r="BT45" s="718"/>
      <c r="BU45" s="718"/>
      <c r="BV45" s="10"/>
      <c r="BW45" s="10"/>
      <c r="BX45" s="56"/>
    </row>
    <row r="46" spans="1:76" s="3" customFormat="1" ht="10.5" hidden="1" customHeight="1" outlineLevel="1">
      <c r="A46" s="956" t="s">
        <v>459</v>
      </c>
      <c r="B46" s="3" t="s">
        <v>166</v>
      </c>
      <c r="C46" s="61"/>
      <c r="D46" s="1174"/>
      <c r="E46" s="1397"/>
      <c r="F46" s="58"/>
      <c r="G46" s="1405">
        <f>'qtrP&amp;L'!BR12</f>
        <v>10.3</v>
      </c>
      <c r="H46" s="975"/>
      <c r="I46" s="975"/>
      <c r="J46" s="1050"/>
      <c r="K46" s="1399"/>
      <c r="L46" s="1399"/>
      <c r="M46" s="90"/>
      <c r="N46" s="192">
        <v>53</v>
      </c>
      <c r="O46" s="1439">
        <v>57.000000000000007</v>
      </c>
      <c r="P46" s="12"/>
      <c r="Q46" s="12"/>
      <c r="R46" s="1469">
        <f>(N46/'qtrP&amp;L'!BP12)*100</f>
        <v>5.574804408513252</v>
      </c>
      <c r="S46" s="975"/>
      <c r="T46" s="1169">
        <v>181.30199999999999</v>
      </c>
      <c r="U46" s="1400">
        <v>0.5</v>
      </c>
      <c r="V46" s="12">
        <v>-9</v>
      </c>
      <c r="W46" s="1404">
        <f>(T46/'qtrP&amp;L'!BP12)*100</f>
        <v>19.070248846646596</v>
      </c>
      <c r="X46" s="1037"/>
      <c r="Y46" s="154"/>
      <c r="Z46" s="1483"/>
      <c r="AA46" s="1404">
        <f>(X46/'qtrP&amp;L'!BT12)*100</f>
        <v>0</v>
      </c>
      <c r="AB46" s="1037"/>
      <c r="AC46" s="1037"/>
      <c r="AD46" s="1037"/>
      <c r="AE46" s="1037"/>
      <c r="AF46" s="1037"/>
      <c r="AG46" s="1505"/>
      <c r="AH46" s="1503"/>
      <c r="AI46" s="1504"/>
      <c r="AJ46" s="1162"/>
      <c r="AK46" s="1162"/>
      <c r="AL46" s="1499"/>
      <c r="AM46" s="1162"/>
      <c r="AN46" s="154"/>
      <c r="AO46" s="195"/>
      <c r="AP46" s="1483"/>
      <c r="AQ46" s="1037"/>
      <c r="AR46" s="154"/>
      <c r="AS46" s="1022"/>
      <c r="AT46" s="1483"/>
      <c r="AU46" s="1162"/>
      <c r="AV46" s="1162"/>
      <c r="AW46" s="1162"/>
      <c r="AX46" s="1162"/>
      <c r="AY46" s="1162"/>
      <c r="AZ46" s="154"/>
      <c r="BA46" s="1022"/>
      <c r="BB46" s="1483"/>
      <c r="BC46" s="1162"/>
      <c r="BD46" s="154"/>
      <c r="BE46" s="1022"/>
      <c r="BF46" s="1483"/>
      <c r="BG46" s="154"/>
      <c r="BH46" s="978"/>
      <c r="BI46" s="1037"/>
      <c r="BJ46" s="1499"/>
      <c r="BK46" s="1167"/>
      <c r="BL46" s="1042"/>
      <c r="BM46" s="154"/>
      <c r="BN46" s="10"/>
      <c r="BO46" s="1515"/>
      <c r="BP46" s="1515"/>
      <c r="BQ46" s="1515"/>
      <c r="BR46" s="1515"/>
      <c r="BS46" s="1515"/>
      <c r="BT46" s="718"/>
      <c r="BU46" s="1175"/>
      <c r="BV46" s="10"/>
      <c r="BW46" s="10"/>
      <c r="BX46" s="56"/>
    </row>
    <row r="47" spans="1:76" s="3" customFormat="1" ht="10.5" hidden="1" customHeight="1" outlineLevel="1">
      <c r="A47" s="956" t="s">
        <v>460</v>
      </c>
      <c r="B47" s="3" t="s">
        <v>62</v>
      </c>
      <c r="C47" s="61"/>
      <c r="D47" s="1050"/>
      <c r="E47" s="1399"/>
      <c r="F47" s="58"/>
      <c r="G47" s="1406">
        <f>'qtrP&amp;L'!BR13</f>
        <v>10.1</v>
      </c>
      <c r="H47" s="975"/>
      <c r="I47" s="975"/>
      <c r="J47" s="1425"/>
      <c r="K47" s="1431"/>
      <c r="L47" s="1431"/>
      <c r="M47" s="1024"/>
      <c r="N47" s="193">
        <v>53.5</v>
      </c>
      <c r="O47" s="1442">
        <v>59.831775700934585</v>
      </c>
      <c r="P47" s="12"/>
      <c r="Q47" s="12"/>
      <c r="R47" s="1469">
        <f>(N47/'qtrP&amp;L'!BP13)*100</f>
        <v>5.185741633750939</v>
      </c>
      <c r="S47" s="975"/>
      <c r="T47" s="1170">
        <v>174.5</v>
      </c>
      <c r="U47" s="1400">
        <v>-1.5792442188381384</v>
      </c>
      <c r="V47" s="12">
        <v>-13</v>
      </c>
      <c r="W47" s="1404">
        <f>(T47/'qtrP&amp;L'!BP13)*100</f>
        <v>16.914241403542782</v>
      </c>
      <c r="X47" s="1037"/>
      <c r="Y47" s="154"/>
      <c r="Z47" s="1483"/>
      <c r="AA47" s="1404">
        <f>(X47/'qtrP&amp;L'!BT13)*100</f>
        <v>0</v>
      </c>
      <c r="AB47" s="1037"/>
      <c r="AC47" s="1037"/>
      <c r="AD47" s="1037"/>
      <c r="AE47" s="1037"/>
      <c r="AF47" s="1037"/>
      <c r="AG47" s="1505"/>
      <c r="AH47" s="1503"/>
      <c r="AI47" s="1504"/>
      <c r="AJ47" s="1162"/>
      <c r="AK47" s="1162"/>
      <c r="AL47" s="1499"/>
      <c r="AM47" s="1162"/>
      <c r="AN47" s="154"/>
      <c r="AO47" s="195"/>
      <c r="AP47" s="1483"/>
      <c r="AQ47" s="1037"/>
      <c r="AR47" s="154"/>
      <c r="AS47" s="999"/>
      <c r="AT47" s="1483"/>
      <c r="AU47" s="1162"/>
      <c r="AV47" s="1162"/>
      <c r="AW47" s="1162"/>
      <c r="AX47" s="1162"/>
      <c r="AY47" s="1162"/>
      <c r="AZ47" s="154"/>
      <c r="BA47" s="999"/>
      <c r="BB47" s="1483"/>
      <c r="BC47" s="1162"/>
      <c r="BD47" s="154"/>
      <c r="BE47" s="972"/>
      <c r="BF47" s="1483"/>
      <c r="BG47" s="154"/>
      <c r="BH47" s="978"/>
      <c r="BI47" s="1529"/>
      <c r="BJ47" s="1499"/>
      <c r="BK47" s="1167"/>
      <c r="BL47" s="1042"/>
      <c r="BM47" s="1055"/>
      <c r="BN47" s="10"/>
      <c r="BO47" s="1515"/>
      <c r="BP47" s="1515"/>
      <c r="BQ47" s="1515"/>
      <c r="BR47" s="1515"/>
      <c r="BS47" s="1515"/>
      <c r="BT47" s="718"/>
      <c r="BU47" s="1530"/>
      <c r="BV47" s="10"/>
      <c r="BW47" s="10"/>
      <c r="BX47" s="534"/>
    </row>
    <row r="48" spans="1:76" s="3" customFormat="1" ht="10.5" hidden="1" customHeight="1" outlineLevel="1">
      <c r="A48" s="956"/>
      <c r="B48" s="61" t="s">
        <v>461</v>
      </c>
      <c r="C48" s="61"/>
      <c r="D48" s="1049"/>
      <c r="E48" s="74"/>
      <c r="F48" s="1390"/>
      <c r="G48" s="1405">
        <f>'qtrP&amp;L'!BR14</f>
        <v>10.6</v>
      </c>
      <c r="H48" s="975"/>
      <c r="I48" s="975"/>
      <c r="J48" s="1049"/>
      <c r="K48" s="74"/>
      <c r="L48" s="74"/>
      <c r="M48" s="966"/>
      <c r="N48" s="192">
        <f>SUM(N44:N47)</f>
        <v>188.5</v>
      </c>
      <c r="O48" s="1439">
        <v>64.307692307692335</v>
      </c>
      <c r="P48" s="12"/>
      <c r="Q48" s="12"/>
      <c r="R48" s="1469">
        <f>(N48/'qtrP&amp;L'!BP14)*100</f>
        <v>4.5328768233406844</v>
      </c>
      <c r="S48" s="975"/>
      <c r="T48" s="983">
        <f>SUM(T44:T47)</f>
        <v>750.38049999999998</v>
      </c>
      <c r="U48" s="1400">
        <v>5.095308123249298</v>
      </c>
      <c r="V48" s="12"/>
      <c r="W48" s="1404">
        <f>(T48/'qtrP&amp;L'!BP14)*100</f>
        <v>18.044468844227023</v>
      </c>
      <c r="X48" s="1037"/>
      <c r="Y48" s="154"/>
      <c r="Z48" s="1483"/>
      <c r="AA48" s="1404">
        <f>(X48/'qtrP&amp;L'!BT14)*100</f>
        <v>0</v>
      </c>
      <c r="AB48" s="1037"/>
      <c r="AC48" s="1037"/>
      <c r="AD48" s="1037"/>
      <c r="AE48" s="1037"/>
      <c r="AF48" s="1037"/>
      <c r="AG48" s="1502"/>
      <c r="AH48" s="1503"/>
      <c r="AI48" s="1504"/>
      <c r="AJ48" s="1162"/>
      <c r="AK48" s="1162"/>
      <c r="AL48" s="1499"/>
      <c r="AM48" s="1162"/>
      <c r="AN48" s="154"/>
      <c r="AO48" s="1036"/>
      <c r="AP48" s="1483"/>
      <c r="AQ48" s="1037"/>
      <c r="AR48" s="154"/>
      <c r="AS48" s="1027"/>
      <c r="AT48" s="1483"/>
      <c r="AU48" s="1162"/>
      <c r="AV48" s="1162"/>
      <c r="AW48" s="1162"/>
      <c r="AX48" s="1162"/>
      <c r="AY48" s="1162"/>
      <c r="AZ48" s="154"/>
      <c r="BA48" s="1027"/>
      <c r="BB48" s="1483"/>
      <c r="BC48" s="1162"/>
      <c r="BD48" s="154"/>
      <c r="BE48" s="992">
        <v>1251.385</v>
      </c>
      <c r="BF48" s="1532"/>
      <c r="BG48" s="968"/>
      <c r="BH48" s="61"/>
      <c r="BI48" s="992">
        <v>440.54</v>
      </c>
      <c r="BJ48" s="1400"/>
      <c r="BK48" s="968"/>
      <c r="BL48" s="61"/>
      <c r="BM48" s="992">
        <v>27.297999999999998</v>
      </c>
      <c r="BN48" s="1400"/>
      <c r="BO48" s="968"/>
      <c r="BP48" s="968"/>
      <c r="BQ48" s="968"/>
      <c r="BR48" s="968"/>
      <c r="BS48" s="968"/>
      <c r="BT48" s="61"/>
      <c r="BU48" s="1536">
        <v>-414.29899999999998</v>
      </c>
      <c r="BV48" s="1400"/>
      <c r="BW48" s="1400"/>
      <c r="BX48" s="983">
        <f>'qtrP&amp;L'!BP64</f>
        <v>1330.6020000000001</v>
      </c>
    </row>
    <row r="49" spans="1:79" s="3" customFormat="1" ht="10.5" hidden="1" customHeight="1" outlineLevel="1">
      <c r="A49" s="956"/>
      <c r="B49" s="61"/>
      <c r="C49" s="61"/>
      <c r="D49" s="591"/>
      <c r="E49" s="65"/>
      <c r="F49" s="315"/>
      <c r="G49" s="1405"/>
      <c r="H49" s="975"/>
      <c r="I49" s="975"/>
      <c r="J49" s="591"/>
      <c r="K49" s="4"/>
      <c r="L49" s="4"/>
      <c r="N49" s="192"/>
      <c r="O49" s="1439"/>
      <c r="P49" s="12"/>
      <c r="Q49" s="12"/>
      <c r="R49" s="1469"/>
      <c r="S49" s="975"/>
      <c r="U49" s="4"/>
      <c r="V49" s="12"/>
      <c r="W49" s="65"/>
      <c r="X49" s="1037"/>
      <c r="Y49" s="154"/>
      <c r="Z49" s="1483"/>
      <c r="AA49" s="65"/>
      <c r="AB49" s="1037"/>
      <c r="AC49" s="1037"/>
      <c r="AD49" s="1037"/>
      <c r="AE49" s="1037"/>
      <c r="AF49" s="1037"/>
      <c r="AG49" s="1502"/>
      <c r="AH49" s="1503"/>
      <c r="AI49" s="1504"/>
      <c r="AJ49" s="1162"/>
      <c r="AK49" s="135"/>
      <c r="AL49" s="1499"/>
      <c r="AM49" s="1162"/>
      <c r="AN49" s="154"/>
      <c r="AO49" s="1036"/>
      <c r="AP49" s="1483"/>
      <c r="AQ49" s="1037"/>
      <c r="AR49" s="154"/>
      <c r="AS49" s="1023"/>
      <c r="AT49" s="1483"/>
      <c r="AU49" s="1162"/>
      <c r="AV49" s="1162"/>
      <c r="AW49" s="1162"/>
      <c r="AX49" s="1162"/>
      <c r="AY49" s="1162"/>
      <c r="AZ49" s="154"/>
      <c r="BA49" s="1023"/>
      <c r="BB49" s="1483"/>
      <c r="BC49" s="1162"/>
      <c r="BD49" s="154"/>
      <c r="BE49" s="983"/>
      <c r="BF49" s="1400"/>
      <c r="BG49" s="968"/>
      <c r="BH49" s="61"/>
      <c r="BI49" s="983"/>
      <c r="BJ49" s="1400"/>
      <c r="BK49" s="968"/>
      <c r="BL49" s="61"/>
      <c r="BM49" s="983"/>
      <c r="BN49" s="1400"/>
      <c r="BO49" s="968"/>
      <c r="BP49" s="968"/>
      <c r="BQ49" s="968"/>
      <c r="BR49" s="968"/>
      <c r="BS49" s="968"/>
      <c r="BT49" s="61"/>
      <c r="BU49" s="1536"/>
      <c r="BV49" s="1400"/>
      <c r="BW49" s="1400"/>
      <c r="BX49" s="56"/>
      <c r="BY49" s="56"/>
      <c r="BZ49" s="56"/>
      <c r="CA49" s="10"/>
    </row>
    <row r="50" spans="1:79" s="3" customFormat="1" collapsed="1">
      <c r="A50" s="956"/>
      <c r="B50" s="965" t="s">
        <v>210</v>
      </c>
      <c r="C50" s="61"/>
      <c r="D50" s="591"/>
      <c r="E50" s="65"/>
      <c r="F50" s="315"/>
      <c r="G50" s="1405"/>
      <c r="H50" s="61"/>
      <c r="I50" s="61"/>
      <c r="J50" s="591"/>
      <c r="K50" s="65"/>
      <c r="L50" s="65"/>
      <c r="M50" s="61"/>
      <c r="N50" s="192"/>
      <c r="O50" s="315"/>
      <c r="P50" s="65"/>
      <c r="Q50" s="65"/>
      <c r="R50" s="115"/>
      <c r="S50" s="61"/>
      <c r="T50" s="61"/>
      <c r="U50" s="65"/>
      <c r="V50" s="12"/>
      <c r="W50" s="12"/>
      <c r="X50" s="154"/>
      <c r="Y50" s="154"/>
      <c r="Z50" s="1483"/>
      <c r="AA50" s="12"/>
      <c r="AB50" s="1037"/>
      <c r="AC50" s="1037"/>
      <c r="AD50" s="1037"/>
      <c r="AE50" s="1037"/>
      <c r="AF50" s="1037"/>
      <c r="AG50" s="1518"/>
      <c r="AH50" s="1503"/>
      <c r="AI50" s="1503"/>
      <c r="AJ50" s="1162"/>
      <c r="AK50" s="61"/>
      <c r="AL50" s="1499"/>
      <c r="AM50" s="1162"/>
      <c r="AN50" s="154"/>
      <c r="AO50" s="154"/>
      <c r="AP50" s="1483"/>
      <c r="AQ50" s="1037"/>
      <c r="AR50" s="154"/>
      <c r="AS50" s="154"/>
      <c r="AT50" s="115"/>
      <c r="AU50" s="154"/>
      <c r="AV50" s="154"/>
      <c r="AW50" s="154"/>
      <c r="AX50" s="154"/>
      <c r="AY50" s="154"/>
      <c r="AZ50" s="154"/>
      <c r="BA50" s="154"/>
      <c r="BB50" s="115"/>
      <c r="BC50" s="154"/>
      <c r="BD50" s="154"/>
      <c r="BE50" s="61"/>
      <c r="BF50" s="65"/>
      <c r="BG50" s="61"/>
      <c r="BH50" s="61"/>
      <c r="BI50" s="61"/>
      <c r="BJ50" s="65"/>
      <c r="BK50" s="61"/>
      <c r="BL50" s="61"/>
      <c r="BM50" s="61"/>
      <c r="BN50" s="65"/>
      <c r="BO50" s="61"/>
      <c r="BP50" s="61"/>
      <c r="BQ50" s="61"/>
      <c r="BR50" s="61"/>
      <c r="BS50" s="61"/>
      <c r="BT50" s="61"/>
      <c r="BU50" s="1537"/>
      <c r="BV50" s="65"/>
      <c r="BW50" s="65"/>
      <c r="BX50" s="56"/>
      <c r="BY50" s="56"/>
      <c r="BZ50" s="56"/>
      <c r="CA50" s="10"/>
    </row>
    <row r="51" spans="1:79" s="3" customFormat="1" ht="10.5" customHeight="1">
      <c r="A51" s="956" t="s">
        <v>457</v>
      </c>
      <c r="B51" s="3" t="s">
        <v>63</v>
      </c>
      <c r="C51" s="61"/>
      <c r="D51" s="1421">
        <v>729</v>
      </c>
      <c r="E51" s="1407"/>
      <c r="F51" s="1445">
        <f>(D51/'qtrP&amp;L'!BT10)*100</f>
        <v>69.40484158273506</v>
      </c>
      <c r="G51" s="1412">
        <f>'qtrP&amp;L'!BV10</f>
        <v>9.1999999999999993</v>
      </c>
      <c r="H51" s="975"/>
      <c r="I51" s="1176" t="e">
        <v>#REF!</v>
      </c>
      <c r="J51" s="1448">
        <v>314</v>
      </c>
      <c r="K51" s="66"/>
      <c r="L51" s="66"/>
      <c r="M51" s="969"/>
      <c r="N51" s="966">
        <v>61</v>
      </c>
      <c r="O51" s="1489">
        <f>(N51/N44-1)*100</f>
        <v>79.411764705882362</v>
      </c>
      <c r="P51" s="12"/>
      <c r="Q51" s="12"/>
      <c r="R51" s="1404">
        <f>(N51/'qtrP&amp;L'!BT10)*100</f>
        <v>5.8075381845635636</v>
      </c>
      <c r="S51" s="975"/>
      <c r="T51" s="966">
        <f>T44*(1+(U51/100))</f>
        <v>191.13552000000001</v>
      </c>
      <c r="U51" s="1396">
        <v>10.4</v>
      </c>
      <c r="V51" s="1489">
        <v>1</v>
      </c>
      <c r="W51" s="1404">
        <f>(T51/'qtrP&amp;L'!BT10)*100</f>
        <v>18.197161161088733</v>
      </c>
      <c r="X51" s="1023"/>
      <c r="Y51" s="966">
        <f>J51-N51-T51</f>
        <v>61.864479999999986</v>
      </c>
      <c r="Z51" s="1483"/>
      <c r="AA51" s="1404">
        <f>(Y51/'qtrP&amp;L'!BX10)*100</f>
        <v>5.3269453653076155</v>
      </c>
      <c r="AB51" s="1037"/>
      <c r="AC51" s="1037"/>
      <c r="AD51" s="1037"/>
      <c r="AE51" s="1037"/>
      <c r="AF51" s="1037"/>
      <c r="AG51" s="1502">
        <f>D51+J51</f>
        <v>1043</v>
      </c>
      <c r="AH51" s="1502">
        <f>'qtrP&amp;L'!BT10</f>
        <v>1050.3589999999999</v>
      </c>
      <c r="AI51" s="1504">
        <f>AH51-AG51</f>
        <v>7.3589999999999236</v>
      </c>
      <c r="AJ51" s="1162"/>
      <c r="AK51" s="1457">
        <f>AI51</f>
        <v>7.3589999999999236</v>
      </c>
      <c r="AL51" s="1499"/>
      <c r="AM51" s="1162"/>
      <c r="AN51" s="154"/>
      <c r="AO51" s="992"/>
      <c r="AP51" s="1400"/>
      <c r="AQ51" s="968"/>
      <c r="AR51" s="61"/>
      <c r="AS51" s="992"/>
      <c r="AT51" s="1400"/>
      <c r="AU51" s="968"/>
      <c r="AV51" s="968"/>
      <c r="AW51" s="968"/>
      <c r="AX51" s="968"/>
      <c r="AY51" s="968"/>
      <c r="AZ51" s="61"/>
      <c r="BA51" s="992"/>
      <c r="BB51" s="1400"/>
      <c r="BC51" s="968"/>
      <c r="BD51" s="154"/>
      <c r="BE51" s="992">
        <v>308.82400000000001</v>
      </c>
      <c r="BF51" s="1400"/>
      <c r="BG51" s="968">
        <f>(BE51/D51)*100</f>
        <v>42.362688614540467</v>
      </c>
      <c r="BH51" s="61"/>
      <c r="BI51" s="992">
        <v>130.90199999999999</v>
      </c>
      <c r="BJ51" s="1400"/>
      <c r="BK51" s="968">
        <f>(BI51/J51)*100</f>
        <v>41.688535031847131</v>
      </c>
      <c r="BL51" s="61"/>
      <c r="BM51" s="992">
        <v>3.1219999999999999</v>
      </c>
      <c r="BN51" s="1400"/>
      <c r="BO51" s="968">
        <f>(BM51/AK51)*100</f>
        <v>42.424242424242863</v>
      </c>
      <c r="BP51" s="968"/>
      <c r="BQ51" s="968"/>
      <c r="BR51" s="968"/>
      <c r="BS51" s="968"/>
      <c r="BT51" s="61"/>
      <c r="BU51" s="1536">
        <v>-120.88200000000001</v>
      </c>
      <c r="BV51" s="1400"/>
      <c r="BW51" s="1400"/>
      <c r="BX51" s="983">
        <f>'qtrP&amp;L'!BT60</f>
        <v>321.96599999999989</v>
      </c>
      <c r="BY51" s="56"/>
      <c r="BZ51" s="56">
        <f>(BX51/AH51)*100</f>
        <v>30.652948182478557</v>
      </c>
      <c r="CA51" s="122">
        <f>BE51+BI51+BM51+BU51</f>
        <v>321.96600000000001</v>
      </c>
    </row>
    <row r="52" spans="1:79" s="3" customFormat="1" ht="10.5" customHeight="1">
      <c r="A52" s="956" t="s">
        <v>458</v>
      </c>
      <c r="B52" s="3" t="s">
        <v>167</v>
      </c>
      <c r="C52" s="61"/>
      <c r="D52" s="1422">
        <v>1070</v>
      </c>
      <c r="E52" s="1408"/>
      <c r="F52" s="1445">
        <f>(D52/'qtrP&amp;L'!BT11)*100</f>
        <v>73.861922384235243</v>
      </c>
      <c r="G52" s="1412">
        <f>'qtrP&amp;L'!BV11</f>
        <v>8.8000000000000007</v>
      </c>
      <c r="H52" s="975"/>
      <c r="I52" s="1176" t="e">
        <v>#REF!</v>
      </c>
      <c r="J52" s="1493">
        <v>368</v>
      </c>
      <c r="K52" s="1428"/>
      <c r="L52" s="1428"/>
      <c r="M52" s="136"/>
      <c r="N52" s="192">
        <v>80</v>
      </c>
      <c r="O52" s="1489">
        <f>(N52/N45-1)*100</f>
        <v>66.666666666666671</v>
      </c>
      <c r="P52" s="12"/>
      <c r="Q52" s="12"/>
      <c r="R52" s="1404">
        <f>(N52/'qtrP&amp;L'!BT11)*100</f>
        <v>5.5223867203166543</v>
      </c>
      <c r="S52" s="975"/>
      <c r="T52" s="192">
        <f>T45*(1+(U52/100))</f>
        <v>234.51396149999999</v>
      </c>
      <c r="U52" s="1396">
        <v>5.9</v>
      </c>
      <c r="V52" s="1489">
        <v>0</v>
      </c>
      <c r="W52" s="1404">
        <f>(T52/'qtrP&amp;L'!BT11)*100</f>
        <v>16.188459833955637</v>
      </c>
      <c r="X52" s="999"/>
      <c r="Y52" s="192">
        <f>J52-N52-T52</f>
        <v>53.486038500000006</v>
      </c>
      <c r="Z52" s="1483"/>
      <c r="AA52" s="1404">
        <f>(Y52/'qtrP&amp;L'!BX11)*100</f>
        <v>3.5567870238479995</v>
      </c>
      <c r="AB52" s="1037"/>
      <c r="AC52" s="1037"/>
      <c r="AD52" s="1037"/>
      <c r="AE52" s="1037"/>
      <c r="AF52" s="1037"/>
      <c r="AG52" s="1519">
        <f>D52+J52</f>
        <v>1438</v>
      </c>
      <c r="AH52" s="1519">
        <f>'qtrP&amp;L'!BT11</f>
        <v>1448.6489999999999</v>
      </c>
      <c r="AI52" s="1504">
        <f>AH52-AG52</f>
        <v>10.648999999999887</v>
      </c>
      <c r="AJ52" s="1162"/>
      <c r="AK52" s="1454">
        <f>AI52</f>
        <v>10.648999999999887</v>
      </c>
      <c r="AL52" s="1499"/>
      <c r="AM52" s="1162"/>
      <c r="AN52" s="154"/>
      <c r="AO52" s="135"/>
      <c r="AP52" s="1400"/>
      <c r="AQ52" s="968"/>
      <c r="AR52" s="61"/>
      <c r="AS52" s="135"/>
      <c r="AT52" s="1400"/>
      <c r="AU52" s="968"/>
      <c r="AV52" s="968"/>
      <c r="AW52" s="968"/>
      <c r="AX52" s="968"/>
      <c r="AY52" s="968"/>
      <c r="AZ52" s="61"/>
      <c r="BA52" s="135"/>
      <c r="BB52" s="1400"/>
      <c r="BC52" s="968"/>
      <c r="BD52" s="154"/>
      <c r="BE52" s="1528">
        <v>498.44200000000001</v>
      </c>
      <c r="BF52" s="1400"/>
      <c r="BG52" s="968">
        <f>(BE52/D52)*100</f>
        <v>46.583364485981313</v>
      </c>
      <c r="BH52" s="61"/>
      <c r="BI52" s="1528">
        <v>150.06100000000001</v>
      </c>
      <c r="BJ52" s="1400"/>
      <c r="BK52" s="968">
        <f t="shared" ref="BK52:BK75" si="0">(BI52/J52)*100</f>
        <v>40.777445652173917</v>
      </c>
      <c r="BL52" s="61"/>
      <c r="BM52" s="1528">
        <v>6.84</v>
      </c>
      <c r="BN52" s="1400"/>
      <c r="BO52" s="968">
        <f>(BM52/AK52)*100</f>
        <v>64.231383228472836</v>
      </c>
      <c r="BP52" s="968"/>
      <c r="BQ52" s="968"/>
      <c r="BR52" s="968"/>
      <c r="BS52" s="968"/>
      <c r="BT52" s="61"/>
      <c r="BU52" s="1538">
        <v>-154.44200000000001</v>
      </c>
      <c r="BV52" s="1400"/>
      <c r="BW52" s="1400"/>
      <c r="BX52" s="192">
        <f>'qtrP&amp;L'!BT61</f>
        <v>521.17099999999982</v>
      </c>
      <c r="BY52" s="56"/>
      <c r="BZ52" s="1029">
        <f t="shared" ref="BZ52:BZ83" si="1">(BX52/AH52)*100</f>
        <v>35.976347617676872</v>
      </c>
      <c r="CA52" s="1554">
        <f>BE52+BI52+BM52+BU52</f>
        <v>500.90100000000007</v>
      </c>
    </row>
    <row r="53" spans="1:79" s="3" customFormat="1" ht="10.5" customHeight="1">
      <c r="A53" s="956" t="s">
        <v>459</v>
      </c>
      <c r="B53" s="3" t="s">
        <v>166</v>
      </c>
      <c r="C53" s="61"/>
      <c r="D53" s="1422">
        <v>738</v>
      </c>
      <c r="E53" s="1408"/>
      <c r="F53" s="1445">
        <f>(D53/'qtrP&amp;L'!BT12)*100</f>
        <v>66.547578362478703</v>
      </c>
      <c r="G53" s="1412">
        <f>'qtrP&amp;L'!BV12</f>
        <v>6.7</v>
      </c>
      <c r="H53" s="975"/>
      <c r="I53" s="1176" t="e">
        <v>#REF!</v>
      </c>
      <c r="J53" s="1493">
        <v>359</v>
      </c>
      <c r="K53" s="1428"/>
      <c r="L53" s="1428"/>
      <c r="M53" s="136"/>
      <c r="N53" s="195">
        <f>N46*(1+O53/100)</f>
        <v>83.21</v>
      </c>
      <c r="O53" s="1489">
        <v>57</v>
      </c>
      <c r="P53" s="1447" t="s">
        <v>232</v>
      </c>
      <c r="Q53" s="1447"/>
      <c r="R53" s="1404">
        <f>(N53/'qtrP&amp;L'!BT12)*100</f>
        <v>7.5032845468046787</v>
      </c>
      <c r="S53" s="975"/>
      <c r="T53" s="195">
        <f>T46*(1+(U53/100))</f>
        <v>206.68428</v>
      </c>
      <c r="U53" s="1396">
        <v>14</v>
      </c>
      <c r="V53" s="1478">
        <v>10</v>
      </c>
      <c r="W53" s="1404">
        <f>(T53/'qtrP&amp;L'!BT12)*100</f>
        <v>18.637314796195785</v>
      </c>
      <c r="X53" s="999"/>
      <c r="Y53" s="192">
        <f>J53-N53-T53</f>
        <v>69.105720000000019</v>
      </c>
      <c r="Z53" s="1483"/>
      <c r="AA53" s="1404">
        <f>(Y53/'qtrP&amp;L'!BX12)*100</f>
        <v>5.8190468331343306</v>
      </c>
      <c r="AB53" s="1037"/>
      <c r="AC53" s="1037"/>
      <c r="AD53" s="1037"/>
      <c r="AE53" s="1037"/>
      <c r="AF53" s="1037"/>
      <c r="AG53" s="1519">
        <f>D53+J53</f>
        <v>1097</v>
      </c>
      <c r="AH53" s="1519">
        <f>'qtrP&amp;L'!BT12</f>
        <v>1108.981</v>
      </c>
      <c r="AI53" s="1504">
        <f>AH53-AG53</f>
        <v>11.980999999999995</v>
      </c>
      <c r="AJ53" s="1162"/>
      <c r="AK53" s="1454">
        <f>AI53</f>
        <v>11.980999999999995</v>
      </c>
      <c r="AL53" s="1499"/>
      <c r="AM53" s="1162"/>
      <c r="AN53" s="154"/>
      <c r="AO53" s="135"/>
      <c r="AP53" s="1400"/>
      <c r="AQ53" s="968"/>
      <c r="AR53" s="61"/>
      <c r="AS53" s="135"/>
      <c r="AT53" s="1400"/>
      <c r="AU53" s="968"/>
      <c r="AV53" s="968"/>
      <c r="AW53" s="968"/>
      <c r="AX53" s="968"/>
      <c r="AY53" s="968"/>
      <c r="AZ53" s="61"/>
      <c r="BA53" s="135"/>
      <c r="BB53" s="1400"/>
      <c r="BC53" s="968"/>
      <c r="BD53" s="154"/>
      <c r="BE53" s="135">
        <v>317.41699999999997</v>
      </c>
      <c r="BF53" s="1532"/>
      <c r="BG53" s="968">
        <f>(BE53/D53)*100</f>
        <v>43.010433604336043</v>
      </c>
      <c r="BH53" s="61"/>
      <c r="BI53" s="135">
        <v>142.24</v>
      </c>
      <c r="BJ53" s="1400"/>
      <c r="BK53" s="968">
        <f t="shared" si="0"/>
        <v>39.621169916434546</v>
      </c>
      <c r="BL53" s="61"/>
      <c r="BM53" s="135">
        <v>7.0549999999999997</v>
      </c>
      <c r="BN53" s="1400"/>
      <c r="BO53" s="968">
        <f>(BM53/AK53)*100</f>
        <v>58.8849010933979</v>
      </c>
      <c r="BP53" s="968"/>
      <c r="BQ53" s="968"/>
      <c r="BR53" s="968"/>
      <c r="BS53" s="968"/>
      <c r="BT53" s="61"/>
      <c r="BU53" s="1538">
        <v>-129.22</v>
      </c>
      <c r="BV53" s="1400"/>
      <c r="BW53" s="1400"/>
      <c r="BX53" s="192">
        <f>'qtrP&amp;L'!BT62</f>
        <v>337.49200000000002</v>
      </c>
      <c r="BY53" s="56"/>
      <c r="BZ53" s="56">
        <f t="shared" si="1"/>
        <v>30.432622380365398</v>
      </c>
      <c r="CA53" s="1554">
        <f t="shared" ref="CA53:CA76" si="2">BE53+BI53+BM53+BU53</f>
        <v>337.49199999999996</v>
      </c>
    </row>
    <row r="54" spans="1:79" s="3" customFormat="1" ht="10.5" customHeight="1">
      <c r="A54" s="956" t="s">
        <v>460</v>
      </c>
      <c r="B54" s="3" t="s">
        <v>62</v>
      </c>
      <c r="C54" s="61"/>
      <c r="D54" s="1460">
        <v>781</v>
      </c>
      <c r="E54" s="1408"/>
      <c r="F54" s="1445">
        <f>(D54/'qtrP&amp;L'!BT13)*100</f>
        <v>67.60786744356561</v>
      </c>
      <c r="G54" s="1411">
        <f>'qtrP&amp;L'!BV13</f>
        <v>1.7</v>
      </c>
      <c r="H54" s="975"/>
      <c r="I54" s="1177" t="e">
        <v>#REF!</v>
      </c>
      <c r="J54" s="1494">
        <v>362</v>
      </c>
      <c r="K54" s="1431"/>
      <c r="L54" s="1431"/>
      <c r="M54" s="1024"/>
      <c r="N54" s="193">
        <f>N47*(1+O54/100)</f>
        <v>85.600000000000009</v>
      </c>
      <c r="O54" s="1489">
        <v>60</v>
      </c>
      <c r="P54" s="1447" t="s">
        <v>232</v>
      </c>
      <c r="Q54" s="1447"/>
      <c r="R54" s="1404">
        <f>(N54/'qtrP&amp;L'!BT13)*100</f>
        <v>7.4100300296660899</v>
      </c>
      <c r="S54" s="975"/>
      <c r="T54" s="193">
        <f>T47*(1+(U54/100))</f>
        <v>205.91</v>
      </c>
      <c r="U54" s="1437">
        <v>18</v>
      </c>
      <c r="V54" s="1478">
        <v>16</v>
      </c>
      <c r="W54" s="1404">
        <f>(T54/'qtrP&amp;L'!BT13)*100</f>
        <v>17.824757983744679</v>
      </c>
      <c r="X54" s="999"/>
      <c r="Y54" s="193">
        <f>J54-N54-T54</f>
        <v>70.489999999999981</v>
      </c>
      <c r="Z54" s="1483"/>
      <c r="AA54" s="1404">
        <f>(Y54/'qtrP&amp;L'!BX13)*100</f>
        <v>5.7651665837891573</v>
      </c>
      <c r="AB54" s="1037"/>
      <c r="AC54" s="1037"/>
      <c r="AD54" s="1037"/>
      <c r="AE54" s="1037"/>
      <c r="AF54" s="1037"/>
      <c r="AG54" s="1520">
        <f>D54+J54</f>
        <v>1143</v>
      </c>
      <c r="AH54" s="1520">
        <f>'qtrP&amp;L'!BT13</f>
        <v>1155.191</v>
      </c>
      <c r="AI54" s="1504">
        <f>AH54-AG54</f>
        <v>12.191000000000031</v>
      </c>
      <c r="AJ54" s="1162"/>
      <c r="AK54" s="1410">
        <f>AI54</f>
        <v>12.191000000000031</v>
      </c>
      <c r="AL54" s="1499"/>
      <c r="AM54" s="1162"/>
      <c r="AN54" s="154"/>
      <c r="AO54" s="193"/>
      <c r="AP54" s="1400"/>
      <c r="AQ54" s="1070"/>
      <c r="AR54" s="61"/>
      <c r="AS54" s="193"/>
      <c r="AT54" s="1400"/>
      <c r="AU54" s="1070"/>
      <c r="AV54" s="1070"/>
      <c r="AW54" s="1070"/>
      <c r="AX54" s="1070"/>
      <c r="AY54" s="1070"/>
      <c r="AZ54" s="61"/>
      <c r="BA54" s="193"/>
      <c r="BB54" s="1400"/>
      <c r="BC54" s="1070"/>
      <c r="BD54" s="154"/>
      <c r="BE54" s="193">
        <f>BE55-SUM(BE51:BE53)</f>
        <v>323.28099999999995</v>
      </c>
      <c r="BF54" s="1400"/>
      <c r="BG54" s="968">
        <f>(BE54/D54)*100</f>
        <v>41.39321382842509</v>
      </c>
      <c r="BH54" s="61"/>
      <c r="BI54" s="193">
        <f>BI55-SUM(BI51:BI53)</f>
        <v>130.63200000000006</v>
      </c>
      <c r="BJ54" s="1400"/>
      <c r="BK54" s="968">
        <f t="shared" si="0"/>
        <v>36.086187845303883</v>
      </c>
      <c r="BL54" s="61"/>
      <c r="BM54" s="193">
        <f>BM55-SUM(BM51:BM53)</f>
        <v>13.388999999999999</v>
      </c>
      <c r="BN54" s="1400"/>
      <c r="BO54" s="968">
        <f>(BM54/AK54)*100</f>
        <v>109.82692149946654</v>
      </c>
      <c r="BP54" s="968"/>
      <c r="BQ54" s="968"/>
      <c r="BR54" s="968"/>
      <c r="BS54" s="968"/>
      <c r="BT54" s="61"/>
      <c r="BU54" s="1539">
        <f>BU55-SUM(BU51:BU53)</f>
        <v>-115.67200000000003</v>
      </c>
      <c r="BV54" s="1400"/>
      <c r="BW54" s="1400"/>
      <c r="BX54" s="193">
        <f>'qtrP&amp;L'!BT63</f>
        <v>370.56900000000007</v>
      </c>
      <c r="BY54" s="56"/>
      <c r="BZ54" s="56">
        <f t="shared" si="1"/>
        <v>32.078591332515586</v>
      </c>
      <c r="CA54" s="1553">
        <f t="shared" si="2"/>
        <v>351.63</v>
      </c>
    </row>
    <row r="55" spans="1:79" s="3" customFormat="1" ht="10.5" customHeight="1">
      <c r="A55" s="956"/>
      <c r="B55" s="61" t="s">
        <v>461</v>
      </c>
      <c r="C55" s="61"/>
      <c r="D55" s="1421">
        <f>SUM(D51:D54)</f>
        <v>3318</v>
      </c>
      <c r="E55" s="1407"/>
      <c r="F55" s="1390"/>
      <c r="G55" s="1412">
        <f>'qtrP&amp;L'!BV14</f>
        <v>6.6</v>
      </c>
      <c r="H55" s="975"/>
      <c r="I55" s="1178" t="e">
        <f>SUM(I51:I54)</f>
        <v>#REF!</v>
      </c>
      <c r="J55" s="1421">
        <f>SUM(J51:J54)</f>
        <v>1403</v>
      </c>
      <c r="K55" s="66"/>
      <c r="L55" s="66"/>
      <c r="M55" s="969"/>
      <c r="N55" s="966">
        <f>SUM(N51:N54)</f>
        <v>309.81</v>
      </c>
      <c r="O55" s="1489">
        <v>64.307692307692335</v>
      </c>
      <c r="P55" s="1447" t="s">
        <v>232</v>
      </c>
      <c r="Q55" s="1447"/>
      <c r="R55" s="1404">
        <f>(N55/'qtrP&amp;L'!BT14)*100</f>
        <v>6.5042681569875596</v>
      </c>
      <c r="S55" s="975"/>
      <c r="T55" s="983">
        <f>SUM(T51:T54)</f>
        <v>838.24376150000001</v>
      </c>
      <c r="U55" s="1396">
        <v>12</v>
      </c>
      <c r="V55" s="1478">
        <v>6</v>
      </c>
      <c r="W55" s="1404">
        <f>(T55/'qtrP&amp;L'!BT14)*100</f>
        <v>17.598406138336156</v>
      </c>
      <c r="X55" s="1037"/>
      <c r="Y55" s="1036">
        <f>SUM(Y51:Y54)</f>
        <v>254.94623849999999</v>
      </c>
      <c r="Z55" s="1483"/>
      <c r="AA55" s="1404">
        <f>(Y55/'qtrP&amp;L'!BX14)*100</f>
        <v>5.0231851837986845</v>
      </c>
      <c r="AB55" s="1037"/>
      <c r="AC55" s="1037"/>
      <c r="AD55" s="1037"/>
      <c r="AE55" s="1037"/>
      <c r="AF55" s="1037"/>
      <c r="AG55" s="1519">
        <f>D55+J55</f>
        <v>4721</v>
      </c>
      <c r="AH55" s="1519">
        <f>'qtrP&amp;L'!BT14</f>
        <v>4763.1799999999994</v>
      </c>
      <c r="AI55" s="1504"/>
      <c r="AJ55" s="1162"/>
      <c r="AK55" s="983">
        <f>SUM(AK51:AK54)</f>
        <v>42.179999999999836</v>
      </c>
      <c r="AL55" s="1499"/>
      <c r="AM55" s="1162"/>
      <c r="AN55" s="154"/>
      <c r="AO55" s="1457">
        <f>AO62-82.7</f>
        <v>2264.4</v>
      </c>
      <c r="AP55" s="1400"/>
      <c r="AQ55" s="968">
        <f>AO55/D55*100</f>
        <v>68.245931283905975</v>
      </c>
      <c r="AR55" s="61"/>
      <c r="AS55" s="1457">
        <f>AS62-116.1</f>
        <v>1138.9000000000001</v>
      </c>
      <c r="AT55" s="1400"/>
      <c r="AU55" s="968">
        <f>AS55/J55*100</f>
        <v>81.176051318603001</v>
      </c>
      <c r="AV55" s="968"/>
      <c r="AW55" s="968"/>
      <c r="AX55" s="968"/>
      <c r="AY55" s="968"/>
      <c r="AZ55" s="61"/>
      <c r="BA55" s="983"/>
      <c r="BB55" s="1400"/>
      <c r="BC55" s="968"/>
      <c r="BD55" s="154"/>
      <c r="BE55" s="992">
        <v>1447.9639999999999</v>
      </c>
      <c r="BF55" s="1400">
        <f>(BE55/BE48-1)*100</f>
        <v>15.708914522708838</v>
      </c>
      <c r="BG55" s="968">
        <f>(BE55/D55)*100</f>
        <v>43.639662447257379</v>
      </c>
      <c r="BH55" s="61"/>
      <c r="BI55" s="992">
        <v>553.83500000000004</v>
      </c>
      <c r="BJ55" s="1400">
        <f>+(BI55/BI48-1)*100</f>
        <v>25.717301493621459</v>
      </c>
      <c r="BK55" s="968">
        <f t="shared" si="0"/>
        <v>39.475053456878122</v>
      </c>
      <c r="BL55" s="61"/>
      <c r="BM55" s="992">
        <v>30.405999999999999</v>
      </c>
      <c r="BN55" s="1400">
        <f>+(BM55/BM48-1)*100</f>
        <v>11.385449483478638</v>
      </c>
      <c r="BO55" s="968">
        <f>(BM55/AK55)*100</f>
        <v>72.086296823139207</v>
      </c>
      <c r="BP55" s="968"/>
      <c r="BQ55" s="968"/>
      <c r="BR55" s="968"/>
      <c r="BS55" s="968"/>
      <c r="BT55" s="61"/>
      <c r="BU55" s="1536">
        <v>-520.21600000000001</v>
      </c>
      <c r="BV55" s="1400"/>
      <c r="BW55" s="1400"/>
      <c r="BX55" s="983">
        <f>'qtrP&amp;L'!BT64</f>
        <v>1551.1979999999999</v>
      </c>
      <c r="BY55" s="1400">
        <f>(BX55/BX48-1)*100</f>
        <v>16.578661387853</v>
      </c>
      <c r="BZ55" s="56">
        <f t="shared" si="1"/>
        <v>32.566436708249533</v>
      </c>
      <c r="CA55" s="122">
        <f t="shared" si="2"/>
        <v>1511.989</v>
      </c>
    </row>
    <row r="56" spans="1:79" s="3" customFormat="1" ht="10.5" customHeight="1">
      <c r="A56" s="956"/>
      <c r="B56" s="61"/>
      <c r="C56" s="61"/>
      <c r="D56" s="1461"/>
      <c r="E56" s="1409"/>
      <c r="F56" s="315"/>
      <c r="G56" s="1463"/>
      <c r="H56" s="975"/>
      <c r="I56" s="1176"/>
      <c r="J56" s="1448"/>
      <c r="K56" s="66"/>
      <c r="L56" s="66"/>
      <c r="M56" s="969"/>
      <c r="N56" s="966"/>
      <c r="O56" s="1489"/>
      <c r="P56" s="12"/>
      <c r="Q56" s="12"/>
      <c r="R56" s="1404"/>
      <c r="S56" s="975"/>
      <c r="T56" s="966"/>
      <c r="U56" s="12"/>
      <c r="V56" s="1477"/>
      <c r="W56" s="65"/>
      <c r="X56" s="1037"/>
      <c r="Y56" s="154"/>
      <c r="Z56" s="1483"/>
      <c r="AA56" s="1404"/>
      <c r="AB56" s="1037"/>
      <c r="AC56" s="1037"/>
      <c r="AD56" s="1037"/>
      <c r="AE56" s="1037"/>
      <c r="AF56" s="1037"/>
      <c r="AG56" s="1502"/>
      <c r="AH56" s="1503"/>
      <c r="AI56" s="1504"/>
      <c r="AJ56" s="1162"/>
      <c r="AK56" s="969"/>
      <c r="AL56" s="1499"/>
      <c r="AM56" s="1162"/>
      <c r="AN56" s="154"/>
      <c r="AO56" s="983"/>
      <c r="AP56" s="1400"/>
      <c r="AQ56" s="968"/>
      <c r="AR56" s="61"/>
      <c r="AS56" s="983"/>
      <c r="AT56" s="1400"/>
      <c r="AU56" s="968"/>
      <c r="AV56" s="968"/>
      <c r="AW56" s="968"/>
      <c r="AX56" s="968"/>
      <c r="AY56" s="968"/>
      <c r="AZ56" s="61"/>
      <c r="BA56" s="983"/>
      <c r="BB56" s="1400"/>
      <c r="BC56" s="968"/>
      <c r="BD56" s="154"/>
      <c r="BE56" s="966"/>
      <c r="BF56" s="1400"/>
      <c r="BG56" s="968"/>
      <c r="BH56" s="61"/>
      <c r="BI56" s="966"/>
      <c r="BJ56" s="1400"/>
      <c r="BK56" s="968"/>
      <c r="BL56" s="61"/>
      <c r="BM56" s="966"/>
      <c r="BN56" s="1400"/>
      <c r="BO56" s="968"/>
      <c r="BP56" s="968"/>
      <c r="BQ56" s="968"/>
      <c r="BR56" s="968"/>
      <c r="BS56" s="968"/>
      <c r="BT56" s="61"/>
      <c r="BU56" s="1540"/>
      <c r="BV56" s="1400"/>
      <c r="BW56" s="1400"/>
      <c r="BX56" s="56"/>
      <c r="BY56" s="56"/>
      <c r="BZ56" s="56"/>
      <c r="CA56" s="1401"/>
    </row>
    <row r="57" spans="1:79" s="3" customFormat="1">
      <c r="A57" s="956"/>
      <c r="B57" s="965" t="s">
        <v>226</v>
      </c>
      <c r="C57" s="61"/>
      <c r="D57" s="1461"/>
      <c r="E57" s="1409"/>
      <c r="F57" s="315"/>
      <c r="G57" s="1463"/>
      <c r="H57" s="61"/>
      <c r="I57" s="1176"/>
      <c r="J57" s="1495"/>
      <c r="K57" s="64"/>
      <c r="L57" s="64"/>
      <c r="M57" s="184"/>
      <c r="N57" s="61"/>
      <c r="O57" s="1490"/>
      <c r="P57" s="65"/>
      <c r="Q57" s="65"/>
      <c r="R57" s="1404"/>
      <c r="S57" s="61"/>
      <c r="T57" s="61"/>
      <c r="U57" s="65"/>
      <c r="V57" s="1479"/>
      <c r="W57" s="1400"/>
      <c r="X57" s="154"/>
      <c r="Y57" s="154"/>
      <c r="Z57" s="1483"/>
      <c r="AA57" s="1404"/>
      <c r="AB57" s="1037"/>
      <c r="AC57" s="1037"/>
      <c r="AD57" s="1037"/>
      <c r="AE57" s="1037"/>
      <c r="AF57" s="1037"/>
      <c r="AG57" s="1502"/>
      <c r="AH57" s="1503"/>
      <c r="AI57" s="1504"/>
      <c r="AJ57" s="1162"/>
      <c r="AK57" s="184"/>
      <c r="AL57" s="1499"/>
      <c r="AM57" s="1162"/>
      <c r="AN57" s="154"/>
      <c r="AO57" s="61"/>
      <c r="AP57" s="65"/>
      <c r="AQ57" s="61"/>
      <c r="AR57" s="61"/>
      <c r="AS57" s="61"/>
      <c r="AT57" s="65"/>
      <c r="AU57" s="61"/>
      <c r="AV57" s="61"/>
      <c r="AW57" s="61"/>
      <c r="AX57" s="61"/>
      <c r="AY57" s="61"/>
      <c r="AZ57" s="61"/>
      <c r="BA57" s="61"/>
      <c r="BB57" s="65"/>
      <c r="BC57" s="61"/>
      <c r="BD57" s="154"/>
      <c r="BE57" s="61"/>
      <c r="BF57" s="65"/>
      <c r="BG57" s="61"/>
      <c r="BH57" s="61"/>
      <c r="BI57" s="61"/>
      <c r="BJ57" s="65"/>
      <c r="BK57" s="968"/>
      <c r="BL57" s="61"/>
      <c r="BM57" s="61"/>
      <c r="BN57" s="65"/>
      <c r="BO57" s="968"/>
      <c r="BP57" s="968"/>
      <c r="BQ57" s="968"/>
      <c r="BR57" s="968"/>
      <c r="BS57" s="968"/>
      <c r="BT57" s="61"/>
      <c r="BU57" s="1537"/>
      <c r="BV57" s="65"/>
      <c r="BW57" s="65"/>
      <c r="BX57" s="154"/>
      <c r="BY57" s="56"/>
      <c r="BZ57" s="56"/>
      <c r="CA57" s="1401"/>
    </row>
    <row r="58" spans="1:79" s="3" customFormat="1" ht="10.5" customHeight="1">
      <c r="A58" s="956" t="s">
        <v>457</v>
      </c>
      <c r="B58" s="3" t="s">
        <v>63</v>
      </c>
      <c r="C58" s="61"/>
      <c r="D58" s="1421">
        <v>784.2</v>
      </c>
      <c r="E58" s="1400">
        <f>(D58/D51-1)*100</f>
        <v>7.5720164609053509</v>
      </c>
      <c r="F58" s="1445">
        <f>(D58/'qtrP&amp;L'!BX10)*100</f>
        <v>67.524863305635691</v>
      </c>
      <c r="G58" s="1412">
        <f>'qtrP&amp;L'!BZ10</f>
        <v>5.5</v>
      </c>
      <c r="H58" s="967"/>
      <c r="I58" s="1176" t="e">
        <v>#REF!</v>
      </c>
      <c r="J58" s="1448">
        <v>367.4</v>
      </c>
      <c r="K58" s="1400">
        <f>(J58/J51-1)*100</f>
        <v>17.006369426751576</v>
      </c>
      <c r="L58" s="1400"/>
      <c r="M58" s="967"/>
      <c r="N58" s="966">
        <f>N51*(1+O58/100)</f>
        <v>84.79</v>
      </c>
      <c r="O58" s="1491">
        <v>39</v>
      </c>
      <c r="P58" s="1447" t="s">
        <v>232</v>
      </c>
      <c r="Q58" s="1447"/>
      <c r="R58" s="1404">
        <f>(N58/'qtrP&amp;L'!BX10)*100</f>
        <v>7.3009859215568103</v>
      </c>
      <c r="S58" s="967"/>
      <c r="T58" s="966">
        <f>T51*(1+(U58/100))</f>
        <v>191.13552000000001</v>
      </c>
      <c r="U58" s="1437">
        <v>0</v>
      </c>
      <c r="V58" s="1480">
        <v>1</v>
      </c>
      <c r="W58" s="1404">
        <f>(T58/'qtrP&amp;L'!BX10)*100</f>
        <v>16.458046239290482</v>
      </c>
      <c r="X58" s="1036"/>
      <c r="Y58" s="966">
        <f>J58-N58-T58</f>
        <v>91.474479999999943</v>
      </c>
      <c r="Z58" s="1484">
        <f>Y58/Y51-1</f>
        <v>0.47862683077591472</v>
      </c>
      <c r="AA58" s="1404">
        <f>(Y58/'qtrP&amp;L'!BX10)*100</f>
        <v>7.8765643432212471</v>
      </c>
      <c r="AB58" s="478"/>
      <c r="AC58" s="478"/>
      <c r="AD58" s="478"/>
      <c r="AE58" s="478"/>
      <c r="AF58" s="478"/>
      <c r="AG58" s="1502">
        <f>D58+J58</f>
        <v>1151.5999999999999</v>
      </c>
      <c r="AH58" s="1502">
        <f>'qtrP&amp;L'!BX10</f>
        <v>1161.3499999999999</v>
      </c>
      <c r="AI58" s="1504">
        <f>AH58-AG58</f>
        <v>9.75</v>
      </c>
      <c r="AJ58" s="1162"/>
      <c r="AK58" s="1457">
        <f>AI58</f>
        <v>9.75</v>
      </c>
      <c r="AL58" s="1484">
        <f>AK58/AK51-1</f>
        <v>0.32490827558093516</v>
      </c>
      <c r="AM58" s="1162"/>
      <c r="AN58" s="154"/>
      <c r="AO58" s="1457">
        <f>1795.103-AO59-AO60</f>
        <v>532.13600000000008</v>
      </c>
      <c r="AP58" s="1400"/>
      <c r="AQ58" s="968">
        <f>AO58/D58*100</f>
        <v>67.857179290997209</v>
      </c>
      <c r="AR58" s="61"/>
      <c r="AS58" s="1457">
        <f>936.058-AS59-AS60</f>
        <v>291.51300000000003</v>
      </c>
      <c r="AT58" s="1400"/>
      <c r="AU58" s="968">
        <f>AS58/J58*100</f>
        <v>79.344855743059355</v>
      </c>
      <c r="AV58" s="968"/>
      <c r="AW58" s="968"/>
      <c r="AX58" s="968"/>
      <c r="AY58" s="968"/>
      <c r="AZ58" s="61"/>
      <c r="BA58" s="1457">
        <f>24.935-BA59-BA60</f>
        <v>8.1269999999999989</v>
      </c>
      <c r="BB58" s="1400"/>
      <c r="BC58" s="968">
        <f>BA58/AK58*100</f>
        <v>83.353846153846149</v>
      </c>
      <c r="BD58" s="154"/>
      <c r="BE58" s="992">
        <v>325.53399999999999</v>
      </c>
      <c r="BF58" s="1400">
        <f>(BE58/BE51-1)*100</f>
        <v>5.4108488977540503</v>
      </c>
      <c r="BG58" s="968">
        <f>(BE58/D58)*100</f>
        <v>41.511604182606476</v>
      </c>
      <c r="BH58" s="184"/>
      <c r="BI58" s="992">
        <v>136.28299999999999</v>
      </c>
      <c r="BJ58" s="1400">
        <f>+(BI58/BI51-1)*100</f>
        <v>4.1107087745030579</v>
      </c>
      <c r="BK58" s="968">
        <f t="shared" si="0"/>
        <v>37.093903102885136</v>
      </c>
      <c r="BL58" s="184"/>
      <c r="BM58" s="992">
        <v>5.9550000000000001</v>
      </c>
      <c r="BN58" s="1400">
        <f>+(BM58/BM51-1)*100</f>
        <v>90.743113388853303</v>
      </c>
      <c r="BO58" s="968">
        <f>(BM58/AK58)*100</f>
        <v>61.076923076923073</v>
      </c>
      <c r="BP58" s="968"/>
      <c r="BQ58" s="968"/>
      <c r="BR58" s="968"/>
      <c r="BS58" s="968"/>
      <c r="BT58" s="184"/>
      <c r="BU58" s="1536">
        <v>-136.05500000000001</v>
      </c>
      <c r="BV58" s="1400"/>
      <c r="BW58" s="1400"/>
      <c r="BX58" s="983">
        <f>'qtrP&amp;L'!BX60</f>
        <v>331.71699999999987</v>
      </c>
      <c r="BY58" s="1400">
        <f>(BX58/BX51-1)*100</f>
        <v>3.0285806575849561</v>
      </c>
      <c r="BZ58" s="56">
        <f t="shared" si="1"/>
        <v>28.563051620958358</v>
      </c>
      <c r="CA58" s="122">
        <f t="shared" si="2"/>
        <v>331.71699999999998</v>
      </c>
    </row>
    <row r="59" spans="1:79" s="3" customFormat="1" ht="10.5" customHeight="1">
      <c r="A59" s="956" t="s">
        <v>458</v>
      </c>
      <c r="B59" s="3" t="s">
        <v>167</v>
      </c>
      <c r="C59" s="61"/>
      <c r="D59" s="1422">
        <v>1076.135</v>
      </c>
      <c r="E59" s="1400">
        <f>(D59/D52-1)*100</f>
        <v>0.57336448598130918</v>
      </c>
      <c r="F59" s="1445">
        <f>(D59/'qtrP&amp;L'!BX11)*100</f>
        <v>71.562282630235657</v>
      </c>
      <c r="G59" s="1412">
        <f>'qtrP&amp;L'!BZ11</f>
        <v>-2.2000000000000002</v>
      </c>
      <c r="H59" s="967"/>
      <c r="I59" s="1176" t="e">
        <v>#REF!</v>
      </c>
      <c r="J59" s="1493">
        <v>417.65300000000002</v>
      </c>
      <c r="K59" s="1400">
        <f>(J59/J52-1)*100</f>
        <v>13.49266304347827</v>
      </c>
      <c r="L59" s="1400"/>
      <c r="M59" s="967"/>
      <c r="N59" s="192">
        <f>N52*(1+O59/100)</f>
        <v>112</v>
      </c>
      <c r="O59" s="1491">
        <v>40</v>
      </c>
      <c r="P59" s="1447" t="s">
        <v>232</v>
      </c>
      <c r="Q59" s="1447"/>
      <c r="R59" s="1404">
        <f>(N59/'qtrP&amp;L'!BX11)*100</f>
        <v>7.4479276806222208</v>
      </c>
      <c r="S59" s="967"/>
      <c r="T59" s="192">
        <f>T52*(1+(U59/100))</f>
        <v>218.09798419499998</v>
      </c>
      <c r="U59" s="1437">
        <v>-7</v>
      </c>
      <c r="V59" s="1480">
        <v>-2</v>
      </c>
      <c r="W59" s="1404">
        <f>(T59/'qtrP&amp;L'!BX11)*100</f>
        <v>14.503375121195072</v>
      </c>
      <c r="X59" s="195"/>
      <c r="Y59" s="192">
        <f>J59-N59-T59</f>
        <v>87.555015805000039</v>
      </c>
      <c r="Z59" s="1484">
        <f>Y59/Y52-1</f>
        <v>0.63696953934997502</v>
      </c>
      <c r="AA59" s="1404">
        <f>(Y59/'qtrP&amp;L'!BX11)*100</f>
        <v>5.8223520159944275</v>
      </c>
      <c r="AB59" s="478"/>
      <c r="AC59" s="478"/>
      <c r="AD59" s="478"/>
      <c r="AE59" s="478"/>
      <c r="AF59" s="478"/>
      <c r="AG59" s="1519">
        <f>D59+J59</f>
        <v>1493.788</v>
      </c>
      <c r="AH59" s="1519">
        <f>'qtrP&amp;L'!BX11</f>
        <v>1503.7739999999999</v>
      </c>
      <c r="AI59" s="1504">
        <f>AH59-AG59</f>
        <v>9.9859999999998763</v>
      </c>
      <c r="AJ59" s="1162"/>
      <c r="AK59" s="1454">
        <f>AI59</f>
        <v>9.9859999999998763</v>
      </c>
      <c r="AL59" s="1484">
        <f>AK59/AK52-1</f>
        <v>-6.2259367076722527E-2</v>
      </c>
      <c r="AM59" s="1162"/>
      <c r="AN59" s="154"/>
      <c r="AO59" s="1454">
        <v>723.971</v>
      </c>
      <c r="AP59" s="1400"/>
      <c r="AQ59" s="968">
        <f>AO59/D59*100</f>
        <v>67.275109535513664</v>
      </c>
      <c r="AR59" s="61"/>
      <c r="AS59" s="1454">
        <v>333.00099999999998</v>
      </c>
      <c r="AT59" s="1400"/>
      <c r="AU59" s="968">
        <f>AS59/J59*100</f>
        <v>79.731499594160695</v>
      </c>
      <c r="AV59" s="968"/>
      <c r="AW59" s="968"/>
      <c r="AX59" s="968"/>
      <c r="AY59" s="968"/>
      <c r="AZ59" s="61"/>
      <c r="BA59" s="1454">
        <v>8.8089999999999993</v>
      </c>
      <c r="BB59" s="1400"/>
      <c r="BC59" s="968">
        <f>BA59/AK59*100</f>
        <v>88.213498898458937</v>
      </c>
      <c r="BD59" s="154"/>
      <c r="BE59" s="136">
        <v>479.822</v>
      </c>
      <c r="BF59" s="1400">
        <f>(BE59/BE52-1)*100</f>
        <v>-3.735640255034689</v>
      </c>
      <c r="BG59" s="968">
        <f>(BE59/D59)*100</f>
        <v>44.587528516403616</v>
      </c>
      <c r="BH59" s="61"/>
      <c r="BI59" s="136">
        <v>150.88399999999999</v>
      </c>
      <c r="BJ59" s="1400">
        <f>+(BI59/BI52-1)*100</f>
        <v>0.54844363292259057</v>
      </c>
      <c r="BK59" s="968">
        <f t="shared" si="0"/>
        <v>36.126641015388365</v>
      </c>
      <c r="BL59" s="61"/>
      <c r="BM59" s="136">
        <v>6.7430000000000003</v>
      </c>
      <c r="BN59" s="1400">
        <f>+(BM59/BM52-1)*100</f>
        <v>-1.4181286549707517</v>
      </c>
      <c r="BO59" s="968">
        <f>(BM59/AK59)*100</f>
        <v>67.524534348088167</v>
      </c>
      <c r="BP59" s="968"/>
      <c r="BQ59" s="968"/>
      <c r="BR59" s="968"/>
      <c r="BS59" s="968"/>
      <c r="BT59" s="61"/>
      <c r="BU59" s="1541">
        <v>-110.872</v>
      </c>
      <c r="BV59" s="1400"/>
      <c r="BW59" s="1400"/>
      <c r="BX59" s="192">
        <f>'qtrP&amp;L'!BX61</f>
        <v>526.57699999999988</v>
      </c>
      <c r="BY59" s="1400">
        <f>(BX59/BX52-1)*100</f>
        <v>1.0372795109474753</v>
      </c>
      <c r="BZ59" s="1029">
        <f t="shared" si="1"/>
        <v>35.017030484633985</v>
      </c>
      <c r="CA59" s="1554">
        <f t="shared" si="2"/>
        <v>526.57700000000011</v>
      </c>
    </row>
    <row r="60" spans="1:79" s="3" customFormat="1" ht="10.5" customHeight="1">
      <c r="A60" s="956" t="s">
        <v>459</v>
      </c>
      <c r="B60" s="3" t="s">
        <v>166</v>
      </c>
      <c r="C60" s="61"/>
      <c r="D60" s="1422">
        <v>792</v>
      </c>
      <c r="E60" s="1400">
        <f>(D60/D53-1)*100</f>
        <v>7.3170731707317138</v>
      </c>
      <c r="F60" s="1445">
        <f>(D60/'qtrP&amp;L'!BX12)*100</f>
        <v>66.690356338699445</v>
      </c>
      <c r="G60" s="1412">
        <f>'qtrP&amp;L'!BZ12</f>
        <v>1</v>
      </c>
      <c r="H60" s="967"/>
      <c r="I60" s="1176" t="e">
        <v>#REF!</v>
      </c>
      <c r="J60" s="1493">
        <v>385.19200000000001</v>
      </c>
      <c r="K60" s="1400">
        <f>(J60/J53-1)*100</f>
        <v>7.2958217270195025</v>
      </c>
      <c r="L60" s="1400"/>
      <c r="M60" s="967"/>
      <c r="N60" s="195">
        <f>N53*(1+O60/100)</f>
        <v>116.49399999999999</v>
      </c>
      <c r="O60" s="1491">
        <v>40</v>
      </c>
      <c r="P60" s="1447" t="s">
        <v>232</v>
      </c>
      <c r="Q60" s="1447"/>
      <c r="R60" s="1404">
        <f>(N60/'qtrP&amp;L'!BX12)*100</f>
        <v>9.8093767314652158</v>
      </c>
      <c r="S60" s="967"/>
      <c r="T60" s="195">
        <f>T53*(1+(U60/100))</f>
        <v>177.74848080000001</v>
      </c>
      <c r="U60" s="1437">
        <v>-14</v>
      </c>
      <c r="V60" s="1480">
        <v>0</v>
      </c>
      <c r="W60" s="1404">
        <f>(T60/'qtrP&amp;L'!BX12)*100</f>
        <v>14.967310004058682</v>
      </c>
      <c r="X60" s="195"/>
      <c r="Y60" s="192">
        <f>J60-N60-T60</f>
        <v>90.949519200000026</v>
      </c>
      <c r="Z60" s="1484">
        <f>Y60/Y53-1</f>
        <v>0.31609249133067419</v>
      </c>
      <c r="AA60" s="1404">
        <f>(Y60/'qtrP&amp;L'!BX12)*100</f>
        <v>7.6584038437896309</v>
      </c>
      <c r="AB60" s="478"/>
      <c r="AC60" s="478"/>
      <c r="AD60" s="478"/>
      <c r="AE60" s="478"/>
      <c r="AF60" s="478"/>
      <c r="AG60" s="1519">
        <f>D60+J60</f>
        <v>1177.192</v>
      </c>
      <c r="AH60" s="1519">
        <f>'qtrP&amp;L'!BX12</f>
        <v>1187.578</v>
      </c>
      <c r="AI60" s="1504">
        <f>AH60-AG60</f>
        <v>10.385999999999967</v>
      </c>
      <c r="AJ60" s="1162"/>
      <c r="AK60" s="1454">
        <f>AI60</f>
        <v>10.385999999999967</v>
      </c>
      <c r="AL60" s="1484">
        <f>AK60/AK53-1</f>
        <v>-0.13312745179868357</v>
      </c>
      <c r="AM60" s="1162"/>
      <c r="AN60" s="154"/>
      <c r="AO60" s="1454">
        <v>538.99599999999998</v>
      </c>
      <c r="AP60" s="1400"/>
      <c r="AQ60" s="968">
        <f>AO60/D60*100</f>
        <v>68.055050505050502</v>
      </c>
      <c r="AR60" s="61"/>
      <c r="AS60" s="1454">
        <v>311.54399999999998</v>
      </c>
      <c r="AT60" s="1400"/>
      <c r="AU60" s="968">
        <f>AS60/J60*100</f>
        <v>80.880184427506279</v>
      </c>
      <c r="AV60" s="968"/>
      <c r="AW60" s="968"/>
      <c r="AX60" s="968"/>
      <c r="AY60" s="968"/>
      <c r="AZ60" s="61"/>
      <c r="BA60" s="1454">
        <v>7.9989999999999997</v>
      </c>
      <c r="BB60" s="1400"/>
      <c r="BC60" s="968">
        <f>BA60/AK60*100</f>
        <v>77.017138455613562</v>
      </c>
      <c r="BD60" s="154"/>
      <c r="BE60" s="136">
        <v>325.60199999999998</v>
      </c>
      <c r="BF60" s="1400">
        <f>(BE60/BE53-1)*100</f>
        <v>2.5786268536341694</v>
      </c>
      <c r="BG60" s="968">
        <f>(BE60/D60)*100</f>
        <v>41.111363636363635</v>
      </c>
      <c r="BH60" s="61"/>
      <c r="BI60" s="136">
        <v>151.6</v>
      </c>
      <c r="BJ60" s="1400">
        <f>+(BI60/BI53-1)*100</f>
        <v>6.5804274465691703</v>
      </c>
      <c r="BK60" s="968">
        <f t="shared" si="0"/>
        <v>39.356995991609381</v>
      </c>
      <c r="BL60" s="61"/>
      <c r="BM60" s="136">
        <v>6.7</v>
      </c>
      <c r="BN60" s="1400">
        <f>+(BM60/BM53-1)*100</f>
        <v>-5.0318922749822743</v>
      </c>
      <c r="BO60" s="968">
        <f>(BM60/AK60)*100</f>
        <v>64.509917196225899</v>
      </c>
      <c r="BP60" s="968"/>
      <c r="BQ60" s="968"/>
      <c r="BR60" s="968"/>
      <c r="BS60" s="968"/>
      <c r="BT60" s="61"/>
      <c r="BU60" s="1541">
        <v>-135.43100000000001</v>
      </c>
      <c r="BV60" s="1400"/>
      <c r="BW60" s="1400"/>
      <c r="BX60" s="192">
        <f>'qtrP&amp;L'!BX62</f>
        <v>348.49299999999994</v>
      </c>
      <c r="BY60" s="1400">
        <f>(BX60/BX53-1)*100</f>
        <v>3.259632820926095</v>
      </c>
      <c r="BZ60" s="56">
        <f t="shared" si="1"/>
        <v>29.344851453967653</v>
      </c>
      <c r="CA60" s="1554">
        <f t="shared" si="2"/>
        <v>348.471</v>
      </c>
    </row>
    <row r="61" spans="1:79" s="3" customFormat="1" ht="10.5" customHeight="1">
      <c r="A61" s="956" t="s">
        <v>460</v>
      </c>
      <c r="B61" s="3" t="s">
        <v>62</v>
      </c>
      <c r="C61" s="61"/>
      <c r="D61" s="1460">
        <f>D62-SUM(D58:D60)</f>
        <v>825.86499999999978</v>
      </c>
      <c r="E61" s="1400">
        <f>(D61/D54-1)*100</f>
        <v>5.7445582586427291</v>
      </c>
      <c r="F61" s="1445">
        <f>(D61/'qtrP&amp;L'!BX13)*100</f>
        <v>67.545031929650051</v>
      </c>
      <c r="G61" s="1411">
        <f>'qtrP&amp;L'!BZ13</f>
        <v>-1.7</v>
      </c>
      <c r="H61" s="967"/>
      <c r="I61" s="1176" t="e">
        <v>#REF!</v>
      </c>
      <c r="J61" s="1418">
        <f>J62-SUM(J58:J60)</f>
        <v>387.85500000000002</v>
      </c>
      <c r="K61" s="1400">
        <f>(J61/J54-1)*100</f>
        <v>7.1422651933701786</v>
      </c>
      <c r="L61" s="1400"/>
      <c r="M61" s="967"/>
      <c r="N61" s="193">
        <f>N54*(1+O61/100)</f>
        <v>115.56000000000002</v>
      </c>
      <c r="O61" s="1489">
        <v>35.000000000000007</v>
      </c>
      <c r="P61" s="1447" t="s">
        <v>232</v>
      </c>
      <c r="Q61" s="1447"/>
      <c r="R61" s="1404">
        <f>(N61/'qtrP&amp;L'!BX13)*100</f>
        <v>9.4513072836242777</v>
      </c>
      <c r="S61" s="967"/>
      <c r="T61" s="193">
        <f>T54*(1+(U61/100))</f>
        <v>175.02349999999998</v>
      </c>
      <c r="U61" s="1437">
        <v>-15</v>
      </c>
      <c r="V61" s="1480">
        <v>4</v>
      </c>
      <c r="W61" s="1404">
        <f>(T61/'qtrP&amp;L'!BX13)*100</f>
        <v>14.314649362715587</v>
      </c>
      <c r="X61" s="195"/>
      <c r="Y61" s="193">
        <f>J61-N61-T61</f>
        <v>97.271500000000032</v>
      </c>
      <c r="Z61" s="1484">
        <f>Y61/Y54-1</f>
        <v>0.37993332387572787</v>
      </c>
      <c r="AA61" s="1404">
        <f>(Y61/'qtrP&amp;L'!BX13)*100</f>
        <v>7.9555454866654465</v>
      </c>
      <c r="AB61" s="478"/>
      <c r="AC61" s="478"/>
      <c r="AD61" s="478"/>
      <c r="AE61" s="478"/>
      <c r="AF61" s="478"/>
      <c r="AG61" s="1520">
        <f>D61+J61</f>
        <v>1213.7199999999998</v>
      </c>
      <c r="AH61" s="1520">
        <f>'qtrP&amp;L'!BX13</f>
        <v>1222.6880000000001</v>
      </c>
      <c r="AI61" s="1504">
        <f>AH61-AG61</f>
        <v>8.968000000000302</v>
      </c>
      <c r="AJ61" s="1162"/>
      <c r="AK61" s="1410">
        <f>AI61</f>
        <v>8.968000000000302</v>
      </c>
      <c r="AL61" s="1484">
        <f>AK61/AK54-1</f>
        <v>-0.26437535887127561</v>
      </c>
      <c r="AM61" s="1162"/>
      <c r="AN61" s="154"/>
      <c r="AO61" s="1456">
        <f>AO62-SUM(AO58:AO60)</f>
        <v>551.99699999999984</v>
      </c>
      <c r="AP61" s="1400"/>
      <c r="AQ61" s="968">
        <f>AO61/D61*100</f>
        <v>66.838647963044806</v>
      </c>
      <c r="AR61" s="61"/>
      <c r="AS61" s="1456">
        <f>AS62-SUM(AS58:AS60)</f>
        <v>318.94200000000001</v>
      </c>
      <c r="AT61" s="1400"/>
      <c r="AU61" s="968">
        <f>AS61/J61*100</f>
        <v>82.232277526395166</v>
      </c>
      <c r="AV61" s="968"/>
      <c r="AW61" s="968"/>
      <c r="AX61" s="968"/>
      <c r="AY61" s="968"/>
      <c r="AZ61" s="61"/>
      <c r="BA61" s="1456">
        <f>BA62-SUM(BA58:BA60)</f>
        <v>44.564999999999998</v>
      </c>
      <c r="BB61" s="1400"/>
      <c r="BC61" s="968">
        <f>BA61/AK61*100</f>
        <v>496.93354148080397</v>
      </c>
      <c r="BD61" s="154"/>
      <c r="BE61" s="193">
        <f>BE62-SUM(BE58:BE60)</f>
        <v>329.01599999999985</v>
      </c>
      <c r="BF61" s="1400">
        <f>(BE61/BE54-1)*100</f>
        <v>1.7739984719175927</v>
      </c>
      <c r="BG61" s="968">
        <f>(BE61/D61)*100</f>
        <v>39.838956730216189</v>
      </c>
      <c r="BH61" s="61"/>
      <c r="BI61" s="193">
        <f>BI62-SUM(BI58:BI60)</f>
        <v>143.43300000000011</v>
      </c>
      <c r="BJ61" s="1400">
        <f>+(BI61/BI54-1)*100</f>
        <v>9.799283483373177</v>
      </c>
      <c r="BK61" s="968">
        <f t="shared" si="0"/>
        <v>36.981088293305511</v>
      </c>
      <c r="BL61" s="61"/>
      <c r="BM61" s="193">
        <f>BM62-SUM(BM58:BM60)</f>
        <v>10.602</v>
      </c>
      <c r="BN61" s="1400">
        <f>+(BM61/BM54-1)*100</f>
        <v>-20.815594891328693</v>
      </c>
      <c r="BO61" s="968">
        <f>(BM61/AK61)*100</f>
        <v>118.22033898304687</v>
      </c>
      <c r="BP61" s="968"/>
      <c r="BQ61" s="968"/>
      <c r="BR61" s="968"/>
      <c r="BS61" s="968"/>
      <c r="BT61" s="61"/>
      <c r="BU61" s="1539">
        <f>BU62-SUM(BU58:BU60)</f>
        <v>-112.04199999999992</v>
      </c>
      <c r="BV61" s="1400"/>
      <c r="BW61" s="1400"/>
      <c r="BX61" s="193">
        <f>'qtrP&amp;L'!BX63</f>
        <v>370.95600000000013</v>
      </c>
      <c r="BY61" s="1400">
        <f>(BX61/BX54-1)*100</f>
        <v>0.10443399205006809</v>
      </c>
      <c r="BZ61" s="56">
        <f t="shared" si="1"/>
        <v>30.339383391347596</v>
      </c>
      <c r="CA61" s="1553">
        <f>BE61+BI61+BM61+BU61</f>
        <v>371.00900000000001</v>
      </c>
    </row>
    <row r="62" spans="1:79" s="3" customFormat="1" ht="10.5" customHeight="1">
      <c r="A62" s="956"/>
      <c r="B62" s="61" t="s">
        <v>461</v>
      </c>
      <c r="C62" s="61"/>
      <c r="D62" s="1421">
        <v>3478.2</v>
      </c>
      <c r="E62" s="1400">
        <f>(D62/D55-1)*100</f>
        <v>4.8282097649186229</v>
      </c>
      <c r="F62" s="315"/>
      <c r="G62" s="1412">
        <f>'qtrP&amp;L'!BZ14</f>
        <v>0.3</v>
      </c>
      <c r="H62" s="1034"/>
      <c r="I62" s="691"/>
      <c r="J62" s="1448">
        <v>1558.1</v>
      </c>
      <c r="K62" s="1400">
        <f>(J62/J55-1)*100</f>
        <v>11.054882394868137</v>
      </c>
      <c r="L62" s="1400"/>
      <c r="M62" s="967"/>
      <c r="N62" s="983">
        <f>SUM(N58:N61)</f>
        <v>428.84399999999999</v>
      </c>
      <c r="O62" s="1491">
        <f>(N62/N55-1)*100</f>
        <v>38.421613246828692</v>
      </c>
      <c r="P62" s="1400"/>
      <c r="Q62" s="1400"/>
      <c r="R62" s="1404">
        <f>(N62/'qtrP&amp;L'!BX14)*100</f>
        <v>8.4494787592677625</v>
      </c>
      <c r="S62" s="967"/>
      <c r="T62" s="983">
        <f>SUM(T58:T61)</f>
        <v>762.00548499500007</v>
      </c>
      <c r="U62" s="1400">
        <f>(T62/T55-1)*100</f>
        <v>-9.0950007630924539</v>
      </c>
      <c r="V62" s="1473"/>
      <c r="W62" s="1404">
        <f>(T62/'qtrP&amp;L'!BX14)*100</f>
        <v>15.013732639166649</v>
      </c>
      <c r="X62" s="1037"/>
      <c r="Y62" s="1036">
        <f>SUM(Y58:Y61)</f>
        <v>367.25051500500001</v>
      </c>
      <c r="Z62" s="1484">
        <f>Y62/Y55-1</f>
        <v>0.44050179820558522</v>
      </c>
      <c r="AA62" s="1404">
        <f>(Y62/'qtrP&amp;L'!BX14)*100</f>
        <v>7.2359072899816574</v>
      </c>
      <c r="AB62" s="478"/>
      <c r="AC62" s="478"/>
      <c r="AD62" s="478"/>
      <c r="AE62" s="478"/>
      <c r="AF62" s="478"/>
      <c r="AG62" s="1519">
        <f>D62+J62</f>
        <v>5036.2999999999993</v>
      </c>
      <c r="AH62" s="1519">
        <f>'qtrP&amp;L'!BX14</f>
        <v>5075.3899999999994</v>
      </c>
      <c r="AI62" s="1504">
        <f>AH62-AG62</f>
        <v>39.090000000000146</v>
      </c>
      <c r="AJ62" s="1162"/>
      <c r="AK62" s="983">
        <f>SUM(AK58:AK61)</f>
        <v>39.090000000000146</v>
      </c>
      <c r="AL62" s="1484">
        <f>AK62/AK55-1</f>
        <v>-7.3257467994303105E-2</v>
      </c>
      <c r="AM62" s="1162"/>
      <c r="AN62" s="1179">
        <v>9</v>
      </c>
      <c r="AO62" s="1457">
        <f>AO69+353.1</f>
        <v>2347.1</v>
      </c>
      <c r="AP62" s="1400">
        <f>(AO62/AO55-1)*100</f>
        <v>3.6521815933580504</v>
      </c>
      <c r="AQ62" s="968">
        <f>AO62/D62*100</f>
        <v>67.480305905353347</v>
      </c>
      <c r="AR62" s="61"/>
      <c r="AS62" s="1457">
        <f>AS69-40</f>
        <v>1255</v>
      </c>
      <c r="AT62" s="1400">
        <f>(AS62/AS55-1)*100</f>
        <v>10.19404688734744</v>
      </c>
      <c r="AU62" s="968">
        <f>AS62/J62*100</f>
        <v>80.546819844682631</v>
      </c>
      <c r="AV62" s="968"/>
      <c r="AW62" s="968"/>
      <c r="AX62" s="968"/>
      <c r="AY62" s="968"/>
      <c r="AZ62" s="61"/>
      <c r="BA62" s="1457">
        <v>69.5</v>
      </c>
      <c r="BB62" s="1400"/>
      <c r="BC62" s="968">
        <f>BA62/AK62*100</f>
        <v>177.79483243796301</v>
      </c>
      <c r="BD62" s="154"/>
      <c r="BE62" s="969">
        <v>1459.9739999999999</v>
      </c>
      <c r="BF62" s="1400">
        <f>(BE62/BE55-1)*100</f>
        <v>0.82944051095192872</v>
      </c>
      <c r="BG62" s="968">
        <f>(BE62/D62)*100</f>
        <v>41.974987062273591</v>
      </c>
      <c r="BH62" s="61"/>
      <c r="BI62" s="969">
        <v>582.20000000000005</v>
      </c>
      <c r="BJ62" s="1400">
        <f>+(BI62/BI55-1)*100</f>
        <v>5.1215614758908456</v>
      </c>
      <c r="BK62" s="968">
        <f t="shared" si="0"/>
        <v>37.366022719979469</v>
      </c>
      <c r="BL62" s="61"/>
      <c r="BM62" s="969">
        <v>30</v>
      </c>
      <c r="BN62" s="1400">
        <f>+(BM62/BM55-1)*100</f>
        <v>-1.335262777083468</v>
      </c>
      <c r="BO62" s="968">
        <f>(BM62/AK62)*100</f>
        <v>76.745970836530802</v>
      </c>
      <c r="BP62" s="968"/>
      <c r="BQ62" s="968"/>
      <c r="BR62" s="968"/>
      <c r="BS62" s="968"/>
      <c r="BT62" s="61"/>
      <c r="BU62" s="1540">
        <v>-494.4</v>
      </c>
      <c r="BV62" s="1400"/>
      <c r="BW62" s="1400"/>
      <c r="BX62" s="983">
        <f>'qtrP&amp;L'!BX64</f>
        <v>1577.7429999999999</v>
      </c>
      <c r="BY62" s="1400">
        <f>(BX62/BX55-1)*100</f>
        <v>1.7112580083264772</v>
      </c>
      <c r="BZ62" s="56">
        <f t="shared" si="1"/>
        <v>31.086143133828141</v>
      </c>
      <c r="CA62" s="122">
        <f t="shared" si="2"/>
        <v>1577.7739999999999</v>
      </c>
    </row>
    <row r="63" spans="1:79" s="3" customFormat="1">
      <c r="A63" s="61"/>
      <c r="B63" s="61"/>
      <c r="C63" s="61"/>
      <c r="D63" s="1462"/>
      <c r="E63" s="1400"/>
      <c r="F63" s="315"/>
      <c r="G63" s="1412"/>
      <c r="H63" s="983"/>
      <c r="J63" s="1448"/>
      <c r="K63" s="1400"/>
      <c r="L63" s="1400"/>
      <c r="M63" s="967"/>
      <c r="N63" s="983"/>
      <c r="O63" s="1490"/>
      <c r="P63" s="122"/>
      <c r="Q63" s="122"/>
      <c r="R63" s="1404"/>
      <c r="S63" s="983"/>
      <c r="T63" s="983"/>
      <c r="U63" s="65"/>
      <c r="V63" s="1479"/>
      <c r="W63" s="65"/>
      <c r="X63" s="154"/>
      <c r="Y63" s="154"/>
      <c r="Z63" s="115"/>
      <c r="AA63" s="1404"/>
      <c r="AB63" s="154"/>
      <c r="AC63" s="154"/>
      <c r="AD63" s="154"/>
      <c r="AE63" s="154"/>
      <c r="AF63" s="154"/>
      <c r="AG63" s="1502"/>
      <c r="AH63" s="1521"/>
      <c r="AI63" s="1504"/>
      <c r="AJ63" s="154"/>
      <c r="AK63" s="1180"/>
      <c r="AL63" s="115"/>
      <c r="AM63" s="154"/>
      <c r="AN63" s="154"/>
      <c r="AO63" s="61"/>
      <c r="AP63" s="65"/>
      <c r="AQ63" s="61"/>
      <c r="AR63" s="61"/>
      <c r="AS63" s="61"/>
      <c r="AT63" s="65"/>
      <c r="AU63" s="61"/>
      <c r="AV63" s="61"/>
      <c r="AW63" s="61"/>
      <c r="AX63" s="61"/>
      <c r="AY63" s="61"/>
      <c r="AZ63" s="61"/>
      <c r="BA63" s="61"/>
      <c r="BB63" s="65"/>
      <c r="BC63" s="968"/>
      <c r="BD63" s="154"/>
      <c r="BE63" s="192"/>
      <c r="BF63" s="65"/>
      <c r="BG63" s="968"/>
      <c r="BH63" s="61"/>
      <c r="BI63" s="192"/>
      <c r="BJ63" s="1393"/>
      <c r="BK63" s="968"/>
      <c r="BL63" s="61"/>
      <c r="BM63" s="61"/>
      <c r="BN63" s="65"/>
      <c r="BO63" s="968"/>
      <c r="BP63" s="968"/>
      <c r="BQ63" s="968"/>
      <c r="BR63" s="968"/>
      <c r="BS63" s="968"/>
      <c r="BT63" s="61"/>
      <c r="BU63" s="1537"/>
      <c r="BV63" s="65"/>
      <c r="BW63" s="65"/>
      <c r="BX63" s="56"/>
      <c r="BY63" s="56"/>
      <c r="BZ63" s="56"/>
      <c r="CA63" s="1401"/>
    </row>
    <row r="64" spans="1:79" s="3" customFormat="1">
      <c r="A64" s="956"/>
      <c r="B64" s="965" t="s">
        <v>730</v>
      </c>
      <c r="C64" s="61"/>
      <c r="D64" s="1422"/>
      <c r="E64" s="1400"/>
      <c r="F64" s="315"/>
      <c r="G64" s="1414"/>
      <c r="H64" s="983"/>
      <c r="J64" s="1421"/>
      <c r="K64" s="1400"/>
      <c r="L64" s="1400"/>
      <c r="M64" s="967"/>
      <c r="N64" s="983"/>
      <c r="O64" s="1490"/>
      <c r="P64" s="122"/>
      <c r="Q64" s="122"/>
      <c r="R64" s="1404"/>
      <c r="S64" s="983"/>
      <c r="T64" s="983"/>
      <c r="U64" s="65"/>
      <c r="V64" s="1479"/>
      <c r="W64" s="65"/>
      <c r="X64" s="154"/>
      <c r="Y64" s="195"/>
      <c r="Z64" s="115"/>
      <c r="AA64" s="1404"/>
      <c r="AB64" s="154"/>
      <c r="AC64" s="154"/>
      <c r="AD64" s="154"/>
      <c r="AE64" s="154"/>
      <c r="AF64" s="154"/>
      <c r="AG64" s="1502"/>
      <c r="AH64" s="1521"/>
      <c r="AI64" s="1504"/>
      <c r="AJ64" s="154"/>
      <c r="AK64" s="1180"/>
      <c r="AL64" s="115"/>
      <c r="AM64" s="154"/>
      <c r="AN64" s="154"/>
      <c r="AO64" s="61"/>
      <c r="AP64" s="1466"/>
      <c r="AQ64" s="61"/>
      <c r="AR64" s="61"/>
      <c r="AS64" s="61"/>
      <c r="AT64" s="65"/>
      <c r="AU64" s="61"/>
      <c r="AV64" s="61"/>
      <c r="AW64" s="61"/>
      <c r="AX64" s="61"/>
      <c r="AY64" s="61"/>
      <c r="AZ64" s="61"/>
      <c r="BA64" s="61"/>
      <c r="BB64" s="65"/>
      <c r="BC64" s="968"/>
      <c r="BD64" s="154"/>
      <c r="BE64" s="61"/>
      <c r="BF64" s="65"/>
      <c r="BG64" s="61"/>
      <c r="BH64" s="61"/>
      <c r="BI64" s="192"/>
      <c r="BJ64" s="65"/>
      <c r="BK64" s="968"/>
      <c r="BL64" s="61"/>
      <c r="BM64" s="61"/>
      <c r="BN64" s="65"/>
      <c r="BO64" s="968"/>
      <c r="BP64" s="968"/>
      <c r="BQ64" s="968"/>
      <c r="BR64" s="968"/>
      <c r="BS64" s="968"/>
      <c r="BT64" s="61"/>
      <c r="BU64" s="1537"/>
      <c r="BV64" s="65"/>
      <c r="BW64" s="65"/>
      <c r="BX64" s="56"/>
      <c r="BY64" s="56"/>
      <c r="BZ64" s="56"/>
      <c r="CA64" s="1401"/>
    </row>
    <row r="65" spans="1:79" s="3" customFormat="1" ht="10.5" customHeight="1">
      <c r="A65" s="956" t="s">
        <v>457</v>
      </c>
      <c r="B65" s="61" t="s">
        <v>63</v>
      </c>
      <c r="C65" s="61"/>
      <c r="D65" s="1421">
        <v>778</v>
      </c>
      <c r="E65" s="1400">
        <f>(D65/D58-1)*100</f>
        <v>-0.7906146391226776</v>
      </c>
      <c r="F65" s="1445">
        <f>(D65/'qtrP&amp;L'!CB10)*100</f>
        <v>67.607494177760785</v>
      </c>
      <c r="G65" s="1412">
        <f>'qtrP&amp;L'!CD10</f>
        <v>-6.8</v>
      </c>
      <c r="H65" s="983"/>
      <c r="I65" s="1176" t="e">
        <v>#REF!</v>
      </c>
      <c r="J65" s="1448">
        <v>365</v>
      </c>
      <c r="K65" s="1400">
        <f>(J65/J58-1)*100</f>
        <v>-0.65323897659226304</v>
      </c>
      <c r="L65" s="1480">
        <v>9</v>
      </c>
      <c r="M65" s="967"/>
      <c r="N65" s="966">
        <f>N58*(1+O65/100)</f>
        <v>116.16230000000002</v>
      </c>
      <c r="O65" s="1491">
        <v>37</v>
      </c>
      <c r="P65" s="1447" t="s">
        <v>232</v>
      </c>
      <c r="Q65" s="1447"/>
      <c r="R65" s="1404">
        <f>(N65/'qtrP&amp;L'!CB10)*100</f>
        <v>10.094398484479823</v>
      </c>
      <c r="S65" s="983"/>
      <c r="T65" s="966">
        <f>T58*(1+U65/100)</f>
        <v>149.08570560000001</v>
      </c>
      <c r="U65" s="1437">
        <v>-22</v>
      </c>
      <c r="V65" s="1480">
        <v>-2</v>
      </c>
      <c r="W65" s="1404">
        <f>(T65/'qtrP&amp;L'!CB10)*100</f>
        <v>12.955412562132853</v>
      </c>
      <c r="X65" s="154"/>
      <c r="Y65" s="966">
        <f>J65-N65-T65</f>
        <v>99.751994399999973</v>
      </c>
      <c r="Z65" s="1484">
        <f>Y65/Y58-1</f>
        <v>9.0489876520752466E-2</v>
      </c>
      <c r="AA65" s="1404">
        <f>(Y65/'qtrP&amp;L'!CB10)*100</f>
        <v>8.6683578157044021</v>
      </c>
      <c r="AB65" s="478"/>
      <c r="AC65" s="478"/>
      <c r="AD65" s="478"/>
      <c r="AE65" s="478"/>
      <c r="AF65" s="478"/>
      <c r="AG65" s="1502">
        <f>D65+J65</f>
        <v>1143</v>
      </c>
      <c r="AH65" s="1502">
        <f>'qtrP&amp;L'!CB10</f>
        <v>1150.76</v>
      </c>
      <c r="AI65" s="1504">
        <f>AH65-AG65</f>
        <v>7.7599999999999909</v>
      </c>
      <c r="AJ65" s="1162"/>
      <c r="AK65" s="1457">
        <f>AI65</f>
        <v>7.7599999999999909</v>
      </c>
      <c r="AL65" s="1484">
        <f>AK65/AK58-1</f>
        <v>-0.204102564102565</v>
      </c>
      <c r="AM65" s="1162"/>
      <c r="AN65" s="1179">
        <v>-1</v>
      </c>
      <c r="AO65" s="1457">
        <f>1550.963-AO66-AO67</f>
        <v>510.38399999999996</v>
      </c>
      <c r="AP65" s="1400">
        <f>+(AO65/AO58-1)*100</f>
        <v>-4.0876768344934593</v>
      </c>
      <c r="AQ65" s="968">
        <f>AO65/D65*100</f>
        <v>65.602056555269911</v>
      </c>
      <c r="AR65" s="61"/>
      <c r="AS65" s="1457">
        <f>971.505-AS66-AS67</f>
        <v>292.57699999999994</v>
      </c>
      <c r="AT65" s="1400">
        <f>+(AS65/AS58-1)*100</f>
        <v>0.36499229879967121</v>
      </c>
      <c r="AU65" s="968">
        <f>AS65/J65*100</f>
        <v>80.158082191780807</v>
      </c>
      <c r="AV65" s="968"/>
      <c r="AW65" s="56"/>
      <c r="AX65" s="968"/>
      <c r="AY65" s="968"/>
      <c r="AZ65" s="61"/>
      <c r="BA65" s="1457">
        <v>17.100000000000001</v>
      </c>
      <c r="BB65" s="1400">
        <f>+(BA65/BA58-1)*100</f>
        <v>110.40974529346626</v>
      </c>
      <c r="BC65" s="968">
        <f>BA65/AK65*100</f>
        <v>220.36082474226833</v>
      </c>
      <c r="BD65" s="154"/>
      <c r="BE65" s="1457">
        <v>299.625</v>
      </c>
      <c r="BF65" s="1400">
        <f>+(BE65/BE58-1)*100</f>
        <v>-7.958922877487451</v>
      </c>
      <c r="BG65" s="968">
        <f>(BE65/D65)*100</f>
        <v>38.51221079691517</v>
      </c>
      <c r="BH65" s="184"/>
      <c r="BI65" s="1457">
        <v>130.06899999999999</v>
      </c>
      <c r="BJ65" s="1400">
        <f>+(BI65/BI58-1)*100</f>
        <v>-4.5596295943000964</v>
      </c>
      <c r="BK65" s="968">
        <f t="shared" si="0"/>
        <v>35.635342465753425</v>
      </c>
      <c r="BL65" s="184"/>
      <c r="BM65" s="1457">
        <v>5.6</v>
      </c>
      <c r="BN65" s="1400">
        <f>+(BM65/BM58-1)*100</f>
        <v>-5.9613769941225918</v>
      </c>
      <c r="BO65" s="968">
        <f>(BM65/AK65)*100</f>
        <v>72.164948453608318</v>
      </c>
      <c r="BP65" s="968"/>
      <c r="BQ65" s="968"/>
      <c r="BR65" s="968"/>
      <c r="BS65" s="968"/>
      <c r="BT65" s="184"/>
      <c r="BU65" s="1536">
        <v>-113.7</v>
      </c>
      <c r="BV65" s="1400">
        <f>+(BU65/BU58-1)*100</f>
        <v>-16.430855168865534</v>
      </c>
      <c r="BW65" s="1400"/>
      <c r="BX65" s="983">
        <f>'qtrP&amp;L'!CB60</f>
        <v>321.63399999999996</v>
      </c>
      <c r="BY65" s="1400">
        <f>(BX65/BX58-1)*100</f>
        <v>-3.0396392105318415</v>
      </c>
      <c r="BZ65" s="56">
        <f t="shared" si="1"/>
        <v>27.94970280510271</v>
      </c>
      <c r="CA65" s="122">
        <f t="shared" si="2"/>
        <v>321.59399999999999</v>
      </c>
    </row>
    <row r="66" spans="1:79" s="3" customFormat="1" ht="10.5" customHeight="1">
      <c r="A66" s="956" t="s">
        <v>458</v>
      </c>
      <c r="B66" s="61" t="s">
        <v>167</v>
      </c>
      <c r="C66" s="61"/>
      <c r="D66" s="1422">
        <v>983</v>
      </c>
      <c r="E66" s="1400">
        <f>(D66/D59-1)*100</f>
        <v>-8.6545833004223471</v>
      </c>
      <c r="F66" s="1445">
        <f>(D66/'qtrP&amp;L'!CB11)*100</f>
        <v>69.243687060799203</v>
      </c>
      <c r="G66" s="1412">
        <f>'qtrP&amp;L'!CD11</f>
        <v>-13.6</v>
      </c>
      <c r="H66" s="983"/>
      <c r="I66" s="1176" t="e">
        <v>#REF!</v>
      </c>
      <c r="J66" s="1493">
        <v>424.6</v>
      </c>
      <c r="K66" s="1400">
        <f>(J66/J59-1)*100</f>
        <v>1.6633425355498499</v>
      </c>
      <c r="L66" s="1480">
        <v>11</v>
      </c>
      <c r="M66" s="967"/>
      <c r="N66" s="192">
        <f>N59*(1+O66/100)</f>
        <v>141.12</v>
      </c>
      <c r="O66" s="1491">
        <v>26</v>
      </c>
      <c r="P66" s="1447" t="s">
        <v>232</v>
      </c>
      <c r="Q66" s="1447"/>
      <c r="R66" s="1404">
        <f>(N66/'qtrP&amp;L'!CB11)*100</f>
        <v>9.9406603438656997</v>
      </c>
      <c r="S66" s="983"/>
      <c r="T66" s="192">
        <f>T59*(1+U66/100)</f>
        <v>172.29740751404998</v>
      </c>
      <c r="U66" s="1437">
        <v>-21</v>
      </c>
      <c r="V66" s="1480">
        <v>-2</v>
      </c>
      <c r="W66" s="1404">
        <f>(T66/'qtrP&amp;L'!CB11)*100</f>
        <v>12.136833944343712</v>
      </c>
      <c r="X66" s="154"/>
      <c r="Y66" s="192">
        <f>J66-N66-T66</f>
        <v>111.18259248595004</v>
      </c>
      <c r="Z66" s="1484">
        <f>Y66/Y59-1</f>
        <v>0.2698597728949379</v>
      </c>
      <c r="AA66" s="1404">
        <f>(Y66/'qtrP&amp;L'!CB11)*100</f>
        <v>7.8318338155701817</v>
      </c>
      <c r="AB66" s="478"/>
      <c r="AC66" s="478"/>
      <c r="AD66" s="478"/>
      <c r="AE66" s="478"/>
      <c r="AF66" s="478"/>
      <c r="AG66" s="1519">
        <f>D66+J66</f>
        <v>1407.6</v>
      </c>
      <c r="AH66" s="1519">
        <f>'qtrP&amp;L'!CB11</f>
        <v>1419.624</v>
      </c>
      <c r="AI66" s="1504">
        <f>AH66-AG66</f>
        <v>12.024000000000115</v>
      </c>
      <c r="AJ66" s="1162"/>
      <c r="AK66" s="1454">
        <f>AI66</f>
        <v>12.024000000000115</v>
      </c>
      <c r="AL66" s="1484">
        <f>AK66/AK59-1</f>
        <v>0.20408572000803771</v>
      </c>
      <c r="AM66" s="1162"/>
      <c r="AN66" s="1179">
        <v>-1</v>
      </c>
      <c r="AO66" s="1454">
        <v>627.62099999999998</v>
      </c>
      <c r="AP66" s="1400">
        <f>+(AO66/AO59-1)*100</f>
        <v>-13.308544126767508</v>
      </c>
      <c r="AQ66" s="968">
        <f>AO66/D66*100</f>
        <v>63.847507629704978</v>
      </c>
      <c r="AR66" s="61"/>
      <c r="AS66" s="1454">
        <v>330.93599999999998</v>
      </c>
      <c r="AT66" s="1400">
        <f>+(AS66/AS59-1)*100</f>
        <v>-0.62011825790312392</v>
      </c>
      <c r="AU66" s="968">
        <f>AS66/J66*100</f>
        <v>77.940650023551569</v>
      </c>
      <c r="AV66" s="968"/>
      <c r="AW66" s="56"/>
      <c r="AX66" s="968"/>
      <c r="AY66" s="968"/>
      <c r="AZ66" s="61"/>
      <c r="BA66" s="1454">
        <v>9.8320000000000007</v>
      </c>
      <c r="BB66" s="1400">
        <f>+(BA66/BA59-1)*100</f>
        <v>11.613122942445253</v>
      </c>
      <c r="BC66" s="968">
        <f>BA66/AK66*100</f>
        <v>81.769793745840886</v>
      </c>
      <c r="BD66" s="154"/>
      <c r="BE66" s="1533">
        <v>404.50200000000001</v>
      </c>
      <c r="BF66" s="1400">
        <f>+(BE66/BE59-1)*100</f>
        <v>-15.697487818399324</v>
      </c>
      <c r="BG66" s="968">
        <f>(BE66/D66)*100</f>
        <v>41.149745676500508</v>
      </c>
      <c r="BH66" s="61"/>
      <c r="BI66" s="1533">
        <v>141.09399999999999</v>
      </c>
      <c r="BJ66" s="1400">
        <f>+(BI66/BI59-1)*100</f>
        <v>-6.4884281964953221</v>
      </c>
      <c r="BK66" s="968">
        <f t="shared" si="0"/>
        <v>33.229863400847854</v>
      </c>
      <c r="BL66" s="61"/>
      <c r="BM66" s="1533">
        <v>8.4610000000000003</v>
      </c>
      <c r="BN66" s="1400">
        <f>+(BM66/BM59-1)*100</f>
        <v>25.478273765386316</v>
      </c>
      <c r="BO66" s="968">
        <f>(BM66/AK66)*100</f>
        <v>70.36759813705855</v>
      </c>
      <c r="BP66" s="968"/>
      <c r="BQ66" s="968"/>
      <c r="BR66" s="968"/>
      <c r="BS66" s="968"/>
      <c r="BT66" s="61"/>
      <c r="BU66" s="1541">
        <v>-118.114</v>
      </c>
      <c r="BV66" s="1400">
        <f>+(BU66/BU59-1)*100</f>
        <v>6.531856555307014</v>
      </c>
      <c r="BW66" s="1400"/>
      <c r="BX66" s="192">
        <f>'qtrP&amp;L'!CB61</f>
        <v>435.9430000000001</v>
      </c>
      <c r="BY66" s="1400">
        <f>(BX66/BX59-1)*100</f>
        <v>-17.211917725232929</v>
      </c>
      <c r="BZ66" s="56">
        <f t="shared" si="1"/>
        <v>30.708342490687677</v>
      </c>
      <c r="CA66" s="1554">
        <f t="shared" si="2"/>
        <v>435.94299999999998</v>
      </c>
    </row>
    <row r="67" spans="1:79" s="3" customFormat="1" ht="10.5" customHeight="1">
      <c r="A67" s="956" t="s">
        <v>459</v>
      </c>
      <c r="B67" s="61" t="s">
        <v>166</v>
      </c>
      <c r="C67" s="61"/>
      <c r="D67" s="1422">
        <v>647.923</v>
      </c>
      <c r="E67" s="1400">
        <f>(D67/D60-1)*100</f>
        <v>-18.191540404040406</v>
      </c>
      <c r="F67" s="1445">
        <f>(D67/'qtrP&amp;L'!CB12)*100</f>
        <v>58.922124431397584</v>
      </c>
      <c r="G67" s="1412">
        <f>'qtrP&amp;L'!CD12</f>
        <v>-21.4</v>
      </c>
      <c r="H67" s="983"/>
      <c r="I67" s="1176" t="e">
        <v>#REF!</v>
      </c>
      <c r="J67" s="1493">
        <v>440.63499999999999</v>
      </c>
      <c r="K67" s="1400">
        <f>(J67/J60-1)*100</f>
        <v>14.393601113211062</v>
      </c>
      <c r="L67" s="1480">
        <v>20</v>
      </c>
      <c r="M67" s="967"/>
      <c r="N67" s="195">
        <f>N60*(1+O67/100)</f>
        <v>149.11231999999998</v>
      </c>
      <c r="O67" s="1491">
        <v>28</v>
      </c>
      <c r="P67" s="1447" t="s">
        <v>232</v>
      </c>
      <c r="Q67" s="1447"/>
      <c r="R67" s="1404">
        <f>(N67/'qtrP&amp;L'!CB12)*100</f>
        <v>13.560275948367897</v>
      </c>
      <c r="S67" s="983"/>
      <c r="T67" s="195">
        <f>T60*(1+U67/100)</f>
        <v>174.19351118400002</v>
      </c>
      <c r="U67" s="1437">
        <v>-2</v>
      </c>
      <c r="V67" s="1480">
        <v>10</v>
      </c>
      <c r="W67" s="1404">
        <f>(T67/'qtrP&amp;L'!CB12)*100</f>
        <v>15.841159738311028</v>
      </c>
      <c r="X67" s="154"/>
      <c r="Y67" s="195">
        <f>J67-N67-T67</f>
        <v>117.32916881600002</v>
      </c>
      <c r="Z67" s="1484">
        <f>Y67/Y60-1</f>
        <v>0.29004715855606178</v>
      </c>
      <c r="AA67" s="1404">
        <f>(Y67/'qtrP&amp;L'!CB12)*100</f>
        <v>10.669915845569314</v>
      </c>
      <c r="AB67" s="478"/>
      <c r="AC67" s="478"/>
      <c r="AD67" s="478"/>
      <c r="AE67" s="478"/>
      <c r="AF67" s="478"/>
      <c r="AG67" s="1519">
        <f>D67+J67</f>
        <v>1088.558</v>
      </c>
      <c r="AH67" s="1519">
        <f>'qtrP&amp;L'!CB12</f>
        <v>1099.626</v>
      </c>
      <c r="AI67" s="1504">
        <f>AH67-AG67</f>
        <v>11.067999999999984</v>
      </c>
      <c r="AJ67" s="1162"/>
      <c r="AK67" s="1454">
        <f>AI67</f>
        <v>11.067999999999984</v>
      </c>
      <c r="AL67" s="1484">
        <f>AK67/AK60-1</f>
        <v>6.5665318698249431E-2</v>
      </c>
      <c r="AM67" s="1162"/>
      <c r="AN67" s="195"/>
      <c r="AO67" s="1454">
        <v>412.95800000000003</v>
      </c>
      <c r="AP67" s="1400">
        <f>+(AO67/AO60-1)*100</f>
        <v>-23.383847004430447</v>
      </c>
      <c r="AQ67" s="968">
        <f>AO67/D67*100</f>
        <v>63.735659947246823</v>
      </c>
      <c r="AR67" s="61"/>
      <c r="AS67" s="1454">
        <v>347.99200000000002</v>
      </c>
      <c r="AT67" s="1400">
        <f>+(AS67/AS60-1)*100</f>
        <v>11.699150039801776</v>
      </c>
      <c r="AU67" s="968">
        <f>AS67/J67*100</f>
        <v>78.975115458372585</v>
      </c>
      <c r="AV67" s="968"/>
      <c r="AW67" s="56"/>
      <c r="AX67" s="968"/>
      <c r="AY67" s="968"/>
      <c r="AZ67" s="61"/>
      <c r="BA67" s="1454">
        <v>13.2</v>
      </c>
      <c r="BB67" s="1400">
        <f>+(BA67/BA60-1)*100</f>
        <v>65.020627578447304</v>
      </c>
      <c r="BC67" s="968">
        <f>BA67/AK67*100</f>
        <v>119.26273942898462</v>
      </c>
      <c r="BD67" s="154"/>
      <c r="BE67" s="1454">
        <v>222.00200000000001</v>
      </c>
      <c r="BF67" s="1400">
        <f>+(BE67/BE60-1)*100</f>
        <v>-31.817986376005059</v>
      </c>
      <c r="BG67" s="968">
        <f>(BE67/D67)*100</f>
        <v>34.26363935220698</v>
      </c>
      <c r="BH67" s="61"/>
      <c r="BI67" s="1454">
        <v>163.649</v>
      </c>
      <c r="BJ67" s="1400">
        <f>+(BI67/BI60-1)*100</f>
        <v>7.9478891820580433</v>
      </c>
      <c r="BK67" s="968">
        <f t="shared" si="0"/>
        <v>37.139355702565616</v>
      </c>
      <c r="BL67" s="61"/>
      <c r="BM67" s="1454">
        <v>5.7240000000000002</v>
      </c>
      <c r="BN67" s="1400">
        <f>+(BM67/BM60-1)*100</f>
        <v>-14.567164179104475</v>
      </c>
      <c r="BO67" s="968">
        <f>(BM67/AK67)*100</f>
        <v>51.716660643296066</v>
      </c>
      <c r="BP67" s="968"/>
      <c r="BQ67" s="968"/>
      <c r="BR67" s="968"/>
      <c r="BS67" s="968"/>
      <c r="BT67" s="61"/>
      <c r="BU67" s="1538">
        <v>-128.666</v>
      </c>
      <c r="BV67" s="1400">
        <f>+(BU67/BU60-1)*100</f>
        <v>-4.9951635888386026</v>
      </c>
      <c r="BW67" s="1400"/>
      <c r="BX67" s="192">
        <f>'qtrP&amp;L'!CB62</f>
        <v>262.70899999999995</v>
      </c>
      <c r="BY67" s="1400">
        <f>(BX67/BX60-1)*100</f>
        <v>-24.615702467481416</v>
      </c>
      <c r="BZ67" s="56">
        <f t="shared" si="1"/>
        <v>23.890759221771763</v>
      </c>
      <c r="CA67" s="1554">
        <f t="shared" si="2"/>
        <v>262.709</v>
      </c>
    </row>
    <row r="68" spans="1:79" s="3" customFormat="1" ht="10.5" customHeight="1">
      <c r="A68" s="956" t="s">
        <v>460</v>
      </c>
      <c r="B68" s="61" t="s">
        <v>62</v>
      </c>
      <c r="C68" s="61"/>
      <c r="D68" s="1460">
        <f>D69-SUM(D65:D67)</f>
        <v>691.57700000000023</v>
      </c>
      <c r="E68" s="1400">
        <f>(D68/D61-1)*100</f>
        <v>-16.260284671223456</v>
      </c>
      <c r="F68" s="1445">
        <f>(D68/'qtrP&amp;L'!CB13)*100</f>
        <v>60.866683799559262</v>
      </c>
      <c r="G68" s="1411">
        <f>'qtrP&amp;L'!CD13</f>
        <v>-17</v>
      </c>
      <c r="H68" s="983"/>
      <c r="I68" s="1176" t="e">
        <v>#REF!</v>
      </c>
      <c r="J68" s="1418">
        <f>J69-SUM(J65:J67)</f>
        <v>413.96499999999992</v>
      </c>
      <c r="K68" s="1400">
        <f>(J68/J61-1)*100</f>
        <v>6.7318972296347646</v>
      </c>
      <c r="L68" s="1480">
        <v>9</v>
      </c>
      <c r="M68" s="967"/>
      <c r="N68" s="193">
        <f>N61*(1+O68/100)</f>
        <v>138.67200000000003</v>
      </c>
      <c r="O68" s="1489">
        <v>20</v>
      </c>
      <c r="P68" s="1447" t="s">
        <v>232</v>
      </c>
      <c r="Q68" s="1447"/>
      <c r="R68" s="1404">
        <f>(N68/'qtrP&amp;L'!CB13)*100</f>
        <v>12.204721637435139</v>
      </c>
      <c r="S68" s="983"/>
      <c r="T68" s="193">
        <f>T61*(1+U68/100)</f>
        <v>157.52114999999998</v>
      </c>
      <c r="U68" s="1437">
        <v>-10</v>
      </c>
      <c r="V68" s="1480">
        <v>-6</v>
      </c>
      <c r="W68" s="1404">
        <f>(T68/'qtrP&amp;L'!CB13)*100</f>
        <v>13.863662367014722</v>
      </c>
      <c r="X68" s="154"/>
      <c r="Y68" s="193">
        <f>J68-N68-T68</f>
        <v>117.77184999999992</v>
      </c>
      <c r="Z68" s="1484">
        <f>Y68/Y61-1</f>
        <v>0.21075392072703591</v>
      </c>
      <c r="AA68" s="1404">
        <f>(Y68/'qtrP&amp;L'!CB13)*100</f>
        <v>10.365269455807692</v>
      </c>
      <c r="AB68" s="478"/>
      <c r="AC68" s="478"/>
      <c r="AD68" s="478"/>
      <c r="AE68" s="478"/>
      <c r="AF68" s="478"/>
      <c r="AG68" s="1520">
        <f>D68+J68</f>
        <v>1105.5420000000001</v>
      </c>
      <c r="AH68" s="1520">
        <f>'qtrP&amp;L'!CB13</f>
        <v>1136.2159999999999</v>
      </c>
      <c r="AI68" s="1504">
        <f>AH68-AG68</f>
        <v>30.673999999999751</v>
      </c>
      <c r="AJ68" s="1162"/>
      <c r="AK68" s="1410">
        <f>AI68</f>
        <v>30.673999999999751</v>
      </c>
      <c r="AL68" s="1484">
        <f>AK68/AK61-1</f>
        <v>2.4203835860837106</v>
      </c>
      <c r="AM68" s="1162"/>
      <c r="AN68" s="195"/>
      <c r="AO68" s="1456">
        <f>AO69-SUM(AO65:AO67)</f>
        <v>443.03700000000003</v>
      </c>
      <c r="AP68" s="1400">
        <f>+(AO68/AO61-1)*100</f>
        <v>-19.739237713248414</v>
      </c>
      <c r="AQ68" s="968">
        <f>AO68/D68*100</f>
        <v>64.061847053907215</v>
      </c>
      <c r="AR68" s="61"/>
      <c r="AS68" s="1456">
        <f>AS69-SUM(AS65:AS67)</f>
        <v>323.49500000000012</v>
      </c>
      <c r="AT68" s="1400">
        <f>+(AS68/AS61-1)*100</f>
        <v>1.4275322785961331</v>
      </c>
      <c r="AU68" s="968">
        <f>AS68/J68*100</f>
        <v>78.145495392122569</v>
      </c>
      <c r="AV68" s="968"/>
      <c r="AW68" s="56"/>
      <c r="AX68" s="968"/>
      <c r="AY68" s="968"/>
      <c r="AZ68" s="61"/>
      <c r="BA68" s="1456">
        <f>BA69-SUM(BA65:BA67)</f>
        <v>14.167999999999992</v>
      </c>
      <c r="BB68" s="1400">
        <f>+(BA68/BA61-1)*100</f>
        <v>-68.208235162122747</v>
      </c>
      <c r="BC68" s="968">
        <f>BA68/AK68*100</f>
        <v>46.188954815153252</v>
      </c>
      <c r="BD68" s="154"/>
      <c r="BE68" s="193">
        <f>BE69-SUM(BE65:BE67)</f>
        <v>237.971</v>
      </c>
      <c r="BF68" s="1400">
        <f>+(BE68/BE61-1)*100</f>
        <v>-27.671906533420831</v>
      </c>
      <c r="BG68" s="968">
        <f>(BE68/D68)*100</f>
        <v>34.409906633679249</v>
      </c>
      <c r="BH68" s="61"/>
      <c r="BI68" s="193">
        <f>BI69-SUM(BI65:BI67)</f>
        <v>120.88800000000003</v>
      </c>
      <c r="BJ68" s="1400">
        <f>+(BI68/BI61-1)*100</f>
        <v>-15.718140176946772</v>
      </c>
      <c r="BK68" s="968">
        <f t="shared" si="0"/>
        <v>29.202468807749462</v>
      </c>
      <c r="BL68" s="61"/>
      <c r="BM68" s="193">
        <f>BM69-SUM(BM65:BM67)</f>
        <v>14.415000000000003</v>
      </c>
      <c r="BN68" s="1400">
        <f>+(BM68/BM61-1)*100</f>
        <v>35.964912280701775</v>
      </c>
      <c r="BO68" s="968">
        <f>(BM68/AK68)*100</f>
        <v>46.994197039838696</v>
      </c>
      <c r="BP68" s="968"/>
      <c r="BQ68" s="968"/>
      <c r="BR68" s="968"/>
      <c r="BS68" s="968"/>
      <c r="BT68" s="61"/>
      <c r="BU68" s="1539">
        <f>BU69-SUM(BU65:BU67)</f>
        <v>-141.91999999999996</v>
      </c>
      <c r="BV68" s="1400">
        <f>+(BU68/BU61-1)*100</f>
        <v>26.666785669659653</v>
      </c>
      <c r="BW68" s="1400"/>
      <c r="BX68" s="193">
        <f>'qtrP&amp;L'!CB63</f>
        <v>231.29499999999985</v>
      </c>
      <c r="BY68" s="1400">
        <f>(BX68/BX61-1)*100</f>
        <v>-37.648939496867619</v>
      </c>
      <c r="BZ68" s="56">
        <f t="shared" si="1"/>
        <v>20.356604730086524</v>
      </c>
      <c r="CA68" s="1553">
        <f>BE68+BI68+BM68+BU68</f>
        <v>231.3540000000001</v>
      </c>
    </row>
    <row r="69" spans="1:79" s="3" customFormat="1" ht="10.5" customHeight="1">
      <c r="A69" s="956"/>
      <c r="B69" s="61" t="s">
        <v>461</v>
      </c>
      <c r="C69" s="61"/>
      <c r="D69" s="1421">
        <f>3100.5</f>
        <v>3100.5</v>
      </c>
      <c r="E69" s="1400">
        <f>(D69/D62-1)*100</f>
        <v>-10.859065033638082</v>
      </c>
      <c r="F69" s="1445">
        <f>(D69/'qtrP&amp;L'!CB14)*100</f>
        <v>64.510075056811729</v>
      </c>
      <c r="G69" s="1412">
        <f>'qtrP&amp;L'!CD14</f>
        <v>-15</v>
      </c>
      <c r="H69" s="983"/>
      <c r="J69" s="1448">
        <v>1644.2</v>
      </c>
      <c r="K69" s="1400">
        <f>(J69/J62-1)*100</f>
        <v>5.5259611064758518</v>
      </c>
      <c r="L69" s="1480">
        <v>12</v>
      </c>
      <c r="M69" s="967"/>
      <c r="N69" s="983">
        <f>SUM(N65:N68)</f>
        <v>545.06662000000006</v>
      </c>
      <c r="O69" s="1491">
        <f>(N69/N62-1)*100</f>
        <v>27.101374858923077</v>
      </c>
      <c r="P69" s="1400"/>
      <c r="Q69" s="1400"/>
      <c r="R69" s="1404">
        <f>(N69/'qtrP&amp;L'!CB14)*100</f>
        <v>11.340844562864918</v>
      </c>
      <c r="S69" s="983"/>
      <c r="T69" s="983">
        <f>SUM(T65:T68)</f>
        <v>653.0977742980499</v>
      </c>
      <c r="U69" s="1492">
        <f>(T69/T62-1)*100</f>
        <v>-14.292247607333797</v>
      </c>
      <c r="V69" s="1491">
        <v>0</v>
      </c>
      <c r="W69" s="1404">
        <f>(T69/'qtrP&amp;L'!CB14)*100</f>
        <v>13.588578113015281</v>
      </c>
      <c r="X69" s="1037"/>
      <c r="Y69" s="1036">
        <f>SUM(Y65:Y68)</f>
        <v>446.03560570194992</v>
      </c>
      <c r="Z69" s="1484">
        <f>Y69/Y62-1</f>
        <v>0.21452683516557425</v>
      </c>
      <c r="AA69" s="1404">
        <f>(Y69/'qtrP&amp;L'!CB14)*100</f>
        <v>9.2803710375240343</v>
      </c>
      <c r="AB69" s="478"/>
      <c r="AC69" s="478"/>
      <c r="AD69" s="478"/>
      <c r="AE69" s="478"/>
      <c r="AF69" s="478"/>
      <c r="AG69" s="1519">
        <f>D69+J69</f>
        <v>4744.7</v>
      </c>
      <c r="AH69" s="1519">
        <f>'qtrP&amp;L'!CB14</f>
        <v>4806.2260000000006</v>
      </c>
      <c r="AI69" s="1504">
        <f>AH69-AG69</f>
        <v>61.526000000000749</v>
      </c>
      <c r="AJ69" s="1162"/>
      <c r="AK69" s="983">
        <f>SUM(AK65:AK68)</f>
        <v>61.52599999999984</v>
      </c>
      <c r="AL69" s="1484">
        <f>AK69/AK62-1</f>
        <v>0.57395753389612714</v>
      </c>
      <c r="AM69" s="1162"/>
      <c r="AN69" s="154"/>
      <c r="AO69" s="1457">
        <v>1994</v>
      </c>
      <c r="AP69" s="1400">
        <f>+(AO69/AO62-1)*100</f>
        <v>-15.044096970729836</v>
      </c>
      <c r="AQ69" s="968">
        <f>AO69/D69*100</f>
        <v>64.312207708434116</v>
      </c>
      <c r="AR69" s="61"/>
      <c r="AS69" s="1457">
        <v>1295</v>
      </c>
      <c r="AT69" s="1400">
        <f>+(AS69/AS62-1)*100</f>
        <v>3.1872509960159334</v>
      </c>
      <c r="AU69" s="968">
        <f>AS69/J69*100</f>
        <v>78.761707821432907</v>
      </c>
      <c r="AV69" s="968"/>
      <c r="AW69" s="56"/>
      <c r="AX69" s="968"/>
      <c r="AY69" s="968"/>
      <c r="AZ69" s="61"/>
      <c r="BA69" s="1457">
        <v>54.3</v>
      </c>
      <c r="BB69" s="1400">
        <f>+(BA69/BA62-1)*100</f>
        <v>-21.870503597122305</v>
      </c>
      <c r="BC69" s="968">
        <f>BA69/AK69*100</f>
        <v>88.25537171277206</v>
      </c>
      <c r="BD69" s="154"/>
      <c r="BE69" s="1453">
        <v>1164.0999999999999</v>
      </c>
      <c r="BF69" s="1400">
        <f>+(BE69/BE62-1)*100</f>
        <v>-20.265703361840693</v>
      </c>
      <c r="BG69" s="968">
        <f>(BE69/D69)*100</f>
        <v>37.54555716819867</v>
      </c>
      <c r="BH69" s="61"/>
      <c r="BI69" s="1453">
        <v>555.70000000000005</v>
      </c>
      <c r="BJ69" s="1400">
        <f>+(BI69/BI62-1)*100</f>
        <v>-4.55170044658193</v>
      </c>
      <c r="BK69" s="968">
        <f t="shared" si="0"/>
        <v>33.797591533876655</v>
      </c>
      <c r="BL69" s="61"/>
      <c r="BM69" s="1453">
        <v>34.200000000000003</v>
      </c>
      <c r="BN69" s="1400">
        <f>+(BM69/BM62-1)*100</f>
        <v>14.000000000000012</v>
      </c>
      <c r="BO69" s="968">
        <f>(BM69/AK69)*100</f>
        <v>55.586256216884067</v>
      </c>
      <c r="BP69" s="968"/>
      <c r="BQ69" s="968"/>
      <c r="BR69" s="968"/>
      <c r="BS69" s="968"/>
      <c r="BT69" s="61"/>
      <c r="BU69" s="1540">
        <v>-502.4</v>
      </c>
      <c r="BV69" s="1400">
        <f>+(BU69/BU62-1)*100</f>
        <v>1.6181229773462702</v>
      </c>
      <c r="BW69" s="1400"/>
      <c r="BX69" s="983">
        <f>'qtrP&amp;L'!CB64</f>
        <v>1251.5809999999997</v>
      </c>
      <c r="BY69" s="1400">
        <f>(BX69/BX62-1)*100</f>
        <v>-20.672695109406302</v>
      </c>
      <c r="BZ69" s="1029">
        <f t="shared" si="1"/>
        <v>26.040827043921773</v>
      </c>
      <c r="CA69" s="122">
        <f t="shared" si="2"/>
        <v>1251.5999999999999</v>
      </c>
    </row>
    <row r="70" spans="1:79" s="3" customFormat="1">
      <c r="A70" s="61"/>
      <c r="B70" s="61"/>
      <c r="C70" s="61"/>
      <c r="D70" s="1419"/>
      <c r="E70" s="65"/>
      <c r="F70" s="315"/>
      <c r="G70" s="1413"/>
      <c r="H70" s="61"/>
      <c r="I70" s="61"/>
      <c r="J70" s="1448"/>
      <c r="K70" s="1389"/>
      <c r="L70" s="1480"/>
      <c r="M70" s="1043"/>
      <c r="N70" s="987"/>
      <c r="O70" s="1459"/>
      <c r="P70" s="65"/>
      <c r="Q70" s="65"/>
      <c r="R70" s="1404"/>
      <c r="S70" s="61"/>
      <c r="T70" s="1181"/>
      <c r="U70" s="65"/>
      <c r="V70" s="1479"/>
      <c r="W70" s="65"/>
      <c r="X70" s="154"/>
      <c r="Y70" s="154"/>
      <c r="Z70" s="115"/>
      <c r="AA70" s="1404"/>
      <c r="AB70" s="154"/>
      <c r="AC70" s="154"/>
      <c r="AD70" s="154"/>
      <c r="AE70" s="154"/>
      <c r="AF70" s="154"/>
      <c r="AG70" s="1521"/>
      <c r="AH70" s="1521"/>
      <c r="AI70" s="1521"/>
      <c r="AJ70" s="154"/>
      <c r="AK70" s="1043"/>
      <c r="AL70" s="115"/>
      <c r="AM70" s="154"/>
      <c r="AN70" s="154"/>
      <c r="AO70" s="61"/>
      <c r="AP70" s="65"/>
      <c r="AQ70" s="1068"/>
      <c r="AR70" s="61"/>
      <c r="AS70" s="192"/>
      <c r="AT70" s="65"/>
      <c r="AU70" s="61"/>
      <c r="AV70" s="61"/>
      <c r="AW70" s="61"/>
      <c r="AX70" s="61"/>
      <c r="AY70" s="61"/>
      <c r="AZ70" s="61"/>
      <c r="BA70" s="983"/>
      <c r="BB70" s="65"/>
      <c r="BC70" s="968"/>
      <c r="BD70" s="154"/>
      <c r="BE70" s="192"/>
      <c r="BF70" s="65"/>
      <c r="BG70" s="968"/>
      <c r="BH70" s="61"/>
      <c r="BI70" s="192"/>
      <c r="BJ70" s="1532"/>
      <c r="BK70" s="968"/>
      <c r="BL70" s="61"/>
      <c r="BM70" s="1069"/>
      <c r="BN70" s="65"/>
      <c r="BO70" s="968"/>
      <c r="BP70" s="968"/>
      <c r="BQ70" s="968"/>
      <c r="BR70" s="968"/>
      <c r="BS70" s="968"/>
      <c r="BT70" s="61"/>
      <c r="BU70" s="1538"/>
      <c r="BV70" s="65"/>
      <c r="BW70" s="65"/>
      <c r="BX70" s="56"/>
      <c r="BY70" s="56"/>
      <c r="BZ70" s="56"/>
      <c r="CA70" s="1401"/>
    </row>
    <row r="71" spans="1:79" s="3" customFormat="1">
      <c r="A71" s="956"/>
      <c r="B71" s="965" t="s">
        <v>792</v>
      </c>
      <c r="C71" s="61"/>
      <c r="D71" s="1420"/>
      <c r="E71" s="1400"/>
      <c r="F71" s="315"/>
      <c r="G71" s="1414"/>
      <c r="H71" s="983"/>
      <c r="J71" s="1420"/>
      <c r="K71" s="1400"/>
      <c r="L71" s="1480"/>
      <c r="M71" s="967"/>
      <c r="N71" s="983"/>
      <c r="O71" s="1458"/>
      <c r="P71" s="122"/>
      <c r="Q71" s="122"/>
      <c r="R71" s="1404"/>
      <c r="S71" s="983"/>
      <c r="T71" s="983"/>
      <c r="U71" s="1466"/>
      <c r="V71" s="1479"/>
      <c r="W71" s="65"/>
      <c r="X71" s="154"/>
      <c r="Y71" s="154"/>
      <c r="Z71" s="1485"/>
      <c r="AA71" s="1404"/>
      <c r="AB71" s="701"/>
      <c r="AC71" s="701"/>
      <c r="AD71" s="701"/>
      <c r="AE71" s="701"/>
      <c r="AF71" s="701"/>
      <c r="AG71" s="1502"/>
      <c r="AH71" s="1521"/>
      <c r="AI71" s="1504"/>
      <c r="AJ71" s="154"/>
      <c r="AK71" s="1180"/>
      <c r="AL71" s="115"/>
      <c r="AM71" s="154"/>
      <c r="AN71" s="154"/>
      <c r="AO71" s="154"/>
      <c r="AP71" s="115"/>
      <c r="AQ71" s="154"/>
      <c r="AR71" s="154"/>
      <c r="AS71" s="154"/>
      <c r="AT71" s="115"/>
      <c r="AU71" s="154"/>
      <c r="AV71" s="154"/>
      <c r="AW71" s="154"/>
      <c r="AX71" s="154"/>
      <c r="AY71" s="154"/>
      <c r="AZ71" s="154"/>
      <c r="BA71" s="154"/>
      <c r="BB71" s="115"/>
      <c r="BC71" s="968"/>
      <c r="BD71" s="154"/>
      <c r="BE71" s="61"/>
      <c r="BF71" s="65"/>
      <c r="BG71" s="61"/>
      <c r="BH71" s="61"/>
      <c r="BI71" s="192"/>
      <c r="BJ71" s="1532"/>
      <c r="BK71" s="968"/>
      <c r="BL71" s="61"/>
      <c r="BM71" s="61"/>
      <c r="BN71" s="65"/>
      <c r="BO71" s="968"/>
      <c r="BP71" s="968"/>
      <c r="BQ71" s="968"/>
      <c r="BR71" s="968"/>
      <c r="BS71" s="968"/>
      <c r="BT71" s="61"/>
      <c r="BU71" s="1537"/>
      <c r="BV71" s="65"/>
      <c r="BW71" s="65"/>
      <c r="BX71" s="56"/>
      <c r="BY71" s="56"/>
      <c r="BZ71" s="56"/>
      <c r="CA71" s="1401"/>
    </row>
    <row r="72" spans="1:79" s="3" customFormat="1" ht="10.5" customHeight="1">
      <c r="A72" s="956" t="s">
        <v>457</v>
      </c>
      <c r="B72" s="61" t="s">
        <v>63</v>
      </c>
      <c r="C72" s="61"/>
      <c r="D72" s="1421">
        <v>633.70000000000005</v>
      </c>
      <c r="E72" s="1400">
        <f>(D72/D65-1)*100</f>
        <v>-18.547557840616957</v>
      </c>
      <c r="F72" s="1445">
        <f>(D72/'qtrP&amp;L'!CF10)*100</f>
        <v>61.003080477474015</v>
      </c>
      <c r="G72" s="1412">
        <f>'qtrP&amp;L'!CH10</f>
        <v>-24</v>
      </c>
      <c r="H72" s="983"/>
      <c r="I72" s="1176" t="e">
        <v>#REF!</v>
      </c>
      <c r="J72" s="1448">
        <v>381</v>
      </c>
      <c r="K72" s="1400">
        <f>(J72/J65-1)*100</f>
        <v>4.3835616438356206</v>
      </c>
      <c r="L72" s="1480">
        <v>6</v>
      </c>
      <c r="M72" s="967"/>
      <c r="N72" s="966">
        <f>N65*(1+O72/100)</f>
        <v>127.77853000000003</v>
      </c>
      <c r="O72" s="1491">
        <v>10</v>
      </c>
      <c r="P72" s="1390" t="s">
        <v>749</v>
      </c>
      <c r="Q72" s="1390"/>
      <c r="R72" s="1404">
        <f>(N72/'qtrP&amp;L'!CF10)*100</f>
        <v>12.300590103966117</v>
      </c>
      <c r="S72" s="983"/>
      <c r="T72" s="966">
        <f>T65*(1+U72/100)</f>
        <v>131.195420928</v>
      </c>
      <c r="U72" s="1437">
        <v>-12</v>
      </c>
      <c r="V72" s="1480">
        <v>-7</v>
      </c>
      <c r="W72" s="1404">
        <f>(T72/'qtrP&amp;L'!CF10)*100</f>
        <v>12.629516839430114</v>
      </c>
      <c r="X72" s="154"/>
      <c r="Y72" s="966">
        <f>J72-N72-T72</f>
        <v>122.02604907199995</v>
      </c>
      <c r="Z72" s="1484">
        <f>Y72/Y65-1</f>
        <v>0.22329432916080094</v>
      </c>
      <c r="AA72" s="1404">
        <f>(Y72/'qtrP&amp;L'!CF10)*100</f>
        <v>11.746827981517132</v>
      </c>
      <c r="AB72" s="478"/>
      <c r="AC72" s="478"/>
      <c r="AD72" s="478"/>
      <c r="AE72" s="478"/>
      <c r="AF72" s="478"/>
      <c r="AG72" s="1502">
        <f>D72+J72</f>
        <v>1014.7</v>
      </c>
      <c r="AH72" s="1522">
        <f>'qtrP&amp;L'!CF10</f>
        <v>1038.8</v>
      </c>
      <c r="AI72" s="1504">
        <f>AH72-AG72</f>
        <v>24.099999999999909</v>
      </c>
      <c r="AJ72" s="1162"/>
      <c r="AK72" s="992">
        <f>AI72</f>
        <v>24.099999999999909</v>
      </c>
      <c r="AL72" s="1484">
        <f>AK72/AK65-1</f>
        <v>2.1056701030927756</v>
      </c>
      <c r="AM72" s="1162"/>
      <c r="AN72" s="154"/>
      <c r="AO72" s="1457">
        <v>408</v>
      </c>
      <c r="AP72" s="1400">
        <f>+(AO72/AO65-1)*100</f>
        <v>-20.060189974607347</v>
      </c>
      <c r="AQ72" s="968">
        <f>AO72/D72*100</f>
        <v>64.383777812845182</v>
      </c>
      <c r="AR72" s="61"/>
      <c r="AS72" s="1457">
        <v>295.39999999999998</v>
      </c>
      <c r="AT72" s="1400">
        <f>+(AS72/AS65-1)*100</f>
        <v>0.96487420405568791</v>
      </c>
      <c r="AU72" s="968">
        <f>AS72/J72*100</f>
        <v>77.532808398950124</v>
      </c>
      <c r="AV72" s="968"/>
      <c r="AW72" s="1666"/>
      <c r="AX72" s="968"/>
      <c r="AY72" s="968"/>
      <c r="AZ72" s="61"/>
      <c r="BA72" s="1457">
        <v>4.5999999999999996</v>
      </c>
      <c r="BB72" s="1400">
        <f>+(BA72/BA65-1)*100</f>
        <v>-73.09941520467838</v>
      </c>
      <c r="BC72" s="968">
        <f>BA72/AK72*100</f>
        <v>19.087136929460652</v>
      </c>
      <c r="BD72" s="154"/>
      <c r="BE72" s="1457">
        <v>221.5</v>
      </c>
      <c r="BF72" s="1400">
        <f>+(BE72/BE65-1)*100</f>
        <v>-26.07425949103045</v>
      </c>
      <c r="BG72" s="968">
        <f>(BE72/D72)*100</f>
        <v>34.95344800378728</v>
      </c>
      <c r="BH72" s="184"/>
      <c r="BI72" s="1457">
        <v>118</v>
      </c>
      <c r="BJ72" s="1400">
        <f>+(BI72/BI65-1)*100</f>
        <v>-9.2789211879848352</v>
      </c>
      <c r="BK72" s="968">
        <f t="shared" si="0"/>
        <v>30.971128608923888</v>
      </c>
      <c r="BL72" s="184"/>
      <c r="BM72" s="1457">
        <v>9.3000000000000007</v>
      </c>
      <c r="BN72" s="1400">
        <f>+(BM72/BM65-1)*100</f>
        <v>66.071428571428598</v>
      </c>
      <c r="BO72" s="968">
        <f>(BM72/AK72)*100</f>
        <v>38.589211618257409</v>
      </c>
      <c r="BP72" s="968"/>
      <c r="BQ72" s="968"/>
      <c r="BR72" s="968"/>
      <c r="BS72" s="968"/>
      <c r="BT72" s="184"/>
      <c r="BU72" s="1536">
        <v>-131.9</v>
      </c>
      <c r="BV72" s="1400">
        <f>+(BU72/BU65-1)*100</f>
        <v>16.007036059806513</v>
      </c>
      <c r="BW72" s="1400"/>
      <c r="BX72" s="983">
        <f>'qtrP&amp;L'!CF60</f>
        <v>216.89999999999998</v>
      </c>
      <c r="BY72" s="1400">
        <f>(BX72/BX65-1)*100</f>
        <v>-32.563099672298321</v>
      </c>
      <c r="BZ72" s="56">
        <f t="shared" si="1"/>
        <v>20.879861378513667</v>
      </c>
      <c r="CA72" s="122">
        <f t="shared" si="2"/>
        <v>216.9</v>
      </c>
    </row>
    <row r="73" spans="1:79" s="3" customFormat="1" ht="10.5" customHeight="1">
      <c r="A73" s="956" t="s">
        <v>458</v>
      </c>
      <c r="B73" s="61" t="s">
        <v>167</v>
      </c>
      <c r="C73" s="61"/>
      <c r="D73" s="1422">
        <v>784.6</v>
      </c>
      <c r="E73" s="1400">
        <f>(D73/D66-1)*100</f>
        <v>-20.183112919633771</v>
      </c>
      <c r="F73" s="1445">
        <f>(D73/'qtrP&amp;L'!CF11)*100</f>
        <v>64.343119567000159</v>
      </c>
      <c r="G73" s="1412">
        <f>'qtrP&amp;L'!CH11</f>
        <v>-22</v>
      </c>
      <c r="H73" s="983"/>
      <c r="I73" s="1176" t="e">
        <v>#REF!</v>
      </c>
      <c r="J73" s="1493">
        <v>420.5</v>
      </c>
      <c r="K73" s="1400">
        <f>(J73/J66-1)*100</f>
        <v>-0.96561469618464679</v>
      </c>
      <c r="L73" s="1480">
        <v>5</v>
      </c>
      <c r="M73" s="967"/>
      <c r="N73" s="192">
        <f>N66*(1+O73/100)</f>
        <v>158.05440000000002</v>
      </c>
      <c r="O73" s="1491">
        <v>12</v>
      </c>
      <c r="P73" s="1447" t="s">
        <v>749</v>
      </c>
      <c r="Q73" s="1545">
        <v>13</v>
      </c>
      <c r="R73" s="1404">
        <f>(N73/'qtrP&amp;L'!CF11)*100</f>
        <v>12.961653272101033</v>
      </c>
      <c r="S73" s="983"/>
      <c r="T73" s="192">
        <f>T66*(1+U73/100)</f>
        <v>141.283874161521</v>
      </c>
      <c r="U73" s="1437">
        <v>-18</v>
      </c>
      <c r="V73" s="1480">
        <v>-7</v>
      </c>
      <c r="W73" s="1404">
        <f>(T73/'qtrP&amp;L'!CF11)*100</f>
        <v>11.586343624858209</v>
      </c>
      <c r="X73" s="154"/>
      <c r="Y73" s="192">
        <f>J73-N73-T73</f>
        <v>121.16172583847901</v>
      </c>
      <c r="Z73" s="1484">
        <f>Y73/Y66-1</f>
        <v>8.9754458224114764E-2</v>
      </c>
      <c r="AA73" s="1404">
        <f>(Y73/'qtrP&amp;L'!CF11)*100</f>
        <v>9.9361756469147959</v>
      </c>
      <c r="AB73" s="478"/>
      <c r="AC73" s="478"/>
      <c r="AD73" s="478"/>
      <c r="AE73" s="478"/>
      <c r="AF73" s="478"/>
      <c r="AG73" s="1519">
        <f>D73+J73</f>
        <v>1205.0999999999999</v>
      </c>
      <c r="AH73" s="1522">
        <f>'qtrP&amp;L'!CF11</f>
        <v>1219.4000000000001</v>
      </c>
      <c r="AI73" s="1504">
        <f>AH73-AG73</f>
        <v>14.300000000000182</v>
      </c>
      <c r="AJ73" s="1162"/>
      <c r="AK73" s="135">
        <f>AI73</f>
        <v>14.300000000000182</v>
      </c>
      <c r="AL73" s="1484">
        <f>AK73/AK66-1</f>
        <v>0.18928809048569906</v>
      </c>
      <c r="AM73" s="1162"/>
      <c r="AN73" s="154"/>
      <c r="AO73" s="1454">
        <v>502.1</v>
      </c>
      <c r="AP73" s="1400">
        <f>+(AO73/AO66-1)*100</f>
        <v>-19.999490138156617</v>
      </c>
      <c r="AQ73" s="968">
        <f>AO73/D73*100</f>
        <v>63.994392046902881</v>
      </c>
      <c r="AR73" s="61"/>
      <c r="AS73" s="1454">
        <v>322.39999999999998</v>
      </c>
      <c r="AT73" s="1400">
        <f>+(AS73/AS66-1)*100</f>
        <v>-2.579350690163662</v>
      </c>
      <c r="AU73" s="968">
        <f>AS73/J73*100</f>
        <v>76.670630202140302</v>
      </c>
      <c r="AV73" s="968"/>
      <c r="AW73" s="1666"/>
      <c r="AX73" s="968"/>
      <c r="AY73" s="968"/>
      <c r="AZ73" s="61"/>
      <c r="BA73" s="1454">
        <v>6.8</v>
      </c>
      <c r="BB73" s="1400">
        <f>+(BA73/BA66-1)*100</f>
        <v>-30.838079739625723</v>
      </c>
      <c r="BC73" s="968">
        <f>BA73/AK73*100</f>
        <v>47.552447552446949</v>
      </c>
      <c r="BD73" s="154"/>
      <c r="BE73" s="1454">
        <v>296.3</v>
      </c>
      <c r="BF73" s="1400">
        <f>+(BE73/BE66-1)*100</f>
        <v>-26.749435107861018</v>
      </c>
      <c r="BG73" s="968">
        <f>(BE73/D73)*100</f>
        <v>37.764465969920977</v>
      </c>
      <c r="BH73" s="61"/>
      <c r="BI73" s="1454">
        <v>128.4</v>
      </c>
      <c r="BJ73" s="1400">
        <f>+(BI73/BI66-1)*100</f>
        <v>-8.9968389867747689</v>
      </c>
      <c r="BK73" s="968">
        <f t="shared" si="0"/>
        <v>30.535077288941736</v>
      </c>
      <c r="BL73" s="61"/>
      <c r="BM73" s="1454">
        <v>7</v>
      </c>
      <c r="BN73" s="1400">
        <f>+(BM73/BM66-1)*100</f>
        <v>-17.267462474884766</v>
      </c>
      <c r="BO73" s="968">
        <f>(BM73/AK73)*100</f>
        <v>48.951048951048328</v>
      </c>
      <c r="BP73" s="968"/>
      <c r="BQ73" s="968"/>
      <c r="BR73" s="968"/>
      <c r="BS73" s="968"/>
      <c r="BT73" s="61"/>
      <c r="BU73" s="1538">
        <v>-132.69999999999999</v>
      </c>
      <c r="BV73" s="1400">
        <f>+(BU73/BU66-1)*100</f>
        <v>12.349086475777614</v>
      </c>
      <c r="BW73" s="1400"/>
      <c r="BX73" s="192">
        <f>'qtrP&amp;L'!CF61</f>
        <v>299.00000000000011</v>
      </c>
      <c r="BY73" s="1400">
        <f>(BX73/BX66-1)*100</f>
        <v>-31.413051706301044</v>
      </c>
      <c r="BZ73" s="56">
        <f t="shared" si="1"/>
        <v>24.520255863539454</v>
      </c>
      <c r="CA73" s="1554">
        <f t="shared" si="2"/>
        <v>299.00000000000006</v>
      </c>
    </row>
    <row r="74" spans="1:79" s="3" customFormat="1" ht="10.5" customHeight="1">
      <c r="A74" s="956" t="s">
        <v>459</v>
      </c>
      <c r="B74" s="61" t="s">
        <v>166</v>
      </c>
      <c r="C74" s="61"/>
      <c r="D74" s="1422">
        <v>493.2</v>
      </c>
      <c r="E74" s="1400">
        <f>(D74/D67-1)*100</f>
        <v>-23.879843746864982</v>
      </c>
      <c r="F74" s="1445">
        <f>(D74/'qtrP&amp;L'!CF12)*100</f>
        <v>53.07220488539761</v>
      </c>
      <c r="G74" s="1412">
        <f>'qtrP&amp;L'!CH12</f>
        <v>-23</v>
      </c>
      <c r="H74" s="983"/>
      <c r="I74" s="1176" t="e">
        <v>#REF!</v>
      </c>
      <c r="J74" s="1493">
        <v>428.1</v>
      </c>
      <c r="K74" s="1400">
        <f>(J74/J67-1)*100</f>
        <v>-2.8447581331487393</v>
      </c>
      <c r="L74" s="1480">
        <v>4</v>
      </c>
      <c r="M74" s="967"/>
      <c r="N74" s="195">
        <f>N67*(1+O74/100)</f>
        <v>161.04130559999999</v>
      </c>
      <c r="O74" s="1491">
        <v>8</v>
      </c>
      <c r="P74" s="1390" t="s">
        <v>749</v>
      </c>
      <c r="Q74" s="1491">
        <v>10</v>
      </c>
      <c r="R74" s="1404">
        <f>(N74/'qtrP&amp;L'!CF12)*100</f>
        <v>17.32931298827074</v>
      </c>
      <c r="S74" s="983"/>
      <c r="T74" s="195">
        <f>T67*(1+U74/100)</f>
        <v>134.12900361168002</v>
      </c>
      <c r="U74" s="1437">
        <v>-23</v>
      </c>
      <c r="V74" s="1480">
        <v>-11</v>
      </c>
      <c r="W74" s="1404">
        <f>(T74/'qtrP&amp;L'!CF12)*100</f>
        <v>14.433337308907781</v>
      </c>
      <c r="X74" s="154"/>
      <c r="Y74" s="195">
        <f>J74-N74-T74</f>
        <v>132.92969078832002</v>
      </c>
      <c r="Z74" s="1484">
        <f>Y74/Y67-1</f>
        <v>0.13296371336939505</v>
      </c>
      <c r="AA74" s="1404">
        <f>(Y74/'qtrP&amp;L'!CF12)*100</f>
        <v>14.304281802251159</v>
      </c>
      <c r="AB74" s="478"/>
      <c r="AC74" s="478"/>
      <c r="AD74" s="478"/>
      <c r="AE74" s="478"/>
      <c r="AF74" s="478"/>
      <c r="AG74" s="1519">
        <f>D74+J74</f>
        <v>921.3</v>
      </c>
      <c r="AH74" s="1522">
        <f>'qtrP&amp;L'!CF12</f>
        <v>929.3</v>
      </c>
      <c r="AI74" s="1504">
        <f>AH74-AG74</f>
        <v>8</v>
      </c>
      <c r="AJ74" s="1162"/>
      <c r="AK74" s="135">
        <f>AI74</f>
        <v>8</v>
      </c>
      <c r="AL74" s="1484">
        <f>AK74/AK67-1</f>
        <v>-0.27719551861221436</v>
      </c>
      <c r="AM74" s="1162"/>
      <c r="AN74" s="154"/>
      <c r="AO74" s="1455">
        <v>313.89999999999998</v>
      </c>
      <c r="AP74" s="1400">
        <f>+(AO74/AO67-1)*100</f>
        <v>-23.987427292848196</v>
      </c>
      <c r="AQ74" s="968">
        <f>AO74/D74*100</f>
        <v>63.645579886455792</v>
      </c>
      <c r="AR74" s="154"/>
      <c r="AS74" s="1455">
        <v>328.4</v>
      </c>
      <c r="AT74" s="1400">
        <f>+(AS74/AS67-1)*100</f>
        <v>-5.6300144830915722</v>
      </c>
      <c r="AU74" s="968">
        <f>AS74/J74*100</f>
        <v>76.711048820369072</v>
      </c>
      <c r="AV74" s="968"/>
      <c r="AW74" s="1666"/>
      <c r="AX74" s="968"/>
      <c r="AY74" s="968"/>
      <c r="AZ74" s="154"/>
      <c r="BA74" s="1455">
        <v>15.9</v>
      </c>
      <c r="BB74" s="1400">
        <f>+(BA74/BA67-1)*100</f>
        <v>20.45454545454546</v>
      </c>
      <c r="BC74" s="968">
        <f>BA74/AK74*100</f>
        <v>198.75</v>
      </c>
      <c r="BD74" s="154"/>
      <c r="BE74" s="1455">
        <v>134.30000000000001</v>
      </c>
      <c r="BF74" s="1400">
        <f>+(BE74/BE67-1)*100</f>
        <v>-39.505049504058519</v>
      </c>
      <c r="BG74" s="968">
        <f>(BE74/D74)*100</f>
        <v>27.230332522303328</v>
      </c>
      <c r="BH74" s="61"/>
      <c r="BI74" s="1455">
        <v>140.1</v>
      </c>
      <c r="BJ74" s="1400">
        <f>+(BI74/BI67-1)*100</f>
        <v>-14.389944332076588</v>
      </c>
      <c r="BK74" s="968">
        <f t="shared" si="0"/>
        <v>32.725998598458297</v>
      </c>
      <c r="BL74" s="61"/>
      <c r="BM74" s="1455">
        <v>4.3</v>
      </c>
      <c r="BN74" s="1400">
        <f>+(BM74/BM67-1)*100</f>
        <v>-24.877707896575828</v>
      </c>
      <c r="BO74" s="968">
        <f>(BM74/AK74)*100</f>
        <v>53.75</v>
      </c>
      <c r="BP74" s="968"/>
      <c r="BQ74" s="968"/>
      <c r="BR74" s="968"/>
      <c r="BS74" s="968"/>
      <c r="BT74" s="61"/>
      <c r="BU74" s="1538">
        <v>-132.19999999999999</v>
      </c>
      <c r="BV74" s="1400">
        <f>+(BU74/BU67-1)*100</f>
        <v>2.746646355680582</v>
      </c>
      <c r="BW74" s="1400"/>
      <c r="BX74" s="192">
        <f>'qtrP&amp;L'!CF62</f>
        <v>146.5</v>
      </c>
      <c r="BY74" s="1400">
        <f>(BX74/BX67-1)*100</f>
        <v>-44.234875851227009</v>
      </c>
      <c r="BZ74" s="56">
        <f t="shared" si="1"/>
        <v>15.764553965350265</v>
      </c>
      <c r="CA74" s="1554">
        <f t="shared" si="2"/>
        <v>146.5</v>
      </c>
    </row>
    <row r="75" spans="1:79" s="3" customFormat="1" ht="10.5" customHeight="1">
      <c r="A75" s="956" t="s">
        <v>460</v>
      </c>
      <c r="B75" s="61" t="s">
        <v>62</v>
      </c>
      <c r="C75" s="61"/>
      <c r="D75" s="1577">
        <v>556</v>
      </c>
      <c r="E75" s="1400">
        <f>(D75/D68-1)*100</f>
        <v>-19.604035414711618</v>
      </c>
      <c r="F75" s="1445">
        <f>(D75/'qtrP&amp;L'!CF13)*100</f>
        <v>55.372970819639477</v>
      </c>
      <c r="G75" s="1411">
        <f>'qtrP&amp;L'!CH13</f>
        <v>-19</v>
      </c>
      <c r="H75" s="983"/>
      <c r="I75" s="1176" t="e">
        <v>#REF!</v>
      </c>
      <c r="J75" s="1577">
        <v>392</v>
      </c>
      <c r="K75" s="1400">
        <f>(J75/J68-1)*100</f>
        <v>-5.3060041307839807</v>
      </c>
      <c r="L75" s="1480">
        <v>3</v>
      </c>
      <c r="M75" s="967"/>
      <c r="N75" s="193">
        <f>N68*(1+O75/100)</f>
        <v>145.60560000000004</v>
      </c>
      <c r="O75" s="1576">
        <v>5</v>
      </c>
      <c r="P75" s="1390" t="s">
        <v>360</v>
      </c>
      <c r="Q75" s="1491">
        <v>4</v>
      </c>
      <c r="R75" s="1404">
        <f>(N75/'qtrP&amp;L'!CF13)*100</f>
        <v>14.501105467582914</v>
      </c>
      <c r="S75" s="983"/>
      <c r="T75" s="193">
        <f>T68*(1+U75/100)</f>
        <v>133.89297749999997</v>
      </c>
      <c r="U75" s="1575">
        <v>-15</v>
      </c>
      <c r="V75" s="1576">
        <v>2</v>
      </c>
      <c r="W75" s="1404">
        <f>(T75/'qtrP&amp;L'!CF13)*100</f>
        <v>13.334625784284432</v>
      </c>
      <c r="X75" s="154"/>
      <c r="Y75" s="193">
        <f>J75-N75-T75</f>
        <v>112.50142249999999</v>
      </c>
      <c r="Z75" s="1484">
        <f>Y75/Y68-1</f>
        <v>-4.4751165070430088E-2</v>
      </c>
      <c r="AA75" s="1404">
        <f>(Y75/'qtrP&amp;L'!CF13)*100</f>
        <v>11.204205009461207</v>
      </c>
      <c r="AB75" s="478"/>
      <c r="AC75" s="1583">
        <v>43</v>
      </c>
      <c r="AD75" s="478"/>
      <c r="AE75" s="1404">
        <f>(AC75/'qtrP&amp;L'!CF13)*100</f>
        <v>4.2824419878498157</v>
      </c>
      <c r="AF75" s="478"/>
      <c r="AG75" s="1520">
        <f>D75+J75+AC75</f>
        <v>991</v>
      </c>
      <c r="AH75" s="1523">
        <f>'qtrP&amp;L'!CF13</f>
        <v>1004.1</v>
      </c>
      <c r="AI75" s="1504">
        <f>AH75-AG75</f>
        <v>13.100000000000023</v>
      </c>
      <c r="AJ75" s="1162"/>
      <c r="AK75" s="138">
        <f>AI75</f>
        <v>13.100000000000023</v>
      </c>
      <c r="AL75" s="1484">
        <f>AK75/AK68-1</f>
        <v>-0.57292821281866957</v>
      </c>
      <c r="AM75" s="1162"/>
      <c r="AN75" s="154"/>
      <c r="AO75" s="1456">
        <f>AO76-SUM(AO72:AO74)</f>
        <v>350</v>
      </c>
      <c r="AP75" s="1400">
        <f>+(AO75/AO68-1)*100</f>
        <v>-20.999826199617644</v>
      </c>
      <c r="AQ75" s="968">
        <f>AO75/D75*100</f>
        <v>62.949640287769782</v>
      </c>
      <c r="AR75" s="154"/>
      <c r="AS75" s="1456">
        <f>AS76-SUM(AS72:AS74)</f>
        <v>302.80000000000007</v>
      </c>
      <c r="AT75" s="1400">
        <f>+(AS75/AS68-1)*100</f>
        <v>-6.3973168055147855</v>
      </c>
      <c r="AU75" s="968">
        <f>AS75/J75*100</f>
        <v>77.244897959183689</v>
      </c>
      <c r="AV75" s="968"/>
      <c r="AW75" s="1666"/>
      <c r="AX75" s="968"/>
      <c r="AY75" s="968"/>
      <c r="AZ75" s="154"/>
      <c r="BA75" s="1456">
        <f>BA76-SUM(BA72:BA74)</f>
        <v>9.6000000000000014</v>
      </c>
      <c r="BB75" s="1400">
        <f>+(BA75/BA68-1)*100</f>
        <v>-32.241671372106104</v>
      </c>
      <c r="BC75" s="968">
        <f>BA75/AK75*100</f>
        <v>73.282442748091498</v>
      </c>
      <c r="BD75" s="154"/>
      <c r="BE75" s="193">
        <f>BE76-SUM(BE72:BE74)</f>
        <v>168.40000000000009</v>
      </c>
      <c r="BF75" s="1400">
        <f>+(BE75/BE68-1)*100</f>
        <v>-29.23507486206298</v>
      </c>
      <c r="BG75" s="968">
        <f>(BE75/D75)*100</f>
        <v>30.287769784172681</v>
      </c>
      <c r="BH75" s="61"/>
      <c r="BI75" s="193">
        <f>BI76-SUM(BI72:BI74)</f>
        <v>94.100000000000023</v>
      </c>
      <c r="BJ75" s="1400">
        <f>+(BI75/BI68-1)*100</f>
        <v>-22.159354112897887</v>
      </c>
      <c r="BK75" s="968">
        <f t="shared" si="0"/>
        <v>24.005102040816332</v>
      </c>
      <c r="BL75" s="61"/>
      <c r="BM75" s="193">
        <f>BM76-SUM(BM72:BM74)</f>
        <v>4.8999999999999986</v>
      </c>
      <c r="BN75" s="1400">
        <f>+(BM75/BM68-1)*100</f>
        <v>-66.007630939993078</v>
      </c>
      <c r="BO75" s="968">
        <f>(BM75/AK75)*100</f>
        <v>37.404580152671677</v>
      </c>
      <c r="BP75" s="968"/>
      <c r="BQ75" s="968"/>
      <c r="BR75" s="968"/>
      <c r="BS75" s="968"/>
      <c r="BT75" s="61"/>
      <c r="BU75" s="1539">
        <f>+BX75-BE75-BI75-BM75</f>
        <v>-141.29999999999998</v>
      </c>
      <c r="BV75" s="1400">
        <f>+(BU75/BU68-1)*100</f>
        <v>-0.43686583990979466</v>
      </c>
      <c r="BW75" s="1400"/>
      <c r="BX75" s="193">
        <f>'qtrP&amp;L'!CF63</f>
        <v>126.10000000000014</v>
      </c>
      <c r="BY75" s="1400">
        <f>(BX75/BX68-1)*100</f>
        <v>-45.480879396441679</v>
      </c>
      <c r="BZ75" s="56">
        <f t="shared" si="1"/>
        <v>12.558510108554938</v>
      </c>
      <c r="CA75" s="1553">
        <f t="shared" si="2"/>
        <v>126.10000000000011</v>
      </c>
    </row>
    <row r="76" spans="1:79" s="3" customFormat="1" ht="10.5" customHeight="1">
      <c r="A76" s="956"/>
      <c r="B76" s="61" t="s">
        <v>461</v>
      </c>
      <c r="C76" s="61"/>
      <c r="D76" s="1173">
        <f>SUM(D72:D75)</f>
        <v>2467.5</v>
      </c>
      <c r="E76" s="1400">
        <f>(D76/D69-1)*100</f>
        <v>-20.416061925495889</v>
      </c>
      <c r="F76" s="1445">
        <f>(D76/'qtrP&amp;L'!CF14)*100</f>
        <v>58.867735470941874</v>
      </c>
      <c r="G76" s="1412">
        <f>'qtrP&amp;L'!CH14</f>
        <v>-22</v>
      </c>
      <c r="H76" s="983"/>
      <c r="J76" s="1173">
        <f>SUM(J72:J75)</f>
        <v>1621.6</v>
      </c>
      <c r="K76" s="1400">
        <f>(J76/J69-1)*100</f>
        <v>-1.3745286461501083</v>
      </c>
      <c r="L76" s="1480">
        <v>4</v>
      </c>
      <c r="M76" s="967"/>
      <c r="N76" s="983">
        <f>SUM(N72:N75)</f>
        <v>592.47983560000011</v>
      </c>
      <c r="O76" s="1390">
        <f>(N76/N69-1)*100</f>
        <v>8.6986092819259611</v>
      </c>
      <c r="P76" s="1390" t="s">
        <v>749</v>
      </c>
      <c r="Q76" s="1491">
        <v>9</v>
      </c>
      <c r="R76" s="1404">
        <f>(N76/'qtrP&amp;L'!CF14)*100</f>
        <v>14.134932617616187</v>
      </c>
      <c r="S76" s="983"/>
      <c r="T76" s="983">
        <f>SUM(T72:T75)</f>
        <v>540.50127620120088</v>
      </c>
      <c r="U76" s="1492">
        <f>(T76/T69-1)*100</f>
        <v>-17.240373880904404</v>
      </c>
      <c r="V76" s="1576">
        <f>AVERAGE(V72:V75)</f>
        <v>-5.75</v>
      </c>
      <c r="W76" s="1404">
        <f>(T76/'qtrP&amp;L'!CF14)*100</f>
        <v>12.894867740271037</v>
      </c>
      <c r="X76" s="1037"/>
      <c r="Y76" s="1036">
        <f>SUM(Y72:Y75)</f>
        <v>488.61888819879897</v>
      </c>
      <c r="Z76" s="1484">
        <f>Y76/Y69-1</f>
        <v>9.5470590133344801E-2</v>
      </c>
      <c r="AA76" s="1404">
        <f>(Y76/'qtrP&amp;L'!CF14)*100</f>
        <v>11.657097246846048</v>
      </c>
      <c r="AB76" s="478"/>
      <c r="AC76" s="1036">
        <f>AC83*0.91</f>
        <v>313.67700000000002</v>
      </c>
      <c r="AD76" s="478"/>
      <c r="AE76" s="478"/>
      <c r="AF76" s="478"/>
      <c r="AG76" s="1519">
        <f>D76+J76</f>
        <v>4089.1</v>
      </c>
      <c r="AH76" s="1522">
        <f>'qtrP&amp;L'!CF14</f>
        <v>4191.6000000000004</v>
      </c>
      <c r="AI76" s="1504">
        <f>AH76-AG76</f>
        <v>102.50000000000045</v>
      </c>
      <c r="AJ76" s="1162"/>
      <c r="AK76" s="983">
        <f>SUM(AK72:AK75)</f>
        <v>59.500000000000114</v>
      </c>
      <c r="AL76" s="1484">
        <f>AK76/AK69-1</f>
        <v>-3.2929168156547339E-2</v>
      </c>
      <c r="AM76" s="1162"/>
      <c r="AN76" s="154"/>
      <c r="AO76" s="1628">
        <v>1574</v>
      </c>
      <c r="AP76" s="1400">
        <f>+(AO76/AO69-1)*100</f>
        <v>-21.063189568706122</v>
      </c>
      <c r="AQ76" s="968">
        <f>AO76/D76*100</f>
        <v>63.789260385005065</v>
      </c>
      <c r="AR76" s="154"/>
      <c r="AS76" s="1628">
        <v>1249</v>
      </c>
      <c r="AT76" s="1400">
        <f>+(AS76/AS69-1)*100</f>
        <v>-3.5521235521235539</v>
      </c>
      <c r="AU76" s="968">
        <f>AS76/J76*100</f>
        <v>77.022693635915147</v>
      </c>
      <c r="AV76" s="968"/>
      <c r="AW76" s="968"/>
      <c r="AX76" s="968"/>
      <c r="AY76" s="968"/>
      <c r="AZ76" s="154"/>
      <c r="BA76" s="1633">
        <v>36.9</v>
      </c>
      <c r="BB76" s="1400">
        <f>+(BA76/BA69-1)*100</f>
        <v>-32.04419889502762</v>
      </c>
      <c r="BC76" s="968">
        <f>BA76/AK76*100</f>
        <v>62.016806722688955</v>
      </c>
      <c r="BD76" s="154"/>
      <c r="BE76" s="1628">
        <v>820.5</v>
      </c>
      <c r="BF76" s="1400">
        <f>+(BE76/BE69-1)*100</f>
        <v>-29.51636457349024</v>
      </c>
      <c r="BG76" s="968">
        <f>(BE76/D76)*100</f>
        <v>33.252279635258361</v>
      </c>
      <c r="BH76" s="61"/>
      <c r="BI76" s="1628">
        <v>480.6</v>
      </c>
      <c r="BJ76" s="1400">
        <f>+(BI76/BI69-1)*100</f>
        <v>-13.514486233579269</v>
      </c>
      <c r="BK76" s="968">
        <f>(BI76/J76)*100</f>
        <v>29.637395165268877</v>
      </c>
      <c r="BL76" s="61"/>
      <c r="BM76" s="1628">
        <v>25.5</v>
      </c>
      <c r="BN76" s="1400">
        <f>+(BM76/BM69-1)*100</f>
        <v>-25.438596491228072</v>
      </c>
      <c r="BO76" s="968">
        <f>(BM76/AK76)*100</f>
        <v>42.857142857142776</v>
      </c>
      <c r="BP76" s="968"/>
      <c r="BQ76" s="968"/>
      <c r="BR76" s="968"/>
      <c r="BS76" s="968"/>
      <c r="BT76" s="61"/>
      <c r="BU76" s="1536">
        <v>-547</v>
      </c>
      <c r="BV76" s="1400">
        <f>+(BU76/BU69-1)*100</f>
        <v>8.8773885350318604</v>
      </c>
      <c r="BW76" s="1400"/>
      <c r="BX76" s="983">
        <f>'qtrP&amp;L'!CF64</f>
        <v>788.50000000000023</v>
      </c>
      <c r="BY76" s="1400">
        <f>(BX76/BX69-1)*100</f>
        <v>-36.999682801193011</v>
      </c>
      <c r="BZ76" s="56">
        <f t="shared" si="1"/>
        <v>18.811432388586702</v>
      </c>
      <c r="CA76" s="122">
        <f t="shared" si="2"/>
        <v>779.59999999999991</v>
      </c>
    </row>
    <row r="77" spans="1:79" s="3" customFormat="1">
      <c r="A77" s="61"/>
      <c r="B77" s="61"/>
      <c r="C77" s="61"/>
      <c r="D77" s="1449"/>
      <c r="E77" s="65"/>
      <c r="F77" s="315"/>
      <c r="G77" s="1413"/>
      <c r="H77" s="61"/>
      <c r="I77" s="61"/>
      <c r="J77" s="1451"/>
      <c r="K77" s="1389"/>
      <c r="L77" s="1389"/>
      <c r="M77" s="1043"/>
      <c r="N77" s="987"/>
      <c r="O77" s="1452"/>
      <c r="P77" s="1438"/>
      <c r="Q77" s="1438"/>
      <c r="R77" s="115"/>
      <c r="S77" s="61"/>
      <c r="T77" s="1181"/>
      <c r="U77" s="65"/>
      <c r="V77" s="1479"/>
      <c r="W77" s="65"/>
      <c r="X77" s="154"/>
      <c r="Y77" s="154"/>
      <c r="Z77" s="1487"/>
      <c r="AA77" s="1404"/>
      <c r="AB77" s="154"/>
      <c r="AC77" s="154"/>
      <c r="AD77" s="154"/>
      <c r="AE77" s="154"/>
      <c r="AF77" s="154"/>
      <c r="AG77" s="1521"/>
      <c r="AH77" s="1521"/>
      <c r="AI77" s="1521"/>
      <c r="AJ77" s="154"/>
      <c r="AK77" s="1043"/>
      <c r="AL77" s="115"/>
      <c r="AM77" s="154"/>
      <c r="AN77" s="154"/>
      <c r="AO77" s="195"/>
      <c r="AP77" s="115"/>
      <c r="AQ77" s="1525"/>
      <c r="AR77" s="154"/>
      <c r="AS77" s="195"/>
      <c r="AT77" s="115"/>
      <c r="AU77" s="154"/>
      <c r="AV77" s="154"/>
      <c r="AW77" s="154"/>
      <c r="AX77" s="154"/>
      <c r="AY77" s="154"/>
      <c r="AZ77" s="154"/>
      <c r="BA77" s="154"/>
      <c r="BB77" s="115"/>
      <c r="BC77" s="968"/>
      <c r="BD77" s="154"/>
      <c r="BE77" s="192"/>
      <c r="BF77" s="65"/>
      <c r="BG77" s="968"/>
      <c r="BH77" s="61"/>
      <c r="BI77" s="192"/>
      <c r="BJ77" s="1532"/>
      <c r="BK77" s="968"/>
      <c r="BL77" s="61"/>
      <c r="BM77" s="1069"/>
      <c r="BN77" s="65"/>
      <c r="BO77" s="61"/>
      <c r="BP77" s="61"/>
      <c r="BQ77" s="61"/>
      <c r="BR77" s="61"/>
      <c r="BS77" s="61"/>
      <c r="BT77" s="61"/>
      <c r="BU77" s="1538"/>
      <c r="BV77" s="65"/>
      <c r="BW77" s="65"/>
      <c r="BX77" s="56"/>
      <c r="BY77" s="56"/>
      <c r="BZ77" s="56"/>
      <c r="CA77" s="1401"/>
    </row>
    <row r="78" spans="1:79" s="3" customFormat="1">
      <c r="A78" s="956"/>
      <c r="B78" s="965" t="s">
        <v>803</v>
      </c>
      <c r="C78" s="61"/>
      <c r="D78" s="1450"/>
      <c r="E78" s="1400"/>
      <c r="F78" s="315"/>
      <c r="G78" s="1414"/>
      <c r="H78" s="983"/>
      <c r="J78" s="1450"/>
      <c r="K78" s="1400"/>
      <c r="L78" s="1400"/>
      <c r="M78" s="967"/>
      <c r="N78" s="983"/>
      <c r="O78" s="1642"/>
      <c r="P78" s="122"/>
      <c r="Q78" s="122"/>
      <c r="R78" s="1403"/>
      <c r="S78" s="983"/>
      <c r="T78" s="983"/>
      <c r="U78" s="1466"/>
      <c r="V78" s="1479"/>
      <c r="W78" s="65"/>
      <c r="X78" s="154"/>
      <c r="Y78" s="154"/>
      <c r="Z78" s="1488"/>
      <c r="AA78" s="1404"/>
      <c r="AB78" s="701"/>
      <c r="AC78" s="701"/>
      <c r="AD78" s="701"/>
      <c r="AE78" s="701"/>
      <c r="AF78" s="701"/>
      <c r="AG78" s="1502"/>
      <c r="AH78" s="1521"/>
      <c r="AI78" s="1504"/>
      <c r="AJ78" s="154"/>
      <c r="AK78" s="1180"/>
      <c r="AL78" s="115"/>
      <c r="AM78" s="154"/>
      <c r="AN78" s="154"/>
      <c r="AO78" s="195"/>
      <c r="AP78" s="115"/>
      <c r="AQ78" s="1525"/>
      <c r="AR78" s="154"/>
      <c r="AS78" s="195"/>
      <c r="AT78" s="115"/>
      <c r="AU78" s="154"/>
      <c r="AV78" s="154"/>
      <c r="AW78" s="154"/>
      <c r="AX78" s="154"/>
      <c r="AY78" s="154"/>
      <c r="AZ78" s="154"/>
      <c r="BA78" s="154"/>
      <c r="BB78" s="115"/>
      <c r="BC78" s="968"/>
      <c r="BD78" s="154"/>
      <c r="BE78" s="61"/>
      <c r="BF78" s="65"/>
      <c r="BG78" s="61"/>
      <c r="BH78" s="61"/>
      <c r="BI78" s="192"/>
      <c r="BJ78" s="1532"/>
      <c r="BK78" s="61"/>
      <c r="BL78" s="61"/>
      <c r="BM78" s="61"/>
      <c r="BN78" s="65"/>
      <c r="BO78" s="61"/>
      <c r="BP78" s="61"/>
      <c r="BQ78" s="61"/>
      <c r="BR78" s="61"/>
      <c r="BS78" s="61"/>
      <c r="BT78" s="61"/>
      <c r="BU78" s="1537"/>
      <c r="BV78" s="65"/>
      <c r="BW78" s="65"/>
      <c r="BX78" s="56"/>
      <c r="BY78" s="56"/>
      <c r="BZ78" s="56"/>
      <c r="CA78" s="1401"/>
    </row>
    <row r="79" spans="1:79" s="3" customFormat="1" ht="10.5" customHeight="1">
      <c r="A79" s="956" t="s">
        <v>457</v>
      </c>
      <c r="B79" s="61" t="s">
        <v>63</v>
      </c>
      <c r="C79" s="61"/>
      <c r="D79" s="1624">
        <v>561</v>
      </c>
      <c r="E79" s="1400">
        <f>(D79/D72-1)*100</f>
        <v>-11.472305507337865</v>
      </c>
      <c r="F79" s="1445">
        <f>(D79/'qtrP&amp;L'!CJ10)*100</f>
        <v>54.45016014752985</v>
      </c>
      <c r="G79" s="1625">
        <f>'qtrP&amp;L'!CL10</f>
        <v>-9.5</v>
      </c>
      <c r="H79" s="983"/>
      <c r="I79" s="1176" t="e">
        <v>#REF!</v>
      </c>
      <c r="J79" s="1626">
        <v>369</v>
      </c>
      <c r="K79" s="1400">
        <f>(J79/J72-1)*100</f>
        <v>-3.1496062992126039</v>
      </c>
      <c r="L79" s="1480">
        <v>6</v>
      </c>
      <c r="M79" s="967"/>
      <c r="N79" s="966">
        <f>N72*(1+O79/100)</f>
        <v>130.33410060000003</v>
      </c>
      <c r="O79" s="1627">
        <v>2</v>
      </c>
      <c r="P79" s="1390" t="s">
        <v>749</v>
      </c>
      <c r="Q79" s="1491">
        <v>3</v>
      </c>
      <c r="R79" s="1404">
        <f>(N79/'qtrP&amp;L'!CJ10)*100</f>
        <v>12.650111676210814</v>
      </c>
      <c r="S79" s="983"/>
      <c r="T79" s="966">
        <f>T72*(1+U79/100)</f>
        <v>118.0758788352</v>
      </c>
      <c r="U79" s="1575">
        <v>-10</v>
      </c>
      <c r="V79" s="1576">
        <v>6</v>
      </c>
      <c r="W79" s="1404">
        <f>(T79/'qtrP&amp;L'!CJ10)*100</f>
        <v>11.460339593827042</v>
      </c>
      <c r="X79" s="154"/>
      <c r="Y79" s="966">
        <f>J79-N79-T79</f>
        <v>120.59002056479997</v>
      </c>
      <c r="Z79" s="1484">
        <f>Y79/Y72-1</f>
        <v>-1.176821275556228E-2</v>
      </c>
      <c r="AA79" s="1404">
        <f>(Y79/'qtrP&amp;L'!CJ10)*100</f>
        <v>11.704359949995146</v>
      </c>
      <c r="AB79" s="478"/>
      <c r="AC79" s="1589">
        <v>87.5</v>
      </c>
      <c r="AD79" s="478"/>
      <c r="AE79" s="1404">
        <f>(AC79/'qtrP&amp;L'!CJ10)*100</f>
        <v>8.4926720372706992</v>
      </c>
      <c r="AF79" s="478"/>
      <c r="AG79" s="1502">
        <f>D79+J79+AC79</f>
        <v>1017.5</v>
      </c>
      <c r="AH79" s="1522">
        <f>'qtrP&amp;L'!CJ10</f>
        <v>1030.3</v>
      </c>
      <c r="AI79" s="1504">
        <f>AH79-AG79</f>
        <v>12.799999999999955</v>
      </c>
      <c r="AJ79" s="1162"/>
      <c r="AK79" s="1628">
        <f>AI79</f>
        <v>12.799999999999955</v>
      </c>
      <c r="AL79" s="1484">
        <f>AK79/AK72-1</f>
        <v>-0.46887966804979242</v>
      </c>
      <c r="AM79" s="1162"/>
      <c r="AN79" s="154"/>
      <c r="AO79" s="1628">
        <v>348.9</v>
      </c>
      <c r="AP79" s="1400">
        <f>+(AO79/AO72-1)*100</f>
        <v>-14.485294117647063</v>
      </c>
      <c r="AQ79" s="968">
        <f>AO79/D79*100</f>
        <v>62.192513368983946</v>
      </c>
      <c r="AR79" s="154"/>
      <c r="AS79" s="1628">
        <v>282.2</v>
      </c>
      <c r="AT79" s="1400">
        <f>+(AS79/AS72-1)*100</f>
        <v>-4.4685172647257909</v>
      </c>
      <c r="AU79" s="1162">
        <f>AS79/J79*100</f>
        <v>76.476964769647694</v>
      </c>
      <c r="AV79" s="1162"/>
      <c r="AW79" s="1628">
        <v>50.6</v>
      </c>
      <c r="AX79" s="1162" t="s">
        <v>606</v>
      </c>
      <c r="AY79" s="1162">
        <f>AW79/AC79*100</f>
        <v>57.828571428571429</v>
      </c>
      <c r="AZ79" s="154"/>
      <c r="BA79" s="1633">
        <v>7.3</v>
      </c>
      <c r="BB79" s="1400">
        <f>+(BA79/BA72-1)*100</f>
        <v>58.695652173913061</v>
      </c>
      <c r="BC79" s="968">
        <f>BA79/AK79*100</f>
        <v>57.031250000000199</v>
      </c>
      <c r="BD79" s="154"/>
      <c r="BE79" s="1628">
        <v>171.7</v>
      </c>
      <c r="BF79" s="1400">
        <f>+(BE79/BE72-1)*100</f>
        <v>-22.483069977426638</v>
      </c>
      <c r="BG79" s="968">
        <f>(BE79/D79)*100</f>
        <v>30.606060606060602</v>
      </c>
      <c r="BH79" s="184"/>
      <c r="BI79" s="1628">
        <v>107.2</v>
      </c>
      <c r="BJ79" s="1400">
        <f>+(BI79/BI72-1)*100</f>
        <v>-9.1525423728813564</v>
      </c>
      <c r="BK79" s="968">
        <f>(BI79/J79)*100</f>
        <v>29.051490514905147</v>
      </c>
      <c r="BL79" s="184"/>
      <c r="BM79" s="1628">
        <v>6.1</v>
      </c>
      <c r="BN79" s="1400">
        <f>+(BM79/BM72-1)*100</f>
        <v>-34.408602150537646</v>
      </c>
      <c r="BO79" s="968">
        <f>(BM79/AK79)*100</f>
        <v>47.656250000000163</v>
      </c>
      <c r="BP79" s="1525"/>
      <c r="BQ79" s="1628">
        <v>15.1</v>
      </c>
      <c r="BR79" s="1400" t="s">
        <v>606</v>
      </c>
      <c r="BS79" s="968">
        <f>BQ79/AC79*100</f>
        <v>17.257142857142856</v>
      </c>
      <c r="BT79" s="184"/>
      <c r="BU79" s="1538">
        <v>-135.1</v>
      </c>
      <c r="BV79" s="1400">
        <f>+(BU79/BU72-1)*100</f>
        <v>2.4260803639120532</v>
      </c>
      <c r="BW79" s="1400"/>
      <c r="BX79" s="983">
        <f>'qtrP&amp;L'!CJ60</f>
        <v>164.99999999999989</v>
      </c>
      <c r="BY79" s="1400">
        <f>(BX79/BX72-1)*100</f>
        <v>-23.928077455048459</v>
      </c>
      <c r="BZ79" s="1029">
        <f t="shared" si="1"/>
        <v>16.01475298456759</v>
      </c>
      <c r="CA79" s="122">
        <f>BE79+BI79+BM79+BU79+BQ79</f>
        <v>165</v>
      </c>
    </row>
    <row r="80" spans="1:79" s="3" customFormat="1" ht="10.5" customHeight="1">
      <c r="A80" s="956" t="s">
        <v>458</v>
      </c>
      <c r="B80" s="61" t="s">
        <v>167</v>
      </c>
      <c r="C80" s="61"/>
      <c r="D80" s="1422">
        <v>731</v>
      </c>
      <c r="E80" s="1400">
        <f>(D80/D73-1)*100</f>
        <v>-6.8315065001274604</v>
      </c>
      <c r="F80" s="1445">
        <f>(D80/'qtrP&amp;L'!CJ11)*100</f>
        <v>57.387344952111796</v>
      </c>
      <c r="G80" s="1625">
        <f>'qtrP&amp;L'!CL11</f>
        <v>-4.2</v>
      </c>
      <c r="H80" s="983"/>
      <c r="I80" s="1176" t="e">
        <v>#REF!</v>
      </c>
      <c r="J80" s="1493">
        <v>437.3</v>
      </c>
      <c r="K80" s="1400">
        <f>(J80/J73-1)*100</f>
        <v>3.9952437574316324</v>
      </c>
      <c r="L80" s="1480">
        <v>9</v>
      </c>
      <c r="M80" s="967"/>
      <c r="N80" s="192">
        <f>N73*(1+O80/100)</f>
        <v>161.21548800000002</v>
      </c>
      <c r="O80" s="1636">
        <v>2</v>
      </c>
      <c r="P80" s="1390" t="s">
        <v>749</v>
      </c>
      <c r="Q80" s="1491">
        <v>5</v>
      </c>
      <c r="R80" s="1404">
        <f>(N80/'qtrP&amp;L'!CJ11)*100</f>
        <v>12.656263777673107</v>
      </c>
      <c r="S80" s="983"/>
      <c r="T80" s="192">
        <f>T73*(1+U80/100)</f>
        <v>137.04535793667537</v>
      </c>
      <c r="U80" s="1437">
        <v>-3</v>
      </c>
      <c r="V80" s="1576">
        <v>2</v>
      </c>
      <c r="W80" s="1404">
        <f>(T80/'qtrP&amp;L'!CJ11)*100</f>
        <v>10.758781436385254</v>
      </c>
      <c r="X80" s="154"/>
      <c r="Y80" s="192">
        <f>J80-N80-T80</f>
        <v>139.03915406332464</v>
      </c>
      <c r="Z80" s="1484">
        <f>Y80/Y73-1</f>
        <v>0.14755012856682215</v>
      </c>
      <c r="AA80" s="1404">
        <f>(Y80/'qtrP&amp;L'!CJ11)*100</f>
        <v>10.915304919400585</v>
      </c>
      <c r="AB80" s="478"/>
      <c r="AC80" s="1584">
        <v>94</v>
      </c>
      <c r="AD80" s="478"/>
      <c r="AE80" s="1404">
        <f>(AC80/'qtrP&amp;L'!CJ11)*100</f>
        <v>7.3794944261265512</v>
      </c>
      <c r="AF80" s="478"/>
      <c r="AG80" s="1519">
        <f>D80+J80+AC80</f>
        <v>1262.3</v>
      </c>
      <c r="AH80" s="1522">
        <f>'qtrP&amp;L'!CJ11</f>
        <v>1273.8</v>
      </c>
      <c r="AI80" s="1504">
        <f>AH80-AG80</f>
        <v>11.5</v>
      </c>
      <c r="AJ80" s="1162"/>
      <c r="AK80" s="135">
        <f>AI80</f>
        <v>11.5</v>
      </c>
      <c r="AL80" s="1484">
        <f>AK80/AK73-1</f>
        <v>-0.19580419580420605</v>
      </c>
      <c r="AM80" s="1162"/>
      <c r="AN80" s="154"/>
      <c r="AO80" s="1590">
        <v>447.3</v>
      </c>
      <c r="AP80" s="1400">
        <f>+(AO80/AO73-1)*100</f>
        <v>-10.914160525791672</v>
      </c>
      <c r="AQ80" s="968">
        <f>AO80/D80*100</f>
        <v>61.19015047879617</v>
      </c>
      <c r="AR80" s="154"/>
      <c r="AS80" s="1590">
        <v>327.39999999999998</v>
      </c>
      <c r="AT80" s="1400">
        <f>+(AS80/AS73-1)*100</f>
        <v>1.5508684863523525</v>
      </c>
      <c r="AU80" s="1162">
        <f>AS80/J80*100</f>
        <v>74.868511319460325</v>
      </c>
      <c r="AV80" s="1526"/>
      <c r="AW80" s="1590">
        <v>60.5</v>
      </c>
      <c r="AX80" s="1162" t="s">
        <v>606</v>
      </c>
      <c r="AY80" s="1162">
        <f>AW80/AC80*100</f>
        <v>64.361702127659569</v>
      </c>
      <c r="AZ80" s="154"/>
      <c r="BA80" s="1590">
        <v>14.3</v>
      </c>
      <c r="BB80" s="1400">
        <f>+(BA80/BA73-1)*100</f>
        <v>110.29411764705883</v>
      </c>
      <c r="BC80" s="968">
        <f>BA80/AK80*100</f>
        <v>124.34782608695653</v>
      </c>
      <c r="BD80" s="154"/>
      <c r="BE80" s="1582">
        <v>248.2</v>
      </c>
      <c r="BF80" s="1400">
        <f>+(BE80/BE73-1)*100</f>
        <v>-16.233547080661502</v>
      </c>
      <c r="BG80" s="968">
        <f>(BE80/D80)*100</f>
        <v>33.95348837209302</v>
      </c>
      <c r="BH80" s="61"/>
      <c r="BI80" s="1582">
        <v>130.6</v>
      </c>
      <c r="BJ80" s="1400">
        <f>+(BI80/BI73-1)*100</f>
        <v>1.713395638629267</v>
      </c>
      <c r="BK80" s="968">
        <f>(BI80/J80)*100</f>
        <v>29.865081179967984</v>
      </c>
      <c r="BL80" s="61"/>
      <c r="BM80" s="1582">
        <f>BX80-278.6</f>
        <v>6.3999999999998636</v>
      </c>
      <c r="BN80" s="1400">
        <f>+(BM80/BM73-1)*100</f>
        <v>-8.5714285714305163</v>
      </c>
      <c r="BO80" s="968">
        <f>(BM80/AK80)*100</f>
        <v>55.65217391304229</v>
      </c>
      <c r="BP80" s="1525"/>
      <c r="BQ80" s="1582">
        <v>22.2</v>
      </c>
      <c r="BR80" s="1400" t="s">
        <v>606</v>
      </c>
      <c r="BS80" s="968">
        <f>BQ80/AC80*100</f>
        <v>23.617021276595743</v>
      </c>
      <c r="BT80" s="61"/>
      <c r="BU80" s="1538">
        <v>-122.4</v>
      </c>
      <c r="BV80" s="1400">
        <f>+(BU80/BU73-1)*100</f>
        <v>-7.761868877166533</v>
      </c>
      <c r="BW80" s="1400"/>
      <c r="BX80" s="192">
        <f>'qtrP&amp;L'!CJ61</f>
        <v>284.99999999999989</v>
      </c>
      <c r="BY80" s="1400">
        <f>(BX80/BX73-1)*100</f>
        <v>-4.6822742474917138</v>
      </c>
      <c r="BZ80" s="56">
        <f t="shared" si="1"/>
        <v>22.373999057936874</v>
      </c>
      <c r="CA80" s="122">
        <f>BE80+BI80+BM80+BU80+BQ80</f>
        <v>284.99999999999983</v>
      </c>
    </row>
    <row r="81" spans="1:87" ht="10.5" customHeight="1">
      <c r="A81" s="956" t="s">
        <v>459</v>
      </c>
      <c r="B81" s="61" t="s">
        <v>166</v>
      </c>
      <c r="C81" s="61"/>
      <c r="D81" s="1422">
        <v>498.9</v>
      </c>
      <c r="E81" s="1400">
        <f>(D81/D74-1)*100</f>
        <v>1.1557177615571845</v>
      </c>
      <c r="F81" s="1445">
        <f>(D81/'qtrP&amp;L'!CJ12)*100</f>
        <v>48.291549704772045</v>
      </c>
      <c r="G81" s="1625">
        <f>'qtrP&amp;L'!CL12</f>
        <v>-0.2</v>
      </c>
      <c r="H81" s="983"/>
      <c r="I81" s="1176" t="e">
        <v>#REF!</v>
      </c>
      <c r="J81" s="1493">
        <v>448.2</v>
      </c>
      <c r="K81" s="1400">
        <f>(J81/J74-1)*100</f>
        <v>4.6951646811492553</v>
      </c>
      <c r="L81" s="1480">
        <v>7</v>
      </c>
      <c r="M81" s="967"/>
      <c r="N81" s="192">
        <f>N74*(1+O81/100)</f>
        <v>157.82047948799999</v>
      </c>
      <c r="O81" s="1636">
        <v>-2</v>
      </c>
      <c r="P81" s="1447" t="s">
        <v>360</v>
      </c>
      <c r="Q81" s="1491">
        <v>2</v>
      </c>
      <c r="R81" s="1404">
        <f>(N81/'qtrP&amp;L'!CJ12)*100</f>
        <v>15.276399137353597</v>
      </c>
      <c r="S81" s="983"/>
      <c r="T81" s="195">
        <f>T74*(1+U81/100)</f>
        <v>144.85932390061444</v>
      </c>
      <c r="U81" s="1437">
        <v>8</v>
      </c>
      <c r="V81" s="1576">
        <v>7</v>
      </c>
      <c r="W81" s="1404">
        <f>(T81/'qtrP&amp;L'!CJ12)*100</f>
        <v>14.021810463712558</v>
      </c>
      <c r="X81" s="154"/>
      <c r="Y81" s="192">
        <f>J81-N81-T81</f>
        <v>145.52019661138556</v>
      </c>
      <c r="Z81" s="1484">
        <f>Y81/Y74-1</f>
        <v>9.4715527798187038E-2</v>
      </c>
      <c r="AA81" s="1404">
        <f>(Y81/'qtrP&amp;L'!CJ12)*100</f>
        <v>14.085780332144571</v>
      </c>
      <c r="AB81" s="478"/>
      <c r="AC81" s="1584">
        <v>79.2</v>
      </c>
      <c r="AD81" s="478"/>
      <c r="AE81" s="1404">
        <f>(AC81/'qtrP&amp;L'!CJ12)*100</f>
        <v>7.6662472171135416</v>
      </c>
      <c r="AF81" s="478"/>
      <c r="AG81" s="1519">
        <f>D81+J81+AC81</f>
        <v>1026.3</v>
      </c>
      <c r="AH81" s="1522">
        <f>'qtrP&amp;L'!CJ12</f>
        <v>1033.0999999999999</v>
      </c>
      <c r="AI81" s="1504">
        <f>AH81-AG81</f>
        <v>6.7999999999999545</v>
      </c>
      <c r="AJ81" s="1162"/>
      <c r="AK81" s="135">
        <f>AI81</f>
        <v>6.7999999999999545</v>
      </c>
      <c r="AL81" s="1484">
        <f>AK81/AK74-1</f>
        <v>-0.15000000000000568</v>
      </c>
      <c r="AM81" s="1162"/>
      <c r="AN81" s="154"/>
      <c r="AO81" s="1590">
        <v>309.10000000000002</v>
      </c>
      <c r="AP81" s="1400">
        <f>+(AO81/AO74-1)*100</f>
        <v>-1.5291494106403181</v>
      </c>
      <c r="AQ81" s="968">
        <f>AO81/D81*100</f>
        <v>61.95630386851073</v>
      </c>
      <c r="AR81" s="154"/>
      <c r="AS81" s="1590">
        <v>338</v>
      </c>
      <c r="AT81" s="1400">
        <f>+(AS81/AS74-1)*100</f>
        <v>2.923264311814866</v>
      </c>
      <c r="AU81" s="1162">
        <f>AS81/J81*100</f>
        <v>75.412762159750116</v>
      </c>
      <c r="AV81" s="1526"/>
      <c r="AW81" s="1590">
        <v>46.1</v>
      </c>
      <c r="AX81" s="1162" t="s">
        <v>606</v>
      </c>
      <c r="AY81" s="1162">
        <f>AW81/AC81*100</f>
        <v>58.207070707070706</v>
      </c>
      <c r="AZ81" s="154"/>
      <c r="BA81" s="1590">
        <v>14</v>
      </c>
      <c r="BB81" s="1400">
        <f>+(BA81/BA74-1)*100</f>
        <v>-11.949685534591193</v>
      </c>
      <c r="BC81" s="968">
        <f>BA81/AK81*100</f>
        <v>205.88235294117783</v>
      </c>
      <c r="BD81" s="154"/>
      <c r="BE81" s="1582">
        <v>135.5</v>
      </c>
      <c r="BF81" s="1400">
        <f>+(BE81/BE74-1)*100</f>
        <v>0.89352196574832288</v>
      </c>
      <c r="BG81" s="968">
        <f>(BE81/D81)*100</f>
        <v>27.159751453197035</v>
      </c>
      <c r="BH81" s="61"/>
      <c r="BI81" s="1582">
        <v>151.69999999999999</v>
      </c>
      <c r="BJ81" s="1400">
        <f>+(BI81/BI74-1)*100</f>
        <v>8.2798001427551782</v>
      </c>
      <c r="BK81" s="968">
        <f>(BI81/J81)*100</f>
        <v>33.846497099509151</v>
      </c>
      <c r="BL81" s="61"/>
      <c r="BM81" s="1582">
        <v>4</v>
      </c>
      <c r="BN81" s="1400">
        <f>+(BM81/BM74-1)*100</f>
        <v>-6.9767441860465134</v>
      </c>
      <c r="BO81" s="968">
        <f>(BM81/AK81)*100</f>
        <v>58.823529411765094</v>
      </c>
      <c r="BP81" s="1525"/>
      <c r="BQ81" s="1582">
        <v>7.4</v>
      </c>
      <c r="BR81" s="1400" t="s">
        <v>606</v>
      </c>
      <c r="BS81" s="968">
        <f>BQ81/AC81*100</f>
        <v>9.3434343434343443</v>
      </c>
      <c r="BT81" s="61"/>
      <c r="BU81" s="1538">
        <v>-146.80000000000001</v>
      </c>
      <c r="BV81" s="1400">
        <f>+(BU81/BU74-1)*100</f>
        <v>11.043872919818476</v>
      </c>
      <c r="BW81" s="1400"/>
      <c r="BX81" s="192">
        <f>'qtrP&amp;L'!CJ62</f>
        <v>151.79999999999973</v>
      </c>
      <c r="BY81" s="1400">
        <f>(BX81/BX74-1)*100</f>
        <v>3.617747440272856</v>
      </c>
      <c r="BZ81" s="56">
        <f t="shared" si="1"/>
        <v>14.693640499467598</v>
      </c>
      <c r="CA81" s="122">
        <f>BE81+BI81+BM81+BU81+BQ81</f>
        <v>151.79999999999998</v>
      </c>
    </row>
    <row r="82" spans="1:87" ht="10.5" customHeight="1">
      <c r="A82" s="956" t="s">
        <v>460</v>
      </c>
      <c r="B82" s="61" t="s">
        <v>62</v>
      </c>
      <c r="C82" s="61"/>
      <c r="D82" s="1577">
        <v>606</v>
      </c>
      <c r="E82" s="1400">
        <f>(D82/D75-1)*100</f>
        <v>8.9928057553956933</v>
      </c>
      <c r="F82" s="1445">
        <f>(D82/'qtrP&amp;L'!CJ13)*100</f>
        <v>52.485709336566778</v>
      </c>
      <c r="G82" s="1659">
        <f>'qtrP&amp;L'!CL13</f>
        <v>2</v>
      </c>
      <c r="H82" s="983"/>
      <c r="I82" s="1176" t="e">
        <v>#REF!</v>
      </c>
      <c r="J82" s="1577">
        <v>450</v>
      </c>
      <c r="K82" s="1400">
        <f>(J82/J75-1)*100</f>
        <v>14.79591836734695</v>
      </c>
      <c r="L82" s="1480">
        <v>13</v>
      </c>
      <c r="M82" s="967"/>
      <c r="N82" s="193">
        <f>N75*(1+O82/100)</f>
        <v>152.88588000000004</v>
      </c>
      <c r="O82" s="1627">
        <v>5</v>
      </c>
      <c r="P82" s="1390" t="s">
        <v>749</v>
      </c>
      <c r="Q82" s="1491">
        <v>10</v>
      </c>
      <c r="R82" s="1404">
        <f>(N82/'qtrP&amp;L'!CJ13)*100</f>
        <v>13.241458513771006</v>
      </c>
      <c r="S82" s="983"/>
      <c r="T82" s="193">
        <f>T75*(1+U82/100)</f>
        <v>143.26548592499998</v>
      </c>
      <c r="U82" s="1437">
        <v>7</v>
      </c>
      <c r="V82" s="1576">
        <v>-5</v>
      </c>
      <c r="W82" s="1404">
        <f>(T82/'qtrP&amp;L'!CJ13)*100</f>
        <v>12.408235399705525</v>
      </c>
      <c r="X82" s="154"/>
      <c r="Y82" s="193">
        <f>J82-N82-T82</f>
        <v>153.84863407499998</v>
      </c>
      <c r="Z82" s="1484">
        <f>Y82/Y75-1</f>
        <v>0.36752612239191906</v>
      </c>
      <c r="AA82" s="1404">
        <f>(Y82/'qtrP&amp;L'!CJ13)*100</f>
        <v>13.32484272258791</v>
      </c>
      <c r="AB82" s="478"/>
      <c r="AC82" s="1583">
        <v>84</v>
      </c>
      <c r="AD82" s="478"/>
      <c r="AE82" s="1404">
        <f>(AC82/'qtrP&amp;L'!CJ13)*100</f>
        <v>7.2752468387320288</v>
      </c>
      <c r="AF82" s="478"/>
      <c r="AG82" s="1520">
        <f>D82+J82+AC82</f>
        <v>1140</v>
      </c>
      <c r="AH82" s="1523">
        <f>'qtrP&amp;L'!CJ13</f>
        <v>1154.5999999999999</v>
      </c>
      <c r="AI82" s="1504">
        <f>AH82-AG82</f>
        <v>14.599999999999909</v>
      </c>
      <c r="AJ82" s="1162"/>
      <c r="AK82" s="138">
        <f>AI82</f>
        <v>14.599999999999909</v>
      </c>
      <c r="AL82" s="1484">
        <f>AK82/AK75-1</f>
        <v>0.11450381679388433</v>
      </c>
      <c r="AM82" s="1162"/>
      <c r="AN82" s="154"/>
      <c r="AO82" s="1583">
        <f>AO83-SUM(AO79:AO81)</f>
        <v>372.49999999999977</v>
      </c>
      <c r="AP82" s="1400">
        <f>+(AO82/AO75-1)*100</f>
        <v>6.4285714285713613</v>
      </c>
      <c r="AQ82" s="968">
        <f>AO82/D82*100</f>
        <v>61.468646864686427</v>
      </c>
      <c r="AR82" s="154"/>
      <c r="AS82" s="1583">
        <f>AS83-SUM(AS79:AS81)</f>
        <v>338.80000000000018</v>
      </c>
      <c r="AT82" s="1400">
        <f>+(AS82/AS75-1)*100</f>
        <v>11.88903566710704</v>
      </c>
      <c r="AU82" s="1162">
        <f>AS82/J82*100</f>
        <v>75.288888888888934</v>
      </c>
      <c r="AV82" s="1526"/>
      <c r="AW82" s="1583">
        <f>AW83-SUM(AW79:AW81)</f>
        <v>45.200000000000017</v>
      </c>
      <c r="AX82" s="1162" t="s">
        <v>606</v>
      </c>
      <c r="AY82" s="1162">
        <f>AW82/AC82*100</f>
        <v>53.809523809523832</v>
      </c>
      <c r="AZ82" s="154"/>
      <c r="BA82" s="2048">
        <f>BA83-SUM(BA79:BA81)</f>
        <v>16.399999999999999</v>
      </c>
      <c r="BB82" s="1400">
        <f>+(BA82/BA75-1)*100</f>
        <v>70.8333333333333</v>
      </c>
      <c r="BC82" s="968">
        <f>BA82/AK82*100</f>
        <v>112.32876712328836</v>
      </c>
      <c r="BD82" s="154"/>
      <c r="BE82" s="1583">
        <f>BE83-SUM(BE79:BE81)</f>
        <v>181.89999999999998</v>
      </c>
      <c r="BF82" s="1400">
        <f>+(BE82/BE75-1)*100</f>
        <v>8.0166270783847295</v>
      </c>
      <c r="BG82" s="968">
        <f>(BE82/D82)*100</f>
        <v>30.016501650165011</v>
      </c>
      <c r="BH82" s="61"/>
      <c r="BI82" s="2048">
        <f>BI83-SUM(BI79:BI81)</f>
        <v>123.20000000000005</v>
      </c>
      <c r="BJ82" s="1400">
        <f>+(BI82/BI75-1)*100</f>
        <v>30.924548352816174</v>
      </c>
      <c r="BK82" s="968">
        <f>(BI82/J82)*100</f>
        <v>27.377777777777791</v>
      </c>
      <c r="BL82" s="61"/>
      <c r="BM82" s="2048">
        <f>BM83-SUM(BM79:BM81)</f>
        <v>6.4000000000001336</v>
      </c>
      <c r="BN82" s="1400">
        <f>+(BM82/BM75-1)*100</f>
        <v>30.612244897961951</v>
      </c>
      <c r="BO82" s="968">
        <f>(BM82/AK82)*100</f>
        <v>43.835616438357349</v>
      </c>
      <c r="BP82" s="1525"/>
      <c r="BQ82" s="2048">
        <f>BQ83-SUM(BQ79:BQ81)</f>
        <v>3.5000000000000071</v>
      </c>
      <c r="BR82" s="1400" t="s">
        <v>606</v>
      </c>
      <c r="BS82" s="968">
        <f>BQ82/AC82*100</f>
        <v>4.1666666666666758</v>
      </c>
      <c r="BT82" s="61"/>
      <c r="BU82" s="1539">
        <f>BU83-BU79-BU80-BU81</f>
        <v>-140.19999999999999</v>
      </c>
      <c r="BV82" s="1400">
        <f>+(BU82/BU75-1)*100</f>
        <v>-0.77848549186128047</v>
      </c>
      <c r="BW82" s="1400"/>
      <c r="BX82" s="193">
        <f>'qtrP&amp;L'!CJ63</f>
        <v>174.79999999999984</v>
      </c>
      <c r="BY82" s="1400">
        <f>(BX82/BX75-1)*100</f>
        <v>38.620142743853812</v>
      </c>
      <c r="BZ82" s="56">
        <f t="shared" si="1"/>
        <v>15.139442231075684</v>
      </c>
      <c r="CA82" s="1634">
        <f>BE82+BI82+BM82+BU82+BQ82</f>
        <v>174.80000000000018</v>
      </c>
    </row>
    <row r="83" spans="1:87" ht="10.5" customHeight="1">
      <c r="A83" s="956"/>
      <c r="B83" s="61" t="s">
        <v>461</v>
      </c>
      <c r="C83" s="61"/>
      <c r="D83" s="1173">
        <f>SUM(D79:D82)</f>
        <v>2396.9</v>
      </c>
      <c r="E83" s="1400">
        <f>(D83/D76-1)*100</f>
        <v>-2.8611955420466018</v>
      </c>
      <c r="F83" s="1445">
        <f>(D83/'qtrP&amp;L'!CJ14)*100</f>
        <v>53.361681285898754</v>
      </c>
      <c r="G83" s="1660">
        <f>'qtrP&amp;L'!CL14</f>
        <v>-3.3</v>
      </c>
      <c r="H83" s="983"/>
      <c r="J83" s="1173">
        <f>SUM(J79:J82)</f>
        <v>1704.5</v>
      </c>
      <c r="K83" s="1400">
        <f>(J83/J76-1)*100</f>
        <v>5.112234829797746</v>
      </c>
      <c r="L83" s="1480">
        <v>9</v>
      </c>
      <c r="M83" s="967"/>
      <c r="N83" s="983">
        <f>SUM(N79:N82)</f>
        <v>602.25594808800008</v>
      </c>
      <c r="O83" s="1390">
        <f>(N83/N76-1)*100</f>
        <v>1.6500329463701835</v>
      </c>
      <c r="P83" s="1390" t="s">
        <v>749</v>
      </c>
      <c r="Q83" s="1491">
        <v>5</v>
      </c>
      <c r="R83" s="1404">
        <f>(N83/'qtrP&amp;L'!CJ14)*100</f>
        <v>13.407897682176415</v>
      </c>
      <c r="S83" s="983"/>
      <c r="T83" s="983">
        <f>SUM(T79:T82)</f>
        <v>543.24604659748979</v>
      </c>
      <c r="U83" s="1492">
        <f>(T83/T76-1)*100</f>
        <v>0.50781941082174153</v>
      </c>
      <c r="V83" s="1576">
        <v>2</v>
      </c>
      <c r="W83" s="1404">
        <f>(T83/'qtrP&amp;L'!CJ14)*100</f>
        <v>12.094172638975241</v>
      </c>
      <c r="X83" s="1037"/>
      <c r="Y83" s="1036">
        <f>SUM(Y79:Y82)</f>
        <v>558.99800531451012</v>
      </c>
      <c r="Z83" s="1484">
        <f>Y83/Y76-1</f>
        <v>0.14403683282721724</v>
      </c>
      <c r="AA83" s="1404">
        <f>(Y83/'qtrP&amp;L'!CJ14)*100</f>
        <v>12.444855187553101</v>
      </c>
      <c r="AB83" s="478"/>
      <c r="AC83" s="1036">
        <f>SUM(AC79:AC82)</f>
        <v>344.7</v>
      </c>
      <c r="AD83" s="1484">
        <f>AC83/AC76-1</f>
        <v>9.8901098901098772E-2</v>
      </c>
      <c r="AE83" s="1404">
        <f>(AC83/'qtrP&amp;L'!CJ14)*100</f>
        <v>7.6739837036377407</v>
      </c>
      <c r="AF83" s="478"/>
      <c r="AG83" s="1519">
        <f>D83+J83+AC83</f>
        <v>4446.0999999999995</v>
      </c>
      <c r="AH83" s="1522">
        <f>'qtrP&amp;L'!CJ14</f>
        <v>4491.7999999999993</v>
      </c>
      <c r="AI83" s="1504">
        <f>AH83-AG83</f>
        <v>45.699999999999818</v>
      </c>
      <c r="AJ83" s="1162"/>
      <c r="AK83" s="983">
        <f>SUM(AK79:AK82)</f>
        <v>45.699999999999818</v>
      </c>
      <c r="AL83" s="1484">
        <f>AK83/AK76-1</f>
        <v>-0.2319327731092482</v>
      </c>
      <c r="AM83" s="1162"/>
      <c r="AN83" s="154"/>
      <c r="AO83" s="1633">
        <f>AO76-96.2</f>
        <v>1477.8</v>
      </c>
      <c r="AP83" s="1400">
        <f>+(AO83/AO76-1)*100</f>
        <v>-6.1118170266836085</v>
      </c>
      <c r="AQ83" s="968">
        <f>AO83/D83*100</f>
        <v>61.654637239768029</v>
      </c>
      <c r="AR83" s="154"/>
      <c r="AS83" s="1628">
        <f>AS76+37.4</f>
        <v>1286.4000000000001</v>
      </c>
      <c r="AT83" s="1400">
        <f>+(AS83/AS76-1)*100</f>
        <v>2.9943955164131397</v>
      </c>
      <c r="AU83" s="968">
        <f>AS83/J83*100</f>
        <v>75.470812555001473</v>
      </c>
      <c r="AV83" s="968"/>
      <c r="AW83" s="1628">
        <v>202.4</v>
      </c>
      <c r="AX83" s="1162" t="s">
        <v>606</v>
      </c>
      <c r="AY83" s="1162">
        <f>AW83/AC83*100</f>
        <v>58.717725558456635</v>
      </c>
      <c r="AZ83" s="154"/>
      <c r="BA83" s="1633">
        <v>52</v>
      </c>
      <c r="BB83" s="1400">
        <f>+(BA83/BA76-1)*100</f>
        <v>40.921409214092151</v>
      </c>
      <c r="BC83" s="968">
        <f>BA83/AK83*100</f>
        <v>113.78555798687135</v>
      </c>
      <c r="BD83" s="154"/>
      <c r="BE83" s="1628">
        <v>737.3</v>
      </c>
      <c r="BF83" s="1400">
        <f>+(BE83/BE76-1)*100</f>
        <v>-10.140158439975632</v>
      </c>
      <c r="BG83" s="968">
        <f>(BE83/D83)*100</f>
        <v>30.760565730735529</v>
      </c>
      <c r="BH83" s="61"/>
      <c r="BI83" s="1628">
        <v>512.70000000000005</v>
      </c>
      <c r="BJ83" s="1400">
        <f>+(BI83/BI76-1)*100</f>
        <v>6.6791510611735383</v>
      </c>
      <c r="BK83" s="968">
        <f>(BI83/J83)*100</f>
        <v>30.079202112056326</v>
      </c>
      <c r="BL83" s="61"/>
      <c r="BM83" s="1628">
        <v>22.9</v>
      </c>
      <c r="BN83" s="1400">
        <f>+(BM83/BM76-1)*100</f>
        <v>-10.196078431372557</v>
      </c>
      <c r="BO83" s="968">
        <f>(BM83/AK83)*100</f>
        <v>50.10940919037219</v>
      </c>
      <c r="BP83" s="968"/>
      <c r="BQ83" s="1628">
        <v>48.2</v>
      </c>
      <c r="BR83" s="1400"/>
      <c r="BS83" s="968">
        <f>BQ83/AC83*100</f>
        <v>13.983173774296493</v>
      </c>
      <c r="BT83" s="61"/>
      <c r="BU83" s="1536">
        <v>-544.5</v>
      </c>
      <c r="BV83" s="1400">
        <f>+(BU83/BU76-1)*100</f>
        <v>-0.45703839122486212</v>
      </c>
      <c r="BW83" s="1400"/>
      <c r="BX83" s="983">
        <f>'qtrP&amp;L'!CJ64</f>
        <v>776.59999999999934</v>
      </c>
      <c r="BY83" s="1400">
        <f>(BX83/BX76-1)*100</f>
        <v>-1.5091946734306805</v>
      </c>
      <c r="BZ83" s="56">
        <f t="shared" si="1"/>
        <v>17.289282692907062</v>
      </c>
      <c r="CA83" s="122">
        <f>BE83+BI83+BM83+BU83+BQ83</f>
        <v>776.60000000000014</v>
      </c>
    </row>
    <row r="84" spans="1:87">
      <c r="A84" s="61"/>
      <c r="B84" s="61"/>
      <c r="C84" s="61"/>
      <c r="D84" s="1449"/>
      <c r="E84" s="65"/>
      <c r="F84" s="315"/>
      <c r="G84" s="1457"/>
      <c r="H84" s="61"/>
      <c r="I84" s="61"/>
      <c r="J84" s="1451"/>
      <c r="K84" s="1389"/>
      <c r="L84" s="1389"/>
      <c r="M84" s="1043"/>
      <c r="N84" s="1669"/>
      <c r="O84" s="1452"/>
      <c r="P84" s="1438"/>
      <c r="Q84" s="1438"/>
      <c r="R84" s="115"/>
      <c r="S84" s="61"/>
      <c r="T84" s="1181"/>
      <c r="U84" s="65"/>
      <c r="V84" s="1479"/>
      <c r="W84" s="65"/>
      <c r="X84" s="154"/>
      <c r="Y84" s="154"/>
      <c r="Z84" s="1487"/>
      <c r="AA84" s="1404"/>
      <c r="AB84" s="154"/>
      <c r="AC84" s="154"/>
      <c r="AD84" s="154"/>
      <c r="AE84" s="154"/>
      <c r="AF84" s="154"/>
      <c r="AG84" s="1521"/>
      <c r="AH84" s="1521"/>
      <c r="AI84" s="1521"/>
      <c r="AJ84" s="154"/>
      <c r="AK84" s="1043"/>
      <c r="AL84" s="115"/>
      <c r="AM84" s="154"/>
      <c r="AN84" s="154"/>
      <c r="AO84" s="195"/>
      <c r="AP84" s="115"/>
      <c r="AQ84" s="1525"/>
      <c r="AR84" s="154"/>
      <c r="AS84" s="195"/>
      <c r="AT84" s="115"/>
      <c r="AU84" s="154"/>
      <c r="AV84" s="154"/>
      <c r="AW84" s="154"/>
      <c r="AX84" s="154"/>
      <c r="AY84" s="154"/>
      <c r="AZ84" s="154"/>
      <c r="BA84" s="154"/>
      <c r="BB84" s="115"/>
      <c r="BC84" s="968"/>
      <c r="BD84" s="154"/>
      <c r="BE84" s="192"/>
      <c r="BF84" s="65"/>
      <c r="BG84" s="968"/>
      <c r="BH84" s="61"/>
      <c r="BI84" s="192"/>
      <c r="BJ84" s="1532"/>
      <c r="BK84" s="968"/>
      <c r="BL84" s="61"/>
      <c r="BM84" s="1069"/>
      <c r="BN84" s="65"/>
      <c r="BO84" s="61"/>
      <c r="BP84" s="61"/>
      <c r="BQ84" s="61"/>
      <c r="BR84" s="61"/>
      <c r="BS84" s="61"/>
      <c r="BT84" s="61"/>
      <c r="BU84" s="1538"/>
      <c r="BV84" s="65"/>
      <c r="BW84" s="65"/>
      <c r="CA84" s="1401"/>
    </row>
    <row r="85" spans="1:87">
      <c r="A85" s="956"/>
      <c r="B85" s="965" t="s">
        <v>853</v>
      </c>
      <c r="C85" s="61"/>
      <c r="D85" s="1450"/>
      <c r="E85" s="1400"/>
      <c r="F85" s="315"/>
      <c r="G85" s="1414"/>
      <c r="H85" s="983"/>
      <c r="J85" s="1450"/>
      <c r="K85" s="1400"/>
      <c r="L85" s="1400"/>
      <c r="M85" s="967"/>
      <c r="N85" s="983"/>
      <c r="O85" s="1642"/>
      <c r="P85" s="122"/>
      <c r="Q85" s="122"/>
      <c r="R85" s="1403"/>
      <c r="S85" s="983"/>
      <c r="T85" s="983"/>
      <c r="U85" s="1466"/>
      <c r="V85" s="1479"/>
      <c r="W85" s="65"/>
      <c r="X85" s="154"/>
      <c r="Y85" s="154"/>
      <c r="Z85" s="1488"/>
      <c r="AA85" s="1404"/>
      <c r="AB85" s="701"/>
      <c r="AC85" s="701"/>
      <c r="AD85" s="1486"/>
      <c r="AE85" s="701"/>
      <c r="AF85" s="701"/>
      <c r="AG85" s="1502"/>
      <c r="AH85" s="1521"/>
      <c r="AI85" s="1504"/>
      <c r="AJ85" s="154"/>
      <c r="AK85" s="1180"/>
      <c r="AL85" s="115"/>
      <c r="AM85" s="154"/>
      <c r="AN85" s="154"/>
      <c r="AO85" s="195"/>
      <c r="AP85" s="115"/>
      <c r="AQ85" s="1525"/>
      <c r="AR85" s="154"/>
      <c r="AS85" s="195"/>
      <c r="AT85" s="115"/>
      <c r="AU85" s="154"/>
      <c r="AV85" s="154"/>
      <c r="AW85" s="154"/>
      <c r="AX85" s="154"/>
      <c r="AY85" s="154"/>
      <c r="AZ85" s="154"/>
      <c r="BA85" s="154"/>
      <c r="BB85" s="115"/>
      <c r="BC85" s="968"/>
      <c r="BD85" s="154"/>
      <c r="BE85" s="61"/>
      <c r="BF85" s="65"/>
      <c r="BG85" s="61"/>
      <c r="BH85" s="61"/>
      <c r="BI85" s="192"/>
      <c r="BJ85" s="1532"/>
      <c r="BK85" s="61"/>
      <c r="BL85" s="61"/>
      <c r="BM85" s="61"/>
      <c r="BN85" s="65"/>
      <c r="BO85" s="61"/>
      <c r="BP85" s="61"/>
      <c r="BQ85" s="61"/>
      <c r="BR85" s="61"/>
      <c r="BS85" s="61"/>
      <c r="BT85" s="61"/>
      <c r="BU85" s="1537"/>
      <c r="BV85" s="65"/>
      <c r="BW85" s="65"/>
      <c r="CA85" s="1401"/>
    </row>
    <row r="86" spans="1:87" ht="10.5" customHeight="1">
      <c r="A86" s="956" t="s">
        <v>457</v>
      </c>
      <c r="B86" s="61" t="s">
        <v>63</v>
      </c>
      <c r="C86" s="61"/>
      <c r="D86" s="1624">
        <v>545</v>
      </c>
      <c r="E86" s="1400">
        <f>(D86/D79-1)*100</f>
        <v>-2.8520499108734443</v>
      </c>
      <c r="F86" s="1445">
        <f>(D86/'qtrP&amp;L'!CN10)*100</f>
        <v>52.525057825751745</v>
      </c>
      <c r="G86" s="1660">
        <f>CoachNAqtrSalesOld!F166</f>
        <v>1.9</v>
      </c>
      <c r="H86" s="983"/>
      <c r="I86" s="1176" t="e">
        <v>#REF!</v>
      </c>
      <c r="J86" s="1624">
        <v>395</v>
      </c>
      <c r="K86" s="1400">
        <f>(J86/J79-1)*100</f>
        <v>7.046070460704601</v>
      </c>
      <c r="L86" s="1480">
        <v>3</v>
      </c>
      <c r="M86" s="967"/>
      <c r="N86" s="966">
        <f>N79*(1+O86/100)</f>
        <v>130.33410060000003</v>
      </c>
      <c r="O86" s="1627">
        <v>0</v>
      </c>
      <c r="P86" s="1390" t="s">
        <v>749</v>
      </c>
      <c r="Q86" s="1491">
        <v>5</v>
      </c>
      <c r="R86" s="1404">
        <f>(N86/'qtrP&amp;L'!CN10)*100</f>
        <v>12.561112239784119</v>
      </c>
      <c r="S86" s="983"/>
      <c r="T86" s="966">
        <f>T79*(1+U86/100)</f>
        <v>131.06422550707202</v>
      </c>
      <c r="U86" s="1575">
        <v>11</v>
      </c>
      <c r="V86" s="1576">
        <v>-7</v>
      </c>
      <c r="W86" s="1404">
        <f>(T86/'qtrP&amp;L'!CN10)*100</f>
        <v>12.63147894247032</v>
      </c>
      <c r="X86" s="154"/>
      <c r="Y86" s="195">
        <f>J86-N86-T86</f>
        <v>133.60167389292792</v>
      </c>
      <c r="Z86" s="1484">
        <f>Y86/Y79-1</f>
        <v>0.10789991797983012</v>
      </c>
      <c r="AA86" s="1404">
        <f>(Y86/'qtrP&amp;L'!CN10)*100</f>
        <v>12.876028709804158</v>
      </c>
      <c r="AB86" s="478"/>
      <c r="AC86" s="1589">
        <v>87.5</v>
      </c>
      <c r="AD86" s="1484">
        <f>AC86/AC79-1</f>
        <v>0</v>
      </c>
      <c r="AE86" s="1404">
        <f>(AC86/'qtrP&amp;L'!CN10)*100</f>
        <v>8.4329221279876645</v>
      </c>
      <c r="AF86" s="478"/>
      <c r="AG86" s="1502">
        <f>D86+J86+AC86</f>
        <v>1027.5</v>
      </c>
      <c r="AH86" s="1522">
        <f>'qtrP&amp;L'!CN10</f>
        <v>1037.5999999999999</v>
      </c>
      <c r="AI86" s="1504">
        <f>AH86-AG86</f>
        <v>10.099999999999909</v>
      </c>
      <c r="AJ86" s="1162"/>
      <c r="AK86" s="1628">
        <f>AI86</f>
        <v>10.099999999999909</v>
      </c>
      <c r="AL86" s="1484">
        <f>AK86/AK79-1</f>
        <v>-0.21093750000000433</v>
      </c>
      <c r="AM86" s="1162"/>
      <c r="AN86" s="154"/>
      <c r="AO86" s="1628">
        <v>341.2</v>
      </c>
      <c r="AP86" s="1400">
        <f>+(AO86/AO79-1)*100</f>
        <v>-2.2069360848380626</v>
      </c>
      <c r="AQ86" s="968">
        <f>AO86/D86*100</f>
        <v>62.605504587155956</v>
      </c>
      <c r="AR86" s="154"/>
      <c r="AS86" s="1628">
        <v>298.10000000000002</v>
      </c>
      <c r="AT86" s="1400">
        <f>+(AS86/AS79-1)*100</f>
        <v>5.6343019135365102</v>
      </c>
      <c r="AU86" s="1162">
        <f>AS86/J86*100</f>
        <v>75.468354430379748</v>
      </c>
      <c r="AV86" s="1162"/>
      <c r="AW86" s="1628">
        <v>51.5</v>
      </c>
      <c r="AX86" s="1400">
        <f>+(AW86/AW79-1)*100</f>
        <v>1.7786561264822032</v>
      </c>
      <c r="AY86" s="1162">
        <f>AW86/AC86*100</f>
        <v>58.857142857142854</v>
      </c>
      <c r="AZ86" s="154"/>
      <c r="BA86" s="1628">
        <v>16.2</v>
      </c>
      <c r="BB86" s="1400">
        <f>+(BA86/BA79-1)*100</f>
        <v>121.91780821917808</v>
      </c>
      <c r="BC86" s="968">
        <f>BA86/AK86*100</f>
        <v>160.39603960396184</v>
      </c>
      <c r="BD86" s="154"/>
      <c r="BE86" s="1628">
        <v>164.2</v>
      </c>
      <c r="BF86" s="1400">
        <f>+(BE86/BE79-1)*100</f>
        <v>-4.3680838672102489</v>
      </c>
      <c r="BG86" s="968">
        <f>(BE86/D86)*100</f>
        <v>30.128440366972477</v>
      </c>
      <c r="BH86" s="184"/>
      <c r="BI86" s="1628">
        <v>113.3</v>
      </c>
      <c r="BJ86" s="1400">
        <f>+(BI86/BI79-1)*100</f>
        <v>5.6902985074626766</v>
      </c>
      <c r="BK86" s="968">
        <f>(BI86/J86)*100</f>
        <v>28.683544303797468</v>
      </c>
      <c r="BL86" s="184"/>
      <c r="BM86" s="1628">
        <f>BX86-BE86-BI86-BQ86-BU86</f>
        <v>6.0999999999999659</v>
      </c>
      <c r="BN86" s="1400">
        <f>+(BM86/BM79-1)*100</f>
        <v>-5.5511151231257827E-13</v>
      </c>
      <c r="BO86" s="968">
        <f>(BM86/AK86)*100</f>
        <v>60.396039603960602</v>
      </c>
      <c r="BP86" s="1525"/>
      <c r="BQ86" s="1628">
        <v>6.5</v>
      </c>
      <c r="BR86" s="1400">
        <f>+(BQ86/BQ79-1)*100</f>
        <v>-56.953642384105962</v>
      </c>
      <c r="BS86" s="968">
        <f>BQ86/AC86*100</f>
        <v>7.4285714285714288</v>
      </c>
      <c r="BT86" s="184"/>
      <c r="BU86" s="1538">
        <v>-113.3</v>
      </c>
      <c r="BV86" s="1400">
        <f>+(BU86/BU79-1)*100</f>
        <v>-16.13619541080681</v>
      </c>
      <c r="BW86" s="1400"/>
      <c r="BX86" s="983">
        <f>'qtrP&amp;L'!CN60</f>
        <v>176.79999999999995</v>
      </c>
      <c r="BY86" s="1400">
        <f>(BX86/BX79-1)*100</f>
        <v>7.1515151515151976</v>
      </c>
      <c r="BZ86" s="1029">
        <f>(BX86/AH86)*100</f>
        <v>17.039321511179644</v>
      </c>
      <c r="CA86" s="122">
        <f>BE86+BI86+BM86+BU86+BQ86</f>
        <v>176.79999999999995</v>
      </c>
    </row>
    <row r="87" spans="1:87" ht="10.5" customHeight="1">
      <c r="A87" s="956" t="s">
        <v>458</v>
      </c>
      <c r="B87" s="61" t="s">
        <v>167</v>
      </c>
      <c r="C87" s="61"/>
      <c r="D87" s="1678">
        <v>744</v>
      </c>
      <c r="E87" s="1400">
        <f>(D87/D80-1)*100</f>
        <v>1.7783857729138264</v>
      </c>
      <c r="F87" s="1445">
        <f>(D87/'qtrP&amp;L'!CN11)*100</f>
        <v>56.291140198229549</v>
      </c>
      <c r="G87" s="1660">
        <f>CoachNAqtrSalesOld!F167</f>
        <v>2.8</v>
      </c>
      <c r="H87" s="983"/>
      <c r="I87" s="1176" t="e">
        <v>#REF!</v>
      </c>
      <c r="J87" s="1678">
        <v>448</v>
      </c>
      <c r="K87" s="1400">
        <f>(J87/J80-1)*100</f>
        <v>2.4468328378687287</v>
      </c>
      <c r="L87" s="1480">
        <v>1</v>
      </c>
      <c r="M87" s="967"/>
      <c r="N87" s="192">
        <f>N80*(1+O87/100)</f>
        <v>161.21548800000002</v>
      </c>
      <c r="O87" s="1627">
        <v>0</v>
      </c>
      <c r="P87" s="1390" t="s">
        <v>749</v>
      </c>
      <c r="Q87" s="1491">
        <v>6</v>
      </c>
      <c r="R87" s="1404">
        <f>(N87/'qtrP&amp;L'!CN11)*100</f>
        <v>12.197585533782252</v>
      </c>
      <c r="S87" s="983"/>
      <c r="T87" s="192">
        <f>T80*(1+U87/100)</f>
        <v>149.37944015097617</v>
      </c>
      <c r="U87" s="1575">
        <v>9</v>
      </c>
      <c r="V87" s="1576">
        <v>-2</v>
      </c>
      <c r="W87" s="1404">
        <f>(T87/'qtrP&amp;L'!CN11)*100</f>
        <v>11.302068559504892</v>
      </c>
      <c r="X87" s="154"/>
      <c r="Y87" s="195">
        <f>J87-N87-T87</f>
        <v>137.40507184902378</v>
      </c>
      <c r="Z87" s="1484">
        <f>Y87/Y80-1</f>
        <v>-1.1752676613356217E-2</v>
      </c>
      <c r="AA87" s="1404">
        <f>(Y87/'qtrP&amp;L'!CN11)*100</f>
        <v>10.396086241130648</v>
      </c>
      <c r="AB87" s="478"/>
      <c r="AC87" s="1590">
        <v>118.3</v>
      </c>
      <c r="AD87" s="1484">
        <f>AC87/AC80-1</f>
        <v>0.25851063829787235</v>
      </c>
      <c r="AE87" s="1404">
        <f>(AC87/'qtrP&amp;L'!CN11)*100</f>
        <v>8.950593932057199</v>
      </c>
      <c r="AF87" s="478"/>
      <c r="AG87" s="1519">
        <f>D87+J87+AC87</f>
        <v>1310.3</v>
      </c>
      <c r="AH87" s="1522">
        <f>'qtrP&amp;L'!CN11</f>
        <v>1321.7</v>
      </c>
      <c r="AI87" s="1504">
        <f>AH87-AG87</f>
        <v>11.400000000000091</v>
      </c>
      <c r="AJ87" s="1162"/>
      <c r="AK87" s="135">
        <f>AI87</f>
        <v>11.400000000000091</v>
      </c>
      <c r="AL87" s="1484">
        <f>AK87/AK80-1</f>
        <v>-8.6956521739051107E-3</v>
      </c>
      <c r="AM87" s="1162"/>
      <c r="AN87" s="154"/>
      <c r="AO87" s="1590">
        <v>463</v>
      </c>
      <c r="AP87" s="1400">
        <f>+(AO87/AO80-1)*100</f>
        <v>3.5099485803711028</v>
      </c>
      <c r="AQ87" s="968">
        <f>AO87/D87*100</f>
        <v>62.231182795698928</v>
      </c>
      <c r="AR87" s="154"/>
      <c r="AS87" s="1590">
        <v>342.3</v>
      </c>
      <c r="AT87" s="1400">
        <f>+(AS87/AS80-1)*100</f>
        <v>4.5510079413561444</v>
      </c>
      <c r="AU87" s="1162">
        <f>AS87/J87*100</f>
        <v>76.40625</v>
      </c>
      <c r="AV87" s="1526"/>
      <c r="AW87" s="1590">
        <v>76</v>
      </c>
      <c r="AX87" s="1400">
        <f>+(AW87/AW80-1)*100</f>
        <v>25.619834710743806</v>
      </c>
      <c r="AY87" s="1162">
        <f>AW87/AC87*100</f>
        <v>64.243448858833474</v>
      </c>
      <c r="AZ87" s="154"/>
      <c r="BA87" s="1590">
        <v>15.5</v>
      </c>
      <c r="BB87" s="1400">
        <f>+(BA87/BA80-1)*100</f>
        <v>8.391608391608397</v>
      </c>
      <c r="BC87" s="968">
        <f>BA87/AK87*100</f>
        <v>135.96491228070067</v>
      </c>
      <c r="BD87" s="154"/>
      <c r="BE87" s="1582">
        <v>258.2</v>
      </c>
      <c r="BF87" s="1400">
        <f>+(BE87/BE80-1)*100</f>
        <v>4.0290088638194943</v>
      </c>
      <c r="BG87" s="968">
        <f>(BE87/D87)*100</f>
        <v>34.704301075268816</v>
      </c>
      <c r="BH87" s="61"/>
      <c r="BI87" s="1582">
        <v>136.19999999999999</v>
      </c>
      <c r="BJ87" s="1400">
        <f>+(BI87/BI80-1)*100</f>
        <v>4.2879019908116378</v>
      </c>
      <c r="BK87" s="968">
        <f>(BI87/J87)*100</f>
        <v>30.401785714285712</v>
      </c>
      <c r="BL87" s="61"/>
      <c r="BM87" s="1582">
        <v>9.4</v>
      </c>
      <c r="BN87" s="1400">
        <f>+(BM87/BM80-1)*100</f>
        <v>46.875000000003133</v>
      </c>
      <c r="BO87" s="968">
        <f>(BM87/AK87)*100</f>
        <v>82.456140350876538</v>
      </c>
      <c r="BP87" s="1525"/>
      <c r="BQ87" s="1590">
        <v>23.5</v>
      </c>
      <c r="BR87" s="1400">
        <f>+(BQ87/BQ80-1)*100</f>
        <v>5.8558558558558627</v>
      </c>
      <c r="BS87" s="968">
        <f>BQ87/AC87*100</f>
        <v>19.864750633981405</v>
      </c>
      <c r="BT87" s="61"/>
      <c r="BU87" s="1538">
        <v>-133</v>
      </c>
      <c r="BV87" s="1400">
        <f>+(BU87/BU80-1)*100</f>
        <v>8.6601307189542389</v>
      </c>
      <c r="BW87" s="1400"/>
      <c r="BX87" s="192">
        <f>'qtrP&amp;L'!CN61</f>
        <v>294.30000000000018</v>
      </c>
      <c r="BY87" s="1400">
        <f>(BX87/BX80-1)*100</f>
        <v>3.2631578947369455</v>
      </c>
      <c r="BZ87" s="56">
        <f>(BX87/AH87)*100</f>
        <v>22.266777634864205</v>
      </c>
      <c r="CA87" s="122">
        <f>BE87+BI87+BM87+BU87+BQ87</f>
        <v>294.29999999999995</v>
      </c>
    </row>
    <row r="88" spans="1:87" ht="10.5" customHeight="1">
      <c r="A88" s="956" t="s">
        <v>459</v>
      </c>
      <c r="B88" s="61" t="s">
        <v>166</v>
      </c>
      <c r="C88" s="61"/>
      <c r="D88" s="1678">
        <v>474</v>
      </c>
      <c r="E88" s="1400">
        <f>(D88/D81-1)*100</f>
        <v>-4.9909801563439498</v>
      </c>
      <c r="F88" s="1445">
        <f>(D88/'qtrP&amp;L'!CN12)*100</f>
        <v>47.628617363344048</v>
      </c>
      <c r="G88" s="1660">
        <f>CoachNAqtrSalesOld!F168</f>
        <v>3.4</v>
      </c>
      <c r="H88" s="983"/>
      <c r="I88" s="1176" t="e">
        <v>#REF!</v>
      </c>
      <c r="J88" s="1678">
        <v>430</v>
      </c>
      <c r="K88" s="1400">
        <f>(J88/J81-1)*100</f>
        <v>-4.0606871932173156</v>
      </c>
      <c r="L88" s="1480">
        <f>K88+0.7</f>
        <v>-3.3606871932173155</v>
      </c>
      <c r="M88" s="967"/>
      <c r="N88" s="192">
        <f>N81*(1+O88/100)</f>
        <v>154.66406989824</v>
      </c>
      <c r="O88" s="1627">
        <v>-2</v>
      </c>
      <c r="P88" s="1447" t="s">
        <v>749</v>
      </c>
      <c r="Q88" s="1576">
        <v>2</v>
      </c>
      <c r="R88" s="1404">
        <f>(N88/'qtrP&amp;L'!CN12)*100</f>
        <v>15.541003808102893</v>
      </c>
      <c r="S88" s="983"/>
      <c r="T88" s="195">
        <f>T81*(1+U88/100)</f>
        <v>147.75651037862673</v>
      </c>
      <c r="U88" s="1575">
        <v>2</v>
      </c>
      <c r="V88" s="1576">
        <v>-1</v>
      </c>
      <c r="W88" s="1404">
        <f>(T88/'qtrP&amp;L'!CN12)*100</f>
        <v>14.846916235794486</v>
      </c>
      <c r="X88" s="154"/>
      <c r="Y88" s="195">
        <f>J88-N88-T88</f>
        <v>127.5794197231333</v>
      </c>
      <c r="Z88" s="1484">
        <f>Y88/Y81-1</f>
        <v>-0.12328719522117915</v>
      </c>
      <c r="AA88" s="1404">
        <f>(Y88/'qtrP&amp;L'!CN12)*100</f>
        <v>12.819475454494905</v>
      </c>
      <c r="AB88" s="478"/>
      <c r="AC88" s="1590">
        <v>79.900000000000006</v>
      </c>
      <c r="AD88" s="1484">
        <f>AC88/AC81-1</f>
        <v>8.8383838383838675E-3</v>
      </c>
      <c r="AE88" s="1404">
        <f>(AC88/'qtrP&amp;L'!CN12)*100</f>
        <v>8.0285369774919602</v>
      </c>
      <c r="AF88" s="478"/>
      <c r="AG88" s="1519">
        <f>D88+J88+AC88</f>
        <v>983.9</v>
      </c>
      <c r="AH88" s="1522">
        <f>'qtrP&amp;L'!CN12</f>
        <v>995.2</v>
      </c>
      <c r="AI88" s="1504">
        <f>AH88-AG88</f>
        <v>11.300000000000068</v>
      </c>
      <c r="AJ88" s="1162"/>
      <c r="AK88" s="135">
        <f>AI88</f>
        <v>11.300000000000068</v>
      </c>
      <c r="AL88" s="1484">
        <f>AK88/AK81-1</f>
        <v>0.66176470588237413</v>
      </c>
      <c r="AM88" s="1162"/>
      <c r="AN88" s="154"/>
      <c r="AO88" s="1936">
        <v>294.8</v>
      </c>
      <c r="AP88" s="1400">
        <f>+(AO88/AO81-1)*100</f>
        <v>-4.6263345195729606</v>
      </c>
      <c r="AQ88" s="968">
        <f>AO88/D88*100</f>
        <v>62.194092827004219</v>
      </c>
      <c r="AR88" s="154"/>
      <c r="AS88" s="1936">
        <v>333.2</v>
      </c>
      <c r="AT88" s="1400">
        <f>+(AS88/AS81-1)*100</f>
        <v>-1.4201183431952646</v>
      </c>
      <c r="AU88" s="1162">
        <f>AS88/J88*100</f>
        <v>77.488372093023244</v>
      </c>
      <c r="AV88" s="1937"/>
      <c r="AW88" s="1936">
        <v>49.6</v>
      </c>
      <c r="AX88" s="1400">
        <f>+(AW88/AW81-1)*100</f>
        <v>7.5921908893709311</v>
      </c>
      <c r="AY88" s="1162">
        <f>AW88/AC88*100</f>
        <v>62.077596996245298</v>
      </c>
      <c r="AZ88" s="154"/>
      <c r="BA88" s="1936">
        <v>16.5</v>
      </c>
      <c r="BB88" s="1400">
        <f>+(BA88/BA81-1)*100</f>
        <v>17.857142857142861</v>
      </c>
      <c r="BC88" s="968">
        <f>BA88/AK88*100</f>
        <v>146.01769911504337</v>
      </c>
      <c r="BD88" s="154"/>
      <c r="BE88" s="1938">
        <v>115.5</v>
      </c>
      <c r="BF88" s="1400">
        <f>+(BE88/BE81-1)*100</f>
        <v>-14.760147601476014</v>
      </c>
      <c r="BG88" s="968">
        <f>(BE88/D88)*100</f>
        <v>24.367088607594937</v>
      </c>
      <c r="BH88" s="61"/>
      <c r="BI88" s="1938">
        <v>152.19999999999999</v>
      </c>
      <c r="BJ88" s="1400">
        <f>+(BI88/BI81-1)*100</f>
        <v>0.32959789057349642</v>
      </c>
      <c r="BK88" s="968">
        <f>(BI88/J88)*100</f>
        <v>35.395348837209298</v>
      </c>
      <c r="BL88" s="61"/>
      <c r="BM88" s="1938">
        <v>9</v>
      </c>
      <c r="BN88" s="1400">
        <f>+(BM88/BM81-1)*100</f>
        <v>125</v>
      </c>
      <c r="BO88" s="968">
        <f>(BM88/AK88)*100</f>
        <v>79.646017699114566</v>
      </c>
      <c r="BP88" s="1939"/>
      <c r="BQ88" s="1936">
        <v>5.5</v>
      </c>
      <c r="BR88" s="1400">
        <f>+(BQ88/BQ81-1)*100</f>
        <v>-25.675675675675681</v>
      </c>
      <c r="BS88" s="968">
        <f>BQ88/AC88*100</f>
        <v>6.8836045056320394</v>
      </c>
      <c r="BT88" s="61"/>
      <c r="BU88" s="1940">
        <v>-120.2</v>
      </c>
      <c r="BV88" s="1400">
        <f>+(BU88/BU81-1)*100</f>
        <v>-18.119891008174392</v>
      </c>
      <c r="BW88" s="1400"/>
      <c r="BX88" s="192">
        <f>'qtrP&amp;L'!CN62</f>
        <v>162</v>
      </c>
      <c r="BY88" s="1400">
        <f>(BX88/BX81-1)*100</f>
        <v>6.7193675889329896</v>
      </c>
      <c r="BZ88" s="56">
        <f>(BX88/AH88)*100</f>
        <v>16.278135048231508</v>
      </c>
      <c r="CA88" s="122">
        <f>BE88+BI88+BM88+BU88+BQ88</f>
        <v>162</v>
      </c>
    </row>
    <row r="89" spans="1:87" ht="10.5" customHeight="1">
      <c r="A89" s="956" t="s">
        <v>460</v>
      </c>
      <c r="B89" s="61" t="s">
        <v>62</v>
      </c>
      <c r="C89" s="61"/>
      <c r="D89" s="2046">
        <v>586</v>
      </c>
      <c r="E89" s="1400">
        <f>(D89/D82-1)*100</f>
        <v>-3.3003300330032959</v>
      </c>
      <c r="F89" s="1445">
        <f>(D89/'qtrP&amp;L'!CN13)*100</f>
        <v>51.684600458634677</v>
      </c>
      <c r="G89" s="2047">
        <f>CoachNAqtrSalesOld!F169</f>
        <v>4</v>
      </c>
      <c r="H89" s="983"/>
      <c r="I89" s="1176" t="e">
        <v>#REF!</v>
      </c>
      <c r="J89" s="2046">
        <v>442</v>
      </c>
      <c r="K89" s="1400">
        <f>(J89/J82-1)*100</f>
        <v>-1.7777777777777781</v>
      </c>
      <c r="L89" s="1480">
        <v>9</v>
      </c>
      <c r="M89" s="967"/>
      <c r="N89" s="193">
        <f>N82*(1+O89/100)-10.5</f>
        <v>146.97245640000006</v>
      </c>
      <c r="O89" s="2072">
        <v>3</v>
      </c>
      <c r="P89" s="1447" t="s">
        <v>749</v>
      </c>
      <c r="Q89" s="2071">
        <v>7</v>
      </c>
      <c r="R89" s="1404">
        <f>(N89/'qtrP&amp;L'!CN13)*100</f>
        <v>12.962820285764689</v>
      </c>
      <c r="S89" s="983"/>
      <c r="T89" s="193">
        <f>T82*(1+U89/100)-10.5</f>
        <v>128.46752134724997</v>
      </c>
      <c r="U89" s="2070">
        <v>-3</v>
      </c>
      <c r="V89" s="2071">
        <v>-1</v>
      </c>
      <c r="W89" s="1404">
        <f>(T89/'qtrP&amp;L'!CN13)*100</f>
        <v>11.330703946661666</v>
      </c>
      <c r="X89" s="154"/>
      <c r="Y89" s="193">
        <f>J89-N89-T89</f>
        <v>166.56002225274997</v>
      </c>
      <c r="Z89" s="1484">
        <f>Y89/Y82-1</f>
        <v>8.262269115469234E-2</v>
      </c>
      <c r="AA89" s="1404">
        <f>(Y89/'qtrP&amp;L'!CN13)*100</f>
        <v>14.690423553779326</v>
      </c>
      <c r="AB89" s="478"/>
      <c r="AC89" s="2048">
        <v>87.9</v>
      </c>
      <c r="AD89" s="1484">
        <f>AC89/AC82-1</f>
        <v>4.6428571428571486E-2</v>
      </c>
      <c r="AE89" s="1404">
        <f>(AC89/'qtrP&amp;L'!CN13)*100</f>
        <v>7.7526900687952027</v>
      </c>
      <c r="AF89" s="478"/>
      <c r="AG89" s="1520">
        <f>D89+J89+AC89</f>
        <v>1115.9000000000001</v>
      </c>
      <c r="AH89" s="1523">
        <f>'qtrP&amp;L'!CN13</f>
        <v>1133.8</v>
      </c>
      <c r="AI89" s="1504">
        <f>AH89-AG89</f>
        <v>17.899999999999864</v>
      </c>
      <c r="AJ89" s="1162"/>
      <c r="AK89" s="138">
        <f>AI89</f>
        <v>17.899999999999864</v>
      </c>
      <c r="AL89" s="1484">
        <f>AK89/AK82-1</f>
        <v>0.22602739726027221</v>
      </c>
      <c r="AM89" s="1162"/>
      <c r="AN89" s="154"/>
      <c r="AO89" s="1583">
        <f>AO90-SUM(AO86:AO88)</f>
        <v>355</v>
      </c>
      <c r="AP89" s="1400">
        <f>+(AO89/AO82-1)*100</f>
        <v>-4.6979865771811458</v>
      </c>
      <c r="AQ89" s="968">
        <f>AO89/D89*100</f>
        <v>60.580204778156997</v>
      </c>
      <c r="AR89" s="154"/>
      <c r="AS89" s="1583">
        <f>AS90-SUM(AS86:AS88)</f>
        <v>326.39999999999986</v>
      </c>
      <c r="AT89" s="1400">
        <f>+(AS89/AS82-1)*100</f>
        <v>-3.6599763872492086</v>
      </c>
      <c r="AU89" s="1162">
        <f>AS89/J89*100</f>
        <v>73.846153846153811</v>
      </c>
      <c r="AV89" s="1526"/>
      <c r="AW89" s="1583">
        <f>AW90-SUM(AW86:AW88)</f>
        <v>49</v>
      </c>
      <c r="AX89" s="1400">
        <f>+(AW89/AW82-1)*100</f>
        <v>8.4070796460176567</v>
      </c>
      <c r="AY89" s="1162">
        <f>AW89/AC89*100</f>
        <v>55.745164960182024</v>
      </c>
      <c r="AZ89" s="154"/>
      <c r="BA89" s="2048">
        <f>BA90-SUM(BA86:BA88)</f>
        <v>11.599999999999994</v>
      </c>
      <c r="BB89" s="1400">
        <f>+(BA89/BA82-1)*100</f>
        <v>-29.268292682926855</v>
      </c>
      <c r="BC89" s="968">
        <f>BA89/AK89*100</f>
        <v>64.804469273743479</v>
      </c>
      <c r="BD89" s="154"/>
      <c r="BE89" s="1583">
        <f>BE90-SUM(BE86:BE88)</f>
        <v>159.10000000000002</v>
      </c>
      <c r="BF89" s="1400">
        <f>+(BE89/BE82-1)*100</f>
        <v>-12.534359538207784</v>
      </c>
      <c r="BG89" s="968">
        <f>(BE89/D89)*100</f>
        <v>27.150170648464169</v>
      </c>
      <c r="BH89" s="61"/>
      <c r="BI89" s="2048">
        <f>BI90-SUM(BI86:BI88)</f>
        <v>134.19999999999999</v>
      </c>
      <c r="BJ89" s="1400">
        <f>+(BI89/BI82-1)*100</f>
        <v>8.9285714285713738</v>
      </c>
      <c r="BK89" s="968">
        <f>(BI89/J89)*100</f>
        <v>30.361990950226243</v>
      </c>
      <c r="BL89" s="61"/>
      <c r="BM89" s="2048">
        <f>BM90-SUM(BM86:BM88)</f>
        <v>6.9000000000000341</v>
      </c>
      <c r="BN89" s="1400">
        <f>+(BM89/BM82-1)*100</f>
        <v>7.8124999999982903</v>
      </c>
      <c r="BO89" s="968">
        <f>(BM89/AK89)*100</f>
        <v>38.547486033520038</v>
      </c>
      <c r="BP89" s="1525"/>
      <c r="BQ89" s="2048">
        <f>BQ90-SUM(BQ86:BQ88)</f>
        <v>5.7000000000000028</v>
      </c>
      <c r="BR89" s="1400">
        <f>+(BQ89/BQ82-1)*100</f>
        <v>62.857142857142613</v>
      </c>
      <c r="BS89" s="968">
        <f>BQ89/AC89*100</f>
        <v>6.4846416382252592</v>
      </c>
      <c r="BT89" s="61"/>
      <c r="BU89" s="1539">
        <f>BU90-BU86-BU87-BU88</f>
        <v>-126.3</v>
      </c>
      <c r="BV89" s="1400">
        <f>+(BU89/BU82-1)*100</f>
        <v>-9.9144079885877261</v>
      </c>
      <c r="BW89" s="1400"/>
      <c r="BX89" s="193">
        <f>'qtrP&amp;L'!CN63</f>
        <v>179.51999999999998</v>
      </c>
      <c r="BY89" s="1400">
        <f>(BX89/BX82-1)*100</f>
        <v>2.700228832952023</v>
      </c>
      <c r="BZ89" s="56">
        <f>(BX89/AH89)*100</f>
        <v>15.833480331628152</v>
      </c>
      <c r="CA89" s="1634">
        <f>BE89+BI89+BM89+BU89+BQ89</f>
        <v>179.60000000000002</v>
      </c>
    </row>
    <row r="90" spans="1:87" ht="10.5" customHeight="1">
      <c r="A90" s="956"/>
      <c r="B90" s="61" t="s">
        <v>461</v>
      </c>
      <c r="C90" s="61"/>
      <c r="D90" s="1173">
        <f>SUM(D86:D89)</f>
        <v>2349</v>
      </c>
      <c r="E90" s="1400">
        <f>(D90/D83-1)*100</f>
        <v>-1.9984146188827268</v>
      </c>
      <c r="F90" s="1445">
        <f>(D90/'qtrP&amp;L'!CN14)*100</f>
        <v>52.33607379185883</v>
      </c>
      <c r="G90" s="2052">
        <f>CoachNAqtrSalesOld!F170</f>
        <v>3.0116219667943804</v>
      </c>
      <c r="H90" s="983"/>
      <c r="J90" s="1173">
        <f>SUM(J86:J89)</f>
        <v>1715</v>
      </c>
      <c r="K90" s="1400">
        <f>(J90/J83-1)*100</f>
        <v>0.61601642710471527</v>
      </c>
      <c r="L90" s="1400"/>
      <c r="M90" s="967"/>
      <c r="N90" s="983">
        <f>SUM(N86:N89)</f>
        <v>593.18611489824013</v>
      </c>
      <c r="O90" s="1390">
        <f>(N90/N83-1)*100</f>
        <v>-1.5059765235286071</v>
      </c>
      <c r="P90" s="1390" t="s">
        <v>749</v>
      </c>
      <c r="Q90" s="2071">
        <v>5</v>
      </c>
      <c r="R90" s="1404">
        <f>(N90/'qtrP&amp;L'!CN14)*100</f>
        <v>13.216275981958429</v>
      </c>
      <c r="S90" s="983"/>
      <c r="T90" s="983">
        <f>SUM(T86:T89)</f>
        <v>556.66769738392486</v>
      </c>
      <c r="U90" s="1492">
        <f>(T90/T83-1)*100</f>
        <v>2.470639385320661</v>
      </c>
      <c r="V90" s="2071">
        <v>-2</v>
      </c>
      <c r="W90" s="1404">
        <f>(T90/'qtrP&amp;L'!CN14)*100</f>
        <v>12.402640139561189</v>
      </c>
      <c r="X90" s="1037"/>
      <c r="Y90" s="1036">
        <f>SUM(Y86:Y89)</f>
        <v>565.14618771783501</v>
      </c>
      <c r="Z90" s="1484">
        <f>Y90/Y83-1</f>
        <v>1.0998576640476099E-2</v>
      </c>
      <c r="AA90" s="1404">
        <f>(Y90/'qtrP&amp;L'!CN14)*100</f>
        <v>12.591542181178509</v>
      </c>
      <c r="AB90" s="478"/>
      <c r="AC90" s="1036">
        <f>SUM(AC86:AC89)</f>
        <v>373.6</v>
      </c>
      <c r="AD90" s="1484">
        <f>AC90/AC83-1</f>
        <v>8.3841021177835984E-2</v>
      </c>
      <c r="AE90" s="1404">
        <f>(AC90/'qtrP&amp;L'!CN14)*100</f>
        <v>8.3238642693224598</v>
      </c>
      <c r="AF90" s="478"/>
      <c r="AG90" s="1519">
        <f>D90+J90+AC90</f>
        <v>4437.6000000000004</v>
      </c>
      <c r="AH90" s="1522">
        <f>'qtrP&amp;L'!CN14</f>
        <v>4488.3</v>
      </c>
      <c r="AI90" s="1504">
        <f>AH90-AG90</f>
        <v>50.699999999999818</v>
      </c>
      <c r="AJ90" s="1162"/>
      <c r="AK90" s="983">
        <f>SUM(AK86:AK89)</f>
        <v>50.699999999999932</v>
      </c>
      <c r="AL90" s="1484">
        <f>AK90/AK83-1</f>
        <v>0.10940919037199426</v>
      </c>
      <c r="AM90" s="1162"/>
      <c r="AN90" s="154"/>
      <c r="AO90" s="2081">
        <v>1454</v>
      </c>
      <c r="AP90" s="1400">
        <f>+(AO90/AO83-1)*100</f>
        <v>-1.6105020977128182</v>
      </c>
      <c r="AQ90" s="968">
        <f>AO90/D90*100</f>
        <v>61.898680289484886</v>
      </c>
      <c r="AR90" s="154"/>
      <c r="AS90" s="2082">
        <v>1300</v>
      </c>
      <c r="AT90" s="1400">
        <f>+(AS90/AS83-1)*100</f>
        <v>1.0572139303482553</v>
      </c>
      <c r="AU90" s="1162">
        <f>AS90/J90*100</f>
        <v>75.801749271137027</v>
      </c>
      <c r="AV90" s="968"/>
      <c r="AW90" s="2082">
        <v>226.1</v>
      </c>
      <c r="AX90" s="1400"/>
      <c r="AY90" s="968">
        <f>AW90/AC90*100</f>
        <v>60.519271948608136</v>
      </c>
      <c r="AZ90" s="154"/>
      <c r="BA90" s="2081">
        <v>59.8</v>
      </c>
      <c r="BB90" s="1400">
        <f>+(BA90/BA83-1)*100</f>
        <v>14.999999999999991</v>
      </c>
      <c r="BC90" s="968">
        <f>BA90/AK90*100</f>
        <v>117.94871794871811</v>
      </c>
      <c r="BD90" s="154"/>
      <c r="BE90" s="2082">
        <v>697</v>
      </c>
      <c r="BF90" s="1400">
        <f>+(BE90/BE83-1)*100</f>
        <v>-5.4658890546588896</v>
      </c>
      <c r="BG90" s="968">
        <f>(BE90/D90)*100</f>
        <v>29.672200936568753</v>
      </c>
      <c r="BH90" s="61"/>
      <c r="BI90" s="2082">
        <v>535.9</v>
      </c>
      <c r="BJ90" s="1400">
        <f>+(BI90/BI83-1)*100</f>
        <v>4.5250633898966219</v>
      </c>
      <c r="BK90" s="968">
        <f>(BI90/J90)*100</f>
        <v>31.247813411078717</v>
      </c>
      <c r="BL90" s="61"/>
      <c r="BM90" s="2082">
        <v>31.4</v>
      </c>
      <c r="BN90" s="1400">
        <f>+(BM90/BM83-1)*100</f>
        <v>37.117903930131014</v>
      </c>
      <c r="BO90" s="968">
        <f>(BM90/AK90)*100</f>
        <v>61.932938856015859</v>
      </c>
      <c r="BP90" s="968"/>
      <c r="BQ90" s="2082">
        <v>41.2</v>
      </c>
      <c r="BR90" s="1400">
        <f>+(BQ90/BQ83-1)*100</f>
        <v>-14.522821576763489</v>
      </c>
      <c r="BS90" s="968">
        <f>(BQ90/AC90)*100</f>
        <v>11.027837259100643</v>
      </c>
      <c r="BT90" s="61"/>
      <c r="BU90" s="1536">
        <v>-492.8</v>
      </c>
      <c r="BV90" s="1400">
        <f>+(BU90/BU83-1)*100</f>
        <v>-9.4949494949494895</v>
      </c>
      <c r="BW90" s="1400"/>
      <c r="BX90" s="983">
        <f>'qtrP&amp;L'!CN64</f>
        <v>812.62000000000012</v>
      </c>
      <c r="BY90" s="1400">
        <f>(BX90/BX83-1)*100</f>
        <v>4.6381663662117933</v>
      </c>
      <c r="BZ90" s="56">
        <f>(BX90/AH90)*100</f>
        <v>18.105295991800908</v>
      </c>
      <c r="CA90" s="122">
        <f>BE90+BI90+BM90+BU90+BQ90</f>
        <v>812.70000000000027</v>
      </c>
    </row>
    <row r="91" spans="1:87">
      <c r="D91" s="1449"/>
      <c r="E91" s="65"/>
      <c r="F91" s="315"/>
      <c r="G91" s="1457"/>
      <c r="H91" s="61"/>
      <c r="I91" s="61"/>
      <c r="J91" s="1451"/>
      <c r="U91" s="16"/>
      <c r="V91" s="2073"/>
      <c r="Y91" s="1023"/>
      <c r="AG91" s="1521"/>
      <c r="AH91" s="1521"/>
      <c r="AI91" s="1521"/>
    </row>
    <row r="92" spans="1:87" s="61" customFormat="1">
      <c r="A92" s="2261"/>
      <c r="B92" s="2294" t="s">
        <v>12</v>
      </c>
      <c r="C92" s="2107"/>
      <c r="D92" s="2394" t="s">
        <v>897</v>
      </c>
      <c r="E92" s="2394"/>
      <c r="F92" s="2394"/>
      <c r="G92" s="2296"/>
      <c r="H92" s="2146"/>
      <c r="I92" s="2107"/>
      <c r="J92" s="2141"/>
      <c r="K92" s="2153"/>
      <c r="L92" s="2153"/>
      <c r="M92" s="2297"/>
      <c r="N92" s="2146"/>
      <c r="O92" s="2298"/>
      <c r="P92" s="2299"/>
      <c r="Q92" s="2299"/>
      <c r="R92" s="2300"/>
      <c r="S92" s="2146"/>
      <c r="T92" s="2146"/>
      <c r="U92" s="2301"/>
      <c r="V92" s="2302"/>
      <c r="W92" s="2160"/>
      <c r="X92" s="2154"/>
      <c r="Y92" s="2154"/>
      <c r="Z92" s="2303"/>
      <c r="AA92" s="2304"/>
      <c r="AB92" s="2305"/>
      <c r="AC92" s="2305"/>
      <c r="AD92" s="2306"/>
      <c r="AE92" s="2305"/>
      <c r="AF92" s="2305"/>
      <c r="AG92" s="2300"/>
      <c r="AH92" s="2158"/>
      <c r="AI92" s="2307"/>
      <c r="AJ92" s="2154"/>
      <c r="AK92" s="2308"/>
      <c r="AL92" s="2158"/>
      <c r="AM92" s="2154"/>
      <c r="AN92" s="2154"/>
      <c r="AO92" s="2148"/>
      <c r="AP92" s="2158"/>
      <c r="AQ92" s="2159"/>
      <c r="AR92" s="2154"/>
      <c r="AS92" s="2148"/>
      <c r="AT92" s="2158"/>
      <c r="AU92" s="2154"/>
      <c r="AV92" s="2154"/>
      <c r="AW92" s="2154"/>
      <c r="AX92" s="2154"/>
      <c r="AY92" s="2154"/>
      <c r="AZ92" s="2154"/>
      <c r="BA92" s="2154"/>
      <c r="BB92" s="2158"/>
      <c r="BC92" s="2061"/>
      <c r="BD92" s="2154"/>
      <c r="BE92" s="2107"/>
      <c r="BF92" s="2160"/>
      <c r="BG92" s="2107"/>
      <c r="BH92" s="2107"/>
      <c r="BI92" s="2147"/>
      <c r="BJ92" s="2161"/>
      <c r="BK92" s="2107"/>
      <c r="BL92" s="2107"/>
      <c r="BM92" s="2107"/>
      <c r="BN92" s="2160"/>
      <c r="BO92" s="2107"/>
      <c r="BP92" s="2107"/>
      <c r="BQ92" s="2107"/>
      <c r="BR92" s="2107"/>
      <c r="BS92" s="2107"/>
      <c r="BT92" s="2107"/>
      <c r="BU92" s="2309"/>
      <c r="BV92" s="2160"/>
      <c r="BW92" s="2160"/>
      <c r="BX92" s="2154"/>
      <c r="BY92" s="2154"/>
      <c r="BZ92" s="2154"/>
      <c r="CA92" s="2300"/>
      <c r="CB92" s="154"/>
      <c r="CC92" s="154"/>
      <c r="CD92" s="154"/>
      <c r="CE92" s="154"/>
      <c r="CF92" s="154"/>
      <c r="CG92" s="154"/>
      <c r="CH92" s="154"/>
      <c r="CI92" s="154"/>
    </row>
    <row r="93" spans="1:87" s="61" customFormat="1" ht="10.5" customHeight="1">
      <c r="A93" s="2261" t="s">
        <v>457</v>
      </c>
      <c r="B93" s="2107" t="s">
        <v>63</v>
      </c>
      <c r="C93" s="2107"/>
      <c r="D93" s="2144">
        <f>CoachNAqtrSalesOld!U173</f>
        <v>529</v>
      </c>
      <c r="E93" s="2153">
        <f>(D93/D86-1)*100</f>
        <v>-2.9357798165137616</v>
      </c>
      <c r="F93" s="2310">
        <f>(D93/'qtrP&amp;L'!CR10)*100</f>
        <v>41.042749631468688</v>
      </c>
      <c r="G93" s="2311"/>
      <c r="H93" s="2146"/>
      <c r="I93" s="2312" t="e">
        <v>#REF!</v>
      </c>
      <c r="J93" s="2165">
        <f>+J86</f>
        <v>395</v>
      </c>
      <c r="K93" s="2153">
        <f>(J93/J86-1)*100</f>
        <v>0</v>
      </c>
      <c r="L93" s="2313"/>
      <c r="M93" s="2297"/>
      <c r="N93" s="2146">
        <f>N86*(1+O93/100)</f>
        <v>129.03075959400002</v>
      </c>
      <c r="O93" s="2314">
        <v>-1</v>
      </c>
      <c r="P93" s="2315" t="s">
        <v>360</v>
      </c>
      <c r="Q93" s="2316">
        <v>3</v>
      </c>
      <c r="R93" s="2304">
        <f>(N93/'qtrP&amp;L'!CR10)*100</f>
        <v>10.010920908836992</v>
      </c>
      <c r="S93" s="2146"/>
      <c r="T93" s="2146">
        <f>T86*(1+U93/100)</f>
        <v>131.06422550707202</v>
      </c>
      <c r="U93" s="2314">
        <v>0</v>
      </c>
      <c r="V93" s="2316">
        <v>2</v>
      </c>
      <c r="W93" s="2304">
        <f>(T93/'qtrP&amp;L'!CR10)*100</f>
        <v>10.168688455820623</v>
      </c>
      <c r="X93" s="2154"/>
      <c r="Y93" s="2148">
        <f>Y86*(1+Z93)</f>
        <v>140.28175758757433</v>
      </c>
      <c r="Z93" s="2306">
        <v>0.05</v>
      </c>
      <c r="AA93" s="2304">
        <f>(Y93/'qtrP&amp;L'!CR10)*100</f>
        <v>10.88383564183213</v>
      </c>
      <c r="AB93" s="2317"/>
      <c r="AC93" s="2148">
        <f>AC86*(1+AD93)</f>
        <v>87.5</v>
      </c>
      <c r="AD93" s="2306">
        <v>0</v>
      </c>
      <c r="AE93" s="2304">
        <f>(AC93/'qtrP&amp;L'!CR10)*100</f>
        <v>6.7887345798743119</v>
      </c>
      <c r="AF93" s="2317"/>
      <c r="AG93" s="2300">
        <f>D93+J93+AC93</f>
        <v>1011.5</v>
      </c>
      <c r="AH93" s="2299">
        <f>'qtrP&amp;L'!CR10</f>
        <v>1288.9000000000001</v>
      </c>
      <c r="AI93" s="2307">
        <f>AH93-AG93</f>
        <v>277.40000000000009</v>
      </c>
      <c r="AJ93" s="2162"/>
      <c r="AK93" s="2146">
        <f>AK86*(1+AL93)</f>
        <v>10.604999999999905</v>
      </c>
      <c r="AL93" s="2318">
        <v>0.05</v>
      </c>
      <c r="AM93" s="2162"/>
      <c r="AN93" s="2154"/>
      <c r="AO93" s="2146">
        <f>AQ93*(D93/100)</f>
        <v>329.56700000000001</v>
      </c>
      <c r="AP93" s="2153">
        <f>+(AO93/AO86-1)*100</f>
        <v>-3.4094372801875661</v>
      </c>
      <c r="AQ93" s="2159">
        <v>62.3</v>
      </c>
      <c r="AR93" s="2154"/>
      <c r="AS93" s="2319">
        <f>(AU93/100)*J93</f>
        <v>298.22500000000002</v>
      </c>
      <c r="AT93" s="2153">
        <f>+(AS93/AS86-1)*100</f>
        <v>4.193223750419417E-2</v>
      </c>
      <c r="AU93" s="2163">
        <v>75.5</v>
      </c>
      <c r="AV93" s="2162"/>
      <c r="AW93" s="2146">
        <f>(AY93/100)*AC93</f>
        <v>51.1875</v>
      </c>
      <c r="AX93" s="2153">
        <f>+(AW93/AW86-1)*100</f>
        <v>-0.60679611650485965</v>
      </c>
      <c r="AY93" s="2320">
        <v>58.5</v>
      </c>
      <c r="AZ93" s="2154"/>
      <c r="BA93" s="2146">
        <f>(BC93/100)*AK93</f>
        <v>17.901239999999842</v>
      </c>
      <c r="BB93" s="2153">
        <f>+(BA93/BA86-1)*100</f>
        <v>10.501481481480512</v>
      </c>
      <c r="BC93" s="2159">
        <v>168.8</v>
      </c>
      <c r="BD93" s="2154"/>
      <c r="BE93" s="2146">
        <f>(BG93/100)*D93</f>
        <v>157.642</v>
      </c>
      <c r="BF93" s="2153">
        <f>+(BE93/BE86-1)*100</f>
        <v>-3.9939098660170536</v>
      </c>
      <c r="BG93" s="2159">
        <v>29.8</v>
      </c>
      <c r="BH93" s="2155"/>
      <c r="BI93" s="2146">
        <f>(BK93/100)*J93</f>
        <v>113.36499999999999</v>
      </c>
      <c r="BJ93" s="2153">
        <f>+(BI93/BI86-1)*100</f>
        <v>5.7369814651364592E-2</v>
      </c>
      <c r="BK93" s="2321">
        <v>28.7</v>
      </c>
      <c r="BL93" s="2155"/>
      <c r="BM93" s="2146">
        <f>(AK93/100)*BO93</f>
        <v>6.7341749999999392</v>
      </c>
      <c r="BN93" s="2153">
        <f>+(BM93/BM86-1)*100</f>
        <v>10.396311475409448</v>
      </c>
      <c r="BO93" s="2321">
        <v>63.5</v>
      </c>
      <c r="BP93" s="2159"/>
      <c r="BQ93" s="2146">
        <f>(BS93/100)*AC93</f>
        <v>6.3000000000000007</v>
      </c>
      <c r="BR93" s="2153">
        <f>+(BQ93/BQ86-1)*100</f>
        <v>-3.076923076923066</v>
      </c>
      <c r="BS93" s="2322">
        <v>7.2</v>
      </c>
      <c r="BT93" s="2155"/>
      <c r="BU93" s="2323">
        <f>+BX93-BE93-BI93-BM93-BQ93</f>
        <v>-115.24117499999986</v>
      </c>
      <c r="BV93" s="2153">
        <f>+(BU93/BU86-1)*100</f>
        <v>1.7133053839363255</v>
      </c>
      <c r="BW93" s="2153"/>
      <c r="BX93" s="2146">
        <f>'qtrP&amp;L'!CR60</f>
        <v>168.80000000000007</v>
      </c>
      <c r="BY93" s="2153">
        <f>(BX93/BX86-1)*100</f>
        <v>-4.5248868778279938</v>
      </c>
      <c r="BZ93" s="2263">
        <f>(BX93/AH93)*100</f>
        <v>13.096438823803247</v>
      </c>
      <c r="CA93" s="2299">
        <f>BE93+BI93+BM93+BU93+BQ93</f>
        <v>168.8000000000001</v>
      </c>
      <c r="CB93" s="154"/>
      <c r="CC93" s="154"/>
      <c r="CD93" s="154"/>
      <c r="CE93" s="154"/>
      <c r="CF93" s="154"/>
      <c r="CG93" s="154"/>
      <c r="CH93" s="154"/>
      <c r="CI93" s="154"/>
    </row>
    <row r="94" spans="1:87" s="61" customFormat="1" ht="10.5" customHeight="1">
      <c r="A94" s="2261" t="s">
        <v>458</v>
      </c>
      <c r="B94" s="2107" t="s">
        <v>167</v>
      </c>
      <c r="C94" s="2107"/>
      <c r="D94" s="2144">
        <f>CoachNAqtrSalesOld!U174</f>
        <v>781.2</v>
      </c>
      <c r="E94" s="2153">
        <f>(D94/D87-1)*100</f>
        <v>5.0000000000000044</v>
      </c>
      <c r="F94" s="2310">
        <f>(D94/'qtrP&amp;L'!CR11)*100</f>
        <v>43.764705882352942</v>
      </c>
      <c r="G94" s="2311"/>
      <c r="H94" s="2146"/>
      <c r="I94" s="2312" t="e">
        <v>#REF!</v>
      </c>
      <c r="J94" s="2144">
        <f>N94+T94+Y94</f>
        <v>468.07076622641216</v>
      </c>
      <c r="K94" s="2153">
        <f>(J94/J87-1)*100</f>
        <v>4.4800817469669907</v>
      </c>
      <c r="L94" s="2313"/>
      <c r="M94" s="2297"/>
      <c r="N94" s="2147">
        <f>N87*(1+O94/100)</f>
        <v>166.05195264000002</v>
      </c>
      <c r="O94" s="2314">
        <v>3</v>
      </c>
      <c r="P94" s="2315"/>
      <c r="Q94" s="2316">
        <v>7</v>
      </c>
      <c r="R94" s="2304">
        <f>(N94/'qtrP&amp;L'!CR11)*100</f>
        <v>9.3026304000000017</v>
      </c>
      <c r="S94" s="2146"/>
      <c r="T94" s="2147">
        <f>T87*(1+U94/100)</f>
        <v>150.87323455248594</v>
      </c>
      <c r="U94" s="2314">
        <v>1</v>
      </c>
      <c r="V94" s="2316">
        <v>-1</v>
      </c>
      <c r="W94" s="2304">
        <f>(T94/'qtrP&amp;L'!CR11)*100</f>
        <v>8.4522820477583167</v>
      </c>
      <c r="X94" s="2154"/>
      <c r="Y94" s="2148">
        <f>Y87*(1+Z94)</f>
        <v>151.14557903392617</v>
      </c>
      <c r="Z94" s="2306">
        <v>0.1</v>
      </c>
      <c r="AA94" s="2304">
        <f>(Y94/'qtrP&amp;L'!CR11)*100</f>
        <v>8.4675394416765357</v>
      </c>
      <c r="AB94" s="2317"/>
      <c r="AC94" s="2148">
        <f>AC87*(1+AD94)</f>
        <v>124.215</v>
      </c>
      <c r="AD94" s="2306">
        <v>0.05</v>
      </c>
      <c r="AE94" s="2304">
        <f>(AC94/'qtrP&amp;L'!CR11)*100</f>
        <v>6.9588235294117649</v>
      </c>
      <c r="AF94" s="2317"/>
      <c r="AG94" s="2324">
        <f>D94+J94+AC94</f>
        <v>1373.4857662264121</v>
      </c>
      <c r="AH94" s="2299">
        <f>'qtrP&amp;L'!CR11</f>
        <v>1785</v>
      </c>
      <c r="AI94" s="2307">
        <f>AH94-AG94</f>
        <v>411.51423377358788</v>
      </c>
      <c r="AJ94" s="2162"/>
      <c r="AK94" s="2147">
        <f>AK87*(1+AL94)</f>
        <v>11.970000000000097</v>
      </c>
      <c r="AL94" s="2318">
        <v>0.05</v>
      </c>
      <c r="AM94" s="2162"/>
      <c r="AN94" s="2154"/>
      <c r="AO94" s="2148">
        <f>AQ94*(D94/100)</f>
        <v>480.43800000000005</v>
      </c>
      <c r="AP94" s="2153">
        <f>+(AO94/AO87-1)*100</f>
        <v>3.7663066954643831</v>
      </c>
      <c r="AQ94" s="2159">
        <v>61.5</v>
      </c>
      <c r="AR94" s="2154"/>
      <c r="AS94" s="2325">
        <f>(AU94/100)*J94</f>
        <v>357.60606539697892</v>
      </c>
      <c r="AT94" s="2153">
        <f>+(AS94/AS87-1)*100</f>
        <v>4.4715353190122542</v>
      </c>
      <c r="AU94" s="2163">
        <v>76.400000000000006</v>
      </c>
      <c r="AV94" s="2163"/>
      <c r="AW94" s="2148">
        <f>(AY94/100)*AC94</f>
        <v>79.994460000000004</v>
      </c>
      <c r="AX94" s="2153">
        <f>+(AW94/AW87-1)*100</f>
        <v>5.2558684210526341</v>
      </c>
      <c r="AY94" s="2320">
        <v>64.400000000000006</v>
      </c>
      <c r="AZ94" s="2154"/>
      <c r="BA94" s="2148">
        <f>(BC94/100)*AK94</f>
        <v>15.860250000000127</v>
      </c>
      <c r="BB94" s="2153">
        <f>+(BA94/BA87-1)*100</f>
        <v>2.3241935483879095</v>
      </c>
      <c r="BC94" s="2159">
        <v>132.5</v>
      </c>
      <c r="BD94" s="2154"/>
      <c r="BE94" s="2147">
        <f>(BG94/100)*D94</f>
        <v>268.7328</v>
      </c>
      <c r="BF94" s="2153">
        <f>+(BE94/BE87-1)*100</f>
        <v>4.0793183578621273</v>
      </c>
      <c r="BG94" s="2159">
        <v>34.4</v>
      </c>
      <c r="BH94" s="2107"/>
      <c r="BI94" s="2147">
        <f>(BK94/100)*J94</f>
        <v>142.29351293282929</v>
      </c>
      <c r="BJ94" s="2153">
        <f>+(BI94/BI87-1)*100</f>
        <v>4.4739448846030205</v>
      </c>
      <c r="BK94" s="2321">
        <v>30.4</v>
      </c>
      <c r="BL94" s="2107"/>
      <c r="BM94" s="2147">
        <f>(AK94/100)*BO94</f>
        <v>9.6119100000000781</v>
      </c>
      <c r="BN94" s="2153">
        <f>+(BM94/BM87-1)*100</f>
        <v>2.2543617021284934</v>
      </c>
      <c r="BO94" s="2321">
        <v>80.3</v>
      </c>
      <c r="BP94" s="2159"/>
      <c r="BQ94" s="2148">
        <f>(BS94/100)*AC94</f>
        <v>24.470354999999998</v>
      </c>
      <c r="BR94" s="2153">
        <f>+(BQ94/BQ87-1)*100</f>
        <v>4.1291702127659535</v>
      </c>
      <c r="BS94" s="2322">
        <v>19.7</v>
      </c>
      <c r="BT94" s="2107"/>
      <c r="BU94" s="2323">
        <f>+BX94-BE94-BI94-BM94-BQ94</f>
        <v>-33.808577932829408</v>
      </c>
      <c r="BV94" s="2153">
        <f>+(BU94/BU87-1)*100</f>
        <v>-74.580016591857586</v>
      </c>
      <c r="BW94" s="2153"/>
      <c r="BX94" s="2147">
        <f>'qtrP&amp;L'!CR61</f>
        <v>411.29999999999995</v>
      </c>
      <c r="BY94" s="2153">
        <f>(BX94/BX87-1)*100</f>
        <v>39.755351681957073</v>
      </c>
      <c r="BZ94" s="2154">
        <f>(BX94/AH94)*100</f>
        <v>23.042016806722685</v>
      </c>
      <c r="CA94" s="2299">
        <f>BE94+BI94+BM94+BU94+BQ94</f>
        <v>411.29999999999995</v>
      </c>
      <c r="CB94" s="154"/>
      <c r="CC94" s="154"/>
      <c r="CD94" s="154"/>
      <c r="CE94" s="154"/>
      <c r="CF94" s="154"/>
      <c r="CG94" s="154"/>
      <c r="CH94" s="154"/>
      <c r="CI94" s="154"/>
    </row>
    <row r="95" spans="1:87" s="61" customFormat="1" ht="10.5" customHeight="1">
      <c r="A95" s="2261" t="s">
        <v>459</v>
      </c>
      <c r="B95" s="2107" t="s">
        <v>166</v>
      </c>
      <c r="C95" s="2107"/>
      <c r="D95" s="2144">
        <f>CoachNAqtrSalesOld!U175</f>
        <v>492.96000000000004</v>
      </c>
      <c r="E95" s="2153">
        <f>(D95/D88-1)*100</f>
        <v>4.0000000000000036</v>
      </c>
      <c r="F95" s="2310">
        <f>(D95/'qtrP&amp;L'!CR12)*100</f>
        <v>37.75732163084534</v>
      </c>
      <c r="G95" s="2311"/>
      <c r="H95" s="2146"/>
      <c r="I95" s="2312" t="e">
        <v>#REF!</v>
      </c>
      <c r="J95" s="2144">
        <f>N95+T95+Y95</f>
        <v>465.80458267129575</v>
      </c>
      <c r="K95" s="2153">
        <f>(J95/J88-1)*100</f>
        <v>8.3266471328594669</v>
      </c>
      <c r="L95" s="2313"/>
      <c r="M95" s="2297"/>
      <c r="N95" s="2147">
        <f>N88*(1+O95/100)</f>
        <v>163.94391409213441</v>
      </c>
      <c r="O95" s="2314">
        <v>6</v>
      </c>
      <c r="P95" s="2326"/>
      <c r="Q95" s="2316">
        <v>6</v>
      </c>
      <c r="R95" s="2304">
        <f>(N95/'qtrP&amp;L'!CR12)*100</f>
        <v>12.55696830127474</v>
      </c>
      <c r="S95" s="2146"/>
      <c r="T95" s="2148">
        <f>T88*(1+U95/100)</f>
        <v>155.14433589755808</v>
      </c>
      <c r="U95" s="2314">
        <v>5</v>
      </c>
      <c r="V95" s="2316">
        <v>-2</v>
      </c>
      <c r="W95" s="2304">
        <f>(T95/'qtrP&amp;L'!CR12)*100</f>
        <v>11.882981559737106</v>
      </c>
      <c r="X95" s="2154"/>
      <c r="Y95" s="2148">
        <f>Y88*(1+Z95)</f>
        <v>146.71633268160329</v>
      </c>
      <c r="Z95" s="2306">
        <v>0.15</v>
      </c>
      <c r="AA95" s="2304">
        <f>(Y95/'qtrP&amp;L'!CR12)*100</f>
        <v>11.237454887936952</v>
      </c>
      <c r="AB95" s="2317"/>
      <c r="AC95" s="2148">
        <f>AC88*(1+AD95)</f>
        <v>83.89500000000001</v>
      </c>
      <c r="AD95" s="2306">
        <v>0.05</v>
      </c>
      <c r="AE95" s="2304">
        <f>(AC95/'qtrP&amp;L'!CR12)*100</f>
        <v>6.4257759214130346</v>
      </c>
      <c r="AF95" s="2317"/>
      <c r="AG95" s="2324">
        <f>D95+J95+AC95</f>
        <v>1042.6595826712958</v>
      </c>
      <c r="AH95" s="2299">
        <f>'qtrP&amp;L'!CR12</f>
        <v>1305.6010826712957</v>
      </c>
      <c r="AI95" s="2307">
        <f>AH95-AG95</f>
        <v>262.94149999999991</v>
      </c>
      <c r="AJ95" s="2162"/>
      <c r="AK95" s="2147">
        <f>AK88*(1+AL95)</f>
        <v>11.865000000000071</v>
      </c>
      <c r="AL95" s="2318">
        <v>0.05</v>
      </c>
      <c r="AM95" s="2162"/>
      <c r="AN95" s="2154"/>
      <c r="AO95" s="2148">
        <f>AQ95*(D95/100)</f>
        <v>305.63520000000005</v>
      </c>
      <c r="AP95" s="2153">
        <f>+(AO95/AO88-1)*100</f>
        <v>3.6754409769335306</v>
      </c>
      <c r="AQ95" s="2159">
        <v>62</v>
      </c>
      <c r="AR95" s="2154"/>
      <c r="AS95" s="2148">
        <f>(AU95/100)*J95</f>
        <v>360.99855157025422</v>
      </c>
      <c r="AT95" s="2153">
        <f>+(AS95/AS88-1)*100</f>
        <v>8.3429026321291122</v>
      </c>
      <c r="AU95" s="2163">
        <v>77.5</v>
      </c>
      <c r="AV95" s="2163"/>
      <c r="AW95" s="2148">
        <f>(AY95/100)*AC95</f>
        <v>52.014900000000004</v>
      </c>
      <c r="AX95" s="2153">
        <f>+(AW95/AW88-1)*100</f>
        <v>4.8687499999999995</v>
      </c>
      <c r="AY95" s="2320">
        <v>62</v>
      </c>
      <c r="AZ95" s="2154"/>
      <c r="BA95" s="2148">
        <f>(BC95/100)*AK95</f>
        <v>17.500875000000107</v>
      </c>
      <c r="BB95" s="2153">
        <f>+(BA95/BA88-1)*100</f>
        <v>6.065909090909738</v>
      </c>
      <c r="BC95" s="2159">
        <v>147.5</v>
      </c>
      <c r="BD95" s="2154"/>
      <c r="BE95" s="2147">
        <f>(BG95/100)*D95</f>
        <v>119.29632000000001</v>
      </c>
      <c r="BF95" s="2153">
        <f>+(BE95/BE88-1)*100</f>
        <v>3.2868571428571469</v>
      </c>
      <c r="BG95" s="2159">
        <v>24.2</v>
      </c>
      <c r="BH95" s="2107"/>
      <c r="BI95" s="2147">
        <f>(BK95/100)*J95</f>
        <v>164.89482226563868</v>
      </c>
      <c r="BJ95" s="2153">
        <f>+(BI95/BI88-1)*100</f>
        <v>8.3408819090924347</v>
      </c>
      <c r="BK95" s="2321">
        <v>35.4</v>
      </c>
      <c r="BL95" s="2107"/>
      <c r="BM95" s="2147">
        <f>(AK95/100)*BO95</f>
        <v>9.5394600000000587</v>
      </c>
      <c r="BN95" s="2153">
        <f>+(BM95/BM88-1)*100</f>
        <v>5.9940000000006544</v>
      </c>
      <c r="BO95" s="2321">
        <v>80.400000000000006</v>
      </c>
      <c r="BP95" s="2159"/>
      <c r="BQ95" s="2148">
        <f>(BS95/100)*AC95</f>
        <v>5.6209650000000009</v>
      </c>
      <c r="BR95" s="2153">
        <f>+(BQ95/BQ88-1)*100</f>
        <v>2.1993636363636604</v>
      </c>
      <c r="BS95" s="2322">
        <v>6.7</v>
      </c>
      <c r="BT95" s="2107"/>
      <c r="BU95" s="2323">
        <f>+BX95-BE95-BI95-BM95-BQ95</f>
        <v>-110.69221081963641</v>
      </c>
      <c r="BV95" s="2153">
        <f>+(BU95/BU88-1)*100</f>
        <v>-7.9099743597034866</v>
      </c>
      <c r="BW95" s="2153"/>
      <c r="BX95" s="2147">
        <f>'qtrP&amp;L'!CR62</f>
        <v>188.65935644600233</v>
      </c>
      <c r="BY95" s="2153">
        <f>(BX95/BX88-1)*100</f>
        <v>16.456392867902679</v>
      </c>
      <c r="BZ95" s="2154">
        <f>(BX95/AH95)*100</f>
        <v>14.450000000000006</v>
      </c>
      <c r="CA95" s="2299">
        <f>BE95+BI95+BM95+BU95+BQ95</f>
        <v>188.65935644600236</v>
      </c>
      <c r="CB95" s="154"/>
      <c r="CC95" s="154"/>
      <c r="CD95" s="154"/>
      <c r="CE95" s="154"/>
      <c r="CF95" s="154"/>
      <c r="CG95" s="154"/>
      <c r="CH95" s="154"/>
      <c r="CI95" s="154"/>
    </row>
    <row r="96" spans="1:87" s="61" customFormat="1" ht="13.5" thickBot="1">
      <c r="A96" s="2261" t="s">
        <v>460</v>
      </c>
      <c r="B96" s="2107" t="s">
        <v>62</v>
      </c>
      <c r="C96" s="2107"/>
      <c r="D96" s="2145">
        <f>CoachNAqtrSalesOld!U176</f>
        <v>603.58000000000004</v>
      </c>
      <c r="E96" s="2153">
        <f>(D96/D89-1)*100</f>
        <v>3.0000000000000027</v>
      </c>
      <c r="F96" s="2310">
        <f>(D96/'qtrP&amp;L'!CR13)*100</f>
        <v>41.586182322067096</v>
      </c>
      <c r="G96" s="2327"/>
      <c r="H96" s="2146"/>
      <c r="I96" s="2312" t="e">
        <v>#REF!</v>
      </c>
      <c r="J96" s="2145">
        <f>N96+T96+Y96</f>
        <v>461.16055087199999</v>
      </c>
      <c r="K96" s="2153">
        <f>(J96/J89-1)*100</f>
        <v>4.3349662606334771</v>
      </c>
      <c r="L96" s="2153"/>
      <c r="M96" s="2297"/>
      <c r="N96" s="2149">
        <f>N89*(1+O96/100)</f>
        <v>151.38163009200005</v>
      </c>
      <c r="O96" s="2314">
        <v>3</v>
      </c>
      <c r="P96" s="2153"/>
      <c r="Q96" s="2316">
        <v>6</v>
      </c>
      <c r="R96" s="2304">
        <f>(N96/'qtrP&amp;L'!CR13)*100</f>
        <v>10.430074007120236</v>
      </c>
      <c r="S96" s="2146"/>
      <c r="T96" s="2149">
        <f>T89*(1+U96/100)</f>
        <v>134.89089741461248</v>
      </c>
      <c r="U96" s="2314">
        <v>5</v>
      </c>
      <c r="V96" s="2316">
        <v>-2</v>
      </c>
      <c r="W96" s="2304">
        <f>(T96/'qtrP&amp;L'!CR13)*100</f>
        <v>9.293875631186129</v>
      </c>
      <c r="X96" s="2154"/>
      <c r="Y96" s="2149">
        <f>Y89*(1+Z96)</f>
        <v>174.88802336538748</v>
      </c>
      <c r="Z96" s="2306">
        <v>0.05</v>
      </c>
      <c r="AA96" s="2304">
        <f>(Y96/'qtrP&amp;L'!CR13)*100</f>
        <v>12.049645822623239</v>
      </c>
      <c r="AB96" s="2317"/>
      <c r="AC96" s="2149">
        <f>AC89*(1+AD96)</f>
        <v>92.295000000000016</v>
      </c>
      <c r="AD96" s="2306">
        <v>0.05</v>
      </c>
      <c r="AE96" s="2304">
        <f>(AC96/'qtrP&amp;L'!CR13)*100</f>
        <v>6.3590521511898732</v>
      </c>
      <c r="AF96" s="2317"/>
      <c r="AG96" s="2328">
        <f>D96+J96+AC96</f>
        <v>1157.0355508720002</v>
      </c>
      <c r="AH96" s="2329">
        <f>'qtrP&amp;L'!CR13</f>
        <v>1451.3955508720001</v>
      </c>
      <c r="AI96" s="2307">
        <f>AH96-AG96</f>
        <v>294.3599999999999</v>
      </c>
      <c r="AJ96" s="2162"/>
      <c r="AK96" s="2330">
        <f>AK89*(1+AL96)</f>
        <v>18.794999999999856</v>
      </c>
      <c r="AL96" s="2318">
        <v>0.05</v>
      </c>
      <c r="AM96" s="2162"/>
      <c r="AN96" s="2154"/>
      <c r="AO96" s="2149">
        <f>AQ96*(D96/100)</f>
        <v>383.27330000000001</v>
      </c>
      <c r="AP96" s="2153">
        <f>+(AO96/AO89-1)*100</f>
        <v>7.9643098591549277</v>
      </c>
      <c r="AQ96" s="2159">
        <v>63.5</v>
      </c>
      <c r="AR96" s="2154"/>
      <c r="AS96" s="2149">
        <f>(AU96/100)*J96</f>
        <v>357.39942692580001</v>
      </c>
      <c r="AT96" s="2153">
        <f>+(AS96/AS89-1)*100</f>
        <v>9.4973734454044667</v>
      </c>
      <c r="AU96" s="2163">
        <v>77.5</v>
      </c>
      <c r="AV96" s="2163"/>
      <c r="AW96" s="2149">
        <f>(AY96/100)*AC96</f>
        <v>59.99175000000001</v>
      </c>
      <c r="AX96" s="2153">
        <f>+(AW96/AW89-1)*100</f>
        <v>22.432142857142878</v>
      </c>
      <c r="AY96" s="2320">
        <v>65</v>
      </c>
      <c r="AZ96" s="2154"/>
      <c r="BA96" s="2149">
        <f>(BC96/100)*AK96</f>
        <v>13.156499999999898</v>
      </c>
      <c r="BB96" s="2153">
        <f>+(BA96/BA89-1)*100</f>
        <v>13.418103448275032</v>
      </c>
      <c r="BC96" s="2159">
        <v>70</v>
      </c>
      <c r="BD96" s="2154"/>
      <c r="BE96" s="2149">
        <f>(BG96/100)*D96</f>
        <v>184.09190000000001</v>
      </c>
      <c r="BF96" s="2153">
        <f>+(BE96/BE89-1)*100</f>
        <v>15.708296668761768</v>
      </c>
      <c r="BG96" s="2159">
        <v>30.5</v>
      </c>
      <c r="BH96" s="2107"/>
      <c r="BI96" s="2149">
        <f>(BK96/100)*J96</f>
        <v>110.67853220927999</v>
      </c>
      <c r="BJ96" s="2153">
        <f>+(BI96/BI89-1)*100</f>
        <v>-17.527174210670637</v>
      </c>
      <c r="BK96" s="2159">
        <v>24</v>
      </c>
      <c r="BL96" s="2107"/>
      <c r="BM96" s="2149">
        <f>(AK96/100)*BO96</f>
        <v>8.457749999999935</v>
      </c>
      <c r="BN96" s="2153">
        <f>+(BM96/BM89-1)*100</f>
        <v>22.576086956520204</v>
      </c>
      <c r="BO96" s="2159">
        <v>45</v>
      </c>
      <c r="BP96" s="2159"/>
      <c r="BQ96" s="2149">
        <f>(BS96/100)*AC96</f>
        <v>16.428510000000006</v>
      </c>
      <c r="BR96" s="2153">
        <f>+(BQ96/BQ89-1)*100</f>
        <v>188.21947368421047</v>
      </c>
      <c r="BS96" s="2322">
        <v>17.8</v>
      </c>
      <c r="BT96" s="2107"/>
      <c r="BU96" s="2331">
        <f>+BX96-BE96-BI96-BM96-BQ96</f>
        <v>-100.49596402760808</v>
      </c>
      <c r="BV96" s="2153">
        <f>+(BU96/BU89-1)*100</f>
        <v>-20.430748988433823</v>
      </c>
      <c r="BW96" s="2153"/>
      <c r="BX96" s="2149">
        <f>'qtrP&amp;L'!CR63</f>
        <v>219.16072818167186</v>
      </c>
      <c r="BY96" s="2153">
        <f>(BX96/BX89-1)*100</f>
        <v>22.081510796385849</v>
      </c>
      <c r="BZ96" s="2154">
        <f>(BX96/AH96)*100</f>
        <v>15.099999999999989</v>
      </c>
      <c r="CA96" s="2329">
        <f>BE96+BI96+BM96+BU96+BQ96</f>
        <v>219.16072818167186</v>
      </c>
      <c r="CB96" s="154"/>
      <c r="CC96" s="154"/>
      <c r="CD96" s="154"/>
      <c r="CE96" s="154"/>
      <c r="CF96" s="154"/>
      <c r="CG96" s="154"/>
      <c r="CH96" s="154"/>
      <c r="CI96" s="154"/>
    </row>
    <row r="97" spans="1:87" s="61" customFormat="1" ht="10.5" customHeight="1">
      <c r="A97" s="2261"/>
      <c r="B97" s="2107" t="s">
        <v>461</v>
      </c>
      <c r="C97" s="2107"/>
      <c r="D97" s="2140">
        <f>SUM(D93:D96)</f>
        <v>2406.7400000000002</v>
      </c>
      <c r="E97" s="2153">
        <f>(D97/D90-1)*100</f>
        <v>2.4580672626649758</v>
      </c>
      <c r="F97" s="2310">
        <f>(D97/'qtrP&amp;L'!CR14)*100</f>
        <v>41.27564165954837</v>
      </c>
      <c r="G97" s="2332"/>
      <c r="H97" s="2146"/>
      <c r="I97" s="2107"/>
      <c r="J97" s="2140">
        <f>SUM(J93:J96)</f>
        <v>1790.0358997697078</v>
      </c>
      <c r="K97" s="2153">
        <f>(J97/J90-1)*100</f>
        <v>4.3752711235981234</v>
      </c>
      <c r="L97" s="2153"/>
      <c r="M97" s="2297"/>
      <c r="N97" s="2146">
        <f>SUM(N93:N96)</f>
        <v>610.40825641813444</v>
      </c>
      <c r="O97" s="2315">
        <f>(N97/N90-1)*100</f>
        <v>2.9033284979788743</v>
      </c>
      <c r="P97" s="2153"/>
      <c r="Q97" s="2153"/>
      <c r="R97" s="2304">
        <f>(N97/'qtrP&amp;L'!CR14)*100</f>
        <v>10.468514446074204</v>
      </c>
      <c r="S97" s="2146"/>
      <c r="T97" s="2146">
        <f>SUM(T93:T96)</f>
        <v>571.9726933717285</v>
      </c>
      <c r="U97" s="2315">
        <f>(T97/T90-1)*100</f>
        <v>2.7493953861037479</v>
      </c>
      <c r="V97" s="2333"/>
      <c r="W97" s="2304">
        <f>(T97/'qtrP&amp;L'!CR14)*100</f>
        <v>9.8093437307969289</v>
      </c>
      <c r="X97" s="2334"/>
      <c r="Y97" s="2140">
        <f>SUM(Y93:Y96)</f>
        <v>613.03169266849136</v>
      </c>
      <c r="Z97" s="2335">
        <f>Y97/Y90-1</f>
        <v>8.4731182818426065E-2</v>
      </c>
      <c r="AA97" s="2304">
        <f>(Y97/'qtrP&amp;L'!CR14)*100</f>
        <v>10.513506432988621</v>
      </c>
      <c r="AB97" s="2317"/>
      <c r="AC97" s="2140">
        <f>SUM(AC93:AC96)</f>
        <v>387.90500000000003</v>
      </c>
      <c r="AD97" s="2335">
        <f>AC97/AC90-1</f>
        <v>3.8289614561027863E-2</v>
      </c>
      <c r="AE97" s="2304">
        <f>(AC97/'qtrP&amp;L'!CR14)*100</f>
        <v>6.6525789150249341</v>
      </c>
      <c r="AF97" s="2317"/>
      <c r="AG97" s="2324">
        <f>D97+J97+AC97</f>
        <v>4584.680899769708</v>
      </c>
      <c r="AH97" s="2299">
        <f>'qtrP&amp;L'!CR14</f>
        <v>5830.896633543296</v>
      </c>
      <c r="AI97" s="2307">
        <f>AH97-AG97</f>
        <v>1246.215733773588</v>
      </c>
      <c r="AJ97" s="2162"/>
      <c r="AK97" s="2146">
        <f>SUM(AK93:AK96)</f>
        <v>53.234999999999928</v>
      </c>
      <c r="AL97" s="2335">
        <f>AK97/AK90-1</f>
        <v>5.0000000000000044E-2</v>
      </c>
      <c r="AM97" s="2162"/>
      <c r="AN97" s="2154"/>
      <c r="AO97" s="2140">
        <f>SUM(AO93:AO96)</f>
        <v>1498.9135000000003</v>
      </c>
      <c r="AP97" s="2153">
        <f>+(AO97/AO90-1)*100</f>
        <v>3.0889614855571068</v>
      </c>
      <c r="AQ97" s="2061">
        <f>AO97/D97*100</f>
        <v>62.279826653481486</v>
      </c>
      <c r="AR97" s="2154"/>
      <c r="AS97" s="2146">
        <f>SUM(AS93:AS96)</f>
        <v>1374.2290438930331</v>
      </c>
      <c r="AT97" s="2153">
        <f>+(AS97/AS90-1)*100</f>
        <v>5.7099264533102323</v>
      </c>
      <c r="AU97" s="2061">
        <f>AS97/J97*100</f>
        <v>76.771032584867754</v>
      </c>
      <c r="AV97" s="2061"/>
      <c r="AW97" s="2146">
        <f>SUM(AW93:AW96)</f>
        <v>243.18861000000004</v>
      </c>
      <c r="AX97" s="2153"/>
      <c r="AY97" s="2061">
        <f>AW97/AC97*100</f>
        <v>62.692826851935401</v>
      </c>
      <c r="AZ97" s="2154"/>
      <c r="BA97" s="2140">
        <f>SUM(BA93:BA96)</f>
        <v>64.418864999999968</v>
      </c>
      <c r="BB97" s="2153">
        <f>+(BA97/BA90-1)*100</f>
        <v>7.7238545150501103</v>
      </c>
      <c r="BC97" s="2061">
        <f>BA97/AK97*100</f>
        <v>121.00848126232752</v>
      </c>
      <c r="BD97" s="2154"/>
      <c r="BE97" s="2146">
        <f>SUM(BE93:BE96)</f>
        <v>729.76301999999998</v>
      </c>
      <c r="BF97" s="2153">
        <f>+(BE97/BE90-1)*100</f>
        <v>4.7005767575322821</v>
      </c>
      <c r="BG97" s="2061">
        <f>(BE97/D97)*100</f>
        <v>30.321639229829557</v>
      </c>
      <c r="BH97" s="2107"/>
      <c r="BI97" s="2146">
        <f>SUM(BI93:BI96)</f>
        <v>531.23186740774793</v>
      </c>
      <c r="BJ97" s="2153">
        <f>+(BI97/BI90-1)*100</f>
        <v>-0.87108277519164501</v>
      </c>
      <c r="BK97" s="2061">
        <f>(BI97/J97)*100</f>
        <v>29.677162758360996</v>
      </c>
      <c r="BL97" s="2107"/>
      <c r="BM97" s="2146">
        <f>SUM(BM93:BM96)</f>
        <v>34.343295000000012</v>
      </c>
      <c r="BN97" s="2153">
        <f>+(BM97/BM90-1)*100</f>
        <v>9.373550955414057</v>
      </c>
      <c r="BO97" s="2159">
        <f>(BM97/AK97)*100</f>
        <v>64.51262327416184</v>
      </c>
      <c r="BP97" s="2061"/>
      <c r="BQ97" s="2146">
        <f>SUM(BQ93:BQ96)</f>
        <v>52.81983000000001</v>
      </c>
      <c r="BR97" s="2153">
        <f>+(BQ97/BQ90-1)*100</f>
        <v>28.203470873786429</v>
      </c>
      <c r="BS97" s="2061">
        <f>(BQ97/AC97)*100</f>
        <v>13.616692231345306</v>
      </c>
      <c r="BT97" s="2107"/>
      <c r="BU97" s="2336">
        <f>SUM(BU93:BU96)</f>
        <v>-360.23792778007379</v>
      </c>
      <c r="BV97" s="2153">
        <f>+(BU97/BU90-1)*100</f>
        <v>-26.899771148523989</v>
      </c>
      <c r="BW97" s="2153"/>
      <c r="BX97" s="2146">
        <f>'qtrP&amp;L'!CR64</f>
        <v>987.92008462767421</v>
      </c>
      <c r="BY97" s="2153">
        <f>(BX97/BX90-1)*100</f>
        <v>21.572208981771812</v>
      </c>
      <c r="BZ97" s="2154">
        <f>(BX97/AH97)*100</f>
        <v>16.942850246126536</v>
      </c>
      <c r="CA97" s="2299">
        <f>BE97+BI97+BM97+BU97+BQ97</f>
        <v>987.9200846276741</v>
      </c>
      <c r="CB97" s="154"/>
      <c r="CC97" s="154"/>
      <c r="CD97" s="154"/>
      <c r="CE97" s="154"/>
      <c r="CF97" s="154"/>
      <c r="CG97" s="154"/>
      <c r="CH97" s="154"/>
      <c r="CI97" s="154"/>
    </row>
    <row r="98" spans="1:87">
      <c r="A98" s="2107"/>
      <c r="B98" s="2107"/>
      <c r="C98" s="2107"/>
      <c r="D98" s="2107"/>
      <c r="E98" s="2160"/>
      <c r="F98" s="2295"/>
      <c r="G98" s="2107"/>
      <c r="H98" s="2107"/>
      <c r="I98" s="2107"/>
      <c r="J98" s="2107"/>
      <c r="K98" s="2160"/>
      <c r="L98" s="2160"/>
      <c r="M98" s="2107"/>
      <c r="N98" s="2107"/>
      <c r="O98" s="2295"/>
      <c r="P98" s="2160"/>
      <c r="Q98" s="2160"/>
      <c r="R98" s="2158"/>
      <c r="S98" s="2107"/>
      <c r="T98" s="2107"/>
      <c r="U98" s="2160"/>
      <c r="V98" s="2160"/>
      <c r="W98" s="2160"/>
      <c r="X98" s="2154"/>
      <c r="Y98" s="2154"/>
      <c r="Z98" s="2158"/>
      <c r="AA98" s="2160"/>
      <c r="AB98" s="2154"/>
      <c r="AC98" s="2154"/>
      <c r="AD98" s="2154"/>
      <c r="AE98" s="2154"/>
      <c r="AF98" s="2154"/>
      <c r="AG98" s="2158"/>
      <c r="AH98" s="2158"/>
      <c r="AI98" s="2158"/>
      <c r="AJ98" s="2154"/>
      <c r="AK98" s="2154"/>
      <c r="AL98" s="2158"/>
      <c r="AM98" s="2154"/>
      <c r="AN98" s="2154"/>
      <c r="AO98" s="2154"/>
      <c r="AP98" s="2158"/>
      <c r="AQ98" s="2154"/>
      <c r="AR98" s="2154"/>
      <c r="AS98" s="2154"/>
      <c r="AT98" s="2158"/>
      <c r="AU98" s="2154"/>
      <c r="AV98" s="2154"/>
      <c r="AW98" s="2154"/>
      <c r="AX98" s="2154"/>
      <c r="AY98" s="2154"/>
      <c r="AZ98" s="2154"/>
      <c r="BA98" s="2154"/>
      <c r="BB98" s="2158"/>
      <c r="BC98" s="2154"/>
      <c r="BD98" s="2154"/>
      <c r="BE98" s="2154"/>
      <c r="BF98" s="2158"/>
      <c r="BG98" s="2154"/>
      <c r="BH98" s="2154"/>
      <c r="BI98" s="2154"/>
      <c r="BJ98" s="2158"/>
      <c r="BK98" s="2154"/>
      <c r="BL98" s="2154"/>
      <c r="BM98" s="2154"/>
      <c r="BN98" s="2158"/>
      <c r="BO98" s="2154"/>
      <c r="BP98" s="2154"/>
      <c r="BQ98" s="2154"/>
      <c r="BR98" s="2154"/>
      <c r="BS98" s="2154"/>
      <c r="BT98" s="2154"/>
      <c r="BU98" s="2154"/>
      <c r="BV98" s="2158"/>
      <c r="BW98" s="2158"/>
      <c r="BX98" s="2154"/>
      <c r="BY98" s="2154"/>
      <c r="BZ98" s="2154"/>
      <c r="CA98" s="2158"/>
    </row>
    <row r="100" spans="1:87">
      <c r="AO100" s="534">
        <f>(AO88+AS88)/(D88+J88)</f>
        <v>0.69469026548672563</v>
      </c>
      <c r="AQ100" s="1670"/>
      <c r="AS100" s="1023"/>
    </row>
    <row r="101" spans="1:87">
      <c r="C101" s="2133" t="s">
        <v>888</v>
      </c>
      <c r="D101" s="89">
        <f>D90/'qtrP&amp;L'!CN14</f>
        <v>0.52336073791858828</v>
      </c>
      <c r="E101" s="4">
        <v>2</v>
      </c>
      <c r="AO101" s="1023"/>
      <c r="AQ101" s="1670"/>
      <c r="AS101" s="1023"/>
    </row>
    <row r="102" spans="1:87">
      <c r="C102" s="2133" t="s">
        <v>595</v>
      </c>
      <c r="D102" s="89">
        <f>N90/AH90</f>
        <v>0.13216275981958428</v>
      </c>
      <c r="E102" s="4">
        <v>2</v>
      </c>
      <c r="AO102" s="1023"/>
      <c r="AQ102" s="1670"/>
      <c r="AS102" s="1023"/>
    </row>
    <row r="103" spans="1:87">
      <c r="C103" s="2133" t="s">
        <v>780</v>
      </c>
      <c r="D103" s="89">
        <f>T90/AH90</f>
        <v>0.12402640139561188</v>
      </c>
      <c r="E103" s="4">
        <v>-3</v>
      </c>
      <c r="AO103" s="1023"/>
      <c r="AQ103" s="1670"/>
      <c r="AS103" s="1023"/>
    </row>
    <row r="104" spans="1:87">
      <c r="C104" s="2133" t="s">
        <v>181</v>
      </c>
      <c r="D104" s="89">
        <f>100%-D101-D102-D103</f>
        <v>0.22045010086621558</v>
      </c>
      <c r="E104" s="4">
        <v>3</v>
      </c>
      <c r="AO104" s="1023"/>
      <c r="AS104" s="1023"/>
    </row>
    <row r="105" spans="1:87">
      <c r="E105" s="4">
        <f>SUMPRODUCT(D101:D104,E101:E104)</f>
        <v>1.600318093888156</v>
      </c>
    </row>
    <row r="143" spans="79:79" s="3" customFormat="1">
      <c r="CA143" s="56"/>
    </row>
  </sheetData>
  <mergeCells count="1">
    <mergeCell ref="D92:F92"/>
  </mergeCells>
  <phoneticPr fontId="39" type="noConversion"/>
  <pageMargins left="0.25" right="0.25" top="0.75" bottom="0.75" header="0.3" footer="0.3"/>
  <pageSetup scale="68"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Z185"/>
  <sheetViews>
    <sheetView view="pageBreakPreview" zoomScale="85" zoomScaleNormal="100" zoomScaleSheetLayoutView="85" workbookViewId="0">
      <pane xSplit="3" ySplit="10" topLeftCell="D133" activePane="bottomRight" state="frozen"/>
      <selection activeCell="H177" sqref="H177"/>
      <selection pane="topRight" activeCell="H177" sqref="H177"/>
      <selection pane="bottomLeft" activeCell="H177" sqref="H177"/>
      <selection pane="bottomRight" activeCell="AJ178" sqref="AJ178"/>
    </sheetView>
  </sheetViews>
  <sheetFormatPr defaultRowHeight="12.75" outlineLevelRow="1" outlineLevelCol="1"/>
  <cols>
    <col min="1" max="1" width="2.7109375" style="3" customWidth="1"/>
    <col min="2" max="2" width="7.28515625" style="3" customWidth="1"/>
    <col min="3" max="3" width="1.85546875" style="3" customWidth="1"/>
    <col min="4" max="4" width="6.7109375" style="3" customWidth="1"/>
    <col min="5" max="5" width="1.5703125" style="3" customWidth="1"/>
    <col min="6" max="6" width="6.42578125" style="3" customWidth="1"/>
    <col min="7" max="7" width="2.140625" style="3" customWidth="1"/>
    <col min="8" max="8" width="6.5703125" style="3" customWidth="1"/>
    <col min="9" max="9" width="1.7109375" style="3" customWidth="1"/>
    <col min="10" max="10" width="7.85546875" style="3" customWidth="1"/>
    <col min="11" max="11" width="4.140625" style="3" customWidth="1"/>
    <col min="12" max="12" width="6" style="3" customWidth="1"/>
    <col min="13" max="13" width="3.5703125" style="3" bestFit="1" customWidth="1"/>
    <col min="14" max="14" width="6.42578125" style="3" customWidth="1"/>
    <col min="15" max="15" width="1.42578125" style="3" customWidth="1"/>
    <col min="16" max="16" width="7.7109375" style="3" customWidth="1"/>
    <col min="17" max="17" width="1.7109375" style="3" customWidth="1"/>
    <col min="18" max="18" width="9" style="3" customWidth="1"/>
    <col min="19" max="19" width="4" style="3" customWidth="1"/>
    <col min="20" max="20" width="1.7109375" style="3" customWidth="1"/>
    <col min="21" max="21" width="10.140625" style="3" customWidth="1"/>
    <col min="22" max="22" width="2.5703125" style="3" customWidth="1"/>
    <col min="23" max="23" width="1.42578125" style="3" customWidth="1"/>
    <col min="24" max="24" width="6.7109375" style="3" customWidth="1"/>
    <col min="25" max="25" width="1.42578125" style="3" customWidth="1"/>
    <col min="26" max="26" width="6.7109375" style="3" customWidth="1"/>
    <col min="27" max="27" width="10" style="3" hidden="1" customWidth="1" outlineLevel="1"/>
    <col min="28" max="28" width="12.140625" style="63" hidden="1" customWidth="1" outlineLevel="1"/>
    <col min="29" max="31" width="9.140625" style="63" hidden="1" customWidth="1" outlineLevel="1"/>
    <col min="32" max="32" width="1.7109375" style="3" customWidth="1" collapsed="1"/>
    <col min="33" max="33" width="9" style="3" customWidth="1"/>
    <col min="34" max="34" width="1.42578125" style="3" customWidth="1"/>
    <col min="35" max="35" width="5.7109375" style="3" customWidth="1"/>
    <col min="36" max="36" width="7" style="3" customWidth="1"/>
    <col min="37" max="37" width="1.42578125" style="3" customWidth="1"/>
    <col min="38" max="38" width="8.140625" style="3" customWidth="1"/>
    <col min="39" max="39" width="1.7109375" style="3" customWidth="1"/>
    <col min="40" max="40" width="8.42578125" style="3" customWidth="1"/>
    <col min="41" max="41" width="4" style="3" customWidth="1"/>
    <col min="42" max="42" width="1.42578125" style="3" customWidth="1"/>
    <col min="43" max="43" width="8.42578125" style="3" customWidth="1"/>
    <col min="44" max="44" width="1.42578125" style="3" customWidth="1"/>
    <col min="45" max="45" width="7.5703125" style="3" customWidth="1"/>
    <col min="46" max="46" width="1.42578125" style="3" customWidth="1"/>
    <col min="47" max="47" width="9.28515625" style="3" bestFit="1" customWidth="1"/>
    <col min="48" max="48" width="1.7109375" style="3" customWidth="1"/>
    <col min="49" max="51" width="9.28515625" style="3" bestFit="1" customWidth="1"/>
    <col min="52" max="16384" width="9.140625" style="3"/>
  </cols>
  <sheetData>
    <row r="1" spans="1:52">
      <c r="A1" s="93" t="s">
        <v>342</v>
      </c>
      <c r="B1" s="41"/>
      <c r="C1" s="5"/>
      <c r="D1" s="5"/>
      <c r="E1" s="22"/>
      <c r="F1" s="5"/>
      <c r="G1" s="5"/>
      <c r="H1" s="5"/>
      <c r="I1" s="22"/>
      <c r="J1" s="25"/>
      <c r="K1" s="25"/>
      <c r="L1" s="25"/>
      <c r="M1" s="25"/>
      <c r="N1" s="25"/>
      <c r="O1" s="26"/>
      <c r="P1" s="25"/>
      <c r="Q1" s="26"/>
      <c r="R1" s="1073"/>
      <c r="S1" s="25"/>
      <c r="T1" s="26"/>
      <c r="U1" s="25"/>
      <c r="V1" s="25"/>
      <c r="W1" s="25"/>
      <c r="X1" s="26"/>
      <c r="Y1" s="26"/>
      <c r="Z1" s="25"/>
      <c r="AA1" s="25"/>
      <c r="AB1" s="709"/>
      <c r="AC1" s="709"/>
      <c r="AD1" s="709"/>
      <c r="AE1" s="709"/>
      <c r="AF1" s="25"/>
      <c r="AG1" s="25"/>
      <c r="AH1" s="25"/>
      <c r="AI1" s="25"/>
      <c r="AJ1" s="25"/>
      <c r="AK1" s="26"/>
      <c r="AL1" s="25"/>
      <c r="AM1" s="26"/>
      <c r="AN1" s="25"/>
      <c r="AO1" s="25"/>
      <c r="AP1" s="26"/>
      <c r="AQ1" s="25"/>
      <c r="AR1" s="25"/>
      <c r="AS1" s="26"/>
      <c r="AT1" s="26"/>
      <c r="AU1" s="25"/>
      <c r="AV1" s="25"/>
      <c r="AW1" s="25"/>
      <c r="AX1" s="25"/>
      <c r="AY1" s="25"/>
      <c r="AZ1" s="25"/>
    </row>
    <row r="2" spans="1:52">
      <c r="A2" s="7" t="s">
        <v>776</v>
      </c>
      <c r="B2" s="42"/>
      <c r="C2" s="7"/>
      <c r="D2" s="7"/>
      <c r="E2" s="23"/>
      <c r="F2" s="7"/>
      <c r="G2" s="7"/>
      <c r="H2" s="7"/>
      <c r="I2" s="23"/>
      <c r="J2" s="7"/>
      <c r="K2" s="7"/>
      <c r="L2" s="7"/>
      <c r="M2" s="7"/>
      <c r="N2" s="7"/>
      <c r="O2" s="23"/>
      <c r="P2" s="7"/>
      <c r="Q2" s="23"/>
      <c r="R2" s="7"/>
      <c r="S2" s="7"/>
      <c r="T2" s="23"/>
      <c r="U2" s="7"/>
      <c r="V2" s="7"/>
      <c r="W2" s="7"/>
      <c r="X2" s="23"/>
      <c r="Y2" s="23"/>
      <c r="Z2" s="7"/>
      <c r="AA2" s="7"/>
      <c r="AB2" s="710"/>
      <c r="AC2" s="710"/>
      <c r="AD2" s="710"/>
      <c r="AE2" s="710"/>
      <c r="AF2" s="7"/>
      <c r="AG2" s="7"/>
      <c r="AH2" s="7"/>
      <c r="AI2" s="7"/>
      <c r="AJ2" s="7"/>
      <c r="AK2" s="23"/>
      <c r="AL2" s="7"/>
      <c r="AM2" s="23"/>
      <c r="AN2" s="7"/>
      <c r="AO2" s="7"/>
      <c r="AP2" s="23"/>
      <c r="AQ2" s="7"/>
      <c r="AR2" s="7"/>
      <c r="AS2" s="23"/>
      <c r="AT2" s="23"/>
      <c r="AU2" s="7"/>
      <c r="AV2" s="25"/>
      <c r="AW2" s="25"/>
      <c r="AX2" s="25"/>
      <c r="AY2" s="25"/>
      <c r="AZ2" s="25"/>
    </row>
    <row r="3" spans="1:52">
      <c r="B3" s="216"/>
      <c r="AX3" s="56"/>
    </row>
    <row r="4" spans="1:52">
      <c r="B4" s="216"/>
      <c r="AX4" s="56"/>
    </row>
    <row r="5" spans="1:52">
      <c r="B5" s="216"/>
      <c r="J5" s="1074"/>
      <c r="K5" s="1075"/>
      <c r="L5" s="1075" t="s">
        <v>154</v>
      </c>
      <c r="M5" s="1075"/>
      <c r="N5" s="1075"/>
      <c r="O5" s="1075"/>
      <c r="P5" s="1075"/>
      <c r="Q5" s="1075"/>
      <c r="R5" s="1075"/>
      <c r="S5" s="1075"/>
      <c r="T5" s="1075"/>
      <c r="U5" s="1075"/>
      <c r="V5" s="1075"/>
      <c r="W5" s="1075"/>
      <c r="X5" s="1075"/>
      <c r="Y5" s="1075"/>
      <c r="Z5" s="1076"/>
      <c r="AA5" s="1077"/>
      <c r="AB5" s="1078"/>
      <c r="AC5" s="1078"/>
      <c r="AD5" s="1078"/>
      <c r="AE5" s="1078"/>
      <c r="AG5" s="1074" t="s">
        <v>155</v>
      </c>
      <c r="AH5" s="1075"/>
      <c r="AI5" s="1075"/>
      <c r="AJ5" s="1075"/>
      <c r="AK5" s="1075"/>
      <c r="AL5" s="1075"/>
      <c r="AM5" s="1075"/>
      <c r="AN5" s="1075"/>
      <c r="AO5" s="1075"/>
      <c r="AP5" s="1075"/>
      <c r="AQ5" s="1075"/>
      <c r="AR5" s="1075"/>
      <c r="AS5" s="1075"/>
      <c r="AT5" s="1075"/>
      <c r="AU5" s="1076"/>
      <c r="AX5" s="56"/>
    </row>
    <row r="6" spans="1:52">
      <c r="B6" s="216"/>
      <c r="D6" s="2393" t="s">
        <v>231</v>
      </c>
      <c r="E6" s="2393"/>
      <c r="F6" s="2393"/>
      <c r="H6" s="24" t="s">
        <v>544</v>
      </c>
      <c r="P6" s="24" t="s">
        <v>306</v>
      </c>
      <c r="R6" s="1077" t="s">
        <v>554</v>
      </c>
      <c r="S6" s="1077"/>
      <c r="U6" s="54"/>
      <c r="V6" s="54"/>
      <c r="W6" s="54"/>
      <c r="X6" s="156"/>
      <c r="Y6" s="1079"/>
      <c r="Z6" s="54"/>
      <c r="AA6" s="56"/>
      <c r="AB6" s="1080"/>
      <c r="AC6" s="1080"/>
      <c r="AD6" s="1080"/>
      <c r="AE6" s="1080"/>
      <c r="AN6" s="1077" t="s">
        <v>554</v>
      </c>
      <c r="AO6" s="1077"/>
      <c r="AQ6" s="54"/>
      <c r="AR6" s="54"/>
      <c r="AS6" s="49" t="s">
        <v>174</v>
      </c>
      <c r="AT6" s="54"/>
      <c r="AU6" s="54"/>
      <c r="AX6" s="56"/>
    </row>
    <row r="7" spans="1:52">
      <c r="B7" s="216"/>
      <c r="D7" s="24" t="s">
        <v>606</v>
      </c>
      <c r="E7" s="24"/>
      <c r="F7" s="24" t="s">
        <v>543</v>
      </c>
      <c r="G7" s="24"/>
      <c r="H7" s="60" t="s">
        <v>545</v>
      </c>
      <c r="J7" s="303" t="s">
        <v>549</v>
      </c>
      <c r="K7" s="303"/>
      <c r="L7" s="303"/>
      <c r="M7" s="1187"/>
      <c r="N7" s="303"/>
      <c r="O7" s="24"/>
      <c r="P7" s="60" t="s">
        <v>552</v>
      </c>
      <c r="R7" s="1077" t="s">
        <v>555</v>
      </c>
      <c r="S7" s="1077"/>
      <c r="U7" s="24" t="s">
        <v>596</v>
      </c>
      <c r="X7" s="24" t="s">
        <v>559</v>
      </c>
      <c r="Z7" s="24" t="s">
        <v>561</v>
      </c>
      <c r="AA7" s="1081" t="s">
        <v>732</v>
      </c>
      <c r="AB7" s="1081" t="s">
        <v>735</v>
      </c>
      <c r="AC7" s="1081" t="s">
        <v>733</v>
      </c>
      <c r="AD7" s="1081" t="s">
        <v>606</v>
      </c>
      <c r="AE7" s="1081" t="s">
        <v>731</v>
      </c>
      <c r="AG7" s="49"/>
      <c r="AH7" s="49" t="s">
        <v>150</v>
      </c>
      <c r="AI7" s="49"/>
      <c r="AJ7" s="49"/>
      <c r="AK7" s="24"/>
      <c r="AL7" s="60" t="s">
        <v>552</v>
      </c>
      <c r="AN7" s="1077" t="s">
        <v>555</v>
      </c>
      <c r="AO7" s="1077"/>
      <c r="AS7" s="24" t="s">
        <v>559</v>
      </c>
      <c r="AU7" s="24" t="s">
        <v>561</v>
      </c>
      <c r="AX7" s="56"/>
    </row>
    <row r="8" spans="1:52">
      <c r="B8" s="216"/>
      <c r="D8" s="49" t="s">
        <v>542</v>
      </c>
      <c r="E8" s="24"/>
      <c r="F8" s="49" t="s">
        <v>499</v>
      </c>
      <c r="G8" s="24"/>
      <c r="H8" s="49" t="s">
        <v>775</v>
      </c>
      <c r="J8" s="49" t="s">
        <v>539</v>
      </c>
      <c r="K8" s="49"/>
      <c r="L8" s="49" t="s">
        <v>542</v>
      </c>
      <c r="M8" s="1384"/>
      <c r="N8" s="49" t="s">
        <v>307</v>
      </c>
      <c r="O8" s="24"/>
      <c r="P8" s="49" t="s">
        <v>428</v>
      </c>
      <c r="R8" s="303" t="s">
        <v>556</v>
      </c>
      <c r="S8" s="303"/>
      <c r="U8" s="49" t="s">
        <v>482</v>
      </c>
      <c r="V8" s="60"/>
      <c r="X8" s="49" t="s">
        <v>525</v>
      </c>
      <c r="Z8" s="49" t="s">
        <v>526</v>
      </c>
      <c r="AA8" s="1082" t="s">
        <v>149</v>
      </c>
      <c r="AB8" s="1083" t="s">
        <v>736</v>
      </c>
      <c r="AC8" s="1083" t="s">
        <v>734</v>
      </c>
      <c r="AD8" s="1083" t="s">
        <v>5</v>
      </c>
      <c r="AE8" s="1082" t="s">
        <v>149</v>
      </c>
      <c r="AG8" s="49" t="s">
        <v>606</v>
      </c>
      <c r="AH8" s="24"/>
      <c r="AI8" s="24" t="s">
        <v>542</v>
      </c>
      <c r="AJ8" s="49" t="s">
        <v>326</v>
      </c>
      <c r="AK8" s="24"/>
      <c r="AL8" s="49" t="s">
        <v>428</v>
      </c>
      <c r="AN8" s="303" t="s">
        <v>161</v>
      </c>
      <c r="AO8" s="303"/>
      <c r="AQ8" s="49" t="s">
        <v>542</v>
      </c>
      <c r="AS8" s="49" t="s">
        <v>156</v>
      </c>
      <c r="AU8" s="49" t="s">
        <v>526</v>
      </c>
      <c r="AX8" s="56"/>
    </row>
    <row r="9" spans="1:52">
      <c r="B9" s="216"/>
      <c r="D9" s="1084" t="s">
        <v>547</v>
      </c>
      <c r="E9" s="24"/>
      <c r="F9" s="1084" t="s">
        <v>548</v>
      </c>
      <c r="G9" s="24"/>
      <c r="H9" s="1084" t="s">
        <v>546</v>
      </c>
      <c r="J9" s="1084" t="s">
        <v>550</v>
      </c>
      <c r="K9" s="1084"/>
      <c r="L9" s="1084" t="s">
        <v>550</v>
      </c>
      <c r="M9" s="24"/>
      <c r="N9" s="1084" t="s">
        <v>551</v>
      </c>
      <c r="O9" s="24"/>
      <c r="P9" s="1084" t="s">
        <v>553</v>
      </c>
      <c r="R9" s="1085" t="s">
        <v>557</v>
      </c>
      <c r="S9" s="1085"/>
      <c r="U9" s="1084" t="s">
        <v>558</v>
      </c>
      <c r="V9" s="1084"/>
      <c r="X9" s="1084" t="s">
        <v>560</v>
      </c>
      <c r="Z9" s="1084" t="s">
        <v>562</v>
      </c>
      <c r="AA9" s="1084" t="s">
        <v>750</v>
      </c>
      <c r="AB9" s="1086" t="s">
        <v>230</v>
      </c>
      <c r="AC9" s="1087" t="s">
        <v>230</v>
      </c>
      <c r="AD9" s="1087" t="s">
        <v>230</v>
      </c>
      <c r="AE9" s="1088"/>
      <c r="AG9" s="1084" t="s">
        <v>157</v>
      </c>
      <c r="AH9" s="24"/>
      <c r="AI9" s="24"/>
      <c r="AJ9" s="1084" t="s">
        <v>158</v>
      </c>
      <c r="AK9" s="24"/>
      <c r="AL9" s="1084" t="s">
        <v>160</v>
      </c>
      <c r="AN9" s="1085" t="s">
        <v>159</v>
      </c>
      <c r="AO9" s="1085"/>
      <c r="AQ9" s="1084" t="s">
        <v>162</v>
      </c>
      <c r="AS9" s="1084" t="s">
        <v>163</v>
      </c>
      <c r="AU9" s="1084" t="s">
        <v>164</v>
      </c>
      <c r="AX9" s="56"/>
    </row>
    <row r="10" spans="1:52">
      <c r="B10" s="216"/>
      <c r="AA10" s="1084" t="s">
        <v>751</v>
      </c>
      <c r="AX10" s="56"/>
    </row>
    <row r="11" spans="1:52" hidden="1" outlineLevel="1">
      <c r="A11" s="1089"/>
      <c r="B11" s="1021">
        <v>1995</v>
      </c>
      <c r="E11" s="217"/>
      <c r="G11" s="217"/>
      <c r="I11" s="217"/>
      <c r="Q11" s="217"/>
      <c r="S11" s="216"/>
      <c r="AF11" s="217"/>
      <c r="AM11" s="217"/>
      <c r="AO11" s="216"/>
      <c r="AV11" s="217"/>
      <c r="AX11" s="56"/>
      <c r="AY11" s="3" t="s">
        <v>149</v>
      </c>
      <c r="AZ11" s="3" t="s">
        <v>173</v>
      </c>
    </row>
    <row r="12" spans="1:52" hidden="1" outlineLevel="1">
      <c r="A12" s="691" t="s">
        <v>457</v>
      </c>
      <c r="B12" s="691" t="s">
        <v>63</v>
      </c>
      <c r="D12" s="980"/>
      <c r="E12" s="217" t="s">
        <v>428</v>
      </c>
      <c r="F12" s="1090"/>
      <c r="G12" s="217" t="s">
        <v>428</v>
      </c>
      <c r="H12" s="980"/>
      <c r="I12" s="217" t="s">
        <v>428</v>
      </c>
      <c r="J12" s="184"/>
      <c r="K12" s="184"/>
      <c r="L12" s="184"/>
      <c r="M12" s="691"/>
      <c r="N12" s="564"/>
      <c r="P12" s="980"/>
      <c r="Q12" s="217" t="s">
        <v>428</v>
      </c>
      <c r="R12" s="564"/>
      <c r="S12" s="216" t="s">
        <v>428</v>
      </c>
      <c r="U12" s="705"/>
      <c r="V12" s="705"/>
      <c r="W12" s="3" t="s">
        <v>165</v>
      </c>
      <c r="X12" s="1091"/>
      <c r="Z12" s="1092"/>
      <c r="AA12" s="1092"/>
      <c r="AB12" s="1093"/>
      <c r="AC12" s="1093"/>
      <c r="AD12" s="1093"/>
      <c r="AE12" s="1093"/>
      <c r="AF12" s="217" t="s">
        <v>428</v>
      </c>
      <c r="AG12" s="1031"/>
      <c r="AH12" s="691"/>
      <c r="AI12" s="691"/>
      <c r="AJ12" s="1031"/>
      <c r="AL12" s="980"/>
      <c r="AM12" s="217" t="s">
        <v>428</v>
      </c>
      <c r="AN12" s="564"/>
      <c r="AO12" s="216" t="s">
        <v>428</v>
      </c>
      <c r="AQ12" s="705"/>
      <c r="AV12" s="217" t="s">
        <v>428</v>
      </c>
      <c r="AW12" s="534"/>
      <c r="AX12" s="1094"/>
      <c r="AY12" s="1095"/>
      <c r="AZ12" s="1095"/>
    </row>
    <row r="13" spans="1:52" hidden="1" outlineLevel="1">
      <c r="A13" s="691" t="s">
        <v>458</v>
      </c>
      <c r="B13" s="691" t="s">
        <v>167</v>
      </c>
      <c r="D13" s="980"/>
      <c r="F13" s="1090"/>
      <c r="H13" s="980"/>
      <c r="J13" s="184"/>
      <c r="K13" s="184"/>
      <c r="L13" s="184"/>
      <c r="M13" s="691"/>
      <c r="N13" s="564"/>
      <c r="P13" s="980"/>
      <c r="R13" s="564"/>
      <c r="U13" s="165"/>
      <c r="V13" s="165"/>
      <c r="W13" s="3" t="s">
        <v>165</v>
      </c>
      <c r="X13" s="1096"/>
      <c r="Z13" s="1092"/>
      <c r="AA13" s="1092"/>
      <c r="AB13" s="1093"/>
      <c r="AC13" s="1093"/>
      <c r="AD13" s="1093"/>
      <c r="AE13" s="1093"/>
      <c r="AG13" s="1031"/>
      <c r="AH13" s="691"/>
      <c r="AI13" s="691"/>
      <c r="AJ13" s="1031"/>
      <c r="AL13" s="980"/>
      <c r="AN13" s="564"/>
      <c r="AO13" s="216"/>
      <c r="AQ13" s="165"/>
      <c r="AW13" s="534"/>
      <c r="AX13" s="1094"/>
      <c r="AY13" s="1095"/>
      <c r="AZ13" s="1095"/>
    </row>
    <row r="14" spans="1:52" hidden="1" outlineLevel="1">
      <c r="A14" s="691" t="s">
        <v>459</v>
      </c>
      <c r="B14" s="691" t="s">
        <v>166</v>
      </c>
      <c r="D14" s="980"/>
      <c r="F14" s="1090"/>
      <c r="H14" s="980"/>
      <c r="J14" s="184"/>
      <c r="K14" s="184"/>
      <c r="L14" s="184"/>
      <c r="M14" s="691"/>
      <c r="N14" s="564"/>
      <c r="P14" s="980"/>
      <c r="R14" s="564"/>
      <c r="U14" s="165"/>
      <c r="V14" s="165"/>
      <c r="W14" s="3" t="s">
        <v>165</v>
      </c>
      <c r="X14" s="1096"/>
      <c r="Z14" s="1092"/>
      <c r="AA14" s="1092"/>
      <c r="AB14" s="1093"/>
      <c r="AC14" s="1093"/>
      <c r="AD14" s="1093"/>
      <c r="AE14" s="1093"/>
      <c r="AG14" s="1031"/>
      <c r="AH14" s="691"/>
      <c r="AI14" s="691"/>
      <c r="AJ14" s="1031"/>
      <c r="AL14" s="980"/>
      <c r="AN14" s="564"/>
      <c r="AQ14" s="165"/>
      <c r="AW14" s="534"/>
      <c r="AX14" s="1094"/>
      <c r="AY14" s="1097"/>
      <c r="AZ14" s="1095"/>
    </row>
    <row r="15" spans="1:52" hidden="1" outlineLevel="1">
      <c r="A15" s="691" t="s">
        <v>460</v>
      </c>
      <c r="B15" s="691" t="s">
        <v>62</v>
      </c>
      <c r="D15" s="1033"/>
      <c r="F15" s="1098"/>
      <c r="H15" s="1033"/>
      <c r="J15" s="184"/>
      <c r="K15" s="184"/>
      <c r="L15" s="184"/>
      <c r="M15" s="691"/>
      <c r="N15" s="1099"/>
      <c r="P15" s="1033"/>
      <c r="R15" s="1099"/>
      <c r="S15" s="1100"/>
      <c r="U15" s="1101"/>
      <c r="V15" s="1130"/>
      <c r="W15" s="3" t="s">
        <v>165</v>
      </c>
      <c r="X15" s="1102"/>
      <c r="Z15" s="1103"/>
      <c r="AA15" s="1092"/>
      <c r="AB15" s="1093"/>
      <c r="AC15" s="1093"/>
      <c r="AD15" s="1093"/>
      <c r="AE15" s="1093"/>
      <c r="AG15" s="1104"/>
      <c r="AH15" s="691"/>
      <c r="AI15" s="691"/>
      <c r="AJ15" s="1105"/>
      <c r="AL15" s="1033"/>
      <c r="AN15" s="1099"/>
      <c r="AO15" s="1100"/>
      <c r="AQ15" s="1101"/>
      <c r="AW15" s="534"/>
      <c r="AX15" s="1094"/>
      <c r="AY15" s="1106"/>
      <c r="AZ15" s="1106"/>
    </row>
    <row r="16" spans="1:52" hidden="1" outlineLevel="1">
      <c r="A16" s="691"/>
      <c r="B16" s="691" t="s">
        <v>461</v>
      </c>
      <c r="D16" s="980"/>
      <c r="F16" s="1090"/>
      <c r="H16" s="980"/>
      <c r="J16" s="691"/>
      <c r="K16" s="691"/>
      <c r="L16" s="691"/>
      <c r="N16" s="564"/>
      <c r="P16" s="980"/>
      <c r="R16" s="564"/>
      <c r="U16" s="705">
        <f>'qtrP&amp;L'!D14</f>
        <v>395.02100000000002</v>
      </c>
      <c r="V16" s="705"/>
      <c r="X16" s="1091"/>
      <c r="Z16" s="1092"/>
      <c r="AA16" s="1092"/>
      <c r="AB16" s="1093"/>
      <c r="AC16" s="1093"/>
      <c r="AD16" s="1093"/>
      <c r="AE16" s="1093"/>
      <c r="AG16" s="1031"/>
      <c r="AJ16" s="1031"/>
      <c r="AL16" s="980"/>
      <c r="AN16" s="564"/>
      <c r="AQ16" s="705">
        <f>U16</f>
        <v>395.02100000000002</v>
      </c>
      <c r="AW16" s="1107"/>
      <c r="AX16" s="56"/>
      <c r="AY16" s="1108"/>
      <c r="AZ16" s="1108"/>
    </row>
    <row r="17" spans="1:52" hidden="1" outlineLevel="1">
      <c r="B17" s="216"/>
      <c r="AX17" s="56"/>
    </row>
    <row r="18" spans="1:52" hidden="1" outlineLevel="1">
      <c r="A18" s="1089"/>
      <c r="B18" s="1021">
        <v>1998</v>
      </c>
      <c r="E18" s="217"/>
      <c r="G18" s="217"/>
      <c r="I18" s="217"/>
      <c r="Q18" s="217"/>
      <c r="S18" s="216"/>
      <c r="AF18" s="217"/>
      <c r="AM18" s="217"/>
      <c r="AO18" s="216"/>
      <c r="AV18" s="217"/>
      <c r="AX18" s="56"/>
      <c r="AY18" s="3" t="s">
        <v>149</v>
      </c>
      <c r="AZ18" s="3" t="s">
        <v>173</v>
      </c>
    </row>
    <row r="19" spans="1:52" hidden="1" outlineLevel="1">
      <c r="A19" s="3" t="s">
        <v>457</v>
      </c>
      <c r="B19" s="3" t="str">
        <f>B12</f>
        <v>Sept</v>
      </c>
      <c r="D19" s="980"/>
      <c r="E19" s="217" t="s">
        <v>428</v>
      </c>
      <c r="F19" s="1090"/>
      <c r="G19" s="217" t="s">
        <v>428</v>
      </c>
      <c r="H19" s="980"/>
      <c r="I19" s="217" t="s">
        <v>428</v>
      </c>
      <c r="J19" s="184"/>
      <c r="K19" s="184"/>
      <c r="L19" s="184"/>
      <c r="M19" s="691"/>
      <c r="N19" s="564"/>
      <c r="P19" s="980"/>
      <c r="Q19" s="217" t="s">
        <v>428</v>
      </c>
      <c r="R19" s="564"/>
      <c r="S19" s="216" t="s">
        <v>428</v>
      </c>
      <c r="U19" s="705"/>
      <c r="V19" s="705"/>
      <c r="W19" s="3" t="s">
        <v>165</v>
      </c>
      <c r="X19" s="1091"/>
      <c r="Z19" s="1092"/>
      <c r="AA19" s="1092"/>
      <c r="AB19" s="1093"/>
      <c r="AC19" s="1093"/>
      <c r="AD19" s="1093"/>
      <c r="AE19" s="1093"/>
      <c r="AF19" s="217" t="s">
        <v>428</v>
      </c>
      <c r="AG19" s="1031"/>
      <c r="AH19" s="691"/>
      <c r="AI19" s="691"/>
      <c r="AJ19" s="1031"/>
      <c r="AL19" s="980"/>
      <c r="AM19" s="217" t="s">
        <v>428</v>
      </c>
      <c r="AN19" s="564"/>
      <c r="AO19" s="216" t="s">
        <v>428</v>
      </c>
      <c r="AQ19" s="705"/>
      <c r="AV19" s="217" t="s">
        <v>428</v>
      </c>
      <c r="AW19" s="534"/>
      <c r="AX19" s="1094"/>
      <c r="AY19" s="1095"/>
      <c r="AZ19" s="1095"/>
    </row>
    <row r="20" spans="1:52" hidden="1" outlineLevel="1">
      <c r="A20" s="3" t="s">
        <v>458</v>
      </c>
      <c r="B20" s="3" t="str">
        <f>B13</f>
        <v>Dec</v>
      </c>
      <c r="D20" s="980"/>
      <c r="F20" s="1090"/>
      <c r="H20" s="980"/>
      <c r="J20" s="184"/>
      <c r="K20" s="184"/>
      <c r="L20" s="184"/>
      <c r="M20" s="691"/>
      <c r="N20" s="564"/>
      <c r="P20" s="980"/>
      <c r="R20" s="564"/>
      <c r="U20" s="165"/>
      <c r="V20" s="165"/>
      <c r="W20" s="3" t="s">
        <v>165</v>
      </c>
      <c r="X20" s="1096"/>
      <c r="Z20" s="1092"/>
      <c r="AA20" s="1092"/>
      <c r="AB20" s="1093"/>
      <c r="AC20" s="1093"/>
      <c r="AD20" s="1093"/>
      <c r="AE20" s="1093"/>
      <c r="AG20" s="1031"/>
      <c r="AH20" s="691"/>
      <c r="AI20" s="691"/>
      <c r="AJ20" s="1031"/>
      <c r="AL20" s="980"/>
      <c r="AN20" s="564"/>
      <c r="AO20" s="216"/>
      <c r="AQ20" s="165"/>
      <c r="AW20" s="534"/>
      <c r="AX20" s="1094"/>
      <c r="AY20" s="1095"/>
      <c r="AZ20" s="1095"/>
    </row>
    <row r="21" spans="1:52" hidden="1" outlineLevel="1">
      <c r="A21" s="3" t="s">
        <v>459</v>
      </c>
      <c r="B21" s="3" t="str">
        <f>B14</f>
        <v>Mar</v>
      </c>
      <c r="D21" s="980"/>
      <c r="F21" s="1090"/>
      <c r="H21" s="980"/>
      <c r="J21" s="184"/>
      <c r="K21" s="184"/>
      <c r="L21" s="184"/>
      <c r="M21" s="691"/>
      <c r="N21" s="564"/>
      <c r="P21" s="980"/>
      <c r="R21" s="564"/>
      <c r="U21" s="165"/>
      <c r="V21" s="165"/>
      <c r="W21" s="3" t="s">
        <v>165</v>
      </c>
      <c r="X21" s="1096"/>
      <c r="Z21" s="1092"/>
      <c r="AA21" s="1092"/>
      <c r="AB21" s="1093"/>
      <c r="AC21" s="1093"/>
      <c r="AD21" s="1093"/>
      <c r="AE21" s="1093"/>
      <c r="AG21" s="1031"/>
      <c r="AH21" s="691"/>
      <c r="AI21" s="691"/>
      <c r="AJ21" s="1031"/>
      <c r="AL21" s="980"/>
      <c r="AN21" s="564"/>
      <c r="AQ21" s="165"/>
      <c r="AW21" s="534"/>
      <c r="AX21" s="1094"/>
      <c r="AY21" s="1097"/>
      <c r="AZ21" s="1095"/>
    </row>
    <row r="22" spans="1:52" hidden="1" outlineLevel="1">
      <c r="A22" s="3" t="s">
        <v>460</v>
      </c>
      <c r="B22" s="3" t="str">
        <f>B15</f>
        <v>June</v>
      </c>
      <c r="D22" s="1033"/>
      <c r="F22" s="1098"/>
      <c r="H22" s="1033"/>
      <c r="J22" s="184"/>
      <c r="K22" s="184"/>
      <c r="L22" s="184"/>
      <c r="M22" s="691"/>
      <c r="N22" s="1099"/>
      <c r="P22" s="1033"/>
      <c r="R22" s="1099"/>
      <c r="S22" s="1100"/>
      <c r="U22" s="1101"/>
      <c r="V22" s="1130"/>
      <c r="W22" s="3" t="s">
        <v>165</v>
      </c>
      <c r="X22" s="1102"/>
      <c r="Z22" s="1103"/>
      <c r="AA22" s="1092"/>
      <c r="AB22" s="1093"/>
      <c r="AC22" s="1093"/>
      <c r="AD22" s="1093"/>
      <c r="AE22" s="1093"/>
      <c r="AG22" s="1104"/>
      <c r="AH22" s="691"/>
      <c r="AI22" s="691"/>
      <c r="AJ22" s="1105"/>
      <c r="AL22" s="1033"/>
      <c r="AN22" s="1099"/>
      <c r="AO22" s="1100"/>
      <c r="AQ22" s="1101"/>
      <c r="AW22" s="534"/>
      <c r="AX22" s="1094"/>
      <c r="AY22" s="1106"/>
      <c r="AZ22" s="1106"/>
    </row>
    <row r="23" spans="1:52" hidden="1" outlineLevel="1">
      <c r="B23" s="3" t="s">
        <v>461</v>
      </c>
      <c r="D23" s="980">
        <f>(U23/U16-1)*100</f>
        <v>29.776644785973396</v>
      </c>
      <c r="F23" s="1090"/>
      <c r="H23" s="980"/>
      <c r="J23" s="691"/>
      <c r="K23" s="691"/>
      <c r="L23" s="691"/>
      <c r="N23" s="564"/>
      <c r="P23" s="980"/>
      <c r="R23" s="564"/>
      <c r="U23" s="705">
        <f>'qtrP&amp;L'!H14</f>
        <v>512.64499999999998</v>
      </c>
      <c r="V23" s="705"/>
      <c r="X23" s="1091"/>
      <c r="Z23" s="1092"/>
      <c r="AA23" s="1092"/>
      <c r="AB23" s="1093"/>
      <c r="AC23" s="1093"/>
      <c r="AD23" s="1093"/>
      <c r="AE23" s="1093"/>
      <c r="AG23" s="1031"/>
      <c r="AJ23" s="1031"/>
      <c r="AL23" s="980"/>
      <c r="AN23" s="564"/>
      <c r="AQ23" s="705">
        <f>U23</f>
        <v>512.64499999999998</v>
      </c>
      <c r="AW23" s="1107"/>
      <c r="AX23" s="56"/>
      <c r="AY23" s="1108"/>
      <c r="AZ23" s="1108"/>
    </row>
    <row r="24" spans="1:52" hidden="1" outlineLevel="1">
      <c r="B24" s="216"/>
      <c r="AX24" s="56"/>
    </row>
    <row r="25" spans="1:52" hidden="1" outlineLevel="1">
      <c r="A25" s="1089"/>
      <c r="B25" s="1021">
        <v>1997</v>
      </c>
      <c r="E25" s="217"/>
      <c r="G25" s="217"/>
      <c r="I25" s="217"/>
      <c r="Q25" s="217"/>
      <c r="S25" s="216"/>
      <c r="AF25" s="217"/>
      <c r="AG25" s="217"/>
      <c r="AM25" s="217"/>
      <c r="AO25" s="216"/>
      <c r="AV25" s="217"/>
      <c r="AX25" s="56"/>
      <c r="AY25" s="3" t="s">
        <v>149</v>
      </c>
      <c r="AZ25" s="3" t="s">
        <v>173</v>
      </c>
    </row>
    <row r="26" spans="1:52" hidden="1" outlineLevel="1">
      <c r="A26" s="691" t="s">
        <v>457</v>
      </c>
      <c r="B26" s="691" t="s">
        <v>63</v>
      </c>
      <c r="D26" s="980"/>
      <c r="E26" s="217" t="s">
        <v>428</v>
      </c>
      <c r="F26" s="1090"/>
      <c r="G26" s="217" t="s">
        <v>428</v>
      </c>
      <c r="H26" s="980"/>
      <c r="I26" s="217" t="s">
        <v>428</v>
      </c>
      <c r="J26" s="184"/>
      <c r="K26" s="184"/>
      <c r="L26" s="184"/>
      <c r="M26" s="691"/>
      <c r="N26" s="564"/>
      <c r="P26" s="980"/>
      <c r="Q26" s="217" t="s">
        <v>428</v>
      </c>
      <c r="R26" s="564"/>
      <c r="S26" s="216" t="s">
        <v>428</v>
      </c>
      <c r="U26" s="705"/>
      <c r="V26" s="705"/>
      <c r="W26" s="3" t="s">
        <v>165</v>
      </c>
      <c r="X26" s="1091"/>
      <c r="Z26" s="1092"/>
      <c r="AA26" s="1092"/>
      <c r="AB26" s="1093"/>
      <c r="AC26" s="1093"/>
      <c r="AD26" s="1093"/>
      <c r="AE26" s="1093"/>
      <c r="AF26" s="217" t="s">
        <v>428</v>
      </c>
      <c r="AG26" s="1109"/>
      <c r="AH26" s="691"/>
      <c r="AI26" s="691"/>
      <c r="AJ26" s="1031"/>
      <c r="AL26" s="980"/>
      <c r="AM26" s="217" t="s">
        <v>428</v>
      </c>
      <c r="AN26" s="564"/>
      <c r="AO26" s="216" t="s">
        <v>428</v>
      </c>
      <c r="AQ26" s="705"/>
      <c r="AV26" s="217" t="s">
        <v>428</v>
      </c>
      <c r="AW26" s="534"/>
      <c r="AX26" s="1094"/>
      <c r="AY26" s="1095"/>
      <c r="AZ26" s="1095"/>
    </row>
    <row r="27" spans="1:52" hidden="1" outlineLevel="1">
      <c r="A27" s="691" t="s">
        <v>458</v>
      </c>
      <c r="B27" s="691" t="s">
        <v>167</v>
      </c>
      <c r="D27" s="980"/>
      <c r="F27" s="1090"/>
      <c r="H27" s="980"/>
      <c r="J27" s="184"/>
      <c r="K27" s="184"/>
      <c r="L27" s="184"/>
      <c r="M27" s="691"/>
      <c r="N27" s="564"/>
      <c r="P27" s="980"/>
      <c r="R27" s="564"/>
      <c r="U27" s="165"/>
      <c r="V27" s="165"/>
      <c r="W27" s="3" t="s">
        <v>165</v>
      </c>
      <c r="X27" s="1096"/>
      <c r="Z27" s="1092"/>
      <c r="AA27" s="1092"/>
      <c r="AB27" s="1093"/>
      <c r="AC27" s="1093"/>
      <c r="AD27" s="1093"/>
      <c r="AE27" s="1093"/>
      <c r="AG27" s="1109"/>
      <c r="AH27" s="691"/>
      <c r="AI27" s="691"/>
      <c r="AJ27" s="1031"/>
      <c r="AL27" s="980"/>
      <c r="AN27" s="564"/>
      <c r="AO27" s="216"/>
      <c r="AQ27" s="165"/>
      <c r="AW27" s="534"/>
      <c r="AX27" s="1094"/>
      <c r="AY27" s="1095"/>
      <c r="AZ27" s="1095"/>
    </row>
    <row r="28" spans="1:52" hidden="1" outlineLevel="1">
      <c r="A28" s="691" t="s">
        <v>459</v>
      </c>
      <c r="B28" s="691" t="s">
        <v>166</v>
      </c>
      <c r="D28" s="980"/>
      <c r="F28" s="1090"/>
      <c r="H28" s="980"/>
      <c r="J28" s="184"/>
      <c r="K28" s="184"/>
      <c r="L28" s="184"/>
      <c r="M28" s="691"/>
      <c r="N28" s="564"/>
      <c r="P28" s="980"/>
      <c r="R28" s="564"/>
      <c r="U28" s="165"/>
      <c r="V28" s="165"/>
      <c r="W28" s="3" t="s">
        <v>165</v>
      </c>
      <c r="X28" s="1096"/>
      <c r="Z28" s="1092"/>
      <c r="AA28" s="1092"/>
      <c r="AB28" s="1093"/>
      <c r="AC28" s="1093"/>
      <c r="AD28" s="1093"/>
      <c r="AE28" s="1093"/>
      <c r="AG28" s="1109"/>
      <c r="AH28" s="691"/>
      <c r="AI28" s="691"/>
      <c r="AJ28" s="1031"/>
      <c r="AL28" s="980"/>
      <c r="AN28" s="564"/>
      <c r="AQ28" s="165"/>
      <c r="AW28" s="534"/>
      <c r="AX28" s="1094"/>
      <c r="AY28" s="1097"/>
      <c r="AZ28" s="1095"/>
    </row>
    <row r="29" spans="1:52" hidden="1" outlineLevel="1">
      <c r="A29" s="691" t="s">
        <v>460</v>
      </c>
      <c r="B29" s="691" t="s">
        <v>62</v>
      </c>
      <c r="D29" s="1033"/>
      <c r="F29" s="1098"/>
      <c r="H29" s="1033"/>
      <c r="J29" s="184"/>
      <c r="K29" s="184"/>
      <c r="L29" s="184"/>
      <c r="M29" s="691"/>
      <c r="N29" s="1099"/>
      <c r="P29" s="1033"/>
      <c r="R29" s="1099"/>
      <c r="S29" s="1100"/>
      <c r="U29" s="1101"/>
      <c r="V29" s="1130"/>
      <c r="W29" s="3" t="s">
        <v>165</v>
      </c>
      <c r="X29" s="1102"/>
      <c r="Z29" s="1103"/>
      <c r="AA29" s="1092"/>
      <c r="AB29" s="1093"/>
      <c r="AC29" s="1093"/>
      <c r="AD29" s="1093"/>
      <c r="AE29" s="1093"/>
      <c r="AG29" s="1110"/>
      <c r="AH29" s="691"/>
      <c r="AI29" s="691"/>
      <c r="AJ29" s="1105"/>
      <c r="AL29" s="1033"/>
      <c r="AN29" s="1099"/>
      <c r="AO29" s="1100"/>
      <c r="AQ29" s="1101"/>
      <c r="AW29" s="534"/>
      <c r="AX29" s="1094"/>
      <c r="AY29" s="1106"/>
      <c r="AZ29" s="1106"/>
    </row>
    <row r="30" spans="1:52" hidden="1" outlineLevel="1">
      <c r="A30" s="691"/>
      <c r="B30" s="691" t="s">
        <v>461</v>
      </c>
      <c r="D30" s="980">
        <f>(U30/U23-1)*100</f>
        <v>5.4074456982902364</v>
      </c>
      <c r="F30" s="1090"/>
      <c r="H30" s="980"/>
      <c r="J30" s="691"/>
      <c r="K30" s="691"/>
      <c r="L30" s="691"/>
      <c r="N30" s="564"/>
      <c r="P30" s="980"/>
      <c r="R30" s="564"/>
      <c r="U30" s="705">
        <f>'qtrP&amp;L'!L14</f>
        <v>540.36599999999999</v>
      </c>
      <c r="V30" s="705"/>
      <c r="X30" s="1091"/>
      <c r="Z30" s="1092"/>
      <c r="AA30" s="1092"/>
      <c r="AB30" s="1093"/>
      <c r="AC30" s="1093"/>
      <c r="AD30" s="1093"/>
      <c r="AE30" s="1093"/>
      <c r="AG30" s="1109"/>
      <c r="AJ30" s="1031"/>
      <c r="AL30" s="980"/>
      <c r="AN30" s="564"/>
      <c r="AQ30" s="705">
        <f>U30</f>
        <v>540.36599999999999</v>
      </c>
      <c r="AW30" s="1107"/>
      <c r="AX30" s="56"/>
      <c r="AY30" s="1108"/>
      <c r="AZ30" s="1108"/>
    </row>
    <row r="31" spans="1:52" hidden="1" outlineLevel="1">
      <c r="B31" s="216"/>
      <c r="AG31" s="217"/>
      <c r="AX31" s="56"/>
    </row>
    <row r="32" spans="1:52" hidden="1" outlineLevel="1">
      <c r="A32" s="1089"/>
      <c r="B32" s="1021">
        <v>1998</v>
      </c>
      <c r="E32" s="217"/>
      <c r="G32" s="217"/>
      <c r="I32" s="217"/>
      <c r="Q32" s="217"/>
      <c r="S32" s="216"/>
      <c r="AF32" s="217"/>
      <c r="AG32" s="217"/>
      <c r="AM32" s="217"/>
      <c r="AO32" s="216"/>
      <c r="AV32" s="217"/>
      <c r="AX32" s="56"/>
      <c r="AY32" s="3" t="s">
        <v>149</v>
      </c>
      <c r="AZ32" s="3" t="s">
        <v>173</v>
      </c>
    </row>
    <row r="33" spans="1:52" hidden="1" outlineLevel="1">
      <c r="A33" s="3" t="s">
        <v>457</v>
      </c>
      <c r="B33" s="3" t="str">
        <f>B26</f>
        <v>Sept</v>
      </c>
      <c r="D33" s="980"/>
      <c r="E33" s="217" t="s">
        <v>428</v>
      </c>
      <c r="F33" s="1090"/>
      <c r="G33" s="217" t="s">
        <v>428</v>
      </c>
      <c r="H33" s="980"/>
      <c r="I33" s="217" t="s">
        <v>428</v>
      </c>
      <c r="J33" s="184"/>
      <c r="K33" s="184"/>
      <c r="L33" s="184"/>
      <c r="M33" s="691"/>
      <c r="N33" s="564"/>
      <c r="P33" s="980"/>
      <c r="Q33" s="217" t="s">
        <v>428</v>
      </c>
      <c r="R33" s="564"/>
      <c r="S33" s="216" t="s">
        <v>428</v>
      </c>
      <c r="U33" s="705"/>
      <c r="V33" s="705"/>
      <c r="W33" s="3" t="s">
        <v>165</v>
      </c>
      <c r="X33" s="1091"/>
      <c r="Z33" s="1092"/>
      <c r="AA33" s="1092"/>
      <c r="AB33" s="1093"/>
      <c r="AC33" s="1093"/>
      <c r="AD33" s="1093"/>
      <c r="AE33" s="1093"/>
      <c r="AF33" s="217" t="s">
        <v>428</v>
      </c>
      <c r="AG33" s="1109"/>
      <c r="AH33" s="691"/>
      <c r="AI33" s="691"/>
      <c r="AV33" s="217" t="s">
        <v>428</v>
      </c>
      <c r="AW33" s="534"/>
      <c r="AX33" s="1094"/>
      <c r="AY33" s="1095"/>
      <c r="AZ33" s="1095"/>
    </row>
    <row r="34" spans="1:52" hidden="1" outlineLevel="1">
      <c r="A34" s="3" t="s">
        <v>458</v>
      </c>
      <c r="B34" s="3" t="str">
        <f>B27</f>
        <v>Dec</v>
      </c>
      <c r="D34" s="980"/>
      <c r="F34" s="1090"/>
      <c r="H34" s="980"/>
      <c r="J34" s="184"/>
      <c r="K34" s="184"/>
      <c r="L34" s="184"/>
      <c r="M34" s="691"/>
      <c r="N34" s="564"/>
      <c r="P34" s="980"/>
      <c r="R34" s="564"/>
      <c r="U34" s="165"/>
      <c r="V34" s="165"/>
      <c r="W34" s="3" t="s">
        <v>165</v>
      </c>
      <c r="X34" s="1096"/>
      <c r="Z34" s="1092"/>
      <c r="AA34" s="1092"/>
      <c r="AB34" s="1093"/>
      <c r="AC34" s="1093"/>
      <c r="AD34" s="1093"/>
      <c r="AE34" s="1093"/>
      <c r="AG34" s="1109"/>
      <c r="AH34" s="691"/>
      <c r="AI34" s="691"/>
      <c r="AW34" s="534"/>
      <c r="AX34" s="1094"/>
      <c r="AY34" s="1095"/>
      <c r="AZ34" s="1095"/>
    </row>
    <row r="35" spans="1:52" hidden="1" outlineLevel="1">
      <c r="A35" s="3" t="s">
        <v>459</v>
      </c>
      <c r="B35" s="3" t="str">
        <f>B28</f>
        <v>Mar</v>
      </c>
      <c r="D35" s="980"/>
      <c r="F35" s="1090"/>
      <c r="H35" s="980"/>
      <c r="J35" s="184"/>
      <c r="K35" s="184"/>
      <c r="L35" s="184"/>
      <c r="M35" s="691"/>
      <c r="N35" s="564"/>
      <c r="P35" s="980"/>
      <c r="R35" s="564"/>
      <c r="U35" s="165"/>
      <c r="V35" s="165"/>
      <c r="W35" s="3" t="s">
        <v>165</v>
      </c>
      <c r="X35" s="1096"/>
      <c r="Z35" s="1092"/>
      <c r="AA35" s="1092"/>
      <c r="AB35" s="1093"/>
      <c r="AC35" s="1093"/>
      <c r="AD35" s="1093"/>
      <c r="AE35" s="1093"/>
      <c r="AG35" s="1109"/>
      <c r="AH35" s="691"/>
      <c r="AI35" s="691"/>
      <c r="AW35" s="534"/>
      <c r="AX35" s="1094"/>
      <c r="AY35" s="1097"/>
      <c r="AZ35" s="1095"/>
    </row>
    <row r="36" spans="1:52" hidden="1" outlineLevel="1">
      <c r="A36" s="3" t="s">
        <v>460</v>
      </c>
      <c r="B36" s="3" t="str">
        <f>B29</f>
        <v>June</v>
      </c>
      <c r="D36" s="1033"/>
      <c r="F36" s="1098"/>
      <c r="H36" s="1033"/>
      <c r="J36" s="184">
        <f>100+62</f>
        <v>162</v>
      </c>
      <c r="K36" s="184"/>
      <c r="L36" s="184">
        <f>100+62</f>
        <v>162</v>
      </c>
      <c r="M36" s="691"/>
      <c r="N36" s="1099"/>
      <c r="P36" s="1033"/>
      <c r="R36" s="1099"/>
      <c r="S36" s="1100"/>
      <c r="U36" s="1101"/>
      <c r="V36" s="1130"/>
      <c r="W36" s="3" t="s">
        <v>165</v>
      </c>
      <c r="X36" s="1102"/>
      <c r="Z36" s="1103"/>
      <c r="AA36" s="1092"/>
      <c r="AB36" s="1093"/>
      <c r="AC36" s="1093"/>
      <c r="AD36" s="1093"/>
      <c r="AE36" s="1093"/>
      <c r="AG36" s="1110">
        <f>0.190503+0.173628</f>
        <v>0.36413099999999998</v>
      </c>
      <c r="AH36" s="691"/>
      <c r="AI36" s="691"/>
      <c r="AW36" s="534"/>
      <c r="AX36" s="1094"/>
      <c r="AY36" s="1106"/>
      <c r="AZ36" s="1106"/>
    </row>
    <row r="37" spans="1:52" hidden="1" outlineLevel="1">
      <c r="B37" s="3" t="s">
        <v>461</v>
      </c>
      <c r="D37" s="980">
        <f>(U37/U30-1)*100</f>
        <v>-4.8950156005374224</v>
      </c>
      <c r="F37" s="1090"/>
      <c r="H37" s="980"/>
      <c r="J37" s="691"/>
      <c r="K37" s="691"/>
      <c r="L37" s="691"/>
      <c r="N37" s="564"/>
      <c r="P37" s="980"/>
      <c r="R37" s="564"/>
      <c r="U37" s="705">
        <f>'qtrP&amp;L'!P14</f>
        <v>513.91499999999996</v>
      </c>
      <c r="V37" s="705"/>
      <c r="X37" s="1091"/>
      <c r="Z37" s="1092"/>
      <c r="AA37" s="1092"/>
      <c r="AB37" s="1093"/>
      <c r="AC37" s="1093"/>
      <c r="AD37" s="1093"/>
      <c r="AE37" s="1093"/>
      <c r="AG37" s="1109"/>
      <c r="AQ37" s="705">
        <f>U37</f>
        <v>513.91499999999996</v>
      </c>
      <c r="AW37" s="1107"/>
      <c r="AX37" s="56"/>
      <c r="AY37" s="1108"/>
      <c r="AZ37" s="1108"/>
    </row>
    <row r="38" spans="1:52" hidden="1" outlineLevel="1">
      <c r="B38" s="216"/>
      <c r="AG38" s="217"/>
      <c r="AX38" s="56"/>
    </row>
    <row r="39" spans="1:52" hidden="1" outlineLevel="1">
      <c r="A39" s="1089"/>
      <c r="B39" s="1021">
        <v>1999</v>
      </c>
      <c r="E39" s="217"/>
      <c r="G39" s="217"/>
      <c r="I39" s="217"/>
      <c r="Q39" s="217"/>
      <c r="S39" s="216"/>
      <c r="AF39" s="217"/>
      <c r="AG39" s="217"/>
      <c r="AM39" s="217"/>
      <c r="AO39" s="216"/>
      <c r="AV39" s="217"/>
      <c r="AX39" s="56"/>
      <c r="AY39" s="3" t="s">
        <v>149</v>
      </c>
      <c r="AZ39" s="3" t="s">
        <v>173</v>
      </c>
    </row>
    <row r="40" spans="1:52" hidden="1" outlineLevel="1">
      <c r="A40" s="3" t="s">
        <v>457</v>
      </c>
      <c r="B40" s="3" t="str">
        <f>B33</f>
        <v>Sept</v>
      </c>
      <c r="D40" s="980"/>
      <c r="E40" s="217" t="s">
        <v>428</v>
      </c>
      <c r="F40" s="1090"/>
      <c r="G40" s="217" t="s">
        <v>428</v>
      </c>
      <c r="H40" s="980"/>
      <c r="I40" s="217" t="s">
        <v>428</v>
      </c>
      <c r="J40" s="184"/>
      <c r="K40" s="184"/>
      <c r="L40" s="184"/>
      <c r="M40" s="691"/>
      <c r="N40" s="564"/>
      <c r="P40" s="980"/>
      <c r="Q40" s="217" t="s">
        <v>428</v>
      </c>
      <c r="R40" s="564"/>
      <c r="S40" s="216" t="s">
        <v>428</v>
      </c>
      <c r="U40" s="705"/>
      <c r="V40" s="705"/>
      <c r="W40" s="3" t="s">
        <v>165</v>
      </c>
      <c r="X40" s="1091"/>
      <c r="Z40" s="1092"/>
      <c r="AA40" s="1092"/>
      <c r="AB40" s="1093"/>
      <c r="AC40" s="1093"/>
      <c r="AD40" s="1093"/>
      <c r="AE40" s="1093"/>
      <c r="AF40" s="217" t="s">
        <v>428</v>
      </c>
      <c r="AG40" s="1109"/>
      <c r="AH40" s="691"/>
      <c r="AI40" s="691"/>
      <c r="AO40" s="216" t="s">
        <v>428</v>
      </c>
      <c r="AQ40" s="705"/>
      <c r="AV40" s="217" t="s">
        <v>428</v>
      </c>
      <c r="AW40" s="534"/>
      <c r="AX40" s="1094"/>
      <c r="AY40" s="1095"/>
      <c r="AZ40" s="1095"/>
    </row>
    <row r="41" spans="1:52" hidden="1" outlineLevel="1">
      <c r="A41" s="3" t="s">
        <v>458</v>
      </c>
      <c r="B41" s="3" t="str">
        <f>B34</f>
        <v>Dec</v>
      </c>
      <c r="D41" s="980"/>
      <c r="F41" s="1090"/>
      <c r="H41" s="980"/>
      <c r="J41" s="184"/>
      <c r="K41" s="184"/>
      <c r="L41" s="184"/>
      <c r="M41" s="691"/>
      <c r="N41" s="564"/>
      <c r="P41" s="980"/>
      <c r="R41" s="564"/>
      <c r="U41" s="165"/>
      <c r="V41" s="165"/>
      <c r="W41" s="3" t="s">
        <v>165</v>
      </c>
      <c r="X41" s="1096"/>
      <c r="Z41" s="1092"/>
      <c r="AA41" s="1092"/>
      <c r="AB41" s="1093"/>
      <c r="AC41" s="1093"/>
      <c r="AD41" s="1093"/>
      <c r="AE41" s="1093"/>
      <c r="AG41" s="1109"/>
      <c r="AH41" s="691"/>
      <c r="AI41" s="691"/>
      <c r="AO41" s="216"/>
      <c r="AQ41" s="165"/>
      <c r="AW41" s="534"/>
      <c r="AX41" s="1094"/>
      <c r="AY41" s="1095"/>
      <c r="AZ41" s="1095"/>
    </row>
    <row r="42" spans="1:52" hidden="1" outlineLevel="1">
      <c r="A42" s="3" t="s">
        <v>459</v>
      </c>
      <c r="B42" s="3" t="str">
        <f>B35</f>
        <v>Mar</v>
      </c>
      <c r="D42" s="980"/>
      <c r="F42" s="1090"/>
      <c r="H42" s="980"/>
      <c r="J42" s="184"/>
      <c r="K42" s="184"/>
      <c r="L42" s="184"/>
      <c r="M42" s="691"/>
      <c r="N42" s="564"/>
      <c r="P42" s="980"/>
      <c r="R42" s="564"/>
      <c r="U42" s="165"/>
      <c r="V42" s="165"/>
      <c r="W42" s="3" t="s">
        <v>165</v>
      </c>
      <c r="X42" s="1096"/>
      <c r="Z42" s="1092"/>
      <c r="AA42" s="1092"/>
      <c r="AB42" s="1093"/>
      <c r="AC42" s="1093"/>
      <c r="AD42" s="1093"/>
      <c r="AE42" s="1093"/>
      <c r="AG42" s="1109"/>
      <c r="AH42" s="691"/>
      <c r="AI42" s="691"/>
      <c r="AQ42" s="165"/>
      <c r="AW42" s="534"/>
      <c r="AX42" s="1094"/>
      <c r="AY42" s="1097"/>
      <c r="AZ42" s="1095"/>
    </row>
    <row r="43" spans="1:52" hidden="1" outlineLevel="1">
      <c r="A43" s="3" t="s">
        <v>460</v>
      </c>
      <c r="B43" s="3" t="str">
        <f>B36</f>
        <v>June</v>
      </c>
      <c r="D43" s="1033"/>
      <c r="F43" s="1098"/>
      <c r="H43" s="1033"/>
      <c r="J43" s="184">
        <f>101+62</f>
        <v>163</v>
      </c>
      <c r="K43" s="184"/>
      <c r="L43" s="184">
        <f>101+62</f>
        <v>163</v>
      </c>
      <c r="M43" s="691"/>
      <c r="N43" s="1099"/>
      <c r="P43" s="1033"/>
      <c r="R43" s="1099"/>
      <c r="S43" s="1100"/>
      <c r="U43" s="1101"/>
      <c r="V43" s="1130"/>
      <c r="W43" s="3" t="s">
        <v>165</v>
      </c>
      <c r="X43" s="1102"/>
      <c r="Z43" s="1103"/>
      <c r="AA43" s="1092"/>
      <c r="AB43" s="1093"/>
      <c r="AC43" s="1093"/>
      <c r="AD43" s="1093"/>
      <c r="AE43" s="1093"/>
      <c r="AG43" s="1110">
        <f>0.196494+0.175588</f>
        <v>0.37208200000000002</v>
      </c>
      <c r="AH43" s="691"/>
      <c r="AI43" s="691"/>
      <c r="AO43" s="1100"/>
      <c r="AQ43" s="1101"/>
      <c r="AW43" s="534"/>
      <c r="AX43" s="1094"/>
      <c r="AY43" s="1106"/>
      <c r="AZ43" s="1106"/>
    </row>
    <row r="44" spans="1:52" hidden="1" outlineLevel="1">
      <c r="B44" s="3" t="s">
        <v>461</v>
      </c>
      <c r="D44" s="980">
        <f>(U44/U37-1)*100</f>
        <v>-2.5239582421217377</v>
      </c>
      <c r="F44" s="1090"/>
      <c r="H44" s="980"/>
      <c r="J44" s="691"/>
      <c r="K44" s="691"/>
      <c r="L44" s="691"/>
      <c r="N44" s="564"/>
      <c r="P44" s="980"/>
      <c r="R44" s="564"/>
      <c r="U44" s="705">
        <f>'qtrP&amp;L'!T14</f>
        <v>500.94400000000002</v>
      </c>
      <c r="V44" s="705"/>
      <c r="X44" s="1091"/>
      <c r="Z44" s="1092"/>
      <c r="AA44" s="1092"/>
      <c r="AB44" s="1093"/>
      <c r="AC44" s="1093"/>
      <c r="AD44" s="1093"/>
      <c r="AE44" s="1093"/>
      <c r="AG44" s="1109"/>
      <c r="AQ44" s="705">
        <f>U44</f>
        <v>500.94400000000002</v>
      </c>
      <c r="AW44" s="1107"/>
      <c r="AX44" s="56"/>
      <c r="AY44" s="1108"/>
      <c r="AZ44" s="1108"/>
    </row>
    <row r="45" spans="1:52" hidden="1" outlineLevel="1">
      <c r="B45" s="216"/>
      <c r="E45" s="217"/>
      <c r="G45" s="217"/>
      <c r="I45" s="217"/>
      <c r="J45" s="691"/>
      <c r="K45" s="691"/>
      <c r="L45" s="691"/>
      <c r="Q45" s="217"/>
      <c r="S45" s="216"/>
      <c r="AF45" s="217"/>
      <c r="AG45" s="1109"/>
      <c r="AM45" s="217"/>
      <c r="AO45" s="216"/>
      <c r="AV45" s="217"/>
      <c r="AX45" s="1111"/>
    </row>
    <row r="46" spans="1:52" hidden="1" outlineLevel="1" collapsed="1">
      <c r="A46" s="1089"/>
      <c r="B46" s="1021">
        <v>2000</v>
      </c>
      <c r="E46" s="217"/>
      <c r="G46" s="217"/>
      <c r="I46" s="217"/>
      <c r="Q46" s="217"/>
      <c r="S46" s="216"/>
      <c r="AF46" s="217"/>
      <c r="AG46" s="217"/>
      <c r="AM46" s="217"/>
      <c r="AO46" s="216"/>
      <c r="AV46" s="217"/>
      <c r="AX46" s="56"/>
      <c r="AY46" s="3" t="s">
        <v>149</v>
      </c>
      <c r="AZ46" s="3" t="s">
        <v>173</v>
      </c>
    </row>
    <row r="47" spans="1:52" hidden="1" outlineLevel="1">
      <c r="A47" s="3" t="s">
        <v>457</v>
      </c>
      <c r="B47" s="3" t="str">
        <f>B40</f>
        <v>Sept</v>
      </c>
      <c r="D47" s="980"/>
      <c r="E47" s="217" t="s">
        <v>428</v>
      </c>
      <c r="F47" s="1090"/>
      <c r="G47" s="217" t="s">
        <v>428</v>
      </c>
      <c r="H47" s="980"/>
      <c r="I47" s="217" t="s">
        <v>428</v>
      </c>
      <c r="J47" s="184"/>
      <c r="K47" s="184"/>
      <c r="L47" s="184"/>
      <c r="M47" s="691"/>
      <c r="N47" s="564"/>
      <c r="P47" s="980"/>
      <c r="Q47" s="217" t="s">
        <v>428</v>
      </c>
      <c r="R47" s="564"/>
      <c r="S47" s="216" t="s">
        <v>428</v>
      </c>
      <c r="U47" s="705">
        <f>+'qtrP&amp;L'!X10-CoachNAqtrSalesOld!AY47</f>
        <v>118.032</v>
      </c>
      <c r="V47" s="705"/>
      <c r="W47" s="3" t="s">
        <v>165</v>
      </c>
      <c r="X47" s="1091"/>
      <c r="Z47" s="1092"/>
      <c r="AA47" s="1092"/>
      <c r="AB47" s="1093"/>
      <c r="AC47" s="1093"/>
      <c r="AD47" s="1093"/>
      <c r="AE47" s="1093"/>
      <c r="AF47" s="217" t="s">
        <v>428</v>
      </c>
      <c r="AG47" s="1109"/>
      <c r="AH47" s="691"/>
      <c r="AI47" s="691"/>
      <c r="AJ47" s="1031"/>
      <c r="AL47" s="980"/>
      <c r="AM47" s="217" t="s">
        <v>428</v>
      </c>
      <c r="AN47" s="564"/>
      <c r="AO47" s="216" t="s">
        <v>428</v>
      </c>
      <c r="AQ47" s="705">
        <f>U47</f>
        <v>118.032</v>
      </c>
      <c r="AS47" s="1112"/>
      <c r="AU47" s="1092"/>
      <c r="AV47" s="217" t="s">
        <v>428</v>
      </c>
      <c r="AW47" s="534"/>
      <c r="AX47" s="1094"/>
      <c r="AY47" s="1095"/>
      <c r="AZ47" s="1095"/>
    </row>
    <row r="48" spans="1:52" hidden="1" outlineLevel="1">
      <c r="A48" s="3" t="s">
        <v>458</v>
      </c>
      <c r="B48" s="3" t="str">
        <f>B41</f>
        <v>Dec</v>
      </c>
      <c r="D48" s="980"/>
      <c r="F48" s="1090"/>
      <c r="H48" s="980"/>
      <c r="J48" s="184"/>
      <c r="K48" s="184"/>
      <c r="L48" s="184"/>
      <c r="M48" s="691"/>
      <c r="N48" s="564"/>
      <c r="P48" s="980"/>
      <c r="R48" s="564"/>
      <c r="U48" s="165">
        <f>+'qtrP&amp;L'!X11-CoachNAqtrSalesOld!AY48</f>
        <v>194.12799999999999</v>
      </c>
      <c r="V48" s="165"/>
      <c r="W48" s="3" t="s">
        <v>165</v>
      </c>
      <c r="X48" s="1096"/>
      <c r="Z48" s="1092"/>
      <c r="AA48" s="1092"/>
      <c r="AB48" s="1093"/>
      <c r="AC48" s="1093"/>
      <c r="AD48" s="1093"/>
      <c r="AE48" s="1093"/>
      <c r="AG48" s="1109"/>
      <c r="AH48" s="691"/>
      <c r="AI48" s="691"/>
      <c r="AJ48" s="1031"/>
      <c r="AL48" s="980"/>
      <c r="AN48" s="564"/>
      <c r="AO48" s="216"/>
      <c r="AQ48" s="165">
        <f>U48</f>
        <v>194.12799999999999</v>
      </c>
      <c r="AS48" s="1072"/>
      <c r="AU48" s="1092"/>
      <c r="AW48" s="534"/>
      <c r="AX48" s="1094"/>
      <c r="AY48" s="1095"/>
      <c r="AZ48" s="1095"/>
    </row>
    <row r="49" spans="1:52" hidden="1" outlineLevel="1">
      <c r="A49" s="3" t="s">
        <v>459</v>
      </c>
      <c r="B49" s="3" t="str">
        <f>B42</f>
        <v>Mar</v>
      </c>
      <c r="D49" s="980"/>
      <c r="F49" s="1090"/>
      <c r="H49" s="980"/>
      <c r="J49" s="184"/>
      <c r="K49" s="184"/>
      <c r="L49" s="184"/>
      <c r="M49" s="691"/>
      <c r="N49" s="564"/>
      <c r="P49" s="980"/>
      <c r="R49" s="564"/>
      <c r="U49" s="165">
        <f>+'qtrP&amp;L'!X12-CoachNAqtrSalesOld!AY49</f>
        <v>115.072</v>
      </c>
      <c r="V49" s="165"/>
      <c r="W49" s="3" t="s">
        <v>165</v>
      </c>
      <c r="X49" s="1096"/>
      <c r="Z49" s="1092"/>
      <c r="AA49" s="1092"/>
      <c r="AB49" s="1093"/>
      <c r="AC49" s="1093"/>
      <c r="AD49" s="1093"/>
      <c r="AE49" s="1093"/>
      <c r="AG49" s="1109"/>
      <c r="AH49" s="691"/>
      <c r="AI49" s="691"/>
      <c r="AJ49" s="1031"/>
      <c r="AL49" s="980"/>
      <c r="AN49" s="564"/>
      <c r="AQ49" s="165">
        <f>U49</f>
        <v>115.072</v>
      </c>
      <c r="AS49" s="1072"/>
      <c r="AU49" s="1092"/>
      <c r="AW49" s="534"/>
      <c r="AX49" s="1094"/>
      <c r="AY49" s="1097"/>
      <c r="AZ49" s="1095"/>
    </row>
    <row r="50" spans="1:52" hidden="1" outlineLevel="1">
      <c r="A50" s="3" t="s">
        <v>460</v>
      </c>
      <c r="B50" s="3" t="str">
        <f>B43</f>
        <v>June</v>
      </c>
      <c r="D50" s="1033"/>
      <c r="F50" s="1098"/>
      <c r="H50" s="1033"/>
      <c r="J50" s="184">
        <f>106+63</f>
        <v>169</v>
      </c>
      <c r="K50" s="184"/>
      <c r="L50" s="184">
        <f>106+63</f>
        <v>169</v>
      </c>
      <c r="M50" s="691"/>
      <c r="N50" s="1099"/>
      <c r="P50" s="1033"/>
      <c r="R50" s="1099"/>
      <c r="S50" s="1100"/>
      <c r="U50" s="1101">
        <f>+'qtrP&amp;L'!X13-CoachNAqtrSalesOld!AY50</f>
        <v>121.68600000000001</v>
      </c>
      <c r="V50" s="1130"/>
      <c r="W50" s="3" t="s">
        <v>165</v>
      </c>
      <c r="X50" s="1102"/>
      <c r="Z50" s="1103"/>
      <c r="AA50" s="1092"/>
      <c r="AB50" s="1093"/>
      <c r="AC50" s="1093"/>
      <c r="AD50" s="1093"/>
      <c r="AE50" s="1093"/>
      <c r="AG50" s="1110">
        <f>0.209059+0.18251</f>
        <v>0.391569</v>
      </c>
      <c r="AH50" s="691"/>
      <c r="AI50" s="691"/>
      <c r="AJ50" s="1105">
        <f>AVERAGE(AG50,AG49)</f>
        <v>0.391569</v>
      </c>
      <c r="AL50" s="1033"/>
      <c r="AN50" s="1099"/>
      <c r="AO50" s="1100"/>
      <c r="AQ50" s="1101">
        <f>U50</f>
        <v>121.68600000000001</v>
      </c>
      <c r="AS50" s="1113">
        <f>AQ50/AJ50</f>
        <v>310.76515250185793</v>
      </c>
      <c r="AW50" s="534"/>
      <c r="AX50" s="1094"/>
      <c r="AY50" s="1106"/>
      <c r="AZ50" s="1106"/>
    </row>
    <row r="51" spans="1:52" hidden="1" outlineLevel="1">
      <c r="B51" s="3" t="s">
        <v>461</v>
      </c>
      <c r="D51" s="980">
        <f>(U51/U44-1)*100</f>
        <v>9.5767191542367911</v>
      </c>
      <c r="F51" s="1090"/>
      <c r="H51" s="980"/>
      <c r="J51" s="691"/>
      <c r="K51" s="691"/>
      <c r="L51" s="691"/>
      <c r="N51" s="564"/>
      <c r="P51" s="980"/>
      <c r="R51" s="564"/>
      <c r="U51" s="705">
        <f>SUM(U47:U50)</f>
        <v>548.91800000000001</v>
      </c>
      <c r="V51" s="705"/>
      <c r="X51" s="1091"/>
      <c r="Z51" s="1092"/>
      <c r="AA51" s="1092"/>
      <c r="AB51" s="1093"/>
      <c r="AC51" s="1093"/>
      <c r="AD51" s="1093"/>
      <c r="AE51" s="1093"/>
      <c r="AG51" s="1109"/>
      <c r="AJ51" s="1031">
        <f>AVERAGE(AJ47:AJ50)</f>
        <v>0.391569</v>
      </c>
      <c r="AL51" s="980"/>
      <c r="AN51" s="564"/>
      <c r="AQ51" s="705">
        <f>U51</f>
        <v>548.91800000000001</v>
      </c>
      <c r="AS51" s="1112">
        <f>SUM(AS47:AS50)</f>
        <v>310.76515250185793</v>
      </c>
      <c r="AW51" s="1107"/>
      <c r="AX51" s="56"/>
      <c r="AY51" s="1108"/>
      <c r="AZ51" s="1108"/>
    </row>
    <row r="52" spans="1:52" hidden="1" outlineLevel="1">
      <c r="B52" s="216"/>
      <c r="E52" s="217"/>
      <c r="G52" s="217"/>
      <c r="I52" s="217"/>
      <c r="J52" s="691"/>
      <c r="K52" s="691"/>
      <c r="L52" s="691"/>
      <c r="Q52" s="217"/>
      <c r="S52" s="216"/>
      <c r="AF52" s="217"/>
      <c r="AG52" s="1109"/>
      <c r="AM52" s="217"/>
      <c r="AO52" s="216"/>
      <c r="AV52" s="217"/>
      <c r="AX52" s="1111"/>
    </row>
    <row r="53" spans="1:52" hidden="1" outlineLevel="1" collapsed="1">
      <c r="A53" s="1089"/>
      <c r="B53" s="1021">
        <f>B46+1</f>
        <v>2001</v>
      </c>
      <c r="E53" s="217"/>
      <c r="G53" s="217"/>
      <c r="I53" s="217"/>
      <c r="J53" s="691"/>
      <c r="K53" s="691"/>
      <c r="L53" s="691"/>
      <c r="Q53" s="217"/>
      <c r="S53" s="216"/>
      <c r="AF53" s="217"/>
      <c r="AG53" s="1114"/>
      <c r="AM53" s="217"/>
      <c r="AO53" s="216"/>
      <c r="AV53" s="217"/>
      <c r="AX53" s="56"/>
      <c r="AY53" s="56"/>
    </row>
    <row r="54" spans="1:52" hidden="1" outlineLevel="1">
      <c r="A54" s="3" t="str">
        <f t="shared" ref="A54:B57" si="0">A47</f>
        <v>1Q</v>
      </c>
      <c r="B54" s="216" t="str">
        <f t="shared" si="0"/>
        <v>Sept</v>
      </c>
      <c r="D54" s="980">
        <f>(U54/U47-1)*100</f>
        <v>11.406228819303244</v>
      </c>
      <c r="E54" s="217" t="s">
        <v>428</v>
      </c>
      <c r="F54" s="144">
        <f>+'qtrP&amp;L'!AD10</f>
        <v>5.5</v>
      </c>
      <c r="G54" s="217" t="s">
        <v>428</v>
      </c>
      <c r="H54" s="980">
        <f>D54-F54</f>
        <v>5.9062288193032444</v>
      </c>
      <c r="I54" s="217" t="s">
        <v>428</v>
      </c>
      <c r="J54" s="184"/>
      <c r="K54" s="184"/>
      <c r="L54" s="184"/>
      <c r="M54" s="691"/>
      <c r="N54" s="564">
        <f>AVERAGE(L54,L50)</f>
        <v>169</v>
      </c>
      <c r="P54" s="980" t="s">
        <v>606</v>
      </c>
      <c r="Q54" s="217" t="s">
        <v>428</v>
      </c>
      <c r="R54" s="980" t="s">
        <v>606</v>
      </c>
      <c r="S54" s="216" t="s">
        <v>428</v>
      </c>
      <c r="U54" s="705">
        <f>+'qtrP&amp;L'!AB10-CoachNAqtrSalesOld!AY54</f>
        <v>131.495</v>
      </c>
      <c r="V54" s="705"/>
      <c r="W54" s="3" t="s">
        <v>165</v>
      </c>
      <c r="X54" s="1091">
        <f>U54/N54</f>
        <v>0.77807692307692311</v>
      </c>
      <c r="Z54" s="1092"/>
      <c r="AA54" s="1092"/>
      <c r="AB54" s="1093"/>
      <c r="AC54" s="1093"/>
      <c r="AD54" s="1093"/>
      <c r="AE54" s="1093"/>
      <c r="AF54" s="217" t="s">
        <v>428</v>
      </c>
      <c r="AG54" s="1116"/>
      <c r="AH54" s="691"/>
      <c r="AI54" s="691"/>
      <c r="AJ54" s="1114"/>
      <c r="AL54" s="980"/>
      <c r="AM54" s="217" t="s">
        <v>428</v>
      </c>
      <c r="AN54" s="564"/>
      <c r="AO54" s="216" t="s">
        <v>428</v>
      </c>
      <c r="AQ54" s="705">
        <f>U54</f>
        <v>131.495</v>
      </c>
      <c r="AS54" s="1112"/>
      <c r="AU54" s="1092"/>
      <c r="AV54" s="217" t="s">
        <v>428</v>
      </c>
      <c r="AW54" s="534"/>
      <c r="AX54" s="1117"/>
      <c r="AY54" s="1117"/>
    </row>
    <row r="55" spans="1:52" hidden="1" outlineLevel="1">
      <c r="A55" s="3" t="str">
        <f t="shared" si="0"/>
        <v>2Q</v>
      </c>
      <c r="B55" s="216" t="str">
        <f t="shared" si="0"/>
        <v>Dec</v>
      </c>
      <c r="D55" s="980">
        <f>(U55/U48-1)*100</f>
        <v>8.7055963075908682</v>
      </c>
      <c r="F55" s="1090">
        <f>+'qtrP&amp;L'!AD11</f>
        <v>2.6</v>
      </c>
      <c r="H55" s="980">
        <f>D55-F55</f>
        <v>6.1055963075908686</v>
      </c>
      <c r="J55" s="184">
        <f>114+65</f>
        <v>179</v>
      </c>
      <c r="K55" s="184"/>
      <c r="L55" s="184">
        <f>114+65</f>
        <v>179</v>
      </c>
      <c r="M55" s="691"/>
      <c r="N55" s="564">
        <f>AVERAGE(L55,L54)</f>
        <v>179</v>
      </c>
      <c r="P55" s="980" t="s">
        <v>606</v>
      </c>
      <c r="R55" s="980" t="s">
        <v>606</v>
      </c>
      <c r="U55" s="165">
        <f>+'qtrP&amp;L'!AB11-CoachNAqtrSalesOld!AY55</f>
        <v>211.02799999999999</v>
      </c>
      <c r="V55" s="165"/>
      <c r="W55" s="3" t="s">
        <v>165</v>
      </c>
      <c r="X55" s="1091">
        <f>U55/N55</f>
        <v>1.1789273743016759</v>
      </c>
      <c r="Z55" s="1092"/>
      <c r="AA55" s="1092"/>
      <c r="AB55" s="1093"/>
      <c r="AC55" s="1093"/>
      <c r="AD55" s="1093"/>
      <c r="AE55" s="1093"/>
      <c r="AG55" s="1116"/>
      <c r="AH55" s="691"/>
      <c r="AI55" s="691"/>
      <c r="AJ55" s="1114"/>
      <c r="AL55" s="980"/>
      <c r="AN55" s="564"/>
      <c r="AO55" s="216"/>
      <c r="AQ55" s="165">
        <f>U55</f>
        <v>211.02799999999999</v>
      </c>
      <c r="AS55" s="1072"/>
      <c r="AU55" s="1092"/>
      <c r="AW55" s="534"/>
      <c r="AX55" s="1117"/>
      <c r="AY55" s="1118"/>
    </row>
    <row r="56" spans="1:52" hidden="1" outlineLevel="1">
      <c r="A56" s="3" t="str">
        <f t="shared" si="0"/>
        <v>3Q</v>
      </c>
      <c r="B56" s="216" t="str">
        <f t="shared" si="0"/>
        <v>Mar</v>
      </c>
      <c r="D56" s="980">
        <f>(U56/U49-1)*100</f>
        <v>9.2481229143492669</v>
      </c>
      <c r="F56" s="1090">
        <f>+'qtrP&amp;L'!AD12</f>
        <v>3.7</v>
      </c>
      <c r="H56" s="980">
        <f>D56-F56</f>
        <v>5.5481229143492667</v>
      </c>
      <c r="J56" s="184">
        <f>114+66</f>
        <v>180</v>
      </c>
      <c r="K56" s="184"/>
      <c r="L56" s="184">
        <f>114+66</f>
        <v>180</v>
      </c>
      <c r="M56" s="691"/>
      <c r="N56" s="564">
        <f>AVERAGE(L56,L55)</f>
        <v>179.5</v>
      </c>
      <c r="P56" s="980" t="s">
        <v>606</v>
      </c>
      <c r="R56" s="980" t="s">
        <v>606</v>
      </c>
      <c r="U56" s="165">
        <f>+'qtrP&amp;L'!AB12-CoachNAqtrSalesOld!AY56</f>
        <v>125.714</v>
      </c>
      <c r="V56" s="165"/>
      <c r="W56" s="3" t="s">
        <v>165</v>
      </c>
      <c r="X56" s="1091">
        <f>U56/N56</f>
        <v>0.70035654596100283</v>
      </c>
      <c r="Z56" s="1092"/>
      <c r="AA56" s="1092"/>
      <c r="AB56" s="1093"/>
      <c r="AC56" s="1093"/>
      <c r="AD56" s="1093"/>
      <c r="AE56" s="1093"/>
      <c r="AG56" s="1116"/>
      <c r="AH56" s="691"/>
      <c r="AI56" s="691"/>
      <c r="AJ56" s="1114"/>
      <c r="AL56" s="980"/>
      <c r="AN56" s="564"/>
      <c r="AQ56" s="165">
        <f>U56</f>
        <v>125.714</v>
      </c>
      <c r="AS56" s="1072"/>
      <c r="AU56" s="1092"/>
      <c r="AW56" s="534"/>
      <c r="AX56" s="1117"/>
      <c r="AY56" s="1117"/>
    </row>
    <row r="57" spans="1:52" hidden="1" outlineLevel="1">
      <c r="A57" s="3" t="str">
        <f t="shared" si="0"/>
        <v>4Q</v>
      </c>
      <c r="B57" s="216" t="str">
        <f t="shared" si="0"/>
        <v>June</v>
      </c>
      <c r="D57" s="1033">
        <f>(U57/U50-1)*100</f>
        <v>8.6846473711026597</v>
      </c>
      <c r="F57" s="1120">
        <f>+'qtrP&amp;L'!AD13</f>
        <v>1.6</v>
      </c>
      <c r="H57" s="1033">
        <f>D57-F57</f>
        <v>7.0846473711026601</v>
      </c>
      <c r="J57" s="184">
        <f>121+68</f>
        <v>189</v>
      </c>
      <c r="K57" s="184"/>
      <c r="L57" s="184">
        <f>121+68</f>
        <v>189</v>
      </c>
      <c r="M57" s="691"/>
      <c r="N57" s="1099">
        <f>AVERAGE(L57,L56)</f>
        <v>184.5</v>
      </c>
      <c r="P57" s="980" t="s">
        <v>606</v>
      </c>
      <c r="R57" s="980" t="s">
        <v>606</v>
      </c>
      <c r="U57" s="1101">
        <f>+'qtrP&amp;L'!AB13-CoachNAqtrSalesOld!AY57</f>
        <v>132.25399999999999</v>
      </c>
      <c r="V57" s="1130"/>
      <c r="W57" s="3" t="s">
        <v>165</v>
      </c>
      <c r="X57" s="1385">
        <f>U57/N57</f>
        <v>0.71682384823848233</v>
      </c>
      <c r="Z57" s="1103"/>
      <c r="AA57" s="1092"/>
      <c r="AB57" s="1093"/>
      <c r="AC57" s="1093"/>
      <c r="AD57" s="1093"/>
      <c r="AE57" s="1093"/>
      <c r="AG57" s="1116">
        <f>0.251136+0.198924</f>
        <v>0.45006000000000002</v>
      </c>
      <c r="AH57" s="691"/>
      <c r="AI57" s="691"/>
      <c r="AJ57" s="1121">
        <f>AVERAGE(AG57,AG56)</f>
        <v>0.45006000000000002</v>
      </c>
      <c r="AL57" s="1033">
        <f>(AJ57/AJ50-1)*100</f>
        <v>14.937597205090292</v>
      </c>
      <c r="AN57" s="1099">
        <f>H57/AL57*100</f>
        <v>47.428293010126296</v>
      </c>
      <c r="AQ57" s="1101">
        <f>U57</f>
        <v>132.25399999999999</v>
      </c>
      <c r="AS57" s="1113">
        <f>AQ57/AJ57</f>
        <v>293.8585966315602</v>
      </c>
      <c r="AU57" s="1103">
        <f>(AS57/AS50-1)*100</f>
        <v>-5.4402997679080638</v>
      </c>
      <c r="AW57" s="534"/>
      <c r="AX57" s="1117"/>
      <c r="AY57" s="1117"/>
    </row>
    <row r="58" spans="1:52" hidden="1" outlineLevel="1">
      <c r="B58" s="216" t="str">
        <f>B51</f>
        <v>Year</v>
      </c>
      <c r="D58" s="980">
        <f>(U58/U51-1)*100</f>
        <v>9.3953923901201932</v>
      </c>
      <c r="F58" s="1090">
        <f>+'qtrP&amp;L'!AD14</f>
        <v>3.2</v>
      </c>
      <c r="H58" s="980">
        <f>D58-F58</f>
        <v>6.195392390120193</v>
      </c>
      <c r="J58" s="691"/>
      <c r="K58" s="691"/>
      <c r="L58" s="691"/>
      <c r="N58" s="564">
        <f>AVERAGE(N54:N57)</f>
        <v>178</v>
      </c>
      <c r="P58" s="980" t="s">
        <v>606</v>
      </c>
      <c r="R58" s="980" t="s">
        <v>606</v>
      </c>
      <c r="U58" s="705">
        <f>SUM(U54:U57)</f>
        <v>600.49099999999999</v>
      </c>
      <c r="V58" s="705"/>
      <c r="X58" s="1091">
        <f>U58/N58</f>
        <v>3.3735449438202245</v>
      </c>
      <c r="Z58" s="1092"/>
      <c r="AA58" s="1092"/>
      <c r="AB58" s="1093"/>
      <c r="AC58" s="1093"/>
      <c r="AD58" s="1093"/>
      <c r="AE58" s="1093"/>
      <c r="AG58" s="1122"/>
      <c r="AJ58" s="1114">
        <f>AVERAGE(AJ54:AJ57)</f>
        <v>0.45006000000000002</v>
      </c>
      <c r="AL58" s="980">
        <f>(AJ58/AJ51-1)*100</f>
        <v>14.937597205090292</v>
      </c>
      <c r="AN58" s="564">
        <f>H58/AL58*100</f>
        <v>41.475160329058724</v>
      </c>
      <c r="AQ58" s="705">
        <f>U58</f>
        <v>600.49099999999999</v>
      </c>
      <c r="AS58" s="1112">
        <f>SUM(AS54:AS57)</f>
        <v>293.8585966315602</v>
      </c>
      <c r="AU58" s="1092">
        <f>(AS58/AS51-1)*100</f>
        <v>-5.4402997679080638</v>
      </c>
      <c r="AW58" s="1107"/>
      <c r="AX58" s="1029"/>
      <c r="AY58" s="1029"/>
    </row>
    <row r="59" spans="1:52" hidden="1" outlineLevel="1">
      <c r="B59" s="216"/>
      <c r="E59" s="217"/>
      <c r="G59" s="217"/>
      <c r="I59" s="217"/>
      <c r="J59" s="691"/>
      <c r="K59" s="691"/>
      <c r="L59" s="691"/>
      <c r="Q59" s="217"/>
      <c r="S59" s="216"/>
      <c r="AF59" s="217"/>
      <c r="AG59" s="1122"/>
      <c r="AJ59" s="1114"/>
      <c r="AM59" s="217"/>
      <c r="AO59" s="216"/>
      <c r="AV59" s="217"/>
      <c r="AX59" s="1111"/>
      <c r="AY59" s="56"/>
    </row>
    <row r="60" spans="1:52" hidden="1" outlineLevel="1">
      <c r="A60" s="1089"/>
      <c r="B60" s="1021">
        <f>B53+1</f>
        <v>2002</v>
      </c>
      <c r="E60" s="217"/>
      <c r="G60" s="217"/>
      <c r="I60" s="217"/>
      <c r="J60" s="691"/>
      <c r="K60" s="691"/>
      <c r="L60" s="691"/>
      <c r="Q60" s="217"/>
      <c r="S60" s="216"/>
      <c r="AF60" s="217"/>
      <c r="AG60" s="1122"/>
      <c r="AJ60" s="1114"/>
      <c r="AM60" s="217"/>
      <c r="AO60" s="216"/>
      <c r="AV60" s="217"/>
      <c r="AX60" s="56"/>
      <c r="AY60" s="56"/>
    </row>
    <row r="61" spans="1:52" hidden="1" outlineLevel="1">
      <c r="A61" s="3" t="str">
        <f t="shared" ref="A61:B64" si="1">A54</f>
        <v>1Q</v>
      </c>
      <c r="B61" s="216" t="str">
        <f t="shared" si="1"/>
        <v>Sept</v>
      </c>
      <c r="D61" s="980">
        <f>(U61/U54-1)*100</f>
        <v>14.606639035704783</v>
      </c>
      <c r="E61" s="217" t="s">
        <v>428</v>
      </c>
      <c r="F61" s="1090">
        <f>'qtrP&amp;L'!AH10</f>
        <v>-1.9</v>
      </c>
      <c r="G61" s="217" t="s">
        <v>428</v>
      </c>
      <c r="H61" s="980">
        <f>D61-F61</f>
        <v>16.506639035704783</v>
      </c>
      <c r="I61" s="217" t="s">
        <v>428</v>
      </c>
      <c r="J61" s="184">
        <f>123+71</f>
        <v>194</v>
      </c>
      <c r="K61" s="184"/>
      <c r="L61" s="184">
        <f>123+71</f>
        <v>194</v>
      </c>
      <c r="M61" s="691"/>
      <c r="N61" s="564">
        <f>AVERAGE(L61,L57)</f>
        <v>191.5</v>
      </c>
      <c r="P61" s="980">
        <f>(N61/N54-1)*100</f>
        <v>13.313609467455612</v>
      </c>
      <c r="Q61" s="217" t="s">
        <v>428</v>
      </c>
      <c r="R61" s="564">
        <f>H61/P61*100</f>
        <v>123.98319986818269</v>
      </c>
      <c r="S61" s="216" t="s">
        <v>428</v>
      </c>
      <c r="U61" s="705">
        <f>'qtrP&amp;L'!AF10-AY61</f>
        <v>150.702</v>
      </c>
      <c r="V61" s="705"/>
      <c r="W61" s="3" t="s">
        <v>165</v>
      </c>
      <c r="X61" s="1091">
        <f>U61/N61</f>
        <v>0.78695561357702348</v>
      </c>
      <c r="Z61" s="1092">
        <f>(X61/X54-1)*100</f>
        <v>1.1411070341206697</v>
      </c>
      <c r="AA61" s="1092"/>
      <c r="AB61" s="1093"/>
      <c r="AC61" s="1093"/>
      <c r="AD61" s="1093"/>
      <c r="AE61" s="1093"/>
      <c r="AF61" s="217" t="s">
        <v>428</v>
      </c>
      <c r="AG61" s="1116"/>
      <c r="AH61" s="691"/>
      <c r="AI61" s="691"/>
      <c r="AJ61" s="1114">
        <f>AVERAGE(AG61,AG57)</f>
        <v>0.45006000000000002</v>
      </c>
      <c r="AO61" s="216" t="s">
        <v>428</v>
      </c>
      <c r="AQ61" s="705">
        <f>U61</f>
        <v>150.702</v>
      </c>
      <c r="AS61" s="1112">
        <f>AQ61/AJ61</f>
        <v>334.84868684175444</v>
      </c>
      <c r="AV61" s="217" t="s">
        <v>428</v>
      </c>
      <c r="AW61" s="534"/>
      <c r="AX61" s="1123"/>
      <c r="AY61" s="1117"/>
    </row>
    <row r="62" spans="1:52" hidden="1" outlineLevel="1">
      <c r="A62" s="3" t="str">
        <f t="shared" si="1"/>
        <v>2Q</v>
      </c>
      <c r="B62" s="216" t="str">
        <f t="shared" si="1"/>
        <v>Dec</v>
      </c>
      <c r="D62" s="980">
        <f>(U62/U55-1)*100</f>
        <v>11.71503307617947</v>
      </c>
      <c r="F62" s="1090">
        <f>'qtrP&amp;L'!AH11</f>
        <v>0.6</v>
      </c>
      <c r="H62" s="980">
        <f>D62-F62</f>
        <v>11.11503307617947</v>
      </c>
      <c r="J62" s="184">
        <f>132+72</f>
        <v>204</v>
      </c>
      <c r="K62" s="184"/>
      <c r="L62" s="184">
        <f>132+72</f>
        <v>204</v>
      </c>
      <c r="M62" s="691"/>
      <c r="N62" s="564">
        <f>AVERAGE(L62,L61)</f>
        <v>199</v>
      </c>
      <c r="P62" s="980">
        <f>(N62/N55-1)*100</f>
        <v>11.17318435754191</v>
      </c>
      <c r="R62" s="564">
        <f>H62/P62*100</f>
        <v>99.479546031806166</v>
      </c>
      <c r="U62" s="165">
        <f>'qtrP&amp;L'!AF11-AY62</f>
        <v>235.75</v>
      </c>
      <c r="V62" s="165"/>
      <c r="W62" s="3" t="s">
        <v>165</v>
      </c>
      <c r="X62" s="1091">
        <f>U62/N62</f>
        <v>1.1846733668341709</v>
      </c>
      <c r="Z62" s="1092">
        <f>(X62/X55-1)*100</f>
        <v>0.48739156098556169</v>
      </c>
      <c r="AA62" s="1092"/>
      <c r="AB62" s="1093"/>
      <c r="AC62" s="1093"/>
      <c r="AD62" s="1093"/>
      <c r="AE62" s="1093"/>
      <c r="AG62" s="1116"/>
      <c r="AH62" s="691"/>
      <c r="AI62" s="691"/>
      <c r="AJ62" s="980" t="s">
        <v>606</v>
      </c>
      <c r="AO62" s="216"/>
      <c r="AQ62" s="165">
        <f>U62</f>
        <v>235.75</v>
      </c>
      <c r="AW62" s="534"/>
      <c r="AX62" s="1123"/>
      <c r="AY62" s="1117"/>
    </row>
    <row r="63" spans="1:52" hidden="1" outlineLevel="1">
      <c r="A63" s="3" t="str">
        <f t="shared" si="1"/>
        <v>3Q</v>
      </c>
      <c r="B63" s="216" t="str">
        <f t="shared" si="1"/>
        <v>Mar</v>
      </c>
      <c r="D63" s="980">
        <f>(U63/U56-1)*100</f>
        <v>28.522678460632854</v>
      </c>
      <c r="F63" s="1090">
        <f>'qtrP&amp;L'!AH12</f>
        <v>9.6</v>
      </c>
      <c r="H63" s="980">
        <f>D63-F63</f>
        <v>18.922678460632852</v>
      </c>
      <c r="J63" s="184">
        <f>132+73</f>
        <v>205</v>
      </c>
      <c r="K63" s="184"/>
      <c r="L63" s="184">
        <f>132+73</f>
        <v>205</v>
      </c>
      <c r="M63" s="691"/>
      <c r="N63" s="564">
        <f>AVERAGE(L63,L62)</f>
        <v>204.5</v>
      </c>
      <c r="P63" s="980">
        <f>(N63/N56-1)*100</f>
        <v>13.927576601671298</v>
      </c>
      <c r="R63" s="564">
        <f>H63/P63*100</f>
        <v>135.86483134734399</v>
      </c>
      <c r="U63" s="165">
        <f>'qtrP&amp;L'!AF12-AY63</f>
        <v>161.571</v>
      </c>
      <c r="V63" s="165"/>
      <c r="W63" s="3" t="s">
        <v>165</v>
      </c>
      <c r="X63" s="1091">
        <f>U63/N63</f>
        <v>0.79007823960880197</v>
      </c>
      <c r="Z63" s="1092">
        <f>(X63/X56-1)*100</f>
        <v>12.810859577914901</v>
      </c>
      <c r="AA63" s="1092"/>
      <c r="AB63" s="1093"/>
      <c r="AC63" s="1093"/>
      <c r="AD63" s="1093"/>
      <c r="AE63" s="1093"/>
      <c r="AG63" s="1116"/>
      <c r="AH63" s="691"/>
      <c r="AI63" s="691"/>
      <c r="AJ63" s="980" t="s">
        <v>606</v>
      </c>
      <c r="AQ63" s="165">
        <f>U63</f>
        <v>161.571</v>
      </c>
      <c r="AW63" s="534"/>
      <c r="AX63" s="1123"/>
      <c r="AY63" s="1117"/>
    </row>
    <row r="64" spans="1:52" hidden="1" outlineLevel="1">
      <c r="A64" s="3" t="str">
        <f t="shared" si="1"/>
        <v>4Q</v>
      </c>
      <c r="B64" s="216" t="str">
        <f t="shared" si="1"/>
        <v>June</v>
      </c>
      <c r="D64" s="1103">
        <f>(U64/U57-1)*100</f>
        <v>29.583982337018178</v>
      </c>
      <c r="F64" s="1124">
        <f>'qtrP&amp;L'!AH13</f>
        <v>9.5</v>
      </c>
      <c r="H64" s="1033">
        <f>D64-F64</f>
        <v>20.083982337018178</v>
      </c>
      <c r="J64" s="184">
        <f>138+74</f>
        <v>212</v>
      </c>
      <c r="K64" s="184"/>
      <c r="L64" s="184">
        <f>138+74</f>
        <v>212</v>
      </c>
      <c r="M64" s="691"/>
      <c r="N64" s="1099">
        <f>AVERAGE(L64,L63)</f>
        <v>208.5</v>
      </c>
      <c r="P64" s="1033">
        <f>(N64/N57-1)*100</f>
        <v>13.008130081300816</v>
      </c>
      <c r="R64" s="1099">
        <f>H64/P64*100</f>
        <v>154.39561421582718</v>
      </c>
      <c r="U64" s="1101">
        <f>'qtrP&amp;L'!AF13-AY64</f>
        <v>171.38</v>
      </c>
      <c r="V64" s="1130"/>
      <c r="W64" s="3" t="s">
        <v>165</v>
      </c>
      <c r="X64" s="1385">
        <f>U64/N64</f>
        <v>0.82196642685851318</v>
      </c>
      <c r="Z64" s="1103">
        <f>(X64/X57-1)*100</f>
        <v>14.667840485275075</v>
      </c>
      <c r="AA64" s="1092"/>
      <c r="AB64" s="1093"/>
      <c r="AC64" s="1093"/>
      <c r="AD64" s="1093"/>
      <c r="AE64" s="1093"/>
      <c r="AG64" s="1116">
        <f>0.301501+0.219507</f>
        <v>0.52100800000000003</v>
      </c>
      <c r="AH64" s="691"/>
      <c r="AI64" s="691"/>
      <c r="AJ64" s="1121">
        <f>AVERAGE(AG64,AG63)</f>
        <v>0.52100800000000003</v>
      </c>
      <c r="AL64" s="1033">
        <f>(AJ64/AJ57-1)*100</f>
        <v>15.76412033951029</v>
      </c>
      <c r="AN64" s="1099">
        <f>H64/AL64*100</f>
        <v>127.40312751026666</v>
      </c>
      <c r="AQ64" s="1101">
        <f>U64</f>
        <v>171.38</v>
      </c>
      <c r="AS64" s="1113">
        <f>AQ64/AJ64</f>
        <v>328.93928692073825</v>
      </c>
      <c r="AU64" s="1103">
        <f>(AS64/AS57-1)*100</f>
        <v>11.937949303270589</v>
      </c>
      <c r="AW64" s="534"/>
      <c r="AX64" s="1123"/>
      <c r="AY64" s="1117"/>
    </row>
    <row r="65" spans="1:52" hidden="1" outlineLevel="1">
      <c r="B65" s="216" t="str">
        <f>B58</f>
        <v>Year</v>
      </c>
      <c r="D65" s="980">
        <f>(U65/U58-1)*100</f>
        <v>19.802461652214621</v>
      </c>
      <c r="F65" s="1090">
        <f>'qtrP&amp;L'!AH14</f>
        <v>3.9</v>
      </c>
      <c r="H65" s="980">
        <f>D65-F65</f>
        <v>15.902461652214621</v>
      </c>
      <c r="J65" s="691"/>
      <c r="K65" s="691"/>
      <c r="L65" s="691"/>
      <c r="N65" s="564">
        <f>AVERAGE(N61:N64)</f>
        <v>200.875</v>
      </c>
      <c r="P65" s="980">
        <f>(N65/N58-1)*100</f>
        <v>12.851123595505619</v>
      </c>
      <c r="R65" s="564">
        <f>H65/P65*100</f>
        <v>123.74374531559353</v>
      </c>
      <c r="U65" s="705">
        <f>SUM(U61:U64)</f>
        <v>719.40300000000002</v>
      </c>
      <c r="V65" s="705"/>
      <c r="X65" s="1091">
        <f>U65/N65</f>
        <v>3.5813466085874301</v>
      </c>
      <c r="Z65" s="1092">
        <f>(X65/X58-1)*100</f>
        <v>6.1597419992243996</v>
      </c>
      <c r="AA65" s="1092"/>
      <c r="AB65" s="1093"/>
      <c r="AC65" s="1093"/>
      <c r="AD65" s="1093"/>
      <c r="AE65" s="1093"/>
      <c r="AG65" s="1122"/>
      <c r="AJ65" s="1114">
        <f>AVERAGE(AJ61:AJ64)</f>
        <v>0.48553400000000002</v>
      </c>
      <c r="AL65" s="980">
        <f>(AJ65/AJ58-1)*100</f>
        <v>7.8820601697551451</v>
      </c>
      <c r="AN65" s="564">
        <f>H65/AL65*100</f>
        <v>201.75514154580006</v>
      </c>
      <c r="AQ65" s="705">
        <f>U65</f>
        <v>719.40300000000002</v>
      </c>
      <c r="AS65" s="1112">
        <f>SUM(AS61:AS64)</f>
        <v>663.7879737624927</v>
      </c>
      <c r="AU65" s="1092">
        <f>(AS65/AS58-1)*100</f>
        <v>125.88686578216728</v>
      </c>
      <c r="AW65" s="1107"/>
      <c r="AX65" s="1029"/>
      <c r="AY65" s="1029"/>
    </row>
    <row r="66" spans="1:52" hidden="1" outlineLevel="1">
      <c r="B66" s="216"/>
      <c r="E66" s="217"/>
      <c r="G66" s="217"/>
      <c r="I66" s="217"/>
      <c r="J66" s="691"/>
      <c r="K66" s="691"/>
      <c r="L66" s="691"/>
      <c r="Q66" s="217"/>
      <c r="S66" s="216"/>
      <c r="AF66" s="217"/>
      <c r="AG66" s="1122"/>
      <c r="AJ66" s="1114"/>
      <c r="AM66" s="217"/>
      <c r="AO66" s="216"/>
      <c r="AV66" s="217"/>
      <c r="AX66" s="1111"/>
      <c r="AY66" s="56"/>
    </row>
    <row r="67" spans="1:52" hidden="1" outlineLevel="1">
      <c r="A67" s="1089"/>
      <c r="B67" s="1021">
        <f>B60+1</f>
        <v>2003</v>
      </c>
      <c r="E67" s="217"/>
      <c r="G67" s="217"/>
      <c r="I67" s="217"/>
      <c r="J67" s="691"/>
      <c r="K67" s="691"/>
      <c r="L67" s="691"/>
      <c r="Q67" s="217"/>
      <c r="S67" s="216"/>
      <c r="AF67" s="217"/>
      <c r="AG67" s="1122"/>
      <c r="AJ67" s="1114"/>
      <c r="AM67" s="217"/>
      <c r="AO67" s="216"/>
      <c r="AV67" s="217"/>
      <c r="AX67" s="56"/>
      <c r="AY67" s="56"/>
    </row>
    <row r="68" spans="1:52" hidden="1" outlineLevel="1">
      <c r="A68" s="3" t="str">
        <f t="shared" ref="A68:B71" si="2">A61</f>
        <v>1Q</v>
      </c>
      <c r="B68" s="216" t="str">
        <f t="shared" si="2"/>
        <v>Sept</v>
      </c>
      <c r="D68" s="1092">
        <f>(U68/U61-1)*100</f>
        <v>27.928627357301174</v>
      </c>
      <c r="E68" s="217" t="s">
        <v>428</v>
      </c>
      <c r="F68" s="90">
        <f>+'qtrP&amp;L'!AL10</f>
        <v>13.2</v>
      </c>
      <c r="G68" s="217" t="s">
        <v>428</v>
      </c>
      <c r="H68" s="980">
        <f>D68-F68</f>
        <v>14.728627357301175</v>
      </c>
      <c r="I68" s="217" t="s">
        <v>428</v>
      </c>
      <c r="J68" s="184">
        <f>144+76</f>
        <v>220</v>
      </c>
      <c r="K68" s="184"/>
      <c r="L68" s="184">
        <f>144+76</f>
        <v>220</v>
      </c>
      <c r="M68" s="691"/>
      <c r="N68" s="564">
        <f>AVERAGE(L68,L64)</f>
        <v>216</v>
      </c>
      <c r="P68" s="980">
        <f>(N68/N61-1)*100</f>
        <v>12.79373368146215</v>
      </c>
      <c r="Q68" s="217" t="s">
        <v>428</v>
      </c>
      <c r="R68" s="564">
        <f>H68/P68*100</f>
        <v>115.12376077237441</v>
      </c>
      <c r="S68" s="216" t="s">
        <v>428</v>
      </c>
      <c r="U68" s="705">
        <f>+'qtrP&amp;L'!AJ10-CoachNAqtrSalesOld!AY68</f>
        <v>192.791</v>
      </c>
      <c r="V68" s="705"/>
      <c r="W68" s="3" t="s">
        <v>165</v>
      </c>
      <c r="X68" s="1091">
        <f>U68/N68</f>
        <v>0.89255092592592589</v>
      </c>
      <c r="Z68" s="1092">
        <f>(X68/X61-1)*100</f>
        <v>13.418204346866535</v>
      </c>
      <c r="AA68" s="1092"/>
      <c r="AB68" s="1093"/>
      <c r="AC68" s="1093"/>
      <c r="AD68" s="1093"/>
      <c r="AE68" s="1093"/>
      <c r="AF68" s="217" t="s">
        <v>428</v>
      </c>
      <c r="AG68" s="1122"/>
      <c r="AH68" s="691"/>
      <c r="AI68" s="691"/>
      <c r="AJ68" s="1114">
        <f>AVERAGE(AG68,AG64)</f>
        <v>0.52100800000000003</v>
      </c>
      <c r="AL68" s="980">
        <f>(AJ68/AJ61-1)*100</f>
        <v>15.76412033951029</v>
      </c>
      <c r="AM68" s="217" t="s">
        <v>428</v>
      </c>
      <c r="AN68" s="564">
        <f>H68/AL68*100</f>
        <v>93.431330388833587</v>
      </c>
      <c r="AO68" s="216" t="s">
        <v>428</v>
      </c>
      <c r="AQ68" s="705">
        <f>U68</f>
        <v>192.791</v>
      </c>
      <c r="AS68" s="1112">
        <f>AQ68/AJ68</f>
        <v>370.03462518809687</v>
      </c>
      <c r="AU68" s="1092">
        <f>(AS68/AS61-1)*100</f>
        <v>10.5080114478606</v>
      </c>
      <c r="AV68" s="217" t="s">
        <v>428</v>
      </c>
      <c r="AW68" s="534"/>
      <c r="AX68" s="1123"/>
      <c r="AY68" s="1117"/>
    </row>
    <row r="69" spans="1:52" hidden="1" outlineLevel="1">
      <c r="A69" s="3" t="str">
        <f t="shared" si="2"/>
        <v>2Q</v>
      </c>
      <c r="B69" s="216" t="str">
        <f t="shared" si="2"/>
        <v>Dec</v>
      </c>
      <c r="D69" s="1092">
        <f>(U69/U62-1)*100</f>
        <v>30.868716861081658</v>
      </c>
      <c r="F69" s="90">
        <f>+'qtrP&amp;L'!AL11</f>
        <v>12.7</v>
      </c>
      <c r="H69" s="980">
        <f>D69-F69</f>
        <v>18.168716861081659</v>
      </c>
      <c r="J69" s="184">
        <f>150+76</f>
        <v>226</v>
      </c>
      <c r="K69" s="184"/>
      <c r="L69" s="184">
        <f>150+76</f>
        <v>226</v>
      </c>
      <c r="M69" s="691"/>
      <c r="N69" s="564">
        <f>AVERAGE(L69,L68)</f>
        <v>223</v>
      </c>
      <c r="P69" s="980">
        <f>(N69/N62-1)*100</f>
        <v>12.060301507537696</v>
      </c>
      <c r="R69" s="564">
        <f>H69/P69*100</f>
        <v>150.64894397313532</v>
      </c>
      <c r="U69" s="165">
        <f>+'qtrP&amp;L'!AJ11-CoachNAqtrSalesOld!AY69</f>
        <v>308.52300000000002</v>
      </c>
      <c r="V69" s="165"/>
      <c r="W69" s="3" t="s">
        <v>165</v>
      </c>
      <c r="X69" s="1091">
        <f>U69/N69</f>
        <v>1.383511210762332</v>
      </c>
      <c r="Z69" s="1092">
        <f>(X69/X62-1)*100</f>
        <v>16.784191279619964</v>
      </c>
      <c r="AA69" s="1092"/>
      <c r="AB69" s="1093"/>
      <c r="AC69" s="1093"/>
      <c r="AD69" s="1093"/>
      <c r="AE69" s="1093"/>
      <c r="AG69" s="1125"/>
      <c r="AH69" s="691"/>
      <c r="AI69" s="691"/>
      <c r="AJ69" s="980" t="s">
        <v>606</v>
      </c>
      <c r="AO69" s="216"/>
      <c r="AQ69" s="165">
        <f>U69</f>
        <v>308.52300000000002</v>
      </c>
      <c r="AW69" s="534"/>
      <c r="AX69" s="1123"/>
      <c r="AY69" s="1117"/>
    </row>
    <row r="70" spans="1:52" hidden="1" outlineLevel="1">
      <c r="A70" s="3" t="str">
        <f t="shared" si="2"/>
        <v>3Q</v>
      </c>
      <c r="B70" s="216" t="str">
        <f t="shared" si="2"/>
        <v>Mar</v>
      </c>
      <c r="D70" s="1092">
        <f>(U70/U63-1)*100</f>
        <v>36.408142550333913</v>
      </c>
      <c r="F70" s="90">
        <f>+'qtrP&amp;L'!AL12</f>
        <v>14.1</v>
      </c>
      <c r="H70" s="980">
        <f>D70-F70</f>
        <v>22.308142550333912</v>
      </c>
      <c r="J70" s="184">
        <f>150+75</f>
        <v>225</v>
      </c>
      <c r="K70" s="184"/>
      <c r="L70" s="184">
        <f>150+75</f>
        <v>225</v>
      </c>
      <c r="M70" s="691"/>
      <c r="N70" s="564">
        <f>AVERAGE(L70,L69)</f>
        <v>225.5</v>
      </c>
      <c r="P70" s="980">
        <f>(N70/N63-1)*100</f>
        <v>10.268948655256715</v>
      </c>
      <c r="R70" s="564">
        <f>H70/P70*100</f>
        <v>217.23881674015661</v>
      </c>
      <c r="U70" s="165">
        <f>+'qtrP&amp;L'!AJ12-CoachNAqtrSalesOld!AY70</f>
        <v>220.39599999999999</v>
      </c>
      <c r="V70" s="165"/>
      <c r="W70" s="3" t="s">
        <v>165</v>
      </c>
      <c r="X70" s="1091">
        <f>U70/N70</f>
        <v>0.97736585365853657</v>
      </c>
      <c r="Z70" s="1092">
        <f>(X70/X63-1)*100</f>
        <v>23.704945239659803</v>
      </c>
      <c r="AA70" s="1092"/>
      <c r="AB70" s="1093"/>
      <c r="AC70" s="1093"/>
      <c r="AD70" s="1093"/>
      <c r="AE70" s="1093"/>
      <c r="AG70" s="1116"/>
      <c r="AH70" s="691"/>
      <c r="AI70" s="691"/>
      <c r="AJ70" s="980" t="s">
        <v>606</v>
      </c>
      <c r="AQ70" s="165">
        <f>U70</f>
        <v>220.39599999999999</v>
      </c>
      <c r="AW70" s="534"/>
      <c r="AX70" s="1123"/>
      <c r="AY70" s="1117"/>
    </row>
    <row r="71" spans="1:52" hidden="1" outlineLevel="1">
      <c r="A71" s="3" t="str">
        <f t="shared" si="2"/>
        <v>4Q</v>
      </c>
      <c r="B71" s="216" t="str">
        <f t="shared" si="2"/>
        <v>June</v>
      </c>
      <c r="D71" s="1103">
        <f>(U71/U64-1)*100</f>
        <v>35.089275294666812</v>
      </c>
      <c r="F71" s="972">
        <f>+'qtrP&amp;L'!AL13</f>
        <v>21.6</v>
      </c>
      <c r="H71" s="1033">
        <f>D71-F71</f>
        <v>13.489275294666811</v>
      </c>
      <c r="J71" s="184">
        <f>156+76</f>
        <v>232</v>
      </c>
      <c r="K71" s="184"/>
      <c r="L71" s="184">
        <f>156+76</f>
        <v>232</v>
      </c>
      <c r="M71" s="691"/>
      <c r="N71" s="1099">
        <f>AVERAGE(L71,L70)</f>
        <v>228.5</v>
      </c>
      <c r="P71" s="1033">
        <f>(N71/N64-1)*100</f>
        <v>9.5923261390887369</v>
      </c>
      <c r="R71" s="1099">
        <f>H71/P71*100</f>
        <v>140.62569494690138</v>
      </c>
      <c r="U71" s="1101">
        <f>+'qtrP&amp;L'!AJ13-CoachNAqtrSalesOld!AY71</f>
        <v>231.51599999999999</v>
      </c>
      <c r="V71" s="1130"/>
      <c r="W71" s="3" t="s">
        <v>165</v>
      </c>
      <c r="X71" s="1385">
        <f>U71/N71</f>
        <v>1.0131991247264769</v>
      </c>
      <c r="Z71" s="1103">
        <f>(X71/X64-1)*100</f>
        <v>23.265268704323972</v>
      </c>
      <c r="AA71" s="1092"/>
      <c r="AB71" s="1093"/>
      <c r="AC71" s="1093"/>
      <c r="AD71" s="1093"/>
      <c r="AE71" s="1093"/>
      <c r="AG71" s="1116">
        <f>0.36331+0.232898</f>
        <v>0.59620800000000007</v>
      </c>
      <c r="AH71" s="691"/>
      <c r="AI71" s="691"/>
      <c r="AJ71" s="1121">
        <f>AVERAGE(AG71,AG70)</f>
        <v>0.59620800000000007</v>
      </c>
      <c r="AL71" s="1033">
        <f>(AJ71/AJ64-1)*100</f>
        <v>14.433559561465481</v>
      </c>
      <c r="AN71" s="1099">
        <f>H71/AL71*100</f>
        <v>93.457717323454247</v>
      </c>
      <c r="AQ71" s="1101">
        <f>U71</f>
        <v>231.51599999999999</v>
      </c>
      <c r="AS71" s="1113">
        <f>AQ71/AJ71</f>
        <v>388.31414539892114</v>
      </c>
      <c r="AU71" s="1103">
        <f>(AS71/AS64-1)*100</f>
        <v>18.050400435290648</v>
      </c>
      <c r="AW71" s="534"/>
      <c r="AX71" s="1123"/>
      <c r="AY71" s="1117"/>
    </row>
    <row r="72" spans="1:52" hidden="1" outlineLevel="1">
      <c r="B72" s="216" t="str">
        <f>B65</f>
        <v>Year</v>
      </c>
      <c r="D72" s="1092">
        <f>(U72/U65-1)*100</f>
        <v>32.502366545594043</v>
      </c>
      <c r="F72" s="1090">
        <f>+'qtrP&amp;L'!AL14</f>
        <v>15.2</v>
      </c>
      <c r="H72" s="980">
        <f>D72-F72</f>
        <v>17.302366545594044</v>
      </c>
      <c r="J72" s="691"/>
      <c r="K72" s="691"/>
      <c r="L72" s="691"/>
      <c r="N72" s="564">
        <f>AVERAGE(N68:N71)</f>
        <v>223.25</v>
      </c>
      <c r="P72" s="980">
        <f>(N72/N65-1)*100</f>
        <v>11.138767890479162</v>
      </c>
      <c r="R72" s="564">
        <f>H72/P72*100</f>
        <v>155.3346538478749</v>
      </c>
      <c r="U72" s="705">
        <f>SUM(U68:U71)</f>
        <v>953.226</v>
      </c>
      <c r="V72" s="705"/>
      <c r="X72" s="1091">
        <f>U72/N72</f>
        <v>4.2697693169092945</v>
      </c>
      <c r="Z72" s="1092">
        <f>(X72/X65-1)*100</f>
        <v>19.222454109053544</v>
      </c>
      <c r="AA72" s="1092"/>
      <c r="AB72" s="1093"/>
      <c r="AC72" s="1093"/>
      <c r="AD72" s="1093"/>
      <c r="AE72" s="1093"/>
      <c r="AG72" s="1122"/>
      <c r="AJ72" s="980" t="s">
        <v>606</v>
      </c>
      <c r="AQ72" s="705">
        <f>U72</f>
        <v>953.226</v>
      </c>
      <c r="AS72" s="1112">
        <f>SUM(AS68:AS71)</f>
        <v>758.34877058701795</v>
      </c>
      <c r="AU72" s="1092">
        <f>(AS72/AS65-1)*100</f>
        <v>14.245632726446434</v>
      </c>
      <c r="AW72" s="1107"/>
      <c r="AX72" s="1029"/>
      <c r="AY72" s="1029"/>
    </row>
    <row r="73" spans="1:52" hidden="1" outlineLevel="1">
      <c r="B73" s="216"/>
      <c r="E73" s="217"/>
      <c r="G73" s="217"/>
      <c r="I73" s="217"/>
      <c r="J73" s="691"/>
      <c r="K73" s="691"/>
      <c r="L73" s="691"/>
      <c r="Q73" s="217"/>
      <c r="S73" s="216"/>
      <c r="AF73" s="217"/>
      <c r="AG73" s="1122"/>
      <c r="AJ73" s="1114"/>
      <c r="AM73" s="217"/>
      <c r="AO73" s="216"/>
      <c r="AV73" s="217"/>
      <c r="AX73" s="1111"/>
      <c r="AY73" s="56"/>
    </row>
    <row r="74" spans="1:52" hidden="1" outlineLevel="1">
      <c r="A74" s="1089"/>
      <c r="B74" s="1126" t="s">
        <v>621</v>
      </c>
      <c r="E74" s="217"/>
      <c r="G74" s="217"/>
      <c r="I74" s="217"/>
      <c r="J74" s="691"/>
      <c r="K74" s="691"/>
      <c r="L74" s="691"/>
      <c r="Q74" s="217"/>
      <c r="S74" s="216"/>
      <c r="AF74" s="217"/>
      <c r="AG74" s="1122"/>
      <c r="AJ74" s="1114"/>
      <c r="AM74" s="217"/>
      <c r="AO74" s="216"/>
      <c r="AV74" s="217"/>
      <c r="AX74" s="56"/>
      <c r="AY74" s="56"/>
    </row>
    <row r="75" spans="1:52" hidden="1" outlineLevel="1">
      <c r="A75" s="3" t="str">
        <f t="shared" ref="A75:B78" si="3">A68</f>
        <v>1Q</v>
      </c>
      <c r="B75" s="216" t="str">
        <f t="shared" si="3"/>
        <v>Sept</v>
      </c>
      <c r="D75" s="1092">
        <f>(U75/U68-1)*100</f>
        <v>34.018185496210918</v>
      </c>
      <c r="E75" s="217" t="s">
        <v>428</v>
      </c>
      <c r="F75" s="90">
        <f>'qtrP&amp;L'!AP10</f>
        <v>17.8</v>
      </c>
      <c r="G75" s="217" t="s">
        <v>428</v>
      </c>
      <c r="H75" s="980">
        <f>D75-F75</f>
        <v>16.218185496210918</v>
      </c>
      <c r="I75" s="217" t="s">
        <v>428</v>
      </c>
      <c r="J75" s="184">
        <f>162+77</f>
        <v>239</v>
      </c>
      <c r="K75" s="184"/>
      <c r="L75" s="184">
        <f>162+77</f>
        <v>239</v>
      </c>
      <c r="M75" s="691"/>
      <c r="N75" s="564">
        <f>AVERAGE(L75,L71)</f>
        <v>235.5</v>
      </c>
      <c r="P75" s="980">
        <f>(N75/N68-1)*100</f>
        <v>9.0277777777777679</v>
      </c>
      <c r="Q75" s="217" t="s">
        <v>428</v>
      </c>
      <c r="R75" s="564">
        <f>H75/P75*100</f>
        <v>179.64759318879806</v>
      </c>
      <c r="S75" s="216" t="s">
        <v>428</v>
      </c>
      <c r="U75" s="705">
        <f>'qtrP&amp;L'!AN10-CoachNAqtrSalesOld!AY75</f>
        <v>258.375</v>
      </c>
      <c r="V75" s="705"/>
      <c r="X75" s="1091">
        <f>U75/N75</f>
        <v>1.0971337579617835</v>
      </c>
      <c r="Z75" s="1092">
        <f>(X75/X68-1)*100</f>
        <v>22.921138289518318</v>
      </c>
      <c r="AA75" s="1092"/>
      <c r="AB75" s="1093"/>
      <c r="AC75" s="1093"/>
      <c r="AD75" s="1093"/>
      <c r="AE75" s="1093"/>
      <c r="AF75" s="217" t="s">
        <v>428</v>
      </c>
      <c r="AG75" s="1122"/>
      <c r="AH75" s="691"/>
      <c r="AI75" s="691"/>
      <c r="AJ75" s="1114">
        <f>AVERAGE(AG75,AG71)</f>
        <v>0.59620800000000007</v>
      </c>
      <c r="AL75" s="980">
        <f>(AJ75/AJ68-1)*100</f>
        <v>14.433559561465481</v>
      </c>
      <c r="AM75" s="217" t="s">
        <v>428</v>
      </c>
      <c r="AN75" s="564">
        <f>H75/AL75*100</f>
        <v>112.36442006662033</v>
      </c>
      <c r="AO75" s="216" t="s">
        <v>428</v>
      </c>
      <c r="AQ75" s="705">
        <f>U75</f>
        <v>258.375</v>
      </c>
      <c r="AS75" s="1112">
        <f>AQ75/AJ75</f>
        <v>433.36385959262532</v>
      </c>
      <c r="AU75" s="1092">
        <f>(AS75/AS68-1)*100</f>
        <v>17.114407705045643</v>
      </c>
      <c r="AV75" s="217" t="s">
        <v>428</v>
      </c>
      <c r="AW75" s="534"/>
      <c r="AX75" s="1123"/>
      <c r="AY75" s="1117"/>
    </row>
    <row r="76" spans="1:52" hidden="1" outlineLevel="1">
      <c r="A76" s="3" t="str">
        <f t="shared" si="3"/>
        <v>2Q</v>
      </c>
      <c r="B76" s="216" t="str">
        <f t="shared" si="3"/>
        <v>Dec</v>
      </c>
      <c r="D76" s="1092">
        <f>(U76/U69-1)*100</f>
        <v>33.381627949942128</v>
      </c>
      <c r="F76" s="90">
        <f>'qtrP&amp;L'!AP11</f>
        <v>13.7</v>
      </c>
      <c r="H76" s="980">
        <f>D76-F76</f>
        <v>19.681627949942129</v>
      </c>
      <c r="J76" s="184">
        <f>165+77</f>
        <v>242</v>
      </c>
      <c r="K76" s="184"/>
      <c r="L76" s="184">
        <f>165+77</f>
        <v>242</v>
      </c>
      <c r="M76" s="691"/>
      <c r="N76" s="564">
        <f>AVERAGE(L76,L75)</f>
        <v>240.5</v>
      </c>
      <c r="P76" s="980">
        <f>(N76/N69-1)*100</f>
        <v>7.8475336322869849</v>
      </c>
      <c r="R76" s="564">
        <f>H76/P76*100</f>
        <v>250.80017330497716</v>
      </c>
      <c r="U76" s="165">
        <f>'qtrP&amp;L'!AN11-CoachNAqtrSalesOld!AY76</f>
        <v>411.51299999999998</v>
      </c>
      <c r="V76" s="165"/>
      <c r="X76" s="1091">
        <f>U76/N76</f>
        <v>1.7110727650727651</v>
      </c>
      <c r="Z76" s="1092">
        <f>(X76/X69-1)*100</f>
        <v>23.676104086640738</v>
      </c>
      <c r="AA76" s="1092"/>
      <c r="AB76" s="1093"/>
      <c r="AC76" s="1093"/>
      <c r="AD76" s="1093"/>
      <c r="AE76" s="1093"/>
      <c r="AG76" s="1122"/>
      <c r="AH76" s="691"/>
      <c r="AI76" s="691"/>
      <c r="AJ76" s="980" t="s">
        <v>606</v>
      </c>
      <c r="AL76" s="980" t="s">
        <v>606</v>
      </c>
      <c r="AM76" s="980"/>
      <c r="AN76" s="980" t="s">
        <v>606</v>
      </c>
      <c r="AO76" s="216"/>
      <c r="AQ76" s="165">
        <f>U76</f>
        <v>411.51299999999998</v>
      </c>
      <c r="AS76" s="1072"/>
      <c r="AW76" s="534"/>
      <c r="AX76" s="1123"/>
      <c r="AY76" s="1118"/>
    </row>
    <row r="77" spans="1:52" hidden="1" outlineLevel="1">
      <c r="A77" s="3" t="str">
        <f t="shared" si="3"/>
        <v>3Q</v>
      </c>
      <c r="B77" s="216" t="str">
        <f t="shared" si="3"/>
        <v>Mar</v>
      </c>
      <c r="D77" s="1092">
        <f>(U77/U70-1)*100</f>
        <v>42.050218697254024</v>
      </c>
      <c r="F77" s="90">
        <f>'qtrP&amp;L'!AP12</f>
        <v>20.5</v>
      </c>
      <c r="H77" s="980">
        <f>D77-F77</f>
        <v>21.550218697254024</v>
      </c>
      <c r="J77" s="184">
        <f>167+77</f>
        <v>244</v>
      </c>
      <c r="K77" s="184"/>
      <c r="L77" s="184">
        <f>167+77</f>
        <v>244</v>
      </c>
      <c r="M77" s="691"/>
      <c r="N77" s="564">
        <f>AVERAGE(L77,L76)</f>
        <v>243</v>
      </c>
      <c r="P77" s="980">
        <f>(N77/N70-1)*100</f>
        <v>7.7605321507760561</v>
      </c>
      <c r="R77" s="564">
        <f>H77/P77*100</f>
        <v>277.68996092747318</v>
      </c>
      <c r="U77" s="165">
        <f>'qtrP&amp;L'!AN12-CoachNAqtrSalesOld!AY77</f>
        <v>313.07299999999998</v>
      </c>
      <c r="V77" s="165"/>
      <c r="X77" s="1091">
        <f>U77/N77</f>
        <v>1.2883662551440329</v>
      </c>
      <c r="Z77" s="1092">
        <f>(X77/X70-1)*100</f>
        <v>31.820264675846843</v>
      </c>
      <c r="AA77" s="1092"/>
      <c r="AB77" s="1093"/>
      <c r="AC77" s="1093"/>
      <c r="AD77" s="1093"/>
      <c r="AE77" s="1093"/>
      <c r="AG77" s="1125"/>
      <c r="AH77" s="691"/>
      <c r="AI77" s="691"/>
      <c r="AJ77" s="980" t="s">
        <v>606</v>
      </c>
      <c r="AL77" s="980" t="s">
        <v>606</v>
      </c>
      <c r="AM77" s="980"/>
      <c r="AN77" s="980" t="s">
        <v>606</v>
      </c>
      <c r="AQ77" s="165">
        <f>U77</f>
        <v>313.07299999999998</v>
      </c>
      <c r="AS77" s="1072"/>
      <c r="AW77" s="534"/>
      <c r="AX77" s="1123"/>
      <c r="AY77" s="1117"/>
    </row>
    <row r="78" spans="1:52" hidden="1" outlineLevel="1">
      <c r="A78" s="3" t="str">
        <f t="shared" si="3"/>
        <v>4Q</v>
      </c>
      <c r="B78" s="216" t="str">
        <f t="shared" si="3"/>
        <v>June</v>
      </c>
      <c r="D78" s="1103">
        <f>(U78/U71-1)*100</f>
        <v>46.05686000103664</v>
      </c>
      <c r="F78" s="972">
        <f>'qtrP&amp;L'!AP13</f>
        <v>17.7</v>
      </c>
      <c r="H78" s="1033">
        <f>D78-F78</f>
        <v>28.35686000103664</v>
      </c>
      <c r="J78" s="184">
        <f>174+76</f>
        <v>250</v>
      </c>
      <c r="K78" s="184"/>
      <c r="L78" s="184">
        <f>174+76</f>
        <v>250</v>
      </c>
      <c r="M78" s="691"/>
      <c r="N78" s="1099">
        <f>AVERAGE(L78,L77)</f>
        <v>247</v>
      </c>
      <c r="P78" s="1033">
        <f>(N78/N71-1)*100</f>
        <v>8.0962800875273633</v>
      </c>
      <c r="R78" s="1099">
        <f>H78/P78*100</f>
        <v>350.24554109388453</v>
      </c>
      <c r="U78" s="1101">
        <f>'qtrP&amp;L'!AN13-CoachNAqtrSalesOld!AY78</f>
        <v>338.14499999999998</v>
      </c>
      <c r="V78" s="1130"/>
      <c r="X78" s="1385">
        <f>U78/N78</f>
        <v>1.3690080971659919</v>
      </c>
      <c r="Z78" s="1103">
        <f>(X78/X71-1)*100</f>
        <v>35.117378583954981</v>
      </c>
      <c r="AA78" s="1092"/>
      <c r="AB78" s="1093"/>
      <c r="AC78" s="1093"/>
      <c r="AD78" s="1093"/>
      <c r="AE78" s="1093"/>
      <c r="AG78" s="1127">
        <f>0.431617+0.231355</f>
        <v>0.66297200000000001</v>
      </c>
      <c r="AH78" s="691"/>
      <c r="AI78" s="691"/>
      <c r="AJ78" s="1121">
        <f>AVERAGE(AG78,AG77)</f>
        <v>0.66297200000000001</v>
      </c>
      <c r="AL78" s="1033">
        <f>(AJ78/AJ71-1)*100</f>
        <v>11.198105359203492</v>
      </c>
      <c r="AN78" s="1099">
        <f>H78/AL78*100</f>
        <v>253.22908734494735</v>
      </c>
      <c r="AQ78" s="1101">
        <f>U78</f>
        <v>338.14499999999998</v>
      </c>
      <c r="AS78" s="1113">
        <f>AQ78/AJ78</f>
        <v>510.044164761106</v>
      </c>
      <c r="AU78" s="1103">
        <f>(AS78/AS71-1)*100</f>
        <v>31.348335054117005</v>
      </c>
      <c r="AW78" s="534"/>
      <c r="AX78" s="1123"/>
      <c r="AY78" s="1117"/>
      <c r="AZ78" s="61"/>
    </row>
    <row r="79" spans="1:52" hidden="1" outlineLevel="1">
      <c r="B79" s="216" t="str">
        <f>B72</f>
        <v>Year</v>
      </c>
      <c r="D79" s="980">
        <f>(U79/U72-1)*100</f>
        <v>38.593156292421703</v>
      </c>
      <c r="F79" s="1090">
        <f>'qtrP&amp;L'!AP14</f>
        <v>16.899999999999999</v>
      </c>
      <c r="H79" s="980">
        <f>D79-F79</f>
        <v>21.693156292421705</v>
      </c>
      <c r="N79" s="564">
        <f>AVERAGE(N75:N78)</f>
        <v>241.5</v>
      </c>
      <c r="P79" s="980">
        <f>(N79/N72-1)*100</f>
        <v>8.1746920492721244</v>
      </c>
      <c r="R79" s="564">
        <f>H79/P79*100</f>
        <v>265.36970642647344</v>
      </c>
      <c r="U79" s="705">
        <f>SUM(U75:U78)</f>
        <v>1321.1059999999998</v>
      </c>
      <c r="V79" s="705"/>
      <c r="X79" s="1091">
        <f>U79/N79</f>
        <v>5.4704182194616964</v>
      </c>
      <c r="Z79" s="1092">
        <f>(X79/X72-1)*100</f>
        <v>28.119760423532682</v>
      </c>
      <c r="AA79" s="1092"/>
      <c r="AB79" s="1093"/>
      <c r="AC79" s="1093"/>
      <c r="AD79" s="1093"/>
      <c r="AE79" s="1093"/>
      <c r="AG79" s="1122"/>
      <c r="AJ79" s="1114">
        <f>AVERAGE(AJ75:AJ78)</f>
        <v>0.62959000000000009</v>
      </c>
      <c r="AL79" s="980"/>
      <c r="AN79" s="564"/>
      <c r="AQ79" s="705">
        <f>U79</f>
        <v>1321.1059999999998</v>
      </c>
      <c r="AS79" s="1112"/>
      <c r="AU79" s="1092"/>
      <c r="AW79" s="1107"/>
      <c r="AX79" s="1029"/>
      <c r="AY79" s="1029"/>
    </row>
    <row r="80" spans="1:52" hidden="1" outlineLevel="1">
      <c r="B80" s="216"/>
      <c r="E80" s="217"/>
      <c r="G80" s="217"/>
      <c r="I80" s="217"/>
      <c r="Q80" s="217"/>
      <c r="R80" s="61"/>
      <c r="S80" s="216"/>
      <c r="AF80" s="217"/>
      <c r="AG80" s="1122"/>
      <c r="AJ80" s="1114"/>
      <c r="AM80" s="217"/>
      <c r="AO80" s="216"/>
      <c r="AV80" s="217"/>
      <c r="AX80" s="1111"/>
      <c r="AY80" s="56"/>
    </row>
    <row r="81" spans="1:52" hidden="1" outlineLevel="1">
      <c r="A81" s="1089"/>
      <c r="B81" s="1126" t="s">
        <v>343</v>
      </c>
      <c r="E81" s="217"/>
      <c r="G81" s="217"/>
      <c r="I81" s="217"/>
      <c r="Q81" s="217"/>
      <c r="S81" s="216"/>
      <c r="AF81" s="217"/>
      <c r="AG81" s="1122"/>
      <c r="AJ81" s="1114"/>
      <c r="AM81" s="217"/>
      <c r="AO81" s="216"/>
      <c r="AV81" s="217"/>
      <c r="AX81" s="56"/>
      <c r="AY81" s="56"/>
    </row>
    <row r="82" spans="1:52" hidden="1" outlineLevel="1">
      <c r="A82" s="3" t="str">
        <f t="shared" ref="A82:B85" si="4">A75</f>
        <v>1Q</v>
      </c>
      <c r="B82" s="216" t="str">
        <f t="shared" si="4"/>
        <v>Sept</v>
      </c>
      <c r="D82" s="1092">
        <f>(U82/U75-1)*100</f>
        <v>33.164973391388486</v>
      </c>
      <c r="E82" s="217" t="s">
        <v>428</v>
      </c>
      <c r="F82" s="90">
        <f>'qtrP&amp;L'!AT10</f>
        <v>15.1</v>
      </c>
      <c r="G82" s="217" t="s">
        <v>428</v>
      </c>
      <c r="H82" s="980">
        <f>D82-F82</f>
        <v>18.064973391388484</v>
      </c>
      <c r="I82" s="217" t="s">
        <v>428</v>
      </c>
      <c r="J82" s="184">
        <f>179+81</f>
        <v>260</v>
      </c>
      <c r="K82" s="184"/>
      <c r="L82" s="184">
        <f>179+81+104</f>
        <v>364</v>
      </c>
      <c r="M82" s="691"/>
      <c r="N82" s="564">
        <f>AVERAGE(J82,J78)</f>
        <v>255</v>
      </c>
      <c r="P82" s="980">
        <f>(N82/N75-1)*100</f>
        <v>8.2802547770700627</v>
      </c>
      <c r="Q82" s="217" t="s">
        <v>428</v>
      </c>
      <c r="R82" s="1128">
        <f>H82/P82*100</f>
        <v>218.16929403446096</v>
      </c>
      <c r="S82" s="216" t="s">
        <v>428</v>
      </c>
      <c r="U82" s="705">
        <f>'qtrP&amp;L'!AR10-AY82</f>
        <v>344.065</v>
      </c>
      <c r="V82" s="705"/>
      <c r="X82" s="1091">
        <f>U82/N82</f>
        <v>1.3492745098039216</v>
      </c>
      <c r="Z82" s="1092">
        <f>(X82/X75-1)*100</f>
        <v>22.981769543811726</v>
      </c>
      <c r="AA82" s="1092"/>
      <c r="AB82" s="1093"/>
      <c r="AC82" s="1093"/>
      <c r="AD82" s="1093"/>
      <c r="AE82" s="1093"/>
      <c r="AF82" s="217" t="s">
        <v>428</v>
      </c>
      <c r="AG82" s="1122">
        <f>443.674/1000+251.046/1000+1*yrSales!$M$142/1000000+(yrSales!K114)</f>
        <v>0.81619386666666671</v>
      </c>
      <c r="AH82" s="691"/>
      <c r="AI82" s="691"/>
      <c r="AJ82" s="1114">
        <f>AVERAGE(AG82,AG78)</f>
        <v>0.73958293333333336</v>
      </c>
      <c r="AL82" s="980">
        <f>(AJ82/AJ75-1)*100</f>
        <v>24.047804345686963</v>
      </c>
      <c r="AM82" s="217" t="s">
        <v>428</v>
      </c>
      <c r="AN82" s="564">
        <f>H82/AL82*100</f>
        <v>75.121092685655043</v>
      </c>
      <c r="AO82" s="216" t="s">
        <v>428</v>
      </c>
      <c r="AQ82" s="705">
        <f>U82</f>
        <v>344.065</v>
      </c>
      <c r="AS82" s="1112">
        <f>AQ82/AJ82</f>
        <v>465.21489949650902</v>
      </c>
      <c r="AU82" s="1092">
        <f>(AS82/AS75-1)*100</f>
        <v>7.3497222250661576</v>
      </c>
      <c r="AV82" s="217" t="s">
        <v>428</v>
      </c>
      <c r="AW82" s="534"/>
      <c r="AX82" s="1123"/>
      <c r="AY82" s="1117"/>
    </row>
    <row r="83" spans="1:52" hidden="1" outlineLevel="1">
      <c r="A83" s="3" t="str">
        <f t="shared" si="4"/>
        <v>2Q</v>
      </c>
      <c r="B83" s="216" t="str">
        <f t="shared" si="4"/>
        <v>Dec</v>
      </c>
      <c r="D83" s="1092">
        <f>(U83/U76-1)*100</f>
        <v>29.220462051016625</v>
      </c>
      <c r="F83" s="90">
        <f>'qtrP&amp;L'!AT11</f>
        <v>16.5</v>
      </c>
      <c r="H83" s="980">
        <f>D83-F83</f>
        <v>12.720462051016625</v>
      </c>
      <c r="J83" s="184">
        <f>185+81</f>
        <v>266</v>
      </c>
      <c r="K83" s="184"/>
      <c r="L83" s="184">
        <f>185+81+108</f>
        <v>374</v>
      </c>
      <c r="M83" s="691"/>
      <c r="N83" s="564">
        <f>AVERAGE(J83,J82)</f>
        <v>263</v>
      </c>
      <c r="P83" s="980">
        <f>(N83/N76-1)*100</f>
        <v>9.3555093555093514</v>
      </c>
      <c r="R83" s="1128">
        <f>H83/P83*100</f>
        <v>135.96760547864443</v>
      </c>
      <c r="U83" s="165">
        <f>'qtrP&amp;L'!AR11-AY83</f>
        <v>531.75900000000001</v>
      </c>
      <c r="V83" s="165"/>
      <c r="X83" s="1091">
        <f>U83/N83</f>
        <v>2.0218973384030421</v>
      </c>
      <c r="Z83" s="1092">
        <f>(X83/X76-1)*100</f>
        <v>18.165479556157791</v>
      </c>
      <c r="AA83" s="1092"/>
      <c r="AB83" s="1093"/>
      <c r="AC83" s="1093"/>
      <c r="AD83" s="1093"/>
      <c r="AE83" s="1093"/>
      <c r="AG83" s="1122">
        <f>468.718/1000+252.305/1000+5*yrSales!$M$142/1000000+(yrSales!K114)</f>
        <v>0.85122833333333336</v>
      </c>
      <c r="AH83" s="691"/>
      <c r="AI83" s="691"/>
      <c r="AJ83" s="1114">
        <f>AVERAGE(AG83,AG82)</f>
        <v>0.83371110000000004</v>
      </c>
      <c r="AO83" s="216"/>
      <c r="AQ83" s="165">
        <f>U83</f>
        <v>531.75900000000001</v>
      </c>
      <c r="AS83" s="1072">
        <f>AQ83/AJ83</f>
        <v>637.82166268387209</v>
      </c>
      <c r="AW83" s="534"/>
      <c r="AX83" s="1123"/>
      <c r="AY83" s="1117"/>
    </row>
    <row r="84" spans="1:52" hidden="1" outlineLevel="1">
      <c r="A84" s="3" t="str">
        <f t="shared" si="4"/>
        <v>3Q</v>
      </c>
      <c r="B84" s="216" t="str">
        <f t="shared" si="4"/>
        <v>Mar</v>
      </c>
      <c r="D84" s="1092">
        <f>(U84/U77-1)*100</f>
        <v>32.85687363650014</v>
      </c>
      <c r="F84" s="90">
        <f>'qtrP&amp;L'!AT12</f>
        <v>19.3</v>
      </c>
      <c r="H84" s="980">
        <f>D84-F84</f>
        <v>13.556873636500139</v>
      </c>
      <c r="J84" s="184">
        <f>186+80</f>
        <v>266</v>
      </c>
      <c r="K84" s="184"/>
      <c r="L84" s="184">
        <f>186+80+106</f>
        <v>372</v>
      </c>
      <c r="M84" s="691"/>
      <c r="N84" s="564">
        <f>AVERAGE(J84,J83)</f>
        <v>266</v>
      </c>
      <c r="P84" s="980">
        <f>(N84/N77-1)*100</f>
        <v>9.4650205761316784</v>
      </c>
      <c r="R84" s="1128">
        <f>H84/P84*100</f>
        <v>143.23131711606683</v>
      </c>
      <c r="U84" s="165">
        <f>'qtrP&amp;L'!AR12-AY84</f>
        <v>415.93900000000002</v>
      </c>
      <c r="V84" s="165"/>
      <c r="X84" s="1091">
        <f>U84/N84</f>
        <v>1.5636804511278197</v>
      </c>
      <c r="Z84" s="1092">
        <f>(X84/X77-1)*100</f>
        <v>21.36924922432155</v>
      </c>
      <c r="AA84" s="1092"/>
      <c r="AB84" s="1093"/>
      <c r="AC84" s="1093"/>
      <c r="AD84" s="1093"/>
      <c r="AE84" s="1093"/>
      <c r="AG84" s="1122">
        <f>471.028/1000+243.991/1000+3*yrSales!M103/1000000+(yrSales!K114)</f>
        <v>0.8343104377124817</v>
      </c>
      <c r="AH84" s="691"/>
      <c r="AI84" s="691"/>
      <c r="AJ84" s="1114">
        <f>AVERAGE(AG84,AG83)</f>
        <v>0.84276938552290748</v>
      </c>
      <c r="AQ84" s="165">
        <f>U84</f>
        <v>415.93900000000002</v>
      </c>
      <c r="AS84" s="1072">
        <f>AQ84/AJ84</f>
        <v>493.53833580692435</v>
      </c>
      <c r="AW84" s="534"/>
      <c r="AX84" s="1123"/>
      <c r="AY84" s="1117"/>
    </row>
    <row r="85" spans="1:52" hidden="1" outlineLevel="1">
      <c r="A85" s="3" t="str">
        <f t="shared" si="4"/>
        <v>4Q</v>
      </c>
      <c r="B85" s="216" t="str">
        <f t="shared" si="4"/>
        <v>June</v>
      </c>
      <c r="D85" s="1103">
        <f>(U85/U78-1)*100</f>
        <v>23.81079122861496</v>
      </c>
      <c r="F85" s="972">
        <f>'qtrP&amp;L'!AT13</f>
        <v>22</v>
      </c>
      <c r="H85" s="1033">
        <f>D85-F85</f>
        <v>1.8107912286149599</v>
      </c>
      <c r="J85" s="184">
        <f>193+82</f>
        <v>275</v>
      </c>
      <c r="K85" s="184"/>
      <c r="L85" s="184">
        <f>193+82+103</f>
        <v>378</v>
      </c>
      <c r="M85" s="691"/>
      <c r="N85" s="1099">
        <f>AVERAGE(J85,J84)</f>
        <v>270.5</v>
      </c>
      <c r="P85" s="1033">
        <f>(N85/N78-1)*100</f>
        <v>9.5141700404858263</v>
      </c>
      <c r="R85" s="1129">
        <f>H85/P85*100</f>
        <v>19.032571636931713</v>
      </c>
      <c r="U85" s="1101">
        <f>'qtrP&amp;L'!AR13-AY85</f>
        <v>418.66</v>
      </c>
      <c r="V85" s="1130"/>
      <c r="X85" s="1385">
        <f>U85/N85</f>
        <v>1.5477264325323477</v>
      </c>
      <c r="Z85" s="1103">
        <f>(X85/X78-1)*100</f>
        <v>13.054585705981125</v>
      </c>
      <c r="AA85" s="1092"/>
      <c r="AB85" s="1093"/>
      <c r="AC85" s="1093"/>
      <c r="AD85" s="1093"/>
      <c r="AE85" s="1093"/>
      <c r="AG85" s="1116">
        <f>0.490925+0.252279+0.161632</f>
        <v>0.90483599999999997</v>
      </c>
      <c r="AH85" s="691"/>
      <c r="AI85" s="691"/>
      <c r="AJ85" s="1121">
        <f>AVERAGE(AG85,AG84)</f>
        <v>0.86957321885624084</v>
      </c>
      <c r="AL85" s="1033">
        <f>(AJ85/AJ78-1)*100</f>
        <v>31.16288755124512</v>
      </c>
      <c r="AN85" s="1099">
        <f>H85/AL85*100</f>
        <v>5.8107299127439473</v>
      </c>
      <c r="AQ85" s="1101">
        <f>U85</f>
        <v>418.66</v>
      </c>
      <c r="AS85" s="1113">
        <f>AQ85/AJ85</f>
        <v>481.45456980686237</v>
      </c>
      <c r="AU85" s="1103">
        <f>(AS85/AS78-1)*100</f>
        <v>-5.6053175253234055</v>
      </c>
      <c r="AW85" s="534"/>
      <c r="AX85" s="1123"/>
      <c r="AY85" s="1117"/>
    </row>
    <row r="86" spans="1:52" hidden="1" outlineLevel="1">
      <c r="B86" s="216" t="str">
        <f>B79</f>
        <v>Year</v>
      </c>
      <c r="D86" s="980">
        <f>(U86/U79-1)*100</f>
        <v>29.469020653906686</v>
      </c>
      <c r="F86" s="1090">
        <f>'qtrP&amp;L'!AT14</f>
        <v>18.2</v>
      </c>
      <c r="H86" s="980">
        <f>D86-F86</f>
        <v>11.269020653906686</v>
      </c>
      <c r="J86" s="184"/>
      <c r="K86" s="184"/>
      <c r="L86" s="184"/>
      <c r="N86" s="564">
        <f>AVERAGE(N82:N85)</f>
        <v>263.625</v>
      </c>
      <c r="P86" s="980">
        <f>(N86/N79-1)*100</f>
        <v>9.1614906832298217</v>
      </c>
      <c r="R86" s="564">
        <f>H86/P86*100</f>
        <v>123.00422544264235</v>
      </c>
      <c r="U86" s="705">
        <f>SUM(U82:U85)</f>
        <v>1710.4230000000002</v>
      </c>
      <c r="V86" s="705"/>
      <c r="X86" s="1091">
        <f>U86/N86</f>
        <v>6.4880910384068287</v>
      </c>
      <c r="Z86" s="1092">
        <f>(X86/X79-1)*100</f>
        <v>18.603199574844819</v>
      </c>
      <c r="AA86" s="1092"/>
      <c r="AB86" s="1093"/>
      <c r="AC86" s="1093"/>
      <c r="AD86" s="1093"/>
      <c r="AE86" s="1093"/>
      <c r="AG86" s="1122"/>
      <c r="AJ86" s="1114">
        <f>AVERAGE(AJ82:AJ85)</f>
        <v>0.82140915942812032</v>
      </c>
      <c r="AL86" s="980">
        <f>(AJ86/AJ79-1)*100</f>
        <v>30.467313557731245</v>
      </c>
      <c r="AN86" s="564">
        <f>H86/AL86*100</f>
        <v>36.987247439960491</v>
      </c>
      <c r="AQ86" s="705">
        <f>U86</f>
        <v>1710.4230000000002</v>
      </c>
      <c r="AS86" s="1112">
        <f>SUM(AS82:AS85)</f>
        <v>2078.0294677941679</v>
      </c>
      <c r="AW86" s="1107"/>
      <c r="AX86" s="1029"/>
      <c r="AY86" s="1026"/>
      <c r="AZ86" s="61"/>
    </row>
    <row r="87" spans="1:52" hidden="1" outlineLevel="1">
      <c r="B87" s="216"/>
      <c r="J87" s="1066"/>
      <c r="K87" s="1066"/>
      <c r="L87" s="1066"/>
      <c r="U87" s="165"/>
      <c r="V87" s="165"/>
      <c r="AG87" s="1122"/>
      <c r="AJ87" s="1114"/>
      <c r="AX87" s="56"/>
      <c r="AY87" s="56"/>
    </row>
    <row r="88" spans="1:52" hidden="1" outlineLevel="1">
      <c r="A88" s="1089"/>
      <c r="B88" s="1126" t="s">
        <v>623</v>
      </c>
      <c r="E88" s="217"/>
      <c r="G88" s="217"/>
      <c r="I88" s="217"/>
      <c r="J88" s="61"/>
      <c r="K88" s="61"/>
      <c r="L88" s="61"/>
      <c r="Q88" s="217"/>
      <c r="S88" s="216"/>
      <c r="AF88" s="217"/>
      <c r="AG88" s="1122"/>
      <c r="AJ88" s="1114"/>
      <c r="AM88" s="217"/>
      <c r="AO88" s="216"/>
      <c r="AV88" s="217"/>
      <c r="AX88" s="56"/>
      <c r="AY88" s="56"/>
    </row>
    <row r="89" spans="1:52" hidden="1" outlineLevel="1">
      <c r="A89" s="3" t="str">
        <f t="shared" ref="A89:B92" si="5">A82</f>
        <v>1Q</v>
      </c>
      <c r="B89" s="216" t="str">
        <f t="shared" si="5"/>
        <v>Sept</v>
      </c>
      <c r="D89" s="1092">
        <f>(U89/U82-1)*100</f>
        <v>26.138956301861562</v>
      </c>
      <c r="E89" s="217" t="s">
        <v>428</v>
      </c>
      <c r="F89" s="999">
        <f>'qtrP&amp;L'!AX10</f>
        <v>25.1</v>
      </c>
      <c r="G89" s="217" t="s">
        <v>428</v>
      </c>
      <c r="H89" s="980">
        <f>D89-F89</f>
        <v>1.0389563018615604</v>
      </c>
      <c r="I89" s="217" t="s">
        <v>428</v>
      </c>
      <c r="J89" s="184">
        <f>199+85</f>
        <v>284</v>
      </c>
      <c r="K89" s="184"/>
      <c r="L89" s="184">
        <f>199+85+107</f>
        <v>391</v>
      </c>
      <c r="M89" s="691"/>
      <c r="N89" s="564">
        <f>AVERAGE(J89,J85)</f>
        <v>279.5</v>
      </c>
      <c r="P89" s="980">
        <f>(N89/N82-1)*100</f>
        <v>9.6078431372549122</v>
      </c>
      <c r="Q89" s="217" t="s">
        <v>428</v>
      </c>
      <c r="R89" s="564">
        <f>H89/P89*100</f>
        <v>10.81362681529378</v>
      </c>
      <c r="S89" s="216" t="s">
        <v>428</v>
      </c>
      <c r="U89" s="705">
        <f>+'qtrP&amp;L'!AV10-AY89</f>
        <v>434</v>
      </c>
      <c r="V89" s="705"/>
      <c r="X89" s="1091">
        <f>U89/N89</f>
        <v>1.552772808586762</v>
      </c>
      <c r="Z89" s="1092">
        <f>(X89/X82-1)*100</f>
        <v>15.082053155544539</v>
      </c>
      <c r="AA89" s="1092"/>
      <c r="AB89" s="1093"/>
      <c r="AC89" s="1093"/>
      <c r="AD89" s="1093"/>
      <c r="AE89" s="1093"/>
      <c r="AF89" s="217" t="s">
        <v>428</v>
      </c>
      <c r="AG89" s="1122">
        <f>511.374/1000+263.681/1000+4*yrSales!$M$142/1000000+(yrSales!L114)</f>
        <v>0.94541846666666673</v>
      </c>
      <c r="AH89" s="691"/>
      <c r="AI89" s="691"/>
      <c r="AJ89" s="1114">
        <f>AVERAGE(AG89,AG85)</f>
        <v>0.92512723333333335</v>
      </c>
      <c r="AL89" s="980">
        <f>(AJ89/AJ82-1)*100</f>
        <v>25.087693568555402</v>
      </c>
      <c r="AM89" s="217" t="s">
        <v>428</v>
      </c>
      <c r="AN89" s="564">
        <f>H89/AL89*100</f>
        <v>4.1412985973480438</v>
      </c>
      <c r="AO89" s="216" t="s">
        <v>428</v>
      </c>
      <c r="AQ89" s="705">
        <f>U89</f>
        <v>434</v>
      </c>
      <c r="AS89" s="1112">
        <f>AQ89/AJ89</f>
        <v>469.12466130334434</v>
      </c>
      <c r="AU89" s="1092">
        <f>(AS89/AS82-1)*100</f>
        <v>0.84042059079938447</v>
      </c>
      <c r="AV89" s="217" t="s">
        <v>428</v>
      </c>
      <c r="AW89" s="534"/>
      <c r="AX89" s="1123"/>
      <c r="AY89" s="1029"/>
      <c r="AZ89" s="1061"/>
    </row>
    <row r="90" spans="1:52" hidden="1" outlineLevel="1">
      <c r="A90" s="3" t="str">
        <f t="shared" si="5"/>
        <v>2Q</v>
      </c>
      <c r="B90" s="216" t="str">
        <f t="shared" si="5"/>
        <v>Dec</v>
      </c>
      <c r="D90" s="1092">
        <f>(U90/U83-1)*100</f>
        <v>16.556560396721064</v>
      </c>
      <c r="F90" s="999">
        <f>'qtrP&amp;L'!AX11</f>
        <v>19.899999999999999</v>
      </c>
      <c r="H90" s="980">
        <f>D90-F90</f>
        <v>-3.3434396032789344</v>
      </c>
      <c r="J90" s="184">
        <f>203+84</f>
        <v>287</v>
      </c>
      <c r="K90" s="184"/>
      <c r="L90" s="184">
        <f>203+84+109</f>
        <v>396</v>
      </c>
      <c r="M90" s="691"/>
      <c r="N90" s="564">
        <f>AVERAGE(J90,J89)</f>
        <v>285.5</v>
      </c>
      <c r="P90" s="980">
        <f>(N90/N83-1)*100</f>
        <v>8.5551330798478986</v>
      </c>
      <c r="R90" s="564">
        <f>H90/P90*100</f>
        <v>-39.081094029438255</v>
      </c>
      <c r="U90" s="1130">
        <f>+'qtrP&amp;L'!AV11-AY90</f>
        <v>619.79999999999995</v>
      </c>
      <c r="V90" s="1130"/>
      <c r="X90" s="1091">
        <f>U90/N90</f>
        <v>2.1709281961471101</v>
      </c>
      <c r="Z90" s="1092">
        <f>(X90/X83-1)*100</f>
        <v>7.3708419766642219</v>
      </c>
      <c r="AA90" s="1092"/>
      <c r="AB90" s="1093"/>
      <c r="AC90" s="1093"/>
      <c r="AD90" s="1093"/>
      <c r="AE90" s="1093"/>
      <c r="AG90" s="1122">
        <f>533.82/1000+261.321/1000+6*yrSales!$M$142/1000000+(yrSales!L114)</f>
        <v>0.96987020000000013</v>
      </c>
      <c r="AH90" s="691"/>
      <c r="AI90" s="691"/>
      <c r="AJ90" s="1114">
        <f>AVERAGE(AG90,AG89)</f>
        <v>0.95764433333333343</v>
      </c>
      <c r="AL90" s="980">
        <f>(AJ90/AJ83-1)*100</f>
        <v>14.865249285194038</v>
      </c>
      <c r="AN90" s="564">
        <f>H90/AL90*100</f>
        <v>-22.491648401813478</v>
      </c>
      <c r="AO90" s="216"/>
      <c r="AQ90" s="165">
        <f>U90</f>
        <v>619.79999999999995</v>
      </c>
      <c r="AS90" s="1072">
        <f>AQ90/AJ90</f>
        <v>647.21314419793282</v>
      </c>
      <c r="AU90" s="1092">
        <f>(AS90/AS83-1)*100</f>
        <v>1.4724306281073352</v>
      </c>
      <c r="AW90" s="534"/>
      <c r="AX90" s="1123"/>
      <c r="AY90" s="1029"/>
      <c r="AZ90" s="1061"/>
    </row>
    <row r="91" spans="1:52" hidden="1" outlineLevel="1">
      <c r="A91" s="3" t="str">
        <f t="shared" si="5"/>
        <v>3Q</v>
      </c>
      <c r="B91" s="216" t="str">
        <f t="shared" si="5"/>
        <v>Mar</v>
      </c>
      <c r="D91" s="1092">
        <f>(U91/U84-1)*100</f>
        <v>15.333738841512812</v>
      </c>
      <c r="F91" s="999">
        <f>'qtrP&amp;L'!AX12</f>
        <v>21.1</v>
      </c>
      <c r="H91" s="980">
        <f>D91-F91</f>
        <v>-5.7662611584871897</v>
      </c>
      <c r="J91" s="184">
        <f>206+84</f>
        <v>290</v>
      </c>
      <c r="K91" s="184"/>
      <c r="L91" s="184">
        <f>206+84+112</f>
        <v>402</v>
      </c>
      <c r="M91" s="691"/>
      <c r="N91" s="564">
        <f>AVERAGE(J91,J90)</f>
        <v>288.5</v>
      </c>
      <c r="P91" s="980">
        <f>(N91/N84-1)*100</f>
        <v>8.4586466165413441</v>
      </c>
      <c r="R91" s="564">
        <f>H91/P91*100</f>
        <v>-68.170020807004178</v>
      </c>
      <c r="U91" s="1130">
        <f>+'qtrP&amp;L'!AV12-AY91</f>
        <v>479.71800000000002</v>
      </c>
      <c r="V91" s="1130"/>
      <c r="X91" s="1091">
        <f>U91/N91</f>
        <v>1.6628006932409012</v>
      </c>
      <c r="Z91" s="1092">
        <f>(X91/X84-1)*100</f>
        <v>6.3389065228506292</v>
      </c>
      <c r="AA91" s="1092"/>
      <c r="AB91" s="1093"/>
      <c r="AC91" s="1093"/>
      <c r="AD91" s="1093"/>
      <c r="AE91" s="1093"/>
      <c r="AG91" s="1122">
        <f>533.998/1000+266.48/1000+9*yrSales!M118/1000000+(yrSales!L114)</f>
        <v>0.96211000000000002</v>
      </c>
      <c r="AH91" s="691"/>
      <c r="AI91" s="691"/>
      <c r="AJ91" s="1114">
        <f>AVERAGE(AG91,AG90)</f>
        <v>0.96599010000000007</v>
      </c>
      <c r="AL91" s="980">
        <f>(AJ91/AJ84-1)*100</f>
        <v>14.620929117001413</v>
      </c>
      <c r="AN91" s="564">
        <f>H91/AL91*100</f>
        <v>-39.438404442998795</v>
      </c>
      <c r="AQ91" s="165">
        <f>U91</f>
        <v>479.71800000000002</v>
      </c>
      <c r="AS91" s="1072">
        <f>AQ91/AJ91</f>
        <v>496.60757392855265</v>
      </c>
      <c r="AU91" s="1092">
        <f>(AS91/AS84-1)*100</f>
        <v>0.62188444117723396</v>
      </c>
      <c r="AW91" s="534"/>
      <c r="AX91" s="1123"/>
      <c r="AY91" s="1029"/>
      <c r="AZ91" s="1061"/>
    </row>
    <row r="92" spans="1:52" hidden="1" outlineLevel="1">
      <c r="A92" s="3" t="str">
        <f t="shared" si="5"/>
        <v>4Q</v>
      </c>
      <c r="B92" s="216" t="str">
        <f t="shared" si="5"/>
        <v>June</v>
      </c>
      <c r="D92" s="1103">
        <f>(U92/U85-1)*100</f>
        <v>19.804375865857725</v>
      </c>
      <c r="F92" s="972">
        <f>'qtrP&amp;L'!AX13</f>
        <v>18.5</v>
      </c>
      <c r="H92" s="1033">
        <f>D92-F92</f>
        <v>1.3043758658577254</v>
      </c>
      <c r="J92" s="61">
        <f>+yrSales!M62+yrSales!M64</f>
        <v>304</v>
      </c>
      <c r="K92" s="61"/>
      <c r="L92" s="184">
        <f>218+86+118</f>
        <v>422</v>
      </c>
      <c r="M92" s="691"/>
      <c r="N92" s="1099">
        <f>AVERAGE(J92,J91)</f>
        <v>297</v>
      </c>
      <c r="P92" s="1033">
        <f>(N92/N85-1)*100</f>
        <v>9.79667282809611</v>
      </c>
      <c r="R92" s="1099">
        <f>H92/P92*100</f>
        <v>13.314478177906228</v>
      </c>
      <c r="T92" s="61"/>
      <c r="U92" s="1101">
        <f>+'qtrP&amp;L'!AV13-AY92</f>
        <v>501.57299999999998</v>
      </c>
      <c r="V92" s="1130"/>
      <c r="W92" s="61"/>
      <c r="X92" s="1385">
        <f>U92/N92</f>
        <v>1.6887979797979797</v>
      </c>
      <c r="Z92" s="1103">
        <f>(X92/X85-1)*100</f>
        <v>9.1147598374226035</v>
      </c>
      <c r="AA92" s="1092"/>
      <c r="AB92" s="1093"/>
      <c r="AC92" s="1093"/>
      <c r="AD92" s="1093"/>
      <c r="AE92" s="1093"/>
      <c r="AG92" s="1116">
        <f>0.562553+0.281787+0.194375</f>
        <v>1.0387150000000001</v>
      </c>
      <c r="AH92" s="691"/>
      <c r="AI92" s="691"/>
      <c r="AJ92" s="1121">
        <f>AVERAGE(AG92,AG91)</f>
        <v>1.0004124999999999</v>
      </c>
      <c r="AL92" s="1033">
        <f>(AJ92/AJ85-1)*100</f>
        <v>15.046378879498313</v>
      </c>
      <c r="AN92" s="1099">
        <f>H92/AL92*100</f>
        <v>8.6690350967768328</v>
      </c>
      <c r="AQ92" s="1101">
        <f>U92</f>
        <v>501.57299999999998</v>
      </c>
      <c r="AS92" s="1113">
        <f>AQ92/AJ92</f>
        <v>501.36618644809016</v>
      </c>
      <c r="AU92" s="1103">
        <f>(AS92/AS85-1)*100</f>
        <v>4.13572076991926</v>
      </c>
      <c r="AW92" s="534"/>
      <c r="AX92" s="1123"/>
      <c r="AY92" s="1029"/>
      <c r="AZ92" s="1061"/>
    </row>
    <row r="93" spans="1:52" hidden="1" outlineLevel="1">
      <c r="B93" s="216" t="str">
        <f>B86</f>
        <v>Year</v>
      </c>
      <c r="D93" s="1546">
        <f>(U93/U86-1)*100</f>
        <v>18.981737266161613</v>
      </c>
      <c r="F93" s="1131">
        <f>'qtrP&amp;L'!AX14</f>
        <v>20.7</v>
      </c>
      <c r="H93" s="980">
        <f>D93-F93</f>
        <v>-1.7182627338383867</v>
      </c>
      <c r="N93" s="564">
        <f>AVERAGE(N89:N92)</f>
        <v>287.625</v>
      </c>
      <c r="P93" s="980">
        <f>(N93/N86-1)*100</f>
        <v>9.1038406827880447</v>
      </c>
      <c r="R93" s="564">
        <f>H93/P93*100</f>
        <v>-18.874042217006043</v>
      </c>
      <c r="U93" s="705">
        <f>SUM(U89:U92)</f>
        <v>2035.0909999999999</v>
      </c>
      <c r="V93" s="705"/>
      <c r="X93" s="1091">
        <f>U93/N93</f>
        <v>7.0755010864841372</v>
      </c>
      <c r="Z93" s="1092">
        <f>(X93/X86-1)*100</f>
        <v>9.0536653169642989</v>
      </c>
      <c r="AA93" s="1092"/>
      <c r="AB93" s="1093"/>
      <c r="AC93" s="1093"/>
      <c r="AD93" s="1093"/>
      <c r="AE93" s="1093"/>
      <c r="AG93" s="1122"/>
      <c r="AJ93" s="1114">
        <f>AVERAGE(AJ89:AJ92)</f>
        <v>0.9622935416666667</v>
      </c>
      <c r="AL93" s="980">
        <f>(AJ93/AJ86-1)*100</f>
        <v>17.151547510942365</v>
      </c>
      <c r="AN93" s="564">
        <f>H93/AL93*100</f>
        <v>-10.018120713260231</v>
      </c>
      <c r="AQ93" s="705">
        <f>U93</f>
        <v>2035.0909999999999</v>
      </c>
      <c r="AS93" s="1112">
        <f>SUM(AS89:AS92)</f>
        <v>2114.3115658779202</v>
      </c>
      <c r="AU93" s="1092">
        <f>(AS93/AS86-1)*100</f>
        <v>1.745985735335398</v>
      </c>
      <c r="AW93" s="1107"/>
      <c r="AX93" s="1029"/>
      <c r="AY93" s="1029"/>
    </row>
    <row r="94" spans="1:52" hidden="1" outlineLevel="1">
      <c r="B94" s="216"/>
      <c r="D94" s="980"/>
      <c r="F94" s="1131"/>
      <c r="H94" s="980"/>
      <c r="J94" s="61"/>
      <c r="K94" s="61"/>
      <c r="L94" s="61"/>
      <c r="N94" s="564"/>
      <c r="P94" s="980"/>
      <c r="R94" s="564"/>
      <c r="U94" s="705"/>
      <c r="V94" s="705"/>
      <c r="X94" s="1091"/>
      <c r="Z94" s="1092"/>
      <c r="AA94" s="1092"/>
      <c r="AB94" s="1093"/>
      <c r="AC94" s="1093"/>
      <c r="AD94" s="1093"/>
      <c r="AE94" s="1093"/>
      <c r="AG94" s="1116"/>
      <c r="AJ94" s="1114"/>
      <c r="AL94" s="980"/>
      <c r="AN94" s="564"/>
      <c r="AQ94" s="705"/>
      <c r="AS94" s="1112"/>
      <c r="AU94" s="1092"/>
      <c r="AW94" s="1107"/>
      <c r="AX94" s="1029"/>
      <c r="AY94" s="1029"/>
    </row>
    <row r="95" spans="1:52" hidden="1" outlineLevel="1">
      <c r="A95" s="1089"/>
      <c r="B95" s="1126" t="s">
        <v>145</v>
      </c>
      <c r="E95" s="217"/>
      <c r="G95" s="217"/>
      <c r="I95" s="217"/>
      <c r="J95" s="61"/>
      <c r="K95" s="61"/>
      <c r="L95" s="61"/>
      <c r="Q95" s="217"/>
      <c r="S95" s="216"/>
      <c r="AF95" s="217"/>
      <c r="AG95" s="1122"/>
      <c r="AJ95" s="1114"/>
      <c r="AM95" s="217"/>
      <c r="AO95" s="216"/>
      <c r="AV95" s="217"/>
      <c r="AX95" s="56"/>
      <c r="AY95" s="56"/>
    </row>
    <row r="96" spans="1:52" hidden="1" outlineLevel="1">
      <c r="A96" s="3" t="str">
        <f t="shared" ref="A96:B99" si="6">A89</f>
        <v>1Q</v>
      </c>
      <c r="B96" s="216" t="str">
        <f t="shared" si="6"/>
        <v>Sept</v>
      </c>
      <c r="D96" s="1092">
        <f>(U96/U89-1)*100</f>
        <v>21.986405529953924</v>
      </c>
      <c r="E96" s="217" t="s">
        <v>428</v>
      </c>
      <c r="F96" s="999">
        <f>'qtrP&amp;L'!BB10</f>
        <v>21.4</v>
      </c>
      <c r="G96" s="217" t="s">
        <v>428</v>
      </c>
      <c r="H96" s="980">
        <f>D96-F96</f>
        <v>0.58640552995392525</v>
      </c>
      <c r="I96" s="217" t="s">
        <v>428</v>
      </c>
      <c r="J96" s="184">
        <f>230+87</f>
        <v>317</v>
      </c>
      <c r="K96" s="184"/>
      <c r="L96" s="184">
        <f>230+87+126</f>
        <v>443</v>
      </c>
      <c r="M96" s="691"/>
      <c r="N96" s="564">
        <f>AVERAGE(J96,J92)</f>
        <v>310.5</v>
      </c>
      <c r="P96" s="980">
        <f>(N96/N89-1)*100</f>
        <v>11.091234347048307</v>
      </c>
      <c r="Q96" s="217" t="s">
        <v>428</v>
      </c>
      <c r="R96" s="564">
        <f>H96/P96*100</f>
        <v>5.2871079232942586</v>
      </c>
      <c r="S96" s="216" t="s">
        <v>428</v>
      </c>
      <c r="U96" s="705">
        <f>'qtrP&amp;L'!AZ10</f>
        <v>529.42100000000005</v>
      </c>
      <c r="V96" s="1065"/>
      <c r="X96" s="1091">
        <f>U96/N96</f>
        <v>1.705059581320451</v>
      </c>
      <c r="Z96" s="1092">
        <f>(X96/X89-1)*100</f>
        <v>9.8074085205221309</v>
      </c>
      <c r="AA96" s="1092"/>
      <c r="AB96" s="1093"/>
      <c r="AC96" s="1093"/>
      <c r="AD96" s="1093"/>
      <c r="AE96" s="1093"/>
      <c r="AF96" s="217" t="s">
        <v>428</v>
      </c>
      <c r="AG96" s="1122">
        <f>591.633/1000+291.083/1000+8*yrSales!M142/1000000+(yrSales!M116)</f>
        <v>1.0945539333333334</v>
      </c>
      <c r="AH96" s="691"/>
      <c r="AI96" s="691"/>
      <c r="AJ96" s="1114">
        <f>AVERAGE(AG96,AG92)</f>
        <v>1.0666344666666667</v>
      </c>
      <c r="AL96" s="980">
        <f>(AJ96/AJ89-1)*100</f>
        <v>15.295975324763432</v>
      </c>
      <c r="AM96" s="217" t="s">
        <v>428</v>
      </c>
      <c r="AN96" s="564">
        <f>H96/AL96*100</f>
        <v>3.8337243458059422</v>
      </c>
      <c r="AO96" s="216" t="s">
        <v>428</v>
      </c>
      <c r="AQ96" s="705">
        <f>U96</f>
        <v>529.42100000000005</v>
      </c>
      <c r="AS96" s="1112">
        <f>AQ96/AJ96</f>
        <v>496.34717098022401</v>
      </c>
      <c r="AU96" s="1092">
        <f>(AS96/AS89-1)*100</f>
        <v>5.8028306593920664</v>
      </c>
      <c r="AV96" s="217" t="s">
        <v>428</v>
      </c>
      <c r="AW96" s="534"/>
      <c r="AX96" s="1123"/>
      <c r="AY96" s="1029"/>
      <c r="AZ96" s="1061"/>
    </row>
    <row r="97" spans="1:52" hidden="1" outlineLevel="1">
      <c r="A97" s="3" t="str">
        <f t="shared" si="6"/>
        <v>2Q</v>
      </c>
      <c r="B97" s="216" t="str">
        <f t="shared" si="6"/>
        <v>Dec</v>
      </c>
      <c r="D97" s="1092">
        <f>(U97/U90-1)*100</f>
        <v>29.977896095514687</v>
      </c>
      <c r="F97" s="999">
        <f>'qtrP&amp;L'!BB11</f>
        <v>25.7</v>
      </c>
      <c r="H97" s="980">
        <f>D97-F97</f>
        <v>4.2778960955146879</v>
      </c>
      <c r="J97" s="184">
        <f>237+90</f>
        <v>327</v>
      </c>
      <c r="K97" s="184"/>
      <c r="L97" s="184">
        <f>237+90+127</f>
        <v>454</v>
      </c>
      <c r="M97" s="691"/>
      <c r="N97" s="564">
        <f>AVERAGE(J97,J96)</f>
        <v>322</v>
      </c>
      <c r="P97" s="980">
        <f>(N97/N90-1)*100</f>
        <v>12.784588441330991</v>
      </c>
      <c r="R97" s="564">
        <f>H97/P97*100</f>
        <v>33.461351651217647</v>
      </c>
      <c r="U97" s="1130">
        <f>'qtrP&amp;L'!AZ11</f>
        <v>805.60299999999995</v>
      </c>
      <c r="V97" s="218"/>
      <c r="X97" s="1091">
        <f>U97/N97</f>
        <v>2.5018726708074532</v>
      </c>
      <c r="Z97" s="1092">
        <f>(X97/X90-1)*100</f>
        <v>15.244376817606975</v>
      </c>
      <c r="AA97" s="1092"/>
      <c r="AB97" s="1093"/>
      <c r="AC97" s="1093"/>
      <c r="AD97" s="1093"/>
      <c r="AE97" s="1093"/>
      <c r="AG97" s="1122">
        <f>611.155/1000+303.458/1000+9*yrSales!M142/1000000+(yrSales!M116)</f>
        <v>1.1286338</v>
      </c>
      <c r="AH97" s="691"/>
      <c r="AI97" s="691"/>
      <c r="AJ97" s="1114">
        <f>AVERAGE(AG97,AG96)</f>
        <v>1.1115938666666667</v>
      </c>
      <c r="AL97" s="980">
        <f>(AJ97/AJ90-1)*100</f>
        <v>16.075856972647795</v>
      </c>
      <c r="AN97" s="564">
        <f>H97/AL97*100</f>
        <v>26.610687708862415</v>
      </c>
      <c r="AO97" s="216"/>
      <c r="AQ97" s="165">
        <f>U97</f>
        <v>805.60299999999995</v>
      </c>
      <c r="AS97" s="1072">
        <f>AQ97/AJ97</f>
        <v>724.72782025665481</v>
      </c>
      <c r="AU97" s="1092">
        <f>(AS97/AS90-1)*100</f>
        <v>11.976684459148768</v>
      </c>
      <c r="AW97" s="534"/>
      <c r="AX97" s="1123"/>
      <c r="AY97" s="1029"/>
      <c r="AZ97" s="1061"/>
    </row>
    <row r="98" spans="1:52" hidden="1" outlineLevel="1">
      <c r="A98" s="3" t="str">
        <f t="shared" si="6"/>
        <v>3Q</v>
      </c>
      <c r="B98" s="216" t="str">
        <f t="shared" si="6"/>
        <v>Mar</v>
      </c>
      <c r="D98" s="1092">
        <f>(U98/U91-1)*100</f>
        <v>30.348037805544092</v>
      </c>
      <c r="F98" s="999">
        <f>'qtrP&amp;L'!BB12</f>
        <v>20</v>
      </c>
      <c r="H98" s="980">
        <f>D98-F98</f>
        <v>10.348037805544092</v>
      </c>
      <c r="J98" s="184">
        <f>244+90</f>
        <v>334</v>
      </c>
      <c r="K98" s="184"/>
      <c r="L98" s="184">
        <f>244+90+136</f>
        <v>470</v>
      </c>
      <c r="M98" s="691"/>
      <c r="N98" s="564">
        <f>AVERAGE(J98,J97)</f>
        <v>330.5</v>
      </c>
      <c r="P98" s="980">
        <f>(N98/N91-1)*100</f>
        <v>14.558058925476614</v>
      </c>
      <c r="R98" s="564">
        <f>H98/P98*100</f>
        <v>71.081164449987341</v>
      </c>
      <c r="U98" s="1130">
        <f>'qtrP&amp;L'!AZ12</f>
        <v>625.303</v>
      </c>
      <c r="V98" s="1130"/>
      <c r="X98" s="1091">
        <f>U98/N98</f>
        <v>1.8919909228441756</v>
      </c>
      <c r="Z98" s="1092">
        <f>(X98/X91-1)*100</f>
        <v>13.783385497426547</v>
      </c>
      <c r="AA98" s="1092"/>
      <c r="AB98" s="1093"/>
      <c r="AC98" s="1093"/>
      <c r="AD98" s="1093"/>
      <c r="AE98" s="1093"/>
      <c r="AG98" s="1122">
        <f>629.402/1000+307.704/1000+18*yrSales!M142/1000000+(yrSales!M116)</f>
        <v>1.1707726000000001</v>
      </c>
      <c r="AH98" s="691"/>
      <c r="AI98" s="691"/>
      <c r="AJ98" s="1114">
        <f>AVERAGE(AG98,AG97)</f>
        <v>1.1497032</v>
      </c>
      <c r="AL98" s="980">
        <f>(AJ98/AJ91-1)*100</f>
        <v>19.018114160797282</v>
      </c>
      <c r="AN98" s="564">
        <f>H98/AL98*100</f>
        <v>54.411482221906482</v>
      </c>
      <c r="AQ98" s="165">
        <f>U98</f>
        <v>625.303</v>
      </c>
      <c r="AS98" s="1072">
        <f>AQ98/AJ98</f>
        <v>543.88210800839727</v>
      </c>
      <c r="AU98" s="1092">
        <f>(AS98/AS91-1)*100</f>
        <v>9.5194951832623609</v>
      </c>
      <c r="AW98" s="534"/>
      <c r="AX98" s="1123"/>
      <c r="AY98" s="1029"/>
      <c r="AZ98" s="1061"/>
    </row>
    <row r="99" spans="1:52" hidden="1" outlineLevel="1">
      <c r="A99" s="3" t="str">
        <f t="shared" si="6"/>
        <v>4Q</v>
      </c>
      <c r="B99" s="216" t="str">
        <f t="shared" si="6"/>
        <v>June</v>
      </c>
      <c r="D99" s="1103">
        <f>(U99/U92-1)*100</f>
        <v>30.016767250230792</v>
      </c>
      <c r="F99" s="972">
        <f>'qtrP&amp;L'!BB13</f>
        <v>20.2</v>
      </c>
      <c r="H99" s="1033">
        <f>D99-F99</f>
        <v>9.816767250230793</v>
      </c>
      <c r="J99" s="61">
        <f>yrSales!N62+yrSales!N64</f>
        <v>352</v>
      </c>
      <c r="K99" s="61"/>
      <c r="L99" s="61">
        <f>+yrSales!N62+yrSales!N64+yrSales!N67</f>
        <v>489</v>
      </c>
      <c r="M99" s="691"/>
      <c r="N99" s="1099">
        <f>AVERAGE(J99,J98)</f>
        <v>343</v>
      </c>
      <c r="P99" s="1033">
        <f>(N99/N92-1)*100</f>
        <v>15.488215488215484</v>
      </c>
      <c r="R99" s="1099">
        <f>H99/P99*100</f>
        <v>63.382171159098831</v>
      </c>
      <c r="T99" s="61"/>
      <c r="U99" s="1101">
        <f>'qtrP&amp;L'!AZ13</f>
        <v>652.12900000000002</v>
      </c>
      <c r="V99" s="1130"/>
      <c r="W99" s="61"/>
      <c r="X99" s="1385">
        <f>U99/N99</f>
        <v>1.9012507288629739</v>
      </c>
      <c r="Z99" s="1103">
        <f>(X99/X92-1)*100</f>
        <v>12.580116248742112</v>
      </c>
      <c r="AA99" s="1092"/>
      <c r="AB99" s="1093"/>
      <c r="AC99" s="1093"/>
      <c r="AD99" s="1093"/>
      <c r="AE99" s="1093"/>
      <c r="AG99" s="1122">
        <f>+yrSales!N88</f>
        <v>1.2239710000000001</v>
      </c>
      <c r="AH99" s="691"/>
      <c r="AI99" s="691"/>
      <c r="AJ99" s="1121">
        <f>AVERAGE(AG99,AG98)</f>
        <v>1.1973718</v>
      </c>
      <c r="AL99" s="1033">
        <f>(AJ99/AJ92-1)*100</f>
        <v>19.687808778878725</v>
      </c>
      <c r="AN99" s="1099">
        <f>H99/AL99*100</f>
        <v>49.862162724590853</v>
      </c>
      <c r="AQ99" s="1101">
        <f>U99</f>
        <v>652.12900000000002</v>
      </c>
      <c r="AS99" s="1113">
        <f>AQ99/AJ99</f>
        <v>544.63367184695687</v>
      </c>
      <c r="AU99" s="1103">
        <f>(AS99/AS92-1)*100</f>
        <v>8.6299169286611743</v>
      </c>
      <c r="AW99" s="534"/>
      <c r="AX99" s="1123"/>
      <c r="AY99" s="1029"/>
      <c r="AZ99" s="1061"/>
    </row>
    <row r="100" spans="1:52" hidden="1" outlineLevel="1">
      <c r="B100" s="216" t="str">
        <f>B93</f>
        <v>Year</v>
      </c>
      <c r="D100" s="980">
        <f>(U100/U93-1)*100</f>
        <v>28.370475816560536</v>
      </c>
      <c r="F100" s="1131">
        <f>'qtrP&amp;L'!BB14</f>
        <v>22.3</v>
      </c>
      <c r="H100" s="980">
        <f>D100-F100</f>
        <v>6.0704758165605348</v>
      </c>
      <c r="N100" s="564">
        <f>AVERAGE(N96:N99)</f>
        <v>326.5</v>
      </c>
      <c r="P100" s="980">
        <f>(N100/N93-1)*100</f>
        <v>13.515862668405031</v>
      </c>
      <c r="R100" s="564">
        <f>H100/P100*100</f>
        <v>44.913713356610288</v>
      </c>
      <c r="U100" s="705">
        <f>SUM(U96:U99)</f>
        <v>2612.4559999999997</v>
      </c>
      <c r="V100" s="705"/>
      <c r="X100" s="1091">
        <f>U100/N100</f>
        <v>8.0013966309341491</v>
      </c>
      <c r="Z100" s="1092">
        <f>(X100/X93-1)*100</f>
        <v>13.085936008386589</v>
      </c>
      <c r="AA100" s="1092"/>
      <c r="AB100" s="1093"/>
      <c r="AC100" s="1093"/>
      <c r="AD100" s="1093"/>
      <c r="AE100" s="1093"/>
      <c r="AG100" s="1122"/>
      <c r="AJ100" s="1114">
        <f>AVERAGE(AJ96:AJ99)</f>
        <v>1.1313258333333334</v>
      </c>
      <c r="AL100" s="980">
        <f>(AJ100/AJ93-1)*100</f>
        <v>17.565564388378551</v>
      </c>
      <c r="AN100" s="564">
        <f>H100/AL100*100</f>
        <v>34.558956845000587</v>
      </c>
      <c r="AQ100" s="705">
        <f>U100</f>
        <v>2612.4559999999997</v>
      </c>
      <c r="AS100" s="1112">
        <f>SUM(AS96:AS99)</f>
        <v>2309.5907710922329</v>
      </c>
      <c r="AU100" s="1092">
        <f>(AS100/AS93-1)*100</f>
        <v>9.2360656946615762</v>
      </c>
      <c r="AW100" s="1107"/>
      <c r="AX100" s="1029"/>
      <c r="AY100" s="1029"/>
    </row>
    <row r="101" spans="1:52" hidden="1" outlineLevel="1">
      <c r="B101" s="216"/>
      <c r="D101" s="980"/>
      <c r="F101" s="1131"/>
      <c r="H101" s="980"/>
      <c r="J101" s="2"/>
      <c r="K101" s="2"/>
      <c r="L101" s="2"/>
      <c r="N101" s="564"/>
      <c r="P101" s="980"/>
      <c r="R101" s="564"/>
      <c r="U101" s="705"/>
      <c r="V101" s="705"/>
      <c r="X101" s="1091"/>
      <c r="Z101" s="1092"/>
      <c r="AA101" s="1092"/>
      <c r="AB101" s="1093"/>
      <c r="AC101" s="1093"/>
      <c r="AD101" s="1093"/>
      <c r="AE101" s="1093"/>
      <c r="AG101" s="1133"/>
      <c r="AJ101" s="1114"/>
      <c r="AL101" s="980"/>
      <c r="AN101" s="564"/>
      <c r="AQ101" s="705"/>
      <c r="AS101" s="1112"/>
      <c r="AU101" s="1092"/>
      <c r="AW101" s="1107"/>
      <c r="AX101" s="1029"/>
      <c r="AY101" s="1029"/>
    </row>
    <row r="102" spans="1:52" hidden="1" outlineLevel="1">
      <c r="A102" s="1089"/>
      <c r="B102" s="1126" t="s">
        <v>636</v>
      </c>
      <c r="E102" s="217"/>
      <c r="G102" s="217"/>
      <c r="I102" s="217"/>
      <c r="J102" s="61"/>
      <c r="K102" s="61"/>
      <c r="L102" s="61"/>
      <c r="Q102" s="217"/>
      <c r="S102" s="216"/>
      <c r="AF102" s="217"/>
      <c r="AG102" s="1134"/>
      <c r="AJ102" s="1114"/>
      <c r="AM102" s="217"/>
      <c r="AO102" s="216"/>
      <c r="AV102" s="217"/>
      <c r="AY102" s="56"/>
    </row>
    <row r="103" spans="1:52" hidden="1" outlineLevel="1">
      <c r="A103" s="3" t="str">
        <f t="shared" ref="A103:B106" si="7">A96</f>
        <v>1Q</v>
      </c>
      <c r="B103" s="216" t="str">
        <f t="shared" si="7"/>
        <v>Sept</v>
      </c>
      <c r="D103" s="1092">
        <f>(U103/U96-1)*100</f>
        <v>27.822281322425791</v>
      </c>
      <c r="E103" s="217" t="s">
        <v>428</v>
      </c>
      <c r="F103" s="999">
        <f>'qtrP&amp;L'!BF10</f>
        <v>19.3</v>
      </c>
      <c r="G103" s="217" t="s">
        <v>428</v>
      </c>
      <c r="H103" s="980">
        <f>D103-F103</f>
        <v>8.5222813224257905</v>
      </c>
      <c r="I103" s="217" t="s">
        <v>428</v>
      </c>
      <c r="J103" s="184">
        <f>272+96</f>
        <v>368</v>
      </c>
      <c r="K103" s="184"/>
      <c r="L103" s="184">
        <f>272+96+141</f>
        <v>509</v>
      </c>
      <c r="M103" s="691"/>
      <c r="N103" s="564">
        <f>AVERAGE(J103,J99)</f>
        <v>360</v>
      </c>
      <c r="P103" s="980">
        <f>(N103/N96-1)*100</f>
        <v>15.94202898550725</v>
      </c>
      <c r="Q103" s="217" t="s">
        <v>428</v>
      </c>
      <c r="R103" s="1128">
        <f>H103/P103*100</f>
        <v>53.45794647703449</v>
      </c>
      <c r="S103" s="216" t="s">
        <v>428</v>
      </c>
      <c r="U103" s="705">
        <v>676.71799999999996</v>
      </c>
      <c r="V103" s="705"/>
      <c r="X103" s="1091">
        <f>U103/N103</f>
        <v>1.8797722222222222</v>
      </c>
      <c r="Z103" s="1092">
        <f>(X103/X96-1)*100</f>
        <v>10.246717640592262</v>
      </c>
      <c r="AA103" s="1092"/>
      <c r="AB103" s="1093"/>
      <c r="AC103" s="1093"/>
      <c r="AD103" s="1093"/>
      <c r="AE103" s="1093"/>
      <c r="AF103" s="217" t="s">
        <v>428</v>
      </c>
      <c r="AG103" s="1122">
        <f>716.152/1000+340.827/1000+4*yrSales!N142/1000000+(yrSales!N116)</f>
        <v>1.2943119473684213</v>
      </c>
      <c r="AH103" s="691"/>
      <c r="AI103" s="691"/>
      <c r="AJ103" s="1114">
        <f>AVERAGE(AG103,AG99)</f>
        <v>1.2591414736842106</v>
      </c>
      <c r="AL103" s="980">
        <f>(AJ103/AJ96-1)*100</f>
        <v>18.048076734211161</v>
      </c>
      <c r="AM103" s="217" t="s">
        <v>428</v>
      </c>
      <c r="AN103" s="564">
        <f>H103/AL103*100</f>
        <v>47.219886350944634</v>
      </c>
      <c r="AO103" s="216" t="s">
        <v>428</v>
      </c>
      <c r="AQ103" s="705">
        <f>U103</f>
        <v>676.71799999999996</v>
      </c>
      <c r="AS103" s="1112">
        <f>AQ103/AJ103</f>
        <v>537.44397602911386</v>
      </c>
      <c r="AU103" s="1092">
        <f>(AS103/AS96-1)*100</f>
        <v>8.2798507681082878</v>
      </c>
      <c r="AV103" s="217" t="s">
        <v>428</v>
      </c>
      <c r="AW103" s="534"/>
      <c r="AX103" s="1123"/>
      <c r="AY103" s="1029"/>
      <c r="AZ103" s="1061"/>
    </row>
    <row r="104" spans="1:52" hidden="1" outlineLevel="1">
      <c r="A104" s="3" t="str">
        <f t="shared" si="7"/>
        <v>2Q</v>
      </c>
      <c r="B104" s="216" t="str">
        <f t="shared" si="7"/>
        <v>Dec</v>
      </c>
      <c r="D104" s="1092">
        <f>(U104/U97-1)*100</f>
        <v>21.401856745816495</v>
      </c>
      <c r="F104" s="999">
        <f>'qtrP&amp;L'!BF11</f>
        <v>7</v>
      </c>
      <c r="H104" s="980">
        <f t="shared" ref="H104:H153" si="8">D104-F104</f>
        <v>14.401856745816495</v>
      </c>
      <c r="J104" s="184">
        <f>282+99</f>
        <v>381</v>
      </c>
      <c r="K104" s="184"/>
      <c r="L104" s="184">
        <f>282+99+147</f>
        <v>528</v>
      </c>
      <c r="M104" s="691"/>
      <c r="N104" s="564">
        <f>AVERAGE(J104,J103)</f>
        <v>374.5</v>
      </c>
      <c r="P104" s="980">
        <f>(N104/N97-1)*100</f>
        <v>16.304347826086961</v>
      </c>
      <c r="R104" s="1128">
        <f>H104/P104*100</f>
        <v>88.331388041007813</v>
      </c>
      <c r="U104" s="705">
        <v>978.01699999999994</v>
      </c>
      <c r="V104" s="1130"/>
      <c r="X104" s="1091">
        <f>U104/N104</f>
        <v>2.611527369826435</v>
      </c>
      <c r="Z104" s="1092">
        <f>(X104/X97-1)*100</f>
        <v>4.3829048655618319</v>
      </c>
      <c r="AA104" s="1092"/>
      <c r="AB104" s="1093"/>
      <c r="AC104" s="1093"/>
      <c r="AD104" s="1093"/>
      <c r="AE104" s="1093"/>
      <c r="AG104" s="1122">
        <f>747.787/1000+360.451/1000+10*yrSales!N142/1000000+(yrSales!N116)</f>
        <v>1.3567773684210527</v>
      </c>
      <c r="AH104" s="691"/>
      <c r="AI104" s="691"/>
      <c r="AJ104" s="1114">
        <f>AVERAGE(AG104,AG103)</f>
        <v>1.325544657894737</v>
      </c>
      <c r="AL104" s="980">
        <f>(AJ104/AJ97-1)*100</f>
        <v>19.247208683297611</v>
      </c>
      <c r="AN104" s="564">
        <f>H104/AL104*100</f>
        <v>74.825690222365466</v>
      </c>
      <c r="AO104" s="216"/>
      <c r="AQ104" s="165">
        <f>U104</f>
        <v>978.01699999999994</v>
      </c>
      <c r="AS104" s="1072">
        <f>AQ104/AJ104</f>
        <v>737.82274642735229</v>
      </c>
      <c r="AU104" s="1092">
        <f>(AS104/AS97-1)*100</f>
        <v>1.8068750508377196</v>
      </c>
      <c r="AW104" s="534"/>
      <c r="AX104" s="1123"/>
      <c r="AY104" s="1029"/>
      <c r="AZ104" s="1061"/>
    </row>
    <row r="105" spans="1:52" hidden="1" outlineLevel="1">
      <c r="A105" s="3" t="str">
        <f t="shared" si="7"/>
        <v>3Q</v>
      </c>
      <c r="B105" s="216" t="str">
        <f t="shared" si="7"/>
        <v>Mar</v>
      </c>
      <c r="D105" s="1092">
        <f>(U105/U98-1)*100</f>
        <v>18.982317372537793</v>
      </c>
      <c r="F105" s="999">
        <f>'qtrP&amp;L'!BF12</f>
        <v>9</v>
      </c>
      <c r="H105" s="980">
        <f t="shared" si="8"/>
        <v>9.9823173725377927</v>
      </c>
      <c r="J105" s="184">
        <f>287+101</f>
        <v>388</v>
      </c>
      <c r="K105" s="184"/>
      <c r="L105" s="184">
        <f>287+101+147</f>
        <v>535</v>
      </c>
      <c r="M105" s="691"/>
      <c r="N105" s="564">
        <f>AVERAGE(J105,J104)</f>
        <v>384.5</v>
      </c>
      <c r="P105" s="980">
        <f>(N105/N98-1)*100</f>
        <v>16.338880484114981</v>
      </c>
      <c r="R105" s="1128">
        <f>H105/P105*100</f>
        <v>61.095479474513702</v>
      </c>
      <c r="U105" s="705">
        <v>744</v>
      </c>
      <c r="V105" s="1130"/>
      <c r="X105" s="1091">
        <f>U105/N105</f>
        <v>1.9349804941482445</v>
      </c>
      <c r="Z105" s="1092">
        <f>(X105/X98-1)*100</f>
        <v>2.2721869743140166</v>
      </c>
      <c r="AA105" s="1092"/>
      <c r="AB105" s="1093"/>
      <c r="AC105" s="1093"/>
      <c r="AD105" s="1093"/>
      <c r="AE105" s="1093"/>
      <c r="AG105" s="1122">
        <f>761.836/1000+373.008/1000+10*yrSales!N142/1000000+(yrSales!N116)</f>
        <v>1.3833833684210526</v>
      </c>
      <c r="AH105" s="691"/>
      <c r="AI105" s="691"/>
      <c r="AJ105" s="1114">
        <f>AVERAGE(AG105,AG104)</f>
        <v>1.3700803684210525</v>
      </c>
      <c r="AL105" s="980">
        <f>(AJ105/AJ98-1)*100</f>
        <v>19.168179093617589</v>
      </c>
      <c r="AN105" s="564">
        <f>H105/AL105*100</f>
        <v>52.07754645751195</v>
      </c>
      <c r="AQ105" s="165">
        <f>U105</f>
        <v>744</v>
      </c>
      <c r="AS105" s="1072">
        <f>AQ105/AJ105</f>
        <v>543.03383739263552</v>
      </c>
      <c r="AU105" s="1092">
        <f>(AS105/AS98-1)*100</f>
        <v>-0.15596589835763508</v>
      </c>
      <c r="AW105" s="534"/>
      <c r="AX105" s="1123"/>
      <c r="AY105" s="1029"/>
      <c r="AZ105" s="1061"/>
    </row>
    <row r="106" spans="1:52" hidden="1" outlineLevel="1">
      <c r="A106" s="3" t="str">
        <f t="shared" si="7"/>
        <v>4Q</v>
      </c>
      <c r="B106" s="216" t="str">
        <f t="shared" si="7"/>
        <v>June</v>
      </c>
      <c r="D106" s="1103">
        <f>(U106/U99-1)*100</f>
        <v>19.924892160906825</v>
      </c>
      <c r="F106" s="972">
        <f>'qtrP&amp;L'!BF13</f>
        <v>6.7</v>
      </c>
      <c r="H106" s="1033">
        <f t="shared" si="8"/>
        <v>13.224892160906826</v>
      </c>
      <c r="J106" s="61">
        <f>yrSales!O62+yrSales!O64</f>
        <v>399</v>
      </c>
      <c r="K106" s="61"/>
      <c r="L106" s="61">
        <f>yrSales!$O$61</f>
        <v>548</v>
      </c>
      <c r="M106" s="691"/>
      <c r="N106" s="1099">
        <f>AVERAGE(J106,J105)</f>
        <v>393.5</v>
      </c>
      <c r="P106" s="1033">
        <f>(N106/N99-1)*100</f>
        <v>14.723032069970854</v>
      </c>
      <c r="R106" s="1129">
        <f>H106/P106*100</f>
        <v>89.82451507308987</v>
      </c>
      <c r="T106" s="61"/>
      <c r="U106" s="1380">
        <v>782.06500000000017</v>
      </c>
      <c r="V106" s="1130"/>
      <c r="W106" s="61"/>
      <c r="X106" s="1091">
        <f>U106/N106</f>
        <v>1.9874587039390093</v>
      </c>
      <c r="Z106" s="1103">
        <f>(X106/X99-1)*100</f>
        <v>4.5342770297104096</v>
      </c>
      <c r="AA106" s="1092"/>
      <c r="AB106" s="1093"/>
      <c r="AC106" s="1093"/>
      <c r="AD106" s="1093"/>
      <c r="AE106" s="1093"/>
      <c r="AG106" s="1122">
        <f>+yrSales!O88</f>
        <v>1.4686079999999999</v>
      </c>
      <c r="AH106" s="691"/>
      <c r="AI106" s="691"/>
      <c r="AJ106" s="1121">
        <f>AVERAGE(AG106,AG105)</f>
        <v>1.4259956842105264</v>
      </c>
      <c r="AL106" s="1033">
        <f>(AJ106/AJ99-1)*100</f>
        <v>19.093808974833571</v>
      </c>
      <c r="AN106" s="1099">
        <f>H106/AL106*100</f>
        <v>69.262723735938607</v>
      </c>
      <c r="AQ106" s="1101">
        <f>U106</f>
        <v>782.06500000000017</v>
      </c>
      <c r="AS106" s="1113">
        <f>AQ106/AJ106</f>
        <v>548.43433865858765</v>
      </c>
      <c r="AU106" s="1103">
        <f>(AS106/AS99-1)*100</f>
        <v>0.69783911794178977</v>
      </c>
      <c r="AW106" s="534"/>
      <c r="AX106" s="1123"/>
      <c r="AY106" s="1029"/>
      <c r="AZ106" s="1061"/>
    </row>
    <row r="107" spans="1:52" hidden="1" outlineLevel="1">
      <c r="B107" s="216" t="str">
        <f>B100</f>
        <v>Year</v>
      </c>
      <c r="D107" s="980">
        <f>(U107/U100-1)*100</f>
        <v>21.755160661079099</v>
      </c>
      <c r="F107" s="1131">
        <f>'qtrP&amp;L'!BF14</f>
        <v>9.8000000000000007</v>
      </c>
      <c r="H107" s="980">
        <f t="shared" si="8"/>
        <v>11.955160661079098</v>
      </c>
      <c r="N107" s="564">
        <f>AVERAGE(N103:N106)</f>
        <v>378.125</v>
      </c>
      <c r="P107" s="980">
        <f>(N107/N100-1)*100</f>
        <v>15.811638591117916</v>
      </c>
      <c r="R107" s="564">
        <f>H107/P107*100</f>
        <v>75.609878079270231</v>
      </c>
      <c r="U107" s="705">
        <v>3180.8</v>
      </c>
      <c r="V107" s="705"/>
      <c r="X107" s="1091">
        <f>U107/N107</f>
        <v>8.4120330578512394</v>
      </c>
      <c r="Z107" s="1092">
        <f>(X107/X100-1)*100</f>
        <v>5.1320593873515952</v>
      </c>
      <c r="AA107" s="1092"/>
      <c r="AB107" s="1093"/>
      <c r="AC107" s="1093"/>
      <c r="AD107" s="1093"/>
      <c r="AE107" s="1093"/>
      <c r="AG107" s="1134"/>
      <c r="AJ107" s="1114">
        <f>AVERAGE(AJ103:AJ106)</f>
        <v>1.3451905460526317</v>
      </c>
      <c r="AL107" s="980">
        <f>(AJ107/AJ100-1)*100</f>
        <v>18.903900752373715</v>
      </c>
      <c r="AN107" s="564">
        <f>H107/AL107*100</f>
        <v>63.241765906848194</v>
      </c>
      <c r="AQ107" s="705">
        <f>U107</f>
        <v>3180.8</v>
      </c>
      <c r="AS107" s="1112">
        <f>SUM(AS103:AS106)</f>
        <v>2366.7348985076896</v>
      </c>
      <c r="AU107" s="1092">
        <f>(AS107/AS100-1)*100</f>
        <v>2.474210069190419</v>
      </c>
      <c r="AW107" s="1107"/>
      <c r="AX107" s="1029"/>
      <c r="AY107" s="1029"/>
    </row>
    <row r="108" spans="1:52" hidden="1" outlineLevel="1">
      <c r="B108" s="216"/>
      <c r="D108" s="980"/>
      <c r="F108" s="1131"/>
      <c r="H108" s="980"/>
      <c r="N108" s="564"/>
      <c r="P108" s="980"/>
      <c r="R108" s="564"/>
      <c r="U108" s="705"/>
      <c r="V108" s="705"/>
      <c r="X108" s="1091"/>
      <c r="Z108" s="1092"/>
      <c r="AA108" s="1092"/>
      <c r="AB108" s="1093"/>
      <c r="AC108" s="1093"/>
      <c r="AD108" s="1093"/>
      <c r="AE108" s="1093"/>
      <c r="AG108" s="1114"/>
      <c r="AJ108" s="1114"/>
      <c r="AL108" s="980"/>
      <c r="AN108" s="564"/>
      <c r="AQ108" s="705"/>
      <c r="AS108" s="1112"/>
      <c r="AU108" s="1092"/>
      <c r="AW108" s="1107"/>
      <c r="AX108" s="1029"/>
      <c r="AY108" s="1029"/>
    </row>
    <row r="109" spans="1:52" hidden="1" outlineLevel="1">
      <c r="A109" s="1089"/>
      <c r="B109" s="1126" t="s">
        <v>422</v>
      </c>
      <c r="E109" s="217"/>
      <c r="G109" s="217"/>
      <c r="H109" s="980"/>
      <c r="I109" s="217"/>
      <c r="L109" s="61"/>
      <c r="Q109" s="217"/>
      <c r="S109" s="216"/>
      <c r="U109" s="705"/>
      <c r="AF109" s="217"/>
      <c r="AG109" s="1122"/>
      <c r="AJ109" s="1114"/>
      <c r="AM109" s="217"/>
      <c r="AO109" s="216"/>
      <c r="AV109" s="217"/>
      <c r="AY109" s="56"/>
    </row>
    <row r="110" spans="1:52" hidden="1" outlineLevel="1">
      <c r="A110" s="3" t="str">
        <f t="shared" ref="A110:B113" si="9">A103</f>
        <v>1Q</v>
      </c>
      <c r="B110" s="216" t="str">
        <f t="shared" si="9"/>
        <v>Sept</v>
      </c>
      <c r="D110" s="1092">
        <f>(U110/U103-1)*100</f>
        <v>11.202746195608814</v>
      </c>
      <c r="E110" s="217" t="s">
        <v>428</v>
      </c>
      <c r="F110" s="999">
        <f>'qtrP&amp;L'!BJ10</f>
        <v>0.6</v>
      </c>
      <c r="G110" s="217" t="s">
        <v>428</v>
      </c>
      <c r="H110" s="980">
        <f t="shared" si="8"/>
        <v>10.602746195608814</v>
      </c>
      <c r="I110" s="217" t="s">
        <v>428</v>
      </c>
      <c r="J110" s="184">
        <f>318+103</f>
        <v>421</v>
      </c>
      <c r="K110" s="184"/>
      <c r="L110" s="184">
        <f>318+103+158</f>
        <v>579</v>
      </c>
      <c r="M110" s="691"/>
      <c r="N110" s="564">
        <f>AVERAGE(J110,J106)</f>
        <v>410</v>
      </c>
      <c r="P110" s="980">
        <f>(N110/N103-1)*100</f>
        <v>13.888888888888884</v>
      </c>
      <c r="Q110" s="217" t="s">
        <v>428</v>
      </c>
      <c r="R110" s="1128">
        <f>H110/P110*100</f>
        <v>76.339772608383498</v>
      </c>
      <c r="S110" s="216" t="s">
        <v>428</v>
      </c>
      <c r="U110" s="705">
        <v>752.529</v>
      </c>
      <c r="V110" s="705"/>
      <c r="X110" s="1091">
        <f>U110/N110</f>
        <v>1.8354365853658536</v>
      </c>
      <c r="Z110" s="1092">
        <f>(X110/X103-1)*100</f>
        <v>-2.3585643160508041</v>
      </c>
      <c r="AA110" s="1092"/>
      <c r="AB110" s="1093"/>
      <c r="AC110" s="1093"/>
      <c r="AD110" s="1093"/>
      <c r="AE110" s="1093"/>
      <c r="AF110" s="217" t="s">
        <v>428</v>
      </c>
      <c r="AG110" s="1122">
        <f>856.375/1000+427.54/1000+4*yrSales!O142/1000000+(yrSales!O116)</f>
        <v>1.5511079999999999</v>
      </c>
      <c r="AH110" s="691"/>
      <c r="AI110" s="691"/>
      <c r="AJ110" s="1114">
        <f>AVERAGE(AG110,AG106)</f>
        <v>1.5098579999999999</v>
      </c>
      <c r="AL110" s="980">
        <f>(AJ110/AJ103-1)*100</f>
        <v>19.911704248943551</v>
      </c>
      <c r="AM110" s="217" t="s">
        <v>428</v>
      </c>
      <c r="AN110" s="564">
        <f>H110/AL110*100</f>
        <v>53.248813175654519</v>
      </c>
      <c r="AO110" s="216" t="s">
        <v>428</v>
      </c>
      <c r="AQ110" s="705">
        <f t="shared" ref="AQ110:AQ115" si="10">U110</f>
        <v>752.529</v>
      </c>
      <c r="AS110" s="1112">
        <f>AQ110/AJ110</f>
        <v>498.4104465453043</v>
      </c>
      <c r="AU110" s="1092">
        <f>(AS110/AS103-1)*100</f>
        <v>-7.2628090042440192</v>
      </c>
      <c r="AV110" s="217" t="s">
        <v>428</v>
      </c>
      <c r="AW110" s="534"/>
      <c r="AX110" s="1123"/>
      <c r="AY110" s="1029"/>
      <c r="AZ110" s="1061"/>
    </row>
    <row r="111" spans="1:52" hidden="1" outlineLevel="1">
      <c r="A111" s="3" t="str">
        <f t="shared" si="9"/>
        <v>2Q</v>
      </c>
      <c r="B111" s="216" t="str">
        <f t="shared" si="9"/>
        <v>Dec</v>
      </c>
      <c r="D111" s="1092">
        <f>(U111/U104-1)*100</f>
        <v>-1.8160216028964671</v>
      </c>
      <c r="F111" s="999">
        <f>'qtrP&amp;L'!BJ11</f>
        <v>-13.2</v>
      </c>
      <c r="H111" s="980">
        <f t="shared" si="8"/>
        <v>11.383978397103533</v>
      </c>
      <c r="J111" s="184">
        <f>324+106</f>
        <v>430</v>
      </c>
      <c r="K111" s="184"/>
      <c r="L111" s="184">
        <f>324+106+155</f>
        <v>585</v>
      </c>
      <c r="M111" s="691"/>
      <c r="N111" s="564">
        <f>AVERAGE(J111,J110)</f>
        <v>425.5</v>
      </c>
      <c r="P111" s="980">
        <f>(N111/N104-1)*100</f>
        <v>13.618157543391195</v>
      </c>
      <c r="R111" s="1128">
        <f>H111/P111*100</f>
        <v>83.594115876770019</v>
      </c>
      <c r="U111" s="705">
        <v>960.25599999999997</v>
      </c>
      <c r="V111" s="1130"/>
      <c r="X111" s="1091">
        <f>U111/N111</f>
        <v>2.256770857814336</v>
      </c>
      <c r="Z111" s="1092">
        <f>(X111/X104-1)*100</f>
        <v>-13.584254031221455</v>
      </c>
      <c r="AA111" s="1092"/>
      <c r="AB111" s="1093"/>
      <c r="AC111" s="1093"/>
      <c r="AD111" s="1093"/>
      <c r="AE111" s="1093"/>
      <c r="AG111" s="1122">
        <f>874.544/1000+440.557/1000+6*yrSales!O142/1000000+(yrSales!O116)</f>
        <v>1.5858939999999999</v>
      </c>
      <c r="AH111" s="691"/>
      <c r="AI111" s="691"/>
      <c r="AJ111" s="1114">
        <f>AVERAGE(AG111,AG110)</f>
        <v>1.5685009999999999</v>
      </c>
      <c r="AL111" s="980">
        <f>(AJ111/AJ104-1)*100</f>
        <v>18.328793425272629</v>
      </c>
      <c r="AN111" s="564">
        <f>H111/AL111*100</f>
        <v>62.109807956080466</v>
      </c>
      <c r="AO111" s="216"/>
      <c r="AQ111" s="165">
        <f t="shared" si="10"/>
        <v>960.25599999999997</v>
      </c>
      <c r="AS111" s="1072">
        <f>AQ111/AJ111</f>
        <v>612.21255198434687</v>
      </c>
      <c r="AU111" s="1092">
        <f>(AS111/AS104-1)*100</f>
        <v>-17.02444049756242</v>
      </c>
      <c r="AW111" s="1135" t="s">
        <v>327</v>
      </c>
      <c r="AX111" s="1136"/>
      <c r="AY111" s="1137"/>
      <c r="AZ111" s="1061"/>
    </row>
    <row r="112" spans="1:52" hidden="1" outlineLevel="1">
      <c r="A112" s="3" t="str">
        <f t="shared" si="9"/>
        <v>3Q</v>
      </c>
      <c r="B112" s="216" t="str">
        <f t="shared" si="9"/>
        <v>Mar</v>
      </c>
      <c r="D112" s="1092">
        <f>(U112/U105-1)*100</f>
        <v>-0.54583333333332318</v>
      </c>
      <c r="F112" s="999">
        <f>'qtrP&amp;L'!BJ12</f>
        <v>-4.2</v>
      </c>
      <c r="H112" s="980">
        <f t="shared" si="8"/>
        <v>3.654166666666677</v>
      </c>
      <c r="J112" s="184">
        <f>324+109</f>
        <v>433</v>
      </c>
      <c r="K112" s="184"/>
      <c r="L112" s="184">
        <f>324+109+156</f>
        <v>589</v>
      </c>
      <c r="M112" s="691"/>
      <c r="N112" s="564">
        <f>AVERAGE(J112,J111)</f>
        <v>431.5</v>
      </c>
      <c r="P112" s="980">
        <f>(N112/N105-1)*100</f>
        <v>12.223667100130031</v>
      </c>
      <c r="R112" s="1128">
        <f>H112/P112*100</f>
        <v>29.894193262411449</v>
      </c>
      <c r="U112" s="705">
        <v>739.93900000000008</v>
      </c>
      <c r="V112" s="1130"/>
      <c r="X112" s="1091">
        <f>U112/N112</f>
        <v>1.714806488991889</v>
      </c>
      <c r="Z112" s="1092">
        <f>(X112/X105-1)*100</f>
        <v>-11.378616261104657</v>
      </c>
      <c r="AA112" s="1092"/>
      <c r="AB112" s="1093"/>
      <c r="AC112" s="1093"/>
      <c r="AD112" s="1093"/>
      <c r="AE112" s="1093"/>
      <c r="AG112" s="1122">
        <f>875.347/1000+457.956/1000+7*yrSales!O142/1000000+(yrSales!O116)</f>
        <v>1.6058959999999998</v>
      </c>
      <c r="AH112" s="691"/>
      <c r="AI112" s="691"/>
      <c r="AJ112" s="1114">
        <f>AVERAGE(AG112,AG111)</f>
        <v>1.5958949999999998</v>
      </c>
      <c r="AL112" s="980">
        <f>(AJ112/AJ105-1)*100</f>
        <v>16.481852947005372</v>
      </c>
      <c r="AN112" s="564">
        <f>H112/AL112*100</f>
        <v>22.170848620091661</v>
      </c>
      <c r="AQ112" s="165">
        <f t="shared" si="10"/>
        <v>739.93900000000008</v>
      </c>
      <c r="AS112" s="1072">
        <f>AQ112/AJ112</f>
        <v>463.65143070189464</v>
      </c>
      <c r="AU112" s="1092">
        <f>(AS112/AS105-1)*100</f>
        <v>-14.618316801747323</v>
      </c>
      <c r="AW112" s="534"/>
      <c r="AX112" s="1123" t="s">
        <v>326</v>
      </c>
      <c r="AY112" s="1123" t="s">
        <v>552</v>
      </c>
      <c r="AZ112" s="1061"/>
    </row>
    <row r="113" spans="1:52" hidden="1" outlineLevel="1">
      <c r="A113" s="3" t="str">
        <f t="shared" si="9"/>
        <v>4Q</v>
      </c>
      <c r="B113" s="216" t="str">
        <f t="shared" si="9"/>
        <v>June</v>
      </c>
      <c r="D113" s="1103">
        <f>(U113/U106-1)*100</f>
        <v>-0.55251161987814879</v>
      </c>
      <c r="F113" s="972">
        <f>'qtrP&amp;L'!BJ13</f>
        <v>-6.1</v>
      </c>
      <c r="H113" s="1033">
        <f t="shared" si="8"/>
        <v>5.5474883801218509</v>
      </c>
      <c r="J113" s="61">
        <f>yrSales!P62+yrSales!P64</f>
        <v>441</v>
      </c>
      <c r="K113" s="61"/>
      <c r="L113" s="61">
        <f>yrSales!$P$61</f>
        <v>624</v>
      </c>
      <c r="M113" s="691"/>
      <c r="N113" s="1099">
        <f>AVERAGE(J113,J112)</f>
        <v>437</v>
      </c>
      <c r="P113" s="1033">
        <f>(N113/N106-1)*100</f>
        <v>11.054637865311312</v>
      </c>
      <c r="R113" s="1129">
        <f>H113/P113*100</f>
        <v>50.182452358113736</v>
      </c>
      <c r="T113" s="61"/>
      <c r="U113" s="1380">
        <v>777.74400000000014</v>
      </c>
      <c r="V113" s="1130"/>
      <c r="W113" s="61"/>
      <c r="X113" s="1385">
        <f>U113/N113</f>
        <v>1.7797345537757441</v>
      </c>
      <c r="Z113" s="1103">
        <f>(X113/X106-1)*100</f>
        <v>-10.451746733231227</v>
      </c>
      <c r="AA113" s="1092"/>
      <c r="AB113" s="1093"/>
      <c r="AC113" s="1093"/>
      <c r="AD113" s="1093"/>
      <c r="AE113" s="1093"/>
      <c r="AG113" s="1122">
        <f>yrSales!P88</f>
        <v>1.7038599999999999</v>
      </c>
      <c r="AH113" s="691"/>
      <c r="AI113" s="691">
        <f>0.893037+0.477724+0.052671+0.280428</f>
        <v>1.7038599999999997</v>
      </c>
      <c r="AJ113" s="1121">
        <f>AVERAGE(AG113,AG112)</f>
        <v>1.6548779999999998</v>
      </c>
      <c r="AL113" s="1033">
        <f>(AJ113/AJ106-1)*100</f>
        <v>16.050701858623761</v>
      </c>
      <c r="AN113" s="1099">
        <f>H113/AL113*100</f>
        <v>34.562279138848268</v>
      </c>
      <c r="AQ113" s="1101">
        <f t="shared" si="10"/>
        <v>777.74400000000014</v>
      </c>
      <c r="AS113" s="1113">
        <f>AQ113/AJ113</f>
        <v>469.97059601976713</v>
      </c>
      <c r="AU113" s="1103">
        <f>(AS113/AS106-1)*100</f>
        <v>-14.306861753174417</v>
      </c>
      <c r="AW113" s="1139">
        <f>yrSales!P118</f>
        <v>5.2671000000000003E-2</v>
      </c>
      <c r="AX113" s="1123"/>
      <c r="AY113" s="1029"/>
      <c r="AZ113" s="1061"/>
    </row>
    <row r="114" spans="1:52" hidden="1" outlineLevel="1">
      <c r="B114" s="216" t="str">
        <f>B107</f>
        <v>Year</v>
      </c>
      <c r="D114" s="980">
        <f>(U114/U107-1)*100</f>
        <v>1.5614939637826897</v>
      </c>
      <c r="F114" s="1131">
        <f>'qtrP&amp;L'!BJ14</f>
        <v>-6.8</v>
      </c>
      <c r="H114" s="980">
        <f t="shared" si="8"/>
        <v>8.3614939637826886</v>
      </c>
      <c r="N114" s="564">
        <f>AVERAGE(N110:N113)</f>
        <v>426</v>
      </c>
      <c r="P114" s="980">
        <f>(N114/N107-1)*100</f>
        <v>12.661157024793379</v>
      </c>
      <c r="R114" s="564">
        <f>H114/P114*100</f>
        <v>66.040520210033037</v>
      </c>
      <c r="U114" s="705">
        <v>3230.4679999999998</v>
      </c>
      <c r="V114" s="705"/>
      <c r="X114" s="1091">
        <f>U114/N114</f>
        <v>7.5832582159624407</v>
      </c>
      <c r="Z114" s="1092">
        <f>(X114/X107-1)*100</f>
        <v>-9.8522537440015707</v>
      </c>
      <c r="AA114" s="1092"/>
      <c r="AB114" s="1093"/>
      <c r="AC114" s="1093"/>
      <c r="AD114" s="1093"/>
      <c r="AE114" s="1093"/>
      <c r="AG114" s="1122"/>
      <c r="AJ114" s="1114">
        <f>AVERAGE(AJ110:AJ113)</f>
        <v>1.5822829999999999</v>
      </c>
      <c r="AL114" s="980">
        <f>(AJ114/AJ107-1)*100</f>
        <v>17.625194783229748</v>
      </c>
      <c r="AN114" s="564">
        <f>H114/AL114*100</f>
        <v>47.440576212743998</v>
      </c>
      <c r="AQ114" s="705">
        <f t="shared" si="10"/>
        <v>3230.4679999999998</v>
      </c>
      <c r="AS114" s="1112">
        <f>SUM(AS110:AS113)</f>
        <v>2044.2450252513129</v>
      </c>
      <c r="AU114" s="1092">
        <f>(AS114/AS107-1)*100</f>
        <v>-13.625939832117151</v>
      </c>
      <c r="AW114" s="1107"/>
      <c r="AX114" s="1029"/>
      <c r="AY114" s="1029"/>
    </row>
    <row r="115" spans="1:52" hidden="1" outlineLevel="1">
      <c r="B115" s="216"/>
      <c r="D115" s="980"/>
      <c r="F115" s="1131"/>
      <c r="H115" s="980"/>
      <c r="N115" s="564"/>
      <c r="P115" s="980"/>
      <c r="R115" s="564"/>
      <c r="U115" s="705"/>
      <c r="V115" s="705"/>
      <c r="X115" s="1091"/>
      <c r="Z115" s="1092"/>
      <c r="AA115" s="1092"/>
      <c r="AB115" s="1093"/>
      <c r="AC115" s="1093"/>
      <c r="AD115" s="1093"/>
      <c r="AE115" s="1093"/>
      <c r="AG115" s="1140"/>
      <c r="AJ115" s="1114"/>
      <c r="AL115" s="980"/>
      <c r="AN115" s="564"/>
      <c r="AQ115" s="705">
        <f t="shared" si="10"/>
        <v>0</v>
      </c>
      <c r="AS115" s="1112"/>
      <c r="AU115" s="1092"/>
      <c r="AW115" s="1107"/>
      <c r="AX115" s="1029"/>
      <c r="AY115" s="1029"/>
    </row>
    <row r="116" spans="1:52" hidden="1" outlineLevel="1">
      <c r="A116" s="1089"/>
      <c r="B116" s="1126" t="s">
        <v>118</v>
      </c>
      <c r="E116" s="217"/>
      <c r="G116" s="217"/>
      <c r="H116" s="980"/>
      <c r="I116" s="217"/>
      <c r="L116" s="61"/>
      <c r="Q116" s="217"/>
      <c r="S116" s="216"/>
      <c r="U116" s="705"/>
      <c r="AF116" s="217"/>
      <c r="AG116" s="1122"/>
      <c r="AJ116" s="1114"/>
      <c r="AM116" s="217"/>
      <c r="AO116" s="216"/>
      <c r="AV116" s="217"/>
      <c r="AY116" s="56"/>
    </row>
    <row r="117" spans="1:52" hidden="1" outlineLevel="1">
      <c r="A117" s="3" t="str">
        <f t="shared" ref="A117:B120" si="11">A110</f>
        <v>1Q</v>
      </c>
      <c r="B117" s="216" t="str">
        <f t="shared" si="11"/>
        <v>Sept</v>
      </c>
      <c r="D117" s="1092">
        <f>(U117/U110-1)*100</f>
        <v>1.183741756131651</v>
      </c>
      <c r="E117" s="217" t="s">
        <v>428</v>
      </c>
      <c r="F117" s="999">
        <f>'qtrP&amp;L'!BN10</f>
        <v>-1.1000000000000001</v>
      </c>
      <c r="G117" s="217" t="s">
        <v>428</v>
      </c>
      <c r="H117" s="980">
        <f t="shared" si="8"/>
        <v>2.2837417561316511</v>
      </c>
      <c r="I117" s="217" t="s">
        <v>428</v>
      </c>
      <c r="J117" s="184">
        <f>340+116</f>
        <v>456</v>
      </c>
      <c r="K117" s="3">
        <f>+J117-J113</f>
        <v>15</v>
      </c>
      <c r="L117" s="184">
        <f>340+116+157+33</f>
        <v>646</v>
      </c>
      <c r="M117" s="3">
        <f>+L117-L113</f>
        <v>22</v>
      </c>
      <c r="N117" s="564">
        <f>AVERAGE(J117,J113)</f>
        <v>448.5</v>
      </c>
      <c r="P117" s="980">
        <f>(N117/N110-1)*100</f>
        <v>9.3902439024390318</v>
      </c>
      <c r="Q117" s="217" t="s">
        <v>428</v>
      </c>
      <c r="R117" s="1128">
        <f>H117/P117*100</f>
        <v>24.320366753609772</v>
      </c>
      <c r="S117" s="216" t="s">
        <v>428</v>
      </c>
      <c r="U117" s="705">
        <v>761.43700000000001</v>
      </c>
      <c r="V117" s="705"/>
      <c r="X117" s="1091">
        <f>U117/N117</f>
        <v>1.6977413600891862</v>
      </c>
      <c r="Z117" s="1092">
        <f>(X117/X110-1)*100</f>
        <v>-7.5020420958439633</v>
      </c>
      <c r="AA117" s="1092"/>
      <c r="AB117" s="1093"/>
      <c r="AC117" s="1093"/>
      <c r="AD117" s="1093"/>
      <c r="AE117" s="1093"/>
      <c r="AF117" s="217" t="s">
        <v>428</v>
      </c>
      <c r="AG117" s="1122">
        <f>AG113+(920.929-893.037)/1000+(519.016-477.724)/1000+2*yrSales!$Q$142/1000000+5*yrSales!$Q$143/1000000</f>
        <v>1.7863189999999998</v>
      </c>
      <c r="AH117" s="691"/>
      <c r="AI117" s="691"/>
      <c r="AJ117" s="1114">
        <f>AVERAGE(AG117,AG113)</f>
        <v>1.7450894999999997</v>
      </c>
      <c r="AL117" s="980">
        <f>(AJ117/AJ110-1)*100</f>
        <v>15.579710144927517</v>
      </c>
      <c r="AM117" s="217" t="s">
        <v>428</v>
      </c>
      <c r="AN117" s="564">
        <f>H117/AL117*100</f>
        <v>14.658435457961314</v>
      </c>
      <c r="AO117" s="216" t="s">
        <v>428</v>
      </c>
      <c r="AQ117" s="705">
        <f t="shared" ref="AQ117:AQ122" si="12">U117</f>
        <v>761.43700000000001</v>
      </c>
      <c r="AS117" s="1112">
        <f>AQ117/AJ117</f>
        <v>436.331202497064</v>
      </c>
      <c r="AU117" s="1092">
        <f>(AS117/AS110-1)*100</f>
        <v>-12.455446004099247</v>
      </c>
      <c r="AV117" s="217" t="s">
        <v>428</v>
      </c>
      <c r="AW117" s="1139">
        <f>+AW113+5*yrSales!$Q$143/1000000</f>
        <v>6.2296000000000004E-2</v>
      </c>
      <c r="AX117" s="1139">
        <f>AVERAGE(AW117,AW113)</f>
        <v>5.7483500000000007E-2</v>
      </c>
      <c r="AY117" s="1029"/>
      <c r="AZ117" s="1061"/>
    </row>
    <row r="118" spans="1:52" hidden="1" outlineLevel="1">
      <c r="A118" s="3" t="str">
        <f t="shared" si="11"/>
        <v>2Q</v>
      </c>
      <c r="B118" s="216" t="str">
        <f t="shared" si="11"/>
        <v>Dec</v>
      </c>
      <c r="D118" s="1092">
        <f>(U118/U111-1)*100</f>
        <v>10.908445247933907</v>
      </c>
      <c r="F118" s="999">
        <f>'qtrP&amp;L'!BN11</f>
        <v>3.2</v>
      </c>
      <c r="H118" s="980">
        <f t="shared" si="8"/>
        <v>7.7084452479339065</v>
      </c>
      <c r="J118" s="184">
        <f>343+118</f>
        <v>461</v>
      </c>
      <c r="K118" s="3">
        <f>+J118-J117</f>
        <v>5</v>
      </c>
      <c r="L118" s="184">
        <f>343+118+158+37</f>
        <v>656</v>
      </c>
      <c r="M118" s="3">
        <f>+L118-L117</f>
        <v>10</v>
      </c>
      <c r="N118" s="564">
        <f>AVERAGE(J118,J117)</f>
        <v>458.5</v>
      </c>
      <c r="P118" s="980">
        <f>(N118/N111-1)*100</f>
        <v>7.7555816686251555</v>
      </c>
      <c r="R118" s="1128">
        <f>H118/P118*100</f>
        <v>99.3922258483598</v>
      </c>
      <c r="U118" s="705">
        <v>1065.0050000000001</v>
      </c>
      <c r="V118" s="1130"/>
      <c r="X118" s="1091">
        <f>U118/N118</f>
        <v>2.3228026172300984</v>
      </c>
      <c r="Z118" s="1092">
        <f>(X118/X111-1)*100</f>
        <v>2.9259399192930857</v>
      </c>
      <c r="AA118" s="1092"/>
      <c r="AB118" s="1093"/>
      <c r="AC118" s="1093"/>
      <c r="AD118" s="1093"/>
      <c r="AE118" s="1093"/>
      <c r="AG118" s="1122">
        <f>AG117+(929.095-920.929)/1000+(533.908-519.016)/1000+1*yrSales!$P$142/1000000+4*yrSales!$P$143/1000000</f>
        <v>1.8187010000000001</v>
      </c>
      <c r="AH118" s="691"/>
      <c r="AI118" s="691"/>
      <c r="AJ118" s="1114">
        <f>AVERAGE(AG118,AG117)</f>
        <v>1.8025099999999998</v>
      </c>
      <c r="AL118" s="980">
        <f>(AJ118/AJ111-1)*100</f>
        <v>14.919276430171212</v>
      </c>
      <c r="AN118" s="564">
        <f>H118/AL118*100</f>
        <v>51.66768833604516</v>
      </c>
      <c r="AO118" s="216"/>
      <c r="AQ118" s="165">
        <f t="shared" si="12"/>
        <v>1065.0050000000001</v>
      </c>
      <c r="AS118" s="1072">
        <f>AQ118/AJ118</f>
        <v>590.84554315926141</v>
      </c>
      <c r="AU118" s="1092">
        <f>(AS118/AS111-1)*100</f>
        <v>-3.4901291644265031</v>
      </c>
      <c r="AW118" s="1139">
        <f>+AW117+4*yrSales!$P$143/1000000</f>
        <v>6.9820000000000007E-2</v>
      </c>
      <c r="AX118" s="1139">
        <f>AVERAGE(AW118,AW117)</f>
        <v>6.6058000000000006E-2</v>
      </c>
      <c r="AY118" s="1029"/>
      <c r="AZ118" s="1061"/>
    </row>
    <row r="119" spans="1:52" hidden="1" outlineLevel="1">
      <c r="A119" s="3" t="str">
        <f t="shared" si="11"/>
        <v>3Q</v>
      </c>
      <c r="B119" s="216" t="str">
        <f t="shared" si="11"/>
        <v>Mar</v>
      </c>
      <c r="D119" s="1092">
        <f>(U119/U112-1)*100</f>
        <v>12.261821582589905</v>
      </c>
      <c r="F119" s="999">
        <f>'qtrP&amp;L'!BN12</f>
        <v>5.0999999999999996</v>
      </c>
      <c r="H119" s="980">
        <f t="shared" si="8"/>
        <v>7.161821582589905</v>
      </c>
      <c r="J119" s="184">
        <f>343+119</f>
        <v>462</v>
      </c>
      <c r="K119" s="3">
        <f>+J119-J118</f>
        <v>1</v>
      </c>
      <c r="L119" s="184">
        <f>343+119+160+38</f>
        <v>660</v>
      </c>
      <c r="M119" s="3">
        <f>+L119-L118</f>
        <v>4</v>
      </c>
      <c r="N119" s="564">
        <f>AVERAGE(J119,J118)</f>
        <v>461.5</v>
      </c>
      <c r="P119" s="980">
        <f>(N119/N112-1)*100</f>
        <v>6.9524913093858665</v>
      </c>
      <c r="R119" s="1128">
        <f>H119/P119*100</f>
        <v>103.01086709625142</v>
      </c>
      <c r="U119" s="705">
        <v>830.66899999999998</v>
      </c>
      <c r="V119" s="1130"/>
      <c r="X119" s="1091">
        <f>U119/N119</f>
        <v>1.7999328277356446</v>
      </c>
      <c r="Z119" s="1092">
        <f>(X119/X112-1)*100</f>
        <v>4.9641950441766891</v>
      </c>
      <c r="AA119" s="1092"/>
      <c r="AB119" s="1093"/>
      <c r="AC119" s="1093"/>
      <c r="AD119" s="1093"/>
      <c r="AE119" s="1093"/>
      <c r="AG119" s="1125">
        <f>AG118+(930.286-929.095)/1000+(538.347-533.908)/1000+2*yrSales!$P$142/1000000+1*yrSales!$P$143/1000000</f>
        <v>1.829812</v>
      </c>
      <c r="AH119" s="691"/>
      <c r="AI119" s="691"/>
      <c r="AJ119" s="1114">
        <f>AVERAGE(AG119,AG118)</f>
        <v>1.8242565000000002</v>
      </c>
      <c r="AL119" s="980">
        <f>(AJ119/AJ112-1)*100</f>
        <v>14.309306063368844</v>
      </c>
      <c r="AN119" s="564">
        <f>H119/AL119*100</f>
        <v>50.050097124722448</v>
      </c>
      <c r="AQ119" s="165">
        <f t="shared" si="12"/>
        <v>830.66899999999998</v>
      </c>
      <c r="AS119" s="1072">
        <f>AQ119/AJ119</f>
        <v>455.34660284888662</v>
      </c>
      <c r="AU119" s="1092">
        <f>(AS119/AS112-1)*100</f>
        <v>-1.7911791710500724</v>
      </c>
      <c r="AW119" s="1139">
        <f>+AW118+1*yrSales!$P$143/1000000</f>
        <v>7.1701000000000001E-2</v>
      </c>
      <c r="AX119" s="1139">
        <f>AVERAGE(AW119,AW118)</f>
        <v>7.0760500000000004E-2</v>
      </c>
      <c r="AY119" s="1029"/>
      <c r="AZ119" s="1061"/>
    </row>
    <row r="120" spans="1:52" hidden="1" outlineLevel="1">
      <c r="A120" s="3" t="str">
        <f t="shared" si="11"/>
        <v>4Q</v>
      </c>
      <c r="B120" s="216" t="str">
        <f t="shared" si="11"/>
        <v>June</v>
      </c>
      <c r="D120" s="1103">
        <f>(U120/U113-1)*100</f>
        <v>22.215664794585365</v>
      </c>
      <c r="F120" s="972">
        <f>'qtrP&amp;L'!BN13</f>
        <v>6.3</v>
      </c>
      <c r="H120" s="1033">
        <f t="shared" si="8"/>
        <v>15.915664794585364</v>
      </c>
      <c r="J120" s="61">
        <f>yrSales!Q62+yrSales!Q64</f>
        <v>462</v>
      </c>
      <c r="K120" s="3">
        <f>+J120-J119</f>
        <v>0</v>
      </c>
      <c r="L120" s="61">
        <f>yrSales!$Q$61</f>
        <v>665</v>
      </c>
      <c r="M120" s="3">
        <f>+L120-L119</f>
        <v>5</v>
      </c>
      <c r="N120" s="1099">
        <f>AVERAGE(J120,J119)</f>
        <v>462</v>
      </c>
      <c r="P120" s="1033">
        <f>(N120/N113-1)*100</f>
        <v>5.720823798626995</v>
      </c>
      <c r="R120" s="1129">
        <f>H120/P120*100</f>
        <v>278.20582060935249</v>
      </c>
      <c r="T120" s="61"/>
      <c r="U120" s="1380">
        <v>950.5250000000002</v>
      </c>
      <c r="V120" s="1130"/>
      <c r="W120" s="61"/>
      <c r="X120" s="1385">
        <f>U120/N120</f>
        <v>2.0574134199134204</v>
      </c>
      <c r="Z120" s="1103">
        <f>(X120/X113-1)*100</f>
        <v>15.602263019986594</v>
      </c>
      <c r="AA120" s="1092"/>
      <c r="AB120" s="1093"/>
      <c r="AC120" s="1093"/>
      <c r="AD120" s="1093"/>
      <c r="AE120" s="1093"/>
      <c r="AG120" s="1125">
        <f>yrSales!Q88</f>
        <v>1.850705</v>
      </c>
      <c r="AH120" s="691"/>
      <c r="AI120" s="691">
        <f>0.07887+0.293441+0.548797+0.92958</f>
        <v>1.8506879999999999</v>
      </c>
      <c r="AJ120" s="1121">
        <f>AVERAGE(AG120,AG119)</f>
        <v>1.8402585</v>
      </c>
      <c r="AL120" s="1033">
        <f>(AJ120/AJ113-1)*100</f>
        <v>11.202064442212677</v>
      </c>
      <c r="AN120" s="1099">
        <f>H120/AL120*100</f>
        <v>142.07796140335037</v>
      </c>
      <c r="AQ120" s="1101">
        <f t="shared" si="12"/>
        <v>950.5250000000002</v>
      </c>
      <c r="AS120" s="1113">
        <f>AQ120/AJ120</f>
        <v>516.5171088735633</v>
      </c>
      <c r="AU120" s="1103">
        <f>(AS120/AS113-1)*100</f>
        <v>9.9041329921496732</v>
      </c>
      <c r="AW120" s="1139">
        <f>yrSales!Q118</f>
        <v>7.8886999999999999E-2</v>
      </c>
      <c r="AX120" s="1139">
        <f>AVERAGE(AW120,AW119)</f>
        <v>7.5294E-2</v>
      </c>
      <c r="AY120" s="1029"/>
      <c r="AZ120" s="1061"/>
    </row>
    <row r="121" spans="1:52" hidden="1" outlineLevel="1">
      <c r="B121" s="216" t="str">
        <f>B114</f>
        <v>Year</v>
      </c>
      <c r="D121" s="980">
        <f>(U121/U114-1)*100</f>
        <v>11.675336205156661</v>
      </c>
      <c r="F121" s="1131">
        <f>'qtrP&amp;L'!BN14</f>
        <v>3.5</v>
      </c>
      <c r="H121" s="980">
        <f t="shared" si="8"/>
        <v>8.1753362051566612</v>
      </c>
      <c r="N121" s="564">
        <f>AVERAGE(N117:N120)</f>
        <v>457.625</v>
      </c>
      <c r="P121" s="980">
        <f>(N121/N114-1)*100</f>
        <v>7.4237089201877993</v>
      </c>
      <c r="R121" s="564">
        <f>H121/P121*100</f>
        <v>110.12468690582563</v>
      </c>
      <c r="U121" s="705">
        <v>3607.636</v>
      </c>
      <c r="V121" s="705"/>
      <c r="X121" s="1091">
        <f>U121/N121</f>
        <v>7.8833892379131383</v>
      </c>
      <c r="Z121" s="1092">
        <f>(X121/X114-1)*100</f>
        <v>3.9578109224730706</v>
      </c>
      <c r="AA121" s="1092"/>
      <c r="AB121" s="1093"/>
      <c r="AC121" s="1093"/>
      <c r="AD121" s="1093"/>
      <c r="AE121" s="1093"/>
      <c r="AG121" s="1134"/>
      <c r="AJ121" s="1114">
        <f>AVERAGE(AJ117:AJ120)</f>
        <v>1.8030286249999998</v>
      </c>
      <c r="AL121" s="980">
        <f>(AJ121/AJ114-1)*100</f>
        <v>13.951083655705077</v>
      </c>
      <c r="AN121" s="564">
        <f>H121/AL121*100</f>
        <v>58.600008479007904</v>
      </c>
      <c r="AQ121" s="705">
        <f t="shared" si="12"/>
        <v>3607.636</v>
      </c>
      <c r="AS121" s="1112">
        <f>SUM(AS117:AS120)</f>
        <v>1999.0404573787755</v>
      </c>
      <c r="AU121" s="1092">
        <f>(AS121/AS114-1)*100</f>
        <v>-2.2113086892301514</v>
      </c>
      <c r="AW121" s="1107"/>
      <c r="AX121" s="1029"/>
      <c r="AY121" s="1029"/>
    </row>
    <row r="122" spans="1:52" hidden="1" outlineLevel="1">
      <c r="B122" s="216"/>
      <c r="D122" s="980"/>
      <c r="F122" s="1131"/>
      <c r="H122" s="980"/>
      <c r="N122" s="564"/>
      <c r="P122" s="980"/>
      <c r="R122" s="564"/>
      <c r="U122" s="705"/>
      <c r="V122" s="705"/>
      <c r="X122" s="1142">
        <f>6.1/X121</f>
        <v>0.77377886793456985</v>
      </c>
      <c r="Z122" s="1092"/>
      <c r="AA122" s="1092"/>
      <c r="AB122" s="1093"/>
      <c r="AC122" s="1093"/>
      <c r="AD122" s="1093"/>
      <c r="AE122" s="1093"/>
      <c r="AG122" s="1114"/>
      <c r="AJ122" s="1114"/>
      <c r="AL122" s="980"/>
      <c r="AN122" s="564"/>
      <c r="AQ122" s="705">
        <f t="shared" si="12"/>
        <v>0</v>
      </c>
      <c r="AS122" s="1112"/>
      <c r="AU122" s="1092"/>
      <c r="AW122" s="1107"/>
      <c r="AX122" s="1029"/>
      <c r="AY122" s="1029"/>
    </row>
    <row r="123" spans="1:52" hidden="1" outlineLevel="1">
      <c r="A123" s="1089"/>
      <c r="B123" s="1126" t="s">
        <v>314</v>
      </c>
      <c r="E123" s="217"/>
      <c r="G123" s="217"/>
      <c r="H123" s="980"/>
      <c r="I123" s="217"/>
      <c r="J123" s="61"/>
      <c r="K123" s="61"/>
      <c r="L123" s="61"/>
      <c r="Q123" s="217"/>
      <c r="U123" s="705"/>
      <c r="V123" s="705"/>
      <c r="AF123" s="217"/>
      <c r="AG123" s="1122"/>
      <c r="AJ123" s="1114"/>
      <c r="AM123" s="217"/>
      <c r="AO123" s="216"/>
      <c r="AV123" s="217"/>
      <c r="AY123" s="56"/>
    </row>
    <row r="124" spans="1:52" hidden="1" outlineLevel="1">
      <c r="A124" s="3" t="str">
        <f t="shared" ref="A124:B127" si="13">A117</f>
        <v>1Q</v>
      </c>
      <c r="B124" s="216" t="str">
        <f t="shared" si="13"/>
        <v>Sept</v>
      </c>
      <c r="D124" s="1092">
        <f>(U124/U117-1)*100</f>
        <v>19.730063025568768</v>
      </c>
      <c r="E124" s="217" t="s">
        <v>428</v>
      </c>
      <c r="F124" s="999">
        <f>'qtrP&amp;L'!BR10</f>
        <v>8.5</v>
      </c>
      <c r="G124" s="217" t="s">
        <v>428</v>
      </c>
      <c r="H124" s="980">
        <f t="shared" si="8"/>
        <v>11.230063025568768</v>
      </c>
      <c r="I124" s="217" t="s">
        <v>428</v>
      </c>
      <c r="J124" s="184">
        <f>345+128</f>
        <v>473</v>
      </c>
      <c r="K124" s="3">
        <f>+J124-J120</f>
        <v>11</v>
      </c>
      <c r="L124" s="184">
        <f>345+128+163+49</f>
        <v>685</v>
      </c>
      <c r="M124" s="3">
        <f>+L124-L120</f>
        <v>20</v>
      </c>
      <c r="N124" s="564">
        <f>AVERAGE(J124,J120)</f>
        <v>467.5</v>
      </c>
      <c r="P124" s="980">
        <f>(N124/N117-1)*100</f>
        <v>4.2363433667781392</v>
      </c>
      <c r="Q124" s="217" t="s">
        <v>428</v>
      </c>
      <c r="R124" s="1128">
        <f>H124/P124*100</f>
        <v>265.08859299829498</v>
      </c>
      <c r="S124" s="216" t="s">
        <v>428</v>
      </c>
      <c r="U124" s="705">
        <v>911.6690000000001</v>
      </c>
      <c r="V124" s="705"/>
      <c r="X124" s="1091">
        <f>U124/N124</f>
        <v>1.950094117647059</v>
      </c>
      <c r="Z124" s="1092">
        <f>(X124/X117-1)*100</f>
        <v>14.864028378540306</v>
      </c>
      <c r="AA124" s="1143"/>
      <c r="AB124" s="1143"/>
      <c r="AC124" s="1143"/>
      <c r="AD124" s="1143"/>
      <c r="AE124" s="1143"/>
      <c r="AF124" s="217" t="s">
        <v>428</v>
      </c>
      <c r="AG124" s="1551">
        <f>+AG120+(939.29-929.58)/1000+(579.033-548.797)/1000+2*yrSales!$R$142/1000000+5*yrSales!$R$143/1000000+3*yrSales!$R$144/1000000</f>
        <v>1.9168759999999998</v>
      </c>
      <c r="AH124" s="691"/>
      <c r="AI124" s="1125">
        <f>+(L124-L120)*2000/1000000+AI120</f>
        <v>1.8906879999999999</v>
      </c>
      <c r="AJ124" s="1114">
        <f>AVERAGE(AG124,AG120)</f>
        <v>1.8837904999999999</v>
      </c>
      <c r="AL124" s="980">
        <f>(AJ124/AJ117-1)*100</f>
        <v>7.9480737234394194</v>
      </c>
      <c r="AM124" s="217" t="s">
        <v>428</v>
      </c>
      <c r="AN124" s="564">
        <f>H124/AL124*100</f>
        <v>141.29288952681119</v>
      </c>
      <c r="AO124" s="216" t="s">
        <v>428</v>
      </c>
      <c r="AQ124" s="705">
        <f t="shared" ref="AQ124:AQ129" si="14">U124</f>
        <v>911.6690000000001</v>
      </c>
      <c r="AS124" s="1112">
        <f>AQ124/AJ124</f>
        <v>483.95455864120777</v>
      </c>
      <c r="AU124" s="1092">
        <f>(AS124/AS117-1)*100</f>
        <v>10.914497031521432</v>
      </c>
      <c r="AV124" s="217" t="s">
        <v>428</v>
      </c>
      <c r="AW124" s="1139">
        <f>5*yrSales!$R$143/1000000+3*yrSales!$R$144/1000000+yrSales!Q118</f>
        <v>0.101912</v>
      </c>
      <c r="AX124" s="1139">
        <f>AVERAGE(AW124,AW120)</f>
        <v>9.0399499999999994E-2</v>
      </c>
      <c r="AY124" s="1144">
        <f>+(AX124/AX117)-1</f>
        <v>0.5726164899492896</v>
      </c>
      <c r="AZ124" s="1061"/>
    </row>
    <row r="125" spans="1:52" hidden="1" outlineLevel="1">
      <c r="A125" s="3" t="str">
        <f t="shared" si="13"/>
        <v>2Q</v>
      </c>
      <c r="B125" s="216" t="str">
        <f t="shared" si="13"/>
        <v>Dec</v>
      </c>
      <c r="D125" s="1092">
        <f>(U125/U118-1)*100</f>
        <v>18.727799400002819</v>
      </c>
      <c r="F125" s="999">
        <f>'qtrP&amp;L'!BR11</f>
        <v>12.6</v>
      </c>
      <c r="H125" s="980">
        <f t="shared" si="8"/>
        <v>6.1277994000028198</v>
      </c>
      <c r="J125" s="184">
        <f>347+129</f>
        <v>476</v>
      </c>
      <c r="K125" s="3">
        <f>+J125-J124</f>
        <v>3</v>
      </c>
      <c r="L125" s="184">
        <f>347+129+164+52</f>
        <v>692</v>
      </c>
      <c r="M125" s="3">
        <f>+L125-L124</f>
        <v>7</v>
      </c>
      <c r="N125" s="564">
        <f>AVERAGE(J125,J124)</f>
        <v>474.5</v>
      </c>
      <c r="P125" s="980">
        <f>(N125/N118-1)*100</f>
        <v>3.4896401308615044</v>
      </c>
      <c r="R125" s="1128">
        <f>H125/P125*100</f>
        <v>175.59975155633083</v>
      </c>
      <c r="U125" s="705">
        <v>1264.4570000000001</v>
      </c>
      <c r="V125" s="1130"/>
      <c r="X125" s="1091">
        <f>U125/N125</f>
        <v>2.66481981032666</v>
      </c>
      <c r="Z125" s="1092">
        <f>(X125/X118-1)*100</f>
        <v>14.724333034565419</v>
      </c>
      <c r="AA125" s="1143"/>
      <c r="AB125" s="1143"/>
      <c r="AC125" s="1143"/>
      <c r="AD125" s="1143"/>
      <c r="AE125" s="1143"/>
      <c r="AG125" s="1551">
        <f>AG124+(943.177-939.29)/1000+(585.858-579.033)/1000+1*yrSales!$R$142/1000000+2*yrSales!$R$143/1000000+1*yrSales!$R$144/1000000</f>
        <v>1.9374879999999997</v>
      </c>
      <c r="AH125" s="691"/>
      <c r="AI125" s="1125">
        <f>+(L125-L124)*2000/1000000+AI124</f>
        <v>1.9046879999999999</v>
      </c>
      <c r="AJ125" s="1114">
        <f>AVERAGE(AG125,AG124)</f>
        <v>1.9271819999999997</v>
      </c>
      <c r="AL125" s="980">
        <f>(AJ125/AJ118-1)*100</f>
        <v>6.9165774392375035</v>
      </c>
      <c r="AN125" s="564">
        <f>H125/AL125*100</f>
        <v>88.59583303788412</v>
      </c>
      <c r="AO125" s="216"/>
      <c r="AQ125" s="165">
        <f t="shared" si="14"/>
        <v>1264.4570000000001</v>
      </c>
      <c r="AS125" s="1072">
        <f>AQ125/AJ125</f>
        <v>656.11706626566684</v>
      </c>
      <c r="AU125" s="1092">
        <f>(AS125/AS118-1)*100</f>
        <v>11.047138099307219</v>
      </c>
      <c r="AW125" s="1139">
        <f>+AW124+2*yrSales!$R$143/1000000+1*yrSales!$R$144/1000000</f>
        <v>0.110212</v>
      </c>
      <c r="AX125" s="1139">
        <f>AVERAGE(AW125,AW124)</f>
        <v>0.106062</v>
      </c>
      <c r="AY125" s="1144">
        <f>+(AX125/AX118)-1</f>
        <v>0.60558902782403323</v>
      </c>
      <c r="AZ125" s="1061"/>
    </row>
    <row r="126" spans="1:52" hidden="1" outlineLevel="1">
      <c r="A126" s="3" t="str">
        <f t="shared" si="13"/>
        <v>3Q</v>
      </c>
      <c r="B126" s="216" t="str">
        <f t="shared" si="13"/>
        <v>Mar</v>
      </c>
      <c r="D126" s="1092">
        <f>(U126/U119-1)*100</f>
        <v>14.4506415912957</v>
      </c>
      <c r="F126" s="999">
        <f>'qtrP&amp;L'!BR12</f>
        <v>10.3</v>
      </c>
      <c r="H126" s="980">
        <f t="shared" si="8"/>
        <v>4.1506415912956989</v>
      </c>
      <c r="J126" s="184">
        <f>344+134</f>
        <v>478</v>
      </c>
      <c r="K126" s="3">
        <f>+J126-J125</f>
        <v>2</v>
      </c>
      <c r="L126" s="184">
        <f>344+134+167+55</f>
        <v>700</v>
      </c>
      <c r="M126" s="3">
        <f>+L126-L125</f>
        <v>8</v>
      </c>
      <c r="N126" s="564">
        <f>AVERAGE(J126,J125)</f>
        <v>477</v>
      </c>
      <c r="P126" s="980">
        <f>(N126/N119-1)*100</f>
        <v>3.3586132177681582</v>
      </c>
      <c r="R126" s="1128">
        <f>H126/P126*100</f>
        <v>123.58200608922314</v>
      </c>
      <c r="U126" s="705">
        <v>950.70600000000002</v>
      </c>
      <c r="V126" s="1130"/>
      <c r="X126" s="1091">
        <f>U126/N126</f>
        <v>1.9930943396226415</v>
      </c>
      <c r="Z126" s="1092">
        <f>(X126/X119-1)*100</f>
        <v>10.731595585708508</v>
      </c>
      <c r="AA126" s="1143"/>
      <c r="AB126" s="1143"/>
      <c r="AC126" s="1143"/>
      <c r="AD126" s="1143"/>
      <c r="AE126" s="1143"/>
      <c r="AG126" s="1551">
        <f>+AG125+(935.694-943.177)/1000+(607.624-585.858)/1000+1*yrSales!$R$142/1000000+2*yrSales!$R$143/1000000+1*yrSales!$R$144/1000000</f>
        <v>1.9616709999999997</v>
      </c>
      <c r="AH126" s="691"/>
      <c r="AI126" s="1125">
        <f>+(L126-L125)*2000/1000000+AI125</f>
        <v>1.920688</v>
      </c>
      <c r="AJ126" s="1114">
        <f>AVERAGE(AG126,AG125)</f>
        <v>1.9495794999999996</v>
      </c>
      <c r="AL126" s="980">
        <f>(AJ126/AJ119-1)*100</f>
        <v>6.8698124413973272</v>
      </c>
      <c r="AN126" s="564">
        <f>H126/AL126*100</f>
        <v>60.418557663729381</v>
      </c>
      <c r="AQ126" s="165">
        <f t="shared" si="14"/>
        <v>950.70600000000002</v>
      </c>
      <c r="AS126" s="1072">
        <f>AQ126/AJ126</f>
        <v>487.64669509501931</v>
      </c>
      <c r="AU126" s="1092">
        <f>(AS126/AS119-1)*100</f>
        <v>7.0935177827277984</v>
      </c>
      <c r="AW126" s="1139">
        <f>+AW125+2*yrSales!$R$143/1000000+1*yrSales!$R$144/1000000</f>
        <v>0.11851200000000001</v>
      </c>
      <c r="AX126" s="1139">
        <f>AVERAGE(AW126,AW125)</f>
        <v>0.11436200000000001</v>
      </c>
      <c r="AY126" s="1144">
        <f>+(AX126/AX119)-1</f>
        <v>0.61618417054712737</v>
      </c>
      <c r="AZ126" s="1061"/>
    </row>
    <row r="127" spans="1:52" hidden="1" outlineLevel="1">
      <c r="A127" s="3" t="str">
        <f t="shared" si="13"/>
        <v>4Q</v>
      </c>
      <c r="B127" s="216" t="str">
        <f t="shared" si="13"/>
        <v>June</v>
      </c>
      <c r="D127" s="1103">
        <f>(U127/U120-1)*100</f>
        <v>8.5373872333709855</v>
      </c>
      <c r="F127" s="972">
        <f>'qtrP&amp;L'!BR13</f>
        <v>10.1</v>
      </c>
      <c r="H127" s="980">
        <f t="shared" si="8"/>
        <v>-1.5626127666290142</v>
      </c>
      <c r="J127" s="61">
        <f>yrSales!R62+yrSales!R64+yrSales!R65+yrSales!R63</f>
        <v>488</v>
      </c>
      <c r="K127" s="3">
        <f>+J127-J126</f>
        <v>10</v>
      </c>
      <c r="L127" s="61">
        <f>yrSales!$R$61</f>
        <v>723</v>
      </c>
      <c r="M127" s="3">
        <f>+L127-L126</f>
        <v>23</v>
      </c>
      <c r="N127" s="1099">
        <f>AVERAGE(J127,J126)</f>
        <v>483</v>
      </c>
      <c r="P127" s="1033">
        <f>(N127/N120-1)*100</f>
        <v>4.5454545454545414</v>
      </c>
      <c r="R127" s="1129">
        <f>H127/P127*100</f>
        <v>-34.377480865838344</v>
      </c>
      <c r="T127" s="61"/>
      <c r="U127" s="1380">
        <v>1031.6749999999997</v>
      </c>
      <c r="V127" s="1130"/>
      <c r="W127" s="61"/>
      <c r="X127" s="1385">
        <f>U127/N127</f>
        <v>2.1359730848861278</v>
      </c>
      <c r="Z127" s="1103">
        <f>(X127/X120-1)*100</f>
        <v>3.8183703971374605</v>
      </c>
      <c r="AA127" s="1143"/>
      <c r="AB127" s="1143"/>
      <c r="AC127" s="1143"/>
      <c r="AD127" s="1143"/>
      <c r="AE127" s="1143"/>
      <c r="AG127" s="1551">
        <f>yrSales!R88</f>
        <v>2.0168460000000001</v>
      </c>
      <c r="AH127" s="691"/>
      <c r="AI127" s="691">
        <f>yrSales!R88</f>
        <v>2.0168460000000001</v>
      </c>
      <c r="AJ127" s="1121">
        <f>AVERAGE(AG127,AG126)</f>
        <v>1.9892585</v>
      </c>
      <c r="AL127" s="1033">
        <f>(AJ127/AJ120-1)*100</f>
        <v>8.0966885902170826</v>
      </c>
      <c r="AN127" s="1099">
        <f>H127/AL127*100</f>
        <v>-19.299405543607779</v>
      </c>
      <c r="AQ127" s="1101">
        <f t="shared" si="14"/>
        <v>1031.6749999999997</v>
      </c>
      <c r="AS127" s="1113">
        <f>AQ127/AJ127</f>
        <v>518.62289390745332</v>
      </c>
      <c r="AU127" s="1103">
        <f>(AS127/AS120-1)*100</f>
        <v>0.40768930935943803</v>
      </c>
      <c r="AW127" s="1139">
        <f>yrSales!R118</f>
        <v>0.12755</v>
      </c>
      <c r="AX127" s="1139">
        <f>AVERAGE(AW127,AW126)</f>
        <v>0.123031</v>
      </c>
      <c r="AY127" s="1144">
        <f>+(AX127/AX120)-1</f>
        <v>0.63400802188753413</v>
      </c>
      <c r="AZ127" s="1061"/>
    </row>
    <row r="128" spans="1:52" hidden="1" outlineLevel="1">
      <c r="B128" s="216" t="str">
        <f>B121</f>
        <v>Year</v>
      </c>
      <c r="D128" s="980">
        <f>(U128/U121-1)*100</f>
        <v>15.269583738492454</v>
      </c>
      <c r="F128" s="1131">
        <v>10.576010987645663</v>
      </c>
      <c r="H128" s="980">
        <f t="shared" si="8"/>
        <v>4.6935727508467906</v>
      </c>
      <c r="N128" s="564">
        <f>AVERAGE(N124:N127)</f>
        <v>475.5</v>
      </c>
      <c r="P128" s="980">
        <f>(N128/N121-1)*100</f>
        <v>3.9060366020213122</v>
      </c>
      <c r="R128" s="564">
        <f>H128/P128*100</f>
        <v>120.16202685909141</v>
      </c>
      <c r="U128" s="705">
        <v>4158.5069999999996</v>
      </c>
      <c r="V128" s="705"/>
      <c r="X128" s="1091">
        <f>U128/N128</f>
        <v>8.7455457413249196</v>
      </c>
      <c r="Z128" s="1092">
        <f>(X128/X121-1)*100</f>
        <v>10.936368576924504</v>
      </c>
      <c r="AA128" s="1143"/>
      <c r="AB128" s="1143"/>
      <c r="AC128" s="1143"/>
      <c r="AD128" s="1143"/>
      <c r="AE128" s="1143"/>
      <c r="AG128" s="1550"/>
      <c r="AJ128" s="1114">
        <f>AVERAGE(AJ124:AJ127)</f>
        <v>1.9374526249999997</v>
      </c>
      <c r="AL128" s="980">
        <f>(AJ128/AJ121-1)*100</f>
        <v>7.455455678081635</v>
      </c>
      <c r="AN128" s="564">
        <f>H128/AL128*100</f>
        <v>62.954874302927855</v>
      </c>
      <c r="AQ128" s="705">
        <f t="shared" si="14"/>
        <v>4158.5069999999996</v>
      </c>
      <c r="AS128" s="1112">
        <f>SUM(AS124:AS127)</f>
        <v>2146.3412139093471</v>
      </c>
      <c r="AU128" s="1092">
        <f>(AS128/AS121-1)*100</f>
        <v>7.3685730564812202</v>
      </c>
      <c r="AW128" s="1107"/>
      <c r="AX128" s="1029"/>
      <c r="AY128" s="1029"/>
    </row>
    <row r="129" spans="1:52" hidden="1" outlineLevel="1">
      <c r="B129" s="216"/>
      <c r="D129" s="980"/>
      <c r="F129" s="1131"/>
      <c r="H129" s="980"/>
      <c r="N129" s="564"/>
      <c r="P129" s="980"/>
      <c r="R129" s="564"/>
      <c r="U129" s="705"/>
      <c r="V129" s="705"/>
      <c r="X129" s="1091"/>
      <c r="Z129" s="1092"/>
      <c r="AA129" s="1092"/>
      <c r="AB129" s="1093"/>
      <c r="AC129" s="1093"/>
      <c r="AD129" s="1093"/>
      <c r="AE129" s="1093"/>
      <c r="AG129" s="1550"/>
      <c r="AJ129" s="1114"/>
      <c r="AL129" s="980"/>
      <c r="AN129" s="564"/>
      <c r="AQ129" s="705">
        <f t="shared" si="14"/>
        <v>0</v>
      </c>
      <c r="AS129" s="1112"/>
      <c r="AU129" s="1092"/>
      <c r="AW129" s="1107"/>
      <c r="AX129" s="1029"/>
      <c r="AY129" s="1029"/>
    </row>
    <row r="130" spans="1:52" collapsed="1">
      <c r="A130" s="1089"/>
      <c r="B130" s="1145">
        <v>2012</v>
      </c>
      <c r="E130" s="217"/>
      <c r="G130" s="217"/>
      <c r="H130" s="980"/>
      <c r="I130" s="217"/>
      <c r="J130" s="61"/>
      <c r="K130" s="61"/>
      <c r="L130" s="61"/>
      <c r="Q130" s="217"/>
      <c r="S130" s="216"/>
      <c r="U130" s="705"/>
      <c r="AF130" s="217"/>
      <c r="AG130" s="1549"/>
      <c r="AJ130" s="1114"/>
      <c r="AM130" s="217"/>
      <c r="AO130" s="216"/>
      <c r="AS130" s="1386"/>
      <c r="AV130" s="217"/>
      <c r="AY130" s="56"/>
    </row>
    <row r="131" spans="1:52">
      <c r="A131" s="3" t="str">
        <f t="shared" ref="A131:B134" si="15">A124</f>
        <v>1Q</v>
      </c>
      <c r="B131" s="216" t="str">
        <f t="shared" si="15"/>
        <v>Sept</v>
      </c>
      <c r="D131" s="1115" t="s">
        <v>147</v>
      </c>
      <c r="E131" s="1030" t="s">
        <v>428</v>
      </c>
      <c r="F131" s="1381">
        <f>+'qtrP&amp;L'!BV10</f>
        <v>9.1999999999999993</v>
      </c>
      <c r="G131" s="1030" t="s">
        <v>428</v>
      </c>
      <c r="H131" s="1115" t="s">
        <v>147</v>
      </c>
      <c r="I131" s="217" t="s">
        <v>428</v>
      </c>
      <c r="J131" s="61">
        <f>345+152</f>
        <v>497</v>
      </c>
      <c r="K131" s="3">
        <f>+J131-J127</f>
        <v>9</v>
      </c>
      <c r="L131" s="61">
        <f>345+152+171+71+6</f>
        <v>745</v>
      </c>
      <c r="M131" s="3">
        <f>+L131-L127</f>
        <v>22</v>
      </c>
      <c r="N131" s="564">
        <f>AVERAGE(J131,J127)</f>
        <v>492.5</v>
      </c>
      <c r="P131" s="980">
        <f>(N131/N124-1)*100</f>
        <v>5.3475935828876997</v>
      </c>
      <c r="Q131" s="217" t="s">
        <v>428</v>
      </c>
      <c r="R131" s="1115" t="s">
        <v>147</v>
      </c>
      <c r="S131" s="216" t="s">
        <v>428</v>
      </c>
      <c r="U131" s="705">
        <f>'CoachSegsales&amp;OldOM'!D51</f>
        <v>729</v>
      </c>
      <c r="V131" s="705"/>
      <c r="X131" s="1091">
        <f>U131/N131</f>
        <v>1.4802030456852793</v>
      </c>
      <c r="Z131" s="1115" t="s">
        <v>147</v>
      </c>
      <c r="AA131" s="1143">
        <f>'qtrP&amp;L'!BT10</f>
        <v>1050.3589999999999</v>
      </c>
      <c r="AB131" s="1143" t="e">
        <f>#REF!+#REF!</f>
        <v>#REF!</v>
      </c>
      <c r="AC131" s="1143" t="e">
        <f>#REF!-(AB131-AE131)</f>
        <v>#REF!</v>
      </c>
      <c r="AD131" s="1143" t="e">
        <f>AC131+#REF!</f>
        <v>#REF!</v>
      </c>
      <c r="AE131" s="1143">
        <f>'CoachSegsales&amp;OldOM'!D51</f>
        <v>729</v>
      </c>
      <c r="AF131" s="217" t="s">
        <v>428</v>
      </c>
      <c r="AG131" s="1549">
        <v>1.6233759999999999</v>
      </c>
      <c r="AH131" s="691"/>
      <c r="AI131" s="1125">
        <f>+(L131-L127)*2000/1000000+AI127</f>
        <v>2.0608460000000002</v>
      </c>
      <c r="AJ131" s="1114">
        <f>AVERAGE(AG131,AG127)</f>
        <v>1.820111</v>
      </c>
      <c r="AL131" s="980">
        <f>(AJ131/AJ124-1)*100</f>
        <v>-3.3803918217020335</v>
      </c>
      <c r="AM131" s="217" t="s">
        <v>428</v>
      </c>
      <c r="AN131" s="1115" t="s">
        <v>147</v>
      </c>
      <c r="AO131" s="216" t="s">
        <v>428</v>
      </c>
      <c r="AQ131" s="705">
        <f>U131</f>
        <v>729</v>
      </c>
      <c r="AS131" s="1112">
        <f>AQ131/AJ131</f>
        <v>400.52502292442603</v>
      </c>
      <c r="AU131" s="1092">
        <f>(AS131/AS124-1)*100</f>
        <v>-17.239125911123899</v>
      </c>
      <c r="AV131" s="217" t="s">
        <v>428</v>
      </c>
      <c r="AW131" s="1139"/>
      <c r="AX131" s="1139"/>
      <c r="AY131" s="1144"/>
      <c r="AZ131" s="1061"/>
    </row>
    <row r="132" spans="1:52">
      <c r="A132" s="3" t="str">
        <f t="shared" si="15"/>
        <v>2Q</v>
      </c>
      <c r="B132" s="216" t="str">
        <f t="shared" si="15"/>
        <v>Dec</v>
      </c>
      <c r="D132" s="1115" t="s">
        <v>147</v>
      </c>
      <c r="E132" s="1030"/>
      <c r="F132" s="1381">
        <f>+'qtrP&amp;L'!BV11</f>
        <v>8.8000000000000007</v>
      </c>
      <c r="G132" s="1030"/>
      <c r="H132" s="1115" t="s">
        <v>147</v>
      </c>
      <c r="J132" s="61">
        <f>350+157</f>
        <v>507</v>
      </c>
      <c r="K132" s="3">
        <f>+J132-J131</f>
        <v>10</v>
      </c>
      <c r="L132" s="61">
        <f>350+157+177+80+6</f>
        <v>770</v>
      </c>
      <c r="M132" s="3">
        <f>+L132-L131</f>
        <v>25</v>
      </c>
      <c r="N132" s="564">
        <f>AVERAGE(J132,J131)</f>
        <v>502</v>
      </c>
      <c r="P132" s="980">
        <f>(N132/N125-1)*100</f>
        <v>5.7955742887249695</v>
      </c>
      <c r="R132" s="1115" t="s">
        <v>147</v>
      </c>
      <c r="U132" s="165">
        <f>'CoachSegsales&amp;OldOM'!D52</f>
        <v>1070</v>
      </c>
      <c r="V132" s="1130"/>
      <c r="X132" s="1091">
        <f>U132/N132</f>
        <v>2.1314741035856573</v>
      </c>
      <c r="Z132" s="1115" t="s">
        <v>147</v>
      </c>
      <c r="AA132" s="1143">
        <f>'qtrP&amp;L'!BT11</f>
        <v>1448.6489999999999</v>
      </c>
      <c r="AB132" s="1143" t="e">
        <f>#REF!+#REF!</f>
        <v>#REF!</v>
      </c>
      <c r="AC132" s="1143" t="e">
        <f>#REF!-(AB132-AE132)</f>
        <v>#REF!</v>
      </c>
      <c r="AD132" s="1143" t="e">
        <f>AC132+#REF!</f>
        <v>#REF!</v>
      </c>
      <c r="AE132" s="1143">
        <f>'CoachSegsales&amp;OldOM'!D52</f>
        <v>1070</v>
      </c>
      <c r="AG132" s="1549">
        <v>1.6623159999999999</v>
      </c>
      <c r="AH132" s="691"/>
      <c r="AI132" s="1125">
        <f>+(L132-L131)*2000/1000000+AI131</f>
        <v>2.110846</v>
      </c>
      <c r="AJ132" s="1114">
        <f>AVERAGE(AG132,AG131)</f>
        <v>1.642846</v>
      </c>
      <c r="AL132" s="980">
        <f>(AJ132/AJ125-1)*100</f>
        <v>-14.753977569321409</v>
      </c>
      <c r="AN132" s="1115" t="s">
        <v>147</v>
      </c>
      <c r="AO132" s="216"/>
      <c r="AQ132" s="165">
        <f>U132</f>
        <v>1070</v>
      </c>
      <c r="AS132" s="1072">
        <f>AQ132/AJ132</f>
        <v>651.30876539858264</v>
      </c>
      <c r="AU132" s="1092">
        <f>(AS132/AS125-1)*100</f>
        <v>-0.73284191408874433</v>
      </c>
      <c r="AW132" s="1139"/>
      <c r="AX132" s="1139"/>
      <c r="AY132" s="1144"/>
      <c r="AZ132" s="1061"/>
    </row>
    <row r="133" spans="1:52">
      <c r="A133" s="3" t="str">
        <f t="shared" si="15"/>
        <v>3Q</v>
      </c>
      <c r="B133" s="216" t="str">
        <f t="shared" si="15"/>
        <v>Mar</v>
      </c>
      <c r="D133" s="1115" t="s">
        <v>147</v>
      </c>
      <c r="E133" s="1030"/>
      <c r="F133" s="1381">
        <f>+'qtrP&amp;L'!BV12</f>
        <v>6.7</v>
      </c>
      <c r="G133" s="1030"/>
      <c r="H133" s="1115" t="s">
        <v>147</v>
      </c>
      <c r="J133" s="61">
        <f>350+162</f>
        <v>512</v>
      </c>
      <c r="K133" s="3">
        <f>+J133-J132</f>
        <v>5</v>
      </c>
      <c r="L133" s="61">
        <f>350+162+177+85+6+26</f>
        <v>806</v>
      </c>
      <c r="M133" s="3">
        <f>+L133-L132</f>
        <v>36</v>
      </c>
      <c r="N133" s="564">
        <f>AVERAGE(J133,J132)</f>
        <v>509.5</v>
      </c>
      <c r="P133" s="980">
        <f>(N133/N126-1)*100</f>
        <v>6.8134171907756835</v>
      </c>
      <c r="R133" s="1115" t="s">
        <v>147</v>
      </c>
      <c r="U133" s="165">
        <f>'CoachSegsales&amp;OldOM'!D53</f>
        <v>738</v>
      </c>
      <c r="V133" s="1130"/>
      <c r="X133" s="1091">
        <f>U133/N133</f>
        <v>1.4484789008832188</v>
      </c>
      <c r="Z133" s="1115" t="s">
        <v>147</v>
      </c>
      <c r="AA133" s="1143">
        <f>'qtrP&amp;L'!BT12</f>
        <v>1108.981</v>
      </c>
      <c r="AB133" s="1143" t="e">
        <f>#REF!+#REF!</f>
        <v>#REF!</v>
      </c>
      <c r="AC133" s="1143" t="e">
        <f>#REF!-(AB133-AE133)</f>
        <v>#REF!</v>
      </c>
      <c r="AD133" s="1143" t="e">
        <f>AC133+#REF!</f>
        <v>#REF!</v>
      </c>
      <c r="AE133" s="1143">
        <f>'CoachSegsales&amp;OldOM'!D53</f>
        <v>738</v>
      </c>
      <c r="AG133" s="1549">
        <v>1.6892400000000001</v>
      </c>
      <c r="AH133" s="691"/>
      <c r="AI133" s="1125">
        <f>+(L133-L132)*2000/1000000+AI132</f>
        <v>2.1828460000000001</v>
      </c>
      <c r="AJ133" s="1114">
        <f>AVERAGE(AG133,AG132)</f>
        <v>1.675778</v>
      </c>
      <c r="AL133" s="980">
        <f>(AJ133/AJ126-1)*100</f>
        <v>-14.044131054927467</v>
      </c>
      <c r="AN133" s="1115" t="s">
        <v>147</v>
      </c>
      <c r="AQ133" s="165">
        <f>U133</f>
        <v>738</v>
      </c>
      <c r="AS133" s="1072">
        <f>AQ133/AJ133</f>
        <v>440.39246248608112</v>
      </c>
      <c r="AU133" s="1092">
        <f>(AS133/AS126-1)*100</f>
        <v>-9.6902599944270307</v>
      </c>
      <c r="AW133" s="534"/>
      <c r="AX133" s="1123"/>
      <c r="AY133" s="1029"/>
      <c r="AZ133" s="1061"/>
    </row>
    <row r="134" spans="1:52">
      <c r="A134" s="3" t="str">
        <f t="shared" si="15"/>
        <v>4Q</v>
      </c>
      <c r="B134" s="216" t="str">
        <f t="shared" si="15"/>
        <v>June</v>
      </c>
      <c r="D134" s="1119" t="s">
        <v>147</v>
      </c>
      <c r="E134" s="1030"/>
      <c r="F134" s="1382">
        <f>+'qtrP&amp;L'!BV13</f>
        <v>1.7</v>
      </c>
      <c r="G134" s="1030"/>
      <c r="H134" s="1119" t="s">
        <v>147</v>
      </c>
      <c r="J134" s="61">
        <f>354+169</f>
        <v>523</v>
      </c>
      <c r="K134" s="3">
        <f>+J134-J133</f>
        <v>11</v>
      </c>
      <c r="L134" s="61">
        <f>yrSales!$S$61</f>
        <v>832</v>
      </c>
      <c r="M134" s="3">
        <f>+L134-L133</f>
        <v>26</v>
      </c>
      <c r="N134" s="1099">
        <f>AVERAGE(J134,J133)</f>
        <v>517.5</v>
      </c>
      <c r="P134" s="1033">
        <f>(N134/N127-1)*100</f>
        <v>7.1428571428571397</v>
      </c>
      <c r="R134" s="1119" t="s">
        <v>147</v>
      </c>
      <c r="T134" s="61"/>
      <c r="U134" s="1101">
        <f>'CoachSegsales&amp;OldOM'!D54</f>
        <v>781</v>
      </c>
      <c r="V134" s="1130"/>
      <c r="W134" s="61"/>
      <c r="X134" s="1385">
        <f>U134/N134</f>
        <v>1.5091787439613527</v>
      </c>
      <c r="Z134" s="1119" t="s">
        <v>147</v>
      </c>
      <c r="AA134" s="1143">
        <f>'qtrP&amp;L'!BT13</f>
        <v>1155.191</v>
      </c>
      <c r="AB134" s="1143" t="e">
        <f>#REF!+#REF!</f>
        <v>#REF!</v>
      </c>
      <c r="AC134" s="1143" t="e">
        <f>#REF!-(AB134-AE134)</f>
        <v>#REF!</v>
      </c>
      <c r="AD134" s="1143" t="e">
        <f>AC134+#REF!</f>
        <v>#REF!</v>
      </c>
      <c r="AE134" s="1143">
        <f>'CoachSegsales&amp;OldOM'!D54</f>
        <v>781</v>
      </c>
      <c r="AG134" s="1549">
        <f>0.959099+0.789699</f>
        <v>1.7487980000000001</v>
      </c>
      <c r="AH134" s="691"/>
      <c r="AI134" s="1359">
        <f>yrSales!S88</f>
        <v>2.4141939999999997</v>
      </c>
      <c r="AJ134" s="1121">
        <f>AVERAGE(AG134,AG133)</f>
        <v>1.7190190000000001</v>
      </c>
      <c r="AL134" s="1033">
        <f>(AJ134/AJ127-1)*100</f>
        <v>-13.584936296615046</v>
      </c>
      <c r="AN134" s="1119" t="s">
        <v>147</v>
      </c>
      <c r="AQ134" s="1101">
        <f>U134</f>
        <v>781</v>
      </c>
      <c r="AS134" s="1113">
        <f>AQ134/AJ134</f>
        <v>454.32889339792052</v>
      </c>
      <c r="AU134" s="1103">
        <f>(AS134/AS127-1)*100</f>
        <v>-12.397061769703877</v>
      </c>
      <c r="AW134" s="534"/>
      <c r="AX134" s="1123"/>
      <c r="AY134" s="1029"/>
      <c r="AZ134" s="1061"/>
    </row>
    <row r="135" spans="1:52">
      <c r="B135" s="216" t="str">
        <f>B128</f>
        <v>Year</v>
      </c>
      <c r="D135" s="1115" t="s">
        <v>147</v>
      </c>
      <c r="E135" s="1030"/>
      <c r="F135" s="1383">
        <v>6.4820016572281283</v>
      </c>
      <c r="G135" s="1030"/>
      <c r="H135" s="1115" t="s">
        <v>147</v>
      </c>
      <c r="N135" s="564">
        <f>AVERAGE(N131:N134)</f>
        <v>505.375</v>
      </c>
      <c r="P135" s="980">
        <f>(N135/N128-1)*100</f>
        <v>6.2828601472134649</v>
      </c>
      <c r="R135" s="1115" t="s">
        <v>147</v>
      </c>
      <c r="U135" s="705">
        <f>'CoachSegsales&amp;OldOM'!D55</f>
        <v>3318</v>
      </c>
      <c r="V135" s="705"/>
      <c r="X135" s="1091">
        <f>U135/N135</f>
        <v>6.5654217165471183</v>
      </c>
      <c r="Z135" s="1115" t="s">
        <v>147</v>
      </c>
      <c r="AA135" s="1143">
        <f>'qtrP&amp;L'!BT14</f>
        <v>4763.1799999999994</v>
      </c>
      <c r="AB135" s="1143" t="e">
        <f>#REF!+#REF!</f>
        <v>#REF!</v>
      </c>
      <c r="AC135" s="1143" t="e">
        <f>#REF!-(AB135-AE135)</f>
        <v>#REF!</v>
      </c>
      <c r="AD135" s="1143" t="e">
        <f>AC135+#REF!</f>
        <v>#REF!</v>
      </c>
      <c r="AE135" s="1143">
        <f>'CoachSegsales&amp;OldOM'!D55</f>
        <v>3318</v>
      </c>
      <c r="AG135" s="1548"/>
      <c r="AJ135" s="1114">
        <f>AVERAGE(AJ131:AJ134)</f>
        <v>1.7144385000000002</v>
      </c>
      <c r="AL135" s="980">
        <f>(AJ135/AJ128-1)*100</f>
        <v>-11.510687906497818</v>
      </c>
      <c r="AN135" s="1115" t="s">
        <v>147</v>
      </c>
      <c r="AQ135" s="705">
        <f>U135</f>
        <v>3318</v>
      </c>
      <c r="AS135" s="1112">
        <f>SUM(AS131:AS134)</f>
        <v>1946.5551442070105</v>
      </c>
      <c r="AU135" s="1092">
        <f>(AS135/AS128-1)*100</f>
        <v>-9.3082156931817099</v>
      </c>
      <c r="AW135" s="1107"/>
      <c r="AX135" s="1029"/>
      <c r="AY135" s="1029"/>
    </row>
    <row r="136" spans="1:52">
      <c r="B136" s="216"/>
      <c r="D136" s="980"/>
      <c r="F136" s="1131"/>
      <c r="H136" s="980"/>
      <c r="N136" s="564"/>
      <c r="P136" s="980"/>
      <c r="R136" s="564"/>
      <c r="U136" s="705"/>
      <c r="V136" s="705"/>
      <c r="X136" s="1091"/>
      <c r="Z136" s="1092"/>
      <c r="AA136" s="1092"/>
      <c r="AB136" s="1093"/>
      <c r="AC136" s="1093"/>
      <c r="AD136" s="1093"/>
      <c r="AE136" s="1093"/>
      <c r="AG136" s="1548"/>
      <c r="AJ136" s="1114"/>
      <c r="AL136" s="980"/>
      <c r="AN136" s="564"/>
      <c r="AQ136" s="705"/>
      <c r="AS136" s="1112"/>
      <c r="AU136" s="1092"/>
      <c r="AW136" s="1107"/>
      <c r="AX136" s="1029"/>
      <c r="AY136" s="1029"/>
    </row>
    <row r="137" spans="1:52">
      <c r="A137" s="1147"/>
      <c r="B137" s="1145">
        <v>2013</v>
      </c>
      <c r="C137" s="61"/>
      <c r="D137" s="61"/>
      <c r="E137" s="959"/>
      <c r="F137" s="61"/>
      <c r="G137" s="959"/>
      <c r="H137" s="980"/>
      <c r="I137" s="959"/>
      <c r="J137" s="61"/>
      <c r="K137" s="61"/>
      <c r="L137" s="61"/>
      <c r="N137" s="61"/>
      <c r="O137" s="61"/>
      <c r="P137" s="61"/>
      <c r="Q137" s="959"/>
      <c r="R137" s="61"/>
      <c r="S137" s="1148"/>
      <c r="T137" s="61"/>
      <c r="U137" s="705"/>
      <c r="V137" s="61"/>
      <c r="W137" s="61"/>
      <c r="X137" s="61"/>
      <c r="Y137" s="61"/>
      <c r="Z137" s="61"/>
      <c r="AA137" s="61"/>
      <c r="AB137" s="219"/>
      <c r="AC137" s="219"/>
      <c r="AD137" s="219"/>
      <c r="AE137" s="219"/>
      <c r="AF137" s="959"/>
      <c r="AG137" s="1549"/>
      <c r="AH137" s="61"/>
      <c r="AI137" s="61"/>
      <c r="AJ137" s="1149"/>
      <c r="AK137" s="61"/>
      <c r="AL137" s="61"/>
      <c r="AM137" s="959"/>
      <c r="AN137" s="61"/>
      <c r="AO137" s="1148"/>
      <c r="AP137" s="61"/>
      <c r="AQ137" s="61"/>
      <c r="AR137" s="61"/>
      <c r="AS137" s="1386"/>
      <c r="AT137" s="61"/>
      <c r="AU137" s="61"/>
      <c r="AV137" s="959"/>
      <c r="AW137" s="61"/>
      <c r="AX137" s="61"/>
      <c r="AY137" s="154"/>
      <c r="AZ137" s="61"/>
    </row>
    <row r="138" spans="1:52">
      <c r="A138" s="61" t="str">
        <f t="shared" ref="A138:B141" si="16">A131</f>
        <v>1Q</v>
      </c>
      <c r="B138" s="216" t="str">
        <f t="shared" si="16"/>
        <v>Sept</v>
      </c>
      <c r="C138" s="61"/>
      <c r="D138" s="1141">
        <f>(U138/U131-1)*100</f>
        <v>7.5720164609053509</v>
      </c>
      <c r="E138" s="959" t="s">
        <v>428</v>
      </c>
      <c r="F138" s="195">
        <f>'qtrP&amp;L'!BZ10</f>
        <v>5.5</v>
      </c>
      <c r="G138" s="959" t="s">
        <v>428</v>
      </c>
      <c r="H138" s="980">
        <f t="shared" si="8"/>
        <v>2.0720164609053509</v>
      </c>
      <c r="I138" s="959" t="s">
        <v>428</v>
      </c>
      <c r="J138" s="61">
        <f>354+174</f>
        <v>528</v>
      </c>
      <c r="K138" s="3">
        <f>+J138-J134</f>
        <v>5</v>
      </c>
      <c r="L138" s="61">
        <f>354+174+104+188+7+27+10+48</f>
        <v>912</v>
      </c>
      <c r="M138" s="3">
        <f>+L138-L134</f>
        <v>80</v>
      </c>
      <c r="N138" s="1128">
        <f>AVERAGE(J138,J134)</f>
        <v>525.5</v>
      </c>
      <c r="O138" s="61"/>
      <c r="P138" s="981">
        <f>(N138/N131-1)*100</f>
        <v>6.7005076142131914</v>
      </c>
      <c r="Q138" s="959" t="s">
        <v>428</v>
      </c>
      <c r="R138" s="1128">
        <f>H138/P138*100</f>
        <v>30.923275969572313</v>
      </c>
      <c r="S138" s="1148" t="s">
        <v>428</v>
      </c>
      <c r="T138" s="61"/>
      <c r="U138" s="705">
        <f>'CoachSegsales&amp;OldOM'!D58</f>
        <v>784.2</v>
      </c>
      <c r="V138" s="1065"/>
      <c r="W138" s="61"/>
      <c r="X138" s="1091">
        <f>U138/N138</f>
        <v>1.4922930542340629</v>
      </c>
      <c r="Y138" s="61"/>
      <c r="Z138" s="1141">
        <f>(X138/X131-1)*100</f>
        <v>0.81678041293222758</v>
      </c>
      <c r="AA138" s="1143">
        <f>'qtrP&amp;L'!BX10</f>
        <v>1161.3499999999999</v>
      </c>
      <c r="AB138" s="1143" t="e">
        <f>#REF!+#REF!</f>
        <v>#REF!</v>
      </c>
      <c r="AC138" s="1143" t="e">
        <f>#REF!-(AB138-AE138)</f>
        <v>#REF!</v>
      </c>
      <c r="AD138" s="1143" t="e">
        <f>AC138+#REF!</f>
        <v>#REF!</v>
      </c>
      <c r="AE138" s="1143">
        <f>'CoachSegsales&amp;OldOM'!D58</f>
        <v>784.2</v>
      </c>
      <c r="AF138" s="959" t="s">
        <v>428</v>
      </c>
      <c r="AG138" s="1549">
        <v>1.7877879999999999</v>
      </c>
      <c r="AH138" s="184"/>
      <c r="AI138" s="1125">
        <f>+(L138-L134)*2000/1000000+AI134</f>
        <v>2.5741939999999999</v>
      </c>
      <c r="AJ138" s="1149">
        <f>AVERAGE(AG138,AG134)</f>
        <v>1.7682929999999999</v>
      </c>
      <c r="AK138" s="61"/>
      <c r="AL138" s="981">
        <f>(AJ138/AJ131-1)*100</f>
        <v>-2.8469692233056176</v>
      </c>
      <c r="AM138" s="959" t="s">
        <v>428</v>
      </c>
      <c r="AN138" s="1128">
        <f>H138/AL138*100</f>
        <v>-72.779728138386105</v>
      </c>
      <c r="AO138" s="1148" t="s">
        <v>428</v>
      </c>
      <c r="AP138" s="61"/>
      <c r="AQ138" s="1065">
        <f>U138</f>
        <v>784.2</v>
      </c>
      <c r="AR138" s="61"/>
      <c r="AS138" s="1151">
        <f>AQ138/AJ138</f>
        <v>443.47854116936509</v>
      </c>
      <c r="AT138" s="61"/>
      <c r="AU138" s="1141">
        <f>(AS138/AS131-1)*100</f>
        <v>10.724303298534199</v>
      </c>
      <c r="AV138" s="959" t="s">
        <v>428</v>
      </c>
      <c r="AW138" s="465"/>
      <c r="AX138" s="1152"/>
      <c r="AY138" s="1026"/>
      <c r="AZ138" s="1052"/>
    </row>
    <row r="139" spans="1:52">
      <c r="A139" s="61" t="str">
        <f t="shared" si="16"/>
        <v>2Q</v>
      </c>
      <c r="B139" s="216" t="str">
        <f t="shared" si="16"/>
        <v>Dec</v>
      </c>
      <c r="C139" s="61"/>
      <c r="D139" s="1141">
        <f>(U139/U132-1)*100</f>
        <v>0.57336448598130918</v>
      </c>
      <c r="E139" s="61"/>
      <c r="F139" s="195">
        <f>'qtrP&amp;L'!BZ11</f>
        <v>-2.2000000000000002</v>
      </c>
      <c r="G139" s="61"/>
      <c r="H139" s="980">
        <f t="shared" si="8"/>
        <v>2.7733644859813094</v>
      </c>
      <c r="I139" s="61"/>
      <c r="J139" s="61">
        <f>356+189</f>
        <v>545</v>
      </c>
      <c r="K139" s="3">
        <f>+J139-J138</f>
        <v>17</v>
      </c>
      <c r="L139" s="61">
        <f>J139+117+193+7+27+10+48</f>
        <v>947</v>
      </c>
      <c r="M139" s="3">
        <f>+L139-L138</f>
        <v>35</v>
      </c>
      <c r="N139" s="1128">
        <f>AVERAGE(J139,J138)</f>
        <v>536.5</v>
      </c>
      <c r="O139" s="61"/>
      <c r="P139" s="981">
        <f>(N139/N132-1)*100</f>
        <v>6.8725099601593564</v>
      </c>
      <c r="Q139" s="61"/>
      <c r="R139" s="1128">
        <f>H139/P139*100</f>
        <v>40.354462955438223</v>
      </c>
      <c r="S139" s="61"/>
      <c r="T139" s="61"/>
      <c r="U139" s="165">
        <f>'CoachSegsales&amp;OldOM'!D59</f>
        <v>1076.135</v>
      </c>
      <c r="V139" s="218"/>
      <c r="W139" s="61"/>
      <c r="X139" s="1091">
        <f>U139/N139</f>
        <v>2.0058434296365331</v>
      </c>
      <c r="Y139" s="61"/>
      <c r="Z139" s="1141">
        <f>(X139/X132-1)*100</f>
        <v>-5.894074609575739</v>
      </c>
      <c r="AA139" s="1143">
        <f>'qtrP&amp;L'!BX11</f>
        <v>1503.7739999999999</v>
      </c>
      <c r="AB139" s="1143" t="e">
        <f>#REF!+#REF!</f>
        <v>#REF!</v>
      </c>
      <c r="AC139" s="1143" t="e">
        <f>#REF!-(AB139-AE139)</f>
        <v>#REF!</v>
      </c>
      <c r="AD139" s="1143" t="e">
        <f>AC139+#REF!</f>
        <v>#REF!</v>
      </c>
      <c r="AE139" s="1143">
        <f>'CoachSegsales&amp;OldOM'!D59</f>
        <v>1076.135</v>
      </c>
      <c r="AF139" s="61"/>
      <c r="AG139" s="1549">
        <v>1.906593</v>
      </c>
      <c r="AH139" s="184"/>
      <c r="AI139" s="1125">
        <f>+(L139-L138)*2000/1000000+AI138</f>
        <v>2.6441939999999997</v>
      </c>
      <c r="AJ139" s="1149">
        <f>AVERAGE(AG139,AG138)</f>
        <v>1.8471905</v>
      </c>
      <c r="AK139" s="61"/>
      <c r="AL139" s="981">
        <f>(AJ139/AJ132-1)*100</f>
        <v>12.438445234672013</v>
      </c>
      <c r="AM139" s="61"/>
      <c r="AN139" s="1128">
        <f>H139/AL139*100</f>
        <v>22.296713404747646</v>
      </c>
      <c r="AO139" s="1148"/>
      <c r="AP139" s="61"/>
      <c r="AQ139" s="1153">
        <f>U139</f>
        <v>1076.135</v>
      </c>
      <c r="AR139" s="61"/>
      <c r="AS139" s="1046">
        <f>AQ139/AJ139</f>
        <v>582.57932790364612</v>
      </c>
      <c r="AT139" s="61"/>
      <c r="AU139" s="1141">
        <f>(AS139/AS132-1)*100</f>
        <v>-10.552512286991256</v>
      </c>
      <c r="AV139" s="61"/>
      <c r="AW139" s="465"/>
      <c r="AX139" s="1152"/>
      <c r="AY139" s="1026"/>
      <c r="AZ139" s="1052"/>
    </row>
    <row r="140" spans="1:52">
      <c r="A140" s="61" t="str">
        <f t="shared" si="16"/>
        <v>3Q</v>
      </c>
      <c r="B140" s="216" t="str">
        <f t="shared" si="16"/>
        <v>Mar</v>
      </c>
      <c r="C140" s="61"/>
      <c r="D140" s="1141">
        <f>(U140/U133-1)*100</f>
        <v>7.3170731707317138</v>
      </c>
      <c r="E140" s="61"/>
      <c r="F140" s="195">
        <f>'qtrP&amp;L'!BZ12</f>
        <v>1</v>
      </c>
      <c r="G140" s="61"/>
      <c r="H140" s="980">
        <f t="shared" si="8"/>
        <v>6.3170731707317138</v>
      </c>
      <c r="I140" s="61"/>
      <c r="J140" s="61">
        <f>352+191</f>
        <v>543</v>
      </c>
      <c r="K140" s="3">
        <f>+J140-J139</f>
        <v>-2</v>
      </c>
      <c r="L140" s="61">
        <f>+J140+118+191+7+27+10+49</f>
        <v>945</v>
      </c>
      <c r="M140" s="3">
        <f>+L140-L139</f>
        <v>-2</v>
      </c>
      <c r="N140" s="1128">
        <f>AVERAGE(J140,J139)</f>
        <v>544</v>
      </c>
      <c r="O140" s="61"/>
      <c r="P140" s="981">
        <f>(N140/N133-1)*100</f>
        <v>6.7713444553483715</v>
      </c>
      <c r="Q140" s="61"/>
      <c r="R140" s="1128">
        <f>H140/P140*100</f>
        <v>93.291268999646732</v>
      </c>
      <c r="S140" s="61"/>
      <c r="T140" s="61"/>
      <c r="U140" s="165">
        <f>'CoachSegsales&amp;OldOM'!D60</f>
        <v>792</v>
      </c>
      <c r="V140" s="218"/>
      <c r="W140" s="61"/>
      <c r="X140" s="1091">
        <f>U140/N140</f>
        <v>1.4558823529411764</v>
      </c>
      <c r="Y140" s="61"/>
      <c r="Z140" s="1141">
        <f>(X140/X133-1)*100</f>
        <v>0.51111908177905452</v>
      </c>
      <c r="AA140" s="1143">
        <f>'qtrP&amp;L'!BX12</f>
        <v>1187.578</v>
      </c>
      <c r="AB140" s="1143" t="e">
        <f>#REF!+#REF!</f>
        <v>#REF!</v>
      </c>
      <c r="AC140" s="1143" t="e">
        <f>#REF!-(AB140-AE140)</f>
        <v>#REF!</v>
      </c>
      <c r="AD140" s="1143" t="e">
        <f>AC140+#REF!</f>
        <v>#REF!</v>
      </c>
      <c r="AE140" s="1143">
        <f>'CoachSegsales&amp;OldOM'!D60</f>
        <v>792</v>
      </c>
      <c r="AF140" s="61"/>
      <c r="AG140" s="1549">
        <v>1.907994</v>
      </c>
      <c r="AH140" s="184"/>
      <c r="AI140" s="1125">
        <f>+(L140-L139)*2000/1000000+AI139</f>
        <v>2.6401939999999997</v>
      </c>
      <c r="AJ140" s="1149">
        <f>AVERAGE(AG140,AG139)</f>
        <v>1.9072935</v>
      </c>
      <c r="AK140" s="61"/>
      <c r="AL140" s="981">
        <f>(AJ140/AJ133-1)*100</f>
        <v>13.815403949687855</v>
      </c>
      <c r="AM140" s="61"/>
      <c r="AN140" s="1128">
        <f>H140/AL140*100</f>
        <v>45.724853169236802</v>
      </c>
      <c r="AO140" s="61"/>
      <c r="AP140" s="61"/>
      <c r="AQ140" s="1153">
        <f>U140</f>
        <v>792</v>
      </c>
      <c r="AR140" s="61"/>
      <c r="AS140" s="1046">
        <f>AQ140/AJ140</f>
        <v>415.24809894229702</v>
      </c>
      <c r="AT140" s="61"/>
      <c r="AU140" s="1141">
        <f>(AS140/AS133-1)*100</f>
        <v>-5.7095353998205205</v>
      </c>
      <c r="AV140" s="61"/>
      <c r="AW140" s="465"/>
      <c r="AX140" s="1152"/>
      <c r="AY140" s="1026"/>
      <c r="AZ140" s="1052"/>
    </row>
    <row r="141" spans="1:52">
      <c r="A141" s="61" t="str">
        <f t="shared" si="16"/>
        <v>4Q</v>
      </c>
      <c r="B141" s="216" t="str">
        <f t="shared" si="16"/>
        <v>June</v>
      </c>
      <c r="C141" s="61"/>
      <c r="D141" s="1138">
        <f>(U141/U134-1)*100</f>
        <v>5.7445582586427291</v>
      </c>
      <c r="E141" s="61"/>
      <c r="F141" s="193">
        <f>'qtrP&amp;L'!BZ13</f>
        <v>-1.7</v>
      </c>
      <c r="G141" s="61"/>
      <c r="H141" s="1033">
        <f t="shared" si="8"/>
        <v>7.4445582586427292</v>
      </c>
      <c r="I141" s="61"/>
      <c r="J141" s="61">
        <f>351+193</f>
        <v>544</v>
      </c>
      <c r="K141" s="3">
        <f>+J141-J140</f>
        <v>1</v>
      </c>
      <c r="L141" s="61">
        <f>126+198+92+J141</f>
        <v>960</v>
      </c>
      <c r="M141" s="3">
        <f>+L141-L140</f>
        <v>15</v>
      </c>
      <c r="N141" s="1129">
        <f>AVERAGE(J141,J140)</f>
        <v>543.5</v>
      </c>
      <c r="O141" s="61"/>
      <c r="P141" s="1146">
        <f>(N141/N134-1)*100</f>
        <v>5.0241545893719763</v>
      </c>
      <c r="Q141" s="61"/>
      <c r="R141" s="1129">
        <f>H141/P141*100</f>
        <v>148.17534226336983</v>
      </c>
      <c r="S141" s="61"/>
      <c r="T141" s="61"/>
      <c r="U141" s="1101">
        <f>'CoachSegsales&amp;OldOM'!D61</f>
        <v>825.86499999999978</v>
      </c>
      <c r="V141" s="218"/>
      <c r="W141" s="61"/>
      <c r="X141" s="1385">
        <f>U141/N141</f>
        <v>1.5195308187672489</v>
      </c>
      <c r="Y141" s="61"/>
      <c r="Z141" s="1138">
        <f>(X141/X134-1)*100</f>
        <v>0.68594093624216868</v>
      </c>
      <c r="AA141" s="1143">
        <f>'qtrP&amp;L'!BX13</f>
        <v>1222.6880000000001</v>
      </c>
      <c r="AB141" s="1143" t="e">
        <f>#REF!+#REF!</f>
        <v>#REF!</v>
      </c>
      <c r="AC141" s="1143" t="e">
        <f>#REF!-(AB141-AE141)</f>
        <v>#REF!</v>
      </c>
      <c r="AD141" s="1143" t="e">
        <f>AC141+#REF!</f>
        <v>#REF!</v>
      </c>
      <c r="AE141" s="1143">
        <f>'CoachSegsales&amp;OldOM'!D61</f>
        <v>825.86499999999978</v>
      </c>
      <c r="AF141" s="61"/>
      <c r="AG141" s="1549">
        <f>0.952422+0.982202</f>
        <v>1.9346239999999999</v>
      </c>
      <c r="AH141" s="184"/>
      <c r="AI141" s="1235">
        <f>yrSales!T88</f>
        <v>2.7031909999999999</v>
      </c>
      <c r="AJ141" s="1154">
        <f>AVERAGE(AG141,AG140)</f>
        <v>1.9213089999999999</v>
      </c>
      <c r="AK141" s="61"/>
      <c r="AL141" s="1146">
        <f>(AJ141/AJ134-1)*100</f>
        <v>11.767758238855986</v>
      </c>
      <c r="AM141" s="61"/>
      <c r="AN141" s="1129">
        <f>H141/AL141*100</f>
        <v>63.262331767332938</v>
      </c>
      <c r="AO141" s="61"/>
      <c r="AP141" s="61"/>
      <c r="AQ141" s="1132">
        <f>U141</f>
        <v>825.86499999999978</v>
      </c>
      <c r="AR141" s="61"/>
      <c r="AS141" s="1155">
        <f>AQ141/AJ141</f>
        <v>429.84496507329106</v>
      </c>
      <c r="AT141" s="61"/>
      <c r="AU141" s="1138">
        <f>(AS141/AS134-1)*100</f>
        <v>-5.3890317521992586</v>
      </c>
      <c r="AV141" s="61"/>
      <c r="AW141" s="465"/>
      <c r="AX141" s="1152"/>
      <c r="AY141" s="1026"/>
      <c r="AZ141" s="1052"/>
    </row>
    <row r="142" spans="1:52">
      <c r="A142" s="61"/>
      <c r="B142" s="216" t="str">
        <f>B135</f>
        <v>Year</v>
      </c>
      <c r="C142" s="61"/>
      <c r="D142" s="981">
        <f>(U142/U135-1)*100</f>
        <v>4.8282097649186229</v>
      </c>
      <c r="E142" s="61"/>
      <c r="F142" s="195">
        <f>'qtrP&amp;L'!BZ14</f>
        <v>0.3</v>
      </c>
      <c r="G142" s="61"/>
      <c r="H142" s="980">
        <f t="shared" si="8"/>
        <v>4.528209764918623</v>
      </c>
      <c r="I142" s="61"/>
      <c r="J142" s="61"/>
      <c r="K142" s="61"/>
      <c r="L142" s="61"/>
      <c r="M142" s="61"/>
      <c r="N142" s="1128">
        <f>AVERAGE(N138:N141)</f>
        <v>537.375</v>
      </c>
      <c r="O142" s="61"/>
      <c r="P142" s="981">
        <f>(N142/N135-1)*100</f>
        <v>6.3319317338609959</v>
      </c>
      <c r="Q142" s="61"/>
      <c r="R142" s="1128">
        <f>H142/P142*100</f>
        <v>71.513875310804636</v>
      </c>
      <c r="S142" s="61"/>
      <c r="T142" s="61"/>
      <c r="U142" s="705">
        <f>'CoachSegsales&amp;OldOM'!D62</f>
        <v>3478.2</v>
      </c>
      <c r="V142" s="1065"/>
      <c r="W142" s="61"/>
      <c r="X142" s="1091">
        <f>U142/N142</f>
        <v>6.4725750174459176</v>
      </c>
      <c r="Y142" s="61"/>
      <c r="Z142" s="1141">
        <f>(X142/X135-1)*100</f>
        <v>-1.4141772320153456</v>
      </c>
      <c r="AA142" s="1143">
        <f>'qtrP&amp;L'!BX14</f>
        <v>5075.3899999999994</v>
      </c>
      <c r="AB142" s="1143" t="e">
        <f>#REF!+#REF!</f>
        <v>#REF!</v>
      </c>
      <c r="AC142" s="1143" t="e">
        <f>#REF!-(AB142-AE142)</f>
        <v>#REF!</v>
      </c>
      <c r="AD142" s="1143" t="e">
        <f>AC142+#REF!</f>
        <v>#REF!</v>
      </c>
      <c r="AE142" s="1143">
        <f>'CoachSegsales&amp;OldOM'!D62</f>
        <v>3478.2</v>
      </c>
      <c r="AF142" s="61"/>
      <c r="AG142" s="1548"/>
      <c r="AH142" s="61"/>
      <c r="AI142" s="61"/>
      <c r="AJ142" s="1149">
        <f>AVERAGE(AJ138:AJ141)</f>
        <v>1.8610214999999999</v>
      </c>
      <c r="AK142" s="61"/>
      <c r="AL142" s="981">
        <f>(AJ142/AJ135-1)*100</f>
        <v>8.5499129890048273</v>
      </c>
      <c r="AM142" s="61"/>
      <c r="AN142" s="1128">
        <f>H142/AL142*100</f>
        <v>52.962056698610759</v>
      </c>
      <c r="AO142" s="61"/>
      <c r="AP142" s="61"/>
      <c r="AQ142" s="1065">
        <f>U142</f>
        <v>3478.2</v>
      </c>
      <c r="AR142" s="61"/>
      <c r="AS142" s="1151">
        <f>SUM(AS138:AS141)</f>
        <v>1871.1509330885992</v>
      </c>
      <c r="AT142" s="61"/>
      <c r="AU142" s="1141">
        <f>(AS142/AS135-1)*100</f>
        <v>-3.8737259174401406</v>
      </c>
      <c r="AV142" s="61"/>
      <c r="AW142" s="1156"/>
      <c r="AX142" s="1026"/>
      <c r="AY142" s="1026"/>
      <c r="AZ142" s="61"/>
    </row>
    <row r="143" spans="1:52">
      <c r="B143" s="216"/>
      <c r="D143" s="980"/>
      <c r="F143" s="1131"/>
      <c r="H143" s="980"/>
      <c r="P143" s="980"/>
      <c r="R143" s="564"/>
      <c r="U143" s="705"/>
      <c r="V143" s="2"/>
      <c r="X143" s="1091"/>
      <c r="Z143" s="1092"/>
      <c r="AA143" s="1092"/>
      <c r="AB143" s="1093"/>
      <c r="AC143" s="1093"/>
      <c r="AD143" s="1093"/>
      <c r="AE143" s="1093"/>
      <c r="AG143" s="1547"/>
      <c r="AJ143" s="1031"/>
      <c r="AL143" s="980"/>
      <c r="AN143" s="564"/>
      <c r="AQ143" s="705"/>
      <c r="AS143" s="1112"/>
      <c r="AU143" s="1092"/>
      <c r="AW143" s="1107"/>
      <c r="AX143" s="1029"/>
      <c r="AY143" s="1029"/>
    </row>
    <row r="144" spans="1:52">
      <c r="A144" s="1147"/>
      <c r="B144" s="1145">
        <v>2014</v>
      </c>
      <c r="D144" s="980"/>
      <c r="F144" s="1131"/>
      <c r="H144" s="980"/>
      <c r="P144" s="980"/>
      <c r="R144" s="564"/>
      <c r="U144" s="705"/>
      <c r="V144" s="705"/>
      <c r="X144" s="1091"/>
      <c r="Z144" s="1092"/>
      <c r="AA144" s="1092"/>
      <c r="AB144" s="1093"/>
      <c r="AC144" s="1093"/>
      <c r="AD144" s="1093"/>
      <c r="AE144" s="1093"/>
      <c r="AG144" s="1548"/>
      <c r="AJ144" s="1114"/>
      <c r="AL144" s="980"/>
      <c r="AN144" s="564"/>
      <c r="AQ144" s="1065"/>
      <c r="AS144" s="1112"/>
      <c r="AU144" s="1092"/>
      <c r="AW144" s="1107"/>
      <c r="AX144" s="1029"/>
      <c r="AY144" s="1029"/>
    </row>
    <row r="145" spans="1:51">
      <c r="A145" s="61" t="str">
        <f t="shared" ref="A145:B148" si="17">A138</f>
        <v>1Q</v>
      </c>
      <c r="B145" s="1148" t="str">
        <f t="shared" si="17"/>
        <v>Sept</v>
      </c>
      <c r="D145" s="1141">
        <f>(U145/U138-1)*100</f>
        <v>-0.7906146391226776</v>
      </c>
      <c r="E145" s="959" t="s">
        <v>428</v>
      </c>
      <c r="F145" s="1131">
        <f>'qtrP&amp;L'!CD10</f>
        <v>-6.8</v>
      </c>
      <c r="G145" s="3" t="s">
        <v>428</v>
      </c>
      <c r="H145" s="980">
        <f t="shared" si="8"/>
        <v>6.0093853608773227</v>
      </c>
      <c r="I145" s="3" t="s">
        <v>428</v>
      </c>
      <c r="J145" s="2026">
        <f>345+5+157+41</f>
        <v>548</v>
      </c>
      <c r="K145" s="3">
        <f>+J145-J141</f>
        <v>4</v>
      </c>
      <c r="L145" s="61">
        <f>J145+196+132+94+20</f>
        <v>990</v>
      </c>
      <c r="M145" s="3">
        <f>+L145-L141</f>
        <v>30</v>
      </c>
      <c r="N145" s="1128">
        <f>AVERAGE(J145,J141)</f>
        <v>546</v>
      </c>
      <c r="P145" s="981">
        <f>(N145/N138-1)*100</f>
        <v>3.9010466222645146</v>
      </c>
      <c r="Q145" s="3" t="s">
        <v>428</v>
      </c>
      <c r="R145" s="1128">
        <f>H145/P145*100</f>
        <v>154.04546376297702</v>
      </c>
      <c r="S145" s="3" t="s">
        <v>428</v>
      </c>
      <c r="U145" s="705">
        <f>'CoachSegsales&amp;OldOM'!D65</f>
        <v>778</v>
      </c>
      <c r="V145" s="1065"/>
      <c r="X145" s="1091">
        <f>U145/N145</f>
        <v>1.424908424908425</v>
      </c>
      <c r="Z145" s="1141">
        <f>(X145/X138-1)*100</f>
        <v>-4.5155091444303412</v>
      </c>
      <c r="AA145" s="1143">
        <f>'qtrP&amp;L'!CB10</f>
        <v>1150.76</v>
      </c>
      <c r="AB145" s="1143" t="e">
        <f>#REF!+#REF!</f>
        <v>#REF!</v>
      </c>
      <c r="AC145" s="1143" t="e">
        <f>#REF!-(AB145-AE145)</f>
        <v>#REF!</v>
      </c>
      <c r="AD145" s="1143" t="e">
        <f>AC145+#REF!</f>
        <v>#REF!</v>
      </c>
      <c r="AE145" s="1143">
        <f>'CoachSegsales&amp;OldOM'!D65</f>
        <v>778</v>
      </c>
      <c r="AF145" s="959" t="s">
        <v>428</v>
      </c>
      <c r="AG145" s="1549">
        <v>1.969981</v>
      </c>
      <c r="AI145" s="1125">
        <f>+(L145-L141)*2000/1000000+AI141</f>
        <v>2.763191</v>
      </c>
      <c r="AJ145" s="1149">
        <f>AVERAGE(AG145,AG141)</f>
        <v>1.9523025000000001</v>
      </c>
      <c r="AL145" s="981">
        <f>(AJ145/AJ138-1)*100</f>
        <v>10.406052616845752</v>
      </c>
      <c r="AM145" s="959" t="s">
        <v>428</v>
      </c>
      <c r="AN145" s="1128">
        <f>H145/AL145*100</f>
        <v>57.748942679273782</v>
      </c>
      <c r="AO145" s="1148" t="s">
        <v>428</v>
      </c>
      <c r="AQ145" s="1065">
        <f>U145</f>
        <v>778</v>
      </c>
      <c r="AS145" s="1151">
        <f>AQ145/AJ145</f>
        <v>398.50381792780576</v>
      </c>
      <c r="AU145" s="1141">
        <f>(AS145/AS138-1)*100</f>
        <v>-10.141352752484911</v>
      </c>
      <c r="AV145" s="959" t="s">
        <v>428</v>
      </c>
      <c r="AW145" s="1107"/>
      <c r="AX145" s="1029"/>
      <c r="AY145" s="1029"/>
    </row>
    <row r="146" spans="1:51">
      <c r="A146" s="61" t="str">
        <f t="shared" si="17"/>
        <v>2Q</v>
      </c>
      <c r="B146" s="1148" t="str">
        <f t="shared" si="17"/>
        <v>Dec</v>
      </c>
      <c r="D146" s="1141">
        <f>(U146/U139-1)*100</f>
        <v>-8.6545833004223471</v>
      </c>
      <c r="F146" s="1131">
        <f>'qtrP&amp;L'!CD11</f>
        <v>-13.6</v>
      </c>
      <c r="H146" s="980">
        <f t="shared" si="8"/>
        <v>4.9454166995776525</v>
      </c>
      <c r="J146" s="2026">
        <f>351+205</f>
        <v>556</v>
      </c>
      <c r="K146" s="3">
        <f>+J146-J145</f>
        <v>8</v>
      </c>
      <c r="L146" s="61">
        <f>J146+196+142+98+24</f>
        <v>1016</v>
      </c>
      <c r="M146" s="3">
        <f>+L146-L145</f>
        <v>26</v>
      </c>
      <c r="N146" s="1128">
        <f>AVERAGE(J146,J145)</f>
        <v>552</v>
      </c>
      <c r="P146" s="981">
        <f>(N146/N139-1)*100</f>
        <v>2.8890959925442772</v>
      </c>
      <c r="R146" s="1128">
        <f>H146/P146*100</f>
        <v>171.17522963376791</v>
      </c>
      <c r="U146" s="165">
        <f>'CoachSegsales&amp;OldOM'!D66</f>
        <v>983</v>
      </c>
      <c r="V146" s="218"/>
      <c r="X146" s="1091">
        <f>U146/N146</f>
        <v>1.7807971014492754</v>
      </c>
      <c r="Z146" s="1141">
        <f>(X146/X139-1)*100</f>
        <v>-11.219536124414109</v>
      </c>
      <c r="AA146" s="1143">
        <f>'qtrP&amp;L'!CB11</f>
        <v>1419.624</v>
      </c>
      <c r="AB146" s="1143" t="e">
        <f>#REF!+#REF!</f>
        <v>#REF!</v>
      </c>
      <c r="AC146" s="1143" t="e">
        <f>#REF!-(AB146-AE146)</f>
        <v>#REF!</v>
      </c>
      <c r="AD146" s="1143" t="e">
        <f>AC146+#REF!</f>
        <v>#REF!</v>
      </c>
      <c r="AE146" s="1143">
        <f>'CoachSegsales&amp;OldOM'!D66</f>
        <v>983</v>
      </c>
      <c r="AG146" s="1549">
        <v>2.0424009999999999</v>
      </c>
      <c r="AI146" s="1125">
        <f>+(L146-L145)*2000/1000000+AI145</f>
        <v>2.815191</v>
      </c>
      <c r="AJ146" s="1149">
        <f>AVERAGE(AG146,AG145)</f>
        <v>2.0061909999999998</v>
      </c>
      <c r="AL146" s="981">
        <f>(AJ146/AJ139-1)*100</f>
        <v>8.607693684002804</v>
      </c>
      <c r="AN146" s="1128">
        <f>H146/AL146*100</f>
        <v>57.453446662124982</v>
      </c>
      <c r="AQ146" s="1153">
        <f>U146</f>
        <v>983</v>
      </c>
      <c r="AS146" s="1046">
        <f>AQ146/AJ146</f>
        <v>489.98325682848747</v>
      </c>
      <c r="AU146" s="1141">
        <f>(AS146/AS139-1)*100</f>
        <v>-15.894156665042757</v>
      </c>
      <c r="AW146" s="1107"/>
      <c r="AX146" s="1029"/>
      <c r="AY146" s="1029"/>
    </row>
    <row r="147" spans="1:51">
      <c r="A147" s="61" t="str">
        <f t="shared" si="17"/>
        <v>3Q</v>
      </c>
      <c r="B147" s="1148" t="str">
        <f t="shared" si="17"/>
        <v>Mar</v>
      </c>
      <c r="D147" s="1141">
        <f>(U147/U140-1)*100</f>
        <v>-18.191540404040406</v>
      </c>
      <c r="F147" s="1131">
        <f>'qtrP&amp;L'!CD12</f>
        <v>-21.4</v>
      </c>
      <c r="H147" s="980">
        <f t="shared" si="8"/>
        <v>3.2084595959595923</v>
      </c>
      <c r="J147" s="2026">
        <f>338+205</f>
        <v>543</v>
      </c>
      <c r="K147" s="3">
        <f>+J147-J146</f>
        <v>-13</v>
      </c>
      <c r="L147" s="61">
        <f>J147+199+147+96+26</f>
        <v>1011</v>
      </c>
      <c r="M147" s="3">
        <f>+L147-L146</f>
        <v>-5</v>
      </c>
      <c r="N147" s="1128">
        <f>AVERAGE(J147,J146)</f>
        <v>549.5</v>
      </c>
      <c r="P147" s="981">
        <f>(N147/N140-1)*100</f>
        <v>1.0110294117646967</v>
      </c>
      <c r="R147" s="1128">
        <f>H147/P147*100</f>
        <v>317.34582185491524</v>
      </c>
      <c r="U147" s="165">
        <f>'CoachSegsales&amp;OldOM'!D67</f>
        <v>647.923</v>
      </c>
      <c r="V147" s="218"/>
      <c r="X147" s="1091">
        <f>U147/N147</f>
        <v>1.1791137397634213</v>
      </c>
      <c r="Z147" s="1141">
        <f>(X147/X140-1)*100</f>
        <v>-19.010369389987225</v>
      </c>
      <c r="AA147" s="1143">
        <f>'qtrP&amp;L'!CB12</f>
        <v>1099.626</v>
      </c>
      <c r="AB147" s="1143" t="e">
        <f>#REF!+#REF!</f>
        <v>#REF!</v>
      </c>
      <c r="AC147" s="1143" t="e">
        <f>#REF!-(AB147-AE147)</f>
        <v>#REF!</v>
      </c>
      <c r="AD147" s="1143" t="e">
        <f>AC147+#REF!</f>
        <v>#REF!</v>
      </c>
      <c r="AE147" s="1143">
        <f>'CoachSegsales&amp;OldOM'!D67</f>
        <v>647.923</v>
      </c>
      <c r="AG147" s="1549">
        <v>2.0131209999999999</v>
      </c>
      <c r="AI147" s="1125">
        <f>+(L147-L146)*2000/1000000+AI146</f>
        <v>2.8051910000000002</v>
      </c>
      <c r="AJ147" s="1149">
        <f>AVERAGE(AG147,AG146)</f>
        <v>2.0277609999999999</v>
      </c>
      <c r="AL147" s="981">
        <f>(AJ147/AJ140-1)*100</f>
        <v>6.3161490352690919</v>
      </c>
      <c r="AN147" s="1128">
        <f>H147/AL147*100</f>
        <v>50.797718325576199</v>
      </c>
      <c r="AQ147" s="1153">
        <f>U147</f>
        <v>647.923</v>
      </c>
      <c r="AS147" s="1046">
        <f>AQ147/AJ147</f>
        <v>319.52631498485277</v>
      </c>
      <c r="AU147" s="1141">
        <f>(AS147/AS140-1)*100</f>
        <v>-23.051709135156273</v>
      </c>
      <c r="AW147" s="1107"/>
      <c r="AX147" s="1029"/>
      <c r="AY147" s="1029"/>
    </row>
    <row r="148" spans="1:51">
      <c r="A148" s="61" t="str">
        <f t="shared" si="17"/>
        <v>4Q</v>
      </c>
      <c r="B148" s="1148" t="str">
        <f t="shared" si="17"/>
        <v>June</v>
      </c>
      <c r="D148" s="1138">
        <f>(U148/U141-1)*100</f>
        <v>-16.260284671223456</v>
      </c>
      <c r="F148" s="1138">
        <f>'qtrP&amp;L'!CD13</f>
        <v>-17</v>
      </c>
      <c r="H148" s="1033">
        <f t="shared" si="8"/>
        <v>0.73971532877654411</v>
      </c>
      <c r="J148" s="2026">
        <f>332+207</f>
        <v>539</v>
      </c>
      <c r="K148" s="3">
        <f>+J148-J147</f>
        <v>-4</v>
      </c>
      <c r="L148" s="61">
        <f>J148+153+198+97+27</f>
        <v>1014</v>
      </c>
      <c r="M148" s="3">
        <f>+L148-L147</f>
        <v>3</v>
      </c>
      <c r="N148" s="1129">
        <f>AVERAGE(J148,J147)</f>
        <v>541</v>
      </c>
      <c r="P148" s="1146">
        <f>(N148/N141-1)*100</f>
        <v>-0.45998160073597028</v>
      </c>
      <c r="R148" s="1129">
        <f>H148/P148*100</f>
        <v>-160.8141124760208</v>
      </c>
      <c r="U148" s="1101">
        <f>'CoachSegsales&amp;OldOM'!D68</f>
        <v>691.57700000000023</v>
      </c>
      <c r="V148" s="218"/>
      <c r="X148" s="1385">
        <f>U148/N148</f>
        <v>1.2783308687615531</v>
      </c>
      <c r="Z148" s="1138">
        <f>(X148/X141-1)*100</f>
        <v>-15.87331740999991</v>
      </c>
      <c r="AA148" s="1143">
        <f>'qtrP&amp;L'!CB13</f>
        <v>1136.2159999999999</v>
      </c>
      <c r="AB148" s="1143" t="e">
        <f>#REF!+#REF!</f>
        <v>#REF!</v>
      </c>
      <c r="AC148" s="1143" t="e">
        <f>#REF!-(AB148-AE148)</f>
        <v>#REF!</v>
      </c>
      <c r="AD148" s="1143" t="e">
        <f>AC148+#REF!</f>
        <v>#REF!</v>
      </c>
      <c r="AE148" s="1143">
        <f>'CoachSegsales&amp;OldOM'!D68</f>
        <v>691.57700000000023</v>
      </c>
      <c r="AG148" s="1549">
        <f>0.910003+1.132714</f>
        <v>2.0427170000000001</v>
      </c>
      <c r="AI148" s="1359">
        <f>yrSales!U88</f>
        <v>2.9617120000000003</v>
      </c>
      <c r="AJ148" s="1154">
        <f>AVERAGE(AG148,AG147)</f>
        <v>2.0279189999999998</v>
      </c>
      <c r="AL148" s="1146">
        <f>(AJ148/AJ141-1)*100</f>
        <v>5.5488211422524802</v>
      </c>
      <c r="AN148" s="1129">
        <f>H148/AL148*100</f>
        <v>13.331035724756937</v>
      </c>
      <c r="AQ148" s="1132">
        <f>U148</f>
        <v>691.57700000000023</v>
      </c>
      <c r="AS148" s="1155">
        <f>AQ148/AJ148</f>
        <v>341.02792074042418</v>
      </c>
      <c r="AU148" s="1138">
        <f>(AS148/AS141-1)*100</f>
        <v>-20.66257640536119</v>
      </c>
      <c r="AW148" s="1107"/>
      <c r="AX148" s="1029"/>
      <c r="AY148" s="1029"/>
    </row>
    <row r="149" spans="1:51">
      <c r="A149" s="61"/>
      <c r="B149" s="1148" t="str">
        <f>B142</f>
        <v>Year</v>
      </c>
      <c r="D149" s="1387">
        <f>(U149/U142-1)*100</f>
        <v>-10.859065033638082</v>
      </c>
      <c r="F149" s="1131">
        <f>'qtrP&amp;L'!CD14</f>
        <v>-15</v>
      </c>
      <c r="H149" s="980">
        <f t="shared" si="8"/>
        <v>4.1409349663619182</v>
      </c>
      <c r="N149" s="1128">
        <f>AVERAGE(N145:N148)</f>
        <v>547.125</v>
      </c>
      <c r="P149" s="981">
        <f>(N149/N142-1)*100</f>
        <v>1.8143754361479303</v>
      </c>
      <c r="R149" s="1128">
        <f>H149/P149*100</f>
        <v>228.22922333833327</v>
      </c>
      <c r="U149" s="705">
        <f>'CoachSegsales&amp;OldOM'!D69</f>
        <v>3100.5</v>
      </c>
      <c r="V149" s="1065"/>
      <c r="X149" s="1091">
        <f>U149/N149</f>
        <v>5.6668951336531874</v>
      </c>
      <c r="Z149" s="1141">
        <f>(X149/X142-1)*100</f>
        <v>-12.447594375053717</v>
      </c>
      <c r="AA149" s="1143">
        <f>'qtrP&amp;L'!CB14</f>
        <v>4806.2260000000006</v>
      </c>
      <c r="AB149" s="1143" t="e">
        <f>#REF!+#REF!</f>
        <v>#REF!</v>
      </c>
      <c r="AC149" s="1143" t="e">
        <f>#REF!-(AB149-AE149)</f>
        <v>#REF!</v>
      </c>
      <c r="AD149" s="1143" t="e">
        <f>AC149+#REF!</f>
        <v>#REF!</v>
      </c>
      <c r="AE149" s="1143">
        <f>'CoachSegsales&amp;OldOM'!D69</f>
        <v>3100.5</v>
      </c>
      <c r="AG149" s="1149"/>
      <c r="AJ149" s="1149">
        <f>AVERAGE(AJ145:AJ148)</f>
        <v>2.0035433749999996</v>
      </c>
      <c r="AL149" s="981">
        <f>(AJ149/AJ142-1)*100</f>
        <v>7.6582605305741902</v>
      </c>
      <c r="AN149" s="1128">
        <f>H149/AL149*100</f>
        <v>54.07148202689109</v>
      </c>
      <c r="AQ149" s="1065">
        <f>U149</f>
        <v>3100.5</v>
      </c>
      <c r="AS149" s="1151">
        <f>SUM(AS145:AS148)</f>
        <v>1549.0413104815702</v>
      </c>
      <c r="AU149" s="1141">
        <f>(AS149/AS142-1)*100</f>
        <v>-17.214518450168072</v>
      </c>
      <c r="AW149" s="1107"/>
      <c r="AX149" s="1029"/>
      <c r="AY149" s="1029"/>
    </row>
    <row r="150" spans="1:51">
      <c r="A150" s="61"/>
      <c r="B150" s="1148"/>
      <c r="D150" s="981"/>
      <c r="F150" s="1131"/>
      <c r="H150" s="980"/>
      <c r="N150" s="1128"/>
      <c r="P150" s="981"/>
      <c r="R150" s="1128"/>
      <c r="U150" s="705"/>
      <c r="V150" s="179"/>
      <c r="X150" s="1150"/>
      <c r="Z150" s="1141"/>
      <c r="AA150" s="1141"/>
      <c r="AB150" s="1143"/>
      <c r="AC150" s="1143"/>
      <c r="AD150" s="1143"/>
      <c r="AE150" s="1143"/>
      <c r="AG150" s="1149"/>
      <c r="AJ150" s="1149"/>
      <c r="AL150" s="981"/>
      <c r="AN150" s="1128"/>
      <c r="AQ150" s="1065"/>
      <c r="AS150" s="1151"/>
      <c r="AU150" s="1141"/>
      <c r="AW150" s="1107"/>
      <c r="AX150" s="1029"/>
      <c r="AY150" s="1029"/>
    </row>
    <row r="151" spans="1:51">
      <c r="A151" s="1147"/>
      <c r="B151" s="1145">
        <v>2015</v>
      </c>
      <c r="D151" s="980"/>
      <c r="F151" s="1131"/>
      <c r="H151" s="980"/>
      <c r="P151" s="980"/>
      <c r="R151" s="564"/>
      <c r="U151" s="705"/>
      <c r="V151" s="705"/>
      <c r="X151" s="1091"/>
      <c r="Z151" s="1092"/>
      <c r="AA151" s="1092"/>
      <c r="AB151" s="1093"/>
      <c r="AC151" s="1093"/>
      <c r="AD151" s="1093"/>
      <c r="AE151" s="1093"/>
      <c r="AG151" s="1149"/>
      <c r="AJ151" s="1114"/>
      <c r="AL151" s="980"/>
      <c r="AN151" s="564"/>
      <c r="AQ151" s="1065"/>
      <c r="AS151" s="1112"/>
      <c r="AU151" s="1092"/>
      <c r="AW151" s="1107"/>
      <c r="AX151" s="1029"/>
      <c r="AY151" s="1029"/>
    </row>
    <row r="152" spans="1:51">
      <c r="A152" s="61" t="str">
        <f t="shared" ref="A152:B155" si="18">A145</f>
        <v>1Q</v>
      </c>
      <c r="B152" s="1148" t="str">
        <f t="shared" si="18"/>
        <v>Sept</v>
      </c>
      <c r="D152" s="1141">
        <f>(U152/U145-1)*100</f>
        <v>-18.547557840616957</v>
      </c>
      <c r="E152" s="959" t="s">
        <v>428</v>
      </c>
      <c r="F152" s="1131">
        <f>'qtrP&amp;L'!CH10</f>
        <v>-24</v>
      </c>
      <c r="G152" s="3" t="s">
        <v>428</v>
      </c>
      <c r="H152" s="980">
        <f t="shared" si="8"/>
        <v>5.4524421593830432</v>
      </c>
      <c r="I152" s="3" t="s">
        <v>428</v>
      </c>
      <c r="J152" s="2026">
        <v>540</v>
      </c>
      <c r="K152" s="3">
        <f>+J152-J148</f>
        <v>1</v>
      </c>
      <c r="L152" s="61">
        <f>J152+199+155+97+28</f>
        <v>1019</v>
      </c>
      <c r="M152" s="3">
        <f>+L152-L148</f>
        <v>5</v>
      </c>
      <c r="N152" s="1128">
        <f>AVERAGE(J152,J148)</f>
        <v>539.5</v>
      </c>
      <c r="P152" s="981">
        <f>(N152/N145-1)*100</f>
        <v>-1.1904761904761862</v>
      </c>
      <c r="Q152" s="3" t="s">
        <v>428</v>
      </c>
      <c r="R152" s="1128">
        <f>H152/P152*100</f>
        <v>-458.00514138817726</v>
      </c>
      <c r="S152" s="3" t="s">
        <v>428</v>
      </c>
      <c r="U152" s="705">
        <f>'CoachSegsales&amp;OldOM'!D72</f>
        <v>633.70000000000005</v>
      </c>
      <c r="V152" s="1065"/>
      <c r="X152" s="1091">
        <f>U152/N152</f>
        <v>1.1746061167747917</v>
      </c>
      <c r="Z152" s="1141">
        <f>(X152/X145-1)*100</f>
        <v>-17.566203115805113</v>
      </c>
      <c r="AA152" s="1143">
        <f>'qtrP&amp;L'!CF10</f>
        <v>1038.8</v>
      </c>
      <c r="AB152" s="1143" t="e">
        <f>#REF!+#REF!</f>
        <v>#REF!</v>
      </c>
      <c r="AC152" s="1143" t="e">
        <f>#REF!-(AB152-AE152)</f>
        <v>#REF!</v>
      </c>
      <c r="AD152" s="1143" t="e">
        <f>AC152+#REF!</f>
        <v>#REF!</v>
      </c>
      <c r="AE152" s="1143">
        <f>'CoachSegsales&amp;OldOM'!D72</f>
        <v>633.70000000000005</v>
      </c>
      <c r="AF152" s="959" t="s">
        <v>428</v>
      </c>
      <c r="AG152" s="1549">
        <f>0.902917+1.173127</f>
        <v>2.076044</v>
      </c>
      <c r="AI152" s="1125">
        <f>+(L152-L148)*2000/1000000+AI148</f>
        <v>2.9717120000000001</v>
      </c>
      <c r="AJ152" s="1149">
        <f>AVERAGE(AG152,AG148)</f>
        <v>2.0593805000000001</v>
      </c>
      <c r="AL152" s="981">
        <f>(AJ152/AJ145-1)*100</f>
        <v>5.4847033182613858</v>
      </c>
      <c r="AM152" s="959" t="s">
        <v>428</v>
      </c>
      <c r="AN152" s="1128">
        <f>H152/AL152*100</f>
        <v>99.411797557564725</v>
      </c>
      <c r="AO152" s="1148" t="s">
        <v>428</v>
      </c>
      <c r="AQ152" s="1065">
        <f>U152</f>
        <v>633.70000000000005</v>
      </c>
      <c r="AS152" s="1151">
        <f>AQ152/AJ152</f>
        <v>307.71389745605535</v>
      </c>
      <c r="AU152" s="1141">
        <f>(AS152/AS145-1)*100</f>
        <v>-22.782697777866257</v>
      </c>
      <c r="AV152" s="959" t="s">
        <v>428</v>
      </c>
      <c r="AW152" s="1107"/>
      <c r="AX152" s="1029"/>
      <c r="AY152" s="1029"/>
    </row>
    <row r="153" spans="1:51">
      <c r="A153" s="61" t="str">
        <f t="shared" si="18"/>
        <v>2Q</v>
      </c>
      <c r="B153" s="1148" t="str">
        <f t="shared" si="18"/>
        <v>Dec</v>
      </c>
      <c r="D153" s="1141">
        <f>(U153/U146-1)*100</f>
        <v>-20.183112919633771</v>
      </c>
      <c r="F153" s="1131">
        <f>'qtrP&amp;L'!CH11</f>
        <v>-22</v>
      </c>
      <c r="H153" s="980">
        <f t="shared" si="8"/>
        <v>1.8168870803662287</v>
      </c>
      <c r="J153" s="2026">
        <v>532</v>
      </c>
      <c r="K153" s="3">
        <f>+J153-J152</f>
        <v>-8</v>
      </c>
      <c r="L153" s="61">
        <f>J153+(L152-J152)+1+6+3</f>
        <v>1021</v>
      </c>
      <c r="M153" s="3">
        <f>+L153-L152</f>
        <v>2</v>
      </c>
      <c r="N153" s="1128">
        <f>AVERAGE(J153,J152)</f>
        <v>536</v>
      </c>
      <c r="P153" s="981">
        <f>(N153/N146-1)*100</f>
        <v>-2.8985507246376829</v>
      </c>
      <c r="R153" s="1128">
        <f>H153/P153*100</f>
        <v>-62.682604272634855</v>
      </c>
      <c r="U153" s="165">
        <f>'CoachSegsales&amp;OldOM'!D73</f>
        <v>784.6</v>
      </c>
      <c r="V153" s="218"/>
      <c r="X153" s="1091">
        <f>U153/N153</f>
        <v>1.4638059701492538</v>
      </c>
      <c r="Z153" s="1141">
        <f>(X153/X146-1)*100</f>
        <v>-17.800519275443726</v>
      </c>
      <c r="AA153" s="1143">
        <f>'qtrP&amp;L'!CF11</f>
        <v>1219.4000000000001</v>
      </c>
      <c r="AB153" s="1143" t="e">
        <f>#REF!+#REF!</f>
        <v>#REF!</v>
      </c>
      <c r="AC153" s="1143" t="e">
        <f>#REF!-(AB153-AE153)</f>
        <v>#REF!</v>
      </c>
      <c r="AD153" s="1143" t="e">
        <f>AC153+#REF!</f>
        <v>#REF!</v>
      </c>
      <c r="AE153" s="1143">
        <f>'CoachSegsales&amp;OldOM'!D73</f>
        <v>784.6</v>
      </c>
      <c r="AG153" s="1549">
        <f>0.87631+1.193929</f>
        <v>2.0702389999999999</v>
      </c>
      <c r="AI153" s="1125">
        <f>+(L153-L152)*2000/1000000+AI152</f>
        <v>2.9757120000000001</v>
      </c>
      <c r="AJ153" s="1149">
        <f>AVERAGE(AG153,AG152)</f>
        <v>2.0731415000000002</v>
      </c>
      <c r="AL153" s="981">
        <f>(AJ153/AJ146-1)*100</f>
        <v>3.3371947137635694</v>
      </c>
      <c r="AN153" s="1128">
        <f>H153/AL153*100</f>
        <v>54.44354424010244</v>
      </c>
      <c r="AQ153" s="1153">
        <f>U153</f>
        <v>784.6</v>
      </c>
      <c r="AS153" s="1046">
        <f>AQ153/AJ153</f>
        <v>378.45945392535913</v>
      </c>
      <c r="AU153" s="1141">
        <f>(AS153/AS146-1)*100</f>
        <v>-22.760737504580863</v>
      </c>
      <c r="AW153" s="1107"/>
      <c r="AX153" s="1029"/>
      <c r="AY153" s="1029"/>
    </row>
    <row r="154" spans="1:51">
      <c r="A154" s="61" t="str">
        <f t="shared" si="18"/>
        <v>3Q</v>
      </c>
      <c r="B154" s="1148" t="str">
        <f t="shared" si="18"/>
        <v>Mar</v>
      </c>
      <c r="D154" s="1141">
        <f>(U154/U147-1)*100</f>
        <v>-23.879843746864982</v>
      </c>
      <c r="F154" s="1131">
        <f>'qtrP&amp;L'!CH12</f>
        <v>-23</v>
      </c>
      <c r="H154" s="980">
        <f>D154-F154</f>
        <v>-0.87984374686498157</v>
      </c>
      <c r="J154" s="2026">
        <v>478</v>
      </c>
      <c r="K154" s="61">
        <f>+J154-J153</f>
        <v>-54</v>
      </c>
      <c r="L154" s="61">
        <f>478+198+165+101+31</f>
        <v>973</v>
      </c>
      <c r="M154" s="3">
        <f>+L154-L153</f>
        <v>-48</v>
      </c>
      <c r="N154" s="1128">
        <f>AVERAGE(J154,J153)</f>
        <v>505</v>
      </c>
      <c r="P154" s="981">
        <f>(N154/N147-1)*100</f>
        <v>-8.0982711555959934</v>
      </c>
      <c r="R154" s="1128">
        <f>H154/P154*100</f>
        <v>10.864587391063091</v>
      </c>
      <c r="U154" s="165">
        <f>'CoachSegsales&amp;OldOM'!D74</f>
        <v>493.2</v>
      </c>
      <c r="V154" s="218"/>
      <c r="X154" s="1091">
        <f>U154/N154</f>
        <v>0.97663366336633661</v>
      </c>
      <c r="Z154" s="1141">
        <f>(X154/X147-1)*100</f>
        <v>-17.172226017628333</v>
      </c>
      <c r="AA154" s="1143">
        <f>'qtrP&amp;L'!CF12</f>
        <v>929.3</v>
      </c>
      <c r="AB154" s="1143" t="e">
        <f>#REF!+#REF!</f>
        <v>#REF!</v>
      </c>
      <c r="AC154" s="1143" t="e">
        <f>#REF!-(AB154-AE154)</f>
        <v>#REF!</v>
      </c>
      <c r="AD154" s="1143" t="e">
        <f>AC154+#REF!</f>
        <v>#REF!</v>
      </c>
      <c r="AE154" s="1143">
        <f>'CoachSegsales&amp;OldOM'!D74</f>
        <v>493.2</v>
      </c>
      <c r="AG154" s="1549">
        <f>0.776904+1.156458</f>
        <v>1.933362</v>
      </c>
      <c r="AI154" s="1125">
        <f>+(L154-L153)*2000/1000000+AI153</f>
        <v>2.879712</v>
      </c>
      <c r="AJ154" s="1149">
        <f>AVERAGE(AG154,AG153)</f>
        <v>2.0018004999999999</v>
      </c>
      <c r="AL154" s="981">
        <f>(AJ154/AJ147-1)*100</f>
        <v>-1.2802544284065021</v>
      </c>
      <c r="AN154" s="1128">
        <f>H154/AL154*100</f>
        <v>68.724132277370771</v>
      </c>
      <c r="AQ154" s="1153">
        <f>U154</f>
        <v>493.2</v>
      </c>
      <c r="AS154" s="1046">
        <f>AQ154/AJ154</f>
        <v>246.37819802722601</v>
      </c>
      <c r="AU154" s="1141">
        <f>(AS154/AS147-1)*100</f>
        <v>-22.892673788415319</v>
      </c>
      <c r="AW154" s="1107"/>
      <c r="AX154" s="1029"/>
      <c r="AY154" s="1029"/>
    </row>
    <row r="155" spans="1:51">
      <c r="A155" s="61" t="str">
        <f t="shared" si="18"/>
        <v>4Q</v>
      </c>
      <c r="B155" s="1148" t="str">
        <f t="shared" si="18"/>
        <v>June</v>
      </c>
      <c r="D155" s="1138">
        <f>(U155/U148-1)*100</f>
        <v>-19.604035414711618</v>
      </c>
      <c r="F155" s="1138">
        <f>'qtrP&amp;L'!CH13</f>
        <v>-19</v>
      </c>
      <c r="H155" s="1033">
        <f>D155-F155</f>
        <v>-0.60403541471161759</v>
      </c>
      <c r="J155" s="2026">
        <f>yrSales!V62+yrSales!V63+yrSales!V64+yrSales!V65</f>
        <v>462</v>
      </c>
      <c r="K155" s="3">
        <f>+J155-J154</f>
        <v>-16</v>
      </c>
      <c r="L155" s="61">
        <f>yrSales!V61</f>
        <v>965</v>
      </c>
      <c r="M155" s="3">
        <f>+L155-L154</f>
        <v>-8</v>
      </c>
      <c r="N155" s="1129">
        <f>AVERAGE(J155,J154)</f>
        <v>470</v>
      </c>
      <c r="P155" s="1146">
        <f>(N155/N148-1)*100</f>
        <v>-13.123844731977819</v>
      </c>
      <c r="R155" s="1129">
        <f>H155/P155*100</f>
        <v>4.6025797092814802</v>
      </c>
      <c r="U155" s="1101">
        <f>'CoachSegsales&amp;OldOM'!D75</f>
        <v>556</v>
      </c>
      <c r="V155" s="218"/>
      <c r="X155" s="1385">
        <f>U155/N155</f>
        <v>1.1829787234042553</v>
      </c>
      <c r="Z155" s="1138">
        <f>(X155/X148-1)*100</f>
        <v>-7.4591131050191217</v>
      </c>
      <c r="AA155" s="1143">
        <f>'qtrP&amp;L'!CF13</f>
        <v>1004.1</v>
      </c>
      <c r="AB155" s="1143" t="e">
        <f>#REF!+#REF!</f>
        <v>#REF!</v>
      </c>
      <c r="AC155" s="1143" t="e">
        <f>#REF!-(AB155-AE155)</f>
        <v>#REF!</v>
      </c>
      <c r="AD155" s="1143" t="e">
        <f>AC155+#REF!</f>
        <v>#REF!</v>
      </c>
      <c r="AE155" s="1143">
        <f>'CoachSegsales&amp;OldOM'!D75</f>
        <v>556</v>
      </c>
      <c r="AG155" s="1594">
        <v>1.9185570000000001</v>
      </c>
      <c r="AI155" s="1125">
        <f>yrSales!V88</f>
        <v>3.0396469999999995</v>
      </c>
      <c r="AJ155" s="1154">
        <f>AVERAGE(AG155,AG154)</f>
        <v>1.9259595</v>
      </c>
      <c r="AL155" s="1146">
        <f>(AJ155/AJ148-1)*100</f>
        <v>-5.0277895714769594</v>
      </c>
      <c r="AN155" s="1129">
        <f>H155/AL155*100</f>
        <v>12.013935868325861</v>
      </c>
      <c r="AQ155" s="1132">
        <f>U155</f>
        <v>556</v>
      </c>
      <c r="AS155" s="1155">
        <f>AQ155/AJ155</f>
        <v>288.68727509586779</v>
      </c>
      <c r="AU155" s="1138">
        <f>(AS155/AS148-1)*100</f>
        <v>-15.347906274335777</v>
      </c>
      <c r="AW155" s="1107"/>
      <c r="AX155" s="1029"/>
      <c r="AY155" s="1029"/>
    </row>
    <row r="156" spans="1:51">
      <c r="A156" s="61"/>
      <c r="B156" s="1148" t="str">
        <f>B149</f>
        <v>Year</v>
      </c>
      <c r="D156" s="1387">
        <f>(U156/U149-1)*100</f>
        <v>-20.416061925495889</v>
      </c>
      <c r="F156" s="1131">
        <f>'qtrP&amp;L'!CH14</f>
        <v>-22</v>
      </c>
      <c r="H156" s="980">
        <f>D156-F156</f>
        <v>1.5839380745041112</v>
      </c>
      <c r="N156" s="1128">
        <f>AVERAGE(N152:N155)</f>
        <v>512.625</v>
      </c>
      <c r="P156" s="981">
        <f>(N156/N149-1)*100</f>
        <v>-6.3056888279643619</v>
      </c>
      <c r="R156" s="1128">
        <f>H156/P156*100</f>
        <v>-25.119191855451056</v>
      </c>
      <c r="U156" s="165">
        <f>'CoachSegsales&amp;OldOM'!D76</f>
        <v>2467.5</v>
      </c>
      <c r="V156" s="1065"/>
      <c r="X156" s="1091">
        <f>U156/N156</f>
        <v>4.8134601316752015</v>
      </c>
      <c r="Z156" s="1141">
        <f>(X156/X149-1)*100</f>
        <v>-15.060010496926479</v>
      </c>
      <c r="AA156" s="1143">
        <f>'qtrP&amp;L'!CF14</f>
        <v>4191.6000000000004</v>
      </c>
      <c r="AB156" s="1143" t="e">
        <f>#REF!+#REF!</f>
        <v>#REF!</v>
      </c>
      <c r="AC156" s="1143" t="e">
        <f>#REF!-(AB156-AE156)</f>
        <v>#REF!</v>
      </c>
      <c r="AD156" s="1143" t="e">
        <f>AC156+#REF!</f>
        <v>#REF!</v>
      </c>
      <c r="AE156" s="1143">
        <f>'CoachSegsales&amp;OldOM'!D76</f>
        <v>2467.5</v>
      </c>
      <c r="AG156" s="1114"/>
      <c r="AJ156" s="1149">
        <f>AVERAGE(AJ152:AJ155)</f>
        <v>2.0150704999999998</v>
      </c>
      <c r="AL156" s="981">
        <f>(AJ156/AJ149-1)*100</f>
        <v>0.57533693274798292</v>
      </c>
      <c r="AN156" s="1128">
        <f>H156/AL156*100</f>
        <v>275.30617006260047</v>
      </c>
      <c r="AQ156" s="1065">
        <f>U156</f>
        <v>2467.5</v>
      </c>
      <c r="AS156" s="1151">
        <f>SUM(AS152:AS155)</f>
        <v>1221.2388245045083</v>
      </c>
      <c r="AU156" s="1141">
        <f>(AS156/AS149-1)*100</f>
        <v>-21.161636152566764</v>
      </c>
      <c r="AW156" s="1107"/>
      <c r="AX156" s="1029"/>
      <c r="AY156" s="1029"/>
    </row>
    <row r="157" spans="1:51">
      <c r="A157" s="61"/>
      <c r="B157" s="1148"/>
      <c r="D157" s="981"/>
      <c r="F157" s="1131"/>
      <c r="H157" s="981"/>
      <c r="N157" s="1128"/>
      <c r="P157" s="981"/>
      <c r="R157" s="1128"/>
      <c r="U157" s="705"/>
      <c r="V157" s="179"/>
      <c r="X157" s="1150"/>
      <c r="Z157" s="1141"/>
      <c r="AA157" s="1141"/>
      <c r="AB157" s="1143"/>
      <c r="AC157" s="1143"/>
      <c r="AD157" s="1143"/>
      <c r="AE157" s="1143"/>
      <c r="AG157" s="1114"/>
      <c r="AJ157" s="1149"/>
      <c r="AL157" s="981"/>
      <c r="AN157" s="1128"/>
      <c r="AQ157" s="1065"/>
      <c r="AS157" s="1151"/>
      <c r="AU157" s="1141"/>
      <c r="AW157" s="1107"/>
      <c r="AX157" s="1029"/>
      <c r="AY157" s="1029"/>
    </row>
    <row r="158" spans="1:51">
      <c r="A158" s="1147"/>
      <c r="B158" s="1145">
        <v>2016</v>
      </c>
      <c r="D158" s="980"/>
      <c r="F158" s="1131"/>
      <c r="H158" s="980"/>
      <c r="P158" s="980"/>
      <c r="R158" s="564"/>
      <c r="U158" s="705"/>
      <c r="V158" s="705"/>
      <c r="X158" s="1091"/>
      <c r="Z158" s="1092"/>
      <c r="AA158" s="1092"/>
      <c r="AB158" s="1093"/>
      <c r="AC158" s="1093"/>
      <c r="AD158" s="1093"/>
      <c r="AE158" s="1093"/>
      <c r="AG158" s="1114"/>
      <c r="AJ158" s="1114"/>
      <c r="AL158" s="980"/>
      <c r="AN158" s="564"/>
      <c r="AQ158" s="1065"/>
      <c r="AS158" s="1112"/>
      <c r="AU158" s="1092"/>
      <c r="AW158" s="1107"/>
      <c r="AX158" s="1029"/>
      <c r="AY158" s="1029"/>
    </row>
    <row r="159" spans="1:51">
      <c r="A159" s="61" t="str">
        <f t="shared" ref="A159:B162" si="19">A152</f>
        <v>1Q</v>
      </c>
      <c r="B159" s="1148" t="str">
        <f t="shared" si="19"/>
        <v>Sept</v>
      </c>
      <c r="D159" s="1141">
        <f>(U159/U152-1)*100</f>
        <v>-11.472305507337865</v>
      </c>
      <c r="E159" s="959" t="s">
        <v>428</v>
      </c>
      <c r="F159" s="1661">
        <f>'qtrP&amp;L'!CL10</f>
        <v>-9.5</v>
      </c>
      <c r="G159" s="3" t="s">
        <v>428</v>
      </c>
      <c r="H159" s="980">
        <f>D159-F159</f>
        <v>-1.9723055073378646</v>
      </c>
      <c r="I159" s="3" t="s">
        <v>428</v>
      </c>
      <c r="J159" s="2026">
        <v>462</v>
      </c>
      <c r="K159" s="3">
        <f>+J159-J155</f>
        <v>0</v>
      </c>
      <c r="L159" s="61">
        <f>J159+197+176+103+35</f>
        <v>973</v>
      </c>
      <c r="M159" s="3">
        <f>+L159-L155</f>
        <v>8</v>
      </c>
      <c r="N159" s="1128">
        <f>AVERAGE(J159,J155)</f>
        <v>462</v>
      </c>
      <c r="P159" s="981">
        <f>(N159/N152-1)*100</f>
        <v>-14.365152919369784</v>
      </c>
      <c r="Q159" s="3" t="s">
        <v>428</v>
      </c>
      <c r="R159" s="1128">
        <f>H159/P159*100</f>
        <v>13.729791241403589</v>
      </c>
      <c r="S159" s="3" t="s">
        <v>428</v>
      </c>
      <c r="U159" s="705">
        <f>'CoachSegsales&amp;OldOM'!D79</f>
        <v>561</v>
      </c>
      <c r="V159" s="1065"/>
      <c r="X159" s="1091">
        <f>U159/N159</f>
        <v>1.2142857142857142</v>
      </c>
      <c r="Z159" s="1141">
        <f>(X159/X152-1)*100</f>
        <v>3.3781194346130139</v>
      </c>
      <c r="AA159" s="1143">
        <f>'qtrP&amp;L'!CF17</f>
        <v>0</v>
      </c>
      <c r="AB159" s="1143" t="e">
        <f>#REF!+#REF!</f>
        <v>#REF!</v>
      </c>
      <c r="AC159" s="1143" t="e">
        <f>#REF!-(AB159-AE159)</f>
        <v>#REF!</v>
      </c>
      <c r="AD159" s="1143" t="e">
        <f>AC159+#REF!</f>
        <v>#REF!</v>
      </c>
      <c r="AE159" s="1143">
        <f>'CoachSegsales&amp;OldOM'!D79</f>
        <v>561</v>
      </c>
      <c r="AF159" s="959" t="s">
        <v>428</v>
      </c>
      <c r="AG159" s="1594">
        <v>1.931222</v>
      </c>
      <c r="AI159" s="1125">
        <f>+(L159-L155)*2000/1000000+AI155</f>
        <v>3.0556469999999996</v>
      </c>
      <c r="AJ159" s="1149">
        <f>AVERAGE(AG159,AG155)</f>
        <v>1.9248894999999999</v>
      </c>
      <c r="AL159" s="981">
        <f>(AJ159/AJ152-1)*100</f>
        <v>-6.5306532716999151</v>
      </c>
      <c r="AM159" s="959" t="s">
        <v>428</v>
      </c>
      <c r="AN159" s="1128">
        <f>H159/AL159*100</f>
        <v>30.200738353155256</v>
      </c>
      <c r="AO159" s="1148" t="s">
        <v>428</v>
      </c>
      <c r="AQ159" s="1065">
        <f>U159</f>
        <v>561</v>
      </c>
      <c r="AS159" s="1151">
        <f>AQ159/AJ159</f>
        <v>291.44530114585797</v>
      </c>
      <c r="AU159" s="1141">
        <f>(AS159/AS152-1)*100</f>
        <v>-5.2869228347155461</v>
      </c>
      <c r="AV159" s="959" t="s">
        <v>428</v>
      </c>
      <c r="AW159" s="1107"/>
      <c r="AX159" s="1029"/>
      <c r="AY159" s="1029"/>
    </row>
    <row r="160" spans="1:51">
      <c r="A160" s="61" t="str">
        <f t="shared" si="19"/>
        <v>2Q</v>
      </c>
      <c r="B160" s="1148" t="str">
        <f t="shared" si="19"/>
        <v>Dec</v>
      </c>
      <c r="D160" s="1141">
        <f>(U160/U153-1)*100</f>
        <v>-6.8315065001274604</v>
      </c>
      <c r="F160" s="1661">
        <f>'qtrP&amp;L'!CL11</f>
        <v>-4.2</v>
      </c>
      <c r="H160" s="980">
        <f>D160-F160</f>
        <v>-2.6315065001274602</v>
      </c>
      <c r="J160" s="2026">
        <v>460</v>
      </c>
      <c r="K160" s="3">
        <f>+J160-J159</f>
        <v>-2</v>
      </c>
      <c r="L160" s="61">
        <f>J160+195+181+103+35</f>
        <v>974</v>
      </c>
      <c r="M160" s="3">
        <f>+L160-L159</f>
        <v>1</v>
      </c>
      <c r="N160" s="1128">
        <f>AVERAGE(J160,J159)</f>
        <v>461</v>
      </c>
      <c r="P160" s="981">
        <f>(N160/N153-1)*100</f>
        <v>-13.992537313432841</v>
      </c>
      <c r="R160" s="1128">
        <f>H160/P160*100</f>
        <v>18.806499787577575</v>
      </c>
      <c r="U160" s="165">
        <f>'CoachSegsales&amp;OldOM'!D80</f>
        <v>731</v>
      </c>
      <c r="V160" s="218"/>
      <c r="X160" s="1091">
        <f>U160/N160</f>
        <v>1.5856832971800434</v>
      </c>
      <c r="Z160" s="1141">
        <f>(X160/X153-1)*100</f>
        <v>8.3260575182899856</v>
      </c>
      <c r="AA160" s="1143" t="e">
        <f>'qtrP&amp;L'!#REF!</f>
        <v>#REF!</v>
      </c>
      <c r="AB160" s="1143" t="e">
        <f>#REF!+#REF!</f>
        <v>#REF!</v>
      </c>
      <c r="AC160" s="1143" t="e">
        <f>#REF!-(AB160-AE160)</f>
        <v>#REF!</v>
      </c>
      <c r="AD160" s="1143" t="e">
        <f>AC160+#REF!</f>
        <v>#REF!</v>
      </c>
      <c r="AE160" s="1143">
        <f>'CoachSegsales&amp;OldOM'!D80</f>
        <v>731</v>
      </c>
      <c r="AG160" s="1549">
        <v>1.93774</v>
      </c>
      <c r="AI160" s="1125">
        <f>+(L160-L159)*2000/1000000+AI159</f>
        <v>3.0576469999999993</v>
      </c>
      <c r="AJ160" s="1149">
        <f>AVERAGE(AG160,AG159)</f>
        <v>1.9344809999999999</v>
      </c>
      <c r="AL160" s="981">
        <f>(AJ160/AJ153-1)*100</f>
        <v>-6.6884243067827365</v>
      </c>
      <c r="AN160" s="1128">
        <f>H160/AL160*100</f>
        <v>39.34419198642717</v>
      </c>
      <c r="AQ160" s="1153">
        <f>U160</f>
        <v>731</v>
      </c>
      <c r="AS160" s="1046">
        <f>AQ160/AJ160</f>
        <v>377.87913140527098</v>
      </c>
      <c r="AU160" s="1141">
        <f>(AS160/AS153-1)*100</f>
        <v>-0.15333809581689062</v>
      </c>
      <c r="AW160" s="1107"/>
      <c r="AX160" s="1029"/>
      <c r="AY160" s="1029"/>
    </row>
    <row r="161" spans="1:51">
      <c r="A161" s="61" t="str">
        <f t="shared" si="19"/>
        <v>3Q</v>
      </c>
      <c r="B161" s="1148" t="str">
        <f t="shared" si="19"/>
        <v>Mar</v>
      </c>
      <c r="D161" s="1141">
        <f>(U161/U154-1)*100</f>
        <v>1.1557177615571845</v>
      </c>
      <c r="F161" s="1661">
        <f>'qtrP&amp;L'!CL12</f>
        <v>-0.2</v>
      </c>
      <c r="H161" s="980">
        <f>D161-F161</f>
        <v>1.3557177615571845</v>
      </c>
      <c r="J161" s="2026">
        <v>446</v>
      </c>
      <c r="K161" s="3">
        <f>+J161-J160</f>
        <v>-14</v>
      </c>
      <c r="L161" s="61">
        <f>446+196+181+105+37</f>
        <v>965</v>
      </c>
      <c r="M161" s="3">
        <f>+L161-L160</f>
        <v>-9</v>
      </c>
      <c r="N161" s="1128">
        <f>AVERAGE(J161,J160)</f>
        <v>453</v>
      </c>
      <c r="P161" s="981">
        <f>(N161/N154-1)*100</f>
        <v>-10.297029702970296</v>
      </c>
      <c r="R161" s="1128">
        <f>H161/P161*100</f>
        <v>-13.166105184353427</v>
      </c>
      <c r="U161" s="165">
        <f>'CoachSegsales&amp;OldOM'!D81</f>
        <v>498.9</v>
      </c>
      <c r="V161" s="218"/>
      <c r="X161" s="1091">
        <f>U161/N161</f>
        <v>1.1013245033112582</v>
      </c>
      <c r="Z161" s="1141">
        <f>(X161/X154-1)*100</f>
        <v>12.767411632640989</v>
      </c>
      <c r="AA161" s="1143">
        <f>'qtrP&amp;L'!CF19</f>
        <v>0</v>
      </c>
      <c r="AB161" s="1143" t="e">
        <f>#REF!+#REF!</f>
        <v>#REF!</v>
      </c>
      <c r="AC161" s="1143" t="e">
        <f>#REF!-(AB161-AE161)</f>
        <v>#REF!</v>
      </c>
      <c r="AD161" s="1143" t="e">
        <f>AC161+#REF!</f>
        <v>#REF!</v>
      </c>
      <c r="AE161" s="1143">
        <f>'CoachSegsales&amp;OldOM'!D81</f>
        <v>498.9</v>
      </c>
      <c r="AG161" s="1549">
        <v>1.9129510000000001</v>
      </c>
      <c r="AI161" s="1125">
        <f>+(L161-L160)*2000/1000000+AI160</f>
        <v>3.0396469999999995</v>
      </c>
      <c r="AJ161" s="1149">
        <f>AVERAGE(AG161,AG160)</f>
        <v>1.9253455000000002</v>
      </c>
      <c r="AL161" s="981">
        <f>(AJ161/AJ154-1)*100</f>
        <v>-3.8193116646738634</v>
      </c>
      <c r="AN161" s="1128">
        <f>H161/AL161*100</f>
        <v>-35.496389941064187</v>
      </c>
      <c r="AQ161" s="1153">
        <f>U161</f>
        <v>498.9</v>
      </c>
      <c r="AS161" s="1046">
        <f>AQ161/AJ161</f>
        <v>259.12232375955375</v>
      </c>
      <c r="AU161" s="1141">
        <f>(AS161/AS154-1)*100</f>
        <v>5.1725866307859913</v>
      </c>
      <c r="AW161" s="1107"/>
      <c r="AX161" s="1029"/>
      <c r="AY161" s="1029"/>
    </row>
    <row r="162" spans="1:51">
      <c r="A162" s="61" t="str">
        <f t="shared" si="19"/>
        <v>4Q</v>
      </c>
      <c r="B162" s="1148" t="str">
        <f t="shared" si="19"/>
        <v>June</v>
      </c>
      <c r="D162" s="1138">
        <f>(U162/U155-1)*100</f>
        <v>8.9928057553956933</v>
      </c>
      <c r="F162" s="1662">
        <f>'qtrP&amp;L'!CL13</f>
        <v>2</v>
      </c>
      <c r="H162" s="1033">
        <f>D162-F162</f>
        <v>6.9928057553956933</v>
      </c>
      <c r="J162" s="2026">
        <f>yrSales!W62+yrSales!W63+yrSales!W64+yrSales!W65</f>
        <v>433</v>
      </c>
      <c r="K162" s="3">
        <f>+J162-J161</f>
        <v>-13</v>
      </c>
      <c r="L162" s="61">
        <f>yrSales!W61</f>
        <v>955</v>
      </c>
      <c r="M162" s="3">
        <f>+L162-L161</f>
        <v>-10</v>
      </c>
      <c r="N162" s="1129">
        <f>AVERAGE(J162,J161)</f>
        <v>439.5</v>
      </c>
      <c r="P162" s="1146">
        <f>(N162/N155-1)*100</f>
        <v>-6.4893617021276606</v>
      </c>
      <c r="R162" s="1129">
        <f>H162/P162*100</f>
        <v>-107.75799032904838</v>
      </c>
      <c r="U162" s="1101">
        <f>'CoachSegsales&amp;OldOM'!D82</f>
        <v>606</v>
      </c>
      <c r="V162" s="218"/>
      <c r="X162" s="1385">
        <f>U162/N162</f>
        <v>1.3788395904436861</v>
      </c>
      <c r="Z162" s="1138">
        <f>(X162/X155-1)*100</f>
        <v>16.556584084268433</v>
      </c>
      <c r="AA162" s="1143">
        <f>'qtrP&amp;L'!CF20</f>
        <v>319.39999999999998</v>
      </c>
      <c r="AB162" s="1143" t="e">
        <f>#REF!+#REF!</f>
        <v>#REF!</v>
      </c>
      <c r="AC162" s="1143" t="e">
        <f>#REF!-(AB162-AE162)</f>
        <v>#REF!</v>
      </c>
      <c r="AD162" s="1143" t="e">
        <f>AC162+#REF!</f>
        <v>#REF!</v>
      </c>
      <c r="AE162" s="1143">
        <f>'CoachSegsales&amp;OldOM'!D82</f>
        <v>606</v>
      </c>
      <c r="AG162" s="1594">
        <v>1.892852</v>
      </c>
      <c r="AI162" s="1125">
        <f>yrSales!W88</f>
        <v>3.0962809999999998</v>
      </c>
      <c r="AJ162" s="1154">
        <f>AVERAGE(AG162,AG161)</f>
        <v>1.9029015</v>
      </c>
      <c r="AL162" s="1146">
        <f>(AJ162/AJ155-1)*100</f>
        <v>-1.1972214368993761</v>
      </c>
      <c r="AN162" s="1129">
        <f>H162/AL162*100</f>
        <v>-584.0862466935115</v>
      </c>
      <c r="AQ162" s="1132">
        <f>U162</f>
        <v>606</v>
      </c>
      <c r="AS162" s="1155">
        <f>AQ162/AJ162</f>
        <v>318.46104488330059</v>
      </c>
      <c r="AU162" s="1138">
        <f>(AS162/AS155-1)*100</f>
        <v>10.313502656999862</v>
      </c>
      <c r="AW162" s="1107"/>
      <c r="AX162" s="1029"/>
      <c r="AY162" s="1029"/>
    </row>
    <row r="163" spans="1:51">
      <c r="A163" s="61"/>
      <c r="B163" s="1148" t="str">
        <f>B156</f>
        <v>Year</v>
      </c>
      <c r="D163" s="1387">
        <f>(U163/U156-1)*100</f>
        <v>-2.8611955420466018</v>
      </c>
      <c r="F163" s="1661">
        <f>'qtrP&amp;L'!CL14</f>
        <v>-3.3</v>
      </c>
      <c r="H163" s="980">
        <f>D163-F163</f>
        <v>0.43880445795339806</v>
      </c>
      <c r="N163" s="1128">
        <f>AVERAGE(N159:N162)</f>
        <v>453.875</v>
      </c>
      <c r="P163" s="981">
        <f>(N163/N156-1)*100</f>
        <v>-11.46061936113143</v>
      </c>
      <c r="R163" s="1128">
        <f>H163/P163*100</f>
        <v>-3.8288023022699695</v>
      </c>
      <c r="U163" s="165">
        <f>'CoachSegsales&amp;OldOM'!D83</f>
        <v>2396.9</v>
      </c>
      <c r="V163" s="1065"/>
      <c r="X163" s="1091">
        <f>U163/N163</f>
        <v>5.2809694299091161</v>
      </c>
      <c r="Z163" s="1141">
        <f>(X163/X156-1)*100</f>
        <v>9.7125411958322481</v>
      </c>
      <c r="AA163" s="1143">
        <f>'qtrP&amp;L'!CF21</f>
        <v>378.4</v>
      </c>
      <c r="AB163" s="1143" t="e">
        <f>#REF!+#REF!</f>
        <v>#REF!</v>
      </c>
      <c r="AC163" s="1143" t="e">
        <f>#REF!-(AB163-AE163)</f>
        <v>#REF!</v>
      </c>
      <c r="AD163" s="1143" t="e">
        <f>AC163+#REF!</f>
        <v>#REF!</v>
      </c>
      <c r="AE163" s="1143">
        <f>'CoachSegsales&amp;OldOM'!D83</f>
        <v>2396.9</v>
      </c>
      <c r="AG163" s="1114"/>
      <c r="AJ163" s="1149">
        <f>AVERAGE(AJ159:AJ162)</f>
        <v>1.921904375</v>
      </c>
      <c r="AL163" s="981">
        <f>(AJ163/AJ156-1)*100</f>
        <v>-4.6234672682667792</v>
      </c>
      <c r="AN163" s="1128">
        <f>H163/AL163*100</f>
        <v>-9.4908092237429145</v>
      </c>
      <c r="AQ163" s="1065">
        <f>U163</f>
        <v>2396.9</v>
      </c>
      <c r="AS163" s="1151">
        <f>SUM(AS159:AS162)</f>
        <v>1246.9078011939832</v>
      </c>
      <c r="AU163" s="1141">
        <f>(AS163/AS156-1)*100</f>
        <v>2.101880170726611</v>
      </c>
      <c r="AW163" s="1107"/>
      <c r="AX163" s="1029"/>
      <c r="AY163" s="1029"/>
    </row>
    <row r="164" spans="1:51">
      <c r="A164" s="61"/>
      <c r="B164" s="1148"/>
      <c r="D164" s="981"/>
      <c r="F164" s="1131"/>
      <c r="H164" s="981"/>
      <c r="N164" s="1128"/>
      <c r="P164" s="981"/>
      <c r="R164" s="1128"/>
      <c r="U164" s="705"/>
      <c r="V164" s="179"/>
      <c r="X164" s="1150"/>
      <c r="Z164" s="1141"/>
      <c r="AA164" s="1141"/>
      <c r="AB164" s="1143"/>
      <c r="AC164" s="1143"/>
      <c r="AD164" s="1143"/>
      <c r="AE164" s="1143"/>
      <c r="AG164" s="1114"/>
      <c r="AJ164" s="1149"/>
      <c r="AL164" s="981"/>
      <c r="AN164" s="1128"/>
      <c r="AQ164" s="1065"/>
      <c r="AS164" s="1151"/>
      <c r="AU164" s="1141"/>
      <c r="AW164" s="1107"/>
      <c r="AX164" s="1029"/>
      <c r="AY164" s="1029"/>
    </row>
    <row r="165" spans="1:51">
      <c r="A165" s="1147"/>
      <c r="B165" s="1145" t="s">
        <v>853</v>
      </c>
      <c r="D165" s="980"/>
      <c r="F165" s="1131"/>
      <c r="H165" s="980"/>
      <c r="P165" s="980"/>
      <c r="R165" s="1651"/>
      <c r="U165" s="2"/>
      <c r="V165" s="705"/>
      <c r="X165" s="1091"/>
      <c r="Z165" s="1092"/>
      <c r="AA165" s="1092"/>
      <c r="AB165" s="1093"/>
      <c r="AC165" s="1093"/>
      <c r="AD165" s="1093"/>
      <c r="AE165" s="1093"/>
      <c r="AG165" s="1114"/>
      <c r="AJ165" s="1114"/>
      <c r="AL165" s="980"/>
      <c r="AN165" s="564"/>
      <c r="AQ165" s="1065"/>
      <c r="AS165" s="1112"/>
      <c r="AU165" s="1092"/>
      <c r="AW165" s="1107"/>
      <c r="AX165" s="1029"/>
      <c r="AY165" s="1029"/>
    </row>
    <row r="166" spans="1:51">
      <c r="A166" s="61" t="str">
        <f t="shared" ref="A166:B169" si="20">A159</f>
        <v>1Q</v>
      </c>
      <c r="B166" s="1148" t="str">
        <f t="shared" si="20"/>
        <v>Sept</v>
      </c>
      <c r="D166" s="1141">
        <f>(U166/U159-1)*100</f>
        <v>-2.8520499108734443</v>
      </c>
      <c r="E166" s="959" t="s">
        <v>428</v>
      </c>
      <c r="F166" s="1673">
        <f>'qtrP&amp;L'!CP10</f>
        <v>1.9</v>
      </c>
      <c r="G166" s="1030" t="s">
        <v>428</v>
      </c>
      <c r="H166" s="1674">
        <f>D166-F166</f>
        <v>-4.7520499108734437</v>
      </c>
      <c r="I166" s="3" t="s">
        <v>428</v>
      </c>
      <c r="J166" s="2026">
        <v>431</v>
      </c>
      <c r="K166" s="3">
        <f>+J166-J162</f>
        <v>-2</v>
      </c>
      <c r="L166" s="61">
        <f>J166+191+188+103+39</f>
        <v>952</v>
      </c>
      <c r="M166" s="3">
        <f>+L166-L162</f>
        <v>-3</v>
      </c>
      <c r="N166" s="1128">
        <f>AVERAGE(J166,J162)</f>
        <v>432</v>
      </c>
      <c r="P166" s="1026">
        <f>(N166/N159-1)*100</f>
        <v>-6.4935064935064961</v>
      </c>
      <c r="Q166" s="3" t="s">
        <v>428</v>
      </c>
      <c r="R166" s="1652">
        <f>H166/P166*100</f>
        <v>73.181568627451</v>
      </c>
      <c r="S166" s="3" t="s">
        <v>428</v>
      </c>
      <c r="U166" s="1130">
        <f>'CoachSegsales&amp;OldOM'!D86</f>
        <v>545</v>
      </c>
      <c r="V166" s="1065"/>
      <c r="X166" s="1091">
        <f>U166/N166</f>
        <v>1.2615740740740742</v>
      </c>
      <c r="Z166" s="1141">
        <f>(X166/X159-1)*100</f>
        <v>3.894335511982594</v>
      </c>
      <c r="AA166" s="1143">
        <f>'qtrP&amp;L'!CF24</f>
        <v>1273.3</v>
      </c>
      <c r="AB166" s="1143" t="e">
        <f>#REF!+#REF!</f>
        <v>#REF!</v>
      </c>
      <c r="AC166" s="1143" t="e">
        <f>#REF!-(AB166-AE166)</f>
        <v>#REF!</v>
      </c>
      <c r="AD166" s="1143" t="e">
        <f>AC166+#REF!</f>
        <v>#REF!</v>
      </c>
      <c r="AE166" s="1143" t="str">
        <f>'CoachSegsales&amp;OldOM'!D92</f>
        <v>No Longer Reported</v>
      </c>
      <c r="AF166" s="959" t="s">
        <v>428</v>
      </c>
      <c r="AG166" s="1594">
        <v>1.8905970000000001</v>
      </c>
      <c r="AI166" s="1125">
        <f>+(L166-L162)*2000/1000000+AI162</f>
        <v>3.0902810000000001</v>
      </c>
      <c r="AJ166" s="1149">
        <f>AVERAGE(AG166,AG162)</f>
        <v>1.8917245</v>
      </c>
      <c r="AL166" s="981">
        <f>(AJ166/AJ159-1)*100</f>
        <v>-1.7229560450093273</v>
      </c>
      <c r="AM166" s="959" t="s">
        <v>428</v>
      </c>
      <c r="AN166" s="1128">
        <f>H166/AL166*100</f>
        <v>275.80795950297841</v>
      </c>
      <c r="AO166" s="1148" t="s">
        <v>428</v>
      </c>
      <c r="AQ166" s="1065">
        <f>U166</f>
        <v>545</v>
      </c>
      <c r="AS166" s="1151">
        <f>AQ166/AJ166</f>
        <v>288.09691897525249</v>
      </c>
      <c r="AU166" s="1141">
        <f>(AS166/AS159-1)*100</f>
        <v>-1.1488887134020853</v>
      </c>
      <c r="AV166" s="959" t="s">
        <v>428</v>
      </c>
      <c r="AW166" s="1107"/>
      <c r="AX166" s="1029"/>
      <c r="AY166" s="1029"/>
    </row>
    <row r="167" spans="1:51">
      <c r="A167" s="61" t="str">
        <f t="shared" si="20"/>
        <v>2Q</v>
      </c>
      <c r="B167" s="1148" t="str">
        <f t="shared" si="20"/>
        <v>Dec</v>
      </c>
      <c r="D167" s="1141">
        <f>(U167/U160-1)*100</f>
        <v>1.7783857729138264</v>
      </c>
      <c r="F167" s="1673">
        <f>'qtrP&amp;L'!CP11</f>
        <v>2.8</v>
      </c>
      <c r="G167" s="1030"/>
      <c r="H167" s="1674">
        <f>D167-F167</f>
        <v>-1.0216142270861734</v>
      </c>
      <c r="J167" s="2026">
        <v>434</v>
      </c>
      <c r="K167" s="3">
        <f>+J167-J166</f>
        <v>3</v>
      </c>
      <c r="L167" s="61">
        <f>J167+191+191+104+40</f>
        <v>960</v>
      </c>
      <c r="M167" s="3">
        <f>+L167-L166</f>
        <v>8</v>
      </c>
      <c r="N167" s="1128">
        <f>AVERAGE(J167,J166)</f>
        <v>432.5</v>
      </c>
      <c r="P167" s="1026">
        <f>(N167/N160-1)*100</f>
        <v>-6.1822125813449036</v>
      </c>
      <c r="R167" s="1652">
        <f>H167/P167*100</f>
        <v>16.525058199534239</v>
      </c>
      <c r="U167" s="1130">
        <f>'CoachSegsales&amp;OldOM'!D87</f>
        <v>744</v>
      </c>
      <c r="V167" s="218"/>
      <c r="X167" s="1091">
        <f>U167/N167</f>
        <v>1.7202312138728324</v>
      </c>
      <c r="Z167" s="1141">
        <f>(X167/X160-1)*100</f>
        <v>8.4851695752907972</v>
      </c>
      <c r="AA167" s="1143">
        <f>'qtrP&amp;L'!CF25</f>
        <v>697.8</v>
      </c>
      <c r="AB167" s="1143" t="e">
        <f>#REF!+#REF!</f>
        <v>#REF!</v>
      </c>
      <c r="AC167" s="1143" t="e">
        <f>#REF!-(AB167-AE167)</f>
        <v>#REF!</v>
      </c>
      <c r="AD167" s="1143" t="e">
        <f>AC167+#REF!</f>
        <v>#REF!</v>
      </c>
      <c r="AE167" s="1143">
        <f>'CoachSegsales&amp;OldOM'!D93</f>
        <v>529</v>
      </c>
      <c r="AG167" s="1594">
        <v>1.9192910000000001</v>
      </c>
      <c r="AI167" s="1125">
        <f>+(L167-L166)*2000/1000000+AI166</f>
        <v>3.1062810000000001</v>
      </c>
      <c r="AJ167" s="1149">
        <f>AVERAGE(AG167,AG166)</f>
        <v>1.904944</v>
      </c>
      <c r="AL167" s="981">
        <f>(AJ167/AJ160-1)*100</f>
        <v>-1.5268694807547778</v>
      </c>
      <c r="AN167" s="1128">
        <f>H167/AL167*100</f>
        <v>66.90907375928154</v>
      </c>
      <c r="AQ167" s="1153">
        <f>U167</f>
        <v>744</v>
      </c>
      <c r="AS167" s="1046">
        <f>AQ167/AJ167</f>
        <v>390.56266220949277</v>
      </c>
      <c r="AU167" s="1141">
        <f>(AS167/AS160-1)*100</f>
        <v>3.3565046995460701</v>
      </c>
      <c r="AW167" s="1107"/>
      <c r="AX167" s="1029"/>
      <c r="AY167" s="1029"/>
    </row>
    <row r="168" spans="1:51">
      <c r="A168" s="61" t="str">
        <f t="shared" si="20"/>
        <v>3Q</v>
      </c>
      <c r="B168" s="1148" t="str">
        <f t="shared" si="20"/>
        <v>Mar</v>
      </c>
      <c r="D168" s="1141">
        <f>(U168/U161-1)*100</f>
        <v>-4.9909801563439498</v>
      </c>
      <c r="F168" s="1673">
        <f>'qtrP&amp;L'!CP12</f>
        <v>3.4</v>
      </c>
      <c r="G168" s="1030"/>
      <c r="H168" s="1674">
        <f>D168-F168</f>
        <v>-8.3909801563439501</v>
      </c>
      <c r="J168" s="2026">
        <v>424</v>
      </c>
      <c r="K168" s="3">
        <f>+J168-J167</f>
        <v>-10</v>
      </c>
      <c r="L168" s="61">
        <f>J168+184+197+103+47</f>
        <v>955</v>
      </c>
      <c r="M168" s="3">
        <f>+L168-L167</f>
        <v>-5</v>
      </c>
      <c r="N168" s="1128">
        <f>AVERAGE(J168,J167)</f>
        <v>429</v>
      </c>
      <c r="P168" s="1026">
        <f>(N168/N161-1)*100</f>
        <v>-5.2980132450331174</v>
      </c>
      <c r="R168" s="1652">
        <f>H168/P168*100</f>
        <v>158.37975045099191</v>
      </c>
      <c r="U168" s="1130">
        <f>'CoachSegsales&amp;OldOM'!D88</f>
        <v>474</v>
      </c>
      <c r="V168" s="218"/>
      <c r="X168" s="1091">
        <f>U168/N168</f>
        <v>1.1048951048951048</v>
      </c>
      <c r="Z168" s="1141">
        <f>(X168/X161-1)*100</f>
        <v>0.32420976497946619</v>
      </c>
      <c r="AA168" s="1143">
        <f>'qtrP&amp;L'!CF26</f>
        <v>961.59999999999991</v>
      </c>
      <c r="AB168" s="1143" t="e">
        <f>#REF!+#REF!</f>
        <v>#REF!</v>
      </c>
      <c r="AC168" s="1143" t="e">
        <f>#REF!-(AB168-AE168)</f>
        <v>#REF!</v>
      </c>
      <c r="AD168" s="1143" t="e">
        <f>AC168+#REF!</f>
        <v>#REF!</v>
      </c>
      <c r="AE168" s="1143">
        <f>'CoachSegsales&amp;OldOM'!D94</f>
        <v>781.2</v>
      </c>
      <c r="AG168" s="1594">
        <v>1.894479</v>
      </c>
      <c r="AI168" s="1125">
        <f>+(L168-L167)*2000/1000000+AI167</f>
        <v>3.0962810000000003</v>
      </c>
      <c r="AJ168" s="1149">
        <f>AVERAGE(AG168,AG167)</f>
        <v>1.9068849999999999</v>
      </c>
      <c r="AL168" s="981">
        <f>(AJ168/AJ161-1)*100</f>
        <v>-0.95881492438630866</v>
      </c>
      <c r="AN168" s="1128">
        <f>H168/AL168*100</f>
        <v>875.14075375022071</v>
      </c>
      <c r="AQ168" s="1153">
        <f>U168</f>
        <v>474</v>
      </c>
      <c r="AS168" s="1046">
        <f>AQ168/AJ168</f>
        <v>248.57293439300221</v>
      </c>
      <c r="AU168" s="1141">
        <f>(AS168/AS161-1)*100</f>
        <v>-4.0712005100496773</v>
      </c>
      <c r="AW168" s="1107"/>
      <c r="AX168" s="1029"/>
      <c r="AY168" s="1029"/>
    </row>
    <row r="169" spans="1:51">
      <c r="A169" s="61" t="str">
        <f t="shared" si="20"/>
        <v>4Q</v>
      </c>
      <c r="B169" s="1148" t="str">
        <f t="shared" si="20"/>
        <v>June</v>
      </c>
      <c r="D169" s="1141">
        <f>(U169/U162-1)*100</f>
        <v>-3.3003300330032959</v>
      </c>
      <c r="F169" s="2049">
        <f>'qtrP&amp;L'!CP13</f>
        <v>4</v>
      </c>
      <c r="G169" s="1030"/>
      <c r="H169" s="2050">
        <f>D169-F169</f>
        <v>-7.3003300330032959</v>
      </c>
      <c r="J169" s="2026">
        <f>yrSales!X62+yrSales!X63+yrSales!X64+yrSales!X65</f>
        <v>419</v>
      </c>
      <c r="K169" s="3">
        <f>+J169-J168</f>
        <v>-5</v>
      </c>
      <c r="L169" s="61">
        <f>yrSales!X61</f>
        <v>964</v>
      </c>
      <c r="M169" s="3">
        <f>+L169-L168</f>
        <v>9</v>
      </c>
      <c r="N169" s="1129">
        <f>AVERAGE(J169,J168)</f>
        <v>421.5</v>
      </c>
      <c r="P169" s="1146">
        <f>(N169/N162-1)*100</f>
        <v>-4.0955631399317465</v>
      </c>
      <c r="R169" s="1129">
        <f>H169/P169*100</f>
        <v>178.24972497249689</v>
      </c>
      <c r="U169" s="1101">
        <f>'CoachSegsales&amp;OldOM'!D89</f>
        <v>586</v>
      </c>
      <c r="V169" s="218"/>
      <c r="X169" s="1385">
        <f>U169/N169</f>
        <v>1.3902728351126927</v>
      </c>
      <c r="Z169" s="1138">
        <f>(X169/X162-1)*100</f>
        <v>0.82919323960863878</v>
      </c>
      <c r="AA169" s="1143">
        <f>'qtrP&amp;L'!CF27</f>
        <v>0</v>
      </c>
      <c r="AB169" s="1143" t="e">
        <f>#REF!+#REF!</f>
        <v>#REF!</v>
      </c>
      <c r="AC169" s="1143" t="e">
        <f>#REF!-(AB169-AE169)</f>
        <v>#REF!</v>
      </c>
      <c r="AD169" s="1143" t="e">
        <f>AC169+#REF!</f>
        <v>#REF!</v>
      </c>
      <c r="AE169" s="1143">
        <f>'CoachSegsales&amp;OldOM'!D95</f>
        <v>492.96000000000004</v>
      </c>
      <c r="AG169" s="2062">
        <v>1.884204</v>
      </c>
      <c r="AI169" s="1125">
        <f>yrSales!X88</f>
        <v>2.9697659999999999</v>
      </c>
      <c r="AJ169" s="1154">
        <f>AVERAGE(AG169,AG168)</f>
        <v>1.8893415</v>
      </c>
      <c r="AL169" s="1146">
        <f>(AJ169/AJ162-1)*100</f>
        <v>-0.71259600142203894</v>
      </c>
      <c r="AN169" s="1129">
        <f>H169/AL169*100</f>
        <v>1024.4696880750016</v>
      </c>
      <c r="AQ169" s="1132">
        <f>U169</f>
        <v>586</v>
      </c>
      <c r="AS169" s="1155">
        <f>AQ169/AJ169</f>
        <v>310.16097407482977</v>
      </c>
      <c r="AU169" s="1138">
        <f>(AS169/AS162-1)*100</f>
        <v>-2.6063064672517067</v>
      </c>
      <c r="AW169" s="1107"/>
      <c r="AX169" s="1029"/>
      <c r="AY169" s="1029"/>
    </row>
    <row r="170" spans="1:51">
      <c r="A170" s="61"/>
      <c r="B170" s="1148" t="str">
        <f>B163</f>
        <v>Year</v>
      </c>
      <c r="D170" s="1387">
        <f>(U170/U163-1)*100</f>
        <v>-1.9984146188827268</v>
      </c>
      <c r="F170" s="1655">
        <f>SUMPRODUCT(F166:F169,U166:U169)/U170</f>
        <v>3.0116219667943804</v>
      </c>
      <c r="G170" s="1030"/>
      <c r="H170" s="1654">
        <f>D170-F170</f>
        <v>-5.0100365856771072</v>
      </c>
      <c r="N170" s="1128">
        <f>AVERAGE(N166:N169)</f>
        <v>428.75</v>
      </c>
      <c r="P170" s="981">
        <f>(N170/N163-1)*100</f>
        <v>-5.5356651060313951</v>
      </c>
      <c r="R170" s="1128">
        <f>H170/P170*100</f>
        <v>90.50469075917205</v>
      </c>
      <c r="U170" s="2051">
        <f>'CoachSegsales&amp;OldOM'!D90</f>
        <v>2349</v>
      </c>
      <c r="V170" s="1065"/>
      <c r="X170" s="1091">
        <f>U170/N170</f>
        <v>5.4787172011661811</v>
      </c>
      <c r="Z170" s="1141">
        <f>(X170/X163-1)*100</f>
        <v>3.7445354282323207</v>
      </c>
      <c r="AA170" s="1143">
        <f>'qtrP&amp;L'!CF28</f>
        <v>0</v>
      </c>
      <c r="AB170" s="1143" t="e">
        <f>#REF!+#REF!</f>
        <v>#REF!</v>
      </c>
      <c r="AC170" s="1143" t="e">
        <f>#REF!-(AB170-AE170)</f>
        <v>#REF!</v>
      </c>
      <c r="AD170" s="1143" t="e">
        <f>AC170+#REF!</f>
        <v>#REF!</v>
      </c>
      <c r="AE170" s="1143">
        <f>'CoachSegsales&amp;OldOM'!D96</f>
        <v>603.58000000000004</v>
      </c>
      <c r="AG170" s="1134"/>
      <c r="AJ170" s="1149">
        <f>AVERAGE(AJ166:AJ169)</f>
        <v>1.8982237500000001</v>
      </c>
      <c r="AL170" s="981">
        <f>(AJ170/AJ163-1)*100</f>
        <v>-1.2321437688594616</v>
      </c>
      <c r="AN170" s="1128">
        <f>H170/AL170*100</f>
        <v>406.6113640549159</v>
      </c>
      <c r="AQ170" s="1065">
        <f>U170</f>
        <v>2349</v>
      </c>
      <c r="AS170" s="1151">
        <f>SUM(AS166:AS169)</f>
        <v>1237.3934896525773</v>
      </c>
      <c r="AU170" s="1141">
        <f>(AS170/AS163-1)*100</f>
        <v>-0.7630324818158507</v>
      </c>
      <c r="AW170" s="1107"/>
      <c r="AX170" s="1029"/>
      <c r="AY170" s="1029"/>
    </row>
    <row r="171" spans="1:51">
      <c r="A171" s="61"/>
      <c r="B171" s="1148"/>
      <c r="D171" s="981"/>
      <c r="F171" s="1131"/>
      <c r="H171" s="981"/>
      <c r="L171" s="1031"/>
      <c r="N171" s="1128"/>
      <c r="P171" s="981"/>
      <c r="R171" s="1128"/>
      <c r="U171" s="1065"/>
      <c r="V171" s="1065"/>
      <c r="X171" s="1150"/>
      <c r="Z171" s="1141"/>
      <c r="AA171" s="1143"/>
      <c r="AB171" s="1143"/>
      <c r="AC171" s="1143"/>
      <c r="AD171" s="1143"/>
      <c r="AE171" s="1143"/>
      <c r="AG171" s="1114"/>
      <c r="AJ171" s="1149"/>
      <c r="AL171" s="981"/>
      <c r="AN171" s="1128"/>
      <c r="AQ171" s="1065"/>
      <c r="AS171" s="1151"/>
      <c r="AU171" s="1141"/>
      <c r="AW171" s="1107"/>
      <c r="AX171" s="1029"/>
      <c r="AY171" s="1029"/>
    </row>
    <row r="172" spans="1:51">
      <c r="A172" s="2290"/>
      <c r="B172" s="2291" t="s">
        <v>12</v>
      </c>
      <c r="C172" s="2107"/>
      <c r="D172" s="2293" t="s">
        <v>897</v>
      </c>
      <c r="E172" s="2107"/>
      <c r="F172" s="2292"/>
      <c r="G172" s="2107"/>
      <c r="H172" s="2272"/>
      <c r="I172" s="2107"/>
      <c r="J172" s="2107"/>
      <c r="K172" s="2107"/>
      <c r="L172" s="2107"/>
      <c r="M172" s="2107"/>
      <c r="N172" s="2107"/>
      <c r="O172" s="2107"/>
      <c r="P172" s="2272"/>
      <c r="Q172" s="2107"/>
      <c r="R172" s="2264"/>
      <c r="S172" s="2107"/>
      <c r="T172" s="2107"/>
      <c r="U172" s="2132"/>
      <c r="V172" s="2266"/>
      <c r="W172" s="2107"/>
      <c r="X172" s="2267"/>
      <c r="Y172" s="2107"/>
      <c r="Z172" s="2258"/>
      <c r="AA172" s="2258"/>
      <c r="AB172" s="2268"/>
      <c r="AC172" s="2268"/>
      <c r="AD172" s="2268"/>
      <c r="AE172" s="2268"/>
      <c r="AF172" s="2107"/>
      <c r="AG172" s="2271"/>
      <c r="AH172" s="2107"/>
      <c r="AI172" s="2107"/>
      <c r="AJ172" s="2271"/>
      <c r="AK172" s="2107"/>
      <c r="AL172" s="2272"/>
      <c r="AM172" s="2107"/>
      <c r="AN172" s="2109"/>
      <c r="AO172" s="2107"/>
      <c r="AP172" s="2107"/>
      <c r="AQ172" s="2266"/>
      <c r="AR172" s="2107"/>
      <c r="AS172" s="2273"/>
      <c r="AT172" s="2107"/>
      <c r="AU172" s="2258"/>
      <c r="AV172" s="2107"/>
      <c r="AW172" s="1107"/>
      <c r="AX172" s="1029"/>
      <c r="AY172" s="1029"/>
    </row>
    <row r="173" spans="1:51">
      <c r="A173" s="2107" t="str">
        <f t="shared" ref="A173:B176" si="21">A166</f>
        <v>1Q</v>
      </c>
      <c r="B173" s="2257" t="str">
        <f t="shared" si="21"/>
        <v>Sept</v>
      </c>
      <c r="C173" s="2107"/>
      <c r="D173" s="2258">
        <f>(U173/U166-1)*100</f>
        <v>-2.9357798165137616</v>
      </c>
      <c r="E173" s="2259" t="s">
        <v>428</v>
      </c>
      <c r="F173" s="2260">
        <v>-2</v>
      </c>
      <c r="G173" s="2261" t="s">
        <v>428</v>
      </c>
      <c r="H173" s="2262">
        <f>D173-F173</f>
        <v>-0.93577981651376163</v>
      </c>
      <c r="I173" s="2107" t="s">
        <v>428</v>
      </c>
      <c r="J173" s="2116">
        <v>417</v>
      </c>
      <c r="K173" s="2107">
        <f>+J173-J169</f>
        <v>-2</v>
      </c>
      <c r="L173" s="2116">
        <f>+J173+543</f>
        <v>960</v>
      </c>
      <c r="M173" s="2107">
        <f>+L173-L169</f>
        <v>-4</v>
      </c>
      <c r="N173" s="2109">
        <f>AVERAGE(J173,J169)</f>
        <v>418</v>
      </c>
      <c r="O173" s="2107"/>
      <c r="P173" s="2263">
        <f>(N173/N166-1)*100</f>
        <v>-3.240740740740744</v>
      </c>
      <c r="Q173" s="2107" t="s">
        <v>428</v>
      </c>
      <c r="R173" s="2264">
        <f>H173/P173*100</f>
        <v>28.875491480996047</v>
      </c>
      <c r="S173" s="2107" t="s">
        <v>428</v>
      </c>
      <c r="T173" s="2107"/>
      <c r="U173" s="2360">
        <v>529</v>
      </c>
      <c r="V173" s="2266"/>
      <c r="W173" s="2107"/>
      <c r="X173" s="2267">
        <f>U173/N173</f>
        <v>1.2655502392344498</v>
      </c>
      <c r="Y173" s="2107"/>
      <c r="Z173" s="2258">
        <f>(X173/X166-1)*100</f>
        <v>0.31517492647381573</v>
      </c>
      <c r="AA173" s="2268">
        <f>'qtrP&amp;L'!CF31</f>
        <v>542</v>
      </c>
      <c r="AB173" s="2268" t="e">
        <f>#REF!+#REF!</f>
        <v>#REF!</v>
      </c>
      <c r="AC173" s="2268" t="e">
        <f>#REF!-(AB173-AE173)</f>
        <v>#REF!</v>
      </c>
      <c r="AD173" s="2268" t="e">
        <f>AC173+#REF!</f>
        <v>#REF!</v>
      </c>
      <c r="AE173" s="2268">
        <f>'CoachSegsales&amp;OldOM'!D99</f>
        <v>0</v>
      </c>
      <c r="AF173" s="2259" t="s">
        <v>428</v>
      </c>
      <c r="AG173" s="2269">
        <f>+(L173-L169)*yrSales!X91/1000000+AG169</f>
        <v>1.8715598165711307</v>
      </c>
      <c r="AH173" s="2107"/>
      <c r="AI173" s="2270">
        <f>+(L173-L169)*2000/1000000+AI169</f>
        <v>2.9617659999999999</v>
      </c>
      <c r="AJ173" s="2271">
        <f>AVERAGE(AG173,AG169)</f>
        <v>1.8778819082855653</v>
      </c>
      <c r="AK173" s="2107"/>
      <c r="AL173" s="2272">
        <f>(AJ173/AJ166-1)*100</f>
        <v>-0.73174459147907767</v>
      </c>
      <c r="AM173" s="2259" t="s">
        <v>428</v>
      </c>
      <c r="AN173" s="2109">
        <f>H173/AL173*100</f>
        <v>127.8833936609312</v>
      </c>
      <c r="AO173" s="2257" t="s">
        <v>428</v>
      </c>
      <c r="AP173" s="2107"/>
      <c r="AQ173" s="2266">
        <f>U173</f>
        <v>529</v>
      </c>
      <c r="AR173" s="2107"/>
      <c r="AS173" s="2273">
        <f>AQ173/AJ173</f>
        <v>281.70035488704229</v>
      </c>
      <c r="AT173" s="2107"/>
      <c r="AU173" s="2258">
        <f>(AS173/AS166-1)*100</f>
        <v>-2.2202820186215444</v>
      </c>
      <c r="AV173" s="2259" t="s">
        <v>428</v>
      </c>
      <c r="AW173" s="1107"/>
      <c r="AX173" s="1029"/>
      <c r="AY173" s="1029"/>
    </row>
    <row r="174" spans="1:51">
      <c r="A174" s="2107" t="str">
        <f t="shared" si="21"/>
        <v>2Q</v>
      </c>
      <c r="B174" s="2257" t="str">
        <f t="shared" si="21"/>
        <v>Dec</v>
      </c>
      <c r="C174" s="2107"/>
      <c r="D174" s="2258">
        <f>F174+H174</f>
        <v>5</v>
      </c>
      <c r="E174" s="2107"/>
      <c r="F174" s="2262">
        <v>4</v>
      </c>
      <c r="G174" s="2261"/>
      <c r="H174" s="2262">
        <v>1</v>
      </c>
      <c r="I174" s="2107"/>
      <c r="J174" s="2116">
        <v>416</v>
      </c>
      <c r="K174" s="2107">
        <f>+J174-J173</f>
        <v>-1</v>
      </c>
      <c r="L174" s="2116">
        <f>J174+551</f>
        <v>967</v>
      </c>
      <c r="M174" s="2107">
        <f>+L174-L173</f>
        <v>7</v>
      </c>
      <c r="N174" s="2109">
        <f>AVERAGE(J174,J173)</f>
        <v>416.5</v>
      </c>
      <c r="O174" s="2107"/>
      <c r="P174" s="2263">
        <f>(N174/N167-1)*100</f>
        <v>-3.6994219653179172</v>
      </c>
      <c r="Q174" s="2107"/>
      <c r="R174" s="2264">
        <f>H174/P174*100</f>
        <v>-27.031250000000011</v>
      </c>
      <c r="S174" s="2107"/>
      <c r="T174" s="2107"/>
      <c r="U174" s="2265">
        <f>U167*(1+D174/100)</f>
        <v>781.2</v>
      </c>
      <c r="V174" s="2274"/>
      <c r="W174" s="2107"/>
      <c r="X174" s="2267">
        <f>U174/N174</f>
        <v>1.8756302521008406</v>
      </c>
      <c r="Y174" s="2107"/>
      <c r="Z174" s="2258">
        <f>(X174/X167-1)*100</f>
        <v>9.0336134453781636</v>
      </c>
      <c r="AA174" s="2268">
        <f>'qtrP&amp;L'!CF32</f>
        <v>519</v>
      </c>
      <c r="AB174" s="2268" t="e">
        <f>#REF!+#REF!</f>
        <v>#REF!</v>
      </c>
      <c r="AC174" s="2268" t="e">
        <f>#REF!-(AB174-AE174)</f>
        <v>#REF!</v>
      </c>
      <c r="AD174" s="2268" t="e">
        <f>AC174+#REF!</f>
        <v>#REF!</v>
      </c>
      <c r="AE174" s="2268">
        <f>'CoachSegsales&amp;OldOM'!D100</f>
        <v>0</v>
      </c>
      <c r="AF174" s="2107"/>
      <c r="AG174" s="2269">
        <f>+(L174-L173)*yrSales!X91/1000000+AG173</f>
        <v>1.8936871375716517</v>
      </c>
      <c r="AH174" s="2107"/>
      <c r="AI174" s="2270">
        <f>+(L174-L173)*2000/1000000+AI173</f>
        <v>2.9757659999999997</v>
      </c>
      <c r="AJ174" s="2271">
        <f>AVERAGE(AG174,AG173)</f>
        <v>1.8826234770713912</v>
      </c>
      <c r="AK174" s="2107"/>
      <c r="AL174" s="2272">
        <f>(AJ174/AJ167-1)*100</f>
        <v>-1.1717154377561156</v>
      </c>
      <c r="AM174" s="2107"/>
      <c r="AN174" s="2109">
        <f>H174/AL174*100</f>
        <v>-85.344953883601818</v>
      </c>
      <c r="AO174" s="2107"/>
      <c r="AP174" s="2107"/>
      <c r="AQ174" s="2275">
        <f>U174</f>
        <v>781.2</v>
      </c>
      <c r="AR174" s="2107"/>
      <c r="AS174" s="2276">
        <f>AQ174/AJ174</f>
        <v>414.95286206418433</v>
      </c>
      <c r="AT174" s="2107"/>
      <c r="AU174" s="2258">
        <f>(AS174/AS167-1)*100</f>
        <v>6.2448877516123158</v>
      </c>
      <c r="AV174" s="2107"/>
      <c r="AW174" s="1107"/>
      <c r="AX174" s="1029"/>
      <c r="AY174" s="1029"/>
    </row>
    <row r="175" spans="1:51">
      <c r="A175" s="2107" t="str">
        <f t="shared" si="21"/>
        <v>3Q</v>
      </c>
      <c r="B175" s="2257" t="str">
        <f t="shared" si="21"/>
        <v>Mar</v>
      </c>
      <c r="C175" s="2107"/>
      <c r="D175" s="2258">
        <f>F175+H175</f>
        <v>4</v>
      </c>
      <c r="E175" s="2107"/>
      <c r="F175" s="2262">
        <v>2.5</v>
      </c>
      <c r="G175" s="2261"/>
      <c r="H175" s="2262">
        <v>1.5</v>
      </c>
      <c r="I175" s="2107"/>
      <c r="J175" s="2107">
        <v>416</v>
      </c>
      <c r="K175" s="2107">
        <f>+J175-J174</f>
        <v>0</v>
      </c>
      <c r="L175" s="2107">
        <v>980</v>
      </c>
      <c r="M175" s="2107">
        <f>+L175-L174</f>
        <v>13</v>
      </c>
      <c r="N175" s="2109">
        <f>AVERAGE(J175,J174)</f>
        <v>416</v>
      </c>
      <c r="O175" s="2107"/>
      <c r="P175" s="2263">
        <f>(N175/N168-1)*100</f>
        <v>-3.0303030303030276</v>
      </c>
      <c r="Q175" s="2107"/>
      <c r="R175" s="2264">
        <f>H175/P175*100</f>
        <v>-49.500000000000043</v>
      </c>
      <c r="S175" s="2107"/>
      <c r="T175" s="2107"/>
      <c r="U175" s="2265">
        <f>U168*(1+D175/100)</f>
        <v>492.96000000000004</v>
      </c>
      <c r="V175" s="2274"/>
      <c r="W175" s="2107"/>
      <c r="X175" s="2267">
        <f>U175/N175</f>
        <v>1.1850000000000001</v>
      </c>
      <c r="Y175" s="2107"/>
      <c r="Z175" s="2258">
        <f>(X175/X168-1)*100</f>
        <v>7.2500000000000231</v>
      </c>
      <c r="AA175" s="2268">
        <f>'qtrP&amp;L'!CF33</f>
        <v>566.29999999999995</v>
      </c>
      <c r="AB175" s="2268" t="e">
        <f>#REF!+#REF!</f>
        <v>#REF!</v>
      </c>
      <c r="AC175" s="2268" t="e">
        <f>#REF!-(AB175-AE175)</f>
        <v>#REF!</v>
      </c>
      <c r="AD175" s="2268" t="e">
        <f>AC175+#REF!</f>
        <v>#REF!</v>
      </c>
      <c r="AE175" s="2268">
        <f>'CoachSegsales&amp;OldOM'!D101</f>
        <v>0.52336073791858828</v>
      </c>
      <c r="AF175" s="2107"/>
      <c r="AG175" s="2269">
        <f>+(L175-L174)*yrSales!X91/1000000+AG174</f>
        <v>1.9347807337154768</v>
      </c>
      <c r="AH175" s="2107"/>
      <c r="AI175" s="2270">
        <f>+(L175-L174)*2000/1000000+AI174</f>
        <v>3.0017659999999995</v>
      </c>
      <c r="AJ175" s="2271">
        <f>AVERAGE(AG175,AG174)</f>
        <v>1.9142339356435643</v>
      </c>
      <c r="AK175" s="2107"/>
      <c r="AL175" s="2272">
        <f>(AJ175/AJ168-1)*100</f>
        <v>0.38538955645277539</v>
      </c>
      <c r="AM175" s="2107"/>
      <c r="AN175" s="2109">
        <f>H175/AL175*100</f>
        <v>389.21656668810277</v>
      </c>
      <c r="AO175" s="2107"/>
      <c r="AP175" s="2107"/>
      <c r="AQ175" s="2275">
        <f>U175</f>
        <v>492.96000000000004</v>
      </c>
      <c r="AR175" s="2107"/>
      <c r="AS175" s="2276">
        <f>AQ175/AJ175</f>
        <v>257.52338354312332</v>
      </c>
      <c r="AT175" s="2107"/>
      <c r="AU175" s="2258">
        <f>(AS175/AS168-1)*100</f>
        <v>3.6007335923267325</v>
      </c>
      <c r="AV175" s="2107"/>
      <c r="AW175" s="1107"/>
      <c r="AX175" s="1029"/>
      <c r="AY175" s="1029"/>
    </row>
    <row r="176" spans="1:51">
      <c r="A176" s="2107" t="str">
        <f t="shared" si="21"/>
        <v>4Q</v>
      </c>
      <c r="B176" s="2257" t="str">
        <f t="shared" si="21"/>
        <v>June</v>
      </c>
      <c r="C176" s="2107"/>
      <c r="D176" s="2277">
        <f>F176+H176</f>
        <v>3</v>
      </c>
      <c r="E176" s="2107"/>
      <c r="F176" s="2278">
        <v>1</v>
      </c>
      <c r="G176" s="2261"/>
      <c r="H176" s="2278">
        <v>2</v>
      </c>
      <c r="I176" s="2107"/>
      <c r="J176" s="2107">
        <v>409</v>
      </c>
      <c r="K176" s="2107">
        <f>+J176-J175</f>
        <v>-7</v>
      </c>
      <c r="L176" s="2107">
        <f>yrSales!Y61</f>
        <v>969</v>
      </c>
      <c r="M176" s="2107">
        <f>+L176-L175</f>
        <v>-11</v>
      </c>
      <c r="N176" s="2279">
        <f>AVERAGE(J176,J175)</f>
        <v>412.5</v>
      </c>
      <c r="O176" s="2107"/>
      <c r="P176" s="2280">
        <f>(N176/N169-1)*100</f>
        <v>-2.1352313167259829</v>
      </c>
      <c r="Q176" s="2107"/>
      <c r="R176" s="2279">
        <f>H176/P176*100</f>
        <v>-93.666666666666472</v>
      </c>
      <c r="S176" s="2107"/>
      <c r="T176" s="2107"/>
      <c r="U176" s="2281">
        <f>U169*(1+D176/100)</f>
        <v>603.58000000000004</v>
      </c>
      <c r="V176" s="2274"/>
      <c r="W176" s="2107"/>
      <c r="X176" s="2282">
        <f>U176/N176</f>
        <v>1.4632242424242425</v>
      </c>
      <c r="Y176" s="2107"/>
      <c r="Z176" s="2277">
        <f>(X176/X169-1)*100</f>
        <v>5.2472727272727449</v>
      </c>
      <c r="AA176" s="2268">
        <f>'qtrP&amp;L'!CF34</f>
        <v>2129.8000000000002</v>
      </c>
      <c r="AB176" s="2268" t="e">
        <f>#REF!+#REF!</f>
        <v>#REF!</v>
      </c>
      <c r="AC176" s="2268" t="e">
        <f>#REF!-(AB176-AE176)</f>
        <v>#REF!</v>
      </c>
      <c r="AD176" s="2268" t="e">
        <f>AC176+#REF!</f>
        <v>#REF!</v>
      </c>
      <c r="AE176" s="2268">
        <f>'CoachSegsales&amp;OldOM'!D102</f>
        <v>0.13216275981958428</v>
      </c>
      <c r="AF176" s="2107"/>
      <c r="AG176" s="2269">
        <f>+(L176-L175)*yrSales!X91/1000000+AG175</f>
        <v>1.9000092292860864</v>
      </c>
      <c r="AH176" s="2107"/>
      <c r="AI176" s="2270">
        <f>yrSales!Y88</f>
        <v>2.9795159999999998</v>
      </c>
      <c r="AJ176" s="2283">
        <f>AVERAGE(AG176,AG175)</f>
        <v>1.9173949815007816</v>
      </c>
      <c r="AK176" s="2107"/>
      <c r="AL176" s="2280">
        <f>(AJ176/AJ169-1)*100</f>
        <v>1.4848285236301439</v>
      </c>
      <c r="AM176" s="2107"/>
      <c r="AN176" s="2279">
        <f>H176/AL176*100</f>
        <v>134.69568830145803</v>
      </c>
      <c r="AO176" s="2107"/>
      <c r="AP176" s="2107"/>
      <c r="AQ176" s="2284">
        <f>U176</f>
        <v>603.58000000000004</v>
      </c>
      <c r="AR176" s="2107"/>
      <c r="AS176" s="2285">
        <f>AQ176/AJ176</f>
        <v>314.79168654523465</v>
      </c>
      <c r="AT176" s="2107"/>
      <c r="AU176" s="2277">
        <f>(AS176/AS169-1)*100</f>
        <v>1.4930029428162905</v>
      </c>
      <c r="AV176" s="2107"/>
      <c r="AW176" s="1107"/>
      <c r="AX176" s="1029"/>
      <c r="AY176" s="1029"/>
    </row>
    <row r="177" spans="1:51">
      <c r="A177" s="2107"/>
      <c r="B177" s="2257" t="str">
        <f>B170</f>
        <v>Year</v>
      </c>
      <c r="C177" s="2107"/>
      <c r="D177" s="2286">
        <f>(U177/U170-1)*100</f>
        <v>2.4580672626649758</v>
      </c>
      <c r="E177" s="2107"/>
      <c r="F177" s="2287">
        <f>SUMPRODUCT(F173:F176,U173:U176)/U177</f>
        <v>1.6216043278459658</v>
      </c>
      <c r="G177" s="2261"/>
      <c r="H177" s="2288">
        <f>D177-F177</f>
        <v>0.83646293481901002</v>
      </c>
      <c r="I177" s="2107"/>
      <c r="J177" s="2107"/>
      <c r="K177" s="2107"/>
      <c r="L177" s="2107"/>
      <c r="M177" s="2107"/>
      <c r="N177" s="2109">
        <f>AVERAGE(N173:N176)</f>
        <v>415.75</v>
      </c>
      <c r="O177" s="2107"/>
      <c r="P177" s="2272">
        <f>(N177/N170-1)*100</f>
        <v>-3.0320699708454857</v>
      </c>
      <c r="Q177" s="2107"/>
      <c r="R177" s="2109">
        <f>H177/P177*100</f>
        <v>-27.587191023357693</v>
      </c>
      <c r="S177" s="2107"/>
      <c r="T177" s="2107"/>
      <c r="U177" s="2266">
        <f>SUM(U173:U176)</f>
        <v>2406.7400000000002</v>
      </c>
      <c r="V177" s="2266"/>
      <c r="W177" s="2107"/>
      <c r="X177" s="2267">
        <f>U177/N177</f>
        <v>5.7889116055321717</v>
      </c>
      <c r="Y177" s="2107"/>
      <c r="Z177" s="2258">
        <f>(X177/X170-1)*100</f>
        <v>5.661807189098278</v>
      </c>
      <c r="AA177" s="2268">
        <f>'qtrP&amp;L'!CF35</f>
        <v>1044.5</v>
      </c>
      <c r="AB177" s="2268" t="e">
        <f>#REF!+#REF!</f>
        <v>#REF!</v>
      </c>
      <c r="AC177" s="2268" t="e">
        <f>#REF!-(AB177-AE177)</f>
        <v>#REF!</v>
      </c>
      <c r="AD177" s="2268" t="e">
        <f>AC177+#REF!</f>
        <v>#REF!</v>
      </c>
      <c r="AE177" s="2268">
        <f>'CoachSegsales&amp;OldOM'!D103</f>
        <v>0.12402640139561188</v>
      </c>
      <c r="AF177" s="2107"/>
      <c r="AG177" s="2289"/>
      <c r="AH177" s="2107"/>
      <c r="AI177" s="2107"/>
      <c r="AJ177" s="2271">
        <f>AVERAGE(AJ173:AJ176)</f>
        <v>1.8980335756253257</v>
      </c>
      <c r="AK177" s="2107"/>
      <c r="AL177" s="2272">
        <f>(AJ177/AJ170-1)*100</f>
        <v>-1.0018543634515709E-2</v>
      </c>
      <c r="AM177" s="2107"/>
      <c r="AN177" s="2109">
        <f>H177/AL177*100</f>
        <v>-8349.1469951505005</v>
      </c>
      <c r="AO177" s="2107"/>
      <c r="AP177" s="2107"/>
      <c r="AQ177" s="2266">
        <f>U177</f>
        <v>2406.7400000000002</v>
      </c>
      <c r="AR177" s="2107"/>
      <c r="AS177" s="2273">
        <f>SUM(AS173:AS176)</f>
        <v>1268.9682870395845</v>
      </c>
      <c r="AT177" s="2107"/>
      <c r="AU177" s="2258">
        <f>(AS177/AS170-1)*100</f>
        <v>2.5517184025166006</v>
      </c>
      <c r="AV177" s="2107"/>
      <c r="AW177" s="1107"/>
      <c r="AX177" s="1029"/>
      <c r="AY177" s="1029"/>
    </row>
    <row r="178" spans="1:51">
      <c r="A178" s="2107"/>
      <c r="B178" s="2257"/>
      <c r="C178" s="2107"/>
      <c r="D178" s="2272"/>
      <c r="E178" s="2107"/>
      <c r="F178" s="2292"/>
      <c r="G178" s="2107"/>
      <c r="H178" s="2272"/>
      <c r="I178" s="2107"/>
      <c r="J178" s="2107"/>
      <c r="K178" s="2107"/>
      <c r="L178" s="2110"/>
      <c r="M178" s="2107"/>
      <c r="N178" s="2109"/>
      <c r="O178" s="2107"/>
      <c r="P178" s="2272"/>
      <c r="Q178" s="2107"/>
      <c r="R178" s="2109"/>
      <c r="S178" s="2107"/>
      <c r="T178" s="2107"/>
      <c r="U178" s="2266"/>
      <c r="V178" s="2266"/>
      <c r="W178" s="2107"/>
      <c r="X178" s="2267"/>
      <c r="Y178" s="2107"/>
      <c r="Z178" s="2258"/>
      <c r="AA178" s="2268"/>
      <c r="AB178" s="2268"/>
      <c r="AC178" s="2268"/>
      <c r="AD178" s="2268"/>
      <c r="AE178" s="2268"/>
      <c r="AF178" s="2107"/>
      <c r="AG178" s="2271"/>
      <c r="AH178" s="2107"/>
      <c r="AI178" s="2107"/>
      <c r="AJ178" s="2271"/>
      <c r="AK178" s="2107"/>
      <c r="AL178" s="2272"/>
      <c r="AM178" s="2107"/>
      <c r="AN178" s="2109"/>
      <c r="AO178" s="2107"/>
      <c r="AP178" s="2107"/>
      <c r="AQ178" s="2266"/>
      <c r="AR178" s="2107"/>
      <c r="AS178" s="2273"/>
      <c r="AT178" s="2107"/>
      <c r="AU178" s="2258"/>
      <c r="AV178" s="2107"/>
      <c r="AW178" s="1107"/>
      <c r="AX178" s="1029"/>
      <c r="AY178" s="1029"/>
    </row>
    <row r="179" spans="1:51">
      <c r="A179" s="168" t="s">
        <v>114</v>
      </c>
      <c r="B179" s="216"/>
      <c r="AY179" s="56"/>
    </row>
    <row r="180" spans="1:51">
      <c r="A180" s="3" t="s">
        <v>337</v>
      </c>
      <c r="B180" s="216"/>
      <c r="AY180" s="56"/>
    </row>
    <row r="181" spans="1:51">
      <c r="F181" s="1090"/>
    </row>
    <row r="182" spans="1:51">
      <c r="F182" s="1090">
        <v>20</v>
      </c>
    </row>
    <row r="183" spans="1:51">
      <c r="F183" s="1090">
        <v>5</v>
      </c>
    </row>
    <row r="184" spans="1:51">
      <c r="F184" s="1090">
        <v>20</v>
      </c>
    </row>
    <row r="185" spans="1:51">
      <c r="F185" s="1090">
        <v>5</v>
      </c>
    </row>
  </sheetData>
  <mergeCells count="1">
    <mergeCell ref="D6:F6"/>
  </mergeCells>
  <phoneticPr fontId="0" type="noConversion"/>
  <dataValidations disablePrompts="1" count="1">
    <dataValidation type="custom" allowBlank="1" showInputMessage="1" showErrorMessage="1" sqref="BD52:BE59 BD66:BE66 BD73:BE73 BD80:BE80 BD45:BE45">
      <formula1>-1</formula1>
    </dataValidation>
  </dataValidations>
  <printOptions horizontalCentered="1"/>
  <pageMargins left="0" right="0" top="0.32" bottom="0" header="0.24" footer="0.5"/>
  <pageSetup scale="69" orientation="landscape" r:id="rId1"/>
  <headerFooter alignWithMargins="0">
    <oddFooter>&amp;R&amp;8&amp;D
&amp;F/&amp;A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AL258"/>
  <sheetViews>
    <sheetView topLeftCell="A73" zoomScale="85" zoomScaleNormal="85" workbookViewId="0">
      <pane ySplit="9165" topLeftCell="A267"/>
      <selection activeCell="Y99" sqref="Y99"/>
      <selection pane="bottomLeft" activeCell="AA244" sqref="AA244"/>
    </sheetView>
  </sheetViews>
  <sheetFormatPr defaultRowHeight="12.75" outlineLevelRow="1" outlineLevelCol="1"/>
  <cols>
    <col min="1" max="1" width="29.5703125" style="3" customWidth="1"/>
    <col min="2" max="2" width="9.140625" style="3" hidden="1" customWidth="1" outlineLevel="1"/>
    <col min="3" max="3" width="10.42578125" style="3" hidden="1" customWidth="1" outlineLevel="1"/>
    <col min="4" max="4" width="9.140625" style="3" hidden="1" customWidth="1" outlineLevel="1"/>
    <col min="5" max="5" width="10.42578125" style="3" hidden="1" customWidth="1" outlineLevel="1"/>
    <col min="6" max="6" width="10.28515625" style="3" hidden="1" customWidth="1" outlineLevel="1"/>
    <col min="7" max="7" width="9.42578125" style="3" hidden="1" customWidth="1" outlineLevel="1" collapsed="1"/>
    <col min="8" max="10" width="8.7109375" style="3" hidden="1" customWidth="1" outlineLevel="1"/>
    <col min="11" max="14" width="9.42578125" style="3" hidden="1" customWidth="1" outlineLevel="1"/>
    <col min="15" max="17" width="10.42578125" style="3" hidden="1" customWidth="1" outlineLevel="1"/>
    <col min="18" max="18" width="9.42578125" style="3" hidden="1" customWidth="1" outlineLevel="1"/>
    <col min="19" max="19" width="10.42578125" style="3" hidden="1" customWidth="1" outlineLevel="1"/>
    <col min="20" max="20" width="10.42578125" style="3" bestFit="1" customWidth="1" collapsed="1"/>
    <col min="21" max="21" width="9.42578125" style="3" customWidth="1"/>
    <col min="22" max="22" width="10.42578125" style="3" bestFit="1" customWidth="1"/>
    <col min="23" max="24" width="9.42578125" style="3" customWidth="1"/>
    <col min="25" max="25" width="8.85546875" style="3" customWidth="1"/>
    <col min="26" max="28" width="9.42578125" style="3" customWidth="1"/>
    <col min="29" max="29" width="9.42578125" style="61" customWidth="1"/>
    <col min="30" max="30" width="1.7109375" style="3" customWidth="1"/>
    <col min="31" max="31" width="1.5703125" style="3" customWidth="1"/>
    <col min="32" max="32" width="7" style="3" bestFit="1" customWidth="1"/>
    <col min="33" max="33" width="2.140625" style="3" customWidth="1"/>
    <col min="34" max="34" width="7.42578125" style="3" bestFit="1" customWidth="1"/>
    <col min="35" max="35" width="2.28515625" style="3" customWidth="1"/>
    <col min="36" max="36" width="10" style="3" bestFit="1" customWidth="1"/>
    <col min="37" max="16384" width="9.140625" style="3"/>
  </cols>
  <sheetData>
    <row r="2" spans="1:38">
      <c r="A2" s="93" t="s">
        <v>342</v>
      </c>
      <c r="B2" s="320"/>
      <c r="C2" s="320"/>
      <c r="D2" s="320"/>
      <c r="E2" s="320"/>
      <c r="F2" s="320"/>
      <c r="G2" s="320"/>
      <c r="H2" s="320"/>
      <c r="I2" s="320"/>
      <c r="J2" s="320"/>
      <c r="AE2" s="320"/>
      <c r="AF2" s="320"/>
      <c r="AG2" s="320"/>
      <c r="AH2" s="320"/>
      <c r="AI2" s="320"/>
      <c r="AJ2" s="320"/>
      <c r="AK2" s="320"/>
      <c r="AL2" s="320"/>
    </row>
    <row r="3" spans="1:38">
      <c r="A3" s="321" t="s">
        <v>304</v>
      </c>
      <c r="B3" s="322"/>
      <c r="C3" s="322"/>
      <c r="D3" s="322"/>
      <c r="E3" s="322"/>
      <c r="F3" s="322"/>
      <c r="G3" s="322"/>
      <c r="H3" s="322"/>
      <c r="I3" s="322"/>
      <c r="J3" s="322"/>
      <c r="K3" s="322"/>
      <c r="L3" s="322"/>
      <c r="M3" s="322"/>
      <c r="N3" s="322"/>
      <c r="O3" s="322"/>
      <c r="P3" s="322"/>
      <c r="Q3" s="322"/>
      <c r="R3" s="322"/>
      <c r="S3" s="322"/>
      <c r="T3" s="322"/>
      <c r="U3" s="322"/>
      <c r="V3" s="322"/>
      <c r="W3" s="322"/>
      <c r="X3" s="322"/>
      <c r="Y3" s="322"/>
      <c r="Z3" s="322"/>
      <c r="AA3" s="322"/>
      <c r="AB3" s="322"/>
      <c r="AC3" s="1887"/>
      <c r="AD3" s="323"/>
      <c r="AE3" s="323"/>
      <c r="AF3" s="323"/>
      <c r="AG3" s="323"/>
      <c r="AH3" s="323"/>
      <c r="AI3" s="323"/>
      <c r="AJ3" s="320"/>
      <c r="AK3" s="320"/>
      <c r="AL3" s="320"/>
    </row>
    <row r="4" spans="1:38">
      <c r="A4" s="324"/>
      <c r="B4" s="323"/>
      <c r="C4" s="323"/>
      <c r="D4" s="323"/>
      <c r="E4" s="323"/>
      <c r="F4" s="323"/>
      <c r="G4" s="323"/>
      <c r="H4" s="323"/>
      <c r="I4" s="323"/>
      <c r="J4" s="323"/>
      <c r="K4" s="323"/>
      <c r="L4" s="323"/>
      <c r="M4" s="323"/>
      <c r="N4" s="323"/>
      <c r="O4" s="323"/>
      <c r="P4" s="323"/>
      <c r="Q4" s="323"/>
      <c r="R4" s="323"/>
      <c r="S4" s="323"/>
      <c r="T4" s="323"/>
      <c r="U4" s="323"/>
      <c r="V4" s="323"/>
      <c r="W4" s="323"/>
      <c r="X4" s="323"/>
      <c r="Y4" s="323"/>
      <c r="Z4" s="323"/>
      <c r="AA4" s="323"/>
      <c r="AB4" s="323"/>
      <c r="AC4" s="712"/>
      <c r="AD4" s="323"/>
      <c r="AE4" s="325"/>
      <c r="AF4" s="325"/>
      <c r="AG4" s="325"/>
      <c r="AH4" s="325"/>
      <c r="AI4" s="325"/>
      <c r="AJ4" s="320"/>
      <c r="AK4" s="320"/>
      <c r="AL4" s="320"/>
    </row>
    <row r="5" spans="1:38" ht="12.75" customHeight="1">
      <c r="A5" s="326"/>
      <c r="B5" s="320">
        <f t="shared" ref="B5:G5" si="0">A5+1</f>
        <v>1</v>
      </c>
      <c r="C5" s="320">
        <f t="shared" si="0"/>
        <v>2</v>
      </c>
      <c r="D5" s="320">
        <f t="shared" si="0"/>
        <v>3</v>
      </c>
      <c r="E5" s="320">
        <f t="shared" si="0"/>
        <v>4</v>
      </c>
      <c r="F5" s="320">
        <f t="shared" si="0"/>
        <v>5</v>
      </c>
      <c r="G5" s="320">
        <f t="shared" si="0"/>
        <v>6</v>
      </c>
      <c r="H5" s="320"/>
      <c r="I5" s="320"/>
      <c r="J5" s="320"/>
      <c r="K5" s="320"/>
      <c r="L5" s="320"/>
      <c r="M5" s="320"/>
      <c r="N5" s="320"/>
      <c r="O5" s="320"/>
      <c r="P5" s="320"/>
      <c r="Q5" s="320"/>
      <c r="R5" s="320"/>
      <c r="S5" s="320"/>
      <c r="T5" s="2397" t="s">
        <v>884</v>
      </c>
      <c r="U5" s="2397"/>
      <c r="V5" s="2397"/>
      <c r="W5" s="2397"/>
      <c r="X5" s="2397"/>
      <c r="Y5" s="2130"/>
      <c r="Z5" s="320"/>
      <c r="AA5" s="320"/>
      <c r="AB5" s="320"/>
      <c r="AC5" s="377"/>
      <c r="AD5" s="320"/>
      <c r="AE5" s="327"/>
      <c r="AF5" s="328"/>
      <c r="AG5" s="329" t="s">
        <v>427</v>
      </c>
      <c r="AH5" s="328"/>
      <c r="AI5" s="330"/>
      <c r="AJ5" s="320"/>
      <c r="AK5" s="320"/>
      <c r="AL5" s="320"/>
    </row>
    <row r="6" spans="1:38">
      <c r="A6" s="331"/>
      <c r="B6" s="332">
        <v>1995</v>
      </c>
      <c r="C6" s="332">
        <f>B6+1</f>
        <v>1996</v>
      </c>
      <c r="D6" s="332">
        <v>1997</v>
      </c>
      <c r="E6" s="332">
        <f>D6+1</f>
        <v>1998</v>
      </c>
      <c r="F6" s="332">
        <f>E6+1</f>
        <v>1999</v>
      </c>
      <c r="G6" s="332">
        <v>2000</v>
      </c>
      <c r="H6" s="332">
        <f>G6+1</f>
        <v>2001</v>
      </c>
      <c r="I6" s="332">
        <f t="shared" ref="I6:N6" si="1">H6+1</f>
        <v>2002</v>
      </c>
      <c r="J6" s="332">
        <f t="shared" si="1"/>
        <v>2003</v>
      </c>
      <c r="K6" s="332">
        <f t="shared" si="1"/>
        <v>2004</v>
      </c>
      <c r="L6" s="332">
        <f t="shared" si="1"/>
        <v>2005</v>
      </c>
      <c r="M6" s="333">
        <f t="shared" si="1"/>
        <v>2006</v>
      </c>
      <c r="N6" s="333">
        <f t="shared" si="1"/>
        <v>2007</v>
      </c>
      <c r="O6" s="333">
        <f t="shared" ref="O6:T6" si="2">N6+1</f>
        <v>2008</v>
      </c>
      <c r="P6" s="333">
        <f t="shared" si="2"/>
        <v>2009</v>
      </c>
      <c r="Q6" s="333">
        <f t="shared" si="2"/>
        <v>2010</v>
      </c>
      <c r="R6" s="333">
        <f t="shared" si="2"/>
        <v>2011</v>
      </c>
      <c r="S6" s="648">
        <f>R6+1</f>
        <v>2012</v>
      </c>
      <c r="T6" s="648">
        <f t="shared" si="2"/>
        <v>2013</v>
      </c>
      <c r="U6" s="648">
        <f t="shared" ref="U6:AC6" si="3">T6+1</f>
        <v>2014</v>
      </c>
      <c r="V6" s="648">
        <f t="shared" si="3"/>
        <v>2015</v>
      </c>
      <c r="W6" s="648">
        <f t="shared" si="3"/>
        <v>2016</v>
      </c>
      <c r="X6" s="648">
        <f t="shared" si="3"/>
        <v>2017</v>
      </c>
      <c r="Y6" s="334">
        <f t="shared" si="3"/>
        <v>2018</v>
      </c>
      <c r="Z6" s="334">
        <f>Y6+1</f>
        <v>2019</v>
      </c>
      <c r="AA6" s="334">
        <f t="shared" si="3"/>
        <v>2020</v>
      </c>
      <c r="AB6" s="334">
        <f t="shared" si="3"/>
        <v>2021</v>
      </c>
      <c r="AC6" s="334">
        <f t="shared" si="3"/>
        <v>2022</v>
      </c>
      <c r="AD6" s="340"/>
      <c r="AE6" s="335"/>
      <c r="AF6" s="336" t="s">
        <v>762</v>
      </c>
      <c r="AG6" s="337"/>
      <c r="AH6" s="338" t="s">
        <v>763</v>
      </c>
      <c r="AI6" s="339"/>
      <c r="AJ6" s="320"/>
      <c r="AK6" s="320"/>
      <c r="AL6" s="320"/>
    </row>
    <row r="7" spans="1:38">
      <c r="A7" s="331"/>
      <c r="B7" s="340"/>
      <c r="C7" s="341"/>
      <c r="D7" s="340"/>
      <c r="E7" s="341"/>
      <c r="F7" s="341"/>
      <c r="G7" s="340"/>
      <c r="H7" s="341"/>
      <c r="I7" s="341"/>
      <c r="J7" s="341"/>
      <c r="K7" s="341"/>
      <c r="L7" s="342"/>
      <c r="M7" s="343"/>
      <c r="N7" s="342"/>
      <c r="O7" s="342"/>
      <c r="P7" s="342"/>
      <c r="Q7" s="342"/>
      <c r="R7" s="342"/>
      <c r="S7" s="342"/>
      <c r="T7" s="344"/>
      <c r="U7" s="344"/>
      <c r="V7" s="344"/>
      <c r="W7" s="344"/>
      <c r="X7" s="344"/>
      <c r="Y7" s="344"/>
      <c r="Z7" s="344"/>
      <c r="AA7" s="344"/>
      <c r="AB7" s="344"/>
      <c r="AC7" s="1888"/>
      <c r="AD7" s="344"/>
      <c r="AE7" s="335"/>
      <c r="AF7" s="345"/>
      <c r="AG7" s="346"/>
      <c r="AH7" s="345"/>
      <c r="AI7" s="339"/>
      <c r="AJ7" s="320"/>
      <c r="AK7" s="320"/>
      <c r="AL7" s="320"/>
    </row>
    <row r="8" spans="1:38" outlineLevel="1">
      <c r="A8" s="331" t="s">
        <v>854</v>
      </c>
      <c r="B8" s="680"/>
      <c r="C8" s="680"/>
      <c r="D8" s="680"/>
      <c r="E8" s="680"/>
      <c r="F8" s="680"/>
      <c r="G8" s="681"/>
      <c r="H8" s="682"/>
      <c r="I8" s="682"/>
      <c r="J8" s="682"/>
      <c r="K8" s="682"/>
      <c r="L8" s="682"/>
      <c r="M8" s="682"/>
      <c r="N8" s="682"/>
      <c r="O8" s="682"/>
      <c r="P8" s="682"/>
      <c r="Q8" s="682"/>
      <c r="R8" s="682"/>
      <c r="S8" s="680">
        <f>'CoachSegsales&amp;OldOM'!D55</f>
        <v>3318</v>
      </c>
      <c r="T8" s="680">
        <f>'CoachSegsales&amp;OldOM'!D62</f>
        <v>3478.2</v>
      </c>
      <c r="U8" s="680">
        <f>'CoachSegsales&amp;OldOM'!D69</f>
        <v>3100.5</v>
      </c>
      <c r="V8" s="680">
        <f>'CoachSegsales&amp;OldOM'!D76</f>
        <v>2467.5</v>
      </c>
      <c r="W8" s="680">
        <f>'CoachSegsales&amp;OldOM'!D83</f>
        <v>2396.9</v>
      </c>
      <c r="X8" s="680">
        <f>'CoachSegsales&amp;OldOM'!D90</f>
        <v>2349</v>
      </c>
      <c r="Y8" s="2367">
        <f>'CoachSegsales&amp;OldOM'!D97</f>
        <v>2406.7400000000002</v>
      </c>
      <c r="Z8" s="681">
        <f>Y8*(1+Z97+(Z112*Z151))</f>
        <v>2412.7568500000002</v>
      </c>
      <c r="AA8" s="681">
        <f>Z8*(1+AA97+(AA112*AA151))</f>
        <v>2418.7887421250002</v>
      </c>
      <c r="AB8" s="681">
        <f>AA8*(1+AB97+(AB112*AB151))</f>
        <v>2424.8357139803124</v>
      </c>
      <c r="AC8" s="681">
        <f>AB8*(1+AC97+(AC112*AC151))</f>
        <v>2430.8978032652631</v>
      </c>
      <c r="AD8" s="680"/>
      <c r="AE8" s="335"/>
      <c r="AF8" s="687" t="s">
        <v>606</v>
      </c>
      <c r="AG8" s="56"/>
      <c r="AH8" s="348">
        <f>((AA8/V8)^(1/5)-1)*100</f>
        <v>-0.3979779053356558</v>
      </c>
      <c r="AI8" s="349" t="s">
        <v>428</v>
      </c>
      <c r="AJ8" s="583"/>
      <c r="AK8" s="320"/>
      <c r="AL8" s="320"/>
    </row>
    <row r="9" spans="1:38" outlineLevel="1">
      <c r="A9" s="350" t="s">
        <v>429</v>
      </c>
      <c r="B9" s="680"/>
      <c r="C9" s="680"/>
      <c r="D9" s="680"/>
      <c r="E9" s="680"/>
      <c r="F9" s="680"/>
      <c r="G9" s="683"/>
      <c r="H9" s="682"/>
      <c r="I9" s="682"/>
      <c r="J9" s="682"/>
      <c r="K9" s="682"/>
      <c r="L9" s="682"/>
      <c r="M9" s="682"/>
      <c r="N9" s="682"/>
      <c r="O9" s="682"/>
      <c r="P9" s="682"/>
      <c r="Q9" s="682"/>
      <c r="R9" s="682"/>
      <c r="S9" s="682"/>
      <c r="T9" s="683">
        <f t="shared" ref="T9:AA9" si="4">T8/S8-1</f>
        <v>4.8282097649186229E-2</v>
      </c>
      <c r="U9" s="683">
        <f t="shared" si="4"/>
        <v>-0.10859065033638082</v>
      </c>
      <c r="V9" s="683">
        <f t="shared" si="4"/>
        <v>-0.20416061925495887</v>
      </c>
      <c r="W9" s="683">
        <f t="shared" si="4"/>
        <v>-2.8611955420466018E-2</v>
      </c>
      <c r="X9" s="683">
        <f>X8/W8-1</f>
        <v>-1.9984146188827268E-2</v>
      </c>
      <c r="Y9" s="2106">
        <f t="shared" si="4"/>
        <v>2.4580672626649758E-2</v>
      </c>
      <c r="Z9" s="1889">
        <f>Z8/Y8-1</f>
        <v>2.4999999999999467E-3</v>
      </c>
      <c r="AA9" s="1889">
        <f t="shared" si="4"/>
        <v>2.4999999999999467E-3</v>
      </c>
      <c r="AB9" s="1889">
        <f>AB8/AA8-1</f>
        <v>2.4999999999999467E-3</v>
      </c>
      <c r="AC9" s="1889">
        <f>AC8/AB8-1</f>
        <v>2.4999999999999467E-3</v>
      </c>
      <c r="AD9" s="683"/>
      <c r="AE9" s="335"/>
      <c r="AF9" s="348"/>
      <c r="AG9" s="346"/>
      <c r="AH9" s="348"/>
      <c r="AI9" s="339"/>
      <c r="AJ9" s="320"/>
      <c r="AK9" s="320"/>
      <c r="AL9" s="320"/>
    </row>
    <row r="10" spans="1:38" outlineLevel="1">
      <c r="A10" s="331" t="s">
        <v>855</v>
      </c>
      <c r="B10" s="680"/>
      <c r="C10" s="680"/>
      <c r="D10" s="680"/>
      <c r="E10" s="680"/>
      <c r="F10" s="680"/>
      <c r="G10" s="681"/>
      <c r="H10" s="681"/>
      <c r="I10" s="681"/>
      <c r="J10" s="681"/>
      <c r="K10" s="681"/>
      <c r="L10" s="680"/>
      <c r="M10" s="680"/>
      <c r="N10" s="680"/>
      <c r="O10" s="680"/>
      <c r="P10" s="680"/>
      <c r="Q10" s="680"/>
      <c r="R10" s="680"/>
      <c r="S10" s="680">
        <f>'CoachSegsales&amp;OldOM'!J55</f>
        <v>1403</v>
      </c>
      <c r="T10" s="680">
        <f>'CoachSegsales&amp;OldOM'!J62</f>
        <v>1558.1</v>
      </c>
      <c r="U10" s="680">
        <f>'CoachSegsales&amp;OldOM'!J69</f>
        <v>1644.2</v>
      </c>
      <c r="V10" s="680">
        <f>'CoachSegsales&amp;OldOM'!J76</f>
        <v>1621.6</v>
      </c>
      <c r="W10" s="680">
        <f>'CoachSegsales&amp;OldOM'!J83</f>
        <v>1704.5</v>
      </c>
      <c r="X10" s="680">
        <f>'CoachSegsales&amp;OldOM'!J90</f>
        <v>1715</v>
      </c>
      <c r="Y10" s="2367">
        <f>'CoachSegsales&amp;OldOM'!J97</f>
        <v>1790.0358997697078</v>
      </c>
      <c r="Z10" s="681">
        <f>Y10*(1+Z98+(Z132*Z151))</f>
        <v>1853.6163576959568</v>
      </c>
      <c r="AA10" s="681">
        <f>Z10*(1+AA98+(AA132*AA151))</f>
        <v>1909.8924823609896</v>
      </c>
      <c r="AB10" s="681">
        <f>AA10*(1+AB98+(AB132*AB151))</f>
        <v>1967.579798155462</v>
      </c>
      <c r="AC10" s="681">
        <f>AB10*(1+AC98+(AC132*AC151))</f>
        <v>2026.7093338371858</v>
      </c>
      <c r="AD10" s="680"/>
      <c r="AE10" s="335"/>
      <c r="AF10" s="687" t="s">
        <v>606</v>
      </c>
      <c r="AG10" s="326" t="s">
        <v>428</v>
      </c>
      <c r="AH10" s="348">
        <f>((AA10/V10)^(1/5)-1)*100</f>
        <v>3.3268135827699608</v>
      </c>
      <c r="AI10" s="349" t="s">
        <v>428</v>
      </c>
      <c r="AJ10" s="583"/>
      <c r="AK10" s="320"/>
      <c r="AL10" s="320"/>
    </row>
    <row r="11" spans="1:38" outlineLevel="1">
      <c r="A11" s="350" t="s">
        <v>429</v>
      </c>
      <c r="B11" s="680"/>
      <c r="C11" s="680"/>
      <c r="D11" s="680"/>
      <c r="E11" s="680"/>
      <c r="F11" s="680"/>
      <c r="G11" s="683"/>
      <c r="H11" s="683"/>
      <c r="I11" s="683"/>
      <c r="J11" s="684"/>
      <c r="K11" s="683"/>
      <c r="L11" s="683"/>
      <c r="M11" s="683"/>
      <c r="N11" s="683"/>
      <c r="O11" s="683"/>
      <c r="P11" s="683"/>
      <c r="Q11" s="683"/>
      <c r="R11" s="683"/>
      <c r="S11" s="683"/>
      <c r="T11" s="683">
        <f t="shared" ref="T11:AC11" si="5">T10/S10-1</f>
        <v>0.11054882394868137</v>
      </c>
      <c r="U11" s="683">
        <f t="shared" si="5"/>
        <v>5.5259611064758518E-2</v>
      </c>
      <c r="V11" s="683">
        <f t="shared" si="5"/>
        <v>-1.3745286461501083E-2</v>
      </c>
      <c r="W11" s="683">
        <f t="shared" si="5"/>
        <v>5.112234829797746E-2</v>
      </c>
      <c r="X11" s="683">
        <f>X10/W10-1</f>
        <v>6.1601642710471527E-3</v>
      </c>
      <c r="Y11" s="2106">
        <f t="shared" si="5"/>
        <v>4.3752711235981234E-2</v>
      </c>
      <c r="Z11" s="1889">
        <f>Z10/Y10-1</f>
        <v>3.5519096535677752E-2</v>
      </c>
      <c r="AA11" s="1889">
        <f t="shared" si="5"/>
        <v>3.0360179133822385E-2</v>
      </c>
      <c r="AB11" s="1889">
        <f t="shared" si="5"/>
        <v>3.0204483407966443E-2</v>
      </c>
      <c r="AC11" s="1889">
        <f t="shared" si="5"/>
        <v>3.0051912373340928E-2</v>
      </c>
      <c r="AD11" s="683"/>
      <c r="AE11" s="335"/>
      <c r="AF11" s="348"/>
      <c r="AG11" s="346"/>
      <c r="AH11" s="348"/>
      <c r="AI11" s="339"/>
      <c r="AJ11" s="320"/>
      <c r="AK11" s="320"/>
      <c r="AL11" s="320"/>
    </row>
    <row r="12" spans="1:38">
      <c r="A12" s="2366" t="s">
        <v>900</v>
      </c>
      <c r="B12" s="680"/>
      <c r="C12" s="680"/>
      <c r="D12" s="680"/>
      <c r="E12" s="680"/>
      <c r="F12" s="680"/>
      <c r="G12" s="683"/>
      <c r="H12" s="683"/>
      <c r="I12" s="683"/>
      <c r="J12" s="684"/>
      <c r="K12" s="683"/>
      <c r="L12" s="683"/>
      <c r="M12" s="683"/>
      <c r="N12" s="683"/>
      <c r="O12" s="683"/>
      <c r="P12" s="683"/>
      <c r="Q12" s="683"/>
      <c r="R12" s="683"/>
      <c r="S12" s="683"/>
      <c r="T12" s="680">
        <f>+T10+T8</f>
        <v>5036.2999999999993</v>
      </c>
      <c r="U12" s="680">
        <f>+U10+U8</f>
        <v>4744.7</v>
      </c>
      <c r="V12" s="680">
        <f>+V10+V8</f>
        <v>4089.1</v>
      </c>
      <c r="W12" s="680">
        <f>+W10+W8</f>
        <v>4101.3999999999996</v>
      </c>
      <c r="X12" s="680">
        <f>+'SegOM-New'!D27</f>
        <v>4114.7000000000007</v>
      </c>
      <c r="Y12" s="680">
        <f>+'SegOM-New'!D34</f>
        <v>4177.5051335432963</v>
      </c>
      <c r="Z12" s="681">
        <f>+Z10+Z8</f>
        <v>4266.3732076959568</v>
      </c>
      <c r="AA12" s="681">
        <f>+AA10+AA8</f>
        <v>4328.6812244859902</v>
      </c>
      <c r="AB12" s="681">
        <f>+AB10+AB8</f>
        <v>4392.4155121357744</v>
      </c>
      <c r="AC12" s="681">
        <f>+AC10+AC8</f>
        <v>4457.6071371024491</v>
      </c>
      <c r="AD12" s="683"/>
      <c r="AE12" s="335"/>
      <c r="AF12" s="687" t="s">
        <v>606</v>
      </c>
      <c r="AG12" s="56"/>
      <c r="AH12" s="348">
        <f>((AA12/V12)^(1/5)-1)*100</f>
        <v>1.1452691928733438</v>
      </c>
      <c r="AI12" s="339"/>
      <c r="AJ12" s="320"/>
      <c r="AK12" s="320"/>
      <c r="AL12" s="320"/>
    </row>
    <row r="13" spans="1:38">
      <c r="A13" s="350" t="s">
        <v>429</v>
      </c>
      <c r="B13" s="680"/>
      <c r="C13" s="680"/>
      <c r="D13" s="680"/>
      <c r="E13" s="680"/>
      <c r="F13" s="680"/>
      <c r="G13" s="683"/>
      <c r="H13" s="683"/>
      <c r="I13" s="683"/>
      <c r="J13" s="684"/>
      <c r="K13" s="683"/>
      <c r="L13" s="683"/>
      <c r="M13" s="683"/>
      <c r="N13" s="683"/>
      <c r="O13" s="683"/>
      <c r="P13" s="683"/>
      <c r="Q13" s="683"/>
      <c r="R13" s="683"/>
      <c r="S13" s="683"/>
      <c r="T13" s="683"/>
      <c r="U13" s="2074">
        <f t="shared" ref="U13:AC13" si="6">U12/T12-1</f>
        <v>-5.7899648551515859E-2</v>
      </c>
      <c r="V13" s="2074">
        <f t="shared" si="6"/>
        <v>-0.13817522709549601</v>
      </c>
      <c r="W13" s="2074">
        <f t="shared" si="6"/>
        <v>3.0079968697267478E-3</v>
      </c>
      <c r="X13" s="2074">
        <f t="shared" si="6"/>
        <v>3.2427951431222013E-3</v>
      </c>
      <c r="Y13" s="2074">
        <f t="shared" si="6"/>
        <v>1.5263599665418015E-2</v>
      </c>
      <c r="Z13" s="2074">
        <f t="shared" si="6"/>
        <v>2.1273001782593504E-2</v>
      </c>
      <c r="AA13" s="2074">
        <f t="shared" si="6"/>
        <v>1.4604445920867404E-2</v>
      </c>
      <c r="AB13" s="2074">
        <f t="shared" si="6"/>
        <v>1.4723719383460177E-2</v>
      </c>
      <c r="AC13" s="2074">
        <f t="shared" si="6"/>
        <v>1.4841862020238628E-2</v>
      </c>
      <c r="AD13" s="683"/>
      <c r="AE13" s="335"/>
      <c r="AI13" s="339"/>
      <c r="AJ13" s="320"/>
      <c r="AK13" s="320"/>
      <c r="AL13" s="320"/>
    </row>
    <row r="14" spans="1:38">
      <c r="A14" s="350" t="s">
        <v>856</v>
      </c>
      <c r="B14" s="680"/>
      <c r="C14" s="680"/>
      <c r="D14" s="680"/>
      <c r="E14" s="680"/>
      <c r="F14" s="680"/>
      <c r="G14" s="683"/>
      <c r="H14" s="683"/>
      <c r="I14" s="683"/>
      <c r="J14" s="684"/>
      <c r="L14" s="2105" t="s">
        <v>874</v>
      </c>
      <c r="M14" s="2106"/>
      <c r="N14" s="2104">
        <f>KateQtrSalesOld!V11</f>
        <v>90.5</v>
      </c>
      <c r="O14" s="2104">
        <f>KateQtrSalesOld!V12</f>
        <v>126</v>
      </c>
      <c r="P14" s="2104">
        <f>KateQtrSalesOld!V13</f>
        <v>141.19999999999999</v>
      </c>
      <c r="Q14" s="2104">
        <f>KateQtrSalesOld!V14</f>
        <v>184.3</v>
      </c>
      <c r="R14" s="2104">
        <f>KateQtrSalesOld!V15</f>
        <v>312.89999999999998</v>
      </c>
      <c r="S14" s="2104">
        <f>KateQtrSalesOld!V16</f>
        <v>461.9</v>
      </c>
      <c r="T14" s="2128">
        <f>KateQtrSalesOld!V17</f>
        <v>743.2</v>
      </c>
      <c r="U14" s="2128">
        <f>KateQtrSalesOld!V31</f>
        <v>957.65300000000002</v>
      </c>
      <c r="V14" s="2129">
        <f>KateQtrSalesOld!V38</f>
        <v>1185.425</v>
      </c>
      <c r="W14" s="2129">
        <f>KateQtrSalesOld!V45</f>
        <v>1299.2460000000001</v>
      </c>
      <c r="X14" s="2129">
        <f>KateQtrSalesOld!V52</f>
        <v>1359.19</v>
      </c>
      <c r="Y14" s="680">
        <f>+'SegOM-New'!I34</f>
        <v>1244.5215000000001</v>
      </c>
      <c r="Z14" s="680">
        <f>Y14*(1+Z249+(Z238*Z251))</f>
        <v>1299.4043573580132</v>
      </c>
      <c r="AA14" s="680">
        <f>Z14*(1+AA249+(AA238*AA251))</f>
        <v>1364.6584033997069</v>
      </c>
      <c r="AB14" s="680">
        <f>AA14*(1+AB249+(AB238*AB251))</f>
        <v>1428.6020487986334</v>
      </c>
      <c r="AC14" s="680">
        <f>AB14*(1+AC249+(AC238*AC251))</f>
        <v>1491.3421703683007</v>
      </c>
      <c r="AD14" s="683"/>
      <c r="AE14" s="335"/>
      <c r="AF14" s="348"/>
      <c r="AG14" s="346"/>
      <c r="AH14" s="348"/>
      <c r="AI14" s="339"/>
      <c r="AJ14" s="320"/>
      <c r="AK14" s="320"/>
      <c r="AL14" s="320"/>
    </row>
    <row r="15" spans="1:38">
      <c r="A15" s="350" t="s">
        <v>429</v>
      </c>
      <c r="B15" s="680"/>
      <c r="C15" s="680"/>
      <c r="D15" s="680"/>
      <c r="E15" s="680"/>
      <c r="F15" s="680"/>
      <c r="G15" s="683"/>
      <c r="H15" s="683"/>
      <c r="I15" s="683"/>
      <c r="J15" s="684"/>
      <c r="K15" s="683"/>
      <c r="L15" s="683"/>
      <c r="M15" s="683"/>
      <c r="N15" s="683"/>
      <c r="O15" s="2074">
        <f t="shared" ref="O15:V15" si="7">O14/N14-1</f>
        <v>0.39226519337016574</v>
      </c>
      <c r="P15" s="2074">
        <f t="shared" si="7"/>
        <v>0.12063492063492065</v>
      </c>
      <c r="Q15" s="2074">
        <f t="shared" si="7"/>
        <v>0.3052407932011334</v>
      </c>
      <c r="R15" s="2074">
        <f t="shared" si="7"/>
        <v>0.69777536625067804</v>
      </c>
      <c r="S15" s="2074">
        <f t="shared" si="7"/>
        <v>0.47619047619047628</v>
      </c>
      <c r="T15" s="2074">
        <f t="shared" si="7"/>
        <v>0.60900627841524146</v>
      </c>
      <c r="U15" s="2074">
        <f t="shared" si="7"/>
        <v>0.28855355220667378</v>
      </c>
      <c r="V15" s="2074">
        <f t="shared" si="7"/>
        <v>0.23784397897777154</v>
      </c>
      <c r="W15" s="2074">
        <f t="shared" ref="W15:AC15" si="8">W14/V14-1</f>
        <v>9.6017040302001533E-2</v>
      </c>
      <c r="X15" s="2074">
        <f t="shared" si="8"/>
        <v>4.6137528997587829E-2</v>
      </c>
      <c r="Y15" s="2074">
        <f t="shared" si="8"/>
        <v>-8.4365320521781362E-2</v>
      </c>
      <c r="Z15" s="2074">
        <f t="shared" si="8"/>
        <v>4.4099565461916956E-2</v>
      </c>
      <c r="AA15" s="2074">
        <f t="shared" si="8"/>
        <v>5.0218429445911816E-2</v>
      </c>
      <c r="AB15" s="2074">
        <f t="shared" si="8"/>
        <v>4.6856887584194595E-2</v>
      </c>
      <c r="AC15" s="2074">
        <f t="shared" si="8"/>
        <v>4.3917143771722733E-2</v>
      </c>
      <c r="AD15" s="683"/>
      <c r="AE15" s="335"/>
      <c r="AF15" s="348"/>
      <c r="AG15" s="346"/>
      <c r="AH15" s="348"/>
      <c r="AI15" s="339"/>
      <c r="AJ15" s="320"/>
      <c r="AK15" s="320"/>
      <c r="AL15" s="320"/>
    </row>
    <row r="16" spans="1:38">
      <c r="A16" s="331" t="s">
        <v>795</v>
      </c>
      <c r="B16" s="680"/>
      <c r="C16" s="680"/>
      <c r="D16" s="680"/>
      <c r="E16" s="680"/>
      <c r="F16" s="680"/>
      <c r="G16" s="683"/>
      <c r="H16" s="683"/>
      <c r="I16" s="683"/>
      <c r="J16" s="684"/>
      <c r="K16" s="683"/>
      <c r="L16" s="683"/>
      <c r="M16" s="683"/>
      <c r="N16" s="683"/>
      <c r="O16" s="683"/>
      <c r="P16" s="683"/>
      <c r="Q16" s="683"/>
      <c r="R16" s="683"/>
      <c r="S16" s="683"/>
      <c r="T16" s="683"/>
      <c r="U16" s="683"/>
      <c r="V16" s="680">
        <v>43</v>
      </c>
      <c r="W16" s="680">
        <f>'CoachSegsales&amp;OldOM'!AC83</f>
        <v>344.7</v>
      </c>
      <c r="X16" s="680">
        <f>'CoachSegsales&amp;OldOM'!AC90</f>
        <v>373.6</v>
      </c>
      <c r="Y16" s="680">
        <f>+'SegOM-New'!N34</f>
        <v>409.96999999999997</v>
      </c>
      <c r="Z16" s="680">
        <f>Y16*(1+Z17)</f>
        <v>450.96699999999998</v>
      </c>
      <c r="AA16" s="680">
        <f>Z16*(1+AA17)</f>
        <v>496.06370000000004</v>
      </c>
      <c r="AB16" s="680">
        <f>AA16*(1+AB17)</f>
        <v>545.67007000000012</v>
      </c>
      <c r="AC16" s="681">
        <f>AB16*(1+AC17)</f>
        <v>600.23707700000023</v>
      </c>
      <c r="AD16" s="683"/>
      <c r="AE16" s="335"/>
      <c r="AF16" s="348"/>
      <c r="AG16" s="346"/>
      <c r="AH16" s="348"/>
      <c r="AI16" s="339"/>
      <c r="AJ16" s="320"/>
      <c r="AK16" s="320"/>
      <c r="AL16" s="320"/>
    </row>
    <row r="17" spans="1:38">
      <c r="A17" s="350" t="s">
        <v>429</v>
      </c>
      <c r="B17" s="680"/>
      <c r="C17" s="680"/>
      <c r="D17" s="680"/>
      <c r="E17" s="680"/>
      <c r="F17" s="680"/>
      <c r="G17" s="683"/>
      <c r="H17" s="683"/>
      <c r="I17" s="683"/>
      <c r="J17" s="684"/>
      <c r="K17" s="683"/>
      <c r="L17" s="683"/>
      <c r="M17" s="683"/>
      <c r="N17" s="683"/>
      <c r="O17" s="683"/>
      <c r="P17" s="683"/>
      <c r="Q17" s="683"/>
      <c r="R17" s="683"/>
      <c r="S17" s="683"/>
      <c r="T17" s="683"/>
      <c r="U17" s="683"/>
      <c r="W17" s="351">
        <f>'CoachSegsales&amp;OldOM'!AD83</f>
        <v>9.8901098901098772E-2</v>
      </c>
      <c r="X17" s="351">
        <f>+X16/W16-1</f>
        <v>8.3841021177835984E-2</v>
      </c>
      <c r="Y17" s="351">
        <f>+Y16/X16-1</f>
        <v>9.735010706638092E-2</v>
      </c>
      <c r="Z17" s="1595">
        <v>0.1</v>
      </c>
      <c r="AA17" s="1595">
        <v>0.1</v>
      </c>
      <c r="AB17" s="1595">
        <v>0.1</v>
      </c>
      <c r="AC17" s="1890">
        <v>0.1</v>
      </c>
      <c r="AD17" s="683"/>
      <c r="AE17" s="335"/>
      <c r="AF17" s="348"/>
      <c r="AG17" s="346"/>
      <c r="AH17" s="348"/>
      <c r="AI17" s="339"/>
      <c r="AJ17" s="320"/>
      <c r="AK17" s="320"/>
      <c r="AL17" s="320"/>
    </row>
    <row r="18" spans="1:38">
      <c r="A18" s="320" t="s">
        <v>761</v>
      </c>
      <c r="B18" s="353"/>
      <c r="C18" s="353"/>
      <c r="D18" s="353"/>
      <c r="E18" s="353"/>
      <c r="F18" s="353"/>
      <c r="G18" s="351"/>
      <c r="H18" s="351"/>
      <c r="I18" s="351"/>
      <c r="J18" s="352"/>
      <c r="K18" s="351"/>
      <c r="L18" s="351"/>
      <c r="M18" s="351"/>
      <c r="N18" s="351"/>
      <c r="O18" s="354">
        <v>0</v>
      </c>
      <c r="P18" s="354">
        <v>0</v>
      </c>
      <c r="Q18" s="354">
        <v>0</v>
      </c>
      <c r="R18" s="354">
        <v>0</v>
      </c>
      <c r="S18" s="1542">
        <f>'CoachSegsales&amp;OldOM'!AK55</f>
        <v>42.179999999999836</v>
      </c>
      <c r="T18" s="1542">
        <f>'CoachSegsales&amp;OldOM'!AK62</f>
        <v>39.090000000000146</v>
      </c>
      <c r="U18" s="1542">
        <f>'CoachSegsales&amp;OldOM'!AK69</f>
        <v>61.52599999999984</v>
      </c>
      <c r="V18" s="354">
        <f>'CoachSegsales&amp;OldOM'!AK76</f>
        <v>59.500000000000114</v>
      </c>
      <c r="W18" s="354">
        <f>'CoachSegsales&amp;OldOM'!AK83</f>
        <v>45.699999999999818</v>
      </c>
      <c r="X18" s="354">
        <f>'CoachSegsales&amp;OldOM'!AK90</f>
        <v>50.699999999999932</v>
      </c>
      <c r="Y18" s="354">
        <v>0</v>
      </c>
      <c r="Z18" s="354">
        <f>Y18*(1+Z19)</f>
        <v>0</v>
      </c>
      <c r="AA18" s="354">
        <f>Z18*(1+AA19)</f>
        <v>0</v>
      </c>
      <c r="AB18" s="354">
        <f>AA18*(1+AB19)</f>
        <v>0</v>
      </c>
      <c r="AC18" s="1542">
        <f>AB18*(1+AC19)</f>
        <v>0</v>
      </c>
      <c r="AD18" s="686"/>
      <c r="AE18" s="355"/>
      <c r="AF18" s="348"/>
      <c r="AG18" s="323"/>
      <c r="AH18" s="348"/>
      <c r="AI18" s="357"/>
      <c r="AJ18" s="320"/>
      <c r="AK18" s="356"/>
      <c r="AL18" s="320"/>
    </row>
    <row r="19" spans="1:38">
      <c r="A19" s="350" t="s">
        <v>429</v>
      </c>
      <c r="B19" s="353"/>
      <c r="C19" s="353"/>
      <c r="D19" s="353"/>
      <c r="E19" s="353"/>
      <c r="F19" s="353"/>
      <c r="G19" s="351"/>
      <c r="H19" s="351"/>
      <c r="I19" s="351"/>
      <c r="J19" s="352"/>
      <c r="K19" s="351"/>
      <c r="L19" s="351"/>
      <c r="M19" s="351"/>
      <c r="N19" s="351"/>
      <c r="O19" s="351"/>
      <c r="P19" s="351" t="str">
        <f>IFERROR(P18/O18-1,"NM")</f>
        <v>NM</v>
      </c>
      <c r="Q19" s="351" t="str">
        <f t="shared" ref="Q19:Y19" si="9">IFERROR(Q18/P18-1,"NM")</f>
        <v>NM</v>
      </c>
      <c r="R19" s="351" t="str">
        <f t="shared" si="9"/>
        <v>NM</v>
      </c>
      <c r="S19" s="1543" t="str">
        <f t="shared" si="9"/>
        <v>NM</v>
      </c>
      <c r="T19" s="1543">
        <f t="shared" si="9"/>
        <v>-7.3257467994303105E-2</v>
      </c>
      <c r="U19" s="1543">
        <f t="shared" si="9"/>
        <v>0.57395753389612714</v>
      </c>
      <c r="V19" s="351">
        <f t="shared" si="9"/>
        <v>-3.2929168156547339E-2</v>
      </c>
      <c r="W19" s="351">
        <f t="shared" si="9"/>
        <v>-0.2319327731092482</v>
      </c>
      <c r="X19" s="351">
        <f t="shared" si="9"/>
        <v>0.10940919037199426</v>
      </c>
      <c r="Y19" s="351">
        <f t="shared" si="9"/>
        <v>-1</v>
      </c>
      <c r="Z19" s="686">
        <v>0</v>
      </c>
      <c r="AA19" s="686">
        <v>0</v>
      </c>
      <c r="AB19" s="686">
        <v>0</v>
      </c>
      <c r="AC19" s="1891">
        <v>0</v>
      </c>
      <c r="AD19" s="686"/>
      <c r="AE19" s="355"/>
      <c r="AF19" s="348"/>
      <c r="AG19" s="323"/>
      <c r="AH19" s="348"/>
      <c r="AI19" s="357"/>
      <c r="AJ19" s="320"/>
      <c r="AK19" s="356"/>
      <c r="AL19" s="320"/>
    </row>
    <row r="20" spans="1:38" hidden="1" outlineLevel="1">
      <c r="A20" s="1544" t="s">
        <v>784</v>
      </c>
      <c r="B20" s="353"/>
      <c r="C20" s="353"/>
      <c r="D20" s="353"/>
      <c r="E20" s="353"/>
      <c r="F20" s="353"/>
      <c r="G20" s="351"/>
      <c r="H20" s="351"/>
      <c r="I20" s="351"/>
      <c r="J20" s="352"/>
      <c r="K20" s="351"/>
      <c r="L20" s="351"/>
      <c r="M20" s="351"/>
      <c r="N20" s="351"/>
      <c r="O20" s="351"/>
      <c r="P20" s="351"/>
      <c r="Q20" s="351"/>
      <c r="R20" s="351"/>
      <c r="S20" s="1543"/>
      <c r="T20" s="1543"/>
      <c r="U20" s="1543"/>
      <c r="V20" s="351"/>
      <c r="W20" s="351"/>
      <c r="X20" s="686"/>
      <c r="Y20" s="686"/>
      <c r="Z20" s="686"/>
      <c r="AA20" s="686"/>
      <c r="AB20" s="686"/>
      <c r="AC20" s="1891"/>
      <c r="AD20" s="686"/>
      <c r="AE20" s="355"/>
      <c r="AF20" s="348"/>
      <c r="AG20" s="323"/>
      <c r="AH20" s="348"/>
      <c r="AI20" s="357"/>
      <c r="AJ20" s="320"/>
      <c r="AK20" s="356"/>
      <c r="AL20" s="320"/>
    </row>
    <row r="21" spans="1:38" hidden="1" outlineLevel="1">
      <c r="A21" s="350" t="s">
        <v>785</v>
      </c>
      <c r="B21" s="353"/>
      <c r="C21" s="353"/>
      <c r="D21" s="353"/>
      <c r="E21" s="353"/>
      <c r="F21" s="353"/>
      <c r="G21" s="351"/>
      <c r="H21" s="1562">
        <v>76.966999999999999</v>
      </c>
      <c r="I21" s="1562">
        <v>93.894000000000005</v>
      </c>
      <c r="J21" s="1562">
        <v>121.624</v>
      </c>
      <c r="K21" s="1563">
        <v>1002.7</v>
      </c>
      <c r="L21" s="347">
        <v>307.27300000000002</v>
      </c>
      <c r="M21" s="347">
        <v>373.738</v>
      </c>
      <c r="N21" s="347">
        <v>2101.491</v>
      </c>
      <c r="O21" s="347">
        <v>2557.9</v>
      </c>
      <c r="P21" s="347">
        <v>2726.8910000000001</v>
      </c>
      <c r="Q21" s="347">
        <v>3155.8599999999997</v>
      </c>
      <c r="R21" s="347">
        <v>3621.8859999999995</v>
      </c>
      <c r="S21" s="1543"/>
      <c r="T21" s="1543"/>
      <c r="U21" s="1543"/>
      <c r="V21" s="351"/>
      <c r="W21" s="351"/>
      <c r="X21" s="686"/>
      <c r="Y21" s="686"/>
      <c r="Z21" s="686"/>
      <c r="AA21" s="686"/>
      <c r="AB21" s="686"/>
      <c r="AC21" s="1891"/>
      <c r="AD21" s="686"/>
      <c r="AE21" s="355"/>
      <c r="AF21" s="348"/>
      <c r="AG21" s="323"/>
      <c r="AH21" s="348"/>
      <c r="AI21" s="357"/>
      <c r="AJ21" s="320"/>
      <c r="AK21" s="356"/>
      <c r="AL21" s="320"/>
    </row>
    <row r="22" spans="1:38" hidden="1" outlineLevel="1">
      <c r="A22" s="350" t="s">
        <v>429</v>
      </c>
      <c r="B22" s="353"/>
      <c r="C22" s="353"/>
      <c r="D22" s="353"/>
      <c r="E22" s="353"/>
      <c r="F22" s="353"/>
      <c r="G22" s="351"/>
      <c r="H22" s="351"/>
      <c r="I22" s="351">
        <f>I21/H21-1</f>
        <v>0.21992542258370484</v>
      </c>
      <c r="J22" s="351">
        <f t="shared" ref="J22:R22" si="10">J21/I21-1</f>
        <v>0.29533303512471498</v>
      </c>
      <c r="K22" s="351">
        <f t="shared" si="10"/>
        <v>7.2442610011182005</v>
      </c>
      <c r="L22" s="351">
        <f t="shared" si="10"/>
        <v>-0.69355440311159866</v>
      </c>
      <c r="M22" s="351">
        <f t="shared" si="10"/>
        <v>0.21630602103015883</v>
      </c>
      <c r="N22" s="351">
        <f t="shared" si="10"/>
        <v>4.6228989291963885</v>
      </c>
      <c r="O22" s="351">
        <f t="shared" si="10"/>
        <v>0.21718341882025682</v>
      </c>
      <c r="P22" s="351">
        <f t="shared" si="10"/>
        <v>6.6066304390320241E-2</v>
      </c>
      <c r="Q22" s="351">
        <f t="shared" si="10"/>
        <v>0.15731065158086621</v>
      </c>
      <c r="R22" s="351">
        <f t="shared" si="10"/>
        <v>0.14767004873473466</v>
      </c>
      <c r="S22" s="1543"/>
      <c r="T22" s="1543"/>
      <c r="U22" s="1543"/>
      <c r="V22" s="351"/>
      <c r="W22" s="351"/>
      <c r="X22" s="686"/>
      <c r="Y22" s="686"/>
      <c r="Z22" s="686"/>
      <c r="AA22" s="686"/>
      <c r="AB22" s="686"/>
      <c r="AC22" s="1891"/>
      <c r="AD22" s="686"/>
      <c r="AE22" s="355"/>
      <c r="AF22" s="348"/>
      <c r="AG22" s="323"/>
      <c r="AH22" s="348"/>
      <c r="AI22" s="357"/>
      <c r="AJ22" s="320"/>
      <c r="AK22" s="356"/>
      <c r="AL22" s="320"/>
    </row>
    <row r="23" spans="1:38" hidden="1" outlineLevel="1">
      <c r="A23" s="320" t="s">
        <v>786</v>
      </c>
      <c r="B23" s="353"/>
      <c r="C23" s="353"/>
      <c r="D23" s="353"/>
      <c r="E23" s="353"/>
      <c r="F23" s="353"/>
      <c r="G23" s="1542">
        <v>196.89999999999998</v>
      </c>
      <c r="H23" s="1542">
        <v>208.73000000000002</v>
      </c>
      <c r="I23" s="1542">
        <v>272.35500000000002</v>
      </c>
      <c r="J23" s="1542">
        <v>394.04599999999999</v>
      </c>
      <c r="K23" s="1564">
        <v>318.39999999999998</v>
      </c>
      <c r="L23" s="354">
        <v>402.916</v>
      </c>
      <c r="M23" s="354">
        <v>424.39400000000001</v>
      </c>
      <c r="N23" s="354">
        <v>510.83600000000001</v>
      </c>
      <c r="O23" s="354">
        <v>622.9</v>
      </c>
      <c r="P23" s="354">
        <v>503.577</v>
      </c>
      <c r="Q23" s="354">
        <v>451.77600000000001</v>
      </c>
      <c r="R23" s="354">
        <v>536.62099999999998</v>
      </c>
      <c r="S23" s="1543"/>
      <c r="T23" s="1543"/>
      <c r="U23" s="1543"/>
      <c r="V23" s="351"/>
      <c r="W23" s="351"/>
      <c r="X23" s="686"/>
      <c r="Y23" s="686"/>
      <c r="Z23" s="686"/>
      <c r="AA23" s="686"/>
      <c r="AB23" s="686"/>
      <c r="AC23" s="1891"/>
      <c r="AD23" s="686"/>
      <c r="AE23" s="355"/>
      <c r="AF23" s="348"/>
      <c r="AG23" s="323"/>
      <c r="AH23" s="348"/>
      <c r="AI23" s="357"/>
      <c r="AJ23" s="320"/>
      <c r="AK23" s="356"/>
      <c r="AL23" s="320"/>
    </row>
    <row r="24" spans="1:38" hidden="1" outlineLevel="1">
      <c r="A24" s="350" t="s">
        <v>429</v>
      </c>
      <c r="B24" s="353"/>
      <c r="C24" s="353"/>
      <c r="D24" s="353"/>
      <c r="E24" s="353"/>
      <c r="F24" s="353"/>
      <c r="G24" s="351"/>
      <c r="H24" s="351">
        <f>H23/G23-1</f>
        <v>6.0081259522600572E-2</v>
      </c>
      <c r="I24" s="351">
        <f t="shared" ref="I24:R24" si="11">I23/H23-1</f>
        <v>0.30481962343697599</v>
      </c>
      <c r="J24" s="351">
        <f t="shared" si="11"/>
        <v>0.44681022929632275</v>
      </c>
      <c r="K24" s="351">
        <f t="shared" si="11"/>
        <v>-0.19197251082360944</v>
      </c>
      <c r="L24" s="351">
        <f t="shared" si="11"/>
        <v>0.26543969849246229</v>
      </c>
      <c r="M24" s="351">
        <f t="shared" si="11"/>
        <v>5.3306396370459419E-2</v>
      </c>
      <c r="N24" s="351">
        <f t="shared" si="11"/>
        <v>0.20368336969891176</v>
      </c>
      <c r="O24" s="351">
        <f t="shared" si="11"/>
        <v>0.2193737324699121</v>
      </c>
      <c r="P24" s="351">
        <f t="shared" si="11"/>
        <v>-0.19156044308877829</v>
      </c>
      <c r="Q24" s="351">
        <f t="shared" si="11"/>
        <v>-0.10286609594957674</v>
      </c>
      <c r="R24" s="351">
        <f t="shared" si="11"/>
        <v>0.18780324762714251</v>
      </c>
      <c r="S24" s="1543"/>
      <c r="T24" s="1543"/>
      <c r="U24" s="1543"/>
      <c r="V24" s="351"/>
      <c r="W24" s="351"/>
      <c r="X24" s="686"/>
      <c r="Y24" s="686"/>
      <c r="Z24" s="686"/>
      <c r="AA24" s="686"/>
      <c r="AB24" s="686"/>
      <c r="AC24" s="1891"/>
      <c r="AD24" s="686"/>
      <c r="AE24" s="355"/>
      <c r="AF24" s="348"/>
      <c r="AG24" s="323"/>
      <c r="AH24" s="348"/>
      <c r="AI24" s="357"/>
      <c r="AJ24" s="320"/>
      <c r="AK24" s="356"/>
      <c r="AL24" s="320"/>
    </row>
    <row r="25" spans="1:38" collapsed="1">
      <c r="A25" s="1544" t="s">
        <v>607</v>
      </c>
      <c r="B25" s="1561">
        <f>'qtrP&amp;L'!D14</f>
        <v>395.02100000000002</v>
      </c>
      <c r="C25" s="1560">
        <f>'qtrP&amp;L'!H14</f>
        <v>512.64499999999998</v>
      </c>
      <c r="D25" s="1561">
        <f>'qtrP&amp;L'!L14</f>
        <v>540.36599999999999</v>
      </c>
      <c r="E25" s="1560">
        <f>'qtrP&amp;L'!P14</f>
        <v>513.91499999999996</v>
      </c>
      <c r="F25" s="1561">
        <f>'qtrP&amp;L'!T14</f>
        <v>500.94400000000002</v>
      </c>
      <c r="G25" s="1561">
        <f>'qtrP&amp;L'!X14</f>
        <v>548.91800000000001</v>
      </c>
      <c r="H25" s="1560">
        <f>'qtrP&amp;L'!AB14</f>
        <v>600.49099999999999</v>
      </c>
      <c r="I25" s="1561">
        <f>'qtrP&amp;L'!AF14</f>
        <v>719.40300000000002</v>
      </c>
      <c r="J25" s="1561">
        <f>'qtrP&amp;L'!AJ14</f>
        <v>953.226</v>
      </c>
      <c r="K25" s="1561">
        <f>+K23+K21</f>
        <v>1321.1</v>
      </c>
      <c r="L25" s="1561">
        <f>'qtrP&amp;L'!AR14</f>
        <v>1710.4230000000002</v>
      </c>
      <c r="M25" s="1559">
        <f>'qtrP&amp;L'!AV14</f>
        <v>2035.0909999999999</v>
      </c>
      <c r="N25" s="1559">
        <f>+N23+N21</f>
        <v>2612.3270000000002</v>
      </c>
      <c r="O25" s="1559">
        <f>+O23+O21</f>
        <v>3180.8</v>
      </c>
      <c r="P25" s="1559">
        <f>+P23+P21</f>
        <v>3230.4679999999998</v>
      </c>
      <c r="Q25" s="1558">
        <f>+Q23+Q21</f>
        <v>3607.6359999999995</v>
      </c>
      <c r="R25" s="1559">
        <f>+R23+R21</f>
        <v>4158.5069999999996</v>
      </c>
      <c r="S25" s="1559">
        <f>S8+S10+S18</f>
        <v>4763.18</v>
      </c>
      <c r="T25" s="1559">
        <f>T8+T10+T18</f>
        <v>5075.3899999999994</v>
      </c>
      <c r="U25" s="1559">
        <f>U8+U10+U18</f>
        <v>4806.2259999999997</v>
      </c>
      <c r="V25" s="1559">
        <f>V8+V10+V18+V16</f>
        <v>4191.6000000000004</v>
      </c>
      <c r="W25" s="1559">
        <f>W8+W10+W18+W16</f>
        <v>4491.7999999999993</v>
      </c>
      <c r="X25" s="1559">
        <f>X8+X10+X18+X16</f>
        <v>4488.3</v>
      </c>
      <c r="Y25" s="1559">
        <f>+Y12+Y14+Y16</f>
        <v>5831.9966335432964</v>
      </c>
      <c r="Z25" s="1559">
        <f>+Z12+Z14+Z16</f>
        <v>6016.7445650539694</v>
      </c>
      <c r="AA25" s="1559">
        <f>+AA12+AA14+AA16</f>
        <v>6189.4033278856969</v>
      </c>
      <c r="AB25" s="1559">
        <f>+AB12+AB14+AB16</f>
        <v>6366.6876309344079</v>
      </c>
      <c r="AC25" s="1559">
        <f>+AC12+AC14+AC16</f>
        <v>6549.1863844707495</v>
      </c>
      <c r="AD25" s="347"/>
      <c r="AE25" s="355"/>
      <c r="AF25" s="348">
        <f>((V25/Q25)^(1/5)-1)*100</f>
        <v>3.0460678041671851</v>
      </c>
      <c r="AG25" s="326" t="s">
        <v>428</v>
      </c>
      <c r="AH25" s="348">
        <f>((AA25/V25)^(1/5)-1)*100</f>
        <v>8.1069937175917595</v>
      </c>
      <c r="AI25" s="349" t="s">
        <v>428</v>
      </c>
      <c r="AJ25" s="320"/>
      <c r="AK25" s="358"/>
      <c r="AL25" s="320"/>
    </row>
    <row r="26" spans="1:38">
      <c r="A26" s="350" t="s">
        <v>429</v>
      </c>
      <c r="B26" s="351"/>
      <c r="C26" s="351">
        <f t="shared" ref="C26:H26" si="12">C25/B25-1</f>
        <v>0.29776644785973394</v>
      </c>
      <c r="D26" s="351">
        <f t="shared" si="12"/>
        <v>5.4074456982902364E-2</v>
      </c>
      <c r="E26" s="351">
        <f t="shared" si="12"/>
        <v>-4.8950156005374224E-2</v>
      </c>
      <c r="F26" s="351">
        <f t="shared" si="12"/>
        <v>-2.5239582421217377E-2</v>
      </c>
      <c r="G26" s="351">
        <f t="shared" si="12"/>
        <v>9.5767191542367902E-2</v>
      </c>
      <c r="H26" s="351">
        <f t="shared" si="12"/>
        <v>9.3953923901201941E-2</v>
      </c>
      <c r="I26" s="351">
        <f t="shared" ref="I26:V26" si="13">I25/H25-1</f>
        <v>0.1980246165221462</v>
      </c>
      <c r="J26" s="352">
        <f>J25/I25-1</f>
        <v>0.32502366545594041</v>
      </c>
      <c r="K26" s="351">
        <f t="shared" si="13"/>
        <v>0.38592526850925157</v>
      </c>
      <c r="L26" s="351">
        <f t="shared" si="13"/>
        <v>0.29469608659450475</v>
      </c>
      <c r="M26" s="351">
        <f>M25/L25-1</f>
        <v>0.18981737266161613</v>
      </c>
      <c r="N26" s="351">
        <f>N25/M25-1</f>
        <v>0.28364137033675663</v>
      </c>
      <c r="O26" s="351">
        <f t="shared" si="13"/>
        <v>0.21761173084380325</v>
      </c>
      <c r="P26" s="351">
        <f t="shared" si="13"/>
        <v>1.5614939637826897E-2</v>
      </c>
      <c r="Q26" s="351">
        <f t="shared" si="13"/>
        <v>0.11675336205156639</v>
      </c>
      <c r="R26" s="351">
        <f t="shared" si="13"/>
        <v>0.15269583738492476</v>
      </c>
      <c r="S26" s="351">
        <f t="shared" si="13"/>
        <v>0.14540627201060397</v>
      </c>
      <c r="T26" s="351">
        <f t="shared" si="13"/>
        <v>6.5546546634811076E-2</v>
      </c>
      <c r="U26" s="351">
        <f t="shared" si="13"/>
        <v>-5.3033165924194936E-2</v>
      </c>
      <c r="V26" s="351">
        <f t="shared" si="13"/>
        <v>-0.12788121074622782</v>
      </c>
      <c r="W26" s="351">
        <f t="shared" ref="W26:AC26" si="14">W25/V25-1</f>
        <v>7.1619429334859985E-2</v>
      </c>
      <c r="X26" s="351">
        <f t="shared" si="14"/>
        <v>-7.7919764904921252E-4</v>
      </c>
      <c r="Y26" s="351">
        <f t="shared" si="14"/>
        <v>0.29937763374625059</v>
      </c>
      <c r="Z26" s="351">
        <f>Z25/Y25-1</f>
        <v>3.167833301687395E-2</v>
      </c>
      <c r="AA26" s="351">
        <f t="shared" si="14"/>
        <v>2.8696375750194125E-2</v>
      </c>
      <c r="AB26" s="351">
        <f t="shared" si="14"/>
        <v>2.8643197681103683E-2</v>
      </c>
      <c r="AC26" s="1543">
        <f t="shared" si="14"/>
        <v>2.8664631298953358E-2</v>
      </c>
      <c r="AD26" s="351"/>
      <c r="AE26" s="355"/>
      <c r="AF26" s="348"/>
      <c r="AG26" s="323"/>
      <c r="AH26" s="348"/>
      <c r="AI26" s="357"/>
      <c r="AJ26" s="320"/>
      <c r="AK26" s="320"/>
      <c r="AL26" s="320"/>
    </row>
    <row r="27" spans="1:38" hidden="1" outlineLevel="1">
      <c r="A27" s="350" t="s">
        <v>787</v>
      </c>
      <c r="B27" s="351"/>
      <c r="C27" s="351"/>
      <c r="D27" s="351"/>
      <c r="E27" s="351"/>
      <c r="F27" s="351"/>
      <c r="G27" s="351"/>
      <c r="H27" s="1560">
        <f>'qtrP&amp;L'!AB14</f>
        <v>600.49099999999999</v>
      </c>
      <c r="I27" s="1561">
        <f>'qtrP&amp;L'!AF14</f>
        <v>719.40300000000002</v>
      </c>
      <c r="J27" s="1561">
        <f>'qtrP&amp;L'!AJ14</f>
        <v>953.226</v>
      </c>
      <c r="K27" s="1561">
        <f>'qtrP&amp;L'!AN14</f>
        <v>1321.1059999999998</v>
      </c>
      <c r="L27" s="1561">
        <f>'qtrP&amp;L'!AR14</f>
        <v>1710.4230000000002</v>
      </c>
      <c r="M27" s="1559">
        <f>'qtrP&amp;L'!AV14</f>
        <v>2035.0909999999999</v>
      </c>
      <c r="N27" s="1561">
        <f>'qtrP&amp;L'!AZ14</f>
        <v>2612.4559999999997</v>
      </c>
      <c r="O27" s="1559">
        <f>'qtrP&amp;L'!BD14</f>
        <v>3180.7570000000001</v>
      </c>
      <c r="P27" s="1559">
        <f>'qtrP&amp;L'!BH14</f>
        <v>3230.4679999999998</v>
      </c>
      <c r="Q27" s="1559">
        <f>'qtrP&amp;L'!BL14</f>
        <v>3607.636</v>
      </c>
      <c r="R27" s="1559">
        <f>'qtrP&amp;L'!BP14</f>
        <v>4158.5070000000005</v>
      </c>
      <c r="S27" s="1559">
        <f>'qtrP&amp;L'!BT14</f>
        <v>4763.1799999999994</v>
      </c>
      <c r="T27" s="1559">
        <f>'qtrP&amp;L'!BX14</f>
        <v>5075.3899999999994</v>
      </c>
      <c r="U27" s="1559">
        <f>'qtrP&amp;L'!CB14</f>
        <v>4806.2260000000006</v>
      </c>
      <c r="V27" s="1559">
        <f>'qtrP&amp;L'!CF14</f>
        <v>4191.6000000000004</v>
      </c>
      <c r="W27" s="1559">
        <f>'qtrP&amp;L'!CJ14</f>
        <v>4491.7999999999993</v>
      </c>
      <c r="X27" s="351"/>
      <c r="Y27" s="351"/>
      <c r="Z27" s="351"/>
      <c r="AA27" s="351"/>
      <c r="AB27" s="351"/>
      <c r="AC27" s="1543"/>
      <c r="AD27" s="351"/>
      <c r="AE27" s="355"/>
      <c r="AF27" s="348"/>
      <c r="AG27" s="323"/>
      <c r="AH27" s="348"/>
      <c r="AI27" s="357"/>
      <c r="AJ27" s="320"/>
      <c r="AK27" s="320"/>
      <c r="AL27" s="320"/>
    </row>
    <row r="28" spans="1:38" hidden="1" outlineLevel="1">
      <c r="A28" s="350"/>
      <c r="B28" s="351"/>
      <c r="C28" s="351"/>
      <c r="D28" s="351"/>
      <c r="E28" s="351"/>
      <c r="F28" s="351"/>
      <c r="G28" s="351"/>
      <c r="H28" s="1560"/>
      <c r="I28" s="1561"/>
      <c r="J28" s="1561"/>
      <c r="K28" s="1561"/>
      <c r="L28" s="1561"/>
      <c r="M28" s="1559"/>
      <c r="N28" s="1561"/>
      <c r="O28" s="1559"/>
      <c r="P28" s="1559"/>
      <c r="Q28" s="1559"/>
      <c r="R28" s="1559"/>
      <c r="S28" s="1559"/>
      <c r="T28" s="1559"/>
      <c r="U28" s="1559"/>
      <c r="V28" s="1559"/>
      <c r="W28" s="1559"/>
      <c r="X28" s="351"/>
      <c r="Y28" s="351"/>
      <c r="Z28" s="351"/>
      <c r="AA28" s="351"/>
      <c r="AB28" s="351"/>
      <c r="AC28" s="1543"/>
      <c r="AD28" s="351"/>
      <c r="AE28" s="355"/>
      <c r="AF28" s="348"/>
      <c r="AG28" s="323"/>
      <c r="AH28" s="348"/>
      <c r="AI28" s="357"/>
      <c r="AJ28" s="320"/>
      <c r="AK28" s="320"/>
      <c r="AL28" s="320"/>
    </row>
    <row r="29" spans="1:38" hidden="1" outlineLevel="1">
      <c r="A29" s="350"/>
      <c r="B29" s="351"/>
      <c r="C29" s="351"/>
      <c r="D29" s="351"/>
      <c r="E29" s="351"/>
      <c r="F29" s="351"/>
      <c r="G29" s="351"/>
      <c r="H29" s="1560"/>
      <c r="I29" s="1561"/>
      <c r="J29" s="1561"/>
      <c r="K29" s="1561"/>
      <c r="L29" s="1561"/>
      <c r="M29" s="1559"/>
      <c r="N29" s="1561"/>
      <c r="O29" s="1559"/>
      <c r="P29" s="1559"/>
      <c r="Q29" s="1559"/>
      <c r="R29" s="1559"/>
      <c r="S29" s="1559"/>
      <c r="T29" s="1559"/>
      <c r="U29" s="1559"/>
      <c r="V29" s="1559"/>
      <c r="W29" s="1559"/>
      <c r="X29" s="351"/>
      <c r="Y29" s="351"/>
      <c r="Z29" s="351"/>
      <c r="AA29" s="351"/>
      <c r="AB29" s="351"/>
      <c r="AC29" s="1543"/>
      <c r="AD29" s="351"/>
      <c r="AE29" s="355"/>
      <c r="AF29" s="348"/>
      <c r="AG29" s="323"/>
      <c r="AH29" s="348"/>
      <c r="AI29" s="357"/>
      <c r="AJ29" s="320"/>
      <c r="AK29" s="320"/>
      <c r="AL29" s="320"/>
    </row>
    <row r="30" spans="1:38" collapsed="1">
      <c r="A30" s="350"/>
      <c r="B30" s="351"/>
      <c r="C30" s="351"/>
      <c r="D30" s="351"/>
      <c r="E30" s="351"/>
      <c r="F30" s="351"/>
      <c r="G30" s="351"/>
      <c r="H30" s="1560"/>
      <c r="I30" s="1561"/>
      <c r="J30" s="1561"/>
      <c r="K30" s="1561"/>
      <c r="L30" s="1561"/>
      <c r="M30" s="1559"/>
      <c r="N30" s="1561"/>
      <c r="O30" s="1559"/>
      <c r="P30" s="1559"/>
      <c r="Q30" s="1559"/>
      <c r="R30" s="1559"/>
      <c r="S30" s="1559"/>
      <c r="T30" s="1559"/>
      <c r="U30" s="1559"/>
      <c r="V30" s="1559"/>
      <c r="W30" s="1559"/>
      <c r="X30" s="351"/>
      <c r="Y30" s="351"/>
      <c r="Z30" s="351"/>
      <c r="AA30" s="351"/>
      <c r="AB30" s="351"/>
      <c r="AC30" s="1543"/>
      <c r="AD30" s="351"/>
      <c r="AE30" s="355"/>
      <c r="AF30" s="348"/>
      <c r="AG30" s="323"/>
      <c r="AH30" s="348"/>
      <c r="AI30" s="357"/>
      <c r="AJ30" s="320"/>
      <c r="AK30" s="320"/>
      <c r="AL30" s="320"/>
    </row>
    <row r="31" spans="1:38" ht="15">
      <c r="A31" s="2063"/>
      <c r="B31" s="2064"/>
      <c r="C31" s="2064"/>
      <c r="D31" s="2064"/>
      <c r="E31" s="2064"/>
      <c r="F31" s="2064"/>
      <c r="G31" s="2064"/>
      <c r="H31" s="2064"/>
      <c r="I31" s="2064"/>
      <c r="J31" s="2064"/>
      <c r="K31" s="2064"/>
      <c r="L31" s="2064"/>
      <c r="M31" s="2064">
        <f>M67/M61</f>
        <v>0.27962085308056872</v>
      </c>
      <c r="N31" s="2064">
        <f>N67/N61</f>
        <v>0.28016359918200406</v>
      </c>
      <c r="O31" s="2064"/>
      <c r="P31" s="2064"/>
      <c r="Q31" s="2065"/>
      <c r="R31" s="2066"/>
      <c r="S31" s="2065"/>
      <c r="T31" s="2065"/>
      <c r="U31" s="2065"/>
      <c r="V31" s="2395" t="s">
        <v>857</v>
      </c>
      <c r="W31" s="2395"/>
      <c r="X31" s="2395"/>
      <c r="Y31" s="2395"/>
      <c r="Z31" s="2395"/>
      <c r="AA31" s="2067"/>
      <c r="AB31" s="2065"/>
      <c r="AC31" s="2065"/>
      <c r="AD31" s="359"/>
      <c r="AE31" s="355"/>
      <c r="AF31" s="348"/>
      <c r="AG31" s="323"/>
      <c r="AH31" s="348"/>
      <c r="AI31" s="357"/>
      <c r="AJ31" s="320"/>
      <c r="AK31" s="320"/>
      <c r="AL31" s="320"/>
    </row>
    <row r="32" spans="1:38">
      <c r="A32" s="350" t="s">
        <v>430</v>
      </c>
      <c r="B32" s="331"/>
      <c r="C32" s="331"/>
      <c r="D32" s="331"/>
      <c r="E32" s="331"/>
      <c r="F32" s="360"/>
      <c r="G32" s="331">
        <f t="shared" ref="G32:P32" si="15">F61</f>
        <v>233</v>
      </c>
      <c r="H32" s="331">
        <f t="shared" si="15"/>
        <v>239</v>
      </c>
      <c r="I32" s="360">
        <f t="shared" si="15"/>
        <v>265</v>
      </c>
      <c r="J32" s="360">
        <f>I61</f>
        <v>295</v>
      </c>
      <c r="K32" s="360">
        <f>J61</f>
        <v>325</v>
      </c>
      <c r="L32" s="360">
        <f t="shared" si="15"/>
        <v>350</v>
      </c>
      <c r="M32" s="360">
        <f t="shared" si="15"/>
        <v>378</v>
      </c>
      <c r="N32" s="360">
        <f t="shared" si="15"/>
        <v>422</v>
      </c>
      <c r="O32" s="360">
        <f t="shared" si="15"/>
        <v>489</v>
      </c>
      <c r="P32" s="360">
        <f t="shared" si="15"/>
        <v>548</v>
      </c>
      <c r="Q32" s="360">
        <f t="shared" ref="Q32:AC32" si="16">P61</f>
        <v>624</v>
      </c>
      <c r="R32" s="360">
        <f t="shared" si="16"/>
        <v>665</v>
      </c>
      <c r="S32" s="360">
        <f t="shared" si="16"/>
        <v>723</v>
      </c>
      <c r="T32" s="360">
        <f t="shared" si="16"/>
        <v>832</v>
      </c>
      <c r="U32" s="360">
        <f t="shared" si="16"/>
        <v>953</v>
      </c>
      <c r="V32" s="360">
        <f t="shared" si="16"/>
        <v>1014</v>
      </c>
      <c r="W32" s="1664">
        <f t="shared" si="16"/>
        <v>965</v>
      </c>
      <c r="X32" s="360">
        <f t="shared" si="16"/>
        <v>955</v>
      </c>
      <c r="Y32" s="360">
        <f t="shared" si="16"/>
        <v>964</v>
      </c>
      <c r="Z32" s="360">
        <f>Y61</f>
        <v>969</v>
      </c>
      <c r="AA32" s="360">
        <f t="shared" si="16"/>
        <v>961</v>
      </c>
      <c r="AB32" s="360">
        <f t="shared" si="16"/>
        <v>953</v>
      </c>
      <c r="AC32" s="1664">
        <f t="shared" si="16"/>
        <v>945</v>
      </c>
      <c r="AD32" s="360"/>
      <c r="AE32" s="355"/>
      <c r="AF32" s="348"/>
      <c r="AG32" s="323"/>
      <c r="AH32" s="348"/>
      <c r="AI32" s="357"/>
      <c r="AJ32" s="320"/>
      <c r="AK32" s="320"/>
      <c r="AL32" s="320"/>
    </row>
    <row r="33" spans="1:38" ht="18" customHeight="1">
      <c r="A33" s="361" t="s">
        <v>617</v>
      </c>
      <c r="B33" s="331"/>
      <c r="C33" s="331"/>
      <c r="D33" s="331"/>
      <c r="E33" s="331"/>
      <c r="F33" s="331"/>
      <c r="G33" s="331">
        <f t="shared" ref="G33:L33" si="17">G34+G36+G38</f>
        <v>10</v>
      </c>
      <c r="H33" s="331">
        <f t="shared" si="17"/>
        <v>26</v>
      </c>
      <c r="I33" s="331">
        <f t="shared" si="17"/>
        <v>33</v>
      </c>
      <c r="J33" s="331">
        <f t="shared" si="17"/>
        <v>37</v>
      </c>
      <c r="K33" s="331">
        <f t="shared" si="17"/>
        <v>29</v>
      </c>
      <c r="L33" s="331">
        <f t="shared" si="17"/>
        <v>38</v>
      </c>
      <c r="M33" s="331">
        <f>M34+M36+M39</f>
        <v>50</v>
      </c>
      <c r="N33" s="331">
        <f>N34+N36+N39</f>
        <v>70</v>
      </c>
      <c r="O33" s="331">
        <f>O34+O36+O39</f>
        <v>60</v>
      </c>
      <c r="P33" s="331">
        <f>P34+P36+P39+P40</f>
        <v>85</v>
      </c>
      <c r="Q33" s="331">
        <f>Q34+Q36+Q39+Q40+Q41+Q35</f>
        <v>52</v>
      </c>
      <c r="R33" s="331">
        <f>R34+R36+R39+R40+R41+R37+R35</f>
        <v>65</v>
      </c>
      <c r="S33" s="331">
        <f>S34+S36+S39+S40+S41+S37+S35+S42+S43+S44</f>
        <v>114</v>
      </c>
      <c r="T33" s="331">
        <f t="shared" ref="T33:Y33" si="18">T34+T36+T39+T40+T41+T37+T35+T42+T43+T44+T45+T46</f>
        <v>126</v>
      </c>
      <c r="U33" s="331">
        <f t="shared" si="18"/>
        <v>80</v>
      </c>
      <c r="V33" s="331">
        <f t="shared" si="18"/>
        <v>43</v>
      </c>
      <c r="W33" s="369">
        <f>W34+W36+W39+W40+W41+W37+W35+W42+W43+W44+W45+W46</f>
        <v>47</v>
      </c>
      <c r="X33" s="331">
        <f t="shared" si="18"/>
        <v>30</v>
      </c>
      <c r="Y33" s="331">
        <f t="shared" si="18"/>
        <v>40</v>
      </c>
      <c r="Z33" s="331">
        <f>Z34+Z36+Z39+Z40+Z41+Z37+Z35+Z42+Z43+Z44+Z45+Z46</f>
        <v>7</v>
      </c>
      <c r="AA33" s="331">
        <f>AA34+AA36+AA39+AA40+AA41+AA37+AA35+AA42+AA43+AA44+AA45+AA46</f>
        <v>7</v>
      </c>
      <c r="AB33" s="331">
        <f>AB34+AB36+AB39+AB40+AB41+AB37+AB35+AB42+AB43+AB44+AB45+AB46</f>
        <v>7</v>
      </c>
      <c r="AC33" s="369">
        <f>AC34+AC36+AC39+AC40+AC41+AC37+AC35+AC42+AC43+AC44+AC45+AC46</f>
        <v>7</v>
      </c>
      <c r="AD33" s="331"/>
      <c r="AE33" s="355"/>
      <c r="AF33" s="348"/>
      <c r="AG33" s="323"/>
      <c r="AH33" s="348"/>
      <c r="AI33" s="357"/>
      <c r="AJ33" s="320"/>
      <c r="AK33" s="320"/>
      <c r="AL33" s="320"/>
    </row>
    <row r="34" spans="1:38" outlineLevel="1">
      <c r="A34" s="362" t="s">
        <v>288</v>
      </c>
      <c r="B34" s="363"/>
      <c r="C34" s="363"/>
      <c r="D34" s="363"/>
      <c r="E34" s="363"/>
      <c r="F34" s="363"/>
      <c r="G34" s="363">
        <v>8</v>
      </c>
      <c r="H34" s="363">
        <v>15</v>
      </c>
      <c r="I34" s="363">
        <v>20</v>
      </c>
      <c r="J34" s="363">
        <v>20</v>
      </c>
      <c r="K34" s="363">
        <v>19</v>
      </c>
      <c r="L34" s="363">
        <v>19</v>
      </c>
      <c r="M34" s="363">
        <v>25</v>
      </c>
      <c r="N34" s="363">
        <v>41</v>
      </c>
      <c r="O34" s="363">
        <v>38</v>
      </c>
      <c r="P34" s="363">
        <v>40</v>
      </c>
      <c r="Q34" s="363">
        <f>10+3+2+5-Q35</f>
        <v>19</v>
      </c>
      <c r="R34" s="363">
        <f>8-R35</f>
        <v>7</v>
      </c>
      <c r="S34" s="363">
        <v>6</v>
      </c>
      <c r="T34" s="363">
        <v>0</v>
      </c>
      <c r="U34" s="363">
        <v>0</v>
      </c>
      <c r="V34" s="363">
        <v>0</v>
      </c>
      <c r="W34" s="367">
        <v>3</v>
      </c>
      <c r="X34" s="363">
        <v>0</v>
      </c>
      <c r="Y34" s="363">
        <v>20</v>
      </c>
      <c r="Z34" s="363">
        <v>0</v>
      </c>
      <c r="AA34" s="363">
        <v>0</v>
      </c>
      <c r="AB34" s="363">
        <v>0</v>
      </c>
      <c r="AC34" s="367">
        <v>0</v>
      </c>
      <c r="AD34" s="363"/>
      <c r="AE34" s="355"/>
      <c r="AF34" s="348"/>
      <c r="AG34" s="323"/>
      <c r="AH34" s="348"/>
      <c r="AI34" s="357"/>
      <c r="AJ34" s="320"/>
      <c r="AK34" s="320"/>
      <c r="AL34" s="320"/>
    </row>
    <row r="35" spans="1:38" outlineLevel="1">
      <c r="A35" s="362" t="s">
        <v>727</v>
      </c>
      <c r="B35" s="363"/>
      <c r="C35" s="363"/>
      <c r="D35" s="363"/>
      <c r="E35" s="363"/>
      <c r="F35" s="363"/>
      <c r="G35" s="363"/>
      <c r="H35" s="363"/>
      <c r="I35" s="363"/>
      <c r="J35" s="363"/>
      <c r="K35" s="363"/>
      <c r="L35" s="363"/>
      <c r="M35" s="363"/>
      <c r="N35" s="363"/>
      <c r="O35" s="363"/>
      <c r="P35" s="363"/>
      <c r="Q35" s="363">
        <v>1</v>
      </c>
      <c r="R35" s="363">
        <v>1</v>
      </c>
      <c r="S35" s="363">
        <v>3</v>
      </c>
      <c r="T35" s="363">
        <v>0</v>
      </c>
      <c r="U35" s="363">
        <v>0</v>
      </c>
      <c r="V35" s="363">
        <v>0</v>
      </c>
      <c r="W35" s="363">
        <v>0</v>
      </c>
      <c r="X35" s="363">
        <v>0</v>
      </c>
      <c r="Y35" s="363">
        <v>0</v>
      </c>
      <c r="Z35" s="363">
        <v>0</v>
      </c>
      <c r="AA35" s="363">
        <v>0</v>
      </c>
      <c r="AB35" s="363">
        <v>0</v>
      </c>
      <c r="AC35" s="367">
        <v>0</v>
      </c>
      <c r="AD35" s="363"/>
      <c r="AE35" s="355"/>
      <c r="AF35" s="348"/>
      <c r="AG35" s="323"/>
      <c r="AH35" s="348"/>
      <c r="AI35" s="357"/>
      <c r="AJ35" s="320"/>
      <c r="AK35" s="320"/>
      <c r="AL35" s="320"/>
    </row>
    <row r="36" spans="1:38" outlineLevel="1">
      <c r="A36" s="362" t="s">
        <v>289</v>
      </c>
      <c r="B36" s="363"/>
      <c r="C36" s="363"/>
      <c r="D36" s="363"/>
      <c r="E36" s="363"/>
      <c r="F36" s="363"/>
      <c r="G36" s="363">
        <v>2</v>
      </c>
      <c r="H36" s="363">
        <v>5</v>
      </c>
      <c r="I36" s="363">
        <v>6</v>
      </c>
      <c r="J36" s="363">
        <v>3</v>
      </c>
      <c r="K36" s="363">
        <v>2</v>
      </c>
      <c r="L36" s="364">
        <v>7</v>
      </c>
      <c r="M36" s="363">
        <v>7</v>
      </c>
      <c r="N36" s="363">
        <v>8</v>
      </c>
      <c r="O36" s="363">
        <v>9</v>
      </c>
      <c r="P36" s="363">
        <v>9</v>
      </c>
      <c r="Q36" s="363">
        <f>5+2+1+2</f>
        <v>10</v>
      </c>
      <c r="R36" s="363">
        <v>8</v>
      </c>
      <c r="S36" s="363">
        <v>10</v>
      </c>
      <c r="T36" s="363">
        <v>14</v>
      </c>
      <c r="U36" s="363">
        <v>13</v>
      </c>
      <c r="V36" s="363">
        <v>10</v>
      </c>
      <c r="W36" s="363">
        <v>2</v>
      </c>
      <c r="X36" s="363">
        <v>0</v>
      </c>
      <c r="Y36" s="363">
        <v>0</v>
      </c>
      <c r="Z36" s="363">
        <v>0</v>
      </c>
      <c r="AA36" s="363">
        <v>0</v>
      </c>
      <c r="AB36" s="363">
        <v>0</v>
      </c>
      <c r="AC36" s="367">
        <v>0</v>
      </c>
      <c r="AD36" s="363"/>
      <c r="AE36" s="355"/>
      <c r="AF36" s="348"/>
      <c r="AG36" s="323"/>
      <c r="AH36" s="348"/>
      <c r="AI36" s="357"/>
      <c r="AJ36" s="320"/>
      <c r="AK36" s="320"/>
      <c r="AL36" s="320"/>
    </row>
    <row r="37" spans="1:38" outlineLevel="1">
      <c r="A37" s="362" t="s">
        <v>728</v>
      </c>
      <c r="B37" s="363"/>
      <c r="C37" s="363"/>
      <c r="D37" s="363"/>
      <c r="E37" s="363"/>
      <c r="F37" s="363"/>
      <c r="G37" s="363"/>
      <c r="H37" s="363"/>
      <c r="I37" s="363"/>
      <c r="J37" s="363"/>
      <c r="K37" s="363"/>
      <c r="L37" s="364"/>
      <c r="M37" s="363"/>
      <c r="N37" s="363"/>
      <c r="O37" s="363"/>
      <c r="P37" s="363"/>
      <c r="Q37" s="363"/>
      <c r="R37" s="363">
        <v>14</v>
      </c>
      <c r="S37" s="363">
        <v>16</v>
      </c>
      <c r="T37" s="363">
        <v>10</v>
      </c>
      <c r="U37" s="363">
        <v>1</v>
      </c>
      <c r="V37" s="363">
        <v>0</v>
      </c>
      <c r="W37" s="363">
        <v>3</v>
      </c>
      <c r="X37" s="363">
        <v>0</v>
      </c>
      <c r="Y37" s="363">
        <v>0</v>
      </c>
      <c r="Z37" s="363">
        <v>0</v>
      </c>
      <c r="AA37" s="363">
        <v>0</v>
      </c>
      <c r="AB37" s="363">
        <v>0</v>
      </c>
      <c r="AC37" s="367">
        <v>0</v>
      </c>
      <c r="AD37" s="363"/>
      <c r="AE37" s="355"/>
      <c r="AF37" s="348"/>
      <c r="AG37" s="323"/>
      <c r="AH37" s="348"/>
      <c r="AI37" s="357"/>
      <c r="AJ37" s="320"/>
      <c r="AK37" s="320"/>
      <c r="AL37" s="320"/>
    </row>
    <row r="38" spans="1:38" outlineLevel="1">
      <c r="A38" s="362" t="s">
        <v>296</v>
      </c>
      <c r="B38" s="363"/>
      <c r="C38" s="363"/>
      <c r="D38" s="363"/>
      <c r="E38" s="363"/>
      <c r="F38" s="363"/>
      <c r="G38" s="363">
        <v>0</v>
      </c>
      <c r="H38" s="363">
        <v>6</v>
      </c>
      <c r="I38" s="363">
        <v>7</v>
      </c>
      <c r="J38" s="363">
        <v>14</v>
      </c>
      <c r="K38" s="363">
        <v>8</v>
      </c>
      <c r="L38" s="365">
        <v>12</v>
      </c>
      <c r="M38" s="363"/>
      <c r="N38" s="363"/>
      <c r="O38" s="363"/>
      <c r="P38" s="363"/>
      <c r="Q38" s="363"/>
      <c r="R38" s="363"/>
      <c r="S38" s="363"/>
      <c r="T38" s="363"/>
      <c r="U38" s="363"/>
      <c r="V38" s="363"/>
      <c r="W38" s="363"/>
      <c r="X38" s="363"/>
      <c r="Y38" s="363"/>
      <c r="Z38" s="363"/>
      <c r="AA38" s="363"/>
      <c r="AB38" s="363"/>
      <c r="AC38" s="367"/>
      <c r="AD38" s="363"/>
      <c r="AE38" s="355"/>
      <c r="AF38" s="348"/>
      <c r="AG38" s="323"/>
      <c r="AH38" s="348"/>
      <c r="AI38" s="357"/>
      <c r="AJ38" s="320"/>
      <c r="AK38" s="320"/>
      <c r="AL38" s="320"/>
    </row>
    <row r="39" spans="1:38" outlineLevel="1">
      <c r="A39" s="362" t="s">
        <v>290</v>
      </c>
      <c r="B39" s="363"/>
      <c r="C39" s="363"/>
      <c r="D39" s="363"/>
      <c r="E39" s="363"/>
      <c r="F39" s="363"/>
      <c r="G39" s="366"/>
      <c r="H39" s="366"/>
      <c r="I39" s="366"/>
      <c r="J39" s="366"/>
      <c r="K39" s="366"/>
      <c r="L39" s="366"/>
      <c r="M39" s="367">
        <v>18</v>
      </c>
      <c r="N39" s="363">
        <v>21</v>
      </c>
      <c r="O39" s="363">
        <v>13</v>
      </c>
      <c r="P39" s="363">
        <f>8</f>
        <v>8</v>
      </c>
      <c r="Q39" s="363">
        <f>2+1+3+1+1-1</f>
        <v>7</v>
      </c>
      <c r="R39" s="363">
        <v>9</v>
      </c>
      <c r="S39" s="363">
        <v>16</v>
      </c>
      <c r="T39" s="363">
        <v>13</v>
      </c>
      <c r="U39" s="363">
        <v>7</v>
      </c>
      <c r="V39" s="363">
        <v>0</v>
      </c>
      <c r="W39" s="363">
        <v>3</v>
      </c>
      <c r="X39" s="363">
        <v>0</v>
      </c>
      <c r="Y39" s="363">
        <v>0</v>
      </c>
      <c r="Z39" s="363">
        <v>0</v>
      </c>
      <c r="AA39" s="363">
        <v>0</v>
      </c>
      <c r="AB39" s="363">
        <v>0</v>
      </c>
      <c r="AC39" s="367">
        <v>0</v>
      </c>
      <c r="AD39" s="363"/>
      <c r="AE39" s="355"/>
      <c r="AF39" s="348"/>
      <c r="AG39" s="323"/>
      <c r="AH39" s="348"/>
      <c r="AI39" s="357"/>
      <c r="AJ39" s="320"/>
      <c r="AK39" s="320"/>
      <c r="AL39" s="320"/>
    </row>
    <row r="40" spans="1:38" outlineLevel="1">
      <c r="A40" s="362" t="s">
        <v>325</v>
      </c>
      <c r="B40" s="363"/>
      <c r="C40" s="363"/>
      <c r="D40" s="363"/>
      <c r="E40" s="363"/>
      <c r="F40" s="363"/>
      <c r="G40" s="366"/>
      <c r="H40" s="366"/>
      <c r="I40" s="366"/>
      <c r="J40" s="366"/>
      <c r="K40" s="366"/>
      <c r="L40" s="366"/>
      <c r="M40" s="367"/>
      <c r="N40" s="363"/>
      <c r="O40" s="363"/>
      <c r="P40" s="363">
        <v>28</v>
      </c>
      <c r="Q40" s="363">
        <v>15</v>
      </c>
      <c r="R40" s="363">
        <v>19</v>
      </c>
      <c r="S40" s="363">
        <v>26</v>
      </c>
      <c r="T40" s="363">
        <v>25</v>
      </c>
      <c r="U40" s="363">
        <v>24</v>
      </c>
      <c r="V40" s="363">
        <v>18</v>
      </c>
      <c r="W40" s="363">
        <v>21</v>
      </c>
      <c r="X40" s="363">
        <v>11</v>
      </c>
      <c r="Y40" s="363">
        <v>10</v>
      </c>
      <c r="Z40" s="363">
        <v>2</v>
      </c>
      <c r="AA40" s="363">
        <v>2</v>
      </c>
      <c r="AB40" s="363">
        <v>2</v>
      </c>
      <c r="AC40" s="367">
        <v>2</v>
      </c>
      <c r="AD40" s="363"/>
      <c r="AE40" s="355"/>
      <c r="AF40" s="348"/>
      <c r="AG40" s="323"/>
      <c r="AH40" s="348"/>
      <c r="AI40" s="357"/>
      <c r="AJ40" s="320"/>
      <c r="AK40" s="320"/>
      <c r="AL40" s="320"/>
    </row>
    <row r="41" spans="1:38" outlineLevel="1">
      <c r="A41" s="362" t="s">
        <v>537</v>
      </c>
      <c r="B41" s="363"/>
      <c r="C41" s="363"/>
      <c r="D41" s="363"/>
      <c r="E41" s="363"/>
      <c r="F41" s="363"/>
      <c r="G41" s="366"/>
      <c r="H41" s="366"/>
      <c r="I41" s="366"/>
      <c r="J41" s="366"/>
      <c r="K41" s="366"/>
      <c r="L41" s="366"/>
      <c r="M41" s="367"/>
      <c r="N41" s="363"/>
      <c r="O41" s="363"/>
      <c r="P41" s="363"/>
      <c r="Q41" s="363">
        <v>0</v>
      </c>
      <c r="R41" s="363">
        <v>7</v>
      </c>
      <c r="S41" s="363">
        <v>4</v>
      </c>
      <c r="T41" s="363">
        <v>5</v>
      </c>
      <c r="U41" s="363">
        <v>3</v>
      </c>
      <c r="V41" s="363">
        <v>3</v>
      </c>
      <c r="W41" s="363">
        <v>3</v>
      </c>
      <c r="X41" s="363">
        <v>3</v>
      </c>
      <c r="Y41" s="363">
        <v>0</v>
      </c>
      <c r="Z41" s="363">
        <v>0</v>
      </c>
      <c r="AA41" s="363">
        <v>0</v>
      </c>
      <c r="AB41" s="363">
        <v>0</v>
      </c>
      <c r="AC41" s="367">
        <v>0</v>
      </c>
      <c r="AD41" s="363"/>
      <c r="AE41" s="355"/>
      <c r="AF41" s="348"/>
      <c r="AG41" s="323"/>
      <c r="AH41" s="348"/>
      <c r="AI41" s="357"/>
      <c r="AJ41" s="320"/>
      <c r="AK41" s="320"/>
      <c r="AL41" s="320"/>
    </row>
    <row r="42" spans="1:38" outlineLevel="1">
      <c r="A42" s="362" t="s">
        <v>533</v>
      </c>
      <c r="B42" s="363"/>
      <c r="C42" s="363"/>
      <c r="D42" s="363"/>
      <c r="E42" s="363"/>
      <c r="F42" s="363"/>
      <c r="G42" s="366"/>
      <c r="H42" s="366"/>
      <c r="I42" s="366"/>
      <c r="J42" s="366"/>
      <c r="K42" s="366"/>
      <c r="L42" s="366"/>
      <c r="M42" s="367"/>
      <c r="N42" s="363"/>
      <c r="O42" s="363"/>
      <c r="P42" s="363"/>
      <c r="Q42" s="363"/>
      <c r="R42" s="363"/>
      <c r="S42" s="363">
        <v>7</v>
      </c>
      <c r="T42" s="363">
        <v>0</v>
      </c>
      <c r="U42" s="363">
        <v>2</v>
      </c>
      <c r="V42" s="363">
        <v>2</v>
      </c>
      <c r="W42" s="363">
        <v>2</v>
      </c>
      <c r="X42" s="363">
        <v>0</v>
      </c>
      <c r="Y42" s="363">
        <v>0</v>
      </c>
      <c r="Z42" s="363">
        <v>0</v>
      </c>
      <c r="AA42" s="363">
        <v>0</v>
      </c>
      <c r="AB42" s="363">
        <v>0</v>
      </c>
      <c r="AC42" s="367">
        <v>0</v>
      </c>
      <c r="AD42" s="363"/>
      <c r="AE42" s="355"/>
      <c r="AF42" s="348"/>
      <c r="AG42" s="323"/>
      <c r="AH42" s="348"/>
      <c r="AI42" s="357"/>
      <c r="AJ42" s="320"/>
      <c r="AK42" s="320"/>
      <c r="AL42" s="320"/>
    </row>
    <row r="43" spans="1:38" outlineLevel="1">
      <c r="A43" s="362" t="s">
        <v>350</v>
      </c>
      <c r="B43" s="363"/>
      <c r="C43" s="363"/>
      <c r="D43" s="363"/>
      <c r="E43" s="363"/>
      <c r="F43" s="363"/>
      <c r="G43" s="366"/>
      <c r="H43" s="366"/>
      <c r="I43" s="366"/>
      <c r="J43" s="366"/>
      <c r="K43" s="366"/>
      <c r="L43" s="366"/>
      <c r="M43" s="367"/>
      <c r="N43" s="363"/>
      <c r="O43" s="363"/>
      <c r="P43" s="363"/>
      <c r="Q43" s="363"/>
      <c r="R43" s="363"/>
      <c r="S43" s="363">
        <v>26</v>
      </c>
      <c r="T43" s="363">
        <v>1</v>
      </c>
      <c r="U43" s="363">
        <v>0</v>
      </c>
      <c r="V43" s="363">
        <v>2</v>
      </c>
      <c r="W43" s="363">
        <v>2</v>
      </c>
      <c r="X43" s="692">
        <v>0</v>
      </c>
      <c r="Y43" s="692">
        <v>0</v>
      </c>
      <c r="Z43" s="692">
        <v>0</v>
      </c>
      <c r="AA43" s="692">
        <v>0</v>
      </c>
      <c r="AB43" s="692">
        <v>0</v>
      </c>
      <c r="AC43" s="1892">
        <v>0</v>
      </c>
      <c r="AD43" s="692"/>
      <c r="AE43" s="355"/>
      <c r="AF43" s="348"/>
      <c r="AG43" s="323"/>
      <c r="AH43" s="348"/>
      <c r="AI43" s="357"/>
      <c r="AJ43" s="320"/>
      <c r="AK43" s="320"/>
      <c r="AL43" s="320"/>
    </row>
    <row r="44" spans="1:38" outlineLevel="1">
      <c r="A44" s="362" t="s">
        <v>333</v>
      </c>
      <c r="B44" s="363"/>
      <c r="C44" s="363"/>
      <c r="D44" s="363"/>
      <c r="E44" s="363"/>
      <c r="F44" s="363"/>
      <c r="G44" s="366"/>
      <c r="H44" s="366"/>
      <c r="I44" s="366"/>
      <c r="J44" s="366"/>
      <c r="K44" s="366"/>
      <c r="L44" s="366"/>
      <c r="M44" s="367"/>
      <c r="N44" s="363"/>
      <c r="O44" s="363"/>
      <c r="P44" s="363"/>
      <c r="Q44" s="363"/>
      <c r="R44" s="363"/>
      <c r="S44" s="363">
        <v>0</v>
      </c>
      <c r="T44" s="363">
        <v>10</v>
      </c>
      <c r="U44" s="363">
        <v>3</v>
      </c>
      <c r="V44" s="363">
        <v>1</v>
      </c>
      <c r="W44" s="363">
        <v>2</v>
      </c>
      <c r="X44" s="692">
        <v>0</v>
      </c>
      <c r="Y44" s="692">
        <v>0</v>
      </c>
      <c r="Z44" s="692">
        <v>0</v>
      </c>
      <c r="AA44" s="692">
        <v>0</v>
      </c>
      <c r="AB44" s="692">
        <v>0</v>
      </c>
      <c r="AC44" s="1892">
        <v>0</v>
      </c>
      <c r="AD44" s="692"/>
      <c r="AE44" s="355"/>
      <c r="AF44" s="348"/>
      <c r="AG44" s="323"/>
      <c r="AH44" s="348"/>
      <c r="AI44" s="357"/>
      <c r="AJ44" s="320"/>
      <c r="AK44" s="320"/>
      <c r="AL44" s="320"/>
    </row>
    <row r="45" spans="1:38" outlineLevel="1">
      <c r="A45" s="362" t="s">
        <v>211</v>
      </c>
      <c r="B45" s="363"/>
      <c r="C45" s="363"/>
      <c r="D45" s="363"/>
      <c r="E45" s="363"/>
      <c r="F45" s="363"/>
      <c r="G45" s="366"/>
      <c r="H45" s="366"/>
      <c r="I45" s="366"/>
      <c r="J45" s="366"/>
      <c r="K45" s="366"/>
      <c r="L45" s="366"/>
      <c r="M45" s="367"/>
      <c r="N45" s="363"/>
      <c r="O45" s="363"/>
      <c r="P45" s="363"/>
      <c r="Q45" s="363"/>
      <c r="R45" s="363"/>
      <c r="S45" s="363"/>
      <c r="T45" s="363">
        <v>48</v>
      </c>
      <c r="U45" s="363">
        <v>0</v>
      </c>
      <c r="V45" s="363">
        <v>0</v>
      </c>
      <c r="W45" s="363">
        <v>1</v>
      </c>
      <c r="X45" s="692">
        <v>0</v>
      </c>
      <c r="Y45" s="692">
        <v>0</v>
      </c>
      <c r="Z45" s="692">
        <v>0</v>
      </c>
      <c r="AA45" s="692">
        <v>0</v>
      </c>
      <c r="AB45" s="692">
        <v>0</v>
      </c>
      <c r="AC45" s="1892">
        <v>0</v>
      </c>
      <c r="AD45" s="692"/>
      <c r="AE45" s="355"/>
      <c r="AF45" s="348"/>
      <c r="AG45" s="323"/>
      <c r="AH45" s="348"/>
      <c r="AI45" s="357"/>
      <c r="AJ45" s="320"/>
    </row>
    <row r="46" spans="1:38" outlineLevel="1">
      <c r="A46" s="362" t="s">
        <v>368</v>
      </c>
      <c r="B46" s="363"/>
      <c r="C46" s="363"/>
      <c r="D46" s="363"/>
      <c r="E46" s="363"/>
      <c r="F46" s="363"/>
      <c r="G46" s="366"/>
      <c r="H46" s="366"/>
      <c r="I46" s="366"/>
      <c r="J46" s="366"/>
      <c r="K46" s="366"/>
      <c r="L46" s="366"/>
      <c r="M46" s="367"/>
      <c r="N46" s="363"/>
      <c r="O46" s="363"/>
      <c r="P46" s="363"/>
      <c r="Q46" s="363"/>
      <c r="R46" s="363"/>
      <c r="S46" s="363"/>
      <c r="T46" s="363">
        <v>0</v>
      </c>
      <c r="U46" s="363">
        <v>27</v>
      </c>
      <c r="V46" s="363">
        <v>7</v>
      </c>
      <c r="W46" s="363">
        <v>5</v>
      </c>
      <c r="X46" s="692">
        <v>16</v>
      </c>
      <c r="Y46" s="692">
        <v>10</v>
      </c>
      <c r="Z46" s="692">
        <v>5</v>
      </c>
      <c r="AA46" s="692">
        <v>5</v>
      </c>
      <c r="AB46" s="692">
        <v>5</v>
      </c>
      <c r="AC46" s="1892">
        <v>5</v>
      </c>
      <c r="AD46" s="692"/>
      <c r="AE46" s="355"/>
      <c r="AF46" s="348"/>
      <c r="AG46" s="323"/>
      <c r="AH46" s="348"/>
      <c r="AI46" s="357"/>
      <c r="AJ46" s="320"/>
    </row>
    <row r="47" spans="1:38" ht="15.75" customHeight="1">
      <c r="A47" s="350" t="s">
        <v>431</v>
      </c>
      <c r="B47" s="364"/>
      <c r="C47" s="364"/>
      <c r="D47" s="364"/>
      <c r="E47" s="364"/>
      <c r="F47" s="364"/>
      <c r="G47" s="368">
        <f t="shared" ref="G47:L47" si="19">G48+G50+G52</f>
        <v>-4</v>
      </c>
      <c r="H47" s="368">
        <f t="shared" si="19"/>
        <v>0</v>
      </c>
      <c r="I47" s="368">
        <f t="shared" si="19"/>
        <v>-3</v>
      </c>
      <c r="J47" s="368">
        <f t="shared" si="19"/>
        <v>-7</v>
      </c>
      <c r="K47" s="368">
        <f t="shared" si="19"/>
        <v>-4</v>
      </c>
      <c r="L47" s="368">
        <f t="shared" si="19"/>
        <v>-10</v>
      </c>
      <c r="M47" s="368">
        <f>M48+M50+M53</f>
        <v>-6</v>
      </c>
      <c r="N47" s="368">
        <f>N48+N50+N53</f>
        <v>-3</v>
      </c>
      <c r="O47" s="368">
        <f>O48+O50+O53</f>
        <v>-1</v>
      </c>
      <c r="P47" s="368">
        <f>P48+P50+P53</f>
        <v>-9</v>
      </c>
      <c r="Q47" s="368">
        <f>Q48+Q50+Q53+Q54+Q55+Q49</f>
        <v>-11</v>
      </c>
      <c r="R47" s="368">
        <f>R48+R50+R53+R54+R55+R51+R49</f>
        <v>-7</v>
      </c>
      <c r="S47" s="368">
        <f>S48+S50+S53+S54+S55+S51+S49+S56+S57+S58</f>
        <v>-5</v>
      </c>
      <c r="T47" s="368">
        <f t="shared" ref="T47:Y47" si="20">T48+T50+T53+T54+T55+T51+T49+T56+T57+T58+T59+T60</f>
        <v>-5</v>
      </c>
      <c r="U47" s="368">
        <f t="shared" si="20"/>
        <v>-19</v>
      </c>
      <c r="V47" s="368">
        <f t="shared" si="20"/>
        <v>-92</v>
      </c>
      <c r="W47" s="368">
        <f t="shared" si="20"/>
        <v>-57</v>
      </c>
      <c r="X47" s="368">
        <f t="shared" si="20"/>
        <v>-21</v>
      </c>
      <c r="Y47" s="368">
        <f t="shared" si="20"/>
        <v>-35</v>
      </c>
      <c r="Z47" s="368">
        <f>Z48+Z50+Z53+Z54+Z55+Z51+Z49+Z56+Z57+Z58+Z59+Z60</f>
        <v>-15</v>
      </c>
      <c r="AA47" s="368">
        <f>AA48+AA50+AA53+AA54+AA55+AA51+AA49+AA56+AA57+AA58+AA59+AA60</f>
        <v>-15</v>
      </c>
      <c r="AB47" s="368">
        <f>AB48+AB50+AB53+AB54+AB55+AB51+AB49+AB56+AB57+AB58+AB59+AB60</f>
        <v>-15</v>
      </c>
      <c r="AC47" s="1064">
        <f>AC48+AC50+AC53+AC54+AC55+AC51+AC49+AC56+AC57+AC58+AC59+AC60</f>
        <v>-15</v>
      </c>
      <c r="AD47" s="368"/>
      <c r="AE47" s="355"/>
      <c r="AF47" s="348"/>
      <c r="AG47" s="323"/>
      <c r="AH47" s="348"/>
      <c r="AI47" s="357"/>
      <c r="AJ47" s="320"/>
      <c r="AK47" s="320"/>
      <c r="AL47" s="320"/>
    </row>
    <row r="48" spans="1:38" ht="15.75" hidden="1" customHeight="1" outlineLevel="1">
      <c r="A48" s="362" t="s">
        <v>288</v>
      </c>
      <c r="B48" s="364"/>
      <c r="C48" s="364"/>
      <c r="D48" s="364"/>
      <c r="E48" s="364"/>
      <c r="F48" s="364"/>
      <c r="G48" s="364">
        <v>-3</v>
      </c>
      <c r="H48" s="364">
        <v>0</v>
      </c>
      <c r="I48" s="364">
        <v>-3</v>
      </c>
      <c r="J48" s="364">
        <v>-2</v>
      </c>
      <c r="K48" s="364">
        <v>-1</v>
      </c>
      <c r="L48" s="364">
        <v>0</v>
      </c>
      <c r="M48" s="364">
        <v>0</v>
      </c>
      <c r="N48" s="364">
        <v>0</v>
      </c>
      <c r="O48" s="364">
        <v>0</v>
      </c>
      <c r="P48" s="364">
        <v>-7</v>
      </c>
      <c r="Q48" s="364">
        <f>-2-6</f>
        <v>-8</v>
      </c>
      <c r="R48" s="364">
        <v>-5</v>
      </c>
      <c r="S48" s="364">
        <v>0</v>
      </c>
      <c r="T48" s="364">
        <v>-3</v>
      </c>
      <c r="U48" s="364">
        <v>-17</v>
      </c>
      <c r="V48" s="364">
        <v>-74</v>
      </c>
      <c r="W48" s="364">
        <v>-30</v>
      </c>
      <c r="X48" s="364">
        <v>-7</v>
      </c>
      <c r="Y48" s="364">
        <v>-16</v>
      </c>
      <c r="Z48" s="364">
        <v>-15</v>
      </c>
      <c r="AA48" s="364">
        <v>-15</v>
      </c>
      <c r="AB48" s="364">
        <v>-15</v>
      </c>
      <c r="AC48" s="365">
        <v>-15</v>
      </c>
      <c r="AD48" s="364"/>
      <c r="AE48" s="355"/>
      <c r="AF48" s="348"/>
      <c r="AG48" s="323"/>
      <c r="AH48" s="348"/>
      <c r="AI48" s="357"/>
      <c r="AJ48" s="320"/>
      <c r="AK48" s="320"/>
      <c r="AL48" s="320"/>
    </row>
    <row r="49" spans="1:38" ht="15.75" hidden="1" customHeight="1" outlineLevel="1">
      <c r="A49" s="362" t="s">
        <v>582</v>
      </c>
      <c r="B49" s="364"/>
      <c r="C49" s="364"/>
      <c r="D49" s="364"/>
      <c r="E49" s="364"/>
      <c r="F49" s="364"/>
      <c r="G49" s="364"/>
      <c r="H49" s="364"/>
      <c r="I49" s="364"/>
      <c r="J49" s="364"/>
      <c r="K49" s="364"/>
      <c r="L49" s="364"/>
      <c r="M49" s="364"/>
      <c r="N49" s="364"/>
      <c r="O49" s="364"/>
      <c r="P49" s="364"/>
      <c r="Q49" s="364">
        <v>0</v>
      </c>
      <c r="R49" s="364">
        <v>0</v>
      </c>
      <c r="S49" s="364">
        <v>0</v>
      </c>
      <c r="T49" s="364">
        <v>0</v>
      </c>
      <c r="U49" s="364">
        <v>-2</v>
      </c>
      <c r="V49" s="364">
        <v>0</v>
      </c>
      <c r="W49" s="364">
        <v>-2</v>
      </c>
      <c r="X49" s="364">
        <v>-1</v>
      </c>
      <c r="Y49" s="364">
        <v>0</v>
      </c>
      <c r="Z49" s="364">
        <v>0</v>
      </c>
      <c r="AA49" s="364">
        <v>0</v>
      </c>
      <c r="AB49" s="364">
        <v>0</v>
      </c>
      <c r="AC49" s="365">
        <v>0</v>
      </c>
      <c r="AD49" s="364"/>
      <c r="AE49" s="355"/>
      <c r="AF49" s="348"/>
      <c r="AG49" s="323"/>
      <c r="AH49" s="348"/>
      <c r="AI49" s="357"/>
      <c r="AJ49" s="320"/>
      <c r="AK49" s="320"/>
      <c r="AL49" s="320"/>
    </row>
    <row r="50" spans="1:38" ht="15.75" hidden="1" customHeight="1" outlineLevel="1">
      <c r="A50" s="362" t="s">
        <v>289</v>
      </c>
      <c r="B50" s="364"/>
      <c r="C50" s="364"/>
      <c r="D50" s="364"/>
      <c r="E50" s="364"/>
      <c r="F50" s="364"/>
      <c r="G50" s="364">
        <v>-1</v>
      </c>
      <c r="H50" s="364">
        <v>0</v>
      </c>
      <c r="I50" s="364">
        <v>0</v>
      </c>
      <c r="J50" s="364">
        <v>-1</v>
      </c>
      <c r="K50" s="364">
        <v>-2</v>
      </c>
      <c r="L50" s="364">
        <v>-1</v>
      </c>
      <c r="M50" s="364">
        <v>-3</v>
      </c>
      <c r="N50" s="364">
        <v>-1</v>
      </c>
      <c r="O50" s="364">
        <v>0</v>
      </c>
      <c r="P50" s="364">
        <v>0</v>
      </c>
      <c r="Q50" s="364">
        <v>0</v>
      </c>
      <c r="R50" s="364">
        <v>0</v>
      </c>
      <c r="S50" s="364">
        <v>0</v>
      </c>
      <c r="T50" s="364">
        <v>0</v>
      </c>
      <c r="U50" s="364">
        <v>0</v>
      </c>
      <c r="V50" s="364">
        <v>-2</v>
      </c>
      <c r="W50" s="364">
        <v>-5</v>
      </c>
      <c r="X50" s="364">
        <v>-6</v>
      </c>
      <c r="Y50" s="364">
        <v>-7</v>
      </c>
      <c r="Z50" s="364">
        <v>0</v>
      </c>
      <c r="AA50" s="364">
        <v>0</v>
      </c>
      <c r="AB50" s="364">
        <v>0</v>
      </c>
      <c r="AC50" s="365">
        <v>0</v>
      </c>
      <c r="AD50" s="364"/>
      <c r="AE50" s="355"/>
      <c r="AF50" s="348"/>
      <c r="AG50" s="323"/>
      <c r="AH50" s="348"/>
      <c r="AI50" s="357"/>
      <c r="AJ50" s="320"/>
      <c r="AK50" s="320"/>
      <c r="AL50" s="320"/>
    </row>
    <row r="51" spans="1:38" ht="15.75" hidden="1" customHeight="1" outlineLevel="1">
      <c r="A51" s="362" t="s">
        <v>418</v>
      </c>
      <c r="B51" s="364"/>
      <c r="C51" s="364"/>
      <c r="D51" s="364"/>
      <c r="E51" s="364"/>
      <c r="F51" s="364"/>
      <c r="G51" s="364"/>
      <c r="H51" s="364"/>
      <c r="I51" s="364"/>
      <c r="J51" s="364"/>
      <c r="K51" s="364"/>
      <c r="L51" s="364"/>
      <c r="M51" s="364"/>
      <c r="N51" s="364"/>
      <c r="O51" s="364"/>
      <c r="P51" s="364"/>
      <c r="Q51" s="364"/>
      <c r="R51" s="364">
        <v>0</v>
      </c>
      <c r="S51" s="364">
        <v>0</v>
      </c>
      <c r="T51" s="364">
        <v>0</v>
      </c>
      <c r="U51" s="364">
        <v>0</v>
      </c>
      <c r="V51" s="364">
        <v>-11</v>
      </c>
      <c r="W51" s="364">
        <v>0</v>
      </c>
      <c r="X51" s="364">
        <v>0</v>
      </c>
      <c r="Y51" s="364">
        <v>0</v>
      </c>
      <c r="Z51" s="364">
        <v>0</v>
      </c>
      <c r="AA51" s="364">
        <v>0</v>
      </c>
      <c r="AB51" s="364">
        <v>0</v>
      </c>
      <c r="AC51" s="365">
        <v>0</v>
      </c>
      <c r="AD51" s="364"/>
      <c r="AE51" s="355"/>
      <c r="AF51" s="348"/>
      <c r="AG51" s="323"/>
      <c r="AH51" s="348"/>
      <c r="AI51" s="357"/>
      <c r="AJ51" s="320"/>
      <c r="AK51" s="320"/>
      <c r="AL51" s="320"/>
    </row>
    <row r="52" spans="1:38" ht="15.75" hidden="1" customHeight="1" outlineLevel="1">
      <c r="A52" s="362" t="s">
        <v>296</v>
      </c>
      <c r="B52" s="364"/>
      <c r="C52" s="364"/>
      <c r="D52" s="364"/>
      <c r="E52" s="364"/>
      <c r="F52" s="364"/>
      <c r="G52" s="364">
        <v>0</v>
      </c>
      <c r="H52" s="364">
        <v>0</v>
      </c>
      <c r="I52" s="364">
        <v>0</v>
      </c>
      <c r="J52" s="364">
        <v>-4</v>
      </c>
      <c r="K52" s="364">
        <v>-1</v>
      </c>
      <c r="L52" s="365">
        <v>-9</v>
      </c>
      <c r="M52" s="364"/>
      <c r="N52" s="364"/>
      <c r="O52" s="364"/>
      <c r="P52" s="364"/>
      <c r="Q52" s="364"/>
      <c r="R52" s="364"/>
      <c r="S52" s="364"/>
      <c r="T52" s="364"/>
      <c r="U52" s="364"/>
      <c r="V52" s="364"/>
      <c r="W52" s="364"/>
      <c r="X52" s="364"/>
      <c r="Y52" s="364"/>
      <c r="Z52" s="364"/>
      <c r="AA52" s="364"/>
      <c r="AB52" s="364"/>
      <c r="AC52" s="365"/>
      <c r="AD52" s="364"/>
      <c r="AE52" s="355"/>
      <c r="AF52" s="348"/>
      <c r="AG52" s="323"/>
      <c r="AH52" s="348"/>
      <c r="AI52" s="357"/>
      <c r="AJ52" s="320"/>
      <c r="AK52" s="320"/>
      <c r="AL52" s="320"/>
    </row>
    <row r="53" spans="1:38" ht="15.75" hidden="1" customHeight="1" outlineLevel="1">
      <c r="A53" s="362" t="s">
        <v>290</v>
      </c>
      <c r="B53" s="364"/>
      <c r="C53" s="364"/>
      <c r="D53" s="364"/>
      <c r="E53" s="364"/>
      <c r="F53" s="364"/>
      <c r="G53" s="364"/>
      <c r="H53" s="364"/>
      <c r="I53" s="364"/>
      <c r="J53" s="364"/>
      <c r="K53" s="364"/>
      <c r="L53" s="364"/>
      <c r="M53" s="365">
        <v>-3</v>
      </c>
      <c r="N53" s="364">
        <v>-2</v>
      </c>
      <c r="O53" s="364">
        <v>-1</v>
      </c>
      <c r="P53" s="364">
        <v>-2</v>
      </c>
      <c r="Q53" s="364">
        <v>-1</v>
      </c>
      <c r="R53" s="364">
        <v>-1</v>
      </c>
      <c r="S53" s="364">
        <v>-5</v>
      </c>
      <c r="T53" s="364">
        <v>-2</v>
      </c>
      <c r="U53" s="364">
        <v>0</v>
      </c>
      <c r="V53" s="364">
        <v>-2</v>
      </c>
      <c r="W53" s="364">
        <v>-4</v>
      </c>
      <c r="X53" s="364">
        <v>-11</v>
      </c>
      <c r="Y53" s="364">
        <v>-12</v>
      </c>
      <c r="Z53" s="364">
        <v>0</v>
      </c>
      <c r="AA53" s="364">
        <v>0</v>
      </c>
      <c r="AB53" s="364">
        <v>0</v>
      </c>
      <c r="AC53" s="365">
        <v>0</v>
      </c>
      <c r="AD53" s="364"/>
      <c r="AE53" s="355"/>
      <c r="AF53" s="348"/>
      <c r="AG53" s="323"/>
      <c r="AH53" s="348"/>
      <c r="AI53" s="357"/>
      <c r="AJ53" s="320"/>
      <c r="AK53" s="320"/>
      <c r="AL53" s="320"/>
    </row>
    <row r="54" spans="1:38" ht="15.75" hidden="1" customHeight="1" outlineLevel="1">
      <c r="A54" s="362" t="s">
        <v>373</v>
      </c>
      <c r="B54" s="364"/>
      <c r="C54" s="364"/>
      <c r="D54" s="364"/>
      <c r="E54" s="364"/>
      <c r="F54" s="364"/>
      <c r="G54" s="364"/>
      <c r="H54" s="364"/>
      <c r="I54" s="364"/>
      <c r="J54" s="364"/>
      <c r="K54" s="364"/>
      <c r="L54" s="364"/>
      <c r="M54" s="365"/>
      <c r="N54" s="364"/>
      <c r="O54" s="364"/>
      <c r="P54" s="364"/>
      <c r="Q54" s="364">
        <v>-2</v>
      </c>
      <c r="R54" s="364">
        <v>-1</v>
      </c>
      <c r="S54" s="364">
        <v>0</v>
      </c>
      <c r="T54" s="364">
        <v>0</v>
      </c>
      <c r="U54" s="364">
        <v>0</v>
      </c>
      <c r="V54" s="364">
        <v>-3</v>
      </c>
      <c r="W54" s="364">
        <v>-10</v>
      </c>
      <c r="X54" s="364">
        <v>0</v>
      </c>
      <c r="Y54" s="364">
        <v>0</v>
      </c>
      <c r="Z54" s="364">
        <v>0</v>
      </c>
      <c r="AA54" s="364">
        <v>0</v>
      </c>
      <c r="AB54" s="364">
        <v>0</v>
      </c>
      <c r="AC54" s="365">
        <v>0</v>
      </c>
      <c r="AD54" s="364"/>
      <c r="AE54" s="355"/>
      <c r="AF54" s="348"/>
      <c r="AG54" s="323"/>
      <c r="AH54" s="348"/>
      <c r="AI54" s="357"/>
      <c r="AJ54" s="320"/>
      <c r="AK54" s="320"/>
      <c r="AL54" s="320"/>
    </row>
    <row r="55" spans="1:38" ht="15.75" hidden="1" customHeight="1" outlineLevel="1">
      <c r="A55" s="362" t="s">
        <v>536</v>
      </c>
      <c r="B55" s="364"/>
      <c r="C55" s="364"/>
      <c r="D55" s="364"/>
      <c r="E55" s="364"/>
      <c r="F55" s="364"/>
      <c r="G55" s="364"/>
      <c r="H55" s="364"/>
      <c r="I55" s="364"/>
      <c r="J55" s="364"/>
      <c r="K55" s="364"/>
      <c r="L55" s="364"/>
      <c r="M55" s="365"/>
      <c r="N55" s="364"/>
      <c r="O55" s="364"/>
      <c r="P55" s="364"/>
      <c r="Q55" s="364">
        <v>0</v>
      </c>
      <c r="R55" s="364">
        <v>0</v>
      </c>
      <c r="S55" s="364">
        <v>0</v>
      </c>
      <c r="T55" s="364">
        <v>0</v>
      </c>
      <c r="U55" s="364">
        <v>0</v>
      </c>
      <c r="V55" s="364">
        <v>0</v>
      </c>
      <c r="W55" s="364">
        <v>0</v>
      </c>
      <c r="X55" s="364">
        <v>0</v>
      </c>
      <c r="Y55" s="364">
        <v>0</v>
      </c>
      <c r="Z55" s="364">
        <v>0</v>
      </c>
      <c r="AA55" s="364">
        <v>0</v>
      </c>
      <c r="AB55" s="364">
        <v>0</v>
      </c>
      <c r="AC55" s="365">
        <v>0</v>
      </c>
      <c r="AD55" s="364"/>
      <c r="AE55" s="355"/>
      <c r="AF55" s="348"/>
      <c r="AG55" s="323"/>
      <c r="AH55" s="348"/>
      <c r="AI55" s="357"/>
      <c r="AJ55" s="320"/>
      <c r="AK55" s="320"/>
      <c r="AL55" s="320"/>
    </row>
    <row r="56" spans="1:38" ht="15.75" hidden="1" customHeight="1" outlineLevel="1">
      <c r="A56" s="362" t="s">
        <v>533</v>
      </c>
      <c r="B56" s="364"/>
      <c r="C56" s="364"/>
      <c r="D56" s="364"/>
      <c r="E56" s="364"/>
      <c r="F56" s="364"/>
      <c r="G56" s="364"/>
      <c r="H56" s="364"/>
      <c r="I56" s="364"/>
      <c r="J56" s="364"/>
      <c r="K56" s="364"/>
      <c r="L56" s="364"/>
      <c r="M56" s="365"/>
      <c r="N56" s="364"/>
      <c r="O56" s="364"/>
      <c r="P56" s="364"/>
      <c r="Q56" s="364"/>
      <c r="R56" s="364"/>
      <c r="S56" s="364">
        <v>0</v>
      </c>
      <c r="T56" s="364">
        <v>0</v>
      </c>
      <c r="U56" s="364">
        <v>0</v>
      </c>
      <c r="V56" s="364">
        <v>0</v>
      </c>
      <c r="W56" s="364">
        <v>-2</v>
      </c>
      <c r="X56" s="364">
        <v>1</v>
      </c>
      <c r="Y56" s="364">
        <v>0</v>
      </c>
      <c r="Z56" s="364">
        <v>0</v>
      </c>
      <c r="AA56" s="364">
        <v>0</v>
      </c>
      <c r="AB56" s="364">
        <v>0</v>
      </c>
      <c r="AC56" s="365">
        <v>0</v>
      </c>
      <c r="AD56" s="364"/>
      <c r="AE56" s="355"/>
      <c r="AF56" s="348"/>
      <c r="AG56" s="323"/>
      <c r="AH56" s="348"/>
      <c r="AI56" s="357"/>
      <c r="AJ56" s="320"/>
      <c r="AK56" s="320"/>
      <c r="AL56" s="320"/>
    </row>
    <row r="57" spans="1:38" ht="15.75" hidden="1" customHeight="1" outlineLevel="1">
      <c r="A57" s="362" t="s">
        <v>350</v>
      </c>
      <c r="B57" s="364"/>
      <c r="C57" s="364"/>
      <c r="D57" s="364"/>
      <c r="E57" s="364"/>
      <c r="F57" s="364"/>
      <c r="G57" s="364"/>
      <c r="H57" s="364"/>
      <c r="I57" s="364"/>
      <c r="J57" s="364"/>
      <c r="K57" s="364"/>
      <c r="L57" s="364"/>
      <c r="M57" s="365"/>
      <c r="N57" s="364"/>
      <c r="O57" s="364"/>
      <c r="P57" s="364"/>
      <c r="Q57" s="364"/>
      <c r="R57" s="364"/>
      <c r="S57" s="364">
        <v>0</v>
      </c>
      <c r="T57" s="364">
        <v>0</v>
      </c>
      <c r="U57" s="364">
        <v>0</v>
      </c>
      <c r="V57" s="364">
        <v>0</v>
      </c>
      <c r="W57" s="364">
        <v>-2</v>
      </c>
      <c r="X57" s="364">
        <v>1</v>
      </c>
      <c r="Y57" s="364">
        <v>0</v>
      </c>
      <c r="Z57" s="364">
        <v>0</v>
      </c>
      <c r="AA57" s="364">
        <v>0</v>
      </c>
      <c r="AB57" s="364">
        <v>0</v>
      </c>
      <c r="AC57" s="365">
        <v>0</v>
      </c>
      <c r="AD57" s="364"/>
      <c r="AE57" s="355"/>
      <c r="AF57" s="348"/>
      <c r="AG57" s="323"/>
      <c r="AH57" s="348"/>
      <c r="AI57" s="357"/>
      <c r="AJ57" s="320"/>
      <c r="AK57" s="320"/>
      <c r="AL57" s="320"/>
    </row>
    <row r="58" spans="1:38" ht="15.75" hidden="1" customHeight="1" outlineLevel="1">
      <c r="A58" s="362" t="s">
        <v>333</v>
      </c>
      <c r="B58" s="364"/>
      <c r="C58" s="364"/>
      <c r="D58" s="364"/>
      <c r="E58" s="364"/>
      <c r="F58" s="364"/>
      <c r="G58" s="364"/>
      <c r="H58" s="364"/>
      <c r="I58" s="364"/>
      <c r="J58" s="364"/>
      <c r="K58" s="364"/>
      <c r="L58" s="364"/>
      <c r="M58" s="365"/>
      <c r="N58" s="364"/>
      <c r="O58" s="364"/>
      <c r="P58" s="364"/>
      <c r="Q58" s="364"/>
      <c r="R58" s="364"/>
      <c r="S58" s="364">
        <v>0</v>
      </c>
      <c r="T58" s="364">
        <v>0</v>
      </c>
      <c r="U58" s="364">
        <v>0</v>
      </c>
      <c r="V58" s="364">
        <v>0</v>
      </c>
      <c r="W58" s="364">
        <v>-2</v>
      </c>
      <c r="X58" s="364">
        <v>1</v>
      </c>
      <c r="Y58" s="364">
        <v>0</v>
      </c>
      <c r="Z58" s="364">
        <v>0</v>
      </c>
      <c r="AA58" s="364">
        <v>0</v>
      </c>
      <c r="AB58" s="364">
        <v>0</v>
      </c>
      <c r="AC58" s="365">
        <v>0</v>
      </c>
      <c r="AD58" s="364"/>
      <c r="AE58" s="355"/>
      <c r="AF58" s="348"/>
      <c r="AG58" s="323"/>
      <c r="AH58" s="348"/>
      <c r="AI58" s="357"/>
      <c r="AJ58" s="320"/>
      <c r="AK58" s="320"/>
      <c r="AL58" s="320"/>
    </row>
    <row r="59" spans="1:38" ht="15.75" hidden="1" customHeight="1" outlineLevel="1">
      <c r="A59" s="362" t="s">
        <v>211</v>
      </c>
      <c r="B59" s="364"/>
      <c r="C59" s="364"/>
      <c r="D59" s="364"/>
      <c r="E59" s="364"/>
      <c r="F59" s="364"/>
      <c r="G59" s="364"/>
      <c r="H59" s="364"/>
      <c r="I59" s="364"/>
      <c r="J59" s="364"/>
      <c r="K59" s="364"/>
      <c r="L59" s="364"/>
      <c r="M59" s="365"/>
      <c r="N59" s="364"/>
      <c r="O59" s="364"/>
      <c r="P59" s="364"/>
      <c r="Q59" s="364"/>
      <c r="R59" s="364"/>
      <c r="S59" s="364">
        <v>0</v>
      </c>
      <c r="T59" s="364">
        <v>0</v>
      </c>
      <c r="U59" s="364">
        <v>0</v>
      </c>
      <c r="V59" s="364">
        <v>0</v>
      </c>
      <c r="W59" s="364">
        <v>0</v>
      </c>
      <c r="X59" s="364">
        <v>1</v>
      </c>
      <c r="Y59" s="364">
        <v>0</v>
      </c>
      <c r="Z59" s="364">
        <v>0</v>
      </c>
      <c r="AA59" s="364">
        <v>0</v>
      </c>
      <c r="AB59" s="364">
        <v>0</v>
      </c>
      <c r="AC59" s="365">
        <v>0</v>
      </c>
      <c r="AD59" s="364"/>
      <c r="AE59" s="355"/>
      <c r="AF59" s="348"/>
      <c r="AG59" s="323"/>
      <c r="AH59" s="348"/>
      <c r="AI59" s="357"/>
      <c r="AJ59" s="320"/>
      <c r="AK59" s="320"/>
      <c r="AL59" s="320"/>
    </row>
    <row r="60" spans="1:38" ht="15.75" hidden="1" customHeight="1" outlineLevel="1">
      <c r="A60" s="362" t="s">
        <v>368</v>
      </c>
      <c r="B60" s="364"/>
      <c r="C60" s="364"/>
      <c r="D60" s="364"/>
      <c r="E60" s="364"/>
      <c r="F60" s="364"/>
      <c r="G60" s="364"/>
      <c r="H60" s="364"/>
      <c r="I60" s="364"/>
      <c r="J60" s="364"/>
      <c r="K60" s="364"/>
      <c r="L60" s="364"/>
      <c r="M60" s="365"/>
      <c r="N60" s="364"/>
      <c r="O60" s="364"/>
      <c r="P60" s="364"/>
      <c r="Q60" s="364"/>
      <c r="R60" s="364"/>
      <c r="S60" s="364">
        <v>0</v>
      </c>
      <c r="T60" s="364">
        <v>0</v>
      </c>
      <c r="U60" s="364">
        <v>0</v>
      </c>
      <c r="V60" s="364">
        <v>0</v>
      </c>
      <c r="W60" s="364">
        <v>0</v>
      </c>
      <c r="X60" s="364">
        <v>0</v>
      </c>
      <c r="Y60" s="364">
        <v>0</v>
      </c>
      <c r="Z60" s="364">
        <v>0</v>
      </c>
      <c r="AA60" s="364">
        <v>0</v>
      </c>
      <c r="AB60" s="364">
        <v>0</v>
      </c>
      <c r="AC60" s="365">
        <v>0</v>
      </c>
      <c r="AD60" s="364"/>
      <c r="AE60" s="355"/>
      <c r="AF60" s="348"/>
      <c r="AG60" s="323"/>
      <c r="AH60" s="348"/>
      <c r="AI60" s="357"/>
      <c r="AJ60" s="320"/>
      <c r="AK60" s="320"/>
      <c r="AL60" s="320"/>
    </row>
    <row r="61" spans="1:38" ht="18" customHeight="1" collapsed="1">
      <c r="A61" s="350" t="s">
        <v>432</v>
      </c>
      <c r="B61" s="331">
        <f>B32+B33+B47</f>
        <v>0</v>
      </c>
      <c r="C61" s="331">
        <f>C32+C33+C47</f>
        <v>0</v>
      </c>
      <c r="D61" s="331">
        <f>D32+D33+D47</f>
        <v>0</v>
      </c>
      <c r="E61" s="331">
        <f>E32+E33+E47</f>
        <v>0</v>
      </c>
      <c r="F61" s="363">
        <v>233</v>
      </c>
      <c r="G61" s="331">
        <f t="shared" ref="G61:Q61" si="21">G32+G33+G47</f>
        <v>239</v>
      </c>
      <c r="H61" s="331">
        <f t="shared" si="21"/>
        <v>265</v>
      </c>
      <c r="I61" s="331">
        <f t="shared" si="21"/>
        <v>295</v>
      </c>
      <c r="J61" s="331">
        <f t="shared" si="21"/>
        <v>325</v>
      </c>
      <c r="K61" s="369">
        <f t="shared" si="21"/>
        <v>350</v>
      </c>
      <c r="L61" s="331">
        <f t="shared" si="21"/>
        <v>378</v>
      </c>
      <c r="M61" s="331">
        <f>M32+M33+M47</f>
        <v>422</v>
      </c>
      <c r="N61" s="369">
        <f t="shared" si="21"/>
        <v>489</v>
      </c>
      <c r="O61" s="331">
        <f t="shared" si="21"/>
        <v>548</v>
      </c>
      <c r="P61" s="331">
        <f t="shared" si="21"/>
        <v>624</v>
      </c>
      <c r="Q61" s="331">
        <f t="shared" si="21"/>
        <v>665</v>
      </c>
      <c r="R61" s="331">
        <f t="shared" ref="R61:W61" si="22">R32+R33+R47</f>
        <v>723</v>
      </c>
      <c r="S61" s="331">
        <f>S32+S33+S47</f>
        <v>832</v>
      </c>
      <c r="T61" s="331">
        <f t="shared" si="22"/>
        <v>953</v>
      </c>
      <c r="U61" s="331">
        <f>SUM(U62:U65,U67:U74)</f>
        <v>1014</v>
      </c>
      <c r="V61" s="331">
        <f>SUM(V62:V65,V67:V74)</f>
        <v>965</v>
      </c>
      <c r="W61" s="331">
        <f t="shared" si="22"/>
        <v>955</v>
      </c>
      <c r="X61" s="331">
        <f t="shared" ref="X61:AC61" si="23">X32+X33+X47</f>
        <v>964</v>
      </c>
      <c r="Y61" s="331">
        <f t="shared" si="23"/>
        <v>969</v>
      </c>
      <c r="Z61" s="331">
        <f t="shared" si="23"/>
        <v>961</v>
      </c>
      <c r="AA61" s="331">
        <f t="shared" si="23"/>
        <v>953</v>
      </c>
      <c r="AB61" s="331">
        <f t="shared" si="23"/>
        <v>945</v>
      </c>
      <c r="AC61" s="369">
        <f t="shared" si="23"/>
        <v>937</v>
      </c>
      <c r="AD61" s="331"/>
      <c r="AE61" s="355"/>
      <c r="AF61" s="348">
        <f>((V61/Q61)^(1/5)-1)*100</f>
        <v>7.7311097559974673</v>
      </c>
      <c r="AG61" s="326" t="s">
        <v>428</v>
      </c>
      <c r="AH61" s="348">
        <f>((AA61/V61)^(1/5)-1)*100</f>
        <v>-0.24995105454210798</v>
      </c>
      <c r="AI61" s="349" t="s">
        <v>428</v>
      </c>
      <c r="AJ61" s="320"/>
      <c r="AK61" s="320"/>
      <c r="AL61" s="320"/>
    </row>
    <row r="62" spans="1:38">
      <c r="A62" s="362" t="s">
        <v>288</v>
      </c>
      <c r="B62" s="363"/>
      <c r="C62" s="331">
        <f>+B62+C34+C47</f>
        <v>0</v>
      </c>
      <c r="D62" s="363"/>
      <c r="E62" s="363">
        <v>100</v>
      </c>
      <c r="F62" s="363">
        <v>101</v>
      </c>
      <c r="G62" s="331">
        <f>+F62+G34+G48</f>
        <v>106</v>
      </c>
      <c r="H62" s="331">
        <f>+G62+H34+H47</f>
        <v>121</v>
      </c>
      <c r="I62" s="331">
        <f>+H62+I34+I47</f>
        <v>138</v>
      </c>
      <c r="J62" s="331">
        <f t="shared" ref="J62:T62" si="24">+I62+J34+J48</f>
        <v>156</v>
      </c>
      <c r="K62" s="331">
        <f t="shared" si="24"/>
        <v>174</v>
      </c>
      <c r="L62" s="331">
        <f t="shared" si="24"/>
        <v>193</v>
      </c>
      <c r="M62" s="331">
        <f t="shared" si="24"/>
        <v>218</v>
      </c>
      <c r="N62" s="331">
        <f t="shared" si="24"/>
        <v>259</v>
      </c>
      <c r="O62" s="331">
        <f t="shared" si="24"/>
        <v>297</v>
      </c>
      <c r="P62" s="331">
        <f t="shared" si="24"/>
        <v>330</v>
      </c>
      <c r="Q62" s="331">
        <f t="shared" si="24"/>
        <v>341</v>
      </c>
      <c r="R62" s="331">
        <f t="shared" si="24"/>
        <v>343</v>
      </c>
      <c r="S62" s="331">
        <f t="shared" si="24"/>
        <v>349</v>
      </c>
      <c r="T62" s="331">
        <f t="shared" si="24"/>
        <v>346</v>
      </c>
      <c r="U62" s="331">
        <f>+T62+U34+U48</f>
        <v>329</v>
      </c>
      <c r="V62" s="331">
        <f>+U62+V34+V48</f>
        <v>255</v>
      </c>
      <c r="W62" s="331">
        <f>+V62+W34+W48</f>
        <v>228</v>
      </c>
      <c r="X62" s="331">
        <f>+W62+X34+X48</f>
        <v>221</v>
      </c>
      <c r="Y62" s="331">
        <f t="shared" ref="W62:AC63" si="25">+X62+Y34+Y48</f>
        <v>225</v>
      </c>
      <c r="Z62" s="331">
        <f>+Y62+Z34+Z48</f>
        <v>210</v>
      </c>
      <c r="AA62" s="331">
        <f t="shared" si="25"/>
        <v>195</v>
      </c>
      <c r="AB62" s="331">
        <f t="shared" si="25"/>
        <v>180</v>
      </c>
      <c r="AC62" s="369">
        <f t="shared" si="25"/>
        <v>165</v>
      </c>
      <c r="AD62" s="331"/>
      <c r="AE62" s="355"/>
      <c r="AF62" s="348"/>
      <c r="AG62" s="326"/>
      <c r="AH62" s="348"/>
      <c r="AI62" s="349"/>
      <c r="AJ62" s="1557">
        <f>U62+U63</f>
        <v>332</v>
      </c>
      <c r="AK62" s="320">
        <f>V62+V63</f>
        <v>258</v>
      </c>
      <c r="AL62" s="320"/>
    </row>
    <row r="63" spans="1:38">
      <c r="A63" s="362" t="s">
        <v>582</v>
      </c>
      <c r="B63" s="363"/>
      <c r="C63" s="331"/>
      <c r="D63" s="363"/>
      <c r="E63" s="363"/>
      <c r="F63" s="363"/>
      <c r="G63" s="331"/>
      <c r="H63" s="331"/>
      <c r="I63" s="331"/>
      <c r="J63" s="331"/>
      <c r="K63" s="331"/>
      <c r="L63" s="331"/>
      <c r="M63" s="331"/>
      <c r="N63" s="331"/>
      <c r="O63" s="331"/>
      <c r="P63" s="331">
        <v>0</v>
      </c>
      <c r="Q63" s="331">
        <f t="shared" ref="Q63:V63" si="26">+P63+Q35+Q49</f>
        <v>1</v>
      </c>
      <c r="R63" s="331">
        <f t="shared" si="26"/>
        <v>2</v>
      </c>
      <c r="S63" s="331">
        <f t="shared" si="26"/>
        <v>5</v>
      </c>
      <c r="T63" s="331">
        <f t="shared" si="26"/>
        <v>5</v>
      </c>
      <c r="U63" s="331">
        <f t="shared" si="26"/>
        <v>3</v>
      </c>
      <c r="V63" s="331">
        <f t="shared" si="26"/>
        <v>3</v>
      </c>
      <c r="W63" s="331">
        <f t="shared" si="25"/>
        <v>1</v>
      </c>
      <c r="X63" s="331">
        <f>+W63+X35+X49</f>
        <v>0</v>
      </c>
      <c r="Y63" s="331">
        <f t="shared" si="25"/>
        <v>0</v>
      </c>
      <c r="Z63" s="331">
        <f>+Y63+Z35+Z49</f>
        <v>0</v>
      </c>
      <c r="AA63" s="331">
        <f t="shared" si="25"/>
        <v>0</v>
      </c>
      <c r="AB63" s="331">
        <f t="shared" si="25"/>
        <v>0</v>
      </c>
      <c r="AC63" s="369">
        <f t="shared" si="25"/>
        <v>0</v>
      </c>
      <c r="AD63" s="331"/>
      <c r="AE63" s="355"/>
      <c r="AF63" s="348"/>
      <c r="AG63" s="326"/>
      <c r="AH63" s="348"/>
      <c r="AI63" s="349"/>
      <c r="AJ63" s="2"/>
      <c r="AK63" s="320"/>
      <c r="AL63" s="320"/>
    </row>
    <row r="64" spans="1:38">
      <c r="A64" s="362" t="s">
        <v>289</v>
      </c>
      <c r="B64" s="363"/>
      <c r="C64" s="331">
        <f>B64+C36</f>
        <v>0</v>
      </c>
      <c r="D64" s="363"/>
      <c r="E64" s="363">
        <v>62</v>
      </c>
      <c r="F64" s="363">
        <v>62</v>
      </c>
      <c r="G64" s="331">
        <f>F64+G36+G50</f>
        <v>63</v>
      </c>
      <c r="H64" s="331">
        <f>G64+H36</f>
        <v>68</v>
      </c>
      <c r="I64" s="331">
        <f>H64+I36</f>
        <v>74</v>
      </c>
      <c r="J64" s="331">
        <f>+I64+J36+J50</f>
        <v>76</v>
      </c>
      <c r="K64" s="331">
        <f t="shared" ref="K64:Q64" si="27">J64+K36+K50</f>
        <v>76</v>
      </c>
      <c r="L64" s="331">
        <f t="shared" si="27"/>
        <v>82</v>
      </c>
      <c r="M64" s="331">
        <f t="shared" si="27"/>
        <v>86</v>
      </c>
      <c r="N64" s="331">
        <f t="shared" si="27"/>
        <v>93</v>
      </c>
      <c r="O64" s="331">
        <f t="shared" si="27"/>
        <v>102</v>
      </c>
      <c r="P64" s="331">
        <f t="shared" si="27"/>
        <v>111</v>
      </c>
      <c r="Q64" s="331">
        <f t="shared" si="27"/>
        <v>121</v>
      </c>
      <c r="R64" s="331">
        <f t="shared" ref="R64:W65" si="28">Q64+R36+R50</f>
        <v>129</v>
      </c>
      <c r="S64" s="331">
        <f t="shared" si="28"/>
        <v>139</v>
      </c>
      <c r="T64" s="331">
        <f t="shared" si="28"/>
        <v>153</v>
      </c>
      <c r="U64" s="331">
        <f>T64+U36+U50</f>
        <v>166</v>
      </c>
      <c r="V64" s="331">
        <f t="shared" si="28"/>
        <v>174</v>
      </c>
      <c r="W64" s="331">
        <f t="shared" si="28"/>
        <v>171</v>
      </c>
      <c r="X64" s="331">
        <f>W64+X36+X50</f>
        <v>165</v>
      </c>
      <c r="Y64" s="331">
        <f t="shared" ref="Y64:AC65" si="29">X64+Y36+Y50</f>
        <v>158</v>
      </c>
      <c r="Z64" s="331">
        <f>Y64+Z36+Z50</f>
        <v>158</v>
      </c>
      <c r="AA64" s="331">
        <f t="shared" si="29"/>
        <v>158</v>
      </c>
      <c r="AB64" s="331">
        <f t="shared" si="29"/>
        <v>158</v>
      </c>
      <c r="AC64" s="369">
        <f t="shared" si="29"/>
        <v>158</v>
      </c>
      <c r="AD64" s="331"/>
      <c r="AE64" s="355"/>
      <c r="AF64" s="348"/>
      <c r="AG64" s="326"/>
      <c r="AH64" s="348"/>
      <c r="AI64" s="349"/>
      <c r="AJ64" s="359">
        <f>U64+U65</f>
        <v>207</v>
      </c>
      <c r="AK64" s="320">
        <f>V64+V65</f>
        <v>204</v>
      </c>
      <c r="AL64" s="320"/>
    </row>
    <row r="65" spans="1:38">
      <c r="A65" s="362" t="s">
        <v>728</v>
      </c>
      <c r="B65" s="363"/>
      <c r="C65" s="331"/>
      <c r="D65" s="363"/>
      <c r="E65" s="363"/>
      <c r="F65" s="363"/>
      <c r="G65" s="331"/>
      <c r="H65" s="331"/>
      <c r="I65" s="331"/>
      <c r="J65" s="331"/>
      <c r="K65" s="331"/>
      <c r="L65" s="331"/>
      <c r="M65" s="331"/>
      <c r="N65" s="331"/>
      <c r="O65" s="331"/>
      <c r="P65" s="331"/>
      <c r="Q65" s="363">
        <v>0</v>
      </c>
      <c r="R65" s="331">
        <f t="shared" si="28"/>
        <v>14</v>
      </c>
      <c r="S65" s="331">
        <f t="shared" si="28"/>
        <v>30</v>
      </c>
      <c r="T65" s="331">
        <f t="shared" si="28"/>
        <v>40</v>
      </c>
      <c r="U65" s="331">
        <f t="shared" si="28"/>
        <v>41</v>
      </c>
      <c r="V65" s="331">
        <f>U65+V37+V51</f>
        <v>30</v>
      </c>
      <c r="W65" s="369">
        <f t="shared" si="28"/>
        <v>33</v>
      </c>
      <c r="X65" s="331">
        <f>W65+X37+X51</f>
        <v>33</v>
      </c>
      <c r="Y65" s="331">
        <f t="shared" si="29"/>
        <v>33</v>
      </c>
      <c r="Z65" s="331">
        <f>Y65+Z37+Z51</f>
        <v>33</v>
      </c>
      <c r="AA65" s="331">
        <f t="shared" si="29"/>
        <v>33</v>
      </c>
      <c r="AB65" s="331">
        <f t="shared" si="29"/>
        <v>33</v>
      </c>
      <c r="AC65" s="369">
        <f t="shared" si="29"/>
        <v>33</v>
      </c>
      <c r="AD65" s="331"/>
      <c r="AE65" s="355"/>
      <c r="AF65" s="348"/>
      <c r="AG65" s="326"/>
      <c r="AH65" s="348"/>
      <c r="AI65" s="349"/>
      <c r="AJ65" s="2"/>
      <c r="AK65" s="320"/>
      <c r="AL65" s="320"/>
    </row>
    <row r="66" spans="1:38">
      <c r="A66" s="362" t="s">
        <v>296</v>
      </c>
      <c r="B66" s="363"/>
      <c r="C66" s="331">
        <f>B66+C38+C52</f>
        <v>0</v>
      </c>
      <c r="D66" s="363"/>
      <c r="E66" s="331">
        <f>D66+E38+E52</f>
        <v>0</v>
      </c>
      <c r="F66" s="331">
        <f>E66+F38+F52</f>
        <v>0</v>
      </c>
      <c r="G66" s="363">
        <v>70</v>
      </c>
      <c r="H66" s="331">
        <f>G66+H38+H52</f>
        <v>76</v>
      </c>
      <c r="I66" s="331">
        <f>H66+I38+I52</f>
        <v>83</v>
      </c>
      <c r="J66" s="331">
        <f>I66+J38+J52</f>
        <v>93</v>
      </c>
      <c r="K66" s="331">
        <f>J66+K38+K52</f>
        <v>100</v>
      </c>
      <c r="L66" s="331">
        <f>K66+L38+L52</f>
        <v>103</v>
      </c>
      <c r="S66" s="1360"/>
      <c r="T66" s="1360"/>
      <c r="U66" s="1360"/>
      <c r="V66" s="1360"/>
      <c r="W66" s="1663"/>
      <c r="X66" s="1360"/>
      <c r="AE66" s="355"/>
      <c r="AF66" s="348"/>
      <c r="AG66" s="326"/>
      <c r="AH66" s="348"/>
      <c r="AI66" s="349"/>
      <c r="AJ66" s="359">
        <f>AJ62/AJ64</f>
        <v>1.6038647342995169</v>
      </c>
      <c r="AK66" s="359">
        <f>AK62/AK64</f>
        <v>1.2647058823529411</v>
      </c>
      <c r="AL66" s="320"/>
    </row>
    <row r="67" spans="1:38">
      <c r="A67" s="362" t="s">
        <v>290</v>
      </c>
      <c r="B67" s="331"/>
      <c r="C67" s="331"/>
      <c r="D67" s="331"/>
      <c r="E67" s="331"/>
      <c r="F67" s="331"/>
      <c r="G67" s="331"/>
      <c r="H67" s="331"/>
      <c r="I67" s="331"/>
      <c r="J67" s="331"/>
      <c r="K67" s="331"/>
      <c r="L67" s="331"/>
      <c r="M67" s="369">
        <f>L66+M39+M53</f>
        <v>118</v>
      </c>
      <c r="N67" s="369">
        <f t="shared" ref="N67:W67" si="30">M67+N39+N53</f>
        <v>137</v>
      </c>
      <c r="O67" s="369">
        <f t="shared" si="30"/>
        <v>149</v>
      </c>
      <c r="P67" s="331">
        <f t="shared" si="30"/>
        <v>155</v>
      </c>
      <c r="Q67" s="331">
        <f t="shared" si="30"/>
        <v>161</v>
      </c>
      <c r="R67" s="331">
        <f t="shared" si="30"/>
        <v>169</v>
      </c>
      <c r="S67" s="331">
        <f t="shared" si="30"/>
        <v>180</v>
      </c>
      <c r="T67" s="331">
        <f t="shared" si="30"/>
        <v>191</v>
      </c>
      <c r="U67" s="331">
        <f>T67+U39+U53</f>
        <v>198</v>
      </c>
      <c r="V67" s="331">
        <f>U67+V39+V53</f>
        <v>196</v>
      </c>
      <c r="W67" s="369">
        <f t="shared" si="30"/>
        <v>195</v>
      </c>
      <c r="X67" s="331">
        <f t="shared" ref="X67:X74" si="31">W67+X39+X53</f>
        <v>184</v>
      </c>
      <c r="Y67" s="331">
        <f t="shared" ref="Y67:AC72" si="32">X67+Y39+Y53</f>
        <v>172</v>
      </c>
      <c r="Z67" s="331">
        <f t="shared" ref="Z67:Z72" si="33">Y67+Z39+Z53</f>
        <v>172</v>
      </c>
      <c r="AA67" s="331">
        <f t="shared" si="32"/>
        <v>172</v>
      </c>
      <c r="AB67" s="331">
        <f t="shared" si="32"/>
        <v>172</v>
      </c>
      <c r="AC67" s="369">
        <f t="shared" si="32"/>
        <v>172</v>
      </c>
      <c r="AD67" s="331"/>
      <c r="AE67" s="355"/>
      <c r="AF67" s="348"/>
      <c r="AG67" s="326"/>
      <c r="AH67" s="348"/>
      <c r="AI67" s="349"/>
      <c r="AJ67" s="359"/>
      <c r="AK67" s="320"/>
      <c r="AL67" s="320"/>
    </row>
    <row r="68" spans="1:38">
      <c r="A68" s="362" t="s">
        <v>325</v>
      </c>
      <c r="B68" s="331"/>
      <c r="C68" s="331"/>
      <c r="D68" s="331"/>
      <c r="E68" s="331"/>
      <c r="F68" s="331"/>
      <c r="G68" s="331"/>
      <c r="H68" s="331"/>
      <c r="I68" s="331"/>
      <c r="J68" s="331"/>
      <c r="K68" s="331"/>
      <c r="L68" s="331"/>
      <c r="M68" s="369"/>
      <c r="N68" s="370">
        <v>16</v>
      </c>
      <c r="O68" s="370">
        <v>24</v>
      </c>
      <c r="P68" s="331">
        <f>P40</f>
        <v>28</v>
      </c>
      <c r="Q68" s="331">
        <f t="shared" ref="Q68:W68" si="34">P68+Q40+Q54</f>
        <v>41</v>
      </c>
      <c r="R68" s="331">
        <f t="shared" si="34"/>
        <v>59</v>
      </c>
      <c r="S68" s="331">
        <f t="shared" si="34"/>
        <v>85</v>
      </c>
      <c r="T68" s="331">
        <f t="shared" si="34"/>
        <v>110</v>
      </c>
      <c r="U68" s="331">
        <f t="shared" si="34"/>
        <v>134</v>
      </c>
      <c r="V68" s="331">
        <f t="shared" si="34"/>
        <v>149</v>
      </c>
      <c r="W68" s="369">
        <f t="shared" si="34"/>
        <v>160</v>
      </c>
      <c r="X68" s="369">
        <f t="shared" si="31"/>
        <v>171</v>
      </c>
      <c r="Y68" s="719">
        <f t="shared" si="32"/>
        <v>181</v>
      </c>
      <c r="Z68" s="719">
        <f t="shared" si="33"/>
        <v>183</v>
      </c>
      <c r="AA68" s="719">
        <f t="shared" si="32"/>
        <v>185</v>
      </c>
      <c r="AB68" s="719">
        <f t="shared" si="32"/>
        <v>187</v>
      </c>
      <c r="AC68" s="1893">
        <f t="shared" si="32"/>
        <v>189</v>
      </c>
      <c r="AD68" s="331"/>
      <c r="AE68" s="355"/>
      <c r="AF68" s="348"/>
      <c r="AG68" s="326"/>
      <c r="AH68" s="348"/>
      <c r="AI68" s="349"/>
      <c r="AJ68" s="2"/>
      <c r="AK68" s="320"/>
      <c r="AL68" s="320"/>
    </row>
    <row r="69" spans="1:38">
      <c r="A69" s="362" t="s">
        <v>537</v>
      </c>
      <c r="B69" s="331"/>
      <c r="C69" s="331"/>
      <c r="D69" s="331"/>
      <c r="E69" s="331"/>
      <c r="F69" s="331"/>
      <c r="G69" s="331"/>
      <c r="H69" s="331"/>
      <c r="I69" s="331"/>
      <c r="J69" s="331"/>
      <c r="K69" s="331"/>
      <c r="L69" s="331"/>
      <c r="M69" s="369"/>
      <c r="N69" s="369"/>
      <c r="O69" s="369"/>
      <c r="P69" s="369"/>
      <c r="Q69" s="331">
        <f>Q41+Q55</f>
        <v>0</v>
      </c>
      <c r="R69" s="331">
        <f t="shared" ref="R69:W69" si="35">Q69+R41+R55</f>
        <v>7</v>
      </c>
      <c r="S69" s="331">
        <f t="shared" si="35"/>
        <v>11</v>
      </c>
      <c r="T69" s="331">
        <f t="shared" si="35"/>
        <v>16</v>
      </c>
      <c r="U69" s="331">
        <f t="shared" si="35"/>
        <v>19</v>
      </c>
      <c r="V69" s="331">
        <f t="shared" si="35"/>
        <v>22</v>
      </c>
      <c r="W69" s="369">
        <f t="shared" si="35"/>
        <v>25</v>
      </c>
      <c r="X69" s="1893">
        <f t="shared" si="31"/>
        <v>28</v>
      </c>
      <c r="Y69" s="719">
        <f t="shared" si="32"/>
        <v>28</v>
      </c>
      <c r="Z69" s="719">
        <f t="shared" si="33"/>
        <v>28</v>
      </c>
      <c r="AA69" s="719">
        <f t="shared" si="32"/>
        <v>28</v>
      </c>
      <c r="AB69" s="719">
        <f t="shared" si="32"/>
        <v>28</v>
      </c>
      <c r="AC69" s="1893">
        <f t="shared" si="32"/>
        <v>28</v>
      </c>
      <c r="AD69" s="331"/>
      <c r="AE69" s="355"/>
      <c r="AF69" s="720"/>
      <c r="AG69" s="326"/>
      <c r="AH69" s="348"/>
      <c r="AI69" s="349"/>
      <c r="AJ69" s="2"/>
      <c r="AK69" s="320"/>
      <c r="AL69" s="320"/>
    </row>
    <row r="70" spans="1:38">
      <c r="A70" s="362" t="s">
        <v>533</v>
      </c>
      <c r="B70" s="331"/>
      <c r="C70" s="331"/>
      <c r="D70" s="331"/>
      <c r="E70" s="331"/>
      <c r="F70" s="331"/>
      <c r="G70" s="331"/>
      <c r="H70" s="331"/>
      <c r="I70" s="331"/>
      <c r="J70" s="331"/>
      <c r="K70" s="331"/>
      <c r="L70" s="331"/>
      <c r="M70" s="371"/>
      <c r="N70" s="371"/>
      <c r="O70" s="331"/>
      <c r="P70" s="331"/>
      <c r="Q70" s="372"/>
      <c r="R70" s="331">
        <v>0</v>
      </c>
      <c r="S70" s="331">
        <f t="shared" ref="S70:W71" si="36">R70+S42+S56</f>
        <v>7</v>
      </c>
      <c r="T70" s="331">
        <f t="shared" si="36"/>
        <v>7</v>
      </c>
      <c r="U70" s="331">
        <f t="shared" si="36"/>
        <v>9</v>
      </c>
      <c r="V70" s="331">
        <f t="shared" si="36"/>
        <v>11</v>
      </c>
      <c r="W70" s="369">
        <f t="shared" si="36"/>
        <v>11</v>
      </c>
      <c r="X70" s="1893">
        <f t="shared" si="31"/>
        <v>12</v>
      </c>
      <c r="Y70" s="719">
        <f t="shared" si="32"/>
        <v>12</v>
      </c>
      <c r="Z70" s="719">
        <f t="shared" si="33"/>
        <v>12</v>
      </c>
      <c r="AA70" s="719">
        <f t="shared" si="32"/>
        <v>12</v>
      </c>
      <c r="AB70" s="719">
        <f t="shared" si="32"/>
        <v>12</v>
      </c>
      <c r="AC70" s="1893">
        <f t="shared" si="32"/>
        <v>12</v>
      </c>
      <c r="AD70" s="331"/>
      <c r="AE70" s="355"/>
      <c r="AF70" s="348"/>
      <c r="AG70" s="326"/>
      <c r="AH70" s="348"/>
      <c r="AI70" s="349"/>
      <c r="AJ70" s="2"/>
      <c r="AK70" s="320"/>
      <c r="AL70" s="320"/>
    </row>
    <row r="71" spans="1:38">
      <c r="A71" s="362" t="s">
        <v>350</v>
      </c>
      <c r="B71" s="331"/>
      <c r="C71" s="331"/>
      <c r="D71" s="331"/>
      <c r="E71" s="331"/>
      <c r="F71" s="331"/>
      <c r="G71" s="331"/>
      <c r="H71" s="331"/>
      <c r="I71" s="331"/>
      <c r="J71" s="331"/>
      <c r="K71" s="331"/>
      <c r="L71" s="331"/>
      <c r="M71" s="371"/>
      <c r="N71" s="371"/>
      <c r="O71" s="331"/>
      <c r="P71" s="331"/>
      <c r="Q71" s="372"/>
      <c r="R71" s="331">
        <v>0</v>
      </c>
      <c r="S71" s="331">
        <f t="shared" si="36"/>
        <v>26</v>
      </c>
      <c r="T71" s="331">
        <f t="shared" si="36"/>
        <v>27</v>
      </c>
      <c r="U71" s="331">
        <f t="shared" si="36"/>
        <v>27</v>
      </c>
      <c r="V71" s="331">
        <f t="shared" si="36"/>
        <v>29</v>
      </c>
      <c r="W71" s="369">
        <f t="shared" si="36"/>
        <v>29</v>
      </c>
      <c r="X71" s="719">
        <f t="shared" si="31"/>
        <v>30</v>
      </c>
      <c r="Y71" s="719">
        <f t="shared" si="32"/>
        <v>30</v>
      </c>
      <c r="Z71" s="719">
        <f t="shared" si="33"/>
        <v>30</v>
      </c>
      <c r="AA71" s="719">
        <f t="shared" si="32"/>
        <v>30</v>
      </c>
      <c r="AB71" s="719">
        <f t="shared" si="32"/>
        <v>30</v>
      </c>
      <c r="AC71" s="1893">
        <f t="shared" si="32"/>
        <v>30</v>
      </c>
      <c r="AD71" s="331"/>
      <c r="AE71" s="355"/>
      <c r="AF71" s="348"/>
      <c r="AG71" s="326"/>
      <c r="AH71" s="348"/>
      <c r="AI71" s="349"/>
      <c r="AJ71" s="2"/>
      <c r="AK71" s="320"/>
      <c r="AL71" s="320"/>
    </row>
    <row r="72" spans="1:38">
      <c r="A72" s="362" t="s">
        <v>333</v>
      </c>
      <c r="B72" s="331"/>
      <c r="C72" s="331"/>
      <c r="D72" s="331"/>
      <c r="E72" s="331"/>
      <c r="F72" s="331"/>
      <c r="G72" s="331"/>
      <c r="H72" s="331"/>
      <c r="I72" s="331"/>
      <c r="J72" s="331"/>
      <c r="K72" s="331"/>
      <c r="L72" s="331"/>
      <c r="M72" s="371"/>
      <c r="N72" s="371"/>
      <c r="O72" s="331"/>
      <c r="P72" s="331"/>
      <c r="Q72" s="372"/>
      <c r="R72" s="331"/>
      <c r="S72" s="331"/>
      <c r="T72" s="331">
        <f>S72+T44+T58</f>
        <v>10</v>
      </c>
      <c r="U72" s="331">
        <f>T72+U44+U58</f>
        <v>13</v>
      </c>
      <c r="V72" s="331">
        <f>U72+V44+V58</f>
        <v>14</v>
      </c>
      <c r="W72" s="369">
        <f>V72+W44+W58</f>
        <v>14</v>
      </c>
      <c r="X72" s="719">
        <f t="shared" si="31"/>
        <v>15</v>
      </c>
      <c r="Y72" s="719">
        <f t="shared" si="32"/>
        <v>15</v>
      </c>
      <c r="Z72" s="719">
        <f t="shared" si="33"/>
        <v>15</v>
      </c>
      <c r="AA72" s="719">
        <f t="shared" si="32"/>
        <v>15</v>
      </c>
      <c r="AB72" s="719">
        <f t="shared" si="32"/>
        <v>15</v>
      </c>
      <c r="AC72" s="1893">
        <f t="shared" si="32"/>
        <v>15</v>
      </c>
      <c r="AD72" s="719"/>
      <c r="AE72" s="1368"/>
      <c r="AF72" s="348"/>
      <c r="AG72" s="326"/>
      <c r="AH72" s="534"/>
      <c r="AI72" s="357"/>
      <c r="AJ72" s="320"/>
    </row>
    <row r="73" spans="1:38">
      <c r="A73" s="362" t="s">
        <v>211</v>
      </c>
      <c r="B73" s="331"/>
      <c r="C73" s="331"/>
      <c r="D73" s="331"/>
      <c r="E73" s="331"/>
      <c r="F73" s="331"/>
      <c r="G73" s="331"/>
      <c r="H73" s="331"/>
      <c r="I73" s="331"/>
      <c r="J73" s="331"/>
      <c r="K73" s="331"/>
      <c r="L73" s="331"/>
      <c r="M73" s="371"/>
      <c r="N73" s="371"/>
      <c r="O73" s="331"/>
      <c r="P73" s="331"/>
      <c r="Q73" s="372"/>
      <c r="R73" s="331"/>
      <c r="S73" s="331"/>
      <c r="T73" s="331">
        <f>S73+T45+T59</f>
        <v>48</v>
      </c>
      <c r="U73" s="331">
        <f t="shared" ref="U73:W74" si="37">T73+U45+U58</f>
        <v>48</v>
      </c>
      <c r="V73" s="331">
        <f t="shared" si="37"/>
        <v>48</v>
      </c>
      <c r="W73" s="369">
        <f t="shared" si="37"/>
        <v>47</v>
      </c>
      <c r="X73" s="719">
        <f t="shared" si="31"/>
        <v>48</v>
      </c>
      <c r="Y73" s="719">
        <f t="shared" ref="Y73:AC74" si="38">X73+Y45+Y58</f>
        <v>48</v>
      </c>
      <c r="Z73" s="719">
        <f>Y73+Z45+Z58</f>
        <v>48</v>
      </c>
      <c r="AA73" s="719">
        <f t="shared" si="38"/>
        <v>48</v>
      </c>
      <c r="AB73" s="719">
        <f t="shared" si="38"/>
        <v>48</v>
      </c>
      <c r="AC73" s="1893">
        <f t="shared" si="38"/>
        <v>48</v>
      </c>
      <c r="AD73" s="719"/>
      <c r="AE73" s="1368"/>
      <c r="AF73" s="348"/>
      <c r="AG73" s="326"/>
      <c r="AH73" s="534"/>
      <c r="AI73" s="357"/>
      <c r="AJ73" s="320"/>
    </row>
    <row r="74" spans="1:38">
      <c r="A74" s="362" t="s">
        <v>368</v>
      </c>
      <c r="B74" s="331"/>
      <c r="C74" s="331"/>
      <c r="D74" s="331"/>
      <c r="E74" s="331"/>
      <c r="F74" s="331"/>
      <c r="G74" s="331"/>
      <c r="H74" s="331"/>
      <c r="I74" s="331"/>
      <c r="J74" s="331"/>
      <c r="K74" s="331"/>
      <c r="L74" s="331"/>
      <c r="M74" s="371"/>
      <c r="N74" s="371"/>
      <c r="O74" s="331"/>
      <c r="P74" s="331"/>
      <c r="Q74" s="372"/>
      <c r="R74" s="331"/>
      <c r="S74" s="331"/>
      <c r="T74" s="331">
        <f>S74+T46+T60</f>
        <v>0</v>
      </c>
      <c r="U74" s="331">
        <f t="shared" si="37"/>
        <v>27</v>
      </c>
      <c r="V74" s="331">
        <f>U74+V46+V59</f>
        <v>34</v>
      </c>
      <c r="W74" s="369">
        <f>V74+W46+W59</f>
        <v>39</v>
      </c>
      <c r="X74" s="719">
        <f t="shared" si="31"/>
        <v>55</v>
      </c>
      <c r="Y74" s="719">
        <f t="shared" si="38"/>
        <v>65</v>
      </c>
      <c r="Z74" s="719">
        <f>Y74+Z46+Z59</f>
        <v>70</v>
      </c>
      <c r="AA74" s="719">
        <f t="shared" si="38"/>
        <v>75</v>
      </c>
      <c r="AB74" s="719">
        <f t="shared" si="38"/>
        <v>80</v>
      </c>
      <c r="AC74" s="1893">
        <f t="shared" si="38"/>
        <v>85</v>
      </c>
      <c r="AD74" s="719"/>
      <c r="AE74" s="1368"/>
      <c r="AF74" s="348"/>
      <c r="AG74" s="326"/>
      <c r="AH74" s="534"/>
      <c r="AI74" s="357"/>
      <c r="AJ74" s="320"/>
    </row>
    <row r="75" spans="1:38">
      <c r="A75" s="362"/>
      <c r="B75" s="331"/>
      <c r="C75" s="331"/>
      <c r="D75" s="331"/>
      <c r="E75" s="331"/>
      <c r="F75" s="331"/>
      <c r="G75" s="331"/>
      <c r="H75" s="331"/>
      <c r="I75" s="331"/>
      <c r="J75" s="331"/>
      <c r="K75" s="331"/>
      <c r="L75" s="331"/>
      <c r="R75" s="1360"/>
      <c r="S75" s="1360"/>
      <c r="T75" s="1360"/>
      <c r="V75" s="1360"/>
      <c r="W75" s="1360"/>
      <c r="X75" s="1360"/>
      <c r="Y75" s="56"/>
      <c r="Z75" s="56"/>
      <c r="AA75" s="56"/>
      <c r="AB75" s="56"/>
      <c r="AC75" s="154"/>
      <c r="AE75" s="355"/>
      <c r="AF75" s="348"/>
      <c r="AG75" s="326"/>
      <c r="AH75" s="348"/>
      <c r="AI75" s="349"/>
      <c r="AJ75" s="2"/>
      <c r="AK75" s="320"/>
      <c r="AL75" s="320"/>
    </row>
    <row r="76" spans="1:38">
      <c r="A76" s="350" t="s">
        <v>433</v>
      </c>
      <c r="B76" s="373"/>
      <c r="C76" s="373"/>
      <c r="D76" s="373"/>
      <c r="E76" s="373"/>
      <c r="F76" s="373">
        <f>(+F61+F32)/2</f>
        <v>116.5</v>
      </c>
      <c r="G76" s="373">
        <f t="shared" ref="G76:Q76" si="39">(+G61+G32)/2</f>
        <v>236</v>
      </c>
      <c r="H76" s="373">
        <f t="shared" si="39"/>
        <v>252</v>
      </c>
      <c r="I76" s="373">
        <f>(+I61+I32)/2</f>
        <v>280</v>
      </c>
      <c r="J76" s="373">
        <f t="shared" si="39"/>
        <v>310</v>
      </c>
      <c r="K76" s="373">
        <f t="shared" si="39"/>
        <v>337.5</v>
      </c>
      <c r="L76" s="373">
        <f t="shared" si="39"/>
        <v>364</v>
      </c>
      <c r="M76" s="373">
        <f t="shared" si="39"/>
        <v>400</v>
      </c>
      <c r="N76" s="373">
        <f t="shared" si="39"/>
        <v>455.5</v>
      </c>
      <c r="O76" s="373">
        <f t="shared" si="39"/>
        <v>518.5</v>
      </c>
      <c r="P76" s="373">
        <f t="shared" si="39"/>
        <v>586</v>
      </c>
      <c r="Q76" s="373">
        <f t="shared" si="39"/>
        <v>644.5</v>
      </c>
      <c r="R76" s="373">
        <f t="shared" ref="R76:X76" si="40">(+R61+R32)/2</f>
        <v>694</v>
      </c>
      <c r="S76" s="373">
        <f t="shared" si="40"/>
        <v>777.5</v>
      </c>
      <c r="T76" s="373">
        <f t="shared" si="40"/>
        <v>892.5</v>
      </c>
      <c r="U76" s="373">
        <f t="shared" si="40"/>
        <v>983.5</v>
      </c>
      <c r="V76" s="373">
        <f>(+V61+V32)/2</f>
        <v>989.5</v>
      </c>
      <c r="W76" s="373">
        <f t="shared" si="40"/>
        <v>960</v>
      </c>
      <c r="X76" s="373">
        <f t="shared" si="40"/>
        <v>959.5</v>
      </c>
      <c r="Y76" s="373">
        <f>(+Y61+Y32)/2</f>
        <v>966.5</v>
      </c>
      <c r="Z76" s="373">
        <f>(+Z61+Z32)/2</f>
        <v>965</v>
      </c>
      <c r="AA76" s="373">
        <f>(+AA61+AA32)/2</f>
        <v>957</v>
      </c>
      <c r="AB76" s="373">
        <f>(+AB61+AB32)/2</f>
        <v>949</v>
      </c>
      <c r="AC76" s="382">
        <f>(+AC61+AC32)/2</f>
        <v>941</v>
      </c>
      <c r="AD76" s="373"/>
      <c r="AE76" s="374"/>
      <c r="AF76" s="348">
        <f>((V76/Q76)^(1/5)-1)*100</f>
        <v>8.9528450626751308</v>
      </c>
      <c r="AG76" s="326" t="s">
        <v>428</v>
      </c>
      <c r="AH76" s="348">
        <f>((AA76/V76)^(1/5)-1)*100</f>
        <v>-0.66570179431613141</v>
      </c>
      <c r="AI76" s="349" t="s">
        <v>428</v>
      </c>
      <c r="AJ76" s="178"/>
      <c r="AK76" s="320"/>
      <c r="AL76" s="320"/>
    </row>
    <row r="77" spans="1:38">
      <c r="A77" s="350" t="s">
        <v>434</v>
      </c>
      <c r="B77" s="351"/>
      <c r="C77" s="351"/>
      <c r="D77" s="351"/>
      <c r="E77" s="351"/>
      <c r="F77" s="351" t="e">
        <f>(F76/E76-1)</f>
        <v>#DIV/0!</v>
      </c>
      <c r="G77" s="351">
        <f t="shared" ref="G77:V77" si="41">(G76/F76-1)</f>
        <v>1.0257510729613735</v>
      </c>
      <c r="H77" s="351">
        <f t="shared" si="41"/>
        <v>6.7796610169491567E-2</v>
      </c>
      <c r="I77" s="351">
        <f t="shared" si="41"/>
        <v>0.11111111111111116</v>
      </c>
      <c r="J77" s="351">
        <f t="shared" si="41"/>
        <v>0.10714285714285721</v>
      </c>
      <c r="K77" s="351">
        <f t="shared" si="41"/>
        <v>8.870967741935476E-2</v>
      </c>
      <c r="L77" s="351">
        <f t="shared" si="41"/>
        <v>7.8518518518518432E-2</v>
      </c>
      <c r="M77" s="351">
        <f t="shared" si="41"/>
        <v>9.8901098901098994E-2</v>
      </c>
      <c r="N77" s="351">
        <f t="shared" si="41"/>
        <v>0.13874999999999993</v>
      </c>
      <c r="O77" s="351">
        <f t="shared" si="41"/>
        <v>0.13830954994511524</v>
      </c>
      <c r="P77" s="351">
        <f t="shared" si="41"/>
        <v>0.13018322082931544</v>
      </c>
      <c r="Q77" s="351">
        <f t="shared" si="41"/>
        <v>9.9829351535836164E-2</v>
      </c>
      <c r="R77" s="351">
        <f t="shared" si="41"/>
        <v>7.6803723816912361E-2</v>
      </c>
      <c r="S77" s="351">
        <f t="shared" si="41"/>
        <v>0.12031700288184433</v>
      </c>
      <c r="T77" s="351">
        <f t="shared" si="41"/>
        <v>0.14790996784565924</v>
      </c>
      <c r="U77" s="351">
        <f t="shared" si="41"/>
        <v>0.10196078431372557</v>
      </c>
      <c r="V77" s="351">
        <f t="shared" si="41"/>
        <v>6.1006609049314431E-3</v>
      </c>
      <c r="W77" s="351">
        <f t="shared" ref="W77:AC77" si="42">(W76/V76-1)</f>
        <v>-2.9813036887316846E-2</v>
      </c>
      <c r="X77" s="351">
        <f t="shared" si="42"/>
        <v>-5.2083333333330373E-4</v>
      </c>
      <c r="Y77" s="351">
        <f t="shared" si="42"/>
        <v>7.2954663887441207E-3</v>
      </c>
      <c r="Z77" s="351">
        <f>(Z76/Y76-1)</f>
        <v>-1.5519917227108104E-3</v>
      </c>
      <c r="AA77" s="351">
        <f t="shared" si="42"/>
        <v>-8.2901554404145594E-3</v>
      </c>
      <c r="AB77" s="351">
        <f t="shared" si="42"/>
        <v>-8.3594566353186739E-3</v>
      </c>
      <c r="AC77" s="1543">
        <f t="shared" si="42"/>
        <v>-8.4299262381454243E-3</v>
      </c>
      <c r="AD77" s="351"/>
      <c r="AE77" s="355"/>
      <c r="AF77" s="348"/>
      <c r="AG77" s="323"/>
      <c r="AH77" s="348"/>
      <c r="AI77" s="357"/>
      <c r="AJ77" s="320"/>
      <c r="AK77" s="320"/>
      <c r="AL77" s="320"/>
    </row>
    <row r="78" spans="1:38">
      <c r="A78" s="320"/>
      <c r="B78" s="320"/>
      <c r="C78" s="320"/>
      <c r="D78" s="320"/>
      <c r="E78" s="320"/>
      <c r="F78" s="320"/>
      <c r="G78" s="320"/>
      <c r="H78" s="320"/>
      <c r="I78" s="320"/>
      <c r="J78" s="320"/>
      <c r="K78" s="320"/>
      <c r="L78" s="320"/>
      <c r="M78" s="320"/>
      <c r="N78" s="320"/>
      <c r="O78" s="320"/>
      <c r="P78" s="320"/>
      <c r="Q78" s="320"/>
      <c r="R78" s="320"/>
      <c r="S78" s="320"/>
      <c r="T78" s="320"/>
      <c r="U78" s="320"/>
      <c r="V78" s="320"/>
      <c r="W78" s="320"/>
      <c r="X78" s="320"/>
      <c r="Y78" s="320"/>
      <c r="Z78" s="320"/>
      <c r="AA78" s="320"/>
      <c r="AB78" s="320"/>
      <c r="AC78" s="377"/>
      <c r="AD78" s="320"/>
      <c r="AE78" s="355"/>
      <c r="AF78" s="348"/>
      <c r="AG78" s="323"/>
      <c r="AH78" s="348"/>
      <c r="AI78" s="357"/>
      <c r="AJ78" s="320"/>
      <c r="AK78" s="320"/>
      <c r="AL78" s="320"/>
    </row>
    <row r="79" spans="1:38">
      <c r="A79" s="375" t="s">
        <v>788</v>
      </c>
      <c r="B79" s="376"/>
      <c r="C79" s="376"/>
      <c r="D79" s="376"/>
      <c r="E79" s="376"/>
      <c r="F79" s="376">
        <f>(F25/F76)*90%</f>
        <v>3.86995364806867</v>
      </c>
      <c r="G79" s="376">
        <f>(G25/G76)*90%</f>
        <v>2.0933313559322033</v>
      </c>
      <c r="H79" s="376">
        <f>(H25/H76)*90%</f>
        <v>2.1446107142857143</v>
      </c>
      <c r="I79" s="376">
        <f>(I25/I76)*90%</f>
        <v>2.312366785714286</v>
      </c>
      <c r="J79" s="376">
        <f>(J25/J76)*90%</f>
        <v>2.7674303225806454</v>
      </c>
      <c r="K79" s="376">
        <f>(K21/K76)</f>
        <v>2.9709629629629632</v>
      </c>
      <c r="L79" s="376">
        <f>(L25/L76)*90%</f>
        <v>4.2290678571428577</v>
      </c>
      <c r="M79" s="376">
        <f>(M25/M76)*90%</f>
        <v>4.5789547500000003</v>
      </c>
      <c r="N79" s="376">
        <f>(N21/N76)</f>
        <v>4.6135916575192093</v>
      </c>
      <c r="O79" s="376">
        <f>(O21/O76)</f>
        <v>4.9332690453230477</v>
      </c>
      <c r="P79" s="376">
        <f>(P21/P76)</f>
        <v>4.6533976109215018</v>
      </c>
      <c r="Q79" s="376">
        <f>(Q21/Q76)</f>
        <v>4.8966020170674938</v>
      </c>
      <c r="R79" s="376">
        <f>(R21/R76)</f>
        <v>5.2188559077809789</v>
      </c>
      <c r="S79" s="376">
        <f>(S8/(S62+S63+S64+S65))*90%</f>
        <v>5.7097514340344162</v>
      </c>
      <c r="T79" s="376">
        <f t="shared" ref="T79:AA79" si="43">(T8/(T62+T63+T64+T65))*90%</f>
        <v>5.7543749999999996</v>
      </c>
      <c r="U79" s="376">
        <f t="shared" si="43"/>
        <v>5.1770871985157703</v>
      </c>
      <c r="V79" s="376">
        <f t="shared" si="43"/>
        <v>4.8068181818181817</v>
      </c>
      <c r="W79" s="376">
        <f t="shared" si="43"/>
        <v>4.9820092378752889</v>
      </c>
      <c r="X79" s="376">
        <f t="shared" si="43"/>
        <v>5.045584725536993</v>
      </c>
      <c r="Y79" s="376">
        <f t="shared" si="43"/>
        <v>5.206889423076924</v>
      </c>
      <c r="Z79" s="376">
        <f>(Z8/(Z62+Z63+Z64+Z65))*90%</f>
        <v>5.4151650000000009</v>
      </c>
      <c r="AA79" s="376">
        <f t="shared" si="43"/>
        <v>5.6396628702396381</v>
      </c>
      <c r="AB79" s="376">
        <f>(AB8/(AB62+AB63+AB64+AB65))*90%</f>
        <v>5.8823507886314861</v>
      </c>
      <c r="AC79" s="1894">
        <f>(AC8/(AC62+AC63+AC64+AC65))*90%</f>
        <v>6.1455281543222942</v>
      </c>
      <c r="AD79" s="376"/>
      <c r="AE79" s="355"/>
      <c r="AF79" s="348">
        <f>((V79/Q79)^(1/5)-1)*100</f>
        <v>-0.36943857198211694</v>
      </c>
      <c r="AG79" s="326" t="s">
        <v>428</v>
      </c>
      <c r="AH79" s="348">
        <f>((AA79/V79)^(1/5)-1)*100</f>
        <v>3.2473918369609667</v>
      </c>
      <c r="AI79" s="349" t="s">
        <v>428</v>
      </c>
      <c r="AJ79" s="320"/>
      <c r="AK79" s="320"/>
      <c r="AL79" s="320"/>
    </row>
    <row r="80" spans="1:38">
      <c r="A80" s="375" t="s">
        <v>429</v>
      </c>
      <c r="B80" s="352"/>
      <c r="C80" s="352"/>
      <c r="D80" s="352"/>
      <c r="E80" s="352"/>
      <c r="F80" s="352"/>
      <c r="G80" s="352">
        <f t="shared" ref="G80:V80" si="44">G79/F79-1</f>
        <v>-0.4590810262089583</v>
      </c>
      <c r="H80" s="352">
        <f t="shared" si="44"/>
        <v>2.4496531907474806E-2</v>
      </c>
      <c r="I80" s="352">
        <f t="shared" si="44"/>
        <v>7.8222154869931559E-2</v>
      </c>
      <c r="J80" s="352">
        <f t="shared" si="44"/>
        <v>0.19679556879891402</v>
      </c>
      <c r="K80" s="352">
        <f t="shared" si="44"/>
        <v>7.3545714492469161E-2</v>
      </c>
      <c r="L80" s="352">
        <f t="shared" si="44"/>
        <v>0.42346704077562025</v>
      </c>
      <c r="M80" s="352">
        <f t="shared" si="44"/>
        <v>8.2733809122070845E-2</v>
      </c>
      <c r="N80" s="352">
        <f t="shared" si="44"/>
        <v>7.5643699076102244E-3</v>
      </c>
      <c r="O80" s="352">
        <f t="shared" si="44"/>
        <v>6.9290351538335626E-2</v>
      </c>
      <c r="P80" s="352">
        <f t="shared" si="44"/>
        <v>-5.6731435449861811E-2</v>
      </c>
      <c r="Q80" s="352">
        <f t="shared" si="44"/>
        <v>5.2263835262044367E-2</v>
      </c>
      <c r="R80" s="352">
        <f t="shared" si="44"/>
        <v>6.5811738342271608E-2</v>
      </c>
      <c r="S80" s="352">
        <f t="shared" si="44"/>
        <v>9.4061904549145314E-2</v>
      </c>
      <c r="T80" s="352">
        <f t="shared" si="44"/>
        <v>7.8153254972874731E-3</v>
      </c>
      <c r="U80" s="352">
        <f>U79/T79-1</f>
        <v>-0.10032154690721917</v>
      </c>
      <c r="V80" s="352">
        <f t="shared" si="44"/>
        <v>-7.152072246411878E-2</v>
      </c>
      <c r="W80" s="352">
        <f t="shared" ref="W80:AC80" si="45">W79/V79-1</f>
        <v>3.6446366271927655E-2</v>
      </c>
      <c r="X80" s="352">
        <f t="shared" si="45"/>
        <v>1.2761013604386084E-2</v>
      </c>
      <c r="Y80" s="352">
        <f t="shared" si="45"/>
        <v>3.1969475554245896E-2</v>
      </c>
      <c r="Z80" s="352">
        <f>Z79/Y79-1</f>
        <v>4.0000000000000036E-2</v>
      </c>
      <c r="AA80" s="352">
        <f t="shared" si="45"/>
        <v>4.1457253886010292E-2</v>
      </c>
      <c r="AB80" s="352">
        <f t="shared" si="45"/>
        <v>4.303234501347708E-2</v>
      </c>
      <c r="AC80" s="1895">
        <f t="shared" si="45"/>
        <v>4.4740168539325609E-2</v>
      </c>
      <c r="AD80" s="352"/>
      <c r="AE80" s="355"/>
      <c r="AF80" s="348"/>
      <c r="AG80" s="323"/>
      <c r="AH80" s="348"/>
      <c r="AI80" s="357"/>
      <c r="AJ80" s="320"/>
      <c r="AK80" s="320"/>
      <c r="AL80" s="320"/>
    </row>
    <row r="81" spans="1:38">
      <c r="A81" s="375"/>
      <c r="B81" s="352"/>
      <c r="C81" s="352"/>
      <c r="D81" s="352"/>
      <c r="E81" s="352"/>
      <c r="F81" s="352"/>
      <c r="G81" s="352"/>
      <c r="H81" s="352"/>
      <c r="I81" s="352"/>
      <c r="J81" s="352"/>
      <c r="K81" s="352"/>
      <c r="L81" s="352"/>
      <c r="M81" s="352"/>
      <c r="N81" s="352"/>
      <c r="O81" s="352"/>
      <c r="P81" s="352"/>
      <c r="Q81" s="352"/>
      <c r="R81" s="352"/>
      <c r="S81" s="352"/>
      <c r="T81" s="352"/>
      <c r="U81" s="352"/>
      <c r="V81" s="352"/>
      <c r="W81" s="352"/>
      <c r="X81" s="352"/>
      <c r="Y81" s="352"/>
      <c r="Z81" s="352"/>
      <c r="AA81" s="352"/>
      <c r="AB81" s="352"/>
      <c r="AC81" s="1895"/>
      <c r="AD81" s="352"/>
      <c r="AE81" s="355"/>
      <c r="AF81" s="348"/>
      <c r="AG81" s="323"/>
      <c r="AH81" s="348"/>
      <c r="AI81" s="357"/>
      <c r="AJ81" s="320"/>
      <c r="AK81" s="320"/>
      <c r="AL81" s="320"/>
    </row>
    <row r="82" spans="1:38">
      <c r="A82" s="375" t="s">
        <v>789</v>
      </c>
      <c r="B82" s="352"/>
      <c r="C82" s="352"/>
      <c r="D82" s="352"/>
      <c r="E82" s="352"/>
      <c r="F82" s="352"/>
      <c r="G82" s="352"/>
      <c r="H82" s="352"/>
      <c r="I82" s="352"/>
      <c r="J82" s="352"/>
      <c r="K82" s="352"/>
      <c r="L82" s="352"/>
      <c r="M82" s="352"/>
      <c r="N82" s="352"/>
      <c r="O82" s="352"/>
      <c r="P82" s="352"/>
      <c r="Q82" s="352"/>
      <c r="R82" s="352"/>
      <c r="S82" s="376">
        <f>(S10/(S68+S69+S70+S71+S67+S72+S73+S74))</f>
        <v>4.5404530744336569</v>
      </c>
      <c r="T82" s="376">
        <f>(T10/(T68+T69+T70+T71+T67+T72+T73+T74))</f>
        <v>3.8095354523227383</v>
      </c>
      <c r="U82" s="376">
        <f t="shared" ref="U82:Z82" si="46">(U10/(U68+U69+U70+U71+U67+U72+U73+U74))</f>
        <v>3.4614736842105263</v>
      </c>
      <c r="V82" s="376">
        <f t="shared" si="46"/>
        <v>3.2238568588469185</v>
      </c>
      <c r="W82" s="376">
        <f t="shared" si="46"/>
        <v>3.2778846153846155</v>
      </c>
      <c r="X82" s="376">
        <f t="shared" si="46"/>
        <v>3.1583793738489869</v>
      </c>
      <c r="Y82" s="376">
        <f t="shared" si="46"/>
        <v>3.2487039923225187</v>
      </c>
      <c r="Z82" s="376">
        <f t="shared" si="46"/>
        <v>3.3218931141504604</v>
      </c>
      <c r="AA82" s="376">
        <f>(AA10/(AA68+AA69+AA70+AA71+AA67+AA72+AA73+AA74))</f>
        <v>3.3803406767451141</v>
      </c>
      <c r="AB82" s="376">
        <f>(AB10/(AB68+AB69+AB70+AB71+AB67+AB72+AB73+AB74))</f>
        <v>3.4398248219501082</v>
      </c>
      <c r="AC82" s="1894">
        <f>(AC10/(AC68+AC69+AC70+AC71+AC67+AC72+AC73+AC74))</f>
        <v>3.5003615437602518</v>
      </c>
      <c r="AD82" s="352"/>
      <c r="AE82" s="355"/>
      <c r="AF82" s="348"/>
      <c r="AG82" s="323"/>
      <c r="AH82" s="348"/>
      <c r="AI82" s="357"/>
      <c r="AJ82" s="320"/>
      <c r="AK82" s="320"/>
      <c r="AL82" s="320"/>
    </row>
    <row r="83" spans="1:38">
      <c r="A83" s="375" t="s">
        <v>429</v>
      </c>
      <c r="B83" s="352"/>
      <c r="C83" s="352"/>
      <c r="D83" s="352"/>
      <c r="E83" s="352"/>
      <c r="F83" s="352"/>
      <c r="G83" s="352"/>
      <c r="H83" s="352"/>
      <c r="I83" s="352"/>
      <c r="J83" s="352"/>
      <c r="K83" s="352"/>
      <c r="L83" s="352"/>
      <c r="M83" s="352"/>
      <c r="N83" s="352"/>
      <c r="O83" s="352"/>
      <c r="P83" s="352"/>
      <c r="Q83" s="352"/>
      <c r="R83" s="352"/>
      <c r="S83" s="352"/>
      <c r="T83" s="352">
        <f t="shared" ref="T83:AC83" si="47">T82/S82-1</f>
        <v>-0.16097900586762215</v>
      </c>
      <c r="U83" s="352">
        <f t="shared" si="47"/>
        <v>-9.1365934893713363E-2</v>
      </c>
      <c r="V83" s="352">
        <f t="shared" si="47"/>
        <v>-6.8646145266824998E-2</v>
      </c>
      <c r="W83" s="352">
        <f t="shared" si="47"/>
        <v>1.6758733065158848E-2</v>
      </c>
      <c r="X83" s="352">
        <f t="shared" si="47"/>
        <v>-3.6458037898813078E-2</v>
      </c>
      <c r="Y83" s="352">
        <f t="shared" si="47"/>
        <v>2.8598406898616702E-2</v>
      </c>
      <c r="Z83" s="352">
        <f>Z82/Y82-1</f>
        <v>2.2528713604226702E-2</v>
      </c>
      <c r="AA83" s="352">
        <f t="shared" si="47"/>
        <v>1.7594654790571429E-2</v>
      </c>
      <c r="AB83" s="352">
        <f t="shared" si="47"/>
        <v>1.7597085883743091E-2</v>
      </c>
      <c r="AC83" s="1895">
        <f t="shared" si="47"/>
        <v>1.759878044482055E-2</v>
      </c>
      <c r="AD83" s="352"/>
      <c r="AE83" s="355"/>
      <c r="AF83" s="348"/>
      <c r="AG83" s="323"/>
      <c r="AH83" s="348"/>
      <c r="AI83" s="357"/>
      <c r="AJ83" s="320"/>
      <c r="AK83" s="320"/>
      <c r="AL83" s="320"/>
    </row>
    <row r="84" spans="1:38">
      <c r="A84" s="377"/>
      <c r="B84" s="320"/>
      <c r="C84" s="320"/>
      <c r="D84" s="320"/>
      <c r="E84" s="320"/>
      <c r="F84" s="320"/>
      <c r="G84" s="320"/>
      <c r="H84" s="320"/>
      <c r="I84" s="320"/>
      <c r="J84" s="320"/>
      <c r="K84" s="320"/>
      <c r="L84" s="320"/>
      <c r="M84" s="320"/>
      <c r="N84" s="320"/>
      <c r="O84" s="320"/>
      <c r="P84" s="320"/>
      <c r="Q84" s="320"/>
      <c r="R84" s="320"/>
      <c r="S84" s="320"/>
      <c r="T84" s="320"/>
      <c r="U84" s="320"/>
      <c r="V84" s="320"/>
      <c r="W84" s="320"/>
      <c r="X84" s="320"/>
      <c r="Y84" s="320"/>
      <c r="Z84" s="320"/>
      <c r="AA84" s="320"/>
      <c r="AB84" s="320"/>
      <c r="AC84" s="377"/>
      <c r="AD84" s="320"/>
      <c r="AE84" s="355"/>
      <c r="AF84" s="348"/>
      <c r="AG84" s="323"/>
      <c r="AH84" s="348"/>
      <c r="AI84" s="357"/>
      <c r="AJ84" s="320"/>
      <c r="AK84" s="320"/>
      <c r="AL84" s="320"/>
    </row>
    <row r="85" spans="1:38">
      <c r="A85" s="375" t="s">
        <v>435</v>
      </c>
      <c r="B85" s="378"/>
      <c r="C85" s="378"/>
      <c r="D85" s="378"/>
      <c r="E85" s="378"/>
      <c r="F85" s="378">
        <f>+(F88+E88)/2</f>
        <v>0.18604100000000001</v>
      </c>
      <c r="G85" s="378">
        <f t="shared" ref="G85:R85" si="48">+(G88+F88)/2</f>
        <v>0.4098965</v>
      </c>
      <c r="H85" s="378">
        <f>+(H88+G88)/2</f>
        <v>0.48057099999999997</v>
      </c>
      <c r="I85" s="378">
        <f>+(I88+H88)/2</f>
        <v>0.55570699999999995</v>
      </c>
      <c r="J85" s="378">
        <f t="shared" si="48"/>
        <v>0.64821649999999997</v>
      </c>
      <c r="K85" s="378">
        <f t="shared" si="48"/>
        <v>0.74035650000000008</v>
      </c>
      <c r="L85" s="378">
        <f t="shared" si="48"/>
        <v>0.84354949999999995</v>
      </c>
      <c r="M85" s="378">
        <f>+(M88+L88)/2</f>
        <v>0.97177550000000001</v>
      </c>
      <c r="N85" s="378">
        <f t="shared" si="48"/>
        <v>1.1313430000000002</v>
      </c>
      <c r="O85" s="378">
        <f t="shared" si="48"/>
        <v>1.3462895000000001</v>
      </c>
      <c r="P85" s="378">
        <f t="shared" si="48"/>
        <v>1.5862339999999999</v>
      </c>
      <c r="Q85" s="378">
        <f t="shared" si="48"/>
        <v>1.7772825000000001</v>
      </c>
      <c r="R85" s="378">
        <f t="shared" si="48"/>
        <v>1.9337755000000001</v>
      </c>
      <c r="S85" s="378">
        <f t="shared" ref="S85:AC85" si="49">+(S88+R88)/2</f>
        <v>2.2155199999999997</v>
      </c>
      <c r="T85" s="378">
        <f t="shared" si="49"/>
        <v>2.5586924999999998</v>
      </c>
      <c r="U85" s="378">
        <f t="shared" si="49"/>
        <v>2.8324515000000003</v>
      </c>
      <c r="V85" s="378">
        <f t="shared" si="49"/>
        <v>3.0006794999999999</v>
      </c>
      <c r="W85" s="378">
        <f>+(W88+V88)/2</f>
        <v>3.0679639999999999</v>
      </c>
      <c r="X85" s="378">
        <f t="shared" si="49"/>
        <v>3.0330234999999997</v>
      </c>
      <c r="Y85" s="378">
        <f>+(Y88+X88)/2</f>
        <v>2.9746410000000001</v>
      </c>
      <c r="Z85" s="378">
        <f>+(Z88+Y88)/2</f>
        <v>2.9851409999999996</v>
      </c>
      <c r="AA85" s="378">
        <f t="shared" si="49"/>
        <v>2.996391</v>
      </c>
      <c r="AB85" s="378">
        <f t="shared" si="49"/>
        <v>3.0076409999999996</v>
      </c>
      <c r="AC85" s="381">
        <f t="shared" si="49"/>
        <v>3.018891</v>
      </c>
      <c r="AD85" s="378"/>
      <c r="AE85" s="355"/>
      <c r="AF85" s="348">
        <f>((V85/Q85)^(1/5)-1)*100</f>
        <v>11.043368934300023</v>
      </c>
      <c r="AG85" s="326" t="s">
        <v>428</v>
      </c>
      <c r="AH85" s="348">
        <f>((AA85/V85)^(1/5)-1)*100</f>
        <v>-2.8599880216362283E-2</v>
      </c>
      <c r="AI85" s="349" t="s">
        <v>428</v>
      </c>
      <c r="AJ85" s="320"/>
      <c r="AK85" s="320"/>
      <c r="AL85" s="320"/>
    </row>
    <row r="86" spans="1:38">
      <c r="A86" s="375" t="s">
        <v>143</v>
      </c>
      <c r="B86" s="351"/>
      <c r="C86" s="351"/>
      <c r="D86" s="351"/>
      <c r="E86" s="351"/>
      <c r="F86" s="351" t="e">
        <f>F85/E85-1</f>
        <v>#DIV/0!</v>
      </c>
      <c r="G86" s="351">
        <f>G85/F85-1</f>
        <v>1.2032589590466616</v>
      </c>
      <c r="H86" s="351">
        <f>H85/G85-1</f>
        <v>0.17242035489446716</v>
      </c>
      <c r="I86" s="351">
        <f t="shared" ref="I86:T86" si="50">I85/H85-1</f>
        <v>0.15634734513734694</v>
      </c>
      <c r="J86" s="351">
        <f t="shared" si="50"/>
        <v>0.16647171980918007</v>
      </c>
      <c r="K86" s="351">
        <f t="shared" si="50"/>
        <v>0.14214386705676274</v>
      </c>
      <c r="L86" s="351">
        <f t="shared" si="50"/>
        <v>0.13938285136957651</v>
      </c>
      <c r="M86" s="351">
        <f t="shared" si="50"/>
        <v>0.15200767708356189</v>
      </c>
      <c r="N86" s="351">
        <f t="shared" si="50"/>
        <v>0.16420201991097749</v>
      </c>
      <c r="O86" s="351">
        <f t="shared" si="50"/>
        <v>0.18999233654161451</v>
      </c>
      <c r="P86" s="351">
        <f t="shared" si="50"/>
        <v>0.17822652557269425</v>
      </c>
      <c r="Q86" s="351">
        <f t="shared" si="50"/>
        <v>0.12044156158549124</v>
      </c>
      <c r="R86" s="351">
        <f t="shared" si="50"/>
        <v>8.8051843193189594E-2</v>
      </c>
      <c r="S86" s="351">
        <f t="shared" si="50"/>
        <v>0.14569659197771379</v>
      </c>
      <c r="T86" s="351">
        <f t="shared" si="50"/>
        <v>0.15489478767964182</v>
      </c>
      <c r="U86" s="351">
        <f t="shared" ref="U86:AC86" si="51">U85/T85-1</f>
        <v>0.10699175457777765</v>
      </c>
      <c r="V86" s="351">
        <f t="shared" si="51"/>
        <v>5.939307345597955E-2</v>
      </c>
      <c r="W86" s="1543">
        <f>W85/V85-1</f>
        <v>2.2423087837271538E-2</v>
      </c>
      <c r="X86" s="351">
        <f t="shared" si="51"/>
        <v>-1.1388823336910159E-2</v>
      </c>
      <c r="Y86" s="351">
        <f>Y85/X85-1</f>
        <v>-1.9248944164131809E-2</v>
      </c>
      <c r="Z86" s="351">
        <f>Z85/Y85-1</f>
        <v>3.5298377182320095E-3</v>
      </c>
      <c r="AA86" s="351">
        <f t="shared" si="51"/>
        <v>3.7686662037070828E-3</v>
      </c>
      <c r="AB86" s="351">
        <f t="shared" si="51"/>
        <v>3.754516683570186E-3</v>
      </c>
      <c r="AC86" s="1543">
        <f t="shared" si="51"/>
        <v>3.7404730152303944E-3</v>
      </c>
      <c r="AD86" s="351"/>
      <c r="AE86" s="355"/>
      <c r="AF86" s="348"/>
      <c r="AG86" s="323"/>
      <c r="AH86" s="348"/>
      <c r="AI86" s="357"/>
      <c r="AJ86" s="320"/>
      <c r="AK86" s="320"/>
      <c r="AL86" s="320"/>
    </row>
    <row r="87" spans="1:38">
      <c r="A87" s="375"/>
      <c r="B87" s="351"/>
      <c r="C87" s="351"/>
      <c r="D87" s="351"/>
      <c r="E87" s="351"/>
      <c r="F87" s="351"/>
      <c r="G87" s="351"/>
      <c r="H87" s="351"/>
      <c r="I87" s="351"/>
      <c r="J87" s="351"/>
      <c r="K87" s="351"/>
      <c r="L87" s="379"/>
      <c r="M87" s="351"/>
      <c r="N87" s="351"/>
      <c r="O87" s="351"/>
      <c r="P87" s="351"/>
      <c r="Q87" s="351"/>
      <c r="R87" s="351"/>
      <c r="S87" s="351"/>
      <c r="T87" s="351"/>
      <c r="U87" s="351"/>
      <c r="V87" s="351"/>
      <c r="W87" s="351"/>
      <c r="X87" s="351"/>
      <c r="Y87" s="351"/>
      <c r="Z87" s="351"/>
      <c r="AA87" s="351"/>
      <c r="AB87" s="351"/>
      <c r="AC87" s="1543"/>
      <c r="AD87" s="351"/>
      <c r="AE87" s="355"/>
      <c r="AF87" s="348"/>
      <c r="AG87" s="323"/>
      <c r="AH87" s="348"/>
      <c r="AI87" s="357"/>
      <c r="AJ87" s="320"/>
      <c r="AK87" s="320"/>
      <c r="AL87" s="320"/>
    </row>
    <row r="88" spans="1:38">
      <c r="A88" s="375" t="s">
        <v>436</v>
      </c>
      <c r="B88" s="380"/>
      <c r="C88" s="380"/>
      <c r="D88" s="380"/>
      <c r="E88" s="380"/>
      <c r="F88" s="381">
        <f>F102+F106</f>
        <v>0.37208200000000002</v>
      </c>
      <c r="G88" s="381">
        <f t="shared" ref="G88:L88" si="52">G102+G106+G114</f>
        <v>0.44771099999999997</v>
      </c>
      <c r="H88" s="381">
        <f>H102+H106+H114</f>
        <v>0.51343099999999997</v>
      </c>
      <c r="I88" s="381">
        <f t="shared" si="52"/>
        <v>0.59798300000000004</v>
      </c>
      <c r="J88" s="381">
        <f>J102+J106+J114</f>
        <v>0.69845000000000002</v>
      </c>
      <c r="K88" s="381">
        <f t="shared" si="52"/>
        <v>0.78226300000000004</v>
      </c>
      <c r="L88" s="381">
        <f t="shared" si="52"/>
        <v>0.90483599999999997</v>
      </c>
      <c r="M88" s="381">
        <f>M102+M106+M116</f>
        <v>1.0387150000000001</v>
      </c>
      <c r="N88" s="381">
        <f>N102+N106+N116</f>
        <v>1.2239710000000001</v>
      </c>
      <c r="O88" s="381">
        <f>O102+O106+O116</f>
        <v>1.4686079999999999</v>
      </c>
      <c r="P88" s="381">
        <f>P102+P106+P116+P118</f>
        <v>1.7038599999999999</v>
      </c>
      <c r="Q88" s="381">
        <f>Q102+Q106+Q116+Q118+Q104</f>
        <v>1.850705</v>
      </c>
      <c r="R88" s="381">
        <f>R102+R106+R116+R118+R108+R104</f>
        <v>2.0168460000000001</v>
      </c>
      <c r="S88" s="381">
        <f>S111+S131</f>
        <v>2.4141939999999997</v>
      </c>
      <c r="T88" s="381">
        <f>T111+T131</f>
        <v>2.7031909999999999</v>
      </c>
      <c r="U88" s="381">
        <f>U111+U131</f>
        <v>2.9617120000000003</v>
      </c>
      <c r="V88" s="381">
        <f>V111+V131+V134</f>
        <v>3.0396469999999995</v>
      </c>
      <c r="W88" s="381">
        <f t="shared" ref="W88:AB88" si="53">W111+W131+W134</f>
        <v>3.0962809999999998</v>
      </c>
      <c r="X88" s="381">
        <f>X111+X131+X134</f>
        <v>2.9697659999999999</v>
      </c>
      <c r="Y88" s="381">
        <f t="shared" si="53"/>
        <v>2.9795159999999998</v>
      </c>
      <c r="Z88" s="381">
        <f>Z111+Z131+Z134</f>
        <v>2.9907659999999998</v>
      </c>
      <c r="AA88" s="381">
        <f t="shared" si="53"/>
        <v>3.0020159999999998</v>
      </c>
      <c r="AB88" s="381">
        <f t="shared" si="53"/>
        <v>3.0132659999999998</v>
      </c>
      <c r="AC88" s="381">
        <f>AC111+AC131+AC134</f>
        <v>3.0245159999999998</v>
      </c>
      <c r="AD88" s="381"/>
      <c r="AE88" s="586"/>
      <c r="AF88" s="348">
        <f>((V88/Q88)^(1/5)-1)*100</f>
        <v>10.432572879389234</v>
      </c>
      <c r="AG88" s="587" t="s">
        <v>428</v>
      </c>
      <c r="AH88" s="348">
        <f>((AA88/V88)^(1/5)-1)*100</f>
        <v>-0.24883643314440596</v>
      </c>
      <c r="AI88" s="588" t="s">
        <v>428</v>
      </c>
      <c r="AJ88" s="377"/>
      <c r="AK88" s="377"/>
      <c r="AL88" s="377"/>
    </row>
    <row r="89" spans="1:38">
      <c r="A89" s="375" t="s">
        <v>429</v>
      </c>
      <c r="B89" s="351"/>
      <c r="C89" s="351"/>
      <c r="D89" s="351"/>
      <c r="E89" s="351"/>
      <c r="F89" s="351" t="e">
        <f>F88/E88-1</f>
        <v>#DIV/0!</v>
      </c>
      <c r="G89" s="351">
        <f t="shared" ref="G89:U89" si="54">G88/F88-1</f>
        <v>0.20325895904666158</v>
      </c>
      <c r="H89" s="351">
        <f t="shared" si="54"/>
        <v>0.14679112195143751</v>
      </c>
      <c r="I89" s="351">
        <f t="shared" si="54"/>
        <v>0.16468035626987865</v>
      </c>
      <c r="J89" s="351">
        <f t="shared" si="54"/>
        <v>0.16800979292053442</v>
      </c>
      <c r="K89" s="351">
        <f t="shared" si="54"/>
        <v>0.11999856825828625</v>
      </c>
      <c r="L89" s="351">
        <f t="shared" si="54"/>
        <v>0.15669026912943584</v>
      </c>
      <c r="M89" s="351">
        <f t="shared" si="54"/>
        <v>0.14795940921890827</v>
      </c>
      <c r="N89" s="351">
        <f t="shared" si="54"/>
        <v>0.17835113577834161</v>
      </c>
      <c r="O89" s="351">
        <f t="shared" si="54"/>
        <v>0.19987156558447849</v>
      </c>
      <c r="P89" s="351">
        <f t="shared" si="54"/>
        <v>0.16018706148951933</v>
      </c>
      <c r="Q89" s="351">
        <f t="shared" si="54"/>
        <v>8.6183724014883945E-2</v>
      </c>
      <c r="R89" s="351">
        <f>R88/Q88-1</f>
        <v>8.9771735635879368E-2</v>
      </c>
      <c r="S89" s="351">
        <f t="shared" si="54"/>
        <v>0.19701454647504058</v>
      </c>
      <c r="T89" s="351">
        <f t="shared" si="54"/>
        <v>0.1197074468746091</v>
      </c>
      <c r="U89" s="351">
        <f t="shared" si="54"/>
        <v>9.5635491535744466E-2</v>
      </c>
      <c r="V89" s="351">
        <f t="shared" ref="V89:AC89" si="55">V88/U88-1</f>
        <v>2.6314172343563147E-2</v>
      </c>
      <c r="W89" s="351">
        <f t="shared" si="55"/>
        <v>1.8631768754727274E-2</v>
      </c>
      <c r="X89" s="351">
        <f t="shared" si="55"/>
        <v>-4.086030951325148E-2</v>
      </c>
      <c r="Y89" s="351">
        <f t="shared" si="55"/>
        <v>3.2830869502848969E-3</v>
      </c>
      <c r="Z89" s="351">
        <f>Z88/Y88-1</f>
        <v>3.7757810328926666E-3</v>
      </c>
      <c r="AA89" s="351">
        <f t="shared" si="55"/>
        <v>3.7615781375073265E-3</v>
      </c>
      <c r="AB89" s="351">
        <f t="shared" si="55"/>
        <v>3.7474816923026566E-3</v>
      </c>
      <c r="AC89" s="1543">
        <f t="shared" si="55"/>
        <v>3.7334905049868361E-3</v>
      </c>
      <c r="AD89" s="351"/>
      <c r="AE89" s="355"/>
      <c r="AF89" s="348"/>
      <c r="AG89" s="323"/>
      <c r="AH89" s="348"/>
      <c r="AI89" s="357"/>
      <c r="AJ89" s="320"/>
      <c r="AK89" s="320"/>
      <c r="AL89" s="320"/>
    </row>
    <row r="90" spans="1:38">
      <c r="A90" s="377"/>
      <c r="B90" s="320"/>
      <c r="C90" s="320"/>
      <c r="D90" s="320"/>
      <c r="E90" s="320"/>
      <c r="F90" s="320"/>
      <c r="G90" s="320"/>
      <c r="H90" s="320"/>
      <c r="I90" s="320"/>
      <c r="J90" s="320"/>
      <c r="K90" s="320"/>
      <c r="L90" s="320"/>
      <c r="M90" s="320"/>
      <c r="N90" s="320"/>
      <c r="O90" s="320"/>
      <c r="P90" s="320"/>
      <c r="Q90" s="320"/>
      <c r="R90" s="320"/>
      <c r="S90" s="320"/>
      <c r="T90" s="320"/>
      <c r="U90" s="320"/>
      <c r="V90" s="320"/>
      <c r="W90" s="320"/>
      <c r="X90" s="320"/>
      <c r="Y90" s="320"/>
      <c r="Z90" s="320"/>
      <c r="AA90" s="320"/>
      <c r="AB90" s="320"/>
      <c r="AC90" s="377"/>
      <c r="AD90" s="320"/>
      <c r="AE90" s="355"/>
      <c r="AF90" s="348"/>
      <c r="AG90" s="323"/>
      <c r="AH90" s="348"/>
      <c r="AI90" s="357"/>
      <c r="AJ90" s="320"/>
      <c r="AK90" s="320"/>
      <c r="AL90" s="320"/>
    </row>
    <row r="91" spans="1:38">
      <c r="A91" s="375" t="s">
        <v>437</v>
      </c>
      <c r="B91" s="382"/>
      <c r="C91" s="382"/>
      <c r="D91" s="382"/>
      <c r="E91" s="382"/>
      <c r="F91" s="382">
        <f>F85/F76*1000000</f>
        <v>1596.9184549356225</v>
      </c>
      <c r="G91" s="382">
        <f t="shared" ref="G91:Q91" si="56">G85/G76*1000000</f>
        <v>1736.8495762711866</v>
      </c>
      <c r="H91" s="382">
        <f>H85/H76*1000000</f>
        <v>1907.0277777777776</v>
      </c>
      <c r="I91" s="382">
        <f t="shared" si="56"/>
        <v>1984.667857142857</v>
      </c>
      <c r="J91" s="382">
        <f t="shared" si="56"/>
        <v>2091.0209677419357</v>
      </c>
      <c r="K91" s="382">
        <f t="shared" si="56"/>
        <v>2193.6488888888889</v>
      </c>
      <c r="L91" s="382">
        <f t="shared" si="56"/>
        <v>2317.4436813186812</v>
      </c>
      <c r="M91" s="382">
        <f t="shared" si="56"/>
        <v>2429.4387499999998</v>
      </c>
      <c r="N91" s="382">
        <f>N85/N76*1000000</f>
        <v>2483.7387486278822</v>
      </c>
      <c r="O91" s="382">
        <f t="shared" si="56"/>
        <v>2596.5081967213118</v>
      </c>
      <c r="P91" s="382">
        <f t="shared" si="56"/>
        <v>2706.8839590443686</v>
      </c>
      <c r="Q91" s="382">
        <f t="shared" si="56"/>
        <v>2757.6144297905353</v>
      </c>
      <c r="R91" s="382">
        <f t="shared" ref="R91:X91" si="57">R85/R76*1000000</f>
        <v>2786.4200288184443</v>
      </c>
      <c r="S91" s="382">
        <f t="shared" si="57"/>
        <v>2849.5434083601281</v>
      </c>
      <c r="T91" s="382">
        <f t="shared" si="57"/>
        <v>2866.8823529411761</v>
      </c>
      <c r="U91" s="382">
        <f t="shared" si="57"/>
        <v>2879.971021860702</v>
      </c>
      <c r="V91" s="382">
        <f>V85/V76*1000000</f>
        <v>3032.520970186963</v>
      </c>
      <c r="W91" s="382">
        <f>W85/W76*1000000</f>
        <v>3195.7958333333331</v>
      </c>
      <c r="X91" s="382">
        <f t="shared" si="57"/>
        <v>3161.0458572173006</v>
      </c>
      <c r="Y91" s="382">
        <f>Y85/Y76*1000000</f>
        <v>3077.7454733574755</v>
      </c>
      <c r="Z91" s="382">
        <f>Z85/Z76*1000000</f>
        <v>3093.4103626943001</v>
      </c>
      <c r="AA91" s="382">
        <f>AA85/AA76*1000000</f>
        <v>3131.0250783699062</v>
      </c>
      <c r="AB91" s="382">
        <f>AB85/AB76*1000000</f>
        <v>3169.2739726027394</v>
      </c>
      <c r="AC91" s="382">
        <f>AC85/AC76*1000000</f>
        <v>3208.1732199787461</v>
      </c>
      <c r="AD91" s="382"/>
      <c r="AE91" s="374"/>
      <c r="AF91" s="348"/>
      <c r="AG91" s="383"/>
      <c r="AH91" s="348"/>
      <c r="AI91" s="384"/>
      <c r="AJ91" s="320"/>
      <c r="AK91" s="320"/>
      <c r="AL91" s="320"/>
    </row>
    <row r="92" spans="1:38">
      <c r="A92" s="375" t="s">
        <v>429</v>
      </c>
      <c r="B92" s="352"/>
      <c r="C92" s="352"/>
      <c r="D92" s="352"/>
      <c r="E92" s="352"/>
      <c r="F92" s="352" t="e">
        <f>F91/E91-1</f>
        <v>#DIV/0!</v>
      </c>
      <c r="G92" s="352"/>
      <c r="H92" s="352"/>
      <c r="I92" s="352">
        <f t="shared" ref="I92:V92" si="58">I91/H91-1</f>
        <v>4.0712610623612422E-2</v>
      </c>
      <c r="J92" s="352">
        <f t="shared" si="58"/>
        <v>5.3587359827646619E-2</v>
      </c>
      <c r="K92" s="352">
        <f t="shared" si="58"/>
        <v>4.9080292703989281E-2</v>
      </c>
      <c r="L92" s="352">
        <f t="shared" si="58"/>
        <v>5.6433275651736503E-2</v>
      </c>
      <c r="M92" s="352">
        <f t="shared" si="58"/>
        <v>4.832698614604114E-2</v>
      </c>
      <c r="N92" s="352">
        <f t="shared" si="58"/>
        <v>2.2350840756072632E-2</v>
      </c>
      <c r="O92" s="352">
        <f t="shared" si="58"/>
        <v>4.5403103750637275E-2</v>
      </c>
      <c r="P92" s="352">
        <f t="shared" si="58"/>
        <v>4.2509306330105856E-2</v>
      </c>
      <c r="Q92" s="352">
        <f t="shared" si="58"/>
        <v>1.8741280200306853E-2</v>
      </c>
      <c r="R92" s="352">
        <f t="shared" si="58"/>
        <v>1.0445839968315385E-2</v>
      </c>
      <c r="S92" s="352">
        <f t="shared" si="58"/>
        <v>2.2653935475926978E-2</v>
      </c>
      <c r="T92" s="352">
        <f t="shared" si="58"/>
        <v>6.0848150374470666E-3</v>
      </c>
      <c r="U92" s="352">
        <f t="shared" si="58"/>
        <v>4.5654712360616578E-3</v>
      </c>
      <c r="V92" s="352">
        <f t="shared" si="58"/>
        <v>5.2969265026736601E-2</v>
      </c>
      <c r="W92" s="352">
        <f t="shared" ref="W92:AC92" si="59">W91/V91-1</f>
        <v>5.3841297307271052E-2</v>
      </c>
      <c r="X92" s="352">
        <f t="shared" si="59"/>
        <v>-1.0873653364704139E-2</v>
      </c>
      <c r="Y92" s="352">
        <f t="shared" si="59"/>
        <v>-2.6352159260718655E-2</v>
      </c>
      <c r="Z92" s="352">
        <f>Z91/Y91-1</f>
        <v>5.0897286576905287E-3</v>
      </c>
      <c r="AA92" s="352">
        <f t="shared" si="59"/>
        <v>1.2159626840728688E-2</v>
      </c>
      <c r="AB92" s="352">
        <f t="shared" si="59"/>
        <v>1.2216093220418056E-2</v>
      </c>
      <c r="AC92" s="1895">
        <f t="shared" si="59"/>
        <v>1.2273867047240872E-2</v>
      </c>
      <c r="AD92" s="352"/>
      <c r="AE92" s="355"/>
      <c r="AF92" s="348"/>
      <c r="AG92" s="323"/>
      <c r="AH92" s="348"/>
      <c r="AI92" s="357"/>
      <c r="AJ92" s="373"/>
      <c r="AK92" s="373"/>
      <c r="AL92" s="373"/>
    </row>
    <row r="93" spans="1:38">
      <c r="A93" s="377"/>
      <c r="B93" s="320"/>
      <c r="C93" s="320"/>
      <c r="D93" s="320"/>
      <c r="E93" s="320"/>
      <c r="F93" s="320"/>
      <c r="G93" s="320"/>
      <c r="H93" s="320"/>
      <c r="I93" s="320"/>
      <c r="J93" s="320"/>
      <c r="K93" s="320"/>
      <c r="L93" s="320"/>
      <c r="M93" s="320"/>
      <c r="N93" s="320"/>
      <c r="O93" s="320"/>
      <c r="P93" s="320"/>
      <c r="Q93" s="320"/>
      <c r="R93" s="320"/>
      <c r="S93" s="320"/>
      <c r="T93" s="320"/>
      <c r="U93" s="320"/>
      <c r="V93" s="320"/>
      <c r="W93" s="320"/>
      <c r="X93" s="320"/>
      <c r="Y93" s="320"/>
      <c r="Z93" s="320"/>
      <c r="AA93" s="320"/>
      <c r="AB93" s="320"/>
      <c r="AC93" s="377"/>
      <c r="AD93" s="320"/>
      <c r="AE93" s="355"/>
      <c r="AF93" s="348"/>
      <c r="AG93" s="323"/>
      <c r="AH93" s="348"/>
      <c r="AI93" s="357"/>
      <c r="AJ93" s="320"/>
      <c r="AK93" s="320"/>
      <c r="AL93" s="320"/>
    </row>
    <row r="94" spans="1:38">
      <c r="A94" s="375" t="s">
        <v>438</v>
      </c>
      <c r="B94" s="385"/>
      <c r="C94" s="385"/>
      <c r="D94" s="385"/>
      <c r="E94" s="385"/>
      <c r="F94" s="385">
        <f>F25/(F85)</f>
        <v>2692.6537698679322</v>
      </c>
      <c r="G94" s="385">
        <f>G25/(G85)</f>
        <v>1339.1624471055497</v>
      </c>
      <c r="H94" s="385">
        <f>H25/(H85)</f>
        <v>1249.5364888850972</v>
      </c>
      <c r="I94" s="385">
        <f t="shared" ref="I94:R94" si="60">I25/(I85)</f>
        <v>1294.5724995366265</v>
      </c>
      <c r="J94" s="385">
        <f t="shared" si="60"/>
        <v>1470.5364642831523</v>
      </c>
      <c r="K94" s="385">
        <f t="shared" si="60"/>
        <v>1784.4106183980282</v>
      </c>
      <c r="L94" s="385">
        <f t="shared" si="60"/>
        <v>2027.6498296780453</v>
      </c>
      <c r="M94" s="385">
        <f t="shared" si="60"/>
        <v>2094.1987115336824</v>
      </c>
      <c r="N94" s="385">
        <f t="shared" si="60"/>
        <v>2309.0495101839138</v>
      </c>
      <c r="O94" s="385">
        <f t="shared" si="60"/>
        <v>2362.6419131992043</v>
      </c>
      <c r="P94" s="385">
        <f t="shared" si="60"/>
        <v>2036.5645926137001</v>
      </c>
      <c r="Q94" s="385">
        <f t="shared" si="60"/>
        <v>2029.8607565201364</v>
      </c>
      <c r="R94" s="385">
        <f t="shared" si="60"/>
        <v>2150.4600715026122</v>
      </c>
      <c r="S94" s="385">
        <f>(S8+S10)/(S85)</f>
        <v>2130.8767242001882</v>
      </c>
      <c r="T94" s="385">
        <f>(T8+T10)/(T85)</f>
        <v>1968.3099864481565</v>
      </c>
      <c r="U94" s="385">
        <f t="shared" ref="U94:AC94" si="61">(U8+U10)/(U85)</f>
        <v>1675.1213568881935</v>
      </c>
      <c r="V94" s="385">
        <f t="shared" si="61"/>
        <v>1362.7246761941753</v>
      </c>
      <c r="W94" s="385">
        <f t="shared" si="61"/>
        <v>1336.8474988624378</v>
      </c>
      <c r="X94" s="385">
        <f t="shared" si="61"/>
        <v>1339.9170827393855</v>
      </c>
      <c r="Y94" s="385">
        <f t="shared" si="61"/>
        <v>1410.8512253309586</v>
      </c>
      <c r="Z94" s="385">
        <f t="shared" si="61"/>
        <v>1429.2032462439654</v>
      </c>
      <c r="AA94" s="385">
        <f t="shared" si="61"/>
        <v>1444.6316333502505</v>
      </c>
      <c r="AB94" s="385">
        <f t="shared" si="61"/>
        <v>1460.4188173175505</v>
      </c>
      <c r="AC94" s="385">
        <f t="shared" si="61"/>
        <v>1476.5710776250116</v>
      </c>
      <c r="AD94" s="385"/>
      <c r="AE94" s="355"/>
      <c r="AF94" s="348">
        <f>((V94/Q94)^(1/5)-1)*100</f>
        <v>-7.6603180071071701</v>
      </c>
      <c r="AG94" s="326" t="s">
        <v>428</v>
      </c>
      <c r="AH94" s="348">
        <f>((AA94/V94)^(1/5)-1)*100</f>
        <v>1.1742048942829708</v>
      </c>
      <c r="AI94" s="349" t="s">
        <v>428</v>
      </c>
      <c r="AJ94" s="320"/>
      <c r="AK94" s="320"/>
      <c r="AL94" s="320"/>
    </row>
    <row r="95" spans="1:38">
      <c r="A95" s="375" t="s">
        <v>429</v>
      </c>
      <c r="B95" s="352"/>
      <c r="C95" s="352"/>
      <c r="D95" s="352"/>
      <c r="E95" s="352"/>
      <c r="F95" s="352"/>
      <c r="G95" s="352">
        <f>G94/F94-1</f>
        <v>-0.50266073488860319</v>
      </c>
      <c r="H95" s="352">
        <f>H94/G94-1</f>
        <v>-6.6926875387051776E-2</v>
      </c>
      <c r="I95" s="352">
        <f t="shared" ref="I95:V95" si="62">I94/H94-1</f>
        <v>3.6042173279559719E-2</v>
      </c>
      <c r="J95" s="352">
        <f t="shared" si="62"/>
        <v>0.13592438029504694</v>
      </c>
      <c r="K95" s="352">
        <f>K94/J94-1</f>
        <v>0.21344193886948681</v>
      </c>
      <c r="L95" s="352">
        <f t="shared" si="62"/>
        <v>0.13631347447281361</v>
      </c>
      <c r="M95" s="352">
        <f t="shared" si="62"/>
        <v>3.282069757883388E-2</v>
      </c>
      <c r="N95" s="352">
        <f t="shared" si="62"/>
        <v>0.1025933200450142</v>
      </c>
      <c r="O95" s="352">
        <f t="shared" si="62"/>
        <v>2.3209724511719987E-2</v>
      </c>
      <c r="P95" s="352">
        <f t="shared" si="62"/>
        <v>-0.13801385591436055</v>
      </c>
      <c r="Q95" s="352">
        <f t="shared" si="62"/>
        <v>-3.2917375259677861E-3</v>
      </c>
      <c r="R95" s="352">
        <f t="shared" si="62"/>
        <v>5.9412604827743687E-2</v>
      </c>
      <c r="S95" s="352">
        <f t="shared" si="62"/>
        <v>-9.1065849405612687E-3</v>
      </c>
      <c r="T95" s="352">
        <f t="shared" si="62"/>
        <v>-7.6291010130137948E-2</v>
      </c>
      <c r="U95" s="352">
        <f t="shared" si="62"/>
        <v>-0.14895449983923825</v>
      </c>
      <c r="V95" s="352">
        <f t="shared" si="62"/>
        <v>-0.18649196931877532</v>
      </c>
      <c r="W95" s="352">
        <f t="shared" ref="W95:AC95" si="63">W94/V94-1</f>
        <v>-1.8989292396177526E-2</v>
      </c>
      <c r="X95" s="352">
        <f t="shared" si="63"/>
        <v>2.2961361558140325E-3</v>
      </c>
      <c r="Y95" s="352">
        <f t="shared" si="63"/>
        <v>5.2939203108413491E-2</v>
      </c>
      <c r="Z95" s="352">
        <f>Z94/Y94-1</f>
        <v>1.3007764804330524E-2</v>
      </c>
      <c r="AA95" s="352">
        <f t="shared" si="63"/>
        <v>1.0795096601432963E-2</v>
      </c>
      <c r="AB95" s="352">
        <f t="shared" si="63"/>
        <v>1.092817269319224E-2</v>
      </c>
      <c r="AC95" s="1895">
        <f t="shared" si="63"/>
        <v>1.106001930126399E-2</v>
      </c>
      <c r="AD95" s="352"/>
      <c r="AE95" s="355"/>
      <c r="AF95" s="348"/>
      <c r="AG95" s="323"/>
      <c r="AH95" s="348"/>
      <c r="AI95" s="357"/>
      <c r="AJ95" s="320"/>
      <c r="AK95" s="320"/>
      <c r="AL95" s="320"/>
    </row>
    <row r="96" spans="1:38">
      <c r="A96" s="377"/>
      <c r="B96" s="320"/>
      <c r="C96" s="320"/>
      <c r="D96" s="320"/>
      <c r="E96" s="320"/>
      <c r="F96" s="320"/>
      <c r="G96" s="320"/>
      <c r="H96" s="320"/>
      <c r="I96" s="320"/>
      <c r="J96" s="320"/>
      <c r="K96" s="320"/>
      <c r="L96" s="320"/>
      <c r="M96" s="320"/>
      <c r="N96" s="320"/>
      <c r="O96" s="320"/>
      <c r="P96" s="320"/>
      <c r="Q96" s="320"/>
      <c r="R96" s="320"/>
      <c r="S96" s="320"/>
      <c r="T96" s="320"/>
      <c r="U96" s="320"/>
      <c r="V96" s="320"/>
      <c r="W96" s="320"/>
      <c r="X96" s="320"/>
      <c r="Y96" s="320"/>
      <c r="Z96" s="320"/>
      <c r="AA96" s="320"/>
      <c r="AB96" s="320"/>
      <c r="AC96" s="377"/>
      <c r="AD96" s="320"/>
      <c r="AE96" s="355"/>
      <c r="AF96" s="348"/>
      <c r="AG96" s="323"/>
      <c r="AH96" s="348"/>
      <c r="AI96" s="357"/>
      <c r="AJ96" s="320"/>
      <c r="AK96" s="320"/>
      <c r="AL96" s="320"/>
    </row>
    <row r="97" spans="1:38">
      <c r="A97" s="375" t="s">
        <v>213</v>
      </c>
      <c r="B97" s="352"/>
      <c r="C97" s="352"/>
      <c r="D97" s="352"/>
      <c r="E97" s="352"/>
      <c r="F97" s="352"/>
      <c r="G97" s="352"/>
      <c r="H97" s="352">
        <f>CoachNAqtrSalesOld!F58/100</f>
        <v>3.2000000000000001E-2</v>
      </c>
      <c r="I97" s="352">
        <f>+CoachNAqtrSalesOld!F65/100</f>
        <v>3.9E-2</v>
      </c>
      <c r="J97" s="386">
        <f>+CoachNAqtrSalesOld!F72/100</f>
        <v>0.152</v>
      </c>
      <c r="K97" s="352">
        <f>+'qtrP&amp;L'!AP14/100</f>
        <v>0.16899999999999998</v>
      </c>
      <c r="L97" s="352">
        <f>CoachNAqtrSalesOld!F86/100</f>
        <v>0.182</v>
      </c>
      <c r="M97" s="352">
        <v>0.20699999999999999</v>
      </c>
      <c r="N97" s="352">
        <v>0.223</v>
      </c>
      <c r="O97" s="352">
        <v>9.8000000000000004E-2</v>
      </c>
      <c r="P97" s="352">
        <v>-6.8000000000000005E-2</v>
      </c>
      <c r="Q97" s="352">
        <v>3.5557111151952245E-2</v>
      </c>
      <c r="R97" s="352">
        <f>'qtrP&amp;L'!BR14/100</f>
        <v>0.106</v>
      </c>
      <c r="S97" s="352">
        <f>'qtrP&amp;L'!BV14/100</f>
        <v>6.6000000000000003E-2</v>
      </c>
      <c r="T97" s="352">
        <f>'qtrP&amp;L'!BZ14/100</f>
        <v>3.0000000000000001E-3</v>
      </c>
      <c r="U97" s="352">
        <f>'qtrP&amp;L'!CD14/100</f>
        <v>-0.15</v>
      </c>
      <c r="V97" s="352">
        <f>'qtrP&amp;L'!CH14/100</f>
        <v>-0.22</v>
      </c>
      <c r="W97" s="352">
        <f>'qtrP&amp;L'!CL14/100</f>
        <v>-3.3000000000000002E-2</v>
      </c>
      <c r="X97" s="352">
        <f>'qtrP&amp;L'!CP14/100</f>
        <v>3.1E-2</v>
      </c>
      <c r="Y97" s="352">
        <f>'qtrP&amp;L'!CT14/100</f>
        <v>0</v>
      </c>
      <c r="Z97" s="387">
        <v>0.01</v>
      </c>
      <c r="AA97" s="387">
        <v>0.01</v>
      </c>
      <c r="AB97" s="387">
        <v>0.01</v>
      </c>
      <c r="AC97" s="1896">
        <v>0.01</v>
      </c>
      <c r="AD97" s="387"/>
      <c r="AE97" s="388"/>
      <c r="AF97" s="348"/>
      <c r="AG97" s="323"/>
      <c r="AH97" s="348"/>
      <c r="AI97" s="357"/>
      <c r="AJ97" s="320"/>
      <c r="AK97" s="320"/>
      <c r="AL97" s="320"/>
    </row>
    <row r="98" spans="1:38">
      <c r="A98" s="375" t="s">
        <v>127</v>
      </c>
      <c r="B98" s="352"/>
      <c r="C98" s="352"/>
      <c r="D98" s="352"/>
      <c r="E98" s="352"/>
      <c r="F98" s="352"/>
      <c r="G98" s="352"/>
      <c r="H98" s="685" t="s">
        <v>606</v>
      </c>
      <c r="I98" s="685" t="s">
        <v>606</v>
      </c>
      <c r="J98" s="685" t="s">
        <v>606</v>
      </c>
      <c r="K98" s="685" t="s">
        <v>606</v>
      </c>
      <c r="L98" s="685" t="s">
        <v>606</v>
      </c>
      <c r="M98" s="685" t="s">
        <v>606</v>
      </c>
      <c r="N98" s="685" t="s">
        <v>606</v>
      </c>
      <c r="O98" s="685" t="s">
        <v>606</v>
      </c>
      <c r="P98" s="685" t="s">
        <v>606</v>
      </c>
      <c r="Q98" s="685" t="s">
        <v>606</v>
      </c>
      <c r="R98" s="685" t="s">
        <v>606</v>
      </c>
      <c r="S98" s="685" t="s">
        <v>606</v>
      </c>
      <c r="T98" s="685" t="s">
        <v>606</v>
      </c>
      <c r="U98" s="685" t="s">
        <v>606</v>
      </c>
      <c r="V98" s="685" t="s">
        <v>606</v>
      </c>
      <c r="W98" s="685" t="s">
        <v>606</v>
      </c>
      <c r="X98" s="685" t="s">
        <v>606</v>
      </c>
      <c r="Y98" s="685" t="s">
        <v>606</v>
      </c>
      <c r="Z98" s="387">
        <v>0.02</v>
      </c>
      <c r="AA98" s="387">
        <v>1.4999999999999999E-2</v>
      </c>
      <c r="AB98" s="387">
        <v>1.4999999999999999E-2</v>
      </c>
      <c r="AC98" s="1896">
        <v>1.4999999999999999E-2</v>
      </c>
      <c r="AD98" s="387"/>
      <c r="AE98" s="388"/>
      <c r="AF98" s="348"/>
      <c r="AG98" s="323"/>
      <c r="AH98" s="348"/>
      <c r="AI98" s="357"/>
      <c r="AJ98" s="320"/>
      <c r="AK98" s="320"/>
      <c r="AL98" s="320"/>
    </row>
    <row r="99" spans="1:38">
      <c r="A99" s="2068" t="s">
        <v>858</v>
      </c>
      <c r="B99" s="352"/>
      <c r="C99" s="352"/>
      <c r="D99" s="352"/>
      <c r="E99" s="352"/>
      <c r="F99" s="352"/>
      <c r="G99" s="352"/>
      <c r="H99" s="685"/>
      <c r="I99" s="685"/>
      <c r="J99" s="685"/>
      <c r="K99" s="685"/>
      <c r="L99" s="685"/>
      <c r="M99" s="685"/>
      <c r="N99" s="685"/>
      <c r="O99" s="685"/>
      <c r="P99" s="685"/>
      <c r="Q99" s="685"/>
      <c r="R99" s="685"/>
      <c r="S99" s="685"/>
      <c r="T99" s="685"/>
      <c r="U99" s="685"/>
      <c r="V99" s="685"/>
      <c r="W99" s="685"/>
      <c r="X99" s="685"/>
      <c r="Y99" s="2368">
        <f>+'SegOM-New'!G34/100</f>
        <v>1.2695740251674479E-2</v>
      </c>
      <c r="Z99" s="2368">
        <f>+(Z97*0.57)+(0.43*Z98)</f>
        <v>1.43E-2</v>
      </c>
      <c r="AA99" s="2368">
        <f>+(AA97*0.57)+(0.43*AA98)</f>
        <v>1.2149999999999999E-2</v>
      </c>
      <c r="AB99" s="2368">
        <f>+(AB97*0.57)+(0.43*AB98)</f>
        <v>1.2149999999999999E-2</v>
      </c>
      <c r="AC99" s="2368">
        <f>+(AC97*0.57)+(0.43*AC98)</f>
        <v>1.2149999999999999E-2</v>
      </c>
      <c r="AD99" s="387"/>
      <c r="AE99" s="388"/>
      <c r="AF99" s="348"/>
      <c r="AG99" s="323"/>
      <c r="AH99" s="348"/>
      <c r="AI99" s="357"/>
      <c r="AJ99" s="320"/>
      <c r="AK99" s="320"/>
      <c r="AL99" s="320"/>
    </row>
    <row r="100" spans="1:38" ht="13.5" hidden="1" outlineLevel="1" thickBot="1">
      <c r="A100" s="377"/>
      <c r="B100" s="320"/>
      <c r="C100" s="320"/>
      <c r="D100" s="320"/>
      <c r="E100" s="320"/>
      <c r="F100" s="320"/>
      <c r="G100" s="320"/>
      <c r="H100" s="320"/>
      <c r="I100" s="320"/>
      <c r="J100" s="320"/>
      <c r="K100" s="320"/>
      <c r="L100" s="320"/>
      <c r="M100" s="320"/>
      <c r="N100" s="320"/>
      <c r="O100" s="320"/>
      <c r="P100" s="320"/>
      <c r="Q100" s="320"/>
      <c r="R100" s="320"/>
      <c r="S100" s="320"/>
      <c r="T100" s="320"/>
      <c r="U100" s="320"/>
      <c r="V100" s="320"/>
      <c r="W100" s="320"/>
      <c r="X100" s="320"/>
      <c r="Y100" s="320"/>
      <c r="Z100" s="320"/>
      <c r="AA100" s="320"/>
      <c r="AB100" s="320"/>
      <c r="AC100" s="377"/>
      <c r="AD100" s="320"/>
      <c r="AE100" s="355"/>
      <c r="AF100" s="348"/>
      <c r="AG100" s="323"/>
      <c r="AH100" s="348"/>
      <c r="AI100" s="357"/>
      <c r="AJ100" s="320"/>
      <c r="AK100" s="320"/>
      <c r="AL100" s="320"/>
    </row>
    <row r="101" spans="1:38" ht="13.5" hidden="1" outlineLevel="1" thickBot="1">
      <c r="A101" s="375" t="s">
        <v>225</v>
      </c>
      <c r="B101" s="389"/>
      <c r="C101" s="389"/>
      <c r="D101" s="389"/>
      <c r="E101" s="389"/>
      <c r="F101" s="389"/>
      <c r="G101" s="389"/>
      <c r="H101" s="389"/>
      <c r="I101" s="389"/>
      <c r="J101" s="389"/>
      <c r="K101" s="389"/>
      <c r="L101" s="389"/>
      <c r="M101" s="344"/>
      <c r="N101" s="390"/>
      <c r="O101" s="381"/>
      <c r="P101" s="389"/>
      <c r="Q101" s="432">
        <f>(Q102+Q106+Q108)/(P102+P106+P108)-1</f>
        <v>7.7829030735482085E-2</v>
      </c>
      <c r="R101" s="433">
        <f>(R102+R106+R108)/(Q102+Q106+Q108)-1</f>
        <v>7.1618861196957484E-2</v>
      </c>
      <c r="S101" s="434">
        <f>(S102+S106+S108+S104)/(R102+R106+R108+R104)-1</f>
        <v>0.10308438844913881</v>
      </c>
      <c r="T101" s="389"/>
      <c r="U101" s="707"/>
      <c r="V101" s="706"/>
      <c r="W101" s="389"/>
      <c r="X101" s="389"/>
      <c r="Y101" s="389"/>
      <c r="Z101" s="389"/>
      <c r="AA101" s="389"/>
      <c r="AB101" s="389"/>
      <c r="AC101" s="407"/>
      <c r="AD101" s="389"/>
      <c r="AE101" s="374"/>
      <c r="AF101" s="348"/>
      <c r="AG101" s="383"/>
      <c r="AH101" s="348"/>
      <c r="AI101" s="357"/>
      <c r="AJ101" s="320"/>
      <c r="AK101" s="320"/>
      <c r="AL101" s="320"/>
    </row>
    <row r="102" spans="1:38" ht="12.75" hidden="1" customHeight="1" outlineLevel="1">
      <c r="A102" s="391" t="s">
        <v>288</v>
      </c>
      <c r="B102" s="392"/>
      <c r="C102" s="392"/>
      <c r="D102" s="392"/>
      <c r="E102" s="393">
        <v>0.19050300000000001</v>
      </c>
      <c r="F102" s="393">
        <v>0.196494</v>
      </c>
      <c r="G102" s="393">
        <v>0.20905899999999999</v>
      </c>
      <c r="H102" s="393">
        <v>0.25113600000000003</v>
      </c>
      <c r="I102" s="393">
        <v>0.30150100000000002</v>
      </c>
      <c r="J102" s="393">
        <v>0.36331000000000002</v>
      </c>
      <c r="K102" s="394">
        <v>0.43161699999999997</v>
      </c>
      <c r="L102" s="393">
        <v>0.490925</v>
      </c>
      <c r="M102" s="393">
        <v>0.56255299999999997</v>
      </c>
      <c r="N102" s="393">
        <v>0.67273700000000003</v>
      </c>
      <c r="O102" s="380">
        <v>0.79522599999999999</v>
      </c>
      <c r="P102" s="380">
        <v>0.89303699999999997</v>
      </c>
      <c r="Q102" s="380">
        <f>0.92958-Q104</f>
        <v>0.92864899999999995</v>
      </c>
      <c r="R102" s="380">
        <f>0.936277-R104</f>
        <v>0.93416500000000002</v>
      </c>
      <c r="S102" s="380">
        <v>0.95221299999999998</v>
      </c>
      <c r="T102" s="380">
        <v>0.94553600000000004</v>
      </c>
      <c r="U102" s="380">
        <v>0.90286100000000002</v>
      </c>
      <c r="V102" s="1593">
        <v>0.72481499999999999</v>
      </c>
      <c r="W102" s="1593">
        <v>0.65937599999999996</v>
      </c>
      <c r="X102" s="381">
        <f t="shared" ref="X102:AC102" si="64">+W102+X34*X137/1000000+X48*X137/1000000</f>
        <v>0.62787599999999999</v>
      </c>
      <c r="Y102" s="381">
        <f t="shared" si="64"/>
        <v>0.64587600000000001</v>
      </c>
      <c r="Z102" s="381">
        <f>+Y102+Z34*Z137/1000000+Z48*Z137/1000000</f>
        <v>0.578376</v>
      </c>
      <c r="AA102" s="381">
        <f t="shared" si="64"/>
        <v>0.510876</v>
      </c>
      <c r="AB102" s="381">
        <f t="shared" si="64"/>
        <v>0.44337599999999999</v>
      </c>
      <c r="AC102" s="381">
        <f t="shared" si="64"/>
        <v>0.37587599999999999</v>
      </c>
      <c r="AD102" s="381"/>
      <c r="AE102" s="374"/>
      <c r="AF102" s="348"/>
      <c r="AG102" s="383"/>
      <c r="AH102" s="348"/>
      <c r="AI102" s="357"/>
      <c r="AJ102" s="320"/>
      <c r="AK102" s="320"/>
      <c r="AL102" s="320"/>
    </row>
    <row r="103" spans="1:38" ht="12.75" hidden="1" customHeight="1" outlineLevel="1">
      <c r="A103" s="391"/>
      <c r="B103" s="392"/>
      <c r="C103" s="395"/>
      <c r="D103" s="392"/>
      <c r="E103" s="395"/>
      <c r="F103" s="395">
        <f t="shared" ref="F103:V103" si="65">F102/E102-1</f>
        <v>3.1448323648446408E-2</v>
      </c>
      <c r="G103" s="395">
        <f t="shared" si="65"/>
        <v>6.3945972905025128E-2</v>
      </c>
      <c r="H103" s="395">
        <f t="shared" si="65"/>
        <v>0.20126854141653805</v>
      </c>
      <c r="I103" s="395">
        <f t="shared" si="65"/>
        <v>0.20054870667686031</v>
      </c>
      <c r="J103" s="395">
        <f t="shared" si="65"/>
        <v>0.20500429517646701</v>
      </c>
      <c r="K103" s="395">
        <f t="shared" si="65"/>
        <v>0.18801299166001462</v>
      </c>
      <c r="L103" s="395">
        <f t="shared" si="65"/>
        <v>0.13740886017001186</v>
      </c>
      <c r="M103" s="395">
        <f t="shared" si="65"/>
        <v>0.14590416051331667</v>
      </c>
      <c r="N103" s="395">
        <f t="shared" si="65"/>
        <v>0.19586421190536729</v>
      </c>
      <c r="O103" s="395">
        <f t="shared" si="65"/>
        <v>0.1820756105283341</v>
      </c>
      <c r="P103" s="395">
        <f t="shared" si="65"/>
        <v>0.12299773900752742</v>
      </c>
      <c r="Q103" s="395">
        <f t="shared" si="65"/>
        <v>3.987740709511467E-2</v>
      </c>
      <c r="R103" s="395">
        <f t="shared" si="65"/>
        <v>5.9398114895941045E-3</v>
      </c>
      <c r="S103" s="395">
        <f t="shared" si="65"/>
        <v>1.9319927421815208E-2</v>
      </c>
      <c r="T103" s="395">
        <f t="shared" si="65"/>
        <v>-7.0120865814685684E-3</v>
      </c>
      <c r="U103" s="395">
        <f t="shared" si="65"/>
        <v>-4.5133130837958557E-2</v>
      </c>
      <c r="V103" s="395">
        <f t="shared" si="65"/>
        <v>-0.19720200562434309</v>
      </c>
      <c r="W103" s="395">
        <f>W102/(V102+V104)-1</f>
        <v>-9.5298923072912434E-2</v>
      </c>
      <c r="X103" s="395">
        <f t="shared" ref="X103:AC103" si="66">X102/W102-1</f>
        <v>-4.777243939724829E-2</v>
      </c>
      <c r="Y103" s="395">
        <f t="shared" si="66"/>
        <v>2.866808095866058E-2</v>
      </c>
      <c r="Z103" s="395">
        <f>Z102/Y102-1</f>
        <v>-0.10450922468089852</v>
      </c>
      <c r="AA103" s="395">
        <f t="shared" si="66"/>
        <v>-0.11670608738951826</v>
      </c>
      <c r="AB103" s="395">
        <f t="shared" si="66"/>
        <v>-0.13212599534916503</v>
      </c>
      <c r="AC103" s="1897">
        <f t="shared" si="66"/>
        <v>-0.15224098733354985</v>
      </c>
      <c r="AD103" s="395"/>
      <c r="AE103" s="374"/>
      <c r="AF103" s="348"/>
      <c r="AG103" s="383"/>
      <c r="AH103" s="348"/>
      <c r="AI103" s="357"/>
      <c r="AJ103" s="320"/>
      <c r="AK103" s="2"/>
      <c r="AL103" s="2"/>
    </row>
    <row r="104" spans="1:38" ht="12.75" hidden="1" customHeight="1" outlineLevel="1">
      <c r="A104" s="391" t="s">
        <v>581</v>
      </c>
      <c r="B104" s="392"/>
      <c r="C104" s="395"/>
      <c r="D104" s="392"/>
      <c r="E104" s="395"/>
      <c r="F104" s="395"/>
      <c r="G104" s="395"/>
      <c r="H104" s="395"/>
      <c r="I104" s="395"/>
      <c r="J104" s="395"/>
      <c r="K104" s="395"/>
      <c r="L104" s="395"/>
      <c r="M104" s="395"/>
      <c r="N104" s="395"/>
      <c r="O104" s="395"/>
      <c r="P104" s="395"/>
      <c r="Q104" s="380">
        <v>9.3099999999999997E-4</v>
      </c>
      <c r="R104" s="380">
        <v>2.1120000000000002E-3</v>
      </c>
      <c r="S104" s="380">
        <v>6.8859999999999998E-3</v>
      </c>
      <c r="T104" s="380">
        <v>6.8859999999999998E-3</v>
      </c>
      <c r="U104" s="380">
        <v>7.1419999999999999E-3</v>
      </c>
      <c r="V104" s="1593">
        <v>4.0179999999999999E-3</v>
      </c>
      <c r="W104" s="1667">
        <v>0</v>
      </c>
      <c r="X104" s="1667">
        <v>0</v>
      </c>
      <c r="Y104" s="1667">
        <v>0</v>
      </c>
      <c r="Z104" s="1667">
        <v>0</v>
      </c>
      <c r="AA104" s="1667">
        <v>0</v>
      </c>
      <c r="AB104" s="1667">
        <v>0</v>
      </c>
      <c r="AC104" s="381">
        <v>0</v>
      </c>
      <c r="AD104" s="381"/>
      <c r="AE104" s="374"/>
      <c r="AF104" s="348"/>
      <c r="AG104" s="383"/>
      <c r="AH104" s="348"/>
      <c r="AI104" s="357"/>
      <c r="AJ104" s="320"/>
      <c r="AK104" s="2"/>
      <c r="AL104" s="2"/>
    </row>
    <row r="105" spans="1:38" ht="12.75" hidden="1" customHeight="1" outlineLevel="1">
      <c r="A105" s="391"/>
      <c r="B105" s="392"/>
      <c r="C105" s="395"/>
      <c r="D105" s="392"/>
      <c r="E105" s="395"/>
      <c r="F105" s="395"/>
      <c r="G105" s="395"/>
      <c r="H105" s="395"/>
      <c r="I105" s="395"/>
      <c r="J105" s="395"/>
      <c r="K105" s="395"/>
      <c r="L105" s="395"/>
      <c r="M105" s="395"/>
      <c r="N105" s="395"/>
      <c r="O105" s="395"/>
      <c r="P105" s="395"/>
      <c r="Q105" s="582" t="s">
        <v>606</v>
      </c>
      <c r="R105" s="395">
        <f>R104/Q104-1</f>
        <v>1.2685284640171859</v>
      </c>
      <c r="S105" s="395">
        <f>S104/R104-1</f>
        <v>2.2604166666666665</v>
      </c>
      <c r="T105" s="395">
        <f>T104/S104-1</f>
        <v>0</v>
      </c>
      <c r="U105" s="395">
        <f>U104/T104-1</f>
        <v>3.7176880627359798E-2</v>
      </c>
      <c r="V105" s="395">
        <f>V104/U104-1</f>
        <v>-0.4374124894987399</v>
      </c>
      <c r="W105" s="395"/>
      <c r="X105" s="395"/>
      <c r="Y105" s="395"/>
      <c r="Z105" s="395"/>
      <c r="AA105" s="395"/>
      <c r="AB105" s="395"/>
      <c r="AC105" s="1897"/>
      <c r="AD105" s="395"/>
      <c r="AE105" s="374"/>
      <c r="AF105" s="348"/>
      <c r="AG105" s="383"/>
      <c r="AH105" s="348"/>
      <c r="AI105" s="357"/>
      <c r="AJ105" s="320"/>
      <c r="AK105" s="2"/>
      <c r="AL105" s="2"/>
    </row>
    <row r="106" spans="1:38" ht="12.75" hidden="1" customHeight="1" outlineLevel="1">
      <c r="A106" s="396" t="s">
        <v>289</v>
      </c>
      <c r="B106" s="397"/>
      <c r="C106" s="392"/>
      <c r="D106" s="397"/>
      <c r="E106" s="393">
        <v>0.173628</v>
      </c>
      <c r="F106" s="394">
        <v>0.17558799999999999</v>
      </c>
      <c r="G106" s="398">
        <v>0.18251000000000001</v>
      </c>
      <c r="H106" s="393">
        <v>0.19892399999999999</v>
      </c>
      <c r="I106" s="394">
        <v>0.21950700000000001</v>
      </c>
      <c r="J106" s="393">
        <v>0.23289799999999999</v>
      </c>
      <c r="K106" s="393">
        <v>0.23135500000000001</v>
      </c>
      <c r="L106" s="393">
        <v>0.25227899999999998</v>
      </c>
      <c r="M106" s="393">
        <v>0.28178700000000001</v>
      </c>
      <c r="N106" s="393">
        <v>0.32137199999999999</v>
      </c>
      <c r="O106" s="380">
        <v>0.41338900000000001</v>
      </c>
      <c r="P106" s="380">
        <v>0.47772399999999998</v>
      </c>
      <c r="Q106" s="380">
        <v>0.54879699999999998</v>
      </c>
      <c r="R106" s="380">
        <f>0.649094-(R108)</f>
        <v>0.6069</v>
      </c>
      <c r="S106" s="380">
        <v>0.69832399999999994</v>
      </c>
      <c r="T106" s="380">
        <v>0.86153400000000002</v>
      </c>
      <c r="U106" s="1593">
        <v>1.008867</v>
      </c>
      <c r="V106" s="1593">
        <v>1.0972029999999999</v>
      </c>
      <c r="W106" s="1593">
        <v>1.2327699999999999</v>
      </c>
      <c r="X106" s="381">
        <f t="shared" ref="X106:AC106" si="67">+W106+X36*X139/1000000+X50*X139/1000000</f>
        <v>1.18177</v>
      </c>
      <c r="Y106" s="381">
        <f t="shared" si="67"/>
        <v>1.1222699999999999</v>
      </c>
      <c r="Z106" s="381">
        <f>+Y106+Z36*Z139/1000000+Z50*Z139/1000000</f>
        <v>1.1222699999999999</v>
      </c>
      <c r="AA106" s="381">
        <f t="shared" si="67"/>
        <v>1.1222699999999999</v>
      </c>
      <c r="AB106" s="381">
        <f t="shared" si="67"/>
        <v>1.1222699999999999</v>
      </c>
      <c r="AC106" s="381">
        <f t="shared" si="67"/>
        <v>1.1222699999999999</v>
      </c>
      <c r="AD106" s="381"/>
      <c r="AE106" s="355"/>
      <c r="AF106" s="348"/>
      <c r="AG106" s="323"/>
      <c r="AH106" s="348"/>
      <c r="AI106" s="357"/>
      <c r="AJ106" s="320"/>
      <c r="AK106" s="320"/>
      <c r="AL106" s="320"/>
    </row>
    <row r="107" spans="1:38" ht="12.75" hidden="1" customHeight="1" outlineLevel="1">
      <c r="A107" s="396"/>
      <c r="B107" s="397"/>
      <c r="C107" s="395"/>
      <c r="D107" s="397"/>
      <c r="E107" s="395"/>
      <c r="F107" s="395">
        <f t="shared" ref="F107:V107" si="68">F106/E106-1</f>
        <v>1.1288501854539446E-2</v>
      </c>
      <c r="G107" s="395">
        <f t="shared" si="68"/>
        <v>3.9421828370959311E-2</v>
      </c>
      <c r="H107" s="395">
        <f t="shared" si="68"/>
        <v>8.9934798093254997E-2</v>
      </c>
      <c r="I107" s="395">
        <f t="shared" si="68"/>
        <v>0.10347167762562592</v>
      </c>
      <c r="J107" s="395">
        <f t="shared" si="68"/>
        <v>6.1004888226799059E-2</v>
      </c>
      <c r="K107" s="395">
        <f t="shared" si="68"/>
        <v>-6.6252179065513506E-3</v>
      </c>
      <c r="L107" s="395">
        <f t="shared" si="68"/>
        <v>9.0441097015409033E-2</v>
      </c>
      <c r="M107" s="395">
        <f t="shared" si="68"/>
        <v>0.11696574031132223</v>
      </c>
      <c r="N107" s="395">
        <f t="shared" si="68"/>
        <v>0.14047844648617569</v>
      </c>
      <c r="O107" s="395">
        <f t="shared" si="68"/>
        <v>0.28632550439988558</v>
      </c>
      <c r="P107" s="395">
        <f t="shared" si="68"/>
        <v>0.15562823393946124</v>
      </c>
      <c r="Q107" s="395">
        <f t="shared" si="68"/>
        <v>0.14877418760623295</v>
      </c>
      <c r="R107" s="395">
        <f t="shared" si="68"/>
        <v>0.10587339216504477</v>
      </c>
      <c r="S107" s="395">
        <f t="shared" si="68"/>
        <v>0.15064096226725976</v>
      </c>
      <c r="T107" s="395">
        <f t="shared" si="68"/>
        <v>0.23371672747893535</v>
      </c>
      <c r="U107" s="395">
        <f t="shared" si="68"/>
        <v>0.17101240345708923</v>
      </c>
      <c r="V107" s="395">
        <f t="shared" si="68"/>
        <v>8.7559608947462841E-2</v>
      </c>
      <c r="W107" s="395">
        <f>W106/(V106+V108)-1</f>
        <v>3.6796751605105982E-2</v>
      </c>
      <c r="X107" s="395">
        <f t="shared" ref="X107:AC107" si="69">X106/W106-1</f>
        <v>-4.1370247491421708E-2</v>
      </c>
      <c r="Y107" s="395">
        <f t="shared" si="69"/>
        <v>-5.0348206503803672E-2</v>
      </c>
      <c r="Z107" s="395">
        <f>Z106/Y106-1</f>
        <v>0</v>
      </c>
      <c r="AA107" s="395">
        <f t="shared" si="69"/>
        <v>0</v>
      </c>
      <c r="AB107" s="395">
        <f t="shared" si="69"/>
        <v>0</v>
      </c>
      <c r="AC107" s="1897">
        <f t="shared" si="69"/>
        <v>0</v>
      </c>
      <c r="AD107" s="395"/>
      <c r="AE107" s="355"/>
      <c r="AF107" s="348"/>
      <c r="AG107" s="323"/>
      <c r="AH107" s="348"/>
      <c r="AI107" s="357"/>
      <c r="AJ107" s="320"/>
      <c r="AK107" s="320"/>
      <c r="AL107" s="320"/>
    </row>
    <row r="108" spans="1:38" ht="12.75" hidden="1" customHeight="1" outlineLevel="1">
      <c r="A108" s="396" t="s">
        <v>417</v>
      </c>
      <c r="B108" s="397"/>
      <c r="C108" s="395"/>
      <c r="D108" s="397"/>
      <c r="E108" s="395"/>
      <c r="F108" s="395"/>
      <c r="G108" s="395"/>
      <c r="H108" s="395"/>
      <c r="I108" s="395"/>
      <c r="J108" s="395"/>
      <c r="K108" s="395"/>
      <c r="L108" s="395"/>
      <c r="M108" s="395"/>
      <c r="N108" s="395"/>
      <c r="O108" s="395"/>
      <c r="P108" s="395"/>
      <c r="Q108" s="380">
        <v>0</v>
      </c>
      <c r="R108" s="380">
        <v>4.2194000000000002E-2</v>
      </c>
      <c r="S108" s="380">
        <v>9.1374999999999998E-2</v>
      </c>
      <c r="T108" s="380">
        <v>0.120668</v>
      </c>
      <c r="U108" s="1593">
        <v>0.123847</v>
      </c>
      <c r="V108" s="1593">
        <v>9.1814999999999994E-2</v>
      </c>
      <c r="W108" s="1667">
        <v>0</v>
      </c>
      <c r="X108" s="1667">
        <v>0</v>
      </c>
      <c r="Y108" s="1667">
        <v>0</v>
      </c>
      <c r="Z108" s="1667">
        <v>0</v>
      </c>
      <c r="AA108" s="1667">
        <v>0</v>
      </c>
      <c r="AB108" s="1667">
        <v>0</v>
      </c>
      <c r="AC108" s="381">
        <v>0</v>
      </c>
      <c r="AD108" s="381"/>
      <c r="AE108" s="355"/>
      <c r="AF108" s="348"/>
      <c r="AG108" s="323"/>
      <c r="AH108" s="348"/>
      <c r="AI108" s="357"/>
      <c r="AJ108" s="320"/>
      <c r="AK108" s="320"/>
      <c r="AL108" s="320"/>
    </row>
    <row r="109" spans="1:38" ht="12.75" hidden="1" customHeight="1" outlineLevel="1">
      <c r="A109" s="396"/>
      <c r="B109" s="397"/>
      <c r="C109" s="395"/>
      <c r="D109" s="397"/>
      <c r="E109" s="395"/>
      <c r="F109" s="395"/>
      <c r="G109" s="395"/>
      <c r="H109" s="395"/>
      <c r="I109" s="395"/>
      <c r="J109" s="395"/>
      <c r="K109" s="395"/>
      <c r="L109" s="395"/>
      <c r="M109" s="395"/>
      <c r="N109" s="395"/>
      <c r="O109" s="395"/>
      <c r="P109" s="395"/>
      <c r="Q109" s="395"/>
      <c r="R109" s="395"/>
      <c r="S109" s="395">
        <f>S108/R108-1</f>
        <v>1.1655922643029815</v>
      </c>
      <c r="T109" s="395">
        <f>T108/S108-1</f>
        <v>0.32058002735978119</v>
      </c>
      <c r="U109" s="395">
        <f>U108/T108-1</f>
        <v>2.6345012762289954E-2</v>
      </c>
      <c r="V109" s="395">
        <f>V108/U108-1</f>
        <v>-0.25864171114358847</v>
      </c>
      <c r="W109" s="395"/>
      <c r="X109" s="395"/>
      <c r="Y109" s="395"/>
      <c r="Z109" s="395"/>
      <c r="AA109" s="395"/>
      <c r="AB109" s="395"/>
      <c r="AC109" s="1897"/>
      <c r="AD109" s="395"/>
      <c r="AE109" s="355"/>
      <c r="AF109" s="348"/>
      <c r="AG109" s="323"/>
      <c r="AH109" s="348"/>
      <c r="AI109" s="357"/>
      <c r="AJ109" s="320"/>
      <c r="AK109" s="320"/>
      <c r="AL109" s="320"/>
    </row>
    <row r="110" spans="1:38" ht="12.75" hidden="1" customHeight="1" outlineLevel="1">
      <c r="A110" s="396"/>
      <c r="B110" s="397"/>
      <c r="C110" s="395"/>
      <c r="D110" s="397"/>
      <c r="E110" s="395"/>
      <c r="F110" s="395"/>
      <c r="G110" s="395"/>
      <c r="H110" s="395"/>
      <c r="I110" s="395"/>
      <c r="J110" s="395"/>
      <c r="K110" s="395"/>
      <c r="L110" s="395"/>
      <c r="M110" s="395"/>
      <c r="N110" s="395"/>
      <c r="O110" s="395"/>
      <c r="P110" s="395"/>
      <c r="Q110" s="395"/>
      <c r="R110" s="395"/>
      <c r="S110" s="405"/>
      <c r="T110" s="395"/>
      <c r="U110" s="395"/>
      <c r="V110" s="395"/>
      <c r="W110" s="395"/>
      <c r="X110" s="395"/>
      <c r="Y110" s="395"/>
      <c r="Z110" s="395"/>
      <c r="AA110" s="395"/>
      <c r="AB110" s="395"/>
      <c r="AC110" s="1897"/>
      <c r="AD110" s="395"/>
      <c r="AE110" s="355"/>
      <c r="AF110" s="348"/>
      <c r="AG110" s="323"/>
      <c r="AH110" s="348"/>
      <c r="AI110" s="357"/>
      <c r="AJ110" s="320"/>
      <c r="AK110" s="320"/>
      <c r="AL110" s="320"/>
    </row>
    <row r="111" spans="1:38" ht="12.75" hidden="1" customHeight="1" outlineLevel="1">
      <c r="A111" s="396" t="s">
        <v>125</v>
      </c>
      <c r="B111" s="397"/>
      <c r="C111" s="395"/>
      <c r="D111" s="397"/>
      <c r="E111" s="395"/>
      <c r="F111" s="395"/>
      <c r="G111" s="395"/>
      <c r="H111" s="567">
        <f>H102+H104+H106+H108</f>
        <v>0.45006000000000002</v>
      </c>
      <c r="I111" s="567">
        <f t="shared" ref="I111:T111" si="70">I102+I104+I106+I108</f>
        <v>0.52100800000000003</v>
      </c>
      <c r="J111" s="567">
        <f t="shared" si="70"/>
        <v>0.59620800000000007</v>
      </c>
      <c r="K111" s="567">
        <f t="shared" si="70"/>
        <v>0.66297200000000001</v>
      </c>
      <c r="L111" s="567">
        <f t="shared" si="70"/>
        <v>0.74320399999999998</v>
      </c>
      <c r="M111" s="567">
        <f t="shared" si="70"/>
        <v>0.84433999999999998</v>
      </c>
      <c r="N111" s="567">
        <f t="shared" si="70"/>
        <v>0.99410900000000002</v>
      </c>
      <c r="O111" s="567">
        <f t="shared" si="70"/>
        <v>1.208615</v>
      </c>
      <c r="P111" s="567">
        <f t="shared" si="70"/>
        <v>1.3707609999999999</v>
      </c>
      <c r="Q111" s="567">
        <f t="shared" si="70"/>
        <v>1.4783770000000001</v>
      </c>
      <c r="R111" s="567">
        <f t="shared" si="70"/>
        <v>1.5853710000000001</v>
      </c>
      <c r="S111" s="567">
        <f t="shared" si="70"/>
        <v>1.7487979999999999</v>
      </c>
      <c r="T111" s="567">
        <f t="shared" si="70"/>
        <v>1.9346240000000001</v>
      </c>
      <c r="U111" s="567">
        <f>U102+U104+U106+U108</f>
        <v>2.0427170000000001</v>
      </c>
      <c r="V111" s="567">
        <f>V102+V104+V106+V108</f>
        <v>1.9178509999999998</v>
      </c>
      <c r="W111" s="567">
        <f>W102+W104+W106+W108</f>
        <v>1.8921459999999999</v>
      </c>
      <c r="X111" s="567">
        <f t="shared" ref="X111:AC111" si="71">W111</f>
        <v>1.8921459999999999</v>
      </c>
      <c r="Y111" s="567">
        <f t="shared" si="71"/>
        <v>1.8921459999999999</v>
      </c>
      <c r="Z111" s="567">
        <f>Y111</f>
        <v>1.8921459999999999</v>
      </c>
      <c r="AA111" s="567">
        <f t="shared" si="71"/>
        <v>1.8921459999999999</v>
      </c>
      <c r="AB111" s="567">
        <f t="shared" si="71"/>
        <v>1.8921459999999999</v>
      </c>
      <c r="AC111" s="1898">
        <f t="shared" si="71"/>
        <v>1.8921459999999999</v>
      </c>
      <c r="AD111" s="567"/>
      <c r="AE111" s="355"/>
      <c r="AF111" s="348"/>
      <c r="AG111" s="323"/>
      <c r="AH111" s="348"/>
      <c r="AI111" s="357"/>
      <c r="AJ111" s="320"/>
      <c r="AK111" s="320"/>
      <c r="AL111" s="320"/>
    </row>
    <row r="112" spans="1:38" ht="12.75" hidden="1" customHeight="1" outlineLevel="1">
      <c r="A112" s="396"/>
      <c r="B112" s="397"/>
      <c r="C112" s="395"/>
      <c r="D112" s="397"/>
      <c r="E112" s="395"/>
      <c r="F112" s="395"/>
      <c r="G112" s="395"/>
      <c r="H112" s="395"/>
      <c r="I112" s="395"/>
      <c r="J112" s="395"/>
      <c r="K112" s="395"/>
      <c r="L112" s="395"/>
      <c r="M112" s="395"/>
      <c r="N112" s="395"/>
      <c r="O112" s="395"/>
      <c r="P112" s="395"/>
      <c r="Q112" s="395"/>
      <c r="R112" s="395"/>
      <c r="S112" s="395">
        <f t="shared" ref="S112:Y112" si="72">S111/R111-1</f>
        <v>0.10308438844913881</v>
      </c>
      <c r="T112" s="395">
        <f t="shared" si="72"/>
        <v>0.10625927065332896</v>
      </c>
      <c r="U112" s="395">
        <f t="shared" si="72"/>
        <v>5.5872872454802547E-2</v>
      </c>
      <c r="V112" s="395">
        <f t="shared" si="72"/>
        <v>-6.1127410209050215E-2</v>
      </c>
      <c r="W112" s="395">
        <f t="shared" si="72"/>
        <v>-1.3403022445434898E-2</v>
      </c>
      <c r="X112" s="1648">
        <f t="shared" si="72"/>
        <v>0</v>
      </c>
      <c r="Y112" s="1648">
        <f t="shared" si="72"/>
        <v>0</v>
      </c>
      <c r="Z112" s="1648">
        <v>-5.0000000000000001E-3</v>
      </c>
      <c r="AA112" s="1648">
        <v>-5.0000000000000001E-3</v>
      </c>
      <c r="AB112" s="1648">
        <v>-5.0000000000000001E-3</v>
      </c>
      <c r="AC112" s="1899">
        <v>-5.0000000000000001E-3</v>
      </c>
      <c r="AD112" s="395"/>
      <c r="AE112" s="355"/>
      <c r="AF112" s="348"/>
      <c r="AG112" s="323"/>
      <c r="AH112" s="348"/>
      <c r="AI112" s="357"/>
      <c r="AJ112" s="320"/>
      <c r="AK112" s="320"/>
      <c r="AL112" s="320"/>
    </row>
    <row r="113" spans="1:38" ht="12.75" hidden="1" customHeight="1" outlineLevel="1">
      <c r="A113" s="396"/>
      <c r="B113" s="397"/>
      <c r="C113" s="395"/>
      <c r="D113" s="397"/>
      <c r="E113" s="395"/>
      <c r="F113" s="395"/>
      <c r="G113" s="395"/>
      <c r="H113" s="395"/>
      <c r="I113" s="395"/>
      <c r="J113" s="395"/>
      <c r="K113" s="395"/>
      <c r="L113" s="395"/>
      <c r="M113" s="395"/>
      <c r="N113" s="395"/>
      <c r="O113" s="395"/>
      <c r="P113" s="395"/>
      <c r="Q113" s="395"/>
      <c r="R113" s="395"/>
      <c r="S113" s="395"/>
      <c r="T113" s="395"/>
      <c r="U113" s="395"/>
      <c r="V113" s="405"/>
      <c r="W113" s="395"/>
      <c r="X113" s="395"/>
      <c r="Y113" s="395"/>
      <c r="Z113" s="395"/>
      <c r="AA113" s="395"/>
      <c r="AB113" s="395"/>
      <c r="AC113" s="1897"/>
      <c r="AD113" s="395"/>
      <c r="AE113" s="355"/>
      <c r="AF113" s="348"/>
      <c r="AG113" s="323"/>
      <c r="AH113" s="348"/>
      <c r="AI113" s="357"/>
      <c r="AJ113" s="320"/>
      <c r="AK113" s="320"/>
      <c r="AL113" s="320"/>
    </row>
    <row r="114" spans="1:38" ht="12.75" hidden="1" customHeight="1" outlineLevel="1">
      <c r="A114" s="362" t="s">
        <v>296</v>
      </c>
      <c r="B114" s="397"/>
      <c r="C114" s="399"/>
      <c r="D114" s="397"/>
      <c r="E114" s="399"/>
      <c r="F114" s="399"/>
      <c r="G114" s="398">
        <v>5.6141999999999997E-2</v>
      </c>
      <c r="H114" s="400">
        <v>6.3370999999999997E-2</v>
      </c>
      <c r="I114" s="400">
        <v>7.6975000000000002E-2</v>
      </c>
      <c r="J114" s="400">
        <v>0.102242</v>
      </c>
      <c r="K114" s="400">
        <v>0.11929099999999999</v>
      </c>
      <c r="L114" s="400">
        <v>0.161632</v>
      </c>
      <c r="M114" s="400"/>
      <c r="N114" s="395"/>
      <c r="O114" s="395"/>
      <c r="P114" s="395"/>
      <c r="Q114" s="320"/>
      <c r="R114" s="320"/>
      <c r="S114" s="395"/>
      <c r="T114" s="395"/>
      <c r="U114" s="395"/>
      <c r="V114" s="395"/>
      <c r="W114" s="395"/>
      <c r="X114" s="395"/>
      <c r="Y114" s="395"/>
      <c r="Z114" s="395"/>
      <c r="AA114" s="395"/>
      <c r="AB114" s="395"/>
      <c r="AC114" s="1897"/>
      <c r="AD114" s="395"/>
      <c r="AE114" s="355"/>
      <c r="AF114" s="348"/>
      <c r="AG114" s="323"/>
      <c r="AH114" s="348"/>
      <c r="AI114" s="357"/>
      <c r="AJ114" s="320"/>
      <c r="AK114" s="320"/>
      <c r="AL114" s="320"/>
    </row>
    <row r="115" spans="1:38" ht="12.75" hidden="1" customHeight="1" outlineLevel="1">
      <c r="A115" s="396"/>
      <c r="B115" s="395"/>
      <c r="C115" s="395"/>
      <c r="D115" s="395"/>
      <c r="E115" s="395"/>
      <c r="F115" s="395"/>
      <c r="G115" s="395"/>
      <c r="H115" s="395">
        <f>H114/G114-1</f>
        <v>0.12876278009333486</v>
      </c>
      <c r="I115" s="395">
        <f>I114/H114-1</f>
        <v>0.21467232645847489</v>
      </c>
      <c r="J115" s="395">
        <f>J114/I114-1</f>
        <v>0.32824943163364728</v>
      </c>
      <c r="K115" s="395">
        <f>K114/J114-1</f>
        <v>0.16675143287494376</v>
      </c>
      <c r="L115" s="395">
        <f>L114/K114-1</f>
        <v>0.35493876319252915</v>
      </c>
      <c r="M115" s="395"/>
      <c r="N115" s="401"/>
      <c r="O115" s="401"/>
      <c r="P115" s="395"/>
      <c r="Q115" s="320"/>
      <c r="R115" s="320"/>
      <c r="S115" s="395"/>
      <c r="T115" s="395"/>
      <c r="U115" s="395"/>
      <c r="V115" s="395"/>
      <c r="W115" s="395"/>
      <c r="X115" s="395"/>
      <c r="Y115" s="395"/>
      <c r="Z115" s="395"/>
      <c r="AA115" s="395"/>
      <c r="AB115" s="395"/>
      <c r="AC115" s="1897"/>
      <c r="AD115" s="395"/>
      <c r="AE115" s="355"/>
      <c r="AF115" s="348"/>
      <c r="AG115" s="323"/>
      <c r="AH115" s="348"/>
      <c r="AI115" s="357"/>
      <c r="AJ115" s="320"/>
      <c r="AK115" s="381">
        <f>AVERAGE(Q116,P116)</f>
        <v>0.28693449999999998</v>
      </c>
      <c r="AL115" s="381">
        <f>AVERAGE(R116,Q116)</f>
        <v>0.29868300000000003</v>
      </c>
    </row>
    <row r="116" spans="1:38" ht="12.75" hidden="1" customHeight="1" outlineLevel="1">
      <c r="A116" s="396" t="s">
        <v>290</v>
      </c>
      <c r="B116" s="395"/>
      <c r="C116" s="395"/>
      <c r="D116" s="395"/>
      <c r="E116" s="395"/>
      <c r="F116" s="395"/>
      <c r="G116" s="398"/>
      <c r="H116" s="400"/>
      <c r="I116" s="400"/>
      <c r="J116" s="400"/>
      <c r="K116" s="400"/>
      <c r="L116" s="400"/>
      <c r="M116" s="398">
        <v>0.19437499999999999</v>
      </c>
      <c r="N116" s="400">
        <v>0.22986200000000001</v>
      </c>
      <c r="O116" s="400">
        <v>0.25999299999999997</v>
      </c>
      <c r="P116" s="400">
        <v>0.28042800000000001</v>
      </c>
      <c r="Q116" s="400">
        <v>0.29344100000000001</v>
      </c>
      <c r="R116" s="400">
        <f>0.303925</f>
        <v>0.303925</v>
      </c>
      <c r="S116" s="400">
        <v>0.32078099999999998</v>
      </c>
      <c r="T116" s="400">
        <v>0.35099399999999997</v>
      </c>
      <c r="U116" s="400">
        <v>0.355014</v>
      </c>
      <c r="V116" s="402">
        <f t="shared" ref="V116:AC116" si="73">+U116+V39*V142/1000000+V53*V142/1000000</f>
        <v>0.35101399999999999</v>
      </c>
      <c r="W116" s="402">
        <f t="shared" si="73"/>
        <v>0.34901399999999999</v>
      </c>
      <c r="X116" s="402">
        <f>+W116+X39*X142/1000000+X53*X142/1000000</f>
        <v>0.32701399999999997</v>
      </c>
      <c r="Y116" s="402">
        <f t="shared" si="73"/>
        <v>0.30301399999999995</v>
      </c>
      <c r="Z116" s="402">
        <f>+Y116+Z39*Z142/1000000+Z53*Z142/1000000</f>
        <v>0.30301399999999995</v>
      </c>
      <c r="AA116" s="402">
        <f t="shared" si="73"/>
        <v>0.30301399999999995</v>
      </c>
      <c r="AB116" s="402">
        <f t="shared" si="73"/>
        <v>0.30301399999999995</v>
      </c>
      <c r="AC116" s="1900">
        <f t="shared" si="73"/>
        <v>0.30301399999999995</v>
      </c>
      <c r="AD116" s="402"/>
      <c r="AE116" s="355"/>
      <c r="AF116" s="348"/>
      <c r="AG116" s="323"/>
      <c r="AH116" s="348"/>
      <c r="AI116" s="357"/>
      <c r="AJ116" s="320"/>
      <c r="AK116" s="395"/>
      <c r="AL116" s="395">
        <f>(AL115/AK115)-1</f>
        <v>4.0944884633949741E-2</v>
      </c>
    </row>
    <row r="117" spans="1:38" ht="12.75" hidden="1" customHeight="1" outlineLevel="1">
      <c r="A117" s="396"/>
      <c r="B117" s="395"/>
      <c r="C117" s="395"/>
      <c r="D117" s="395"/>
      <c r="E117" s="395"/>
      <c r="F117" s="395"/>
      <c r="G117" s="395"/>
      <c r="H117" s="395"/>
      <c r="I117" s="395"/>
      <c r="J117" s="395"/>
      <c r="K117" s="395"/>
      <c r="L117" s="401"/>
      <c r="M117" s="395">
        <f>M116/L114-1</f>
        <v>0.20257745990892895</v>
      </c>
      <c r="N117" s="395">
        <f t="shared" ref="N117:V117" si="74">N116/M116-1</f>
        <v>0.18256977491961424</v>
      </c>
      <c r="O117" s="395">
        <f t="shared" si="74"/>
        <v>0.13108299762466169</v>
      </c>
      <c r="P117" s="395">
        <f t="shared" si="74"/>
        <v>7.8598269953422006E-2</v>
      </c>
      <c r="Q117" s="395">
        <f t="shared" si="74"/>
        <v>4.6404068067382731E-2</v>
      </c>
      <c r="R117" s="395">
        <f t="shared" si="74"/>
        <v>3.5727795366019111E-2</v>
      </c>
      <c r="S117" s="395">
        <f t="shared" si="74"/>
        <v>5.5461051246195492E-2</v>
      </c>
      <c r="T117" s="395">
        <f t="shared" si="74"/>
        <v>9.4185752896836172E-2</v>
      </c>
      <c r="U117" s="395">
        <f t="shared" si="74"/>
        <v>1.1453187233969819E-2</v>
      </c>
      <c r="V117" s="395">
        <f t="shared" si="74"/>
        <v>-1.1267161295047567E-2</v>
      </c>
      <c r="W117" s="395">
        <f t="shared" ref="W117:AC117" si="75">W116/V116-1</f>
        <v>-5.6977784361876838E-3</v>
      </c>
      <c r="X117" s="395">
        <f t="shared" si="75"/>
        <v>-6.3034720670231081E-2</v>
      </c>
      <c r="Y117" s="395">
        <f t="shared" si="75"/>
        <v>-7.3391353275395033E-2</v>
      </c>
      <c r="Z117" s="395">
        <f>Z116/Y116-1</f>
        <v>0</v>
      </c>
      <c r="AA117" s="395">
        <f t="shared" si="75"/>
        <v>0</v>
      </c>
      <c r="AB117" s="395">
        <f t="shared" si="75"/>
        <v>0</v>
      </c>
      <c r="AC117" s="1897">
        <f t="shared" si="75"/>
        <v>0</v>
      </c>
      <c r="AD117" s="395"/>
      <c r="AE117" s="355"/>
      <c r="AF117" s="348"/>
      <c r="AG117" s="323"/>
      <c r="AH117" s="348"/>
      <c r="AI117" s="357"/>
      <c r="AJ117" s="320"/>
      <c r="AK117" s="320"/>
      <c r="AL117" s="320"/>
    </row>
    <row r="118" spans="1:38" ht="12.75" hidden="1" customHeight="1" outlineLevel="1">
      <c r="A118" s="396" t="s">
        <v>595</v>
      </c>
      <c r="B118" s="395"/>
      <c r="C118" s="395"/>
      <c r="D118" s="395"/>
      <c r="E118" s="395"/>
      <c r="F118" s="395"/>
      <c r="G118" s="395"/>
      <c r="H118" s="395"/>
      <c r="I118" s="395"/>
      <c r="J118" s="395"/>
      <c r="K118" s="395"/>
      <c r="L118" s="401"/>
      <c r="M118" s="395"/>
      <c r="N118" s="403">
        <v>2.5541000000000001E-2</v>
      </c>
      <c r="O118" s="403">
        <v>4.4504000000000002E-2</v>
      </c>
      <c r="P118" s="400">
        <v>5.2671000000000003E-2</v>
      </c>
      <c r="Q118" s="400">
        <v>7.8886999999999999E-2</v>
      </c>
      <c r="R118" s="566">
        <v>0.12755</v>
      </c>
      <c r="S118" s="566">
        <f>0.344615-S120-S122-S124</f>
        <v>0.28686500000000004</v>
      </c>
      <c r="T118" s="566">
        <f>0.417573-T120-T122-T124-T126</f>
        <v>0.256573</v>
      </c>
      <c r="U118" s="566">
        <f>0.563981-U120-U122-U124-U126</f>
        <v>0.39423099999999989</v>
      </c>
      <c r="V118" s="402">
        <f>+U118+(V40*V143*(1/2)/1000000+V54*V143/1000000)+(V41*V144*(1/2)/1000000+V55*V144/1000000)</f>
        <v>0.41230599999999989</v>
      </c>
      <c r="W118" s="402">
        <f t="shared" ref="W118:AC118" si="76">+V118+(W40*W143/1000000+W54*W143/1000000)+(W41*W144/1000000+W55*W144/1000000)</f>
        <v>0.44658099999999989</v>
      </c>
      <c r="X118" s="402">
        <f t="shared" si="76"/>
        <v>0.48085599999999989</v>
      </c>
      <c r="Y118" s="402">
        <f t="shared" si="76"/>
        <v>0.49960599999999988</v>
      </c>
      <c r="Z118" s="402">
        <f>+Y118+(Z40*Z143/1000000+Z54*Z143/1000000)+(Z41*Z144/1000000+Z55*Z144/1000000)</f>
        <v>0.50335599999999991</v>
      </c>
      <c r="AA118" s="402">
        <f t="shared" si="76"/>
        <v>0.50710599999999995</v>
      </c>
      <c r="AB118" s="402">
        <f t="shared" si="76"/>
        <v>0.51085599999999998</v>
      </c>
      <c r="AC118" s="1900">
        <f t="shared" si="76"/>
        <v>0.51460600000000001</v>
      </c>
      <c r="AD118" s="402"/>
      <c r="AE118" s="355"/>
      <c r="AF118" s="348"/>
      <c r="AG118" s="323"/>
      <c r="AH118" s="348"/>
      <c r="AI118" s="357"/>
      <c r="AJ118" s="320"/>
      <c r="AK118" s="320"/>
      <c r="AL118" s="320"/>
    </row>
    <row r="119" spans="1:38" ht="12.75" hidden="1" customHeight="1" outlineLevel="1">
      <c r="A119" s="396"/>
      <c r="B119" s="395"/>
      <c r="C119" s="395"/>
      <c r="D119" s="395"/>
      <c r="E119" s="395"/>
      <c r="F119" s="395"/>
      <c r="G119" s="395"/>
      <c r="H119" s="395"/>
      <c r="I119" s="395"/>
      <c r="J119" s="395"/>
      <c r="K119" s="395"/>
      <c r="L119" s="401"/>
      <c r="M119" s="395"/>
      <c r="N119" s="395"/>
      <c r="O119" s="395"/>
      <c r="P119" s="395"/>
      <c r="Q119" s="395">
        <f t="shared" ref="Q119:V119" si="77">Q118/P118-1</f>
        <v>0.4977311993317004</v>
      </c>
      <c r="R119" s="395">
        <f t="shared" si="77"/>
        <v>0.61686969969703509</v>
      </c>
      <c r="S119" s="395">
        <f t="shared" si="77"/>
        <v>1.249039592316739</v>
      </c>
      <c r="T119" s="395">
        <f t="shared" si="77"/>
        <v>-0.10559670925348175</v>
      </c>
      <c r="U119" s="395">
        <f>U118/T118-1</f>
        <v>0.5365256671590537</v>
      </c>
      <c r="V119" s="395">
        <f t="shared" si="77"/>
        <v>4.5848753649510021E-2</v>
      </c>
      <c r="W119" s="395">
        <f t="shared" ref="W119:AC119" si="78">W118/V118-1</f>
        <v>8.3130005384350447E-2</v>
      </c>
      <c r="X119" s="395">
        <f t="shared" si="78"/>
        <v>7.6749794550148742E-2</v>
      </c>
      <c r="Y119" s="395">
        <f t="shared" si="78"/>
        <v>3.8992962550118859E-2</v>
      </c>
      <c r="Z119" s="395">
        <f>Z118/Y118-1</f>
        <v>7.5059146607527882E-3</v>
      </c>
      <c r="AA119" s="395">
        <f t="shared" si="78"/>
        <v>7.4499956293359038E-3</v>
      </c>
      <c r="AB119" s="395">
        <f t="shared" si="78"/>
        <v>7.3949036296159232E-3</v>
      </c>
      <c r="AC119" s="1897">
        <f t="shared" si="78"/>
        <v>7.3406204488153382E-3</v>
      </c>
      <c r="AD119" s="395"/>
      <c r="AE119" s="355"/>
      <c r="AF119" s="348"/>
      <c r="AG119" s="323"/>
      <c r="AH119" s="348"/>
      <c r="AI119" s="357"/>
      <c r="AJ119" s="89"/>
      <c r="AK119" s="320"/>
      <c r="AL119" s="320"/>
    </row>
    <row r="120" spans="1:38" ht="12.75" hidden="1" customHeight="1" outlineLevel="1">
      <c r="A120" s="396" t="s">
        <v>533</v>
      </c>
      <c r="B120" s="395"/>
      <c r="C120" s="395"/>
      <c r="D120" s="395"/>
      <c r="E120" s="395"/>
      <c r="F120" s="395"/>
      <c r="G120" s="395"/>
      <c r="H120" s="395"/>
      <c r="I120" s="395"/>
      <c r="J120" s="395"/>
      <c r="K120" s="395"/>
      <c r="L120" s="401"/>
      <c r="M120" s="395"/>
      <c r="N120" s="403"/>
      <c r="O120" s="403"/>
      <c r="P120" s="400"/>
      <c r="Q120" s="400"/>
      <c r="R120" s="585">
        <v>0</v>
      </c>
      <c r="S120" s="402">
        <f t="shared" ref="S120:AC120" si="79">+R120+(S42*S145/1000000+S56*S145/1000000)</f>
        <v>1.225E-2</v>
      </c>
      <c r="T120" s="402">
        <f t="shared" si="79"/>
        <v>1.225E-2</v>
      </c>
      <c r="U120" s="402">
        <f t="shared" si="79"/>
        <v>1.575E-2</v>
      </c>
      <c r="V120" s="402">
        <f t="shared" si="79"/>
        <v>1.925E-2</v>
      </c>
      <c r="W120" s="402">
        <f t="shared" si="79"/>
        <v>1.925E-2</v>
      </c>
      <c r="X120" s="402">
        <f t="shared" si="79"/>
        <v>2.1000000000000001E-2</v>
      </c>
      <c r="Y120" s="402">
        <f t="shared" si="79"/>
        <v>2.1000000000000001E-2</v>
      </c>
      <c r="Z120" s="402">
        <f>+Y120+(Z42*Z145/1000000+Z56*Z145/1000000)</f>
        <v>2.1000000000000001E-2</v>
      </c>
      <c r="AA120" s="402">
        <f t="shared" si="79"/>
        <v>2.1000000000000001E-2</v>
      </c>
      <c r="AB120" s="402">
        <f t="shared" si="79"/>
        <v>2.1000000000000001E-2</v>
      </c>
      <c r="AC120" s="1900">
        <f t="shared" si="79"/>
        <v>2.1000000000000001E-2</v>
      </c>
      <c r="AD120" s="402"/>
      <c r="AE120" s="355"/>
      <c r="AF120" s="348"/>
      <c r="AG120" s="323"/>
      <c r="AH120" s="348"/>
      <c r="AI120" s="357"/>
      <c r="AJ120" s="320"/>
      <c r="AK120" s="320"/>
      <c r="AL120" s="320"/>
    </row>
    <row r="121" spans="1:38" ht="12.75" hidden="1" customHeight="1" outlineLevel="1">
      <c r="A121" s="396"/>
      <c r="B121" s="395"/>
      <c r="C121" s="395"/>
      <c r="D121" s="395"/>
      <c r="E121" s="395"/>
      <c r="F121" s="395"/>
      <c r="G121" s="395"/>
      <c r="H121" s="395"/>
      <c r="I121" s="395"/>
      <c r="J121" s="395"/>
      <c r="K121" s="395"/>
      <c r="L121" s="401"/>
      <c r="M121" s="395"/>
      <c r="N121" s="395"/>
      <c r="O121" s="395"/>
      <c r="P121" s="395"/>
      <c r="Q121" s="395"/>
      <c r="R121" s="395"/>
      <c r="S121" s="395"/>
      <c r="T121" s="395">
        <f t="shared" ref="T121:AC121" si="80">T120/S120-1</f>
        <v>0</v>
      </c>
      <c r="U121" s="395">
        <f t="shared" si="80"/>
        <v>0.28571428571428559</v>
      </c>
      <c r="V121" s="395">
        <f t="shared" si="80"/>
        <v>0.2222222222222221</v>
      </c>
      <c r="W121" s="395">
        <f t="shared" si="80"/>
        <v>0</v>
      </c>
      <c r="X121" s="395">
        <f t="shared" si="80"/>
        <v>9.090909090909105E-2</v>
      </c>
      <c r="Y121" s="395">
        <f t="shared" si="80"/>
        <v>0</v>
      </c>
      <c r="Z121" s="395">
        <f>Z120/Y120-1</f>
        <v>0</v>
      </c>
      <c r="AA121" s="395">
        <f t="shared" si="80"/>
        <v>0</v>
      </c>
      <c r="AB121" s="395">
        <f t="shared" si="80"/>
        <v>0</v>
      </c>
      <c r="AC121" s="1897">
        <f t="shared" si="80"/>
        <v>0</v>
      </c>
      <c r="AD121" s="395"/>
      <c r="AE121" s="355"/>
      <c r="AF121" s="348"/>
      <c r="AG121" s="323"/>
      <c r="AH121" s="348"/>
      <c r="AI121" s="357"/>
      <c r="AJ121" s="89"/>
      <c r="AK121" s="320"/>
      <c r="AL121" s="320"/>
    </row>
    <row r="122" spans="1:38" ht="12.75" hidden="1" customHeight="1" outlineLevel="1">
      <c r="A122" s="396" t="s">
        <v>350</v>
      </c>
      <c r="B122" s="395"/>
      <c r="C122" s="395"/>
      <c r="D122" s="395"/>
      <c r="E122" s="395"/>
      <c r="F122" s="395"/>
      <c r="G122" s="395"/>
      <c r="H122" s="395"/>
      <c r="I122" s="395"/>
      <c r="J122" s="395"/>
      <c r="K122" s="395"/>
      <c r="L122" s="401"/>
      <c r="M122" s="395"/>
      <c r="N122" s="403"/>
      <c r="O122" s="403"/>
      <c r="P122" s="400"/>
      <c r="Q122" s="400"/>
      <c r="R122" s="585">
        <v>0</v>
      </c>
      <c r="S122" s="402">
        <f t="shared" ref="S122:X122" si="81">+R122+(S43*S146/1000000+S57*S146/1000000)</f>
        <v>4.5499999999999999E-2</v>
      </c>
      <c r="T122" s="402">
        <f>+S122+(T43*T146/1000000+T57*T146/1000000)</f>
        <v>4.725E-2</v>
      </c>
      <c r="U122" s="402">
        <f t="shared" si="81"/>
        <v>4.725E-2</v>
      </c>
      <c r="V122" s="402">
        <f t="shared" si="81"/>
        <v>5.0750000000000003E-2</v>
      </c>
      <c r="W122" s="402">
        <f t="shared" si="81"/>
        <v>5.0750000000000003E-2</v>
      </c>
      <c r="X122" s="402">
        <f t="shared" si="81"/>
        <v>5.2500000000000005E-2</v>
      </c>
      <c r="Y122" s="402">
        <f>+X122+(Y43*Y146/1000000+Y57*Y146/1000000)</f>
        <v>5.2500000000000005E-2</v>
      </c>
      <c r="Z122" s="402">
        <f>+Y122+(Z43*Z146/1000000+Z57*Z146/1000000)</f>
        <v>5.2500000000000005E-2</v>
      </c>
      <c r="AA122" s="402">
        <f>+Z122+(AA43*AA146/1000000+AA57*AA146/1000000)</f>
        <v>5.2500000000000005E-2</v>
      </c>
      <c r="AB122" s="402">
        <f>+AA122+(AB43*AB146/1000000+AB57*AB146/1000000)</f>
        <v>5.2500000000000005E-2</v>
      </c>
      <c r="AC122" s="1900">
        <f>+AB122+(AC43*AC146/1000000+AC57*AC146/1000000)</f>
        <v>5.2500000000000005E-2</v>
      </c>
      <c r="AD122" s="402"/>
      <c r="AE122" s="355"/>
      <c r="AF122" s="348"/>
      <c r="AG122" s="323"/>
      <c r="AH122" s="348"/>
      <c r="AI122" s="357"/>
      <c r="AJ122" s="320"/>
      <c r="AK122" s="320"/>
      <c r="AL122" s="320"/>
    </row>
    <row r="123" spans="1:38" ht="12.75" hidden="1" customHeight="1" outlineLevel="1">
      <c r="A123" s="396"/>
      <c r="B123" s="395"/>
      <c r="C123" s="395"/>
      <c r="D123" s="395"/>
      <c r="E123" s="395"/>
      <c r="F123" s="395"/>
      <c r="G123" s="395"/>
      <c r="H123" s="395"/>
      <c r="I123" s="395"/>
      <c r="J123" s="395"/>
      <c r="K123" s="395"/>
      <c r="L123" s="401"/>
      <c r="M123" s="395"/>
      <c r="N123" s="395"/>
      <c r="O123" s="395"/>
      <c r="P123" s="395"/>
      <c r="Q123" s="395"/>
      <c r="R123" s="395"/>
      <c r="S123" s="395"/>
      <c r="T123" s="395">
        <f t="shared" ref="T123:AC123" si="82">T122/S122-1</f>
        <v>3.8461538461538547E-2</v>
      </c>
      <c r="U123" s="395">
        <f t="shared" si="82"/>
        <v>0</v>
      </c>
      <c r="V123" s="395">
        <f t="shared" si="82"/>
        <v>7.4074074074074181E-2</v>
      </c>
      <c r="W123" s="395">
        <f t="shared" si="82"/>
        <v>0</v>
      </c>
      <c r="X123" s="395">
        <f t="shared" si="82"/>
        <v>3.4482758620689724E-2</v>
      </c>
      <c r="Y123" s="395">
        <f t="shared" si="82"/>
        <v>0</v>
      </c>
      <c r="Z123" s="395">
        <f>Z122/Y122-1</f>
        <v>0</v>
      </c>
      <c r="AA123" s="395">
        <f t="shared" si="82"/>
        <v>0</v>
      </c>
      <c r="AB123" s="395">
        <f t="shared" si="82"/>
        <v>0</v>
      </c>
      <c r="AC123" s="1897">
        <f t="shared" si="82"/>
        <v>0</v>
      </c>
      <c r="AD123" s="395"/>
      <c r="AE123" s="355"/>
      <c r="AF123" s="348"/>
      <c r="AG123" s="323"/>
      <c r="AH123" s="348"/>
      <c r="AI123" s="357"/>
      <c r="AJ123" s="89"/>
      <c r="AK123" s="320"/>
      <c r="AL123" s="320"/>
    </row>
    <row r="124" spans="1:38" ht="12.75" hidden="1" customHeight="1" outlineLevel="1">
      <c r="A124" s="396" t="s">
        <v>333</v>
      </c>
      <c r="B124" s="395"/>
      <c r="C124" s="395"/>
      <c r="D124" s="395"/>
      <c r="E124" s="395"/>
      <c r="F124" s="395"/>
      <c r="G124" s="395"/>
      <c r="H124" s="395"/>
      <c r="I124" s="395"/>
      <c r="J124" s="395"/>
      <c r="K124" s="395"/>
      <c r="L124" s="401"/>
      <c r="M124" s="395"/>
      <c r="N124" s="403"/>
      <c r="O124" s="403"/>
      <c r="P124" s="400"/>
      <c r="Q124" s="400"/>
      <c r="R124" s="585">
        <v>0</v>
      </c>
      <c r="S124" s="402">
        <f t="shared" ref="S124:X124" si="83">+R124+(S44*S147/1000000+S58*S147/1000000)</f>
        <v>0</v>
      </c>
      <c r="T124" s="402">
        <f>+S124+(T44*T147/1000000+T58*T147/1000000)</f>
        <v>1.7500000000000002E-2</v>
      </c>
      <c r="U124" s="402">
        <f t="shared" si="83"/>
        <v>2.2750000000000003E-2</v>
      </c>
      <c r="V124" s="402">
        <f t="shared" si="83"/>
        <v>2.4500000000000004E-2</v>
      </c>
      <c r="W124" s="402">
        <f t="shared" si="83"/>
        <v>2.4500000000000004E-2</v>
      </c>
      <c r="X124" s="402">
        <f t="shared" si="83"/>
        <v>2.6250000000000006E-2</v>
      </c>
      <c r="Y124" s="402">
        <f>+X124+(Y44*Y147/1000000+Y58*Y147/1000000)</f>
        <v>2.6250000000000006E-2</v>
      </c>
      <c r="Z124" s="402">
        <f>+Y124+(Z44*Z147/1000000+Z58*Z147/1000000)</f>
        <v>2.6250000000000006E-2</v>
      </c>
      <c r="AA124" s="402">
        <f>+Z124+(AA44*AA147/1000000+AA58*AA147/1000000)</f>
        <v>2.6250000000000006E-2</v>
      </c>
      <c r="AB124" s="402">
        <f>+AA124+(AB44*AB147/1000000+AB58*AB147/1000000)</f>
        <v>2.6250000000000006E-2</v>
      </c>
      <c r="AC124" s="1900">
        <f>+AB124+(AC44*AC147/1000000+AC58*AC147/1000000)</f>
        <v>2.6250000000000006E-2</v>
      </c>
      <c r="AD124" s="402"/>
      <c r="AE124" s="355"/>
      <c r="AF124" s="348"/>
      <c r="AG124" s="323"/>
      <c r="AH124" s="348"/>
      <c r="AI124" s="357"/>
      <c r="AJ124" s="320"/>
      <c r="AK124" s="320"/>
      <c r="AL124" s="320"/>
    </row>
    <row r="125" spans="1:38" ht="12.75" hidden="1" customHeight="1" outlineLevel="1">
      <c r="A125" s="396"/>
      <c r="B125" s="395"/>
      <c r="C125" s="395"/>
      <c r="D125" s="395"/>
      <c r="E125" s="395"/>
      <c r="F125" s="395"/>
      <c r="G125" s="395"/>
      <c r="H125" s="395"/>
      <c r="I125" s="395"/>
      <c r="J125" s="395"/>
      <c r="K125" s="395"/>
      <c r="L125" s="401"/>
      <c r="M125" s="395"/>
      <c r="N125" s="395"/>
      <c r="O125" s="395"/>
      <c r="P125" s="395"/>
      <c r="Q125" s="395"/>
      <c r="R125" s="395"/>
      <c r="S125" s="395"/>
      <c r="T125" s="395"/>
      <c r="U125" s="395">
        <f t="shared" ref="U125:AC125" si="84">U124/T124-1</f>
        <v>0.30000000000000004</v>
      </c>
      <c r="V125" s="395">
        <f t="shared" si="84"/>
        <v>7.6923076923076872E-2</v>
      </c>
      <c r="W125" s="395">
        <f t="shared" si="84"/>
        <v>0</v>
      </c>
      <c r="X125" s="395">
        <f t="shared" si="84"/>
        <v>7.1428571428571397E-2</v>
      </c>
      <c r="Y125" s="395">
        <f t="shared" si="84"/>
        <v>0</v>
      </c>
      <c r="Z125" s="395">
        <f>Z124/Y124-1</f>
        <v>0</v>
      </c>
      <c r="AA125" s="395">
        <f t="shared" si="84"/>
        <v>0</v>
      </c>
      <c r="AB125" s="395">
        <f t="shared" si="84"/>
        <v>0</v>
      </c>
      <c r="AC125" s="1897">
        <f t="shared" si="84"/>
        <v>0</v>
      </c>
      <c r="AD125" s="395"/>
      <c r="AE125" s="355"/>
      <c r="AF125" s="348"/>
      <c r="AG125" s="323"/>
      <c r="AH125" s="348"/>
      <c r="AI125" s="357"/>
      <c r="AJ125" s="89"/>
      <c r="AK125" s="320"/>
      <c r="AL125" s="320"/>
    </row>
    <row r="126" spans="1:38" ht="12.75" hidden="1" customHeight="1" outlineLevel="1">
      <c r="A126" s="396" t="s">
        <v>211</v>
      </c>
      <c r="B126" s="395"/>
      <c r="C126" s="395"/>
      <c r="D126" s="395"/>
      <c r="E126" s="395"/>
      <c r="F126" s="395"/>
      <c r="G126" s="395"/>
      <c r="H126" s="395"/>
      <c r="I126" s="395"/>
      <c r="J126" s="395"/>
      <c r="K126" s="395"/>
      <c r="L126" s="401"/>
      <c r="M126" s="395"/>
      <c r="N126" s="395"/>
      <c r="O126" s="395"/>
      <c r="P126" s="395"/>
      <c r="Q126" s="395"/>
      <c r="R126" s="395"/>
      <c r="S126" s="395"/>
      <c r="T126" s="402">
        <f t="shared" ref="T126:AC126" si="85">+S126+(T45*T148/1000000+T59*T148/1000000)</f>
        <v>8.4000000000000005E-2</v>
      </c>
      <c r="U126" s="402">
        <f t="shared" si="85"/>
        <v>8.4000000000000005E-2</v>
      </c>
      <c r="V126" s="402">
        <f t="shared" si="85"/>
        <v>8.4000000000000005E-2</v>
      </c>
      <c r="W126" s="402">
        <f t="shared" si="85"/>
        <v>8.5750000000000007E-2</v>
      </c>
      <c r="X126" s="402">
        <f t="shared" si="85"/>
        <v>8.7500000000000008E-2</v>
      </c>
      <c r="Y126" s="402">
        <f t="shared" si="85"/>
        <v>8.7500000000000008E-2</v>
      </c>
      <c r="Z126" s="402">
        <f>+Y126+(Z45*Z148/1000000+Z59*Z148/1000000)</f>
        <v>8.7500000000000008E-2</v>
      </c>
      <c r="AA126" s="402">
        <f t="shared" si="85"/>
        <v>8.7500000000000008E-2</v>
      </c>
      <c r="AB126" s="402">
        <f t="shared" si="85"/>
        <v>8.7500000000000008E-2</v>
      </c>
      <c r="AC126" s="1900">
        <f t="shared" si="85"/>
        <v>8.7500000000000008E-2</v>
      </c>
      <c r="AD126" s="402"/>
      <c r="AE126" s="355"/>
      <c r="AF126" s="348"/>
      <c r="AG126" s="56"/>
      <c r="AH126" s="1144"/>
      <c r="AI126" s="357"/>
      <c r="AJ126" s="320"/>
    </row>
    <row r="127" spans="1:38" ht="12.75" hidden="1" customHeight="1" outlineLevel="1">
      <c r="A127" s="396"/>
      <c r="B127" s="320"/>
      <c r="C127" s="395"/>
      <c r="D127" s="320"/>
      <c r="E127" s="395"/>
      <c r="F127" s="395"/>
      <c r="G127" s="320"/>
      <c r="H127" s="395"/>
      <c r="I127" s="395"/>
      <c r="J127" s="404"/>
      <c r="K127" s="395"/>
      <c r="L127" s="401"/>
      <c r="M127" s="405"/>
      <c r="N127" s="401"/>
      <c r="O127" s="406"/>
      <c r="P127" s="372"/>
      <c r="Q127" s="395"/>
      <c r="R127" s="395"/>
      <c r="S127" s="395"/>
      <c r="T127" s="395"/>
      <c r="U127" s="395">
        <f t="shared" ref="U127:AC127" si="86">U126/T126-1</f>
        <v>0</v>
      </c>
      <c r="V127" s="395">
        <f t="shared" si="86"/>
        <v>0</v>
      </c>
      <c r="W127" s="395">
        <f t="shared" si="86"/>
        <v>2.0833333333333259E-2</v>
      </c>
      <c r="X127" s="395">
        <f t="shared" si="86"/>
        <v>2.0408163265306145E-2</v>
      </c>
      <c r="Y127" s="395">
        <f t="shared" si="86"/>
        <v>0</v>
      </c>
      <c r="Z127" s="395">
        <f>Z126/Y126-1</f>
        <v>0</v>
      </c>
      <c r="AA127" s="395">
        <f t="shared" si="86"/>
        <v>0</v>
      </c>
      <c r="AB127" s="395">
        <f t="shared" si="86"/>
        <v>0</v>
      </c>
      <c r="AC127" s="1897">
        <f t="shared" si="86"/>
        <v>0</v>
      </c>
      <c r="AD127" s="395"/>
      <c r="AE127" s="355"/>
      <c r="AF127" s="348"/>
      <c r="AG127" s="56"/>
      <c r="AH127" s="323"/>
      <c r="AI127" s="357"/>
      <c r="AJ127" s="320"/>
    </row>
    <row r="128" spans="1:38" ht="12.75" hidden="1" customHeight="1" outlineLevel="1">
      <c r="A128" s="396" t="s">
        <v>368</v>
      </c>
      <c r="B128" s="395"/>
      <c r="C128" s="395"/>
      <c r="D128" s="395"/>
      <c r="E128" s="395"/>
      <c r="F128" s="395"/>
      <c r="G128" s="395"/>
      <c r="H128" s="395"/>
      <c r="I128" s="395"/>
      <c r="J128" s="395"/>
      <c r="K128" s="395"/>
      <c r="L128" s="401"/>
      <c r="M128" s="395"/>
      <c r="N128" s="395"/>
      <c r="O128" s="395"/>
      <c r="P128" s="395"/>
      <c r="Q128" s="395"/>
      <c r="R128" s="395"/>
      <c r="S128" s="395"/>
      <c r="T128" s="402">
        <f t="shared" ref="T128:AC128" si="87">+S128+(T46*T149/1000000+T60*T149/1000000)</f>
        <v>0</v>
      </c>
      <c r="U128" s="402">
        <f t="shared" si="87"/>
        <v>4.0500000000000001E-2</v>
      </c>
      <c r="V128" s="402">
        <f>+U128+(V46*V149/1000000+V60*V149/1000000)</f>
        <v>5.1000000000000004E-2</v>
      </c>
      <c r="W128" s="402">
        <f t="shared" si="87"/>
        <v>5.8500000000000003E-2</v>
      </c>
      <c r="X128" s="402">
        <f t="shared" si="87"/>
        <v>8.2500000000000004E-2</v>
      </c>
      <c r="Y128" s="402">
        <f t="shared" si="87"/>
        <v>9.7500000000000003E-2</v>
      </c>
      <c r="Z128" s="402">
        <f>+Y128+(Z46*Z149/1000000+Z60*Z149/1000000)</f>
        <v>0.10500000000000001</v>
      </c>
      <c r="AA128" s="402">
        <f t="shared" si="87"/>
        <v>0.11250000000000002</v>
      </c>
      <c r="AB128" s="402">
        <f t="shared" si="87"/>
        <v>0.12000000000000002</v>
      </c>
      <c r="AC128" s="1900">
        <f t="shared" si="87"/>
        <v>0.12750000000000003</v>
      </c>
      <c r="AD128" s="402"/>
      <c r="AE128" s="355"/>
      <c r="AF128" s="348"/>
      <c r="AG128" s="56"/>
      <c r="AH128" s="1144"/>
      <c r="AI128" s="357"/>
      <c r="AJ128" s="320"/>
    </row>
    <row r="129" spans="1:38" ht="12.75" hidden="1" customHeight="1" outlineLevel="1">
      <c r="A129" s="396"/>
      <c r="B129" s="320"/>
      <c r="C129" s="395"/>
      <c r="D129" s="320"/>
      <c r="E129" s="395"/>
      <c r="F129" s="395"/>
      <c r="G129" s="320"/>
      <c r="H129" s="395"/>
      <c r="I129" s="395"/>
      <c r="J129" s="404"/>
      <c r="K129" s="395"/>
      <c r="L129" s="401"/>
      <c r="M129" s="405"/>
      <c r="N129" s="401"/>
      <c r="O129" s="406"/>
      <c r="P129" s="372"/>
      <c r="Q129" s="395"/>
      <c r="R129" s="395"/>
      <c r="S129" s="395"/>
      <c r="T129" s="395"/>
      <c r="U129" s="395"/>
      <c r="V129" s="395">
        <f t="shared" ref="V129:AC129" si="88">V128/U128-1</f>
        <v>0.2592592592592593</v>
      </c>
      <c r="W129" s="395">
        <f t="shared" si="88"/>
        <v>0.14705882352941169</v>
      </c>
      <c r="X129" s="395">
        <f t="shared" si="88"/>
        <v>0.41025641025641013</v>
      </c>
      <c r="Y129" s="395">
        <f t="shared" si="88"/>
        <v>0.18181818181818188</v>
      </c>
      <c r="Z129" s="395">
        <f>Z128/Y128-1</f>
        <v>7.6923076923077094E-2</v>
      </c>
      <c r="AA129" s="395">
        <f t="shared" si="88"/>
        <v>7.1428571428571397E-2</v>
      </c>
      <c r="AB129" s="395">
        <f t="shared" si="88"/>
        <v>6.6666666666666652E-2</v>
      </c>
      <c r="AC129" s="1897">
        <f t="shared" si="88"/>
        <v>6.25E-2</v>
      </c>
      <c r="AD129" s="395"/>
      <c r="AE129" s="355"/>
      <c r="AF129" s="348"/>
      <c r="AG129" s="56"/>
      <c r="AH129" s="323"/>
      <c r="AI129" s="357"/>
      <c r="AJ129" s="320"/>
    </row>
    <row r="130" spans="1:38" ht="12.75" hidden="1" customHeight="1" outlineLevel="1">
      <c r="A130" s="396"/>
      <c r="B130" s="320"/>
      <c r="C130" s="395"/>
      <c r="D130" s="320"/>
      <c r="E130" s="395"/>
      <c r="F130" s="395"/>
      <c r="G130" s="320"/>
      <c r="H130" s="395"/>
      <c r="I130" s="395"/>
      <c r="J130" s="404"/>
      <c r="K130" s="395"/>
      <c r="L130" s="401"/>
      <c r="M130" s="405"/>
      <c r="N130" s="401"/>
      <c r="O130" s="406"/>
      <c r="P130" s="372"/>
      <c r="Q130" s="395"/>
      <c r="R130" s="395"/>
      <c r="S130" s="395"/>
      <c r="T130" s="395"/>
      <c r="U130" s="395"/>
      <c r="V130" s="395"/>
      <c r="W130" s="395"/>
      <c r="X130" s="395"/>
      <c r="Y130" s="395"/>
      <c r="Z130" s="395"/>
      <c r="AA130" s="395"/>
      <c r="AB130" s="395"/>
      <c r="AC130" s="1897"/>
      <c r="AD130" s="395"/>
      <c r="AE130" s="355"/>
      <c r="AF130" s="348"/>
      <c r="AG130" s="56"/>
      <c r="AH130" s="323"/>
      <c r="AI130" s="357"/>
      <c r="AJ130" s="320"/>
    </row>
    <row r="131" spans="1:38" ht="12.75" hidden="1" customHeight="1" outlineLevel="1">
      <c r="A131" s="396" t="s">
        <v>126</v>
      </c>
      <c r="B131" s="397"/>
      <c r="C131" s="395"/>
      <c r="D131" s="397"/>
      <c r="E131" s="395"/>
      <c r="F131" s="395"/>
      <c r="G131" s="395"/>
      <c r="H131" s="567">
        <f>H114+H116+H118+H120+H122+H124+H126+H128</f>
        <v>6.3370999999999997E-2</v>
      </c>
      <c r="I131" s="567">
        <f t="shared" ref="I131:T131" si="89">I114+I116+I118+I120+I122+I124+I126+I128</f>
        <v>7.6975000000000002E-2</v>
      </c>
      <c r="J131" s="567">
        <f t="shared" si="89"/>
        <v>0.102242</v>
      </c>
      <c r="K131" s="567">
        <f t="shared" si="89"/>
        <v>0.11929099999999999</v>
      </c>
      <c r="L131" s="567">
        <f t="shared" si="89"/>
        <v>0.161632</v>
      </c>
      <c r="M131" s="567">
        <f t="shared" si="89"/>
        <v>0.19437499999999999</v>
      </c>
      <c r="N131" s="567">
        <f t="shared" si="89"/>
        <v>0.25540299999999999</v>
      </c>
      <c r="O131" s="567">
        <f t="shared" si="89"/>
        <v>0.30449699999999996</v>
      </c>
      <c r="P131" s="567">
        <f t="shared" si="89"/>
        <v>0.33309900000000003</v>
      </c>
      <c r="Q131" s="567">
        <f t="shared" si="89"/>
        <v>0.37232799999999999</v>
      </c>
      <c r="R131" s="567">
        <f t="shared" si="89"/>
        <v>0.431475</v>
      </c>
      <c r="S131" s="567">
        <f t="shared" si="89"/>
        <v>0.66539599999999999</v>
      </c>
      <c r="T131" s="567">
        <f t="shared" si="89"/>
        <v>0.76856699999999989</v>
      </c>
      <c r="U131" s="1668">
        <v>0.91899500000000001</v>
      </c>
      <c r="V131" s="1668">
        <v>1.0306949999999999</v>
      </c>
      <c r="W131" s="1668">
        <v>1.0863149999999999</v>
      </c>
      <c r="X131" s="567">
        <f t="shared" ref="X131:AC131" si="90">X114+X116+X118+X120+X122+X124+X126+X128</f>
        <v>1.0776199999999998</v>
      </c>
      <c r="Y131" s="567">
        <f t="shared" si="90"/>
        <v>1.0873699999999999</v>
      </c>
      <c r="Z131" s="567">
        <f t="shared" si="90"/>
        <v>1.0986199999999999</v>
      </c>
      <c r="AA131" s="567">
        <f t="shared" si="90"/>
        <v>1.1098699999999999</v>
      </c>
      <c r="AB131" s="567">
        <f t="shared" si="90"/>
        <v>1.1211199999999999</v>
      </c>
      <c r="AC131" s="1898">
        <f t="shared" si="90"/>
        <v>1.1323699999999999</v>
      </c>
      <c r="AD131" s="567"/>
      <c r="AE131" s="355"/>
      <c r="AF131" s="348"/>
      <c r="AG131" s="323"/>
      <c r="AH131" s="348"/>
      <c r="AI131" s="357"/>
      <c r="AJ131" s="320"/>
      <c r="AK131" s="320"/>
      <c r="AL131" s="320"/>
    </row>
    <row r="132" spans="1:38" ht="12.75" hidden="1" customHeight="1" outlineLevel="1">
      <c r="A132" s="396"/>
      <c r="B132" s="397"/>
      <c r="C132" s="395"/>
      <c r="D132" s="397"/>
      <c r="E132" s="395"/>
      <c r="F132" s="395"/>
      <c r="G132" s="395"/>
      <c r="H132" s="395"/>
      <c r="I132" s="395"/>
      <c r="J132" s="395"/>
      <c r="K132" s="395"/>
      <c r="L132" s="395"/>
      <c r="M132" s="395"/>
      <c r="N132" s="395"/>
      <c r="O132" s="395"/>
      <c r="P132" s="395"/>
      <c r="Q132" s="395"/>
      <c r="R132" s="395"/>
      <c r="S132" s="395">
        <f t="shared" ref="S132:AC132" si="91">S131/R131-1</f>
        <v>0.54214265021148389</v>
      </c>
      <c r="T132" s="395">
        <f t="shared" si="91"/>
        <v>0.1550520291675932</v>
      </c>
      <c r="U132" s="395">
        <f t="shared" si="91"/>
        <v>0.19572529135390937</v>
      </c>
      <c r="V132" s="395">
        <f t="shared" si="91"/>
        <v>0.12154581907409723</v>
      </c>
      <c r="W132" s="395">
        <f t="shared" si="91"/>
        <v>5.3963587676276736E-2</v>
      </c>
      <c r="X132" s="395">
        <f t="shared" si="91"/>
        <v>-8.0041240340049669E-3</v>
      </c>
      <c r="Y132" s="395">
        <f t="shared" si="91"/>
        <v>9.0477162636182218E-3</v>
      </c>
      <c r="Z132" s="395">
        <f>Z131/Y131-1</f>
        <v>1.034606435711849E-2</v>
      </c>
      <c r="AA132" s="395">
        <f t="shared" si="91"/>
        <v>1.0240119422548322E-2</v>
      </c>
      <c r="AB132" s="395">
        <f t="shared" si="91"/>
        <v>1.0136322271977694E-2</v>
      </c>
      <c r="AC132" s="1897">
        <f t="shared" si="91"/>
        <v>1.0034608248894017E-2</v>
      </c>
      <c r="AD132" s="395"/>
      <c r="AE132" s="355"/>
      <c r="AF132" s="348"/>
      <c r="AG132" s="323"/>
      <c r="AH132" s="348"/>
      <c r="AI132" s="357"/>
      <c r="AJ132" s="320"/>
      <c r="AK132" s="320"/>
      <c r="AL132" s="320"/>
    </row>
    <row r="133" spans="1:38" ht="12.75" hidden="1" customHeight="1" outlineLevel="1">
      <c r="A133" s="396"/>
      <c r="B133" s="397"/>
      <c r="C133" s="395"/>
      <c r="D133" s="397"/>
      <c r="E133" s="395"/>
      <c r="F133" s="395"/>
      <c r="G133" s="395"/>
      <c r="H133" s="395"/>
      <c r="I133" s="395"/>
      <c r="J133" s="395"/>
      <c r="K133" s="395"/>
      <c r="L133" s="395"/>
      <c r="M133" s="395"/>
      <c r="N133" s="395"/>
      <c r="O133" s="395"/>
      <c r="P133" s="395"/>
      <c r="Q133" s="395"/>
      <c r="R133" s="395"/>
      <c r="S133" s="395"/>
      <c r="T133" s="395"/>
      <c r="U133" s="395"/>
      <c r="V133" s="395"/>
      <c r="W133" s="395"/>
      <c r="X133" s="395"/>
      <c r="Y133" s="395"/>
      <c r="Z133" s="395"/>
      <c r="AA133" s="395"/>
      <c r="AB133" s="395"/>
      <c r="AC133" s="1897"/>
      <c r="AD133" s="395"/>
      <c r="AE133" s="355"/>
      <c r="AF133" s="348"/>
      <c r="AG133" s="323"/>
      <c r="AH133" s="348"/>
      <c r="AI133" s="357"/>
      <c r="AJ133" s="320"/>
      <c r="AK133" s="320"/>
      <c r="AL133" s="320"/>
    </row>
    <row r="134" spans="1:38" ht="12.75" hidden="1" customHeight="1" outlineLevel="1">
      <c r="A134" s="396" t="s">
        <v>793</v>
      </c>
      <c r="B134" s="397"/>
      <c r="C134" s="395"/>
      <c r="D134" s="397"/>
      <c r="E134" s="395"/>
      <c r="F134" s="395"/>
      <c r="G134" s="395"/>
      <c r="H134" s="395"/>
      <c r="I134" s="395"/>
      <c r="J134" s="395"/>
      <c r="K134" s="395"/>
      <c r="L134" s="395"/>
      <c r="M134" s="395"/>
      <c r="N134" s="395"/>
      <c r="O134" s="395"/>
      <c r="P134" s="395"/>
      <c r="Q134" s="395"/>
      <c r="R134" s="395"/>
      <c r="S134" s="395"/>
      <c r="T134" s="395"/>
      <c r="U134" s="395"/>
      <c r="V134" s="1668">
        <v>9.1101000000000001E-2</v>
      </c>
      <c r="W134" s="1668">
        <v>0.11781999999999999</v>
      </c>
      <c r="X134" s="395"/>
      <c r="Y134" s="395"/>
      <c r="Z134" s="395"/>
      <c r="AA134" s="395"/>
      <c r="AB134" s="395"/>
      <c r="AC134" s="1897"/>
      <c r="AD134" s="395"/>
      <c r="AE134" s="355"/>
      <c r="AF134" s="348"/>
      <c r="AG134" s="323"/>
      <c r="AH134" s="348"/>
      <c r="AI134" s="357"/>
      <c r="AJ134" s="320"/>
      <c r="AK134" s="320"/>
      <c r="AL134" s="320"/>
    </row>
    <row r="135" spans="1:38" ht="12.75" hidden="1" customHeight="1" outlineLevel="1">
      <c r="A135" s="396"/>
      <c r="B135" s="320"/>
      <c r="C135" s="395"/>
      <c r="D135" s="320"/>
      <c r="E135" s="395"/>
      <c r="F135" s="395"/>
      <c r="G135" s="320"/>
      <c r="H135" s="395"/>
      <c r="I135" s="395"/>
      <c r="J135" s="404"/>
      <c r="K135" s="395"/>
      <c r="L135" s="401"/>
      <c r="M135" s="405"/>
      <c r="N135" s="401"/>
      <c r="O135" s="406"/>
      <c r="P135" s="372"/>
      <c r="Q135" s="395"/>
      <c r="R135" s="395"/>
      <c r="S135" s="395"/>
      <c r="T135" s="395"/>
      <c r="U135" s="395"/>
      <c r="V135" s="1668"/>
      <c r="W135" s="1668"/>
      <c r="X135" s="395"/>
      <c r="Y135" s="395"/>
      <c r="Z135" s="395"/>
      <c r="AA135" s="395"/>
      <c r="AB135" s="395"/>
      <c r="AC135" s="1897"/>
      <c r="AD135" s="395"/>
      <c r="AE135" s="355"/>
      <c r="AF135" s="348"/>
      <c r="AG135" s="323"/>
      <c r="AH135" s="348"/>
      <c r="AI135" s="357"/>
      <c r="AJ135" s="320"/>
      <c r="AK135" s="320"/>
      <c r="AL135" s="320"/>
    </row>
    <row r="136" spans="1:38" ht="12.75" hidden="1" customHeight="1" outlineLevel="1">
      <c r="A136" s="375" t="s">
        <v>270</v>
      </c>
      <c r="B136" s="389"/>
      <c r="C136" s="389"/>
      <c r="D136" s="389"/>
      <c r="E136" s="389"/>
      <c r="F136" s="389"/>
      <c r="G136" s="389"/>
      <c r="H136" s="389"/>
      <c r="I136" s="389"/>
      <c r="J136" s="389"/>
      <c r="K136" s="389"/>
      <c r="L136" s="393"/>
      <c r="M136" s="389"/>
      <c r="N136" s="393"/>
      <c r="O136" s="393"/>
      <c r="P136" s="344"/>
      <c r="Q136" s="389"/>
      <c r="R136" s="389"/>
      <c r="S136" s="389"/>
      <c r="T136" s="389"/>
      <c r="U136" s="389"/>
      <c r="V136" s="389"/>
      <c r="W136" s="389"/>
      <c r="X136" s="389"/>
      <c r="Y136" s="389"/>
      <c r="Z136" s="389"/>
      <c r="AA136" s="389"/>
      <c r="AB136" s="389"/>
      <c r="AC136" s="407"/>
      <c r="AD136" s="389"/>
      <c r="AE136" s="355"/>
      <c r="AF136" s="348"/>
      <c r="AG136" s="383"/>
      <c r="AH136" s="348"/>
      <c r="AI136" s="357"/>
      <c r="AJ136" s="320"/>
      <c r="AK136" s="320"/>
      <c r="AL136" s="320"/>
    </row>
    <row r="137" spans="1:38" ht="12.75" hidden="1" customHeight="1" outlineLevel="1">
      <c r="A137" s="391" t="s">
        <v>288</v>
      </c>
      <c r="B137" s="389"/>
      <c r="C137" s="389"/>
      <c r="D137" s="389"/>
      <c r="E137" s="389"/>
      <c r="F137" s="389"/>
      <c r="G137" s="373">
        <f t="shared" ref="G137:M137" si="92">(G102-F102)/(G34+G48)*1000000</f>
        <v>2512.9999999999986</v>
      </c>
      <c r="H137" s="373">
        <f t="shared" si="92"/>
        <v>2805.1333333333355</v>
      </c>
      <c r="I137" s="373">
        <f t="shared" si="92"/>
        <v>2962.6470588235293</v>
      </c>
      <c r="J137" s="373">
        <f t="shared" si="92"/>
        <v>3433.8333333333335</v>
      </c>
      <c r="K137" s="373">
        <f t="shared" si="92"/>
        <v>3794.8333333333308</v>
      </c>
      <c r="L137" s="373">
        <f t="shared" si="92"/>
        <v>3121.4736842105276</v>
      </c>
      <c r="M137" s="373">
        <f t="shared" si="92"/>
        <v>2865.119999999999</v>
      </c>
      <c r="N137" s="373">
        <f>(N102-M102)/(N34+N48)*1000000</f>
        <v>2687.4146341463429</v>
      </c>
      <c r="O137" s="407">
        <v>2660</v>
      </c>
      <c r="P137" s="407">
        <f>+O137</f>
        <v>2660</v>
      </c>
      <c r="Q137" s="407">
        <v>2720</v>
      </c>
      <c r="R137" s="407">
        <v>3000</v>
      </c>
      <c r="S137" s="407">
        <v>2700</v>
      </c>
      <c r="T137" s="407">
        <f t="shared" ref="S137:T139" si="93">+S137</f>
        <v>2700</v>
      </c>
      <c r="U137" s="407">
        <v>2700</v>
      </c>
      <c r="V137" s="407">
        <v>4500</v>
      </c>
      <c r="W137" s="407">
        <f t="shared" ref="V137:X139" si="94">+V137</f>
        <v>4500</v>
      </c>
      <c r="X137" s="407">
        <f t="shared" si="94"/>
        <v>4500</v>
      </c>
      <c r="Y137" s="407">
        <f t="shared" ref="Y137:AC139" si="95">+X137</f>
        <v>4500</v>
      </c>
      <c r="Z137" s="407">
        <f>+Y137</f>
        <v>4500</v>
      </c>
      <c r="AA137" s="407">
        <f t="shared" si="95"/>
        <v>4500</v>
      </c>
      <c r="AB137" s="407">
        <f t="shared" si="95"/>
        <v>4500</v>
      </c>
      <c r="AC137" s="407">
        <f t="shared" si="95"/>
        <v>4500</v>
      </c>
      <c r="AD137" s="407"/>
      <c r="AE137" s="374"/>
      <c r="AF137" s="348"/>
      <c r="AG137" s="383"/>
      <c r="AH137" s="348"/>
      <c r="AI137" s="357"/>
      <c r="AJ137" s="320"/>
      <c r="AK137" s="320"/>
      <c r="AL137" s="320"/>
    </row>
    <row r="138" spans="1:38" ht="12.75" hidden="1" customHeight="1" outlineLevel="1">
      <c r="A138" s="391" t="s">
        <v>582</v>
      </c>
      <c r="B138" s="389"/>
      <c r="C138" s="389"/>
      <c r="D138" s="389"/>
      <c r="E138" s="389"/>
      <c r="F138" s="389"/>
      <c r="G138" s="373"/>
      <c r="H138" s="373"/>
      <c r="I138" s="373"/>
      <c r="J138" s="373"/>
      <c r="K138" s="373"/>
      <c r="L138" s="373"/>
      <c r="M138" s="373"/>
      <c r="N138" s="373"/>
      <c r="O138" s="407"/>
      <c r="P138" s="407"/>
      <c r="Q138" s="407"/>
      <c r="R138" s="407"/>
      <c r="S138" s="407">
        <v>1200</v>
      </c>
      <c r="T138" s="407">
        <f t="shared" si="93"/>
        <v>1200</v>
      </c>
      <c r="U138" s="407">
        <v>1400</v>
      </c>
      <c r="V138" s="407">
        <f t="shared" si="94"/>
        <v>1400</v>
      </c>
      <c r="W138" s="407">
        <f t="shared" si="94"/>
        <v>1400</v>
      </c>
      <c r="X138" s="407">
        <f t="shared" si="94"/>
        <v>1400</v>
      </c>
      <c r="Y138" s="407">
        <f t="shared" si="95"/>
        <v>1400</v>
      </c>
      <c r="Z138" s="407">
        <f>+Y138</f>
        <v>1400</v>
      </c>
      <c r="AA138" s="407">
        <f t="shared" si="95"/>
        <v>1400</v>
      </c>
      <c r="AB138" s="407">
        <f t="shared" si="95"/>
        <v>1400</v>
      </c>
      <c r="AC138" s="407">
        <f t="shared" si="95"/>
        <v>1400</v>
      </c>
      <c r="AD138" s="407"/>
      <c r="AE138" s="374"/>
      <c r="AF138" s="348"/>
      <c r="AG138" s="383"/>
      <c r="AH138" s="348"/>
      <c r="AI138" s="357"/>
      <c r="AJ138" s="320"/>
      <c r="AK138" s="320"/>
      <c r="AL138" s="320"/>
    </row>
    <row r="139" spans="1:38" ht="12.75" hidden="1" customHeight="1" outlineLevel="1">
      <c r="A139" s="396" t="s">
        <v>289</v>
      </c>
      <c r="B139" s="320"/>
      <c r="C139" s="389"/>
      <c r="D139" s="320"/>
      <c r="E139" s="389"/>
      <c r="F139" s="389"/>
      <c r="G139" s="373">
        <f t="shared" ref="G139:L139" si="96">(G106-F106)/(G36+G50)*1000000</f>
        <v>6922.0000000000118</v>
      </c>
      <c r="H139" s="373">
        <f t="shared" si="96"/>
        <v>3282.7999999999965</v>
      </c>
      <c r="I139" s="373">
        <f t="shared" si="96"/>
        <v>3430.5000000000032</v>
      </c>
      <c r="J139" s="373">
        <f t="shared" si="96"/>
        <v>6695.4999999999927</v>
      </c>
      <c r="K139" s="408" t="s">
        <v>147</v>
      </c>
      <c r="L139" s="373">
        <f t="shared" si="96"/>
        <v>3487.3333333333285</v>
      </c>
      <c r="M139" s="373">
        <f>(M106-L106)/(M36+M50)*1000000</f>
        <v>7377.0000000000082</v>
      </c>
      <c r="N139" s="373">
        <f>(N106-M106)/(N36+N50)*1000000</f>
        <v>5654.9999999999973</v>
      </c>
      <c r="O139" s="407">
        <v>4800</v>
      </c>
      <c r="P139" s="407">
        <v>4800</v>
      </c>
      <c r="Q139" s="407">
        <v>5500</v>
      </c>
      <c r="R139" s="407">
        <v>5500</v>
      </c>
      <c r="S139" s="407">
        <f t="shared" si="93"/>
        <v>5500</v>
      </c>
      <c r="T139" s="407">
        <f t="shared" si="93"/>
        <v>5500</v>
      </c>
      <c r="U139" s="407">
        <v>8500</v>
      </c>
      <c r="V139" s="407">
        <v>8500</v>
      </c>
      <c r="W139" s="407">
        <f t="shared" si="94"/>
        <v>8500</v>
      </c>
      <c r="X139" s="407">
        <f t="shared" si="94"/>
        <v>8500</v>
      </c>
      <c r="Y139" s="407">
        <f t="shared" si="95"/>
        <v>8500</v>
      </c>
      <c r="Z139" s="407">
        <f>+Y139</f>
        <v>8500</v>
      </c>
      <c r="AA139" s="407">
        <f t="shared" si="95"/>
        <v>8500</v>
      </c>
      <c r="AB139" s="407">
        <f t="shared" si="95"/>
        <v>8500</v>
      </c>
      <c r="AC139" s="407">
        <f t="shared" si="95"/>
        <v>8500</v>
      </c>
      <c r="AD139" s="407"/>
      <c r="AE139" s="355"/>
      <c r="AF139" s="348"/>
      <c r="AG139" s="323"/>
      <c r="AH139" s="348"/>
      <c r="AI139" s="357"/>
      <c r="AJ139" s="320"/>
      <c r="AK139" s="320"/>
      <c r="AL139" s="320"/>
    </row>
    <row r="140" spans="1:38" ht="12.75" hidden="1" customHeight="1" outlineLevel="1">
      <c r="A140" s="396" t="s">
        <v>418</v>
      </c>
      <c r="B140" s="320"/>
      <c r="C140" s="389"/>
      <c r="D140" s="320"/>
      <c r="E140" s="389"/>
      <c r="F140" s="389"/>
      <c r="G140" s="373"/>
      <c r="H140" s="373"/>
      <c r="I140" s="373"/>
      <c r="J140" s="373"/>
      <c r="K140" s="408"/>
      <c r="L140" s="373"/>
      <c r="M140" s="373"/>
      <c r="N140" s="373"/>
      <c r="O140" s="407"/>
      <c r="P140" s="407"/>
      <c r="Q140" s="407"/>
      <c r="R140" s="407">
        <v>2900</v>
      </c>
      <c r="S140" s="407">
        <v>2900</v>
      </c>
      <c r="T140" s="407">
        <v>2900</v>
      </c>
      <c r="U140" s="407">
        <v>3100</v>
      </c>
      <c r="V140" s="407">
        <v>3500</v>
      </c>
      <c r="W140" s="407">
        <v>2901</v>
      </c>
      <c r="X140" s="407">
        <v>2902</v>
      </c>
      <c r="Y140" s="407">
        <v>2902</v>
      </c>
      <c r="Z140" s="407">
        <v>2902</v>
      </c>
      <c r="AA140" s="407">
        <v>2902</v>
      </c>
      <c r="AB140" s="407">
        <v>2902</v>
      </c>
      <c r="AC140" s="407">
        <v>2902</v>
      </c>
      <c r="AD140" s="407"/>
      <c r="AE140" s="355"/>
      <c r="AF140" s="348"/>
      <c r="AG140" s="323"/>
      <c r="AH140" s="348"/>
      <c r="AI140" s="357"/>
      <c r="AJ140" s="320"/>
      <c r="AK140" s="320"/>
      <c r="AL140" s="320"/>
    </row>
    <row r="141" spans="1:38" ht="12.75" hidden="1" customHeight="1" outlineLevel="1">
      <c r="A141" s="396" t="s">
        <v>296</v>
      </c>
      <c r="B141" s="320"/>
      <c r="C141" s="389"/>
      <c r="D141" s="320"/>
      <c r="E141" s="389"/>
      <c r="F141" s="389"/>
      <c r="G141" s="408" t="s">
        <v>147</v>
      </c>
      <c r="H141" s="373">
        <f>(H114-G114)/(H38+H52)*1000000</f>
        <v>1204.8333333333333</v>
      </c>
      <c r="I141" s="373">
        <f>(I114-H114)/(I38+I52)*1000000</f>
        <v>1943.428571428572</v>
      </c>
      <c r="J141" s="373">
        <f>(J114-I114)/(J38+J52)*1000000</f>
        <v>2526.6999999999998</v>
      </c>
      <c r="K141" s="373">
        <f>(K114-J114)/(K38+K52)*1000000</f>
        <v>2435.571428571428</v>
      </c>
      <c r="L141" s="382">
        <f>(L114-K114)/(L38+L52)*1000000</f>
        <v>14113.666666666668</v>
      </c>
      <c r="M141" s="320"/>
      <c r="N141" s="320"/>
      <c r="O141" s="377"/>
      <c r="P141" s="377"/>
      <c r="Q141" s="377"/>
      <c r="R141" s="377"/>
      <c r="S141" s="377"/>
      <c r="T141" s="377"/>
      <c r="U141" s="377"/>
      <c r="V141" s="377"/>
      <c r="W141" s="377"/>
      <c r="X141" s="377"/>
      <c r="Y141" s="377"/>
      <c r="Z141" s="377"/>
      <c r="AA141" s="377"/>
      <c r="AB141" s="377"/>
      <c r="AC141" s="377"/>
      <c r="AD141" s="377"/>
      <c r="AE141" s="355"/>
      <c r="AF141" s="348"/>
      <c r="AG141" s="323"/>
      <c r="AH141" s="348"/>
      <c r="AI141" s="357"/>
      <c r="AJ141" s="320"/>
      <c r="AK141" s="320"/>
      <c r="AL141" s="320"/>
    </row>
    <row r="142" spans="1:38" ht="12.75" hidden="1" customHeight="1" outlineLevel="1">
      <c r="A142" s="396" t="s">
        <v>290</v>
      </c>
      <c r="B142" s="320"/>
      <c r="C142" s="389"/>
      <c r="D142" s="320"/>
      <c r="E142" s="389"/>
      <c r="F142" s="389"/>
      <c r="G142" s="389"/>
      <c r="H142" s="389"/>
      <c r="I142" s="389"/>
      <c r="J142" s="389"/>
      <c r="K142" s="389"/>
      <c r="L142" s="389"/>
      <c r="M142" s="373">
        <f>(M116-L114)/(M39+M53)*1000000</f>
        <v>2182.8666666666663</v>
      </c>
      <c r="N142" s="373">
        <f>(N116-M116)/(N39+N53)*1000000</f>
        <v>1867.736842105264</v>
      </c>
      <c r="O142" s="407">
        <v>1800</v>
      </c>
      <c r="P142" s="407">
        <f t="shared" ref="P142:U142" si="97">+O142</f>
        <v>1800</v>
      </c>
      <c r="Q142" s="407">
        <v>1825</v>
      </c>
      <c r="R142" s="407">
        <v>1600</v>
      </c>
      <c r="S142" s="407">
        <v>2000</v>
      </c>
      <c r="T142" s="407">
        <f t="shared" si="97"/>
        <v>2000</v>
      </c>
      <c r="U142" s="407">
        <f t="shared" si="97"/>
        <v>2000</v>
      </c>
      <c r="V142" s="407">
        <f t="shared" ref="V142:AC142" si="98">+U142</f>
        <v>2000</v>
      </c>
      <c r="W142" s="407">
        <f t="shared" si="98"/>
        <v>2000</v>
      </c>
      <c r="X142" s="407">
        <f t="shared" si="98"/>
        <v>2000</v>
      </c>
      <c r="Y142" s="407">
        <f t="shared" si="98"/>
        <v>2000</v>
      </c>
      <c r="Z142" s="407">
        <f>+Y142</f>
        <v>2000</v>
      </c>
      <c r="AA142" s="407">
        <f t="shared" si="98"/>
        <v>2000</v>
      </c>
      <c r="AB142" s="407">
        <f t="shared" si="98"/>
        <v>2000</v>
      </c>
      <c r="AC142" s="407">
        <f t="shared" si="98"/>
        <v>2000</v>
      </c>
      <c r="AD142" s="407"/>
      <c r="AE142" s="355"/>
      <c r="AF142" s="348"/>
      <c r="AG142" s="323"/>
      <c r="AH142" s="348"/>
      <c r="AI142" s="357"/>
      <c r="AJ142" s="320"/>
      <c r="AK142" s="320"/>
      <c r="AL142" s="320"/>
    </row>
    <row r="143" spans="1:38" ht="12.75" hidden="1" customHeight="1" outlineLevel="1">
      <c r="A143" s="396" t="s">
        <v>595</v>
      </c>
      <c r="B143" s="320"/>
      <c r="C143" s="389"/>
      <c r="D143" s="320"/>
      <c r="E143" s="389"/>
      <c r="F143" s="389"/>
      <c r="G143" s="389"/>
      <c r="H143" s="389"/>
      <c r="I143" s="389"/>
      <c r="J143" s="389"/>
      <c r="K143" s="389"/>
      <c r="L143" s="389"/>
      <c r="M143" s="373"/>
      <c r="N143" s="409">
        <v>1596</v>
      </c>
      <c r="O143" s="410">
        <v>1854</v>
      </c>
      <c r="P143" s="407">
        <v>1881</v>
      </c>
      <c r="Q143" s="407">
        <v>1925</v>
      </c>
      <c r="R143" s="407">
        <v>1875</v>
      </c>
      <c r="S143" s="407">
        <f t="shared" ref="S143:U147" si="99">R143</f>
        <v>1875</v>
      </c>
      <c r="T143" s="407">
        <v>1875</v>
      </c>
      <c r="U143" s="407">
        <f t="shared" si="99"/>
        <v>1875</v>
      </c>
      <c r="V143" s="407">
        <v>1875</v>
      </c>
      <c r="W143" s="407">
        <f t="shared" ref="V143:X149" si="100">V143</f>
        <v>1875</v>
      </c>
      <c r="X143" s="407">
        <f t="shared" si="100"/>
        <v>1875</v>
      </c>
      <c r="Y143" s="407">
        <f t="shared" ref="Y143:AC149" si="101">X143</f>
        <v>1875</v>
      </c>
      <c r="Z143" s="407">
        <f t="shared" ref="Z143:Z149" si="102">Y143</f>
        <v>1875</v>
      </c>
      <c r="AA143" s="407">
        <f t="shared" si="101"/>
        <v>1875</v>
      </c>
      <c r="AB143" s="407">
        <f t="shared" si="101"/>
        <v>1875</v>
      </c>
      <c r="AC143" s="407">
        <f t="shared" si="101"/>
        <v>1875</v>
      </c>
      <c r="AD143" s="407"/>
      <c r="AE143" s="355"/>
      <c r="AF143" s="348"/>
      <c r="AG143" s="323"/>
      <c r="AH143" s="348"/>
      <c r="AI143" s="357"/>
      <c r="AJ143" s="320"/>
      <c r="AK143" s="320"/>
      <c r="AL143" s="320"/>
    </row>
    <row r="144" spans="1:38" ht="12.75" hidden="1" customHeight="1" outlineLevel="1">
      <c r="A144" s="396" t="s">
        <v>535</v>
      </c>
      <c r="B144" s="320"/>
      <c r="C144" s="389"/>
      <c r="D144" s="320"/>
      <c r="E144" s="389"/>
      <c r="F144" s="389"/>
      <c r="G144" s="389"/>
      <c r="H144" s="389"/>
      <c r="I144" s="389"/>
      <c r="J144" s="389"/>
      <c r="K144" s="389"/>
      <c r="L144" s="389"/>
      <c r="M144" s="373"/>
      <c r="N144" s="409"/>
      <c r="O144" s="410"/>
      <c r="P144" s="407"/>
      <c r="Q144" s="407"/>
      <c r="R144" s="407">
        <v>4550</v>
      </c>
      <c r="S144" s="407">
        <f t="shared" si="99"/>
        <v>4550</v>
      </c>
      <c r="T144" s="407">
        <f t="shared" si="99"/>
        <v>4550</v>
      </c>
      <c r="U144" s="407">
        <f t="shared" si="99"/>
        <v>4550</v>
      </c>
      <c r="V144" s="407">
        <f t="shared" si="100"/>
        <v>4550</v>
      </c>
      <c r="W144" s="407">
        <f t="shared" si="100"/>
        <v>4550</v>
      </c>
      <c r="X144" s="407">
        <f t="shared" si="100"/>
        <v>4550</v>
      </c>
      <c r="Y144" s="407">
        <f t="shared" si="101"/>
        <v>4550</v>
      </c>
      <c r="Z144" s="407">
        <f t="shared" si="102"/>
        <v>4550</v>
      </c>
      <c r="AA144" s="407">
        <f t="shared" si="101"/>
        <v>4550</v>
      </c>
      <c r="AB144" s="407">
        <f t="shared" si="101"/>
        <v>4550</v>
      </c>
      <c r="AC144" s="407">
        <f t="shared" si="101"/>
        <v>4550</v>
      </c>
      <c r="AD144" s="407"/>
      <c r="AE144" s="355"/>
      <c r="AF144" s="348"/>
      <c r="AG144" s="323"/>
      <c r="AH144" s="348"/>
      <c r="AI144" s="357"/>
      <c r="AJ144" s="320"/>
      <c r="AK144" s="320"/>
      <c r="AL144" s="320"/>
    </row>
    <row r="145" spans="1:38" ht="12.75" hidden="1" customHeight="1" outlineLevel="1">
      <c r="A145" s="396" t="s">
        <v>533</v>
      </c>
      <c r="B145" s="320"/>
      <c r="C145" s="389"/>
      <c r="D145" s="320"/>
      <c r="E145" s="389"/>
      <c r="F145" s="389"/>
      <c r="G145" s="389"/>
      <c r="H145" s="389"/>
      <c r="I145" s="389"/>
      <c r="J145" s="389"/>
      <c r="K145" s="389"/>
      <c r="L145" s="389"/>
      <c r="M145" s="373"/>
      <c r="N145" s="409"/>
      <c r="O145" s="410"/>
      <c r="P145" s="407"/>
      <c r="Q145" s="407"/>
      <c r="R145" s="407"/>
      <c r="S145" s="407">
        <v>1750</v>
      </c>
      <c r="T145" s="407">
        <f t="shared" si="99"/>
        <v>1750</v>
      </c>
      <c r="U145" s="407">
        <f t="shared" si="99"/>
        <v>1750</v>
      </c>
      <c r="V145" s="407">
        <f t="shared" si="100"/>
        <v>1750</v>
      </c>
      <c r="W145" s="407">
        <f t="shared" si="100"/>
        <v>1750</v>
      </c>
      <c r="X145" s="407">
        <f t="shared" si="100"/>
        <v>1750</v>
      </c>
      <c r="Y145" s="407">
        <f t="shared" si="101"/>
        <v>1750</v>
      </c>
      <c r="Z145" s="407">
        <f t="shared" si="102"/>
        <v>1750</v>
      </c>
      <c r="AA145" s="407">
        <f t="shared" si="101"/>
        <v>1750</v>
      </c>
      <c r="AB145" s="407">
        <f t="shared" si="101"/>
        <v>1750</v>
      </c>
      <c r="AC145" s="407">
        <f t="shared" si="101"/>
        <v>1750</v>
      </c>
      <c r="AD145" s="407"/>
      <c r="AE145" s="355"/>
      <c r="AF145" s="348"/>
      <c r="AG145" s="323"/>
      <c r="AH145" s="348"/>
      <c r="AI145" s="357"/>
      <c r="AJ145" s="320"/>
      <c r="AK145" s="320"/>
      <c r="AL145" s="320"/>
    </row>
    <row r="146" spans="1:38" ht="12.75" hidden="1" customHeight="1" outlineLevel="1">
      <c r="A146" s="396" t="s">
        <v>350</v>
      </c>
      <c r="B146" s="320"/>
      <c r="C146" s="389"/>
      <c r="D146" s="320"/>
      <c r="E146" s="389"/>
      <c r="F146" s="389"/>
      <c r="G146" s="389"/>
      <c r="H146" s="389"/>
      <c r="I146" s="389"/>
      <c r="J146" s="389"/>
      <c r="K146" s="389"/>
      <c r="L146" s="389"/>
      <c r="M146" s="373"/>
      <c r="N146" s="409"/>
      <c r="O146" s="410"/>
      <c r="P146" s="407"/>
      <c r="Q146" s="407"/>
      <c r="R146" s="407"/>
      <c r="S146" s="407">
        <v>1750</v>
      </c>
      <c r="T146" s="407">
        <f t="shared" si="99"/>
        <v>1750</v>
      </c>
      <c r="U146" s="407">
        <f t="shared" si="99"/>
        <v>1750</v>
      </c>
      <c r="V146" s="407">
        <f t="shared" si="100"/>
        <v>1750</v>
      </c>
      <c r="W146" s="407">
        <f t="shared" si="100"/>
        <v>1750</v>
      </c>
      <c r="X146" s="407">
        <f t="shared" si="100"/>
        <v>1750</v>
      </c>
      <c r="Y146" s="407">
        <f t="shared" si="101"/>
        <v>1750</v>
      </c>
      <c r="Z146" s="407">
        <f t="shared" si="102"/>
        <v>1750</v>
      </c>
      <c r="AA146" s="407">
        <f t="shared" si="101"/>
        <v>1750</v>
      </c>
      <c r="AB146" s="407">
        <f t="shared" si="101"/>
        <v>1750</v>
      </c>
      <c r="AC146" s="407">
        <f t="shared" si="101"/>
        <v>1750</v>
      </c>
      <c r="AD146" s="407"/>
      <c r="AE146" s="355"/>
      <c r="AF146" s="348"/>
      <c r="AG146" s="323"/>
      <c r="AH146" s="348"/>
      <c r="AI146" s="357"/>
      <c r="AJ146" s="320"/>
      <c r="AK146" s="320"/>
      <c r="AL146" s="320"/>
    </row>
    <row r="147" spans="1:38" ht="12.75" hidden="1" customHeight="1" outlineLevel="1">
      <c r="A147" s="396" t="s">
        <v>333</v>
      </c>
      <c r="B147" s="320"/>
      <c r="C147" s="389"/>
      <c r="D147" s="320"/>
      <c r="E147" s="389"/>
      <c r="F147" s="389"/>
      <c r="G147" s="389"/>
      <c r="H147" s="389"/>
      <c r="I147" s="389"/>
      <c r="J147" s="389"/>
      <c r="K147" s="389"/>
      <c r="L147" s="389"/>
      <c r="M147" s="373"/>
      <c r="N147" s="409"/>
      <c r="O147" s="410"/>
      <c r="P147" s="407"/>
      <c r="Q147" s="407"/>
      <c r="R147" s="407"/>
      <c r="S147" s="407">
        <v>1750</v>
      </c>
      <c r="T147" s="407">
        <f t="shared" si="99"/>
        <v>1750</v>
      </c>
      <c r="U147" s="407">
        <f t="shared" si="99"/>
        <v>1750</v>
      </c>
      <c r="V147" s="407">
        <f t="shared" si="100"/>
        <v>1750</v>
      </c>
      <c r="W147" s="407">
        <f t="shared" si="100"/>
        <v>1750</v>
      </c>
      <c r="X147" s="407">
        <f t="shared" si="100"/>
        <v>1750</v>
      </c>
      <c r="Y147" s="407">
        <f t="shared" si="101"/>
        <v>1750</v>
      </c>
      <c r="Z147" s="407">
        <f t="shared" si="102"/>
        <v>1750</v>
      </c>
      <c r="AA147" s="407">
        <f t="shared" si="101"/>
        <v>1750</v>
      </c>
      <c r="AB147" s="407">
        <f t="shared" si="101"/>
        <v>1750</v>
      </c>
      <c r="AC147" s="407">
        <f t="shared" si="101"/>
        <v>1750</v>
      </c>
      <c r="AD147" s="407"/>
      <c r="AE147" s="355"/>
      <c r="AF147" s="348"/>
      <c r="AG147" s="323"/>
      <c r="AH147" s="348"/>
      <c r="AI147" s="357"/>
      <c r="AJ147" s="320"/>
      <c r="AK147" s="320"/>
      <c r="AL147" s="320"/>
    </row>
    <row r="148" spans="1:38" ht="12.75" hidden="1" customHeight="1" outlineLevel="1">
      <c r="A148" s="396" t="s">
        <v>211</v>
      </c>
      <c r="B148" s="320"/>
      <c r="C148" s="389"/>
      <c r="D148" s="320"/>
      <c r="E148" s="389"/>
      <c r="F148" s="389"/>
      <c r="G148" s="389"/>
      <c r="H148" s="389"/>
      <c r="I148" s="389"/>
      <c r="J148" s="389"/>
      <c r="K148" s="389"/>
      <c r="L148" s="389"/>
      <c r="M148" s="373"/>
      <c r="N148" s="409"/>
      <c r="O148" s="410"/>
      <c r="P148" s="407"/>
      <c r="Q148" s="407"/>
      <c r="R148" s="407"/>
      <c r="S148" s="407">
        <v>1750</v>
      </c>
      <c r="T148" s="407">
        <f>S148</f>
        <v>1750</v>
      </c>
      <c r="U148" s="407">
        <f>T148</f>
        <v>1750</v>
      </c>
      <c r="V148" s="407">
        <f>U148</f>
        <v>1750</v>
      </c>
      <c r="W148" s="407">
        <f>V148</f>
        <v>1750</v>
      </c>
      <c r="X148" s="407">
        <f>W148</f>
        <v>1750</v>
      </c>
      <c r="Y148" s="407">
        <f t="shared" si="101"/>
        <v>1750</v>
      </c>
      <c r="Z148" s="407">
        <f t="shared" si="102"/>
        <v>1750</v>
      </c>
      <c r="AA148" s="407">
        <f t="shared" si="101"/>
        <v>1750</v>
      </c>
      <c r="AB148" s="407">
        <f t="shared" si="101"/>
        <v>1750</v>
      </c>
      <c r="AC148" s="407">
        <f t="shared" si="101"/>
        <v>1750</v>
      </c>
      <c r="AD148" s="407"/>
      <c r="AE148" s="355"/>
      <c r="AF148" s="348"/>
      <c r="AG148" s="56"/>
      <c r="AH148" s="323"/>
      <c r="AI148" s="357"/>
      <c r="AJ148" s="320"/>
    </row>
    <row r="149" spans="1:38" ht="12.75" hidden="1" customHeight="1" outlineLevel="1">
      <c r="A149" s="396" t="s">
        <v>368</v>
      </c>
      <c r="B149" s="320"/>
      <c r="C149" s="389"/>
      <c r="D149" s="320"/>
      <c r="E149" s="389"/>
      <c r="F149" s="389"/>
      <c r="G149" s="389"/>
      <c r="H149" s="389"/>
      <c r="I149" s="389"/>
      <c r="J149" s="389"/>
      <c r="K149" s="389"/>
      <c r="L149" s="389"/>
      <c r="M149" s="373"/>
      <c r="N149" s="409"/>
      <c r="O149" s="410"/>
      <c r="P149" s="407"/>
      <c r="Q149" s="407"/>
      <c r="R149" s="407"/>
      <c r="S149" s="407">
        <v>1500</v>
      </c>
      <c r="T149" s="407">
        <v>1500</v>
      </c>
      <c r="U149" s="407">
        <v>1500</v>
      </c>
      <c r="V149" s="649">
        <v>1500</v>
      </c>
      <c r="W149" s="407">
        <f t="shared" si="100"/>
        <v>1500</v>
      </c>
      <c r="X149" s="407">
        <f t="shared" si="100"/>
        <v>1500</v>
      </c>
      <c r="Y149" s="407">
        <f t="shared" si="101"/>
        <v>1500</v>
      </c>
      <c r="Z149" s="407">
        <f t="shared" si="102"/>
        <v>1500</v>
      </c>
      <c r="AA149" s="407">
        <f t="shared" si="101"/>
        <v>1500</v>
      </c>
      <c r="AB149" s="407">
        <f t="shared" si="101"/>
        <v>1500</v>
      </c>
      <c r="AC149" s="407">
        <f t="shared" si="101"/>
        <v>1500</v>
      </c>
      <c r="AD149" s="407"/>
      <c r="AE149" s="355"/>
      <c r="AF149" s="348"/>
      <c r="AG149" s="56"/>
      <c r="AH149" s="323"/>
      <c r="AI149" s="357"/>
      <c r="AJ149" s="320"/>
    </row>
    <row r="150" spans="1:38" ht="12.75" customHeight="1" collapsed="1">
      <c r="A150" s="377"/>
      <c r="B150" s="320"/>
      <c r="C150" s="320"/>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c r="AA150" s="320"/>
      <c r="AB150" s="320"/>
      <c r="AC150" s="377"/>
      <c r="AD150" s="320"/>
      <c r="AE150" s="355"/>
      <c r="AF150" s="348"/>
      <c r="AG150" s="323"/>
      <c r="AH150" s="348"/>
      <c r="AI150" s="357"/>
      <c r="AJ150" s="320"/>
      <c r="AK150" s="320"/>
      <c r="AL150" s="320"/>
    </row>
    <row r="151" spans="1:38" ht="12.75" customHeight="1">
      <c r="A151" s="375" t="s">
        <v>439</v>
      </c>
      <c r="B151" s="1565"/>
      <c r="C151" s="1565"/>
      <c r="D151" s="1565"/>
      <c r="E151" s="1565"/>
      <c r="F151" s="1565"/>
      <c r="G151" s="1565">
        <f t="shared" ref="G151:M151" si="103">(((G25/F25)-1)-G97)/G86</f>
        <v>7.9589842919801701E-2</v>
      </c>
      <c r="H151" s="1565">
        <f t="shared" si="103"/>
        <v>0.35931908352190728</v>
      </c>
      <c r="I151" s="1565">
        <f t="shared" si="103"/>
        <v>1.0171238685405712</v>
      </c>
      <c r="J151" s="1565">
        <f t="shared" si="103"/>
        <v>1.0393577098516829</v>
      </c>
      <c r="K151" s="1565">
        <f t="shared" si="103"/>
        <v>1.5260965738509573</v>
      </c>
      <c r="L151" s="1565">
        <f t="shared" si="103"/>
        <v>0.80853624019850723</v>
      </c>
      <c r="M151" s="1565">
        <f t="shared" si="103"/>
        <v>-0.11303789169107686</v>
      </c>
      <c r="N151" s="1565">
        <f>(((N25/M25)-1)-N97)/N86</f>
        <v>0.36930952718872451</v>
      </c>
      <c r="O151" s="1565">
        <f>(((O25/N25)-1)-O97)/O86</f>
        <v>0.62956081819439269</v>
      </c>
      <c r="P151" s="1565">
        <f>(((P25/O25)-1)-P97)/P86</f>
        <v>0.46914980454871968</v>
      </c>
      <c r="Q151" s="1565">
        <f>(((Q25/P25)-1)-Q97)/Q86</f>
        <v>0.67415475049266793</v>
      </c>
      <c r="R151" s="1565">
        <f>(((R25/Q25)-1)-R97)/R86</f>
        <v>0.53032208857311547</v>
      </c>
      <c r="S151" s="1565">
        <f>((((S8+S10)/R25)-1)-S97)/S86</f>
        <v>0.47539347150516625</v>
      </c>
      <c r="T151" s="1565">
        <f t="shared" ref="T151:Y151" si="104">((((T8+T10)/S25)-1)-T97)/T86</f>
        <v>0.3508177725260811</v>
      </c>
      <c r="U151" s="1565">
        <f t="shared" si="104"/>
        <v>0.79299957489178186</v>
      </c>
      <c r="V151" s="1565">
        <f t="shared" si="104"/>
        <v>1.1919282960328257</v>
      </c>
      <c r="W151" s="1565">
        <f t="shared" si="104"/>
        <v>0.51200669369264784</v>
      </c>
      <c r="X151" s="1565">
        <f t="shared" si="104"/>
        <v>11.084570527551652</v>
      </c>
      <c r="Y151" s="1565">
        <f t="shared" si="104"/>
        <v>3.3743153937719765</v>
      </c>
      <c r="Z151" s="679">
        <v>1.5</v>
      </c>
      <c r="AA151" s="679">
        <v>1.5</v>
      </c>
      <c r="AB151" s="679">
        <v>1.5</v>
      </c>
      <c r="AC151" s="1901">
        <v>1.5</v>
      </c>
      <c r="AD151" s="679"/>
      <c r="AE151" s="355"/>
      <c r="AF151" s="348"/>
      <c r="AG151" s="323"/>
      <c r="AH151" s="348"/>
      <c r="AI151" s="357"/>
      <c r="AJ151" s="320"/>
      <c r="AK151" s="320"/>
      <c r="AL151" s="320"/>
    </row>
    <row r="152" spans="1:38">
      <c r="A152" s="377"/>
      <c r="B152" s="320"/>
      <c r="C152" s="320"/>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c r="AA152" s="320"/>
      <c r="AB152" s="320"/>
      <c r="AC152" s="377"/>
      <c r="AD152" s="320"/>
      <c r="AE152" s="355"/>
      <c r="AF152" s="348"/>
      <c r="AG152" s="323"/>
      <c r="AH152" s="348"/>
      <c r="AI152" s="357"/>
      <c r="AJ152" s="320"/>
      <c r="AK152" s="320"/>
      <c r="AL152" s="320"/>
    </row>
    <row r="153" spans="1:38" ht="11.25" customHeight="1">
      <c r="A153" s="377" t="s">
        <v>440</v>
      </c>
      <c r="B153" s="411">
        <f>+'yrP&amp;L'!B61</f>
        <v>57.475000000000023</v>
      </c>
      <c r="C153" s="411">
        <f>+'yrP&amp;L'!C61</f>
        <v>62.046999999999997</v>
      </c>
      <c r="D153" s="411">
        <f>+'yrP&amp;L'!D61</f>
        <v>44.268999999999949</v>
      </c>
      <c r="E153" s="411">
        <f>+'yrP&amp;L'!E61</f>
        <v>25.012999999999977</v>
      </c>
      <c r="F153" s="411">
        <f>+'yrP&amp;L'!F61</f>
        <v>19.475000000000026</v>
      </c>
      <c r="G153" s="411">
        <f>+'yrP&amp;L'!G61</f>
        <v>56.016999999999939</v>
      </c>
      <c r="H153" s="411">
        <f>+'yrP&amp;L'!H61</f>
        <v>101.688</v>
      </c>
      <c r="I153" s="411">
        <f>+'yrP&amp;L'!I61</f>
        <v>117.77800000000001</v>
      </c>
      <c r="J153" s="411">
        <f>+'yrP&amp;L'!J61</f>
        <v>218.44900000000007</v>
      </c>
      <c r="K153" s="411">
        <f>+'yrP&amp;L'!K61</f>
        <v>405.30399999999975</v>
      </c>
      <c r="L153" s="411">
        <f>+'yrP&amp;L'!L61</f>
        <v>572.5630000000001</v>
      </c>
      <c r="M153" s="411">
        <f>+'yrP&amp;L'!M61</f>
        <v>714.74699999999984</v>
      </c>
      <c r="N153" s="411">
        <f>+'yrP&amp;L'!N61</f>
        <v>993.39699999999971</v>
      </c>
      <c r="O153" s="411">
        <f>+'yrP&amp;L'!O61</f>
        <v>1179.229</v>
      </c>
      <c r="P153" s="411">
        <f>+'yrP&amp;L'!P61</f>
        <v>1000.3129999999996</v>
      </c>
      <c r="Q153" s="411">
        <f>+'yrP&amp;L'!Q61</f>
        <v>1150.1709999999998</v>
      </c>
      <c r="R153" s="411">
        <f>+'yrP&amp;L'!R61</f>
        <v>1330.6020000000003</v>
      </c>
      <c r="S153" s="411">
        <f>+'yrP&amp;L'!S61</f>
        <v>1551.1979999999996</v>
      </c>
      <c r="T153" s="411">
        <f>+'yrP&amp;L'!T61</f>
        <v>1577.7429999999995</v>
      </c>
      <c r="U153" s="411">
        <f>+'yrP&amp;L'!U61</f>
        <v>1251.581000000001</v>
      </c>
      <c r="V153" s="411">
        <f>+'yrP&amp;L'!V61</f>
        <v>788.5</v>
      </c>
      <c r="W153" s="411">
        <f>+'yrP&amp;L'!W61</f>
        <v>776.599999999999</v>
      </c>
      <c r="X153" s="411">
        <f>+'yrP&amp;L'!X61</f>
        <v>812.6200000000008</v>
      </c>
      <c r="Y153" s="411">
        <f>+'yrP&amp;L'!Y61</f>
        <v>987.92008462767444</v>
      </c>
      <c r="Z153" s="411">
        <f>+'yrP&amp;L'!Z61</f>
        <v>1061.3537412755204</v>
      </c>
      <c r="AA153" s="411">
        <f>+'yrP&amp;L'!AA61</f>
        <v>1101.0948520308657</v>
      </c>
      <c r="AB153" s="411">
        <f>+'yrP&amp;L'!AB61</f>
        <v>1141.5470922265395</v>
      </c>
      <c r="AC153" s="411">
        <f>+'yrP&amp;L'!AC61</f>
        <v>1201.1207829119348</v>
      </c>
      <c r="AD153" s="411"/>
      <c r="AE153" s="412"/>
      <c r="AF153" s="348">
        <f>((V153/Q153)^(1/5)-1)*100</f>
        <v>-7.2726482136350024</v>
      </c>
      <c r="AG153" s="326" t="s">
        <v>428</v>
      </c>
      <c r="AH153" s="348">
        <f>((AA153/V153)^(1/5)-1)*100</f>
        <v>6.9066219587062827</v>
      </c>
      <c r="AI153" s="349" t="s">
        <v>428</v>
      </c>
      <c r="AJ153" s="320"/>
      <c r="AK153" s="320"/>
      <c r="AL153" s="320"/>
    </row>
    <row r="154" spans="1:38">
      <c r="A154" s="413" t="s">
        <v>441</v>
      </c>
      <c r="B154" s="2">
        <f t="shared" ref="B154:AA154" si="105">B153/B25</f>
        <v>0.14549859374564902</v>
      </c>
      <c r="C154" s="2">
        <f t="shared" si="105"/>
        <v>0.12103307356942913</v>
      </c>
      <c r="D154" s="2">
        <f t="shared" si="105"/>
        <v>8.1924103292953201E-2</v>
      </c>
      <c r="E154" s="2">
        <f t="shared" si="105"/>
        <v>4.8671472908944045E-2</v>
      </c>
      <c r="F154" s="2">
        <f t="shared" si="105"/>
        <v>3.8876600977354805E-2</v>
      </c>
      <c r="G154" s="2">
        <f t="shared" si="105"/>
        <v>0.10204985079738675</v>
      </c>
      <c r="H154" s="2">
        <f t="shared" si="105"/>
        <v>0.16934142226944285</v>
      </c>
      <c r="I154" s="2">
        <f t="shared" si="105"/>
        <v>0.16371630365733811</v>
      </c>
      <c r="J154" s="2">
        <f t="shared" si="105"/>
        <v>0.22916810913676303</v>
      </c>
      <c r="K154" s="2">
        <f t="shared" si="105"/>
        <v>0.3067928241616833</v>
      </c>
      <c r="L154" s="2">
        <f t="shared" si="105"/>
        <v>0.33474935732272076</v>
      </c>
      <c r="M154" s="2">
        <f t="shared" si="105"/>
        <v>0.35121132175416231</v>
      </c>
      <c r="N154" s="2">
        <f t="shared" si="105"/>
        <v>0.38027283720606175</v>
      </c>
      <c r="O154" s="2">
        <f t="shared" si="105"/>
        <v>0.37073346327967804</v>
      </c>
      <c r="P154" s="2">
        <f t="shared" si="105"/>
        <v>0.30964956161150636</v>
      </c>
      <c r="Q154" s="2">
        <f t="shared" si="105"/>
        <v>0.31881570091882883</v>
      </c>
      <c r="R154" s="2">
        <f t="shared" si="105"/>
        <v>0.31997108577669831</v>
      </c>
      <c r="S154" s="2">
        <f t="shared" si="105"/>
        <v>0.32566436708249519</v>
      </c>
      <c r="T154" s="2">
        <f t="shared" si="105"/>
        <v>0.31086143133828131</v>
      </c>
      <c r="U154" s="2">
        <f t="shared" si="105"/>
        <v>0.26040827043921805</v>
      </c>
      <c r="V154" s="2">
        <f t="shared" si="105"/>
        <v>0.18811432388586696</v>
      </c>
      <c r="W154" s="2">
        <f t="shared" si="105"/>
        <v>0.17289282692907057</v>
      </c>
      <c r="X154" s="2">
        <f t="shared" si="105"/>
        <v>0.18105295991800921</v>
      </c>
      <c r="Y154" s="2">
        <f t="shared" si="105"/>
        <v>0.1693965457636851</v>
      </c>
      <c r="Z154" s="2">
        <f t="shared" si="105"/>
        <v>0.17640000000000003</v>
      </c>
      <c r="AA154" s="2">
        <f t="shared" si="105"/>
        <v>0.17790000000000003</v>
      </c>
      <c r="AB154" s="2">
        <f>AB153/AB25</f>
        <v>0.17930000000000001</v>
      </c>
      <c r="AC154" s="1057">
        <f>AC153/AC25</f>
        <v>0.1833999999999999</v>
      </c>
      <c r="AD154" s="2"/>
      <c r="AE154" s="414"/>
      <c r="AF154" s="322"/>
      <c r="AG154" s="322"/>
      <c r="AH154" s="415"/>
      <c r="AI154" s="416"/>
      <c r="AJ154" s="320"/>
      <c r="AK154" s="320"/>
      <c r="AL154" s="320"/>
    </row>
    <row r="155" spans="1:38">
      <c r="A155" s="377"/>
      <c r="B155" s="320"/>
      <c r="C155" s="320"/>
      <c r="D155" s="320"/>
      <c r="E155" s="320"/>
      <c r="F155" s="320"/>
      <c r="G155" s="320"/>
      <c r="H155" s="320"/>
      <c r="I155" s="320"/>
      <c r="J155" s="320"/>
      <c r="K155" s="320"/>
      <c r="L155" s="320"/>
      <c r="M155" s="320"/>
      <c r="N155" s="320"/>
      <c r="O155" s="320"/>
      <c r="P155" s="320"/>
      <c r="Q155" s="320"/>
      <c r="R155" s="320"/>
      <c r="S155" s="320"/>
      <c r="T155" s="320"/>
      <c r="U155" s="320"/>
      <c r="V155" s="320"/>
      <c r="W155" s="320"/>
      <c r="X155" s="320"/>
      <c r="Y155" s="320"/>
      <c r="Z155" s="320"/>
      <c r="AA155" s="320"/>
      <c r="AB155" s="320"/>
      <c r="AC155" s="377"/>
      <c r="AD155" s="320"/>
      <c r="AE155" s="323"/>
      <c r="AF155" s="323"/>
      <c r="AG155" s="323"/>
      <c r="AH155" s="348"/>
      <c r="AI155" s="323"/>
      <c r="AJ155" s="320"/>
      <c r="AK155" s="320"/>
      <c r="AL155" s="320"/>
    </row>
    <row r="156" spans="1:38" ht="14.25">
      <c r="A156" s="3" t="s">
        <v>353</v>
      </c>
    </row>
    <row r="157" spans="1:38">
      <c r="A157" s="362" t="s">
        <v>371</v>
      </c>
      <c r="G157" s="411">
        <v>866.24317906660781</v>
      </c>
      <c r="H157" s="411">
        <v>835.11172437770938</v>
      </c>
      <c r="I157" s="411">
        <v>807.0937342233691</v>
      </c>
      <c r="J157" s="411">
        <v>917.65124223275495</v>
      </c>
      <c r="K157" s="411">
        <v>1030.3911176749564</v>
      </c>
      <c r="L157" s="411">
        <v>1117.2400820775638</v>
      </c>
      <c r="M157" s="411">
        <v>1178.9376600175801</v>
      </c>
      <c r="N157" s="411">
        <v>1283.0951993967617</v>
      </c>
      <c r="O157" s="411">
        <v>1197.4945123432187</v>
      </c>
      <c r="P157" s="411">
        <v>880.18167432163784</v>
      </c>
      <c r="Q157" s="411">
        <v>834.52028801228084</v>
      </c>
      <c r="R157" s="411">
        <v>897.50724931233742</v>
      </c>
      <c r="S157" s="411">
        <v>896.71678495654692</v>
      </c>
      <c r="T157" s="411"/>
      <c r="U157" s="411"/>
      <c r="V157" s="411"/>
      <c r="W157" s="411"/>
      <c r="X157" s="411"/>
    </row>
    <row r="158" spans="1:38">
      <c r="A158" s="362" t="s">
        <v>179</v>
      </c>
      <c r="G158" s="373">
        <v>889.06511625309258</v>
      </c>
      <c r="H158" s="373">
        <v>913.09316946050956</v>
      </c>
      <c r="I158" s="373">
        <v>997.18648952873968</v>
      </c>
      <c r="J158" s="373">
        <v>1011.3691935323437</v>
      </c>
      <c r="K158" s="373">
        <v>1195.1770263197006</v>
      </c>
      <c r="L158" s="373">
        <v>1563.1799377215004</v>
      </c>
      <c r="M158" s="373">
        <v>1929.3729389251516</v>
      </c>
      <c r="N158" s="373">
        <v>2424.1997644263338</v>
      </c>
      <c r="O158" s="373">
        <v>2692.3110731843599</v>
      </c>
      <c r="P158" s="373">
        <v>2749.5104364379004</v>
      </c>
      <c r="Q158" s="373">
        <v>2953.3299441249669</v>
      </c>
      <c r="R158" s="373">
        <v>3042.8341859452225</v>
      </c>
      <c r="S158" s="411">
        <v>3204.6715420313776</v>
      </c>
      <c r="T158" s="411"/>
      <c r="U158" s="411"/>
      <c r="V158" s="411"/>
      <c r="W158" s="411"/>
      <c r="X158" s="373"/>
    </row>
    <row r="159" spans="1:38">
      <c r="A159" s="362" t="s">
        <v>290</v>
      </c>
      <c r="G159" s="373">
        <v>505.5573367532329</v>
      </c>
      <c r="H159" s="373">
        <v>683.79172140269259</v>
      </c>
      <c r="I159" s="373">
        <v>1363.8008920809998</v>
      </c>
      <c r="J159" s="373">
        <v>1984.4211207642131</v>
      </c>
      <c r="K159" s="373">
        <v>2509.8834033755697</v>
      </c>
      <c r="L159" s="373">
        <v>2650.7334750091668</v>
      </c>
      <c r="M159" s="373">
        <v>2362.3636613886811</v>
      </c>
      <c r="N159" s="373">
        <v>2322.9845581597078</v>
      </c>
      <c r="O159" s="373">
        <v>2472.2540343571059</v>
      </c>
      <c r="P159" s="373">
        <v>2450.6264560407531</v>
      </c>
      <c r="Q159" s="373">
        <v>2488.3727819415235</v>
      </c>
      <c r="R159" s="373">
        <v>2512.2973185618193</v>
      </c>
      <c r="S159" s="411">
        <f>'CoachSegsales&amp;OldOM'!T55/yrSales!S116</f>
        <v>2613.1340743373207</v>
      </c>
      <c r="T159" s="411">
        <f>'CoachSegsales&amp;OldOM'!T62/T116</f>
        <v>2170.9929086964453</v>
      </c>
      <c r="U159" s="411">
        <f>'CoachSegsales&amp;OldOM'!T69/yrSales!U116</f>
        <v>1839.6394911131672</v>
      </c>
      <c r="V159" s="411">
        <f>'CoachSegsales&amp;OldOM'!T76/yrSales!V116</f>
        <v>1539.8282581355754</v>
      </c>
      <c r="W159" s="411">
        <f>'CoachSegsales&amp;OldOM'!T83/yrSales!W116</f>
        <v>1556.5164910218209</v>
      </c>
      <c r="X159" s="373"/>
    </row>
    <row r="160" spans="1:38">
      <c r="A160" s="362" t="s">
        <v>580</v>
      </c>
      <c r="G160" s="373"/>
      <c r="H160" s="373">
        <v>870.45363218235116</v>
      </c>
      <c r="I160" s="373">
        <v>889.00427158551213</v>
      </c>
      <c r="J160" s="373">
        <v>955.60135193194515</v>
      </c>
      <c r="K160" s="373">
        <v>1091.1468098286186</v>
      </c>
      <c r="L160" s="373">
        <v>1270.6146782479577</v>
      </c>
      <c r="M160" s="373">
        <v>1431.3917448587254</v>
      </c>
      <c r="N160" s="373">
        <v>1657.4691898303672</v>
      </c>
      <c r="O160" s="373">
        <v>1696.1193564272701</v>
      </c>
      <c r="P160" s="373">
        <v>1525.9902579464019</v>
      </c>
      <c r="Q160" s="373">
        <v>1597.1154147359398</v>
      </c>
      <c r="R160" s="373">
        <v>1693.5085422544048</v>
      </c>
      <c r="S160" s="411">
        <f>(S8)/S111</f>
        <v>1897.3031762387652</v>
      </c>
      <c r="T160" s="411">
        <f t="shared" ref="T160:AC160" si="106">(T8)/T111</f>
        <v>1797.8687331491801</v>
      </c>
      <c r="U160" s="411">
        <f t="shared" si="106"/>
        <v>1517.8313980840223</v>
      </c>
      <c r="V160" s="411">
        <f t="shared" si="106"/>
        <v>1286.596299712543</v>
      </c>
      <c r="W160" s="411">
        <f t="shared" si="106"/>
        <v>1266.7627128139161</v>
      </c>
      <c r="X160" s="411">
        <f t="shared" si="106"/>
        <v>1241.4475415744876</v>
      </c>
      <c r="Y160" s="411">
        <f t="shared" si="106"/>
        <v>1271.963157177089</v>
      </c>
      <c r="Z160" s="411">
        <f t="shared" si="106"/>
        <v>1275.1430650700318</v>
      </c>
      <c r="AA160" s="411">
        <f t="shared" si="106"/>
        <v>1278.3309227327068</v>
      </c>
      <c r="AB160" s="411">
        <f t="shared" si="106"/>
        <v>1281.5267500395385</v>
      </c>
      <c r="AC160" s="411">
        <f t="shared" si="106"/>
        <v>1284.7305669146372</v>
      </c>
    </row>
    <row r="161" spans="1:38">
      <c r="A161" s="362" t="s">
        <v>542</v>
      </c>
      <c r="G161" s="373"/>
      <c r="H161" s="1556">
        <f>H25/H85</f>
        <v>1249.5364888850972</v>
      </c>
      <c r="I161" s="1556">
        <f t="shared" ref="I161:R161" si="107">I25/I85</f>
        <v>1294.5724995366265</v>
      </c>
      <c r="J161" s="1556">
        <f t="shared" si="107"/>
        <v>1470.5364642831523</v>
      </c>
      <c r="K161" s="1556">
        <f t="shared" si="107"/>
        <v>1784.4106183980282</v>
      </c>
      <c r="L161" s="1556">
        <f t="shared" si="107"/>
        <v>2027.6498296780453</v>
      </c>
      <c r="M161" s="1556">
        <f t="shared" si="107"/>
        <v>2094.1987115336824</v>
      </c>
      <c r="N161" s="1556">
        <f t="shared" si="107"/>
        <v>2309.0495101839138</v>
      </c>
      <c r="O161" s="1556">
        <f t="shared" si="107"/>
        <v>2362.6419131992043</v>
      </c>
      <c r="P161" s="1556">
        <f t="shared" si="107"/>
        <v>2036.5645926137001</v>
      </c>
      <c r="Q161" s="1556">
        <f t="shared" si="107"/>
        <v>2029.8607565201364</v>
      </c>
      <c r="R161" s="1556">
        <f t="shared" si="107"/>
        <v>2150.4600715026122</v>
      </c>
      <c r="S161" s="411">
        <f>(S8+S10)/S85</f>
        <v>2130.8767242001882</v>
      </c>
      <c r="T161" s="411">
        <f t="shared" ref="T161:AC161" si="108">(T8+T10)/T85</f>
        <v>1968.3099864481565</v>
      </c>
      <c r="U161" s="411">
        <f t="shared" si="108"/>
        <v>1675.1213568881935</v>
      </c>
      <c r="V161" s="411">
        <f t="shared" si="108"/>
        <v>1362.7246761941753</v>
      </c>
      <c r="W161" s="411">
        <f t="shared" si="108"/>
        <v>1336.8474988624378</v>
      </c>
      <c r="X161" s="411">
        <f t="shared" si="108"/>
        <v>1339.9170827393855</v>
      </c>
      <c r="Y161" s="411">
        <f t="shared" si="108"/>
        <v>1410.8512253309586</v>
      </c>
      <c r="Z161" s="411">
        <f t="shared" si="108"/>
        <v>1429.2032462439654</v>
      </c>
      <c r="AA161" s="411">
        <f t="shared" si="108"/>
        <v>1444.6316333502505</v>
      </c>
      <c r="AB161" s="411">
        <f t="shared" si="108"/>
        <v>1460.4188173175505</v>
      </c>
      <c r="AC161" s="411">
        <f t="shared" si="108"/>
        <v>1476.5710776250116</v>
      </c>
    </row>
    <row r="162" spans="1:38">
      <c r="A162" s="362"/>
      <c r="G162" s="373"/>
      <c r="H162" s="373"/>
      <c r="I162" s="373"/>
      <c r="J162" s="373"/>
      <c r="K162" s="373"/>
      <c r="L162" s="373"/>
      <c r="M162" s="373"/>
      <c r="N162" s="373"/>
      <c r="O162" s="373"/>
      <c r="P162" s="373"/>
      <c r="Q162" s="373"/>
      <c r="R162" s="373"/>
      <c r="S162" s="373"/>
      <c r="T162" s="373"/>
      <c r="U162" s="373"/>
      <c r="V162" s="373"/>
      <c r="W162" s="373"/>
      <c r="X162" s="373"/>
    </row>
    <row r="163" spans="1:38">
      <c r="T163" s="584"/>
    </row>
    <row r="164" spans="1:38">
      <c r="A164" s="3" t="s">
        <v>354</v>
      </c>
    </row>
    <row r="165" spans="1:38">
      <c r="A165" s="320" t="s">
        <v>227</v>
      </c>
    </row>
    <row r="166" spans="1:38">
      <c r="A166" s="168" t="s">
        <v>114</v>
      </c>
      <c r="B166" s="320"/>
      <c r="C166" s="320"/>
      <c r="D166" s="320"/>
      <c r="E166" s="320"/>
      <c r="F166" s="320"/>
      <c r="G166" s="320"/>
      <c r="H166" s="320"/>
      <c r="I166" s="320"/>
      <c r="J166" s="320"/>
      <c r="AE166" s="320"/>
      <c r="AF166" s="320"/>
      <c r="AG166" s="320"/>
      <c r="AH166" s="515"/>
      <c r="AI166" s="320"/>
      <c r="AJ166" s="320"/>
      <c r="AK166" s="320"/>
      <c r="AL166" s="320"/>
    </row>
    <row r="168" spans="1:38" ht="13.5" hidden="1" outlineLevel="1" thickBot="1">
      <c r="A168" s="375" t="s">
        <v>364</v>
      </c>
      <c r="B168" s="389"/>
      <c r="C168" s="389"/>
      <c r="D168" s="389"/>
      <c r="E168" s="389"/>
      <c r="F168" s="389"/>
      <c r="G168" s="389"/>
      <c r="H168" s="389"/>
      <c r="I168" s="432">
        <f t="shared" ref="I168:Q168" si="109">(I169+I173)/(H169+H173)-1</f>
        <v>0.15379579363353701</v>
      </c>
      <c r="J168" s="433">
        <f t="shared" si="109"/>
        <v>0.15050233351320386</v>
      </c>
      <c r="K168" s="433">
        <f t="shared" si="109"/>
        <v>0.12706942972531721</v>
      </c>
      <c r="L168" s="433">
        <f t="shared" si="109"/>
        <v>0.11673946536634938</v>
      </c>
      <c r="M168" s="433">
        <f t="shared" si="109"/>
        <v>0.12897958719249947</v>
      </c>
      <c r="N168" s="433">
        <f t="shared" si="109"/>
        <v>0.15804601321286227</v>
      </c>
      <c r="O168" s="433">
        <f t="shared" si="109"/>
        <v>0.19814256473799374</v>
      </c>
      <c r="P168" s="433">
        <f t="shared" si="109"/>
        <v>0.17099373321396594</v>
      </c>
      <c r="Q168" s="433">
        <f t="shared" si="109"/>
        <v>0.10422326950394201</v>
      </c>
      <c r="R168" s="433">
        <f t="shared" ref="R168:AC168" si="110">(R169+R173+R175+R171)/(Q169+Q173+Q175+Q171)-1</f>
        <v>7.4973272576909444E-2</v>
      </c>
      <c r="S168" s="433">
        <f t="shared" si="110"/>
        <v>8.8264765901111986E-2</v>
      </c>
      <c r="T168" s="433">
        <f t="shared" si="110"/>
        <v>0.10474963926543612</v>
      </c>
      <c r="U168" s="433">
        <f t="shared" si="110"/>
        <v>7.9795092715415183E-2</v>
      </c>
      <c r="V168" s="434">
        <f t="shared" si="110"/>
        <v>-4.2171390383676233E-3</v>
      </c>
      <c r="W168" s="434">
        <f t="shared" si="110"/>
        <v>-3.8017526778987287E-2</v>
      </c>
      <c r="X168" s="434">
        <f t="shared" si="110"/>
        <v>-2.8400284829620537E-2</v>
      </c>
      <c r="Y168" s="434">
        <f t="shared" si="110"/>
        <v>-3.3497289961186394E-2</v>
      </c>
      <c r="Z168" s="434">
        <f>(Z169+Z173+Z175+Z171)/(Y169+Y173+Y175+Y171)-1</f>
        <v>-3.0465717403359349E-2</v>
      </c>
      <c r="AA168" s="434">
        <f t="shared" si="110"/>
        <v>-3.8918447690146851E-2</v>
      </c>
      <c r="AB168" s="434">
        <f t="shared" si="110"/>
        <v>-4.0494427966711877E-2</v>
      </c>
      <c r="AC168" s="1902">
        <f t="shared" si="110"/>
        <v>-4.2203431795502788E-2</v>
      </c>
      <c r="AD168" s="578"/>
      <c r="AE168" s="374"/>
      <c r="AF168" s="383"/>
      <c r="AG168" s="383"/>
      <c r="AH168" s="348"/>
      <c r="AI168" s="357"/>
      <c r="AJ168" s="320"/>
      <c r="AK168" s="320"/>
      <c r="AL168" s="320"/>
    </row>
    <row r="169" spans="1:38" ht="12.75" hidden="1" customHeight="1" outlineLevel="1">
      <c r="A169" s="391" t="s">
        <v>288</v>
      </c>
      <c r="B169" s="515"/>
      <c r="C169" s="515"/>
      <c r="D169" s="515"/>
      <c r="E169" s="567"/>
      <c r="F169" s="567">
        <f t="shared" ref="F169:V169" si="111">+AVERAGE(F102,E102)</f>
        <v>0.19349850000000002</v>
      </c>
      <c r="G169" s="567">
        <f t="shared" si="111"/>
        <v>0.2027765</v>
      </c>
      <c r="H169" s="567">
        <f t="shared" si="111"/>
        <v>0.23009750000000001</v>
      </c>
      <c r="I169" s="567">
        <f t="shared" si="111"/>
        <v>0.27631850000000002</v>
      </c>
      <c r="J169" s="567">
        <f t="shared" si="111"/>
        <v>0.33240550000000002</v>
      </c>
      <c r="K169" s="567">
        <f t="shared" si="111"/>
        <v>0.39746349999999997</v>
      </c>
      <c r="L169" s="567">
        <f t="shared" si="111"/>
        <v>0.46127099999999999</v>
      </c>
      <c r="M169" s="567">
        <f t="shared" si="111"/>
        <v>0.52673899999999996</v>
      </c>
      <c r="N169" s="567">
        <f t="shared" si="111"/>
        <v>0.617645</v>
      </c>
      <c r="O169" s="567">
        <f t="shared" si="111"/>
        <v>0.73398150000000006</v>
      </c>
      <c r="P169" s="567">
        <f t="shared" si="111"/>
        <v>0.84413150000000003</v>
      </c>
      <c r="Q169" s="567">
        <f t="shared" si="111"/>
        <v>0.91084299999999996</v>
      </c>
      <c r="R169" s="567">
        <f t="shared" si="111"/>
        <v>0.93140699999999998</v>
      </c>
      <c r="S169" s="567">
        <f>+AVERAGE(S102,R102)</f>
        <v>0.94318900000000006</v>
      </c>
      <c r="T169" s="567">
        <f t="shared" si="111"/>
        <v>0.94887450000000007</v>
      </c>
      <c r="U169" s="567">
        <f t="shared" si="111"/>
        <v>0.92419850000000003</v>
      </c>
      <c r="V169" s="567">
        <f t="shared" si="111"/>
        <v>0.81383800000000006</v>
      </c>
      <c r="W169" s="567">
        <f t="shared" ref="W169:AC169" si="112">+AVERAGE(W102,V102)</f>
        <v>0.69209549999999997</v>
      </c>
      <c r="X169" s="567">
        <f t="shared" si="112"/>
        <v>0.64362600000000003</v>
      </c>
      <c r="Y169" s="567">
        <f t="shared" si="112"/>
        <v>0.636876</v>
      </c>
      <c r="Z169" s="567">
        <f>+AVERAGE(Z102,Y102)</f>
        <v>0.61212599999999995</v>
      </c>
      <c r="AA169" s="567">
        <f t="shared" si="112"/>
        <v>0.54462600000000005</v>
      </c>
      <c r="AB169" s="567">
        <f t="shared" si="112"/>
        <v>0.47712599999999999</v>
      </c>
      <c r="AC169" s="1898">
        <f t="shared" si="112"/>
        <v>0.40962599999999999</v>
      </c>
      <c r="AD169" s="567"/>
      <c r="AE169" s="374"/>
      <c r="AF169" s="383"/>
      <c r="AG169" s="383"/>
      <c r="AH169" s="348"/>
      <c r="AI169" s="357"/>
      <c r="AJ169" s="320"/>
      <c r="AK169" s="320"/>
      <c r="AL169" s="320"/>
    </row>
    <row r="170" spans="1:38" ht="12.75" hidden="1" customHeight="1" outlineLevel="1">
      <c r="A170" s="391"/>
      <c r="B170" s="392"/>
      <c r="C170" s="395"/>
      <c r="D170" s="392"/>
      <c r="E170" s="395"/>
      <c r="F170" s="395"/>
      <c r="G170" s="395">
        <f>G169/F169-1</f>
        <v>4.7948692108724211E-2</v>
      </c>
      <c r="H170" s="395">
        <f>H169/G169-1</f>
        <v>0.13473454764235515</v>
      </c>
      <c r="I170" s="395">
        <f>I169/H169-1</f>
        <v>0.20087571572920182</v>
      </c>
      <c r="J170" s="395">
        <f>J169/I169-1</f>
        <v>0.20297953267696522</v>
      </c>
      <c r="K170" s="395">
        <f>K169/J169-1</f>
        <v>0.1957187832331293</v>
      </c>
      <c r="L170" s="395">
        <f t="shared" ref="L170:V170" si="113">L169/K169-1</f>
        <v>0.16053675368933251</v>
      </c>
      <c r="M170" s="395">
        <f t="shared" si="113"/>
        <v>0.14192958152582746</v>
      </c>
      <c r="N170" s="395">
        <f t="shared" si="113"/>
        <v>0.17258262631018417</v>
      </c>
      <c r="O170" s="395">
        <f t="shared" si="113"/>
        <v>0.18835496118320405</v>
      </c>
      <c r="P170" s="395">
        <f t="shared" si="113"/>
        <v>0.15007190235721191</v>
      </c>
      <c r="Q170" s="395">
        <f t="shared" si="113"/>
        <v>7.9029748327126725E-2</v>
      </c>
      <c r="R170" s="395">
        <f t="shared" si="113"/>
        <v>2.2576887564596859E-2</v>
      </c>
      <c r="S170" s="395">
        <f t="shared" si="113"/>
        <v>1.2649679463435426E-2</v>
      </c>
      <c r="T170" s="395">
        <f t="shared" si="113"/>
        <v>6.0279541003978032E-3</v>
      </c>
      <c r="U170" s="395">
        <f t="shared" si="113"/>
        <v>-2.6005546571227334E-2</v>
      </c>
      <c r="V170" s="395">
        <f t="shared" si="113"/>
        <v>-0.119412117634902</v>
      </c>
      <c r="W170" s="395">
        <f t="shared" ref="W170:AC170" si="114">W169/V169-1</f>
        <v>-0.14959058190942187</v>
      </c>
      <c r="X170" s="395">
        <f t="shared" si="114"/>
        <v>-7.003296510380419E-2</v>
      </c>
      <c r="Y170" s="395">
        <f t="shared" si="114"/>
        <v>-1.0487457001426392E-2</v>
      </c>
      <c r="Z170" s="395">
        <f>Z169/Y169-1</f>
        <v>-3.8861568028941362E-2</v>
      </c>
      <c r="AA170" s="395">
        <f t="shared" si="114"/>
        <v>-0.11027141470873625</v>
      </c>
      <c r="AB170" s="395">
        <f t="shared" si="114"/>
        <v>-0.12393826222031279</v>
      </c>
      <c r="AC170" s="1897">
        <f t="shared" si="114"/>
        <v>-0.14147206398309886</v>
      </c>
      <c r="AD170" s="395"/>
      <c r="AE170" s="374"/>
      <c r="AF170" s="383"/>
      <c r="AG170" s="383"/>
      <c r="AH170" s="348"/>
      <c r="AI170" s="357"/>
      <c r="AJ170" s="320"/>
      <c r="AK170" s="2"/>
      <c r="AL170" s="2"/>
    </row>
    <row r="171" spans="1:38" ht="12.75" hidden="1" customHeight="1" outlineLevel="1">
      <c r="A171" s="391" t="s">
        <v>582</v>
      </c>
      <c r="B171" s="392"/>
      <c r="C171" s="395"/>
      <c r="D171" s="392"/>
      <c r="E171" s="395"/>
      <c r="F171" s="395"/>
      <c r="G171" s="395"/>
      <c r="H171" s="395"/>
      <c r="I171" s="395"/>
      <c r="J171" s="395"/>
      <c r="K171" s="395"/>
      <c r="L171" s="395"/>
      <c r="M171" s="395"/>
      <c r="N171" s="395"/>
      <c r="O171" s="395"/>
      <c r="P171" s="395"/>
      <c r="Q171" s="567">
        <f t="shared" ref="Q171:V171" si="115">+AVERAGE(Q104,P104)</f>
        <v>9.3099999999999997E-4</v>
      </c>
      <c r="R171" s="567">
        <f t="shared" si="115"/>
        <v>1.5215000000000001E-3</v>
      </c>
      <c r="S171" s="567">
        <f t="shared" si="115"/>
        <v>4.4989999999999995E-3</v>
      </c>
      <c r="T171" s="567">
        <f t="shared" si="115"/>
        <v>6.8859999999999998E-3</v>
      </c>
      <c r="U171" s="567">
        <f t="shared" si="115"/>
        <v>7.0139999999999994E-3</v>
      </c>
      <c r="V171" s="567">
        <f t="shared" si="115"/>
        <v>5.5799999999999999E-3</v>
      </c>
      <c r="W171" s="567">
        <f t="shared" ref="W171:AC171" si="116">+AVERAGE(W104,V104)</f>
        <v>2.0089999999999999E-3</v>
      </c>
      <c r="X171" s="567">
        <f t="shared" si="116"/>
        <v>0</v>
      </c>
      <c r="Y171" s="567">
        <f t="shared" si="116"/>
        <v>0</v>
      </c>
      <c r="Z171" s="567">
        <f>+AVERAGE(Z104,Y104)</f>
        <v>0</v>
      </c>
      <c r="AA171" s="567">
        <f t="shared" si="116"/>
        <v>0</v>
      </c>
      <c r="AB171" s="567">
        <f t="shared" si="116"/>
        <v>0</v>
      </c>
      <c r="AC171" s="1898">
        <f t="shared" si="116"/>
        <v>0</v>
      </c>
      <c r="AD171" s="567"/>
      <c r="AE171" s="374"/>
      <c r="AF171" s="383"/>
      <c r="AG171" s="383"/>
      <c r="AH171" s="348"/>
      <c r="AI171" s="357"/>
      <c r="AJ171" s="320"/>
      <c r="AK171" s="2"/>
      <c r="AL171" s="2"/>
    </row>
    <row r="172" spans="1:38" ht="12.75" hidden="1" customHeight="1" outlineLevel="1">
      <c r="A172" s="391"/>
      <c r="B172" s="392"/>
      <c r="C172" s="395"/>
      <c r="D172" s="392"/>
      <c r="E172" s="395"/>
      <c r="F172" s="395"/>
      <c r="G172" s="395"/>
      <c r="H172" s="395"/>
      <c r="I172" s="395"/>
      <c r="J172" s="395"/>
      <c r="K172" s="395"/>
      <c r="L172" s="395"/>
      <c r="M172" s="395"/>
      <c r="N172" s="395"/>
      <c r="O172" s="395"/>
      <c r="P172" s="395"/>
      <c r="Q172" s="395"/>
      <c r="R172" s="395">
        <f t="shared" ref="R172:AC172" si="117">R171/Q171-1</f>
        <v>0.63426423200859294</v>
      </c>
      <c r="S172" s="395">
        <f t="shared" si="117"/>
        <v>1.9569503779165291</v>
      </c>
      <c r="T172" s="395">
        <f t="shared" si="117"/>
        <v>0.53056234718826412</v>
      </c>
      <c r="U172" s="395">
        <f t="shared" si="117"/>
        <v>1.8588440313679788E-2</v>
      </c>
      <c r="V172" s="395">
        <f t="shared" si="117"/>
        <v>-0.20444824636441394</v>
      </c>
      <c r="W172" s="395">
        <f t="shared" si="117"/>
        <v>-0.63996415770609327</v>
      </c>
      <c r="X172" s="395">
        <f t="shared" si="117"/>
        <v>-1</v>
      </c>
      <c r="Y172" s="395" t="e">
        <f t="shared" si="117"/>
        <v>#DIV/0!</v>
      </c>
      <c r="Z172" s="395" t="e">
        <f>Z171/Y171-1</f>
        <v>#DIV/0!</v>
      </c>
      <c r="AA172" s="395" t="e">
        <f t="shared" si="117"/>
        <v>#DIV/0!</v>
      </c>
      <c r="AB172" s="395" t="e">
        <f t="shared" si="117"/>
        <v>#DIV/0!</v>
      </c>
      <c r="AC172" s="1897" t="e">
        <f t="shared" si="117"/>
        <v>#DIV/0!</v>
      </c>
      <c r="AD172" s="395"/>
      <c r="AE172" s="374"/>
      <c r="AF172" s="383"/>
      <c r="AG172" s="383"/>
      <c r="AH172" s="348"/>
      <c r="AI172" s="357"/>
      <c r="AJ172" s="320"/>
      <c r="AK172" s="2"/>
      <c r="AL172" s="2"/>
    </row>
    <row r="173" spans="1:38" ht="12.75" hidden="1" customHeight="1" outlineLevel="1">
      <c r="A173" s="396" t="s">
        <v>289</v>
      </c>
      <c r="B173" s="568"/>
      <c r="C173" s="515"/>
      <c r="D173" s="568"/>
      <c r="E173" s="567"/>
      <c r="F173" s="567">
        <f t="shared" ref="F173:V173" si="118">+AVERAGE(F106,E106)</f>
        <v>0.17460799999999999</v>
      </c>
      <c r="G173" s="567">
        <f t="shared" si="118"/>
        <v>0.17904900000000001</v>
      </c>
      <c r="H173" s="567">
        <f t="shared" si="118"/>
        <v>0.190717</v>
      </c>
      <c r="I173" s="567">
        <f t="shared" si="118"/>
        <v>0.2092155</v>
      </c>
      <c r="J173" s="567">
        <f t="shared" si="118"/>
        <v>0.2262025</v>
      </c>
      <c r="K173" s="567">
        <f t="shared" si="118"/>
        <v>0.23212650000000001</v>
      </c>
      <c r="L173" s="567">
        <f t="shared" si="118"/>
        <v>0.241817</v>
      </c>
      <c r="M173" s="567">
        <f t="shared" si="118"/>
        <v>0.26703299999999996</v>
      </c>
      <c r="N173" s="567">
        <f t="shared" si="118"/>
        <v>0.3015795</v>
      </c>
      <c r="O173" s="567">
        <f t="shared" si="118"/>
        <v>0.3673805</v>
      </c>
      <c r="P173" s="567">
        <f t="shared" si="118"/>
        <v>0.44555650000000002</v>
      </c>
      <c r="Q173" s="567">
        <f t="shared" si="118"/>
        <v>0.51326050000000001</v>
      </c>
      <c r="R173" s="567">
        <f t="shared" si="118"/>
        <v>0.57784849999999999</v>
      </c>
      <c r="S173" s="567">
        <f t="shared" si="118"/>
        <v>0.65261199999999997</v>
      </c>
      <c r="T173" s="567">
        <f t="shared" si="118"/>
        <v>0.77992899999999998</v>
      </c>
      <c r="U173" s="567">
        <f t="shared" si="118"/>
        <v>0.93520049999999999</v>
      </c>
      <c r="V173" s="567">
        <f t="shared" si="118"/>
        <v>1.0530349999999999</v>
      </c>
      <c r="W173" s="567">
        <f t="shared" ref="W173:AC173" si="119">+AVERAGE(W106,V106)</f>
        <v>1.1649864999999999</v>
      </c>
      <c r="X173" s="567">
        <f t="shared" si="119"/>
        <v>1.2072699999999998</v>
      </c>
      <c r="Y173" s="567">
        <f t="shared" si="119"/>
        <v>1.1520199999999998</v>
      </c>
      <c r="Z173" s="567">
        <f>+AVERAGE(Z106,Y106)</f>
        <v>1.1222699999999999</v>
      </c>
      <c r="AA173" s="567">
        <f t="shared" si="119"/>
        <v>1.1222699999999999</v>
      </c>
      <c r="AB173" s="567">
        <f t="shared" si="119"/>
        <v>1.1222699999999999</v>
      </c>
      <c r="AC173" s="1898">
        <f t="shared" si="119"/>
        <v>1.1222699999999999</v>
      </c>
      <c r="AD173" s="567"/>
      <c r="AE173" s="355"/>
      <c r="AF173" s="323"/>
      <c r="AG173" s="323"/>
      <c r="AH173" s="348"/>
      <c r="AI173" s="357"/>
      <c r="AJ173" s="320"/>
      <c r="AK173" s="320"/>
      <c r="AL173" s="320"/>
    </row>
    <row r="174" spans="1:38" ht="12.75" hidden="1" customHeight="1" outlineLevel="1">
      <c r="A174" s="396"/>
      <c r="B174" s="397"/>
      <c r="C174" s="395"/>
      <c r="D174" s="397"/>
      <c r="E174" s="395"/>
      <c r="F174" s="395"/>
      <c r="G174" s="395">
        <f t="shared" ref="G174:V174" si="120">G173/F173-1</f>
        <v>2.5434115275359881E-2</v>
      </c>
      <c r="H174" s="395">
        <f t="shared" si="120"/>
        <v>6.5166518662489015E-2</v>
      </c>
      <c r="I174" s="395">
        <f t="shared" si="120"/>
        <v>9.6994499703749515E-2</v>
      </c>
      <c r="J174" s="395">
        <f t="shared" si="120"/>
        <v>8.1193793002908521E-2</v>
      </c>
      <c r="K174" s="395">
        <f t="shared" si="120"/>
        <v>2.6188923641427442E-2</v>
      </c>
      <c r="L174" s="395">
        <f t="shared" si="120"/>
        <v>4.1746633839738312E-2</v>
      </c>
      <c r="M174" s="395">
        <f t="shared" si="120"/>
        <v>0.10427720135474328</v>
      </c>
      <c r="N174" s="395">
        <f t="shared" si="120"/>
        <v>0.12937165069485812</v>
      </c>
      <c r="O174" s="395">
        <f t="shared" si="120"/>
        <v>0.21818790733455029</v>
      </c>
      <c r="P174" s="395">
        <f t="shared" si="120"/>
        <v>0.21279300343921359</v>
      </c>
      <c r="Q174" s="395">
        <f t="shared" si="120"/>
        <v>0.15195379261664899</v>
      </c>
      <c r="R174" s="395">
        <f t="shared" si="120"/>
        <v>0.12583863359833836</v>
      </c>
      <c r="S174" s="395">
        <f t="shared" si="120"/>
        <v>0.12938252846550613</v>
      </c>
      <c r="T174" s="395">
        <f t="shared" si="120"/>
        <v>0.19508835265057956</v>
      </c>
      <c r="U174" s="395">
        <f t="shared" si="120"/>
        <v>0.19908414740316105</v>
      </c>
      <c r="V174" s="395">
        <f t="shared" si="120"/>
        <v>0.12599918413217259</v>
      </c>
      <c r="W174" s="395">
        <f t="shared" ref="W174:AC174" si="121">W173/V173-1</f>
        <v>0.10631318047358351</v>
      </c>
      <c r="X174" s="395">
        <f t="shared" si="121"/>
        <v>3.6295270374377742E-2</v>
      </c>
      <c r="Y174" s="395">
        <f t="shared" si="121"/>
        <v>-4.5764410612373352E-2</v>
      </c>
      <c r="Z174" s="395">
        <f>Z173/Y173-1</f>
        <v>-2.582420444089506E-2</v>
      </c>
      <c r="AA174" s="395">
        <f t="shared" si="121"/>
        <v>0</v>
      </c>
      <c r="AB174" s="395">
        <f t="shared" si="121"/>
        <v>0</v>
      </c>
      <c r="AC174" s="1897">
        <f t="shared" si="121"/>
        <v>0</v>
      </c>
      <c r="AD174" s="395"/>
      <c r="AE174" s="355"/>
      <c r="AF174" s="323"/>
      <c r="AG174" s="323"/>
      <c r="AH174" s="348"/>
      <c r="AI174" s="357"/>
      <c r="AJ174" s="320"/>
      <c r="AK174" s="320"/>
      <c r="AL174" s="320"/>
    </row>
    <row r="175" spans="1:38" ht="12.75" hidden="1" customHeight="1" outlineLevel="1">
      <c r="A175" s="396" t="s">
        <v>417</v>
      </c>
      <c r="B175" s="397"/>
      <c r="C175" s="395"/>
      <c r="D175" s="397"/>
      <c r="E175" s="395"/>
      <c r="F175" s="395"/>
      <c r="G175" s="395"/>
      <c r="H175" s="395"/>
      <c r="I175" s="395"/>
      <c r="J175" s="395"/>
      <c r="K175" s="395"/>
      <c r="L175" s="395"/>
      <c r="M175" s="395"/>
      <c r="N175" s="395"/>
      <c r="O175" s="395"/>
      <c r="P175" s="395"/>
      <c r="Q175" s="567"/>
      <c r="R175" s="567">
        <f t="shared" ref="R175:AC175" si="122">+AVERAGE(R108,Q108)</f>
        <v>2.1097000000000001E-2</v>
      </c>
      <c r="S175" s="567">
        <f t="shared" si="122"/>
        <v>6.6784499999999997E-2</v>
      </c>
      <c r="T175" s="567">
        <f t="shared" si="122"/>
        <v>0.10602149999999999</v>
      </c>
      <c r="U175" s="567">
        <f t="shared" si="122"/>
        <v>0.12225749999999999</v>
      </c>
      <c r="V175" s="567">
        <f t="shared" si="122"/>
        <v>0.107831</v>
      </c>
      <c r="W175" s="567">
        <f t="shared" si="122"/>
        <v>4.5907499999999997E-2</v>
      </c>
      <c r="X175" s="567">
        <f t="shared" si="122"/>
        <v>0</v>
      </c>
      <c r="Y175" s="567">
        <f t="shared" si="122"/>
        <v>0</v>
      </c>
      <c r="Z175" s="567">
        <f>+AVERAGE(Z108,Y108)</f>
        <v>0</v>
      </c>
      <c r="AA175" s="567">
        <f t="shared" si="122"/>
        <v>0</v>
      </c>
      <c r="AB175" s="567">
        <f t="shared" si="122"/>
        <v>0</v>
      </c>
      <c r="AC175" s="1898">
        <f t="shared" si="122"/>
        <v>0</v>
      </c>
      <c r="AD175" s="567"/>
      <c r="AE175" s="355"/>
      <c r="AF175" s="323"/>
      <c r="AG175" s="323"/>
      <c r="AH175" s="348"/>
      <c r="AI175" s="357"/>
      <c r="AJ175" s="320"/>
      <c r="AK175" s="320"/>
      <c r="AL175" s="320"/>
    </row>
    <row r="176" spans="1:38" ht="12.75" hidden="1" customHeight="1" outlineLevel="1">
      <c r="A176" s="396"/>
      <c r="B176" s="397"/>
      <c r="C176" s="395"/>
      <c r="D176" s="397"/>
      <c r="E176" s="395"/>
      <c r="F176" s="395"/>
      <c r="G176" s="395"/>
      <c r="H176" s="395"/>
      <c r="I176" s="395"/>
      <c r="J176" s="395"/>
      <c r="K176" s="395"/>
      <c r="L176" s="395"/>
      <c r="M176" s="395"/>
      <c r="N176" s="395"/>
      <c r="O176" s="395"/>
      <c r="P176" s="395"/>
      <c r="Q176" s="395"/>
      <c r="R176" s="395"/>
      <c r="S176" s="395">
        <f t="shared" ref="S176:AC176" si="123">S175/R175-1</f>
        <v>2.165592264302981</v>
      </c>
      <c r="T176" s="395">
        <f t="shared" si="123"/>
        <v>0.58751656447229506</v>
      </c>
      <c r="U176" s="395">
        <f t="shared" si="123"/>
        <v>0.15313875015916589</v>
      </c>
      <c r="V176" s="395">
        <f t="shared" si="123"/>
        <v>-0.1180009406375887</v>
      </c>
      <c r="W176" s="395">
        <f t="shared" si="123"/>
        <v>-0.57426435811594068</v>
      </c>
      <c r="X176" s="395">
        <f t="shared" si="123"/>
        <v>-1</v>
      </c>
      <c r="Y176" s="395" t="e">
        <f t="shared" si="123"/>
        <v>#DIV/0!</v>
      </c>
      <c r="Z176" s="395" t="e">
        <f>Z175/Y175-1</f>
        <v>#DIV/0!</v>
      </c>
      <c r="AA176" s="395" t="e">
        <f t="shared" si="123"/>
        <v>#DIV/0!</v>
      </c>
      <c r="AB176" s="395" t="e">
        <f t="shared" si="123"/>
        <v>#DIV/0!</v>
      </c>
      <c r="AC176" s="1897" t="e">
        <f t="shared" si="123"/>
        <v>#DIV/0!</v>
      </c>
      <c r="AD176" s="395"/>
      <c r="AE176" s="355"/>
      <c r="AF176" s="323"/>
      <c r="AG176" s="323"/>
      <c r="AH176" s="348"/>
      <c r="AI176" s="357"/>
      <c r="AJ176" s="320"/>
      <c r="AK176" s="320"/>
      <c r="AL176" s="320"/>
    </row>
    <row r="177" spans="1:38" ht="12.75" hidden="1" customHeight="1" outlineLevel="1">
      <c r="A177" s="396" t="s">
        <v>365</v>
      </c>
      <c r="B177" s="397"/>
      <c r="C177" s="395"/>
      <c r="D177" s="397"/>
      <c r="E177" s="395"/>
      <c r="F177" s="395"/>
      <c r="G177" s="395"/>
      <c r="H177" s="395"/>
      <c r="I177" s="395"/>
      <c r="J177" s="395"/>
      <c r="K177" s="395"/>
      <c r="L177" s="395"/>
      <c r="M177" s="395"/>
      <c r="N177" s="395"/>
      <c r="O177" s="395"/>
      <c r="P177" s="395"/>
      <c r="Q177" s="395"/>
      <c r="R177" s="567">
        <f t="shared" ref="R177:X177" si="124">+R175+R173</f>
        <v>0.59894550000000002</v>
      </c>
      <c r="S177" s="567">
        <f t="shared" si="124"/>
        <v>0.71939649999999999</v>
      </c>
      <c r="T177" s="567">
        <f t="shared" si="124"/>
        <v>0.88595049999999997</v>
      </c>
      <c r="U177" s="567">
        <f t="shared" si="124"/>
        <v>1.057458</v>
      </c>
      <c r="V177" s="567">
        <f t="shared" si="124"/>
        <v>1.160866</v>
      </c>
      <c r="W177" s="567">
        <f t="shared" si="124"/>
        <v>1.2108939999999999</v>
      </c>
      <c r="X177" s="567">
        <f t="shared" si="124"/>
        <v>1.2072699999999998</v>
      </c>
      <c r="Y177" s="567">
        <f>+Y175+Y173</f>
        <v>1.1520199999999998</v>
      </c>
      <c r="Z177" s="567">
        <f>+Z175+Z173</f>
        <v>1.1222699999999999</v>
      </c>
      <c r="AA177" s="567">
        <f>+AA175+AA173</f>
        <v>1.1222699999999999</v>
      </c>
      <c r="AB177" s="567">
        <f>+AB175+AB173</f>
        <v>1.1222699999999999</v>
      </c>
      <c r="AC177" s="1898">
        <f>+AC175+AC173</f>
        <v>1.1222699999999999</v>
      </c>
      <c r="AD177" s="567"/>
      <c r="AE177" s="355"/>
      <c r="AF177" s="323"/>
      <c r="AG177" s="323"/>
      <c r="AH177" s="348"/>
      <c r="AI177" s="357"/>
      <c r="AJ177" s="320"/>
      <c r="AK177" s="320"/>
      <c r="AL177" s="320"/>
    </row>
    <row r="178" spans="1:38" ht="12.75" hidden="1" customHeight="1" outlineLevel="1">
      <c r="A178" s="396"/>
      <c r="B178" s="397"/>
      <c r="C178" s="395"/>
      <c r="D178" s="397"/>
      <c r="E178" s="395"/>
      <c r="F178" s="395"/>
      <c r="G178" s="395"/>
      <c r="H178" s="395"/>
      <c r="I178" s="395"/>
      <c r="J178" s="395"/>
      <c r="K178" s="395"/>
      <c r="L178" s="395"/>
      <c r="M178" s="395"/>
      <c r="N178" s="395"/>
      <c r="O178" s="395"/>
      <c r="P178" s="395"/>
      <c r="Q178" s="395"/>
      <c r="R178" s="395">
        <f>R177/Q173-1</f>
        <v>0.16694251749355349</v>
      </c>
      <c r="S178" s="395">
        <f t="shared" ref="S178:AC178" si="125">S177/R177-1</f>
        <v>0.20110510889555044</v>
      </c>
      <c r="T178" s="395">
        <f t="shared" si="125"/>
        <v>0.23151905798818873</v>
      </c>
      <c r="U178" s="395">
        <f t="shared" si="125"/>
        <v>0.19358587189690635</v>
      </c>
      <c r="V178" s="395">
        <f t="shared" si="125"/>
        <v>9.778922661703815E-2</v>
      </c>
      <c r="W178" s="395">
        <f t="shared" si="125"/>
        <v>4.3095413251830861E-2</v>
      </c>
      <c r="X178" s="395">
        <f t="shared" si="125"/>
        <v>-2.9928300908255157E-3</v>
      </c>
      <c r="Y178" s="395">
        <f t="shared" si="125"/>
        <v>-4.5764410612373352E-2</v>
      </c>
      <c r="Z178" s="395">
        <f>Z177/Y177-1</f>
        <v>-2.582420444089506E-2</v>
      </c>
      <c r="AA178" s="395">
        <f t="shared" si="125"/>
        <v>0</v>
      </c>
      <c r="AB178" s="395">
        <f t="shared" si="125"/>
        <v>0</v>
      </c>
      <c r="AC178" s="1897">
        <f t="shared" si="125"/>
        <v>0</v>
      </c>
      <c r="AD178" s="395"/>
      <c r="AE178" s="355"/>
      <c r="AF178" s="323"/>
      <c r="AG178" s="323"/>
      <c r="AH178" s="348"/>
      <c r="AI178" s="357"/>
      <c r="AJ178" s="320"/>
      <c r="AK178" s="320"/>
      <c r="AL178" s="320"/>
    </row>
    <row r="179" spans="1:38" ht="12.75" hidden="1" customHeight="1" outlineLevel="1">
      <c r="A179" s="362" t="s">
        <v>296</v>
      </c>
      <c r="B179" s="568"/>
      <c r="C179" s="569"/>
      <c r="D179" s="568"/>
      <c r="E179" s="569"/>
      <c r="F179" s="569"/>
      <c r="G179" s="570"/>
      <c r="H179" s="567">
        <f>+AVERAGE(H114,G114)</f>
        <v>5.9756499999999997E-2</v>
      </c>
      <c r="I179" s="567">
        <f>+AVERAGE(I114,H114)</f>
        <v>7.0172999999999999E-2</v>
      </c>
      <c r="J179" s="567">
        <f>+AVERAGE(J114,I114)</f>
        <v>8.9608500000000008E-2</v>
      </c>
      <c r="K179" s="567">
        <f>+AVERAGE(K114,J114)</f>
        <v>0.11076649999999999</v>
      </c>
      <c r="L179" s="567">
        <f>+AVERAGE(L114,K114)</f>
        <v>0.14046149999999999</v>
      </c>
      <c r="M179" s="400"/>
      <c r="N179" s="395"/>
      <c r="O179" s="395"/>
      <c r="P179" s="395"/>
      <c r="Q179" s="320"/>
      <c r="R179" s="320"/>
      <c r="S179" s="395"/>
      <c r="T179" s="395"/>
      <c r="U179" s="395"/>
      <c r="V179" s="395"/>
      <c r="W179" s="395"/>
      <c r="X179" s="395"/>
      <c r="Y179" s="395"/>
      <c r="Z179" s="395"/>
      <c r="AA179" s="395"/>
      <c r="AB179" s="395"/>
      <c r="AC179" s="1897"/>
      <c r="AD179" s="395"/>
      <c r="AE179" s="355"/>
      <c r="AF179" s="323"/>
      <c r="AG179" s="323"/>
      <c r="AH179" s="348"/>
      <c r="AI179" s="357"/>
      <c r="AJ179" s="320"/>
      <c r="AK179" s="320"/>
      <c r="AL179" s="320"/>
    </row>
    <row r="180" spans="1:38" ht="12.75" hidden="1" customHeight="1" outlineLevel="1">
      <c r="A180" s="396"/>
      <c r="B180" s="395"/>
      <c r="C180" s="395"/>
      <c r="D180" s="395"/>
      <c r="E180" s="395"/>
      <c r="F180" s="395"/>
      <c r="G180" s="395"/>
      <c r="H180" s="395"/>
      <c r="I180" s="395">
        <f>I179/H179-1</f>
        <v>0.17431576481219624</v>
      </c>
      <c r="J180" s="395">
        <f>J179/I179-1</f>
        <v>0.2769654995511095</v>
      </c>
      <c r="K180" s="395">
        <f>K179/J179-1</f>
        <v>0.23611599346044154</v>
      </c>
      <c r="L180" s="395">
        <f>L179/K179-1</f>
        <v>0.26808647018728582</v>
      </c>
      <c r="M180" s="395"/>
      <c r="N180" s="401"/>
      <c r="O180" s="401"/>
      <c r="P180" s="395"/>
      <c r="Q180" s="320"/>
      <c r="R180" s="320"/>
      <c r="S180" s="395"/>
      <c r="T180" s="395"/>
      <c r="U180" s="395"/>
      <c r="V180" s="395"/>
      <c r="W180" s="395"/>
      <c r="X180" s="395"/>
      <c r="Y180" s="395"/>
      <c r="Z180" s="395"/>
      <c r="AA180" s="395"/>
      <c r="AB180" s="395"/>
      <c r="AC180" s="1897"/>
      <c r="AD180" s="395"/>
      <c r="AE180" s="355"/>
      <c r="AF180" s="323"/>
      <c r="AG180" s="323"/>
      <c r="AH180" s="348"/>
      <c r="AI180" s="357"/>
      <c r="AJ180" s="320"/>
      <c r="AK180" s="381">
        <f>AVERAGE(Q181,P181)</f>
        <v>0.2785725</v>
      </c>
      <c r="AL180" s="381">
        <f>AVERAGE(R181,Q181)</f>
        <v>0.29280875000000001</v>
      </c>
    </row>
    <row r="181" spans="1:38" ht="12.75" hidden="1" customHeight="1" outlineLevel="1">
      <c r="A181" s="396" t="s">
        <v>290</v>
      </c>
      <c r="B181" s="395"/>
      <c r="C181" s="395"/>
      <c r="D181" s="395"/>
      <c r="E181" s="395"/>
      <c r="F181" s="395"/>
      <c r="G181" s="570"/>
      <c r="H181" s="402"/>
      <c r="I181" s="402"/>
      <c r="J181" s="402"/>
      <c r="K181" s="402"/>
      <c r="L181" s="402"/>
      <c r="M181" s="567">
        <f>+AVERAGE(M116,L114)</f>
        <v>0.17800349999999998</v>
      </c>
      <c r="N181" s="567">
        <f t="shared" ref="N181:V181" si="126">+AVERAGE(N116,M116)</f>
        <v>0.21211849999999999</v>
      </c>
      <c r="O181" s="567">
        <f t="shared" si="126"/>
        <v>0.24492749999999999</v>
      </c>
      <c r="P181" s="567">
        <f t="shared" si="126"/>
        <v>0.27021050000000002</v>
      </c>
      <c r="Q181" s="567">
        <f t="shared" si="126"/>
        <v>0.28693449999999998</v>
      </c>
      <c r="R181" s="567">
        <f t="shared" si="126"/>
        <v>0.29868300000000003</v>
      </c>
      <c r="S181" s="567">
        <f t="shared" si="126"/>
        <v>0.31235299999999999</v>
      </c>
      <c r="T181" s="567">
        <f t="shared" si="126"/>
        <v>0.33588750000000001</v>
      </c>
      <c r="U181" s="567">
        <f t="shared" si="126"/>
        <v>0.35300399999999998</v>
      </c>
      <c r="V181" s="567">
        <f t="shared" si="126"/>
        <v>0.35301399999999999</v>
      </c>
      <c r="W181" s="567">
        <f t="shared" ref="W181:AC181" si="127">+AVERAGE(W116,V116)</f>
        <v>0.35001399999999999</v>
      </c>
      <c r="X181" s="567">
        <f t="shared" si="127"/>
        <v>0.33801399999999998</v>
      </c>
      <c r="Y181" s="567">
        <f t="shared" si="127"/>
        <v>0.31501399999999996</v>
      </c>
      <c r="Z181" s="567">
        <f>+AVERAGE(Z116,Y116)</f>
        <v>0.30301399999999995</v>
      </c>
      <c r="AA181" s="567">
        <f t="shared" si="127"/>
        <v>0.30301399999999995</v>
      </c>
      <c r="AB181" s="567">
        <f t="shared" si="127"/>
        <v>0.30301399999999995</v>
      </c>
      <c r="AC181" s="1898">
        <f t="shared" si="127"/>
        <v>0.30301399999999995</v>
      </c>
      <c r="AD181" s="567"/>
      <c r="AE181" s="355"/>
      <c r="AF181" s="323"/>
      <c r="AG181" s="323"/>
      <c r="AH181" s="348"/>
      <c r="AI181" s="357"/>
      <c r="AJ181" s="320"/>
      <c r="AK181" s="395"/>
      <c r="AL181" s="395">
        <f>(AL180/AK180)-1</f>
        <v>5.1104290624523152E-2</v>
      </c>
    </row>
    <row r="182" spans="1:38" ht="12.75" hidden="1" customHeight="1" outlineLevel="1">
      <c r="A182" s="396"/>
      <c r="B182" s="395"/>
      <c r="C182" s="395"/>
      <c r="D182" s="395"/>
      <c r="E182" s="395"/>
      <c r="F182" s="395"/>
      <c r="G182" s="395"/>
      <c r="H182" s="395"/>
      <c r="I182" s="395"/>
      <c r="J182" s="395"/>
      <c r="K182" s="395"/>
      <c r="L182" s="401"/>
      <c r="M182" s="395">
        <f>M181/L179-1</f>
        <v>0.2672760863297059</v>
      </c>
      <c r="N182" s="395">
        <f t="shared" ref="N182:V182" si="128">N181/M181-1</f>
        <v>0.19165353490240356</v>
      </c>
      <c r="O182" s="395">
        <f t="shared" si="128"/>
        <v>0.1546729776044995</v>
      </c>
      <c r="P182" s="395">
        <f t="shared" si="128"/>
        <v>0.1032264649743293</v>
      </c>
      <c r="Q182" s="395">
        <f t="shared" si="128"/>
        <v>6.1892487523615758E-2</v>
      </c>
      <c r="R182" s="395">
        <f t="shared" si="128"/>
        <v>4.0944884633949741E-2</v>
      </c>
      <c r="S182" s="395">
        <f t="shared" si="128"/>
        <v>4.5767586370834445E-2</v>
      </c>
      <c r="T182" s="395">
        <f t="shared" si="128"/>
        <v>7.5345842684398701E-2</v>
      </c>
      <c r="U182" s="395">
        <f t="shared" si="128"/>
        <v>5.0959026459752144E-2</v>
      </c>
      <c r="V182" s="395">
        <f t="shared" si="128"/>
        <v>2.8328290897494668E-5</v>
      </c>
      <c r="W182" s="395">
        <f t="shared" ref="W182:AC182" si="129">W181/V181-1</f>
        <v>-8.4982465284663133E-3</v>
      </c>
      <c r="X182" s="395">
        <f t="shared" si="129"/>
        <v>-3.4284342911997889E-2</v>
      </c>
      <c r="Y182" s="395">
        <f t="shared" si="129"/>
        <v>-6.8044518866082537E-2</v>
      </c>
      <c r="Z182" s="395">
        <f>Z181/Y181-1</f>
        <v>-3.8093545048791477E-2</v>
      </c>
      <c r="AA182" s="395">
        <f t="shared" si="129"/>
        <v>0</v>
      </c>
      <c r="AB182" s="395">
        <f t="shared" si="129"/>
        <v>0</v>
      </c>
      <c r="AC182" s="1897">
        <f t="shared" si="129"/>
        <v>0</v>
      </c>
      <c r="AD182" s="395"/>
      <c r="AE182" s="355"/>
      <c r="AF182" s="323"/>
      <c r="AG182" s="323"/>
      <c r="AH182" s="348"/>
      <c r="AI182" s="357"/>
      <c r="AJ182" s="320"/>
      <c r="AK182" s="320"/>
      <c r="AL182" s="320"/>
    </row>
    <row r="183" spans="1:38" ht="12.75" hidden="1" customHeight="1" outlineLevel="1">
      <c r="A183" s="396" t="s">
        <v>595</v>
      </c>
      <c r="B183" s="395"/>
      <c r="C183" s="395"/>
      <c r="D183" s="395"/>
      <c r="E183" s="395"/>
      <c r="F183" s="395"/>
      <c r="G183" s="395"/>
      <c r="H183" s="395"/>
      <c r="I183" s="395"/>
      <c r="J183" s="395"/>
      <c r="K183" s="395"/>
      <c r="L183" s="401"/>
      <c r="M183" s="395"/>
      <c r="N183" s="403"/>
      <c r="O183" s="403">
        <f t="shared" ref="O183:V183" si="130">+AVERAGE(O118,N118)</f>
        <v>3.5022499999999998E-2</v>
      </c>
      <c r="P183" s="403">
        <f t="shared" si="130"/>
        <v>4.8587500000000006E-2</v>
      </c>
      <c r="Q183" s="567">
        <f t="shared" si="130"/>
        <v>6.5779000000000004E-2</v>
      </c>
      <c r="R183" s="567">
        <f t="shared" si="130"/>
        <v>0.10321849999999999</v>
      </c>
      <c r="S183" s="567">
        <f t="shared" si="130"/>
        <v>0.20720750000000002</v>
      </c>
      <c r="T183" s="567">
        <f t="shared" si="130"/>
        <v>0.27171900000000004</v>
      </c>
      <c r="U183" s="567">
        <f t="shared" si="130"/>
        <v>0.32540199999999997</v>
      </c>
      <c r="V183" s="567">
        <f t="shared" si="130"/>
        <v>0.40326849999999992</v>
      </c>
      <c r="W183" s="567">
        <f t="shared" ref="W183:AC183" si="131">+AVERAGE(W118,V118)</f>
        <v>0.42944349999999987</v>
      </c>
      <c r="X183" s="567">
        <f t="shared" si="131"/>
        <v>0.46371849999999992</v>
      </c>
      <c r="Y183" s="567">
        <f t="shared" si="131"/>
        <v>0.49023099999999986</v>
      </c>
      <c r="Z183" s="567">
        <f>+AVERAGE(Z118,Y118)</f>
        <v>0.50148099999999984</v>
      </c>
      <c r="AA183" s="567">
        <f t="shared" si="131"/>
        <v>0.50523099999999999</v>
      </c>
      <c r="AB183" s="567">
        <f t="shared" si="131"/>
        <v>0.50898099999999991</v>
      </c>
      <c r="AC183" s="1898">
        <f t="shared" si="131"/>
        <v>0.51273100000000005</v>
      </c>
      <c r="AD183" s="567"/>
      <c r="AE183" s="355"/>
      <c r="AF183" s="323"/>
      <c r="AG183" s="323"/>
      <c r="AH183" s="348"/>
      <c r="AI183" s="357"/>
      <c r="AJ183" s="320"/>
      <c r="AK183" s="320"/>
      <c r="AL183" s="320"/>
    </row>
    <row r="184" spans="1:38" ht="12.75" hidden="1" customHeight="1" outlineLevel="1">
      <c r="A184" s="396"/>
      <c r="B184" s="395"/>
      <c r="C184" s="395"/>
      <c r="D184" s="395"/>
      <c r="E184" s="395"/>
      <c r="F184" s="395"/>
      <c r="G184" s="395"/>
      <c r="H184" s="395"/>
      <c r="I184" s="395"/>
      <c r="J184" s="395"/>
      <c r="K184" s="395"/>
      <c r="L184" s="401"/>
      <c r="M184" s="395"/>
      <c r="N184" s="395"/>
      <c r="O184" s="395"/>
      <c r="P184" s="571">
        <f t="shared" ref="P184:V184" si="132">P183/O183-1</f>
        <v>0.3873224355771292</v>
      </c>
      <c r="Q184" s="395">
        <f t="shared" si="132"/>
        <v>0.35382557242089008</v>
      </c>
      <c r="R184" s="395">
        <f t="shared" si="132"/>
        <v>0.56917101202511411</v>
      </c>
      <c r="S184" s="395">
        <f t="shared" si="132"/>
        <v>1.007464747114132</v>
      </c>
      <c r="T184" s="395">
        <f t="shared" si="132"/>
        <v>0.31133766876198998</v>
      </c>
      <c r="U184" s="395">
        <f t="shared" si="132"/>
        <v>0.19756807584305824</v>
      </c>
      <c r="V184" s="395">
        <f t="shared" si="132"/>
        <v>0.23929324343427494</v>
      </c>
      <c r="W184" s="395">
        <f t="shared" ref="W184:AC184" si="133">W183/V183-1</f>
        <v>6.4907127633326178E-2</v>
      </c>
      <c r="X184" s="395">
        <f t="shared" si="133"/>
        <v>7.9812594671941905E-2</v>
      </c>
      <c r="Y184" s="395">
        <f t="shared" si="133"/>
        <v>5.7173694817006293E-2</v>
      </c>
      <c r="Z184" s="395">
        <f>Z183/Y183-1</f>
        <v>2.29483651584661E-2</v>
      </c>
      <c r="AA184" s="395">
        <f t="shared" si="133"/>
        <v>7.4778506065038552E-3</v>
      </c>
      <c r="AB184" s="395">
        <f t="shared" si="133"/>
        <v>7.4223474014853963E-3</v>
      </c>
      <c r="AC184" s="1897">
        <f t="shared" si="133"/>
        <v>7.367662054183155E-3</v>
      </c>
      <c r="AD184" s="395"/>
      <c r="AE184" s="355"/>
      <c r="AF184" s="323"/>
      <c r="AG184" s="323"/>
      <c r="AH184" s="348"/>
      <c r="AI184" s="357"/>
      <c r="AJ184" s="89"/>
      <c r="AK184" s="320"/>
      <c r="AL184" s="320"/>
    </row>
    <row r="185" spans="1:38" ht="12.75" hidden="1" customHeight="1" outlineLevel="1">
      <c r="A185" s="396" t="s">
        <v>533</v>
      </c>
      <c r="B185" s="395"/>
      <c r="C185" s="395"/>
      <c r="D185" s="395"/>
      <c r="E185" s="395"/>
      <c r="F185" s="395"/>
      <c r="G185" s="395"/>
      <c r="H185" s="395"/>
      <c r="I185" s="395"/>
      <c r="J185" s="395"/>
      <c r="K185" s="395"/>
      <c r="L185" s="401"/>
      <c r="M185" s="395"/>
      <c r="N185" s="403"/>
      <c r="O185" s="403"/>
      <c r="P185" s="403"/>
      <c r="Q185" s="567"/>
      <c r="R185" s="567"/>
      <c r="S185" s="567">
        <f t="shared" ref="S185:AC185" si="134">+AVERAGE(S120,R120)</f>
        <v>6.1250000000000002E-3</v>
      </c>
      <c r="T185" s="567">
        <f t="shared" si="134"/>
        <v>1.225E-2</v>
      </c>
      <c r="U185" s="567">
        <f t="shared" si="134"/>
        <v>1.4E-2</v>
      </c>
      <c r="V185" s="567">
        <f t="shared" si="134"/>
        <v>1.7500000000000002E-2</v>
      </c>
      <c r="W185" s="567">
        <f t="shared" si="134"/>
        <v>1.925E-2</v>
      </c>
      <c r="X185" s="567">
        <f t="shared" si="134"/>
        <v>2.0125000000000001E-2</v>
      </c>
      <c r="Y185" s="567">
        <f t="shared" si="134"/>
        <v>2.1000000000000001E-2</v>
      </c>
      <c r="Z185" s="567">
        <f>+AVERAGE(Z120,Y120)</f>
        <v>2.1000000000000001E-2</v>
      </c>
      <c r="AA185" s="567">
        <f t="shared" si="134"/>
        <v>2.1000000000000001E-2</v>
      </c>
      <c r="AB185" s="567">
        <f t="shared" si="134"/>
        <v>2.1000000000000001E-2</v>
      </c>
      <c r="AC185" s="1898">
        <f t="shared" si="134"/>
        <v>2.1000000000000001E-2</v>
      </c>
      <c r="AD185" s="567"/>
      <c r="AE185" s="355"/>
      <c r="AF185" s="323"/>
      <c r="AG185" s="323"/>
      <c r="AH185" s="348"/>
      <c r="AI185" s="357"/>
      <c r="AJ185" s="320"/>
      <c r="AK185" s="320"/>
      <c r="AL185" s="320"/>
    </row>
    <row r="186" spans="1:38" ht="12.75" hidden="1" customHeight="1" outlineLevel="1">
      <c r="A186" s="396"/>
      <c r="B186" s="395"/>
      <c r="C186" s="395"/>
      <c r="D186" s="395"/>
      <c r="E186" s="395"/>
      <c r="F186" s="395"/>
      <c r="G186" s="395"/>
      <c r="H186" s="395"/>
      <c r="I186" s="395"/>
      <c r="J186" s="395"/>
      <c r="K186" s="395"/>
      <c r="L186" s="401"/>
      <c r="M186" s="395"/>
      <c r="N186" s="395"/>
      <c r="O186" s="395"/>
      <c r="P186" s="571"/>
      <c r="Q186" s="395"/>
      <c r="R186" s="395"/>
      <c r="S186" s="395"/>
      <c r="T186" s="395">
        <f t="shared" ref="T186:AC186" si="135">T185/S185-1</f>
        <v>1</v>
      </c>
      <c r="U186" s="395">
        <f t="shared" si="135"/>
        <v>0.14285714285714279</v>
      </c>
      <c r="V186" s="395">
        <f t="shared" si="135"/>
        <v>0.25</v>
      </c>
      <c r="W186" s="395">
        <f t="shared" si="135"/>
        <v>9.9999999999999867E-2</v>
      </c>
      <c r="X186" s="395">
        <f t="shared" si="135"/>
        <v>4.5454545454545414E-2</v>
      </c>
      <c r="Y186" s="395">
        <f t="shared" si="135"/>
        <v>4.3478260869565188E-2</v>
      </c>
      <c r="Z186" s="395">
        <f>Z185/Y185-1</f>
        <v>0</v>
      </c>
      <c r="AA186" s="395">
        <f t="shared" si="135"/>
        <v>0</v>
      </c>
      <c r="AB186" s="395">
        <f t="shared" si="135"/>
        <v>0</v>
      </c>
      <c r="AC186" s="1897">
        <f t="shared" si="135"/>
        <v>0</v>
      </c>
      <c r="AD186" s="395"/>
      <c r="AE186" s="355"/>
      <c r="AF186" s="323"/>
      <c r="AG186" s="323"/>
      <c r="AH186" s="348"/>
      <c r="AI186" s="357"/>
      <c r="AJ186" s="89"/>
      <c r="AK186" s="320"/>
      <c r="AL186" s="320"/>
    </row>
    <row r="187" spans="1:38" ht="12.75" hidden="1" customHeight="1" outlineLevel="1">
      <c r="A187" s="396" t="s">
        <v>350</v>
      </c>
      <c r="B187" s="395"/>
      <c r="C187" s="395"/>
      <c r="D187" s="395"/>
      <c r="E187" s="395"/>
      <c r="F187" s="395"/>
      <c r="G187" s="395"/>
      <c r="H187" s="395"/>
      <c r="I187" s="395"/>
      <c r="J187" s="395"/>
      <c r="K187" s="395"/>
      <c r="L187" s="401"/>
      <c r="M187" s="395"/>
      <c r="N187" s="403"/>
      <c r="O187" s="403"/>
      <c r="P187" s="403"/>
      <c r="Q187" s="567"/>
      <c r="R187" s="567"/>
      <c r="S187" s="567">
        <f t="shared" ref="S187:AC187" si="136">+AVERAGE(S122,R122)</f>
        <v>2.2749999999999999E-2</v>
      </c>
      <c r="T187" s="567">
        <f t="shared" si="136"/>
        <v>4.6375E-2</v>
      </c>
      <c r="U187" s="567">
        <f t="shared" si="136"/>
        <v>4.725E-2</v>
      </c>
      <c r="V187" s="567">
        <f t="shared" si="136"/>
        <v>4.9000000000000002E-2</v>
      </c>
      <c r="W187" s="567">
        <f t="shared" si="136"/>
        <v>5.0750000000000003E-2</v>
      </c>
      <c r="X187" s="567">
        <f t="shared" si="136"/>
        <v>5.1625000000000004E-2</v>
      </c>
      <c r="Y187" s="567">
        <f t="shared" si="136"/>
        <v>5.2500000000000005E-2</v>
      </c>
      <c r="Z187" s="567">
        <f>+AVERAGE(Z122,Y122)</f>
        <v>5.2500000000000005E-2</v>
      </c>
      <c r="AA187" s="567">
        <f t="shared" si="136"/>
        <v>5.2500000000000005E-2</v>
      </c>
      <c r="AB187" s="567">
        <f t="shared" si="136"/>
        <v>5.2500000000000005E-2</v>
      </c>
      <c r="AC187" s="1898">
        <f t="shared" si="136"/>
        <v>5.2500000000000005E-2</v>
      </c>
      <c r="AD187" s="567"/>
      <c r="AE187" s="355"/>
      <c r="AF187" s="323"/>
      <c r="AG187" s="323"/>
      <c r="AH187" s="348"/>
      <c r="AI187" s="357"/>
      <c r="AJ187" s="320"/>
      <c r="AK187" s="320"/>
      <c r="AL187" s="320"/>
    </row>
    <row r="188" spans="1:38" ht="12.75" hidden="1" customHeight="1" outlineLevel="1">
      <c r="A188" s="396"/>
      <c r="B188" s="395"/>
      <c r="C188" s="395"/>
      <c r="D188" s="395"/>
      <c r="E188" s="395"/>
      <c r="F188" s="395"/>
      <c r="G188" s="395"/>
      <c r="H188" s="395"/>
      <c r="I188" s="395"/>
      <c r="J188" s="395"/>
      <c r="K188" s="395"/>
      <c r="L188" s="401"/>
      <c r="M188" s="395"/>
      <c r="N188" s="395"/>
      <c r="O188" s="395"/>
      <c r="P188" s="571"/>
      <c r="Q188" s="395"/>
      <c r="R188" s="395"/>
      <c r="S188" s="395"/>
      <c r="T188" s="395">
        <f t="shared" ref="T188:AC188" si="137">T187/S187-1</f>
        <v>1.0384615384615383</v>
      </c>
      <c r="U188" s="395">
        <f t="shared" si="137"/>
        <v>1.8867924528301883E-2</v>
      </c>
      <c r="V188" s="395">
        <f t="shared" si="137"/>
        <v>3.7037037037036979E-2</v>
      </c>
      <c r="W188" s="395">
        <f t="shared" si="137"/>
        <v>3.5714285714285809E-2</v>
      </c>
      <c r="X188" s="395">
        <f t="shared" si="137"/>
        <v>1.7241379310344751E-2</v>
      </c>
      <c r="Y188" s="395">
        <f t="shared" si="137"/>
        <v>1.6949152542372836E-2</v>
      </c>
      <c r="Z188" s="395">
        <f>Z187/Y187-1</f>
        <v>0</v>
      </c>
      <c r="AA188" s="395">
        <f t="shared" si="137"/>
        <v>0</v>
      </c>
      <c r="AB188" s="395">
        <f t="shared" si="137"/>
        <v>0</v>
      </c>
      <c r="AC188" s="1897">
        <f t="shared" si="137"/>
        <v>0</v>
      </c>
      <c r="AD188" s="395"/>
      <c r="AE188" s="355"/>
      <c r="AF188" s="323"/>
      <c r="AG188" s="323"/>
      <c r="AH188" s="348"/>
      <c r="AI188" s="357"/>
      <c r="AJ188" s="89"/>
      <c r="AK188" s="320"/>
      <c r="AL188" s="320"/>
    </row>
    <row r="189" spans="1:38" ht="13.5" hidden="1" outlineLevel="1" thickBot="1"/>
    <row r="190" spans="1:38" ht="13.5" hidden="1" outlineLevel="1" thickBot="1">
      <c r="A190" s="375" t="s">
        <v>599</v>
      </c>
      <c r="B190" s="389"/>
      <c r="C190" s="389"/>
      <c r="D190" s="389"/>
      <c r="E190" s="389"/>
      <c r="F190" s="389"/>
      <c r="G190" s="389"/>
      <c r="H190" s="389"/>
      <c r="I190" s="567"/>
      <c r="J190" s="567"/>
      <c r="K190" s="567"/>
      <c r="L190" s="567"/>
      <c r="M190" s="567"/>
      <c r="N190" s="567"/>
      <c r="O190" s="567"/>
      <c r="P190" s="567"/>
      <c r="Q190" s="432">
        <f>(Q191+Q193+Q195)/(P191+P193+P195)-1</f>
        <v>0.11002239083451237</v>
      </c>
      <c r="R190" s="433">
        <f>(R191+R193+R195)/(Q191+Q193+Q195)-1</f>
        <v>-2.118840378110054E-3</v>
      </c>
      <c r="S190" s="434">
        <f>(S191+S193+S195)/(R191+R193+R195)-1</f>
        <v>3.095925212888373E-3</v>
      </c>
      <c r="T190" s="389"/>
      <c r="U190" s="389"/>
      <c r="V190" s="389"/>
      <c r="W190" s="389"/>
      <c r="X190" s="389"/>
      <c r="Y190" s="389"/>
      <c r="Z190" s="389"/>
      <c r="AA190" s="389"/>
      <c r="AB190" s="389"/>
      <c r="AC190" s="407"/>
      <c r="AD190" s="389"/>
      <c r="AE190" s="374"/>
      <c r="AF190" s="383"/>
      <c r="AG190" s="383"/>
      <c r="AH190" s="348"/>
      <c r="AI190" s="357"/>
      <c r="AJ190" s="320"/>
      <c r="AK190" s="320"/>
      <c r="AL190" s="320"/>
    </row>
    <row r="191" spans="1:38" ht="12.75" hidden="1" customHeight="1" outlineLevel="1">
      <c r="A191" s="391" t="s">
        <v>288</v>
      </c>
      <c r="B191" s="515"/>
      <c r="C191" s="515"/>
      <c r="D191" s="515"/>
      <c r="E191" s="567"/>
      <c r="F191" s="567"/>
      <c r="G191" s="573">
        <v>1.6571109433962266</v>
      </c>
      <c r="H191" s="573">
        <v>1.5880753719008265</v>
      </c>
      <c r="I191" s="573">
        <v>1.6160502173913045</v>
      </c>
      <c r="J191" s="573">
        <v>1.9553353846153847</v>
      </c>
      <c r="K191" s="573">
        <v>2.3536945977011494</v>
      </c>
      <c r="L191" s="573">
        <v>2.670209584974093</v>
      </c>
      <c r="M191" s="573">
        <v>2.8485891931192664</v>
      </c>
      <c r="N191" s="573">
        <v>3.0598352680749534</v>
      </c>
      <c r="O191" s="573">
        <v>2.9593899609812939</v>
      </c>
      <c r="P191" s="573">
        <v>2.2514820515685927</v>
      </c>
      <c r="Q191" s="573">
        <v>2.2225642184034204</v>
      </c>
      <c r="R191" s="573">
        <v>2.4230276364065397</v>
      </c>
      <c r="S191" s="573">
        <v>2.3891904171931655</v>
      </c>
      <c r="T191" s="567"/>
      <c r="U191" s="567"/>
      <c r="V191" s="567"/>
      <c r="W191" s="567"/>
      <c r="X191" s="567"/>
      <c r="Y191" s="567"/>
      <c r="Z191" s="567"/>
      <c r="AA191" s="567"/>
      <c r="AB191" s="567"/>
      <c r="AC191" s="1898"/>
      <c r="AD191" s="567"/>
      <c r="AE191" s="374"/>
      <c r="AF191" s="383"/>
      <c r="AG191" s="383"/>
      <c r="AH191" s="348"/>
      <c r="AI191" s="357"/>
      <c r="AJ191" s="320"/>
      <c r="AK191" s="320"/>
      <c r="AL191" s="320"/>
    </row>
    <row r="192" spans="1:38" ht="12.75" hidden="1" customHeight="1" outlineLevel="1">
      <c r="A192" s="391"/>
      <c r="B192" s="392"/>
      <c r="C192" s="395"/>
      <c r="D192" s="392"/>
      <c r="E192" s="395"/>
      <c r="F192" s="395"/>
      <c r="G192" s="395"/>
      <c r="H192" s="395">
        <f t="shared" ref="H192:S192" si="138">H191/G191-1</f>
        <v>-4.1660198896467771E-2</v>
      </c>
      <c r="I192" s="395">
        <f t="shared" si="138"/>
        <v>1.7615565347502304E-2</v>
      </c>
      <c r="J192" s="395">
        <f t="shared" si="138"/>
        <v>0.209947168456045</v>
      </c>
      <c r="K192" s="395">
        <f t="shared" si="138"/>
        <v>0.20372935314323182</v>
      </c>
      <c r="L192" s="395">
        <f t="shared" si="138"/>
        <v>0.13447580989567776</v>
      </c>
      <c r="M192" s="395">
        <f t="shared" si="138"/>
        <v>6.6803598170330103E-2</v>
      </c>
      <c r="N192" s="395">
        <f t="shared" si="138"/>
        <v>7.4158139568158754E-2</v>
      </c>
      <c r="O192" s="395">
        <f t="shared" si="138"/>
        <v>-3.2827030965249637E-2</v>
      </c>
      <c r="P192" s="395">
        <f t="shared" si="138"/>
        <v>-0.23920737677232928</v>
      </c>
      <c r="Q192" s="395">
        <f t="shared" si="138"/>
        <v>-1.2843910145775017E-2</v>
      </c>
      <c r="R192" s="395">
        <f t="shared" si="138"/>
        <v>9.0194657298641401E-2</v>
      </c>
      <c r="S192" s="395">
        <f t="shared" si="138"/>
        <v>-1.3964850711961518E-2</v>
      </c>
      <c r="T192" s="395"/>
      <c r="U192" s="395"/>
      <c r="V192" s="395"/>
      <c r="W192" s="395"/>
      <c r="X192" s="395"/>
      <c r="Y192" s="395"/>
      <c r="Z192" s="395"/>
      <c r="AA192" s="395"/>
      <c r="AB192" s="395"/>
      <c r="AC192" s="1897"/>
      <c r="AD192" s="395"/>
      <c r="AE192" s="374"/>
      <c r="AF192" s="383"/>
      <c r="AG192" s="383"/>
      <c r="AH192" s="348"/>
      <c r="AI192" s="357"/>
      <c r="AJ192" s="320"/>
      <c r="AK192" s="2"/>
      <c r="AL192" s="2"/>
    </row>
    <row r="193" spans="1:38" ht="12.75" hidden="1" customHeight="1" outlineLevel="1">
      <c r="A193" s="396" t="s">
        <v>289</v>
      </c>
      <c r="B193" s="568"/>
      <c r="C193" s="515"/>
      <c r="D193" s="568"/>
      <c r="E193" s="567"/>
      <c r="F193" s="567"/>
      <c r="G193" s="515">
        <v>2.5267653968253967</v>
      </c>
      <c r="H193" s="515">
        <v>2.5609175</v>
      </c>
      <c r="I193" s="515">
        <v>2.8192820270270276</v>
      </c>
      <c r="J193" s="515">
        <v>3.0101873684210525</v>
      </c>
      <c r="K193" s="515">
        <v>3.6504244736842102</v>
      </c>
      <c r="L193" s="515">
        <v>4.6097985731707327</v>
      </c>
      <c r="M193" s="515">
        <v>5.9907702790697668</v>
      </c>
      <c r="N193" s="515">
        <v>7.8611715360839947</v>
      </c>
      <c r="O193" s="515">
        <v>9.6970841982549683</v>
      </c>
      <c r="P193" s="515">
        <v>11.036596817772464</v>
      </c>
      <c r="Q193" s="515">
        <v>12.527500857740105</v>
      </c>
      <c r="R193" s="515">
        <v>12.295784406273901</v>
      </c>
      <c r="S193" s="515">
        <v>12.375189966793972</v>
      </c>
      <c r="T193" s="567"/>
      <c r="U193" s="567"/>
      <c r="V193" s="567"/>
      <c r="W193" s="567"/>
      <c r="X193" s="567"/>
      <c r="Y193" s="567"/>
      <c r="Z193" s="567"/>
      <c r="AA193" s="567"/>
      <c r="AB193" s="567"/>
      <c r="AC193" s="1898"/>
      <c r="AD193" s="567"/>
      <c r="AE193" s="355"/>
      <c r="AF193" s="323"/>
      <c r="AG193" s="323"/>
      <c r="AH193" s="348"/>
      <c r="AI193" s="357"/>
      <c r="AJ193" s="320"/>
      <c r="AK193" s="320"/>
      <c r="AL193" s="320"/>
    </row>
    <row r="194" spans="1:38" ht="12.75" hidden="1" customHeight="1" outlineLevel="1">
      <c r="A194" s="396"/>
      <c r="B194" s="397"/>
      <c r="C194" s="395"/>
      <c r="D194" s="397"/>
      <c r="E194" s="395"/>
      <c r="F194" s="395"/>
      <c r="G194" s="395"/>
      <c r="H194" s="395">
        <f t="shared" ref="H194:S194" si="139">H193/G193-1</f>
        <v>1.3516135379054939E-2</v>
      </c>
      <c r="I194" s="395">
        <f t="shared" si="139"/>
        <v>0.10088748545278303</v>
      </c>
      <c r="J194" s="395">
        <f t="shared" si="139"/>
        <v>6.771416962329857E-2</v>
      </c>
      <c r="K194" s="395">
        <f t="shared" si="139"/>
        <v>0.21269011755869016</v>
      </c>
      <c r="L194" s="395">
        <f t="shared" si="139"/>
        <v>0.26281165557666486</v>
      </c>
      <c r="M194" s="395">
        <f t="shared" si="139"/>
        <v>0.29957311235600637</v>
      </c>
      <c r="N194" s="395">
        <f t="shared" si="139"/>
        <v>0.31221381723631358</v>
      </c>
      <c r="O194" s="395">
        <f t="shared" si="139"/>
        <v>0.23354186506983732</v>
      </c>
      <c r="P194" s="395">
        <f t="shared" si="139"/>
        <v>0.13813560779007639</v>
      </c>
      <c r="Q194" s="395">
        <f t="shared" si="139"/>
        <v>0.13508729770456118</v>
      </c>
      <c r="R194" s="395">
        <f t="shared" si="139"/>
        <v>-1.8496622279058794E-2</v>
      </c>
      <c r="S194" s="395">
        <f t="shared" si="139"/>
        <v>6.4579499685724073E-3</v>
      </c>
      <c r="T194" s="395"/>
      <c r="U194" s="395"/>
      <c r="V194" s="395"/>
      <c r="W194" s="395"/>
      <c r="X194" s="395"/>
      <c r="Y194" s="395"/>
      <c r="Z194" s="395"/>
      <c r="AA194" s="395"/>
      <c r="AB194" s="395"/>
      <c r="AC194" s="1897"/>
      <c r="AD194" s="395"/>
      <c r="AE194" s="355"/>
      <c r="AF194" s="323"/>
      <c r="AG194" s="323"/>
      <c r="AH194" s="348"/>
      <c r="AI194" s="357"/>
      <c r="AJ194" s="320"/>
      <c r="AK194" s="320"/>
      <c r="AL194" s="320"/>
    </row>
    <row r="195" spans="1:38" ht="12.75" hidden="1" customHeight="1" outlineLevel="1">
      <c r="A195" s="396" t="s">
        <v>417</v>
      </c>
      <c r="B195" s="397"/>
      <c r="C195" s="395"/>
      <c r="D195" s="397"/>
      <c r="E195" s="395"/>
      <c r="F195" s="395"/>
      <c r="G195" s="395"/>
      <c r="H195" s="395"/>
      <c r="I195" s="395"/>
      <c r="J195" s="395"/>
      <c r="K195" s="395"/>
      <c r="L195" s="395"/>
      <c r="M195" s="395"/>
      <c r="N195" s="395"/>
      <c r="O195" s="395"/>
      <c r="P195" s="395"/>
      <c r="Q195" s="567"/>
      <c r="R195" s="567"/>
      <c r="S195" s="567"/>
      <c r="T195" s="567"/>
      <c r="U195" s="567"/>
      <c r="V195" s="567"/>
      <c r="W195" s="567"/>
      <c r="X195" s="567"/>
      <c r="Y195" s="567"/>
      <c r="Z195" s="567"/>
      <c r="AA195" s="567"/>
      <c r="AB195" s="567"/>
      <c r="AC195" s="1898"/>
      <c r="AD195" s="567"/>
      <c r="AE195" s="355"/>
      <c r="AF195" s="323"/>
      <c r="AG195" s="323"/>
      <c r="AH195" s="348"/>
      <c r="AI195" s="357"/>
      <c r="AJ195" s="320"/>
      <c r="AK195" s="320"/>
      <c r="AL195" s="320"/>
    </row>
    <row r="196" spans="1:38" ht="12.75" hidden="1" customHeight="1" outlineLevel="1">
      <c r="A196" s="396"/>
      <c r="B196" s="397"/>
      <c r="C196" s="395"/>
      <c r="D196" s="397"/>
      <c r="E196" s="395"/>
      <c r="F196" s="395"/>
      <c r="G196" s="395"/>
      <c r="H196" s="395"/>
      <c r="I196" s="395"/>
      <c r="J196" s="395"/>
      <c r="K196" s="395"/>
      <c r="L196" s="395"/>
      <c r="M196" s="395"/>
      <c r="N196" s="395"/>
      <c r="O196" s="395"/>
      <c r="P196" s="395"/>
      <c r="Q196" s="395"/>
      <c r="R196" s="395"/>
      <c r="S196" s="395"/>
      <c r="T196" s="395"/>
      <c r="U196" s="395"/>
      <c r="V196" s="395"/>
      <c r="W196" s="395"/>
      <c r="X196" s="395"/>
      <c r="Y196" s="395"/>
      <c r="Z196" s="395"/>
      <c r="AA196" s="395"/>
      <c r="AB196" s="395"/>
      <c r="AC196" s="1897"/>
      <c r="AD196" s="395"/>
      <c r="AE196" s="355"/>
      <c r="AF196" s="323"/>
      <c r="AG196" s="323"/>
      <c r="AH196" s="348"/>
      <c r="AI196" s="357"/>
      <c r="AJ196" s="320"/>
      <c r="AK196" s="320"/>
      <c r="AL196" s="320"/>
    </row>
    <row r="197" spans="1:38" ht="12.75" hidden="1" customHeight="1" outlineLevel="1">
      <c r="A197" s="396" t="s">
        <v>365</v>
      </c>
      <c r="B197" s="397"/>
      <c r="C197" s="395"/>
      <c r="D197" s="397"/>
      <c r="E197" s="395"/>
      <c r="F197" s="395"/>
      <c r="G197" s="395"/>
      <c r="H197" s="395"/>
      <c r="I197" s="395"/>
      <c r="J197" s="395"/>
      <c r="K197" s="395"/>
      <c r="L197" s="395"/>
      <c r="M197" s="395"/>
      <c r="N197" s="395"/>
      <c r="O197" s="395"/>
      <c r="P197" s="395"/>
      <c r="Q197" s="395"/>
      <c r="R197" s="567"/>
      <c r="S197" s="567"/>
      <c r="T197" s="567"/>
      <c r="U197" s="567"/>
      <c r="V197" s="567"/>
      <c r="W197" s="567"/>
      <c r="X197" s="567"/>
      <c r="Y197" s="567"/>
      <c r="Z197" s="567"/>
      <c r="AA197" s="567"/>
      <c r="AB197" s="567"/>
      <c r="AC197" s="1898"/>
      <c r="AD197" s="567"/>
      <c r="AE197" s="355"/>
      <c r="AF197" s="323"/>
      <c r="AG197" s="323"/>
      <c r="AH197" s="348"/>
      <c r="AI197" s="357"/>
      <c r="AJ197" s="320"/>
      <c r="AK197" s="320"/>
      <c r="AL197" s="320"/>
    </row>
    <row r="198" spans="1:38" ht="12.75" hidden="1" customHeight="1" outlineLevel="1">
      <c r="A198" s="396"/>
      <c r="B198" s="397"/>
      <c r="C198" s="395"/>
      <c r="D198" s="397"/>
      <c r="E198" s="395"/>
      <c r="F198" s="395"/>
      <c r="G198" s="395"/>
      <c r="H198" s="395"/>
      <c r="I198" s="395"/>
      <c r="J198" s="395"/>
      <c r="K198" s="395"/>
      <c r="L198" s="395"/>
      <c r="M198" s="395"/>
      <c r="N198" s="395"/>
      <c r="O198" s="395"/>
      <c r="P198" s="395"/>
      <c r="Q198" s="395"/>
      <c r="R198" s="395"/>
      <c r="S198" s="395"/>
      <c r="T198" s="395"/>
      <c r="U198" s="395"/>
      <c r="V198" s="395"/>
      <c r="W198" s="395"/>
      <c r="X198" s="395"/>
      <c r="Y198" s="395"/>
      <c r="Z198" s="395"/>
      <c r="AA198" s="395"/>
      <c r="AB198" s="395"/>
      <c r="AC198" s="1897"/>
      <c r="AD198" s="395"/>
      <c r="AE198" s="355"/>
      <c r="AF198" s="323"/>
      <c r="AG198" s="323"/>
      <c r="AH198" s="348"/>
      <c r="AI198" s="357"/>
      <c r="AJ198" s="320"/>
      <c r="AK198" s="320"/>
      <c r="AL198" s="320"/>
    </row>
    <row r="199" spans="1:38" ht="12.75" hidden="1" customHeight="1" outlineLevel="1">
      <c r="A199" s="362" t="s">
        <v>296</v>
      </c>
      <c r="B199" s="568"/>
      <c r="C199" s="569"/>
      <c r="D199" s="568"/>
      <c r="E199" s="569"/>
      <c r="F199" s="569"/>
      <c r="G199" s="570"/>
      <c r="H199" s="574">
        <v>0.53764473684210523</v>
      </c>
      <c r="I199" s="574">
        <v>1.1530361445783133</v>
      </c>
      <c r="J199" s="574">
        <v>1.9120537634408601</v>
      </c>
      <c r="K199" s="574">
        <v>2.7801100000000001</v>
      </c>
      <c r="L199" s="574">
        <v>3.6148155339805825</v>
      </c>
      <c r="M199" s="400"/>
      <c r="N199" s="395"/>
      <c r="O199" s="395"/>
      <c r="P199" s="395"/>
      <c r="Q199" s="320"/>
      <c r="R199" s="320"/>
      <c r="S199" s="395"/>
      <c r="T199" s="395"/>
      <c r="U199" s="395"/>
      <c r="V199" s="395"/>
      <c r="W199" s="395"/>
      <c r="X199" s="395"/>
      <c r="Y199" s="395"/>
      <c r="Z199" s="395"/>
      <c r="AA199" s="395"/>
      <c r="AB199" s="395"/>
      <c r="AC199" s="1897"/>
      <c r="AD199" s="395"/>
      <c r="AE199" s="355"/>
      <c r="AF199" s="323"/>
      <c r="AG199" s="323"/>
      <c r="AH199" s="348"/>
      <c r="AI199" s="357"/>
      <c r="AJ199" s="320"/>
      <c r="AK199" s="320"/>
      <c r="AL199" s="320"/>
    </row>
    <row r="200" spans="1:38" ht="12.75" hidden="1" customHeight="1" outlineLevel="1">
      <c r="A200" s="396"/>
      <c r="B200" s="395"/>
      <c r="C200" s="395"/>
      <c r="D200" s="395"/>
      <c r="E200" s="395"/>
      <c r="F200" s="395"/>
      <c r="G200" s="395"/>
      <c r="H200" s="395"/>
      <c r="I200" s="395">
        <f>I199/H199-1</f>
        <v>1.1446060299050882</v>
      </c>
      <c r="J200" s="395">
        <f>J199/I199-1</f>
        <v>0.65827738569299887</v>
      </c>
      <c r="K200" s="395">
        <f>K199/J199-1</f>
        <v>0.45399154205633763</v>
      </c>
      <c r="L200" s="395">
        <f>L199/K199-1</f>
        <v>0.30024190912610749</v>
      </c>
      <c r="M200" s="395"/>
      <c r="N200" s="401"/>
      <c r="O200" s="401"/>
      <c r="P200" s="395"/>
      <c r="Q200" s="320"/>
      <c r="R200" s="320"/>
      <c r="S200" s="395"/>
      <c r="T200" s="395"/>
      <c r="U200" s="395"/>
      <c r="V200" s="395"/>
      <c r="W200" s="395"/>
      <c r="X200" s="395"/>
      <c r="Y200" s="395"/>
      <c r="Z200" s="395"/>
      <c r="AA200" s="395"/>
      <c r="AB200" s="395"/>
      <c r="AC200" s="1897"/>
      <c r="AD200" s="395"/>
      <c r="AE200" s="355"/>
      <c r="AF200" s="323"/>
      <c r="AG200" s="323"/>
      <c r="AH200" s="348"/>
      <c r="AI200" s="357"/>
      <c r="AJ200" s="320"/>
      <c r="AK200" s="381"/>
      <c r="AL200" s="381"/>
    </row>
    <row r="201" spans="1:38" ht="12.75" hidden="1" customHeight="1" outlineLevel="1">
      <c r="A201" s="396" t="s">
        <v>290</v>
      </c>
      <c r="B201" s="395"/>
      <c r="C201" s="395"/>
      <c r="D201" s="395"/>
      <c r="E201" s="395"/>
      <c r="F201" s="395"/>
      <c r="G201" s="570"/>
      <c r="H201" s="402"/>
      <c r="I201" s="402"/>
      <c r="J201" s="402"/>
      <c r="K201" s="402"/>
      <c r="L201" s="402"/>
      <c r="M201" s="574">
        <v>3.5636355932203392</v>
      </c>
      <c r="N201" s="574">
        <v>3.5967007299270071</v>
      </c>
      <c r="O201" s="574">
        <v>4.0639127516778526</v>
      </c>
      <c r="P201" s="574">
        <v>4.2721612903225799</v>
      </c>
      <c r="Q201" s="574">
        <v>4.4347826086956523</v>
      </c>
      <c r="R201" s="574">
        <v>4.4401213017751475</v>
      </c>
      <c r="S201" s="574">
        <v>4.6576875638888886</v>
      </c>
      <c r="T201" s="574">
        <v>3.9923447830104717</v>
      </c>
      <c r="U201" s="574">
        <v>3.3010604822568181</v>
      </c>
      <c r="V201" s="567"/>
      <c r="W201" s="567"/>
      <c r="X201" s="567"/>
      <c r="Y201" s="567"/>
      <c r="Z201" s="567"/>
      <c r="AA201" s="567"/>
      <c r="AB201" s="567"/>
      <c r="AC201" s="1898"/>
      <c r="AD201" s="567"/>
      <c r="AE201" s="355"/>
      <c r="AF201" s="323"/>
      <c r="AG201" s="323"/>
      <c r="AH201" s="348"/>
      <c r="AI201" s="357"/>
      <c r="AJ201" s="320"/>
      <c r="AK201" s="395"/>
      <c r="AL201" s="395"/>
    </row>
    <row r="202" spans="1:38" ht="12.75" hidden="1" customHeight="1" outlineLevel="1">
      <c r="A202" s="396"/>
      <c r="B202" s="395"/>
      <c r="C202" s="395"/>
      <c r="D202" s="395"/>
      <c r="E202" s="395"/>
      <c r="F202" s="395"/>
      <c r="G202" s="395"/>
      <c r="H202" s="395"/>
      <c r="I202" s="395"/>
      <c r="J202" s="395"/>
      <c r="K202" s="395"/>
      <c r="L202" s="401"/>
      <c r="M202" s="395">
        <f>M201/L199-1</f>
        <v>-1.4158382434493078E-2</v>
      </c>
      <c r="N202" s="395">
        <f t="shared" ref="N202:T202" si="140">N201/M201-1</f>
        <v>9.2784842450144289E-3</v>
      </c>
      <c r="O202" s="395">
        <f t="shared" si="140"/>
        <v>0.12990016596691589</v>
      </c>
      <c r="P202" s="395">
        <f t="shared" si="140"/>
        <v>5.1243358647094173E-2</v>
      </c>
      <c r="Q202" s="395">
        <f t="shared" si="140"/>
        <v>3.8065350842779955E-2</v>
      </c>
      <c r="R202" s="395">
        <f t="shared" si="140"/>
        <v>1.2038229492978836E-3</v>
      </c>
      <c r="S202" s="395">
        <f t="shared" si="140"/>
        <v>4.9000071693257263E-2</v>
      </c>
      <c r="T202" s="395">
        <f t="shared" si="140"/>
        <v>-0.14284830653666591</v>
      </c>
      <c r="U202" s="395">
        <f>U201/T201-1</f>
        <v>-0.17315245509241384</v>
      </c>
      <c r="V202" s="395"/>
      <c r="W202" s="395"/>
      <c r="X202" s="395"/>
      <c r="Y202" s="395"/>
      <c r="Z202" s="395"/>
      <c r="AA202" s="395"/>
      <c r="AB202" s="395"/>
      <c r="AC202" s="1897"/>
      <c r="AD202" s="395"/>
      <c r="AE202" s="355"/>
      <c r="AF202" s="323"/>
      <c r="AG202" s="323"/>
      <c r="AH202" s="348"/>
      <c r="AI202" s="357"/>
      <c r="AJ202" s="320"/>
      <c r="AK202" s="320"/>
      <c r="AL202" s="320"/>
    </row>
    <row r="203" spans="1:38" ht="12.75" hidden="1" customHeight="1" outlineLevel="1">
      <c r="A203" s="396" t="s">
        <v>595</v>
      </c>
      <c r="B203" s="395"/>
      <c r="C203" s="395"/>
      <c r="D203" s="395"/>
      <c r="E203" s="395"/>
      <c r="F203" s="395"/>
      <c r="G203" s="395"/>
      <c r="H203" s="395"/>
      <c r="I203" s="395"/>
      <c r="J203" s="395"/>
      <c r="K203" s="395"/>
      <c r="L203" s="401"/>
      <c r="M203" s="395"/>
      <c r="N203" s="403"/>
      <c r="O203" s="403"/>
      <c r="P203" s="575">
        <v>1.6053571428571429</v>
      </c>
      <c r="Q203" s="515">
        <v>2.6219512195121952</v>
      </c>
      <c r="R203" s="515">
        <v>2.856060606060606</v>
      </c>
      <c r="S203" s="515">
        <v>3.2262500000000003</v>
      </c>
      <c r="T203" s="515">
        <v>3.4025595238095239</v>
      </c>
      <c r="U203" s="515">
        <v>3.5620915032679736</v>
      </c>
      <c r="V203" s="567"/>
      <c r="W203" s="567"/>
      <c r="X203" s="567"/>
      <c r="Y203" s="567"/>
      <c r="Z203" s="567"/>
      <c r="AA203" s="567"/>
      <c r="AB203" s="567"/>
      <c r="AC203" s="1898"/>
      <c r="AD203" s="567"/>
      <c r="AE203" s="355"/>
      <c r="AF203" s="323"/>
      <c r="AG203" s="323"/>
      <c r="AH203" s="348"/>
      <c r="AI203" s="357"/>
      <c r="AJ203" s="320"/>
      <c r="AK203" s="320"/>
      <c r="AL203" s="320"/>
    </row>
    <row r="204" spans="1:38" ht="12.75" hidden="1" customHeight="1" outlineLevel="1">
      <c r="A204" s="396"/>
      <c r="B204" s="395"/>
      <c r="C204" s="395"/>
      <c r="D204" s="395"/>
      <c r="E204" s="395"/>
      <c r="F204" s="395"/>
      <c r="G204" s="395"/>
      <c r="H204" s="395"/>
      <c r="I204" s="395"/>
      <c r="J204" s="395"/>
      <c r="K204" s="395"/>
      <c r="L204" s="401"/>
      <c r="M204" s="395"/>
      <c r="N204" s="395"/>
      <c r="O204" s="395"/>
      <c r="P204" s="571"/>
      <c r="Q204" s="395">
        <f>Q203/P203-1</f>
        <v>0.63325103773840863</v>
      </c>
      <c r="R204" s="395">
        <f>R203/Q203-1</f>
        <v>8.9288231148696218E-2</v>
      </c>
      <c r="S204" s="395">
        <f>S203/R203-1</f>
        <v>0.12961538461538469</v>
      </c>
      <c r="T204" s="395">
        <f>T203/S203-1</f>
        <v>5.4648438220696871E-2</v>
      </c>
      <c r="U204" s="395">
        <f>U203/T203-1</f>
        <v>4.6885874689956086E-2</v>
      </c>
      <c r="V204" s="395"/>
      <c r="W204" s="395"/>
      <c r="X204" s="395"/>
      <c r="Y204" s="395"/>
      <c r="Z204" s="395"/>
      <c r="AA204" s="395"/>
      <c r="AB204" s="395"/>
      <c r="AC204" s="1897"/>
      <c r="AD204" s="395"/>
      <c r="AE204" s="355"/>
      <c r="AF204" s="323"/>
      <c r="AG204" s="323"/>
      <c r="AH204" s="348"/>
      <c r="AI204" s="357"/>
      <c r="AJ204" s="89"/>
      <c r="AK204" s="320"/>
      <c r="AL204" s="320"/>
    </row>
    <row r="205" spans="1:38" collapsed="1"/>
    <row r="206" spans="1:38" hidden="1" outlineLevel="1">
      <c r="A206" s="375" t="s">
        <v>600</v>
      </c>
      <c r="B206" s="389"/>
      <c r="C206" s="389"/>
      <c r="D206" s="389"/>
      <c r="E206" s="389"/>
      <c r="F206" s="389"/>
      <c r="G206" s="389"/>
      <c r="H206" s="389"/>
      <c r="I206" s="567"/>
      <c r="J206" s="567"/>
      <c r="K206" s="567"/>
      <c r="L206" s="567"/>
      <c r="M206" s="567"/>
      <c r="N206" s="567"/>
      <c r="O206" s="567"/>
      <c r="P206" s="567"/>
      <c r="Q206" s="578"/>
      <c r="R206" s="567"/>
      <c r="S206" s="578"/>
      <c r="T206" s="389"/>
      <c r="U206" s="389"/>
      <c r="V206" s="389"/>
      <c r="W206" s="389"/>
      <c r="X206" s="389"/>
      <c r="Y206" s="389"/>
      <c r="Z206" s="389"/>
      <c r="AA206" s="389"/>
      <c r="AB206" s="389"/>
      <c r="AC206" s="407"/>
      <c r="AD206" s="389"/>
      <c r="AE206" s="374"/>
      <c r="AF206" s="383"/>
      <c r="AG206" s="383"/>
      <c r="AH206" s="348"/>
      <c r="AI206" s="357"/>
      <c r="AJ206" s="320"/>
      <c r="AK206" s="320"/>
      <c r="AL206" s="320"/>
    </row>
    <row r="207" spans="1:38" ht="12.75" hidden="1" customHeight="1" outlineLevel="1">
      <c r="A207" s="391" t="s">
        <v>288</v>
      </c>
      <c r="B207" s="515"/>
      <c r="C207" s="515"/>
      <c r="D207" s="515"/>
      <c r="E207" s="567"/>
      <c r="F207" s="567"/>
      <c r="G207" s="573"/>
      <c r="H207" s="573"/>
      <c r="I207" s="573"/>
      <c r="J207" s="573"/>
      <c r="K207" s="573"/>
      <c r="L207" s="573"/>
      <c r="M207" s="573"/>
      <c r="N207" s="573"/>
      <c r="O207" s="573"/>
      <c r="P207" s="576">
        <v>2706</v>
      </c>
      <c r="Q207" s="576">
        <v>2718</v>
      </c>
      <c r="R207" s="576">
        <v>2714</v>
      </c>
      <c r="S207" s="577"/>
      <c r="T207" s="567"/>
      <c r="U207" s="567"/>
      <c r="V207" s="567"/>
      <c r="W207" s="567"/>
      <c r="X207" s="567"/>
      <c r="Y207" s="567"/>
      <c r="Z207" s="567"/>
      <c r="AA207" s="567"/>
      <c r="AB207" s="567"/>
      <c r="AC207" s="1898"/>
      <c r="AD207" s="567"/>
      <c r="AE207" s="374"/>
      <c r="AF207" s="383"/>
      <c r="AG207" s="383"/>
      <c r="AH207" s="348"/>
      <c r="AI207" s="357"/>
      <c r="AJ207" s="320"/>
      <c r="AK207" s="320"/>
      <c r="AL207" s="320"/>
    </row>
    <row r="208" spans="1:38" ht="12.75" hidden="1" customHeight="1" outlineLevel="1">
      <c r="A208" s="391"/>
      <c r="B208" s="392"/>
      <c r="C208" s="395"/>
      <c r="D208" s="392"/>
      <c r="E208" s="395"/>
      <c r="F208" s="395"/>
      <c r="G208" s="395"/>
      <c r="H208" s="395"/>
      <c r="I208" s="395"/>
      <c r="J208" s="395"/>
      <c r="K208" s="395"/>
      <c r="L208" s="395"/>
      <c r="M208" s="395"/>
      <c r="N208" s="395"/>
      <c r="O208" s="395"/>
      <c r="P208" s="395"/>
      <c r="Q208" s="395">
        <f>Q207/P207-1</f>
        <v>4.4345898004434225E-3</v>
      </c>
      <c r="R208" s="395">
        <f>R207/Q207-1</f>
        <v>-1.4716703458425018E-3</v>
      </c>
      <c r="S208" s="395"/>
      <c r="T208" s="395"/>
      <c r="U208" s="395"/>
      <c r="V208" s="395"/>
      <c r="W208" s="395"/>
      <c r="X208" s="395"/>
      <c r="Y208" s="395"/>
      <c r="Z208" s="395"/>
      <c r="AA208" s="395"/>
      <c r="AB208" s="395"/>
      <c r="AC208" s="1897"/>
      <c r="AD208" s="395"/>
      <c r="AE208" s="374"/>
      <c r="AF208" s="383"/>
      <c r="AG208" s="383"/>
      <c r="AH208" s="348"/>
      <c r="AI208" s="357"/>
      <c r="AJ208" s="320"/>
      <c r="AK208" s="2"/>
      <c r="AL208" s="2"/>
    </row>
    <row r="209" spans="1:38" ht="12.75" hidden="1" customHeight="1" outlineLevel="1">
      <c r="A209" s="396" t="s">
        <v>289</v>
      </c>
      <c r="B209" s="568"/>
      <c r="C209" s="515"/>
      <c r="D209" s="568"/>
      <c r="E209" s="567"/>
      <c r="F209" s="567"/>
      <c r="G209" s="515"/>
      <c r="H209" s="515"/>
      <c r="I209" s="515"/>
      <c r="J209" s="515"/>
      <c r="K209" s="515"/>
      <c r="L209" s="515"/>
      <c r="M209" s="515"/>
      <c r="N209" s="515"/>
      <c r="O209" s="515"/>
      <c r="P209" s="576">
        <v>4304</v>
      </c>
      <c r="Q209" s="576">
        <v>4536</v>
      </c>
      <c r="R209" s="576">
        <v>4539</v>
      </c>
      <c r="S209" s="515"/>
      <c r="T209" s="567"/>
      <c r="U209" s="567"/>
      <c r="V209" s="567"/>
      <c r="W209" s="567"/>
      <c r="X209" s="567"/>
      <c r="Y209" s="567"/>
      <c r="Z209" s="567"/>
      <c r="AA209" s="567"/>
      <c r="AB209" s="567"/>
      <c r="AC209" s="1898"/>
      <c r="AD209" s="567"/>
      <c r="AE209" s="355"/>
      <c r="AF209" s="323"/>
      <c r="AG209" s="323"/>
      <c r="AH209" s="348"/>
      <c r="AI209" s="357"/>
      <c r="AJ209" s="320"/>
      <c r="AK209" s="320"/>
      <c r="AL209" s="320"/>
    </row>
    <row r="210" spans="1:38" ht="12.75" hidden="1" customHeight="1" outlineLevel="1">
      <c r="A210" s="396"/>
      <c r="B210" s="397"/>
      <c r="C210" s="395"/>
      <c r="D210" s="397"/>
      <c r="E210" s="395"/>
      <c r="F210" s="395"/>
      <c r="G210" s="395"/>
      <c r="H210" s="395"/>
      <c r="I210" s="395"/>
      <c r="J210" s="395"/>
      <c r="K210" s="395"/>
      <c r="L210" s="395"/>
      <c r="M210" s="395"/>
      <c r="N210" s="395"/>
      <c r="O210" s="395"/>
      <c r="P210" s="395"/>
      <c r="Q210" s="395">
        <f>Q209/P209-1</f>
        <v>5.3903345724906959E-2</v>
      </c>
      <c r="R210" s="395">
        <f>R209/Q209-1</f>
        <v>6.6137566137558501E-4</v>
      </c>
      <c r="S210" s="395"/>
      <c r="T210" s="395"/>
      <c r="U210" s="395"/>
      <c r="V210" s="395"/>
      <c r="W210" s="395"/>
      <c r="X210" s="395"/>
      <c r="Y210" s="395"/>
      <c r="Z210" s="395"/>
      <c r="AA210" s="395"/>
      <c r="AB210" s="395"/>
      <c r="AC210" s="1897"/>
      <c r="AD210" s="395"/>
      <c r="AE210" s="355"/>
      <c r="AF210" s="323"/>
      <c r="AG210" s="323"/>
      <c r="AH210" s="348"/>
      <c r="AI210" s="357"/>
      <c r="AJ210" s="320"/>
      <c r="AK210" s="320"/>
      <c r="AL210" s="320"/>
    </row>
    <row r="211" spans="1:38" ht="12.75" hidden="1" customHeight="1" outlineLevel="1">
      <c r="A211" s="396" t="s">
        <v>417</v>
      </c>
      <c r="B211" s="397"/>
      <c r="C211" s="395"/>
      <c r="D211" s="397"/>
      <c r="E211" s="395"/>
      <c r="F211" s="395"/>
      <c r="G211" s="395"/>
      <c r="H211" s="395"/>
      <c r="I211" s="395"/>
      <c r="J211" s="395"/>
      <c r="K211" s="395"/>
      <c r="L211" s="395"/>
      <c r="M211" s="395"/>
      <c r="N211" s="395"/>
      <c r="O211" s="395"/>
      <c r="P211" s="395"/>
      <c r="Q211" s="567"/>
      <c r="R211" s="579">
        <v>3000</v>
      </c>
      <c r="S211" s="567"/>
      <c r="T211" s="567"/>
      <c r="U211" s="567"/>
      <c r="V211" s="567"/>
      <c r="W211" s="567"/>
      <c r="X211" s="567"/>
      <c r="Y211" s="567"/>
      <c r="Z211" s="567"/>
      <c r="AA211" s="567"/>
      <c r="AB211" s="567"/>
      <c r="AC211" s="1898"/>
      <c r="AD211" s="567"/>
      <c r="AE211" s="355"/>
      <c r="AF211" s="323"/>
      <c r="AG211" s="323"/>
      <c r="AH211" s="348"/>
      <c r="AI211" s="357"/>
      <c r="AJ211" s="320"/>
      <c r="AK211" s="320"/>
      <c r="AL211" s="320"/>
    </row>
    <row r="212" spans="1:38" ht="12.75" hidden="1" customHeight="1" outlineLevel="1">
      <c r="A212" s="396"/>
      <c r="B212" s="397"/>
      <c r="C212" s="395"/>
      <c r="D212" s="397"/>
      <c r="E212" s="395"/>
      <c r="F212" s="395"/>
      <c r="G212" s="395"/>
      <c r="H212" s="395"/>
      <c r="I212" s="395"/>
      <c r="J212" s="395"/>
      <c r="K212" s="395"/>
      <c r="L212" s="395"/>
      <c r="M212" s="395"/>
      <c r="N212" s="395"/>
      <c r="O212" s="395"/>
      <c r="P212" s="395"/>
      <c r="Q212" s="395"/>
      <c r="R212" s="395"/>
      <c r="S212" s="395"/>
      <c r="T212" s="395"/>
      <c r="U212" s="395"/>
      <c r="V212" s="395"/>
      <c r="W212" s="395"/>
      <c r="X212" s="395"/>
      <c r="Y212" s="395"/>
      <c r="Z212" s="395"/>
      <c r="AA212" s="395"/>
      <c r="AB212" s="395"/>
      <c r="AC212" s="1897"/>
      <c r="AD212" s="395"/>
      <c r="AE212" s="355"/>
      <c r="AF212" s="323"/>
      <c r="AG212" s="323"/>
      <c r="AH212" s="348"/>
      <c r="AI212" s="357"/>
      <c r="AJ212" s="320"/>
      <c r="AK212" s="320"/>
      <c r="AL212" s="320"/>
    </row>
    <row r="213" spans="1:38" ht="12.75" hidden="1" customHeight="1" outlineLevel="1">
      <c r="A213" s="396" t="s">
        <v>290</v>
      </c>
      <c r="B213" s="395"/>
      <c r="C213" s="395"/>
      <c r="D213" s="395"/>
      <c r="E213" s="395"/>
      <c r="F213" s="395"/>
      <c r="G213" s="570"/>
      <c r="H213" s="402"/>
      <c r="I213" s="402"/>
      <c r="J213" s="402"/>
      <c r="K213" s="402"/>
      <c r="L213" s="402"/>
      <c r="M213" s="574"/>
      <c r="N213" s="574"/>
      <c r="O213" s="574"/>
      <c r="P213" s="576">
        <v>1809</v>
      </c>
      <c r="Q213" s="576">
        <v>1823</v>
      </c>
      <c r="R213" s="576">
        <v>1798</v>
      </c>
      <c r="S213" s="574"/>
      <c r="T213" s="574"/>
      <c r="U213" s="567"/>
      <c r="V213" s="567"/>
      <c r="W213" s="567"/>
      <c r="X213" s="567"/>
      <c r="Y213" s="567"/>
      <c r="Z213" s="567"/>
      <c r="AA213" s="567"/>
      <c r="AB213" s="567"/>
      <c r="AC213" s="1898"/>
      <c r="AD213" s="567"/>
      <c r="AE213" s="355"/>
      <c r="AF213" s="323"/>
      <c r="AG213" s="323"/>
      <c r="AH213" s="348"/>
      <c r="AI213" s="357"/>
      <c r="AJ213" s="320"/>
      <c r="AK213" s="395"/>
      <c r="AL213" s="395"/>
    </row>
    <row r="214" spans="1:38" ht="12.75" hidden="1" customHeight="1" outlineLevel="1">
      <c r="A214" s="396"/>
      <c r="B214" s="395"/>
      <c r="C214" s="395"/>
      <c r="D214" s="395"/>
      <c r="E214" s="395"/>
      <c r="F214" s="395"/>
      <c r="G214" s="395"/>
      <c r="H214" s="395"/>
      <c r="I214" s="395"/>
      <c r="J214" s="395"/>
      <c r="K214" s="395"/>
      <c r="L214" s="401"/>
      <c r="M214" s="395"/>
      <c r="N214" s="395"/>
      <c r="O214" s="395"/>
      <c r="P214" s="395"/>
      <c r="Q214" s="395">
        <f>Q213/P213-1</f>
        <v>7.7390823659480024E-3</v>
      </c>
      <c r="R214" s="395">
        <f>R213/Q213-1</f>
        <v>-1.3713658804168971E-2</v>
      </c>
      <c r="S214" s="395"/>
      <c r="T214" s="395"/>
      <c r="U214" s="395"/>
      <c r="V214" s="395"/>
      <c r="W214" s="395"/>
      <c r="X214" s="395"/>
      <c r="Y214" s="395"/>
      <c r="Z214" s="395"/>
      <c r="AA214" s="395"/>
      <c r="AB214" s="395"/>
      <c r="AC214" s="1897"/>
      <c r="AD214" s="395"/>
      <c r="AE214" s="355"/>
      <c r="AF214" s="323"/>
      <c r="AG214" s="323"/>
      <c r="AH214" s="348"/>
      <c r="AI214" s="357"/>
      <c r="AJ214" s="320"/>
      <c r="AK214" s="320"/>
      <c r="AL214" s="320"/>
    </row>
    <row r="215" spans="1:38" ht="12.75" hidden="1" customHeight="1" outlineLevel="1">
      <c r="A215" s="396" t="s">
        <v>595</v>
      </c>
      <c r="B215" s="395"/>
      <c r="C215" s="395"/>
      <c r="D215" s="395"/>
      <c r="E215" s="395"/>
      <c r="F215" s="395"/>
      <c r="G215" s="395"/>
      <c r="H215" s="395"/>
      <c r="I215" s="395"/>
      <c r="J215" s="395"/>
      <c r="K215" s="395"/>
      <c r="L215" s="401"/>
      <c r="M215" s="395"/>
      <c r="N215" s="403"/>
      <c r="O215" s="403"/>
      <c r="P215" s="576">
        <v>1881</v>
      </c>
      <c r="Q215" s="576">
        <v>1924</v>
      </c>
      <c r="R215" s="576">
        <v>1933</v>
      </c>
      <c r="S215" s="515"/>
      <c r="T215" s="515"/>
      <c r="U215" s="567"/>
      <c r="V215" s="567"/>
      <c r="W215" s="567"/>
      <c r="X215" s="567"/>
      <c r="Y215" s="567"/>
      <c r="Z215" s="567"/>
      <c r="AA215" s="567"/>
      <c r="AB215" s="567"/>
      <c r="AC215" s="1898"/>
      <c r="AD215" s="567"/>
      <c r="AE215" s="355"/>
      <c r="AF215" s="323"/>
      <c r="AG215" s="323"/>
      <c r="AH215" s="348"/>
      <c r="AI215" s="357"/>
      <c r="AJ215" s="320"/>
      <c r="AK215" s="320"/>
      <c r="AL215" s="320"/>
    </row>
    <row r="216" spans="1:38" ht="12.75" hidden="1" customHeight="1" outlineLevel="1">
      <c r="A216" s="396"/>
      <c r="B216" s="395"/>
      <c r="C216" s="395"/>
      <c r="D216" s="395"/>
      <c r="E216" s="395"/>
      <c r="F216" s="395"/>
      <c r="G216" s="395"/>
      <c r="H216" s="395"/>
      <c r="I216" s="395"/>
      <c r="J216" s="395"/>
      <c r="K216" s="395"/>
      <c r="L216" s="401"/>
      <c r="M216" s="395"/>
      <c r="N216" s="395"/>
      <c r="O216" s="395"/>
      <c r="P216" s="395"/>
      <c r="Q216" s="395">
        <f>Q215/P215-1</f>
        <v>2.2860180754917581E-2</v>
      </c>
      <c r="R216" s="395">
        <f>R215/Q215-1</f>
        <v>4.6777546777547752E-3</v>
      </c>
      <c r="S216" s="395"/>
      <c r="T216" s="395"/>
      <c r="U216" s="395"/>
      <c r="V216" s="395"/>
      <c r="W216" s="395"/>
      <c r="X216" s="395"/>
      <c r="Y216" s="395"/>
      <c r="Z216" s="395"/>
      <c r="AA216" s="395"/>
      <c r="AB216" s="395"/>
      <c r="AC216" s="1897"/>
      <c r="AD216" s="395"/>
      <c r="AE216" s="355"/>
      <c r="AF216" s="323"/>
      <c r="AG216" s="323"/>
      <c r="AH216" s="348"/>
      <c r="AI216" s="357"/>
      <c r="AJ216" s="89"/>
      <c r="AK216" s="320"/>
      <c r="AL216" s="320"/>
    </row>
    <row r="217" spans="1:38" collapsed="1"/>
    <row r="218" spans="1:38" ht="15">
      <c r="A218" s="2063"/>
      <c r="B218" s="2064"/>
      <c r="C218" s="2064"/>
      <c r="D218" s="2064"/>
      <c r="E218" s="2064"/>
      <c r="F218" s="2064"/>
      <c r="G218" s="2064"/>
      <c r="H218" s="2064"/>
      <c r="I218" s="2064"/>
      <c r="J218" s="2064"/>
      <c r="K218" s="2064"/>
      <c r="L218" s="2064"/>
      <c r="M218" s="2064"/>
      <c r="N218" s="2064"/>
      <c r="O218" s="2064"/>
      <c r="P218" s="2064"/>
      <c r="Q218" s="2065"/>
      <c r="R218" s="2066"/>
      <c r="S218" s="2065"/>
      <c r="T218" s="2065"/>
      <c r="U218" s="2065"/>
      <c r="V218" s="2395" t="s">
        <v>859</v>
      </c>
      <c r="W218" s="2395"/>
      <c r="X218" s="2395"/>
      <c r="Y218" s="2395"/>
      <c r="Z218" s="2395"/>
      <c r="AA218" s="2067"/>
      <c r="AB218" s="2065"/>
      <c r="AC218" s="2065"/>
    </row>
    <row r="219" spans="1:38" ht="15">
      <c r="A219" s="2063"/>
      <c r="B219" s="2064"/>
      <c r="C219" s="2064"/>
      <c r="D219" s="2064"/>
      <c r="E219" s="2064"/>
      <c r="F219" s="2064"/>
      <c r="G219" s="2064"/>
      <c r="H219" s="2064"/>
      <c r="I219" s="2064"/>
      <c r="J219" s="2064"/>
      <c r="K219" s="2064"/>
      <c r="L219" s="2064"/>
      <c r="M219" s="2064"/>
      <c r="N219" s="2064"/>
      <c r="O219" s="2064"/>
      <c r="P219" s="2064"/>
      <c r="Q219" s="2065"/>
      <c r="R219" s="2066"/>
      <c r="S219" s="2065"/>
      <c r="T219" s="2396" t="s">
        <v>883</v>
      </c>
      <c r="U219" s="2396"/>
      <c r="V219" s="2396"/>
      <c r="W219" s="2396"/>
      <c r="X219" s="2396"/>
      <c r="Y219" s="2080"/>
      <c r="Z219" s="2080"/>
      <c r="AA219" s="2067"/>
      <c r="AB219" s="2065"/>
      <c r="AC219" s="2065"/>
    </row>
    <row r="220" spans="1:38">
      <c r="B220" s="2107"/>
      <c r="C220" s="2107"/>
      <c r="D220" s="2107"/>
      <c r="E220" s="2107"/>
      <c r="F220" s="2107"/>
      <c r="G220" s="2107"/>
      <c r="H220" s="2107"/>
      <c r="I220" s="2107"/>
      <c r="J220" s="2107"/>
      <c r="K220" s="2107"/>
      <c r="L220" s="2107"/>
      <c r="M220" s="2108">
        <f t="shared" ref="M220:V220" si="141">M6</f>
        <v>2006</v>
      </c>
      <c r="N220" s="2108">
        <f t="shared" si="141"/>
        <v>2007</v>
      </c>
      <c r="O220" s="2108">
        <f t="shared" si="141"/>
        <v>2008</v>
      </c>
      <c r="P220" s="2108">
        <f t="shared" si="141"/>
        <v>2009</v>
      </c>
      <c r="Q220" s="2108">
        <f t="shared" si="141"/>
        <v>2010</v>
      </c>
      <c r="R220" s="2108">
        <f t="shared" si="141"/>
        <v>2011</v>
      </c>
      <c r="S220" s="2108">
        <f t="shared" si="141"/>
        <v>2012</v>
      </c>
      <c r="T220" s="2108">
        <f t="shared" si="141"/>
        <v>2013</v>
      </c>
      <c r="U220" s="2108">
        <f t="shared" si="141"/>
        <v>2014</v>
      </c>
      <c r="V220" s="2108">
        <f t="shared" si="141"/>
        <v>2015</v>
      </c>
      <c r="W220" s="2108">
        <f>W6</f>
        <v>2016</v>
      </c>
      <c r="X220" s="2108">
        <f t="shared" ref="X220:AC220" si="142">X6</f>
        <v>2017</v>
      </c>
      <c r="Y220" s="2069">
        <f t="shared" si="142"/>
        <v>2018</v>
      </c>
      <c r="Z220" s="2069">
        <f t="shared" si="142"/>
        <v>2019</v>
      </c>
      <c r="AA220" s="2069">
        <f t="shared" si="142"/>
        <v>2020</v>
      </c>
      <c r="AB220" s="2069">
        <f t="shared" si="142"/>
        <v>2021</v>
      </c>
      <c r="AC220" s="2069">
        <f t="shared" si="142"/>
        <v>2022</v>
      </c>
    </row>
    <row r="221" spans="1:38">
      <c r="A221" s="350" t="s">
        <v>430</v>
      </c>
      <c r="B221" s="2107"/>
      <c r="C221" s="2107"/>
      <c r="D221" s="2107"/>
      <c r="E221" s="2107"/>
      <c r="F221" s="2107"/>
      <c r="G221" s="2107"/>
      <c r="H221" s="2107"/>
      <c r="I221" s="2107"/>
      <c r="J221" s="2107"/>
      <c r="K221" s="2107"/>
      <c r="L221" s="2107"/>
      <c r="M221" s="2107"/>
      <c r="N221" s="2109">
        <f>M224</f>
        <v>23</v>
      </c>
      <c r="O221" s="2109">
        <f t="shared" ref="O221:AC221" si="143">N224</f>
        <v>38</v>
      </c>
      <c r="P221" s="2109">
        <f t="shared" si="143"/>
        <v>76</v>
      </c>
      <c r="Q221" s="2109">
        <f t="shared" si="143"/>
        <v>67</v>
      </c>
      <c r="R221" s="2109">
        <f t="shared" si="143"/>
        <v>73</v>
      </c>
      <c r="S221" s="2109">
        <f t="shared" si="143"/>
        <v>79</v>
      </c>
      <c r="T221" s="2109">
        <f t="shared" si="143"/>
        <v>153</v>
      </c>
      <c r="U221" s="2109">
        <f t="shared" si="143"/>
        <v>212</v>
      </c>
      <c r="V221" s="2109">
        <f t="shared" si="143"/>
        <v>212</v>
      </c>
      <c r="W221" s="2109">
        <f t="shared" si="143"/>
        <v>250</v>
      </c>
      <c r="X221" s="2109">
        <f t="shared" si="143"/>
        <v>267</v>
      </c>
      <c r="Y221" s="1128">
        <f t="shared" si="143"/>
        <v>275</v>
      </c>
      <c r="Z221" s="1128">
        <f t="shared" si="143"/>
        <v>298</v>
      </c>
      <c r="AA221" s="1128">
        <f t="shared" si="143"/>
        <v>321</v>
      </c>
      <c r="AB221" s="1128">
        <f t="shared" si="143"/>
        <v>344</v>
      </c>
      <c r="AC221" s="1128">
        <f t="shared" si="143"/>
        <v>367</v>
      </c>
      <c r="AD221" s="61"/>
      <c r="AE221" s="61"/>
      <c r="AF221" s="61"/>
    </row>
    <row r="222" spans="1:38">
      <c r="A222" s="361" t="s">
        <v>617</v>
      </c>
      <c r="B222" s="2107"/>
      <c r="C222" s="2107"/>
      <c r="D222" s="2107"/>
      <c r="E222" s="2107"/>
      <c r="F222" s="2107"/>
      <c r="G222" s="2107"/>
      <c r="H222" s="2107"/>
      <c r="I222" s="2107"/>
      <c r="J222" s="2107"/>
      <c r="K222" s="2107"/>
      <c r="L222" s="2107"/>
      <c r="M222" s="2107"/>
      <c r="N222" s="2107"/>
      <c r="O222" s="2107"/>
      <c r="P222" s="2107"/>
      <c r="Q222" s="2107"/>
      <c r="R222" s="2107"/>
      <c r="S222" s="2107"/>
      <c r="T222" s="2107"/>
      <c r="U222" s="2107"/>
      <c r="V222" s="2107"/>
      <c r="W222" s="2107"/>
      <c r="X222" s="2107"/>
      <c r="Y222" s="2026">
        <v>23</v>
      </c>
      <c r="Z222" s="2026">
        <v>23</v>
      </c>
      <c r="AA222" s="2026">
        <v>23</v>
      </c>
      <c r="AB222" s="2026">
        <v>23</v>
      </c>
      <c r="AC222" s="2026">
        <v>23</v>
      </c>
      <c r="AD222" s="61"/>
      <c r="AE222" s="61"/>
      <c r="AF222" s="61"/>
    </row>
    <row r="223" spans="1:38">
      <c r="A223" s="350" t="s">
        <v>431</v>
      </c>
      <c r="B223" s="2107"/>
      <c r="C223" s="2107"/>
      <c r="D223" s="2107"/>
      <c r="E223" s="2107"/>
      <c r="F223" s="2107"/>
      <c r="G223" s="2107"/>
      <c r="H223" s="2107"/>
      <c r="I223" s="2107"/>
      <c r="J223" s="2107"/>
      <c r="K223" s="2107"/>
      <c r="L223" s="2107"/>
      <c r="M223" s="2107"/>
      <c r="N223" s="2107"/>
      <c r="O223" s="2107"/>
      <c r="P223" s="2107"/>
      <c r="Q223" s="2107"/>
      <c r="R223" s="2107"/>
      <c r="S223" s="2107"/>
      <c r="T223" s="2107"/>
      <c r="U223" s="2107"/>
      <c r="V223" s="2107"/>
      <c r="W223" s="2107"/>
      <c r="X223" s="2107"/>
      <c r="Y223" s="2026">
        <v>0</v>
      </c>
      <c r="Z223" s="2026">
        <v>0</v>
      </c>
      <c r="AA223" s="2026">
        <v>0</v>
      </c>
      <c r="AB223" s="2026">
        <v>0</v>
      </c>
      <c r="AC223" s="2026">
        <v>0</v>
      </c>
      <c r="AD223" s="61"/>
      <c r="AE223" s="61"/>
      <c r="AF223" s="61"/>
    </row>
    <row r="224" spans="1:38">
      <c r="A224" s="3" t="s">
        <v>872</v>
      </c>
      <c r="B224" s="2107"/>
      <c r="C224" s="2107"/>
      <c r="D224" s="2107"/>
      <c r="E224" s="2107"/>
      <c r="F224" s="2107"/>
      <c r="G224" s="2107"/>
      <c r="H224" s="2107"/>
      <c r="I224" s="2107"/>
      <c r="J224" s="2107"/>
      <c r="K224" s="2107"/>
      <c r="L224" s="2107"/>
      <c r="M224" s="2116">
        <v>23</v>
      </c>
      <c r="N224" s="2116">
        <f>25+13</f>
        <v>38</v>
      </c>
      <c r="O224" s="2116">
        <f>48+28</f>
        <v>76</v>
      </c>
      <c r="P224" s="2116">
        <f>38+29</f>
        <v>67</v>
      </c>
      <c r="Q224" s="2116">
        <f>44+29</f>
        <v>73</v>
      </c>
      <c r="R224" s="2116">
        <f>50+29</f>
        <v>79</v>
      </c>
      <c r="S224" s="2116">
        <f>89+32+32</f>
        <v>153</v>
      </c>
      <c r="T224" s="2116">
        <f>118+51+43</f>
        <v>212</v>
      </c>
      <c r="U224" s="2109">
        <f>KateQtrSalesOld!M30</f>
        <v>212</v>
      </c>
      <c r="V224" s="2109">
        <f>KateQtrSalesOld!M37</f>
        <v>250</v>
      </c>
      <c r="W224" s="2109">
        <f>KateQtrSalesOld!M44</f>
        <v>267</v>
      </c>
      <c r="X224" s="2109">
        <f>KateQtrSalesOld!M51</f>
        <v>275</v>
      </c>
      <c r="Y224" s="1128">
        <f>Y221+Y222-Y223</f>
        <v>298</v>
      </c>
      <c r="Z224" s="1128">
        <f>Z221+Z222-Z223</f>
        <v>321</v>
      </c>
      <c r="AA224" s="1128">
        <f>AA221+AA222-AA223</f>
        <v>344</v>
      </c>
      <c r="AB224" s="1128">
        <f>AB221+AB222-AB223</f>
        <v>367</v>
      </c>
      <c r="AC224" s="1128">
        <f>AC221+AC222-AC223</f>
        <v>390</v>
      </c>
      <c r="AD224" s="61"/>
      <c r="AE224" s="61"/>
      <c r="AF224" s="61"/>
    </row>
    <row r="225" spans="1:32">
      <c r="B225" s="2107"/>
      <c r="C225" s="2107"/>
      <c r="D225" s="2107"/>
      <c r="E225" s="2107"/>
      <c r="F225" s="2107"/>
      <c r="G225" s="2107"/>
      <c r="H225" s="2107"/>
      <c r="I225" s="2107"/>
      <c r="J225" s="2107"/>
      <c r="K225" s="2107"/>
      <c r="L225" s="2107"/>
      <c r="M225" s="2107"/>
      <c r="N225" s="2107"/>
      <c r="O225" s="2107"/>
      <c r="P225" s="2107"/>
      <c r="Q225" s="2107"/>
      <c r="R225" s="2107"/>
      <c r="S225" s="2107"/>
      <c r="T225" s="2107"/>
      <c r="U225" s="2107"/>
      <c r="V225" s="2107"/>
      <c r="W225" s="2107"/>
      <c r="X225" s="2107"/>
      <c r="Y225" s="61"/>
      <c r="Z225" s="61"/>
      <c r="AA225" s="61"/>
      <c r="AB225" s="61"/>
      <c r="AD225" s="61"/>
      <c r="AE225" s="61"/>
      <c r="AF225" s="61"/>
    </row>
    <row r="226" spans="1:32">
      <c r="A226" s="3" t="s">
        <v>873</v>
      </c>
      <c r="B226" s="2107"/>
      <c r="C226" s="2107"/>
      <c r="D226" s="2107"/>
      <c r="E226" s="2107"/>
      <c r="F226" s="2107"/>
      <c r="G226" s="2107"/>
      <c r="H226" s="2107"/>
      <c r="I226" s="2107"/>
      <c r="J226" s="2107"/>
      <c r="K226" s="2107"/>
      <c r="L226" s="2107"/>
      <c r="M226" s="2107"/>
      <c r="N226" s="2107"/>
      <c r="O226" s="2107"/>
      <c r="P226" s="2107"/>
      <c r="Q226" s="2107"/>
      <c r="R226" s="2107"/>
      <c r="S226" s="2107"/>
      <c r="T226" s="2107"/>
      <c r="U226" s="2116">
        <v>93</v>
      </c>
      <c r="V226" s="2123">
        <v>97</v>
      </c>
      <c r="W226" s="2123">
        <v>108</v>
      </c>
      <c r="X226" s="2123">
        <v>109</v>
      </c>
      <c r="Y226" s="2126">
        <f>X226+1</f>
        <v>110</v>
      </c>
      <c r="Z226" s="2126">
        <f>Y226+1</f>
        <v>111</v>
      </c>
      <c r="AA226" s="2126">
        <f>Z226+1</f>
        <v>112</v>
      </c>
      <c r="AB226" s="2126">
        <f>AA226+1</f>
        <v>113</v>
      </c>
      <c r="AC226" s="2126">
        <f>AB226+1</f>
        <v>114</v>
      </c>
      <c r="AD226" s="61"/>
      <c r="AE226" s="61"/>
      <c r="AF226" s="61"/>
    </row>
    <row r="227" spans="1:32">
      <c r="A227" s="3" t="s">
        <v>875</v>
      </c>
      <c r="B227" s="2107"/>
      <c r="C227" s="2107"/>
      <c r="D227" s="2107"/>
      <c r="E227" s="2107"/>
      <c r="F227" s="2107"/>
      <c r="G227" s="2107"/>
      <c r="H227" s="2107"/>
      <c r="I227" s="2107"/>
      <c r="J227" s="2107"/>
      <c r="K227" s="2107"/>
      <c r="L227" s="2107"/>
      <c r="M227" s="2107"/>
      <c r="N227" s="2107"/>
      <c r="O227" s="2107"/>
      <c r="P227" s="2107"/>
      <c r="Q227" s="2107"/>
      <c r="R227" s="2107"/>
      <c r="S227" s="2107"/>
      <c r="T227" s="2107"/>
      <c r="U227" s="2116">
        <v>57</v>
      </c>
      <c r="V227" s="2123">
        <v>62</v>
      </c>
      <c r="W227" s="2123">
        <v>65</v>
      </c>
      <c r="X227" s="2123">
        <v>68</v>
      </c>
      <c r="Y227" s="2126">
        <f>X227+20</f>
        <v>88</v>
      </c>
      <c r="Z227" s="2126">
        <f>Y227+20</f>
        <v>108</v>
      </c>
      <c r="AA227" s="2126">
        <f>Z227+20</f>
        <v>128</v>
      </c>
      <c r="AB227" s="2126">
        <f>AA227+20</f>
        <v>148</v>
      </c>
      <c r="AC227" s="2126">
        <f>AB227+20</f>
        <v>168</v>
      </c>
      <c r="AD227" s="61"/>
      <c r="AE227" s="61"/>
      <c r="AF227" s="61"/>
    </row>
    <row r="228" spans="1:32">
      <c r="A228" s="3" t="s">
        <v>877</v>
      </c>
      <c r="B228" s="2107"/>
      <c r="C228" s="2107"/>
      <c r="D228" s="2107"/>
      <c r="E228" s="2107"/>
      <c r="F228" s="2107"/>
      <c r="G228" s="2107"/>
      <c r="H228" s="2107"/>
      <c r="I228" s="2107"/>
      <c r="J228" s="2107"/>
      <c r="K228" s="2107"/>
      <c r="L228" s="2107"/>
      <c r="M228" s="2107"/>
      <c r="N228" s="2107"/>
      <c r="O228" s="2107"/>
      <c r="P228" s="2107"/>
      <c r="Q228" s="2107"/>
      <c r="R228" s="2107"/>
      <c r="S228" s="2107"/>
      <c r="T228" s="2107"/>
      <c r="U228" s="2116">
        <f>32+52</f>
        <v>84</v>
      </c>
      <c r="V228" s="2123">
        <v>78</v>
      </c>
      <c r="W228" s="2123">
        <v>80</v>
      </c>
      <c r="X228" s="2123">
        <v>80</v>
      </c>
      <c r="Y228" s="2126">
        <f t="shared" ref="Y228:AC229" si="144">X228+1</f>
        <v>81</v>
      </c>
      <c r="Z228" s="2126">
        <f t="shared" si="144"/>
        <v>82</v>
      </c>
      <c r="AA228" s="2126">
        <f t="shared" si="144"/>
        <v>83</v>
      </c>
      <c r="AB228" s="2126">
        <f t="shared" si="144"/>
        <v>84</v>
      </c>
      <c r="AC228" s="2126">
        <f t="shared" si="144"/>
        <v>85</v>
      </c>
      <c r="AD228" s="61"/>
      <c r="AE228" s="61"/>
      <c r="AF228" s="61"/>
    </row>
    <row r="229" spans="1:32">
      <c r="A229" s="3" t="s">
        <v>878</v>
      </c>
      <c r="B229" s="2107"/>
      <c r="C229" s="2107"/>
      <c r="D229" s="2107"/>
      <c r="E229" s="2107"/>
      <c r="F229" s="2107"/>
      <c r="G229" s="2107"/>
      <c r="H229" s="2107"/>
      <c r="I229" s="2107"/>
      <c r="J229" s="2107"/>
      <c r="K229" s="2107"/>
      <c r="L229" s="2107"/>
      <c r="M229" s="2107"/>
      <c r="N229" s="2107"/>
      <c r="O229" s="2107"/>
      <c r="P229" s="2107"/>
      <c r="Q229" s="2107"/>
      <c r="R229" s="2107"/>
      <c r="S229" s="2107"/>
      <c r="T229" s="2107"/>
      <c r="U229" s="2116">
        <v>14</v>
      </c>
      <c r="V229" s="2123">
        <v>13</v>
      </c>
      <c r="W229" s="2123">
        <v>14</v>
      </c>
      <c r="X229" s="2123">
        <v>13</v>
      </c>
      <c r="Y229" s="2126">
        <f t="shared" si="144"/>
        <v>14</v>
      </c>
      <c r="Z229" s="2126">
        <f t="shared" si="144"/>
        <v>15</v>
      </c>
      <c r="AA229" s="2126">
        <f t="shared" si="144"/>
        <v>16</v>
      </c>
      <c r="AB229" s="2126">
        <f t="shared" si="144"/>
        <v>17</v>
      </c>
      <c r="AC229" s="2126">
        <f t="shared" si="144"/>
        <v>18</v>
      </c>
      <c r="AD229" s="61"/>
      <c r="AE229" s="61"/>
      <c r="AF229" s="61"/>
    </row>
    <row r="230" spans="1:32">
      <c r="B230" s="2107"/>
      <c r="C230" s="2107"/>
      <c r="D230" s="2107"/>
      <c r="E230" s="2107"/>
      <c r="F230" s="2107"/>
      <c r="G230" s="2107"/>
      <c r="H230" s="2107"/>
      <c r="I230" s="2107"/>
      <c r="J230" s="2107"/>
      <c r="K230" s="2107"/>
      <c r="L230" s="2107"/>
      <c r="M230" s="2107"/>
      <c r="N230" s="2107"/>
      <c r="O230" s="2107"/>
      <c r="P230" s="2107"/>
      <c r="Q230" s="2107"/>
      <c r="R230" s="2107"/>
      <c r="S230" s="2107"/>
      <c r="T230" s="2107"/>
      <c r="U230" s="2107"/>
      <c r="V230" s="2107"/>
      <c r="W230" s="2107"/>
      <c r="X230" s="2107"/>
      <c r="Y230" s="61"/>
      <c r="Z230" s="61"/>
      <c r="AA230" s="61"/>
      <c r="AB230" s="61"/>
      <c r="AD230" s="61"/>
      <c r="AE230" s="61"/>
      <c r="AF230" s="61"/>
    </row>
    <row r="231" spans="1:32">
      <c r="A231" s="350" t="s">
        <v>433</v>
      </c>
      <c r="B231" s="2107"/>
      <c r="C231" s="2107"/>
      <c r="D231" s="2107"/>
      <c r="E231" s="2107"/>
      <c r="F231" s="2107"/>
      <c r="G231" s="2107"/>
      <c r="H231" s="2107"/>
      <c r="I231" s="2107"/>
      <c r="J231" s="2107"/>
      <c r="K231" s="2107"/>
      <c r="L231" s="2107"/>
      <c r="M231" s="2107"/>
      <c r="N231" s="2109">
        <f>(N224+M224)/2</f>
        <v>30.5</v>
      </c>
      <c r="O231" s="2109">
        <f t="shared" ref="O231:AC231" si="145">(O224+N224)/2</f>
        <v>57</v>
      </c>
      <c r="P231" s="2109">
        <f t="shared" si="145"/>
        <v>71.5</v>
      </c>
      <c r="Q231" s="2109">
        <f t="shared" si="145"/>
        <v>70</v>
      </c>
      <c r="R231" s="2109">
        <f t="shared" si="145"/>
        <v>76</v>
      </c>
      <c r="S231" s="2109">
        <f t="shared" si="145"/>
        <v>116</v>
      </c>
      <c r="T231" s="2109">
        <f t="shared" si="145"/>
        <v>182.5</v>
      </c>
      <c r="U231" s="2109">
        <f t="shared" si="145"/>
        <v>212</v>
      </c>
      <c r="V231" s="2109">
        <f t="shared" si="145"/>
        <v>231</v>
      </c>
      <c r="W231" s="2109">
        <f t="shared" si="145"/>
        <v>258.5</v>
      </c>
      <c r="X231" s="2109">
        <f t="shared" si="145"/>
        <v>271</v>
      </c>
      <c r="Y231" s="1128">
        <f t="shared" si="145"/>
        <v>286.5</v>
      </c>
      <c r="Z231" s="1128">
        <f t="shared" si="145"/>
        <v>309.5</v>
      </c>
      <c r="AA231" s="1128">
        <f t="shared" si="145"/>
        <v>332.5</v>
      </c>
      <c r="AB231" s="1128">
        <f t="shared" si="145"/>
        <v>355.5</v>
      </c>
      <c r="AC231" s="1128">
        <f t="shared" si="145"/>
        <v>378.5</v>
      </c>
      <c r="AD231" s="61"/>
      <c r="AE231" s="61"/>
      <c r="AF231" s="61"/>
    </row>
    <row r="232" spans="1:32">
      <c r="A232" s="350" t="s">
        <v>434</v>
      </c>
      <c r="B232" s="2107"/>
      <c r="C232" s="2107"/>
      <c r="D232" s="2107"/>
      <c r="E232" s="2107"/>
      <c r="F232" s="2107"/>
      <c r="G232" s="2107"/>
      <c r="H232" s="2107"/>
      <c r="I232" s="2107"/>
      <c r="J232" s="2107"/>
      <c r="K232" s="2107"/>
      <c r="L232" s="2107"/>
      <c r="M232" s="2107"/>
      <c r="N232" s="2107"/>
      <c r="O232" s="2111">
        <f t="shared" ref="O232:AC232" si="146">O231/N231-1</f>
        <v>0.86885245901639352</v>
      </c>
      <c r="P232" s="2111">
        <f t="shared" si="146"/>
        <v>0.2543859649122806</v>
      </c>
      <c r="Q232" s="2111">
        <f t="shared" si="146"/>
        <v>-2.0979020979020935E-2</v>
      </c>
      <c r="R232" s="2111">
        <f t="shared" si="146"/>
        <v>8.5714285714285632E-2</v>
      </c>
      <c r="S232" s="2111">
        <f t="shared" si="146"/>
        <v>0.52631578947368429</v>
      </c>
      <c r="T232" s="2111">
        <f t="shared" si="146"/>
        <v>0.57327586206896552</v>
      </c>
      <c r="U232" s="2111">
        <f t="shared" si="146"/>
        <v>0.16164383561643825</v>
      </c>
      <c r="V232" s="2111">
        <f t="shared" si="146"/>
        <v>8.9622641509433887E-2</v>
      </c>
      <c r="W232" s="2111">
        <f t="shared" si="146"/>
        <v>0.11904761904761907</v>
      </c>
      <c r="X232" s="2111">
        <f t="shared" si="146"/>
        <v>4.8355899419729287E-2</v>
      </c>
      <c r="Y232" s="1543">
        <f t="shared" si="146"/>
        <v>5.719557195571956E-2</v>
      </c>
      <c r="Z232" s="1543">
        <f t="shared" si="146"/>
        <v>8.0279232111692744E-2</v>
      </c>
      <c r="AA232" s="1543">
        <f t="shared" si="146"/>
        <v>7.4313408723748031E-2</v>
      </c>
      <c r="AB232" s="1543">
        <f t="shared" si="146"/>
        <v>6.9172932330826997E-2</v>
      </c>
      <c r="AC232" s="1543">
        <f t="shared" si="146"/>
        <v>6.469760900140642E-2</v>
      </c>
      <c r="AD232" s="61"/>
      <c r="AE232" s="61"/>
      <c r="AF232" s="61"/>
    </row>
    <row r="233" spans="1:32">
      <c r="A233" s="350"/>
      <c r="B233" s="2107"/>
      <c r="C233" s="2107"/>
      <c r="D233" s="2107"/>
      <c r="E233" s="2107"/>
      <c r="F233" s="2107"/>
      <c r="G233" s="2107"/>
      <c r="H233" s="2107"/>
      <c r="I233" s="2107"/>
      <c r="J233" s="2107"/>
      <c r="K233" s="2107"/>
      <c r="L233" s="2107"/>
      <c r="M233" s="2107"/>
      <c r="N233" s="2107"/>
      <c r="O233" s="2107"/>
      <c r="P233" s="2107"/>
      <c r="Q233" s="2107"/>
      <c r="R233" s="2107"/>
      <c r="S233" s="2107"/>
      <c r="T233" s="2107"/>
      <c r="U233" s="2107"/>
      <c r="V233" s="2107"/>
      <c r="W233" s="2107"/>
      <c r="X233" s="2107"/>
      <c r="Y233" s="61"/>
      <c r="Z233" s="61"/>
      <c r="AA233" s="61"/>
      <c r="AB233" s="61"/>
      <c r="AD233" s="61"/>
      <c r="AE233" s="61"/>
      <c r="AF233" s="61"/>
    </row>
    <row r="234" spans="1:32">
      <c r="A234" s="375" t="s">
        <v>876</v>
      </c>
      <c r="B234" s="2107"/>
      <c r="C234" s="2107"/>
      <c r="D234" s="2107"/>
      <c r="E234" s="2107"/>
      <c r="F234" s="2107"/>
      <c r="G234" s="2107"/>
      <c r="H234" s="2107"/>
      <c r="I234" s="2107"/>
      <c r="J234" s="2107"/>
      <c r="K234" s="2107"/>
      <c r="L234" s="2107"/>
      <c r="M234" s="2107"/>
      <c r="N234" s="2112">
        <f t="shared" ref="N234:AC234" si="147">+(N14*0.6)/N231</f>
        <v>1.7803278688524589</v>
      </c>
      <c r="O234" s="2112">
        <f t="shared" si="147"/>
        <v>1.3263157894736841</v>
      </c>
      <c r="P234" s="2112">
        <f t="shared" si="147"/>
        <v>1.1848951048951046</v>
      </c>
      <c r="Q234" s="2112">
        <f t="shared" si="147"/>
        <v>1.5797142857142856</v>
      </c>
      <c r="R234" s="2112">
        <f t="shared" si="147"/>
        <v>2.4702631578947365</v>
      </c>
      <c r="S234" s="2112">
        <f t="shared" si="147"/>
        <v>2.3891379310344827</v>
      </c>
      <c r="T234" s="2112">
        <f t="shared" si="147"/>
        <v>2.4433972602739726</v>
      </c>
      <c r="U234" s="2112">
        <f t="shared" si="147"/>
        <v>2.7103386792452833</v>
      </c>
      <c r="V234" s="2112">
        <f t="shared" si="147"/>
        <v>3.0790259740259742</v>
      </c>
      <c r="W234" s="2112">
        <f t="shared" si="147"/>
        <v>3.0156580270793034</v>
      </c>
      <c r="X234" s="2112">
        <f t="shared" si="147"/>
        <v>3.0092767527675277</v>
      </c>
      <c r="Y234" s="985">
        <f t="shared" si="147"/>
        <v>2.6063277486910996</v>
      </c>
      <c r="Z234" s="985">
        <f t="shared" si="147"/>
        <v>2.5190391418895248</v>
      </c>
      <c r="AA234" s="985">
        <f t="shared" si="147"/>
        <v>2.4625414798190199</v>
      </c>
      <c r="AB234" s="985">
        <f t="shared" si="147"/>
        <v>2.4111426983943178</v>
      </c>
      <c r="AC234" s="985">
        <f t="shared" si="147"/>
        <v>2.3640827007159322</v>
      </c>
      <c r="AD234" s="61"/>
      <c r="AE234" s="61"/>
      <c r="AF234" s="61"/>
    </row>
    <row r="235" spans="1:32">
      <c r="A235" s="375" t="s">
        <v>429</v>
      </c>
      <c r="B235" s="2107"/>
      <c r="C235" s="2107"/>
      <c r="D235" s="2107"/>
      <c r="E235" s="2107"/>
      <c r="F235" s="2107"/>
      <c r="G235" s="2107"/>
      <c r="H235" s="2107"/>
      <c r="I235" s="2107"/>
      <c r="J235" s="2107"/>
      <c r="K235" s="2107"/>
      <c r="L235" s="2107"/>
      <c r="M235" s="2107"/>
      <c r="N235" s="2107"/>
      <c r="O235" s="2111">
        <f t="shared" ref="O235:AC235" si="148">O234/N234-1</f>
        <v>-0.25501599302122713</v>
      </c>
      <c r="P235" s="2111">
        <f t="shared" si="148"/>
        <v>-0.10662670662670681</v>
      </c>
      <c r="Q235" s="2111">
        <f t="shared" si="148"/>
        <v>0.33321023876972911</v>
      </c>
      <c r="R235" s="2111">
        <f t="shared" si="148"/>
        <v>0.56374046891509821</v>
      </c>
      <c r="S235" s="2111">
        <f t="shared" si="148"/>
        <v>-3.2840722495894759E-2</v>
      </c>
      <c r="T235" s="2111">
        <f t="shared" si="148"/>
        <v>2.2710839979002806E-2</v>
      </c>
      <c r="U235" s="2111">
        <f t="shared" si="148"/>
        <v>0.10925010980055649</v>
      </c>
      <c r="V235" s="2111">
        <f t="shared" si="148"/>
        <v>0.13602997204886402</v>
      </c>
      <c r="W235" s="2111">
        <f t="shared" si="148"/>
        <v>-2.0580517176935098E-2</v>
      </c>
      <c r="X235" s="2111">
        <f t="shared" si="148"/>
        <v>-2.1160470631864658E-3</v>
      </c>
      <c r="Y235" s="1543">
        <f t="shared" si="148"/>
        <v>-0.13390227525795018</v>
      </c>
      <c r="Z235" s="1543">
        <f t="shared" si="148"/>
        <v>-3.3491032294542089E-2</v>
      </c>
      <c r="AA235" s="1543">
        <f t="shared" si="148"/>
        <v>-2.242825890673783E-2</v>
      </c>
      <c r="AB235" s="1543">
        <f t="shared" si="148"/>
        <v>-2.0872250009157045E-2</v>
      </c>
      <c r="AC235" s="1543">
        <f t="shared" si="148"/>
        <v>-1.9517715691288129E-2</v>
      </c>
      <c r="AD235" s="61"/>
      <c r="AE235" s="61"/>
      <c r="AF235" s="61"/>
    </row>
    <row r="236" spans="1:32">
      <c r="B236" s="2107"/>
      <c r="C236" s="2107"/>
      <c r="D236" s="2107"/>
      <c r="E236" s="2107"/>
      <c r="F236" s="2107"/>
      <c r="G236" s="2107"/>
      <c r="H236" s="2107"/>
      <c r="I236" s="2107"/>
      <c r="J236" s="2107"/>
      <c r="K236" s="2107"/>
      <c r="L236" s="2107"/>
      <c r="M236" s="2107"/>
      <c r="N236" s="2107"/>
      <c r="O236" s="2107"/>
      <c r="P236" s="2107"/>
      <c r="Q236" s="2107"/>
      <c r="R236" s="2107"/>
      <c r="S236" s="2107"/>
      <c r="T236" s="2107"/>
      <c r="U236" s="2107"/>
      <c r="V236" s="2107"/>
      <c r="W236" s="2107"/>
      <c r="X236" s="2107"/>
      <c r="Y236" s="61"/>
      <c r="Z236" s="61"/>
      <c r="AA236" s="61"/>
      <c r="AB236" s="61"/>
      <c r="AD236" s="61"/>
      <c r="AE236" s="61"/>
      <c r="AF236" s="61"/>
    </row>
    <row r="237" spans="1:32">
      <c r="A237" s="375" t="s">
        <v>435</v>
      </c>
      <c r="B237" s="2107"/>
      <c r="C237" s="2107"/>
      <c r="D237" s="2107"/>
      <c r="E237" s="2107"/>
      <c r="F237" s="2107"/>
      <c r="G237" s="2107"/>
      <c r="H237" s="2107"/>
      <c r="I237" s="2107"/>
      <c r="J237" s="2107"/>
      <c r="K237" s="2107"/>
      <c r="L237" s="2107"/>
      <c r="M237" s="2107"/>
      <c r="N237" s="2107"/>
      <c r="O237" s="2113">
        <f>+(O240+N240)/2</f>
        <v>9.2499999999999999E-2</v>
      </c>
      <c r="P237" s="2113">
        <f t="shared" ref="P237:AC237" si="149">+(P240+O240)/2</f>
        <v>0.13150000000000001</v>
      </c>
      <c r="Q237" s="2113">
        <f t="shared" si="149"/>
        <v>0.14349999999999999</v>
      </c>
      <c r="R237" s="2113">
        <f t="shared" si="149"/>
        <v>0.14449999999999999</v>
      </c>
      <c r="S237" s="2113">
        <f t="shared" si="149"/>
        <v>0.159</v>
      </c>
      <c r="T237" s="2113">
        <f t="shared" si="149"/>
        <v>0.21650000000000003</v>
      </c>
      <c r="U237" s="2113">
        <f t="shared" si="149"/>
        <v>0.32550000000000001</v>
      </c>
      <c r="V237" s="2113">
        <f t="shared" si="149"/>
        <v>0.40849999999999997</v>
      </c>
      <c r="W237" s="2113">
        <f t="shared" si="149"/>
        <v>0.45350000000000001</v>
      </c>
      <c r="X237" s="2113">
        <f t="shared" si="149"/>
        <v>0.49648948958333333</v>
      </c>
      <c r="Y237" s="381">
        <f t="shared" si="149"/>
        <v>0.53567897916666674</v>
      </c>
      <c r="Z237" s="381">
        <f>+(Z240+Y240)/2</f>
        <v>0.57707897916666662</v>
      </c>
      <c r="AA237" s="381">
        <f t="shared" si="149"/>
        <v>0.61847897916666672</v>
      </c>
      <c r="AB237" s="381">
        <f t="shared" si="149"/>
        <v>0.6598789791666666</v>
      </c>
      <c r="AC237" s="381">
        <f t="shared" si="149"/>
        <v>0.7012789791666667</v>
      </c>
      <c r="AD237" s="61"/>
      <c r="AE237" s="61"/>
      <c r="AF237" s="61"/>
    </row>
    <row r="238" spans="1:32">
      <c r="A238" s="375" t="s">
        <v>143</v>
      </c>
      <c r="B238" s="2107"/>
      <c r="C238" s="2107"/>
      <c r="D238" s="2107"/>
      <c r="E238" s="2107"/>
      <c r="F238" s="2107"/>
      <c r="G238" s="2107"/>
      <c r="H238" s="2107"/>
      <c r="I238" s="2107"/>
      <c r="J238" s="2107"/>
      <c r="K238" s="2107"/>
      <c r="L238" s="2107"/>
      <c r="M238" s="2107"/>
      <c r="N238" s="2107"/>
      <c r="O238" s="2111"/>
      <c r="P238" s="2111">
        <f t="shared" ref="P238:AC238" si="150">P237/O237-1</f>
        <v>0.42162162162162176</v>
      </c>
      <c r="Q238" s="2111">
        <f t="shared" si="150"/>
        <v>9.1254752851710919E-2</v>
      </c>
      <c r="R238" s="2111">
        <f t="shared" si="150"/>
        <v>6.9686411149825211E-3</v>
      </c>
      <c r="S238" s="2111">
        <f t="shared" si="150"/>
        <v>0.10034602076124588</v>
      </c>
      <c r="T238" s="2111">
        <f t="shared" si="150"/>
        <v>0.36163522012578619</v>
      </c>
      <c r="U238" s="2111">
        <f t="shared" si="150"/>
        <v>0.50346420323325614</v>
      </c>
      <c r="V238" s="2111">
        <f t="shared" si="150"/>
        <v>0.25499231950844847</v>
      </c>
      <c r="W238" s="2111">
        <f t="shared" si="150"/>
        <v>0.11015911872705031</v>
      </c>
      <c r="X238" s="2111">
        <f t="shared" si="150"/>
        <v>9.4794905365674254E-2</v>
      </c>
      <c r="Y238" s="1543">
        <f t="shared" si="150"/>
        <v>7.8933170601903857E-2</v>
      </c>
      <c r="Z238" s="1543">
        <f t="shared" si="150"/>
        <v>7.7285093517024173E-2</v>
      </c>
      <c r="AA238" s="1543">
        <f t="shared" si="150"/>
        <v>7.1740613494159833E-2</v>
      </c>
      <c r="AB238" s="1543">
        <f t="shared" si="150"/>
        <v>6.6938410834563644E-2</v>
      </c>
      <c r="AC238" s="1543">
        <f t="shared" si="150"/>
        <v>6.2738776816746666E-2</v>
      </c>
      <c r="AD238" s="61"/>
      <c r="AE238" s="61"/>
      <c r="AF238" s="61"/>
    </row>
    <row r="239" spans="1:32">
      <c r="B239" s="2107"/>
      <c r="C239" s="2107"/>
      <c r="D239" s="2107"/>
      <c r="E239" s="2107"/>
      <c r="F239" s="2107"/>
      <c r="G239" s="2107"/>
      <c r="H239" s="2107"/>
      <c r="I239" s="2107"/>
      <c r="J239" s="2107"/>
      <c r="K239" s="2107"/>
      <c r="L239" s="2107"/>
      <c r="M239" s="2107"/>
      <c r="N239" s="2107"/>
      <c r="O239" s="2107"/>
      <c r="P239" s="2107"/>
      <c r="Q239" s="2107"/>
      <c r="R239" s="2107"/>
      <c r="S239" s="2107"/>
      <c r="T239" s="2107"/>
      <c r="U239" s="2107"/>
      <c r="V239" s="2107"/>
      <c r="W239" s="2107"/>
      <c r="X239" s="2107"/>
      <c r="Y239" s="61"/>
      <c r="Z239" s="61"/>
      <c r="AA239" s="61"/>
      <c r="AB239" s="61"/>
      <c r="AD239" s="61"/>
      <c r="AE239" s="61"/>
      <c r="AF239" s="61"/>
    </row>
    <row r="240" spans="1:32">
      <c r="A240" s="375" t="s">
        <v>436</v>
      </c>
      <c r="B240" s="2107"/>
      <c r="C240" s="2107"/>
      <c r="D240" s="2107"/>
      <c r="E240" s="2107"/>
      <c r="F240" s="2107"/>
      <c r="G240" s="2107"/>
      <c r="H240" s="2107"/>
      <c r="I240" s="2107"/>
      <c r="J240" s="2107"/>
      <c r="K240" s="2107"/>
      <c r="L240" s="2107"/>
      <c r="M240" s="2107"/>
      <c r="N240" s="2115">
        <v>6.8000000000000005E-2</v>
      </c>
      <c r="O240" s="2115">
        <v>0.11700000000000001</v>
      </c>
      <c r="P240" s="2115">
        <v>0.14599999999999999</v>
      </c>
      <c r="Q240" s="2115">
        <v>0.14099999999999999</v>
      </c>
      <c r="R240" s="2115">
        <v>0.14799999999999999</v>
      </c>
      <c r="S240" s="2115">
        <v>0.17</v>
      </c>
      <c r="T240" s="2115">
        <v>0.26300000000000001</v>
      </c>
      <c r="U240" s="2110">
        <f>KateQtrSalesOld!AJ30</f>
        <v>0.38800000000000001</v>
      </c>
      <c r="V240" s="2110">
        <f>KateQtrSalesOld!AJ37</f>
        <v>0.42899999999999999</v>
      </c>
      <c r="W240" s="2110">
        <f>KateQtrSalesOld!AJ44</f>
        <v>0.47799999999999998</v>
      </c>
      <c r="X240" s="2110">
        <f>KateQtrSalesOld!AJ51</f>
        <v>0.51497897916666668</v>
      </c>
      <c r="Y240" s="2125">
        <f>X240+(Y222*0.0018)</f>
        <v>0.55637897916666668</v>
      </c>
      <c r="Z240" s="2125">
        <f>Y240+(Z222*0.0018)</f>
        <v>0.59777897916666667</v>
      </c>
      <c r="AA240" s="2125">
        <f>Z240+(AA222*0.0018)</f>
        <v>0.63917897916666666</v>
      </c>
      <c r="AB240" s="2125">
        <f>AA240+(AB222*0.0018)</f>
        <v>0.68057897916666665</v>
      </c>
      <c r="AC240" s="2125">
        <f>AB240+(AC222*0.0018)</f>
        <v>0.72197897916666665</v>
      </c>
      <c r="AD240" s="61"/>
      <c r="AE240" s="61"/>
      <c r="AF240" s="61"/>
    </row>
    <row r="241" spans="1:32">
      <c r="A241" s="375" t="s">
        <v>429</v>
      </c>
      <c r="B241" s="2107"/>
      <c r="C241" s="2107"/>
      <c r="D241" s="2107"/>
      <c r="E241" s="2107"/>
      <c r="F241" s="2107"/>
      <c r="G241" s="2107"/>
      <c r="H241" s="2107"/>
      <c r="I241" s="2107"/>
      <c r="J241" s="2107"/>
      <c r="K241" s="2107"/>
      <c r="L241" s="2107"/>
      <c r="M241" s="2107"/>
      <c r="N241" s="2107"/>
      <c r="O241" s="2111">
        <f t="shared" ref="O241:AC241" si="151">O240/N240-1</f>
        <v>0.72058823529411753</v>
      </c>
      <c r="P241" s="2111">
        <f t="shared" si="151"/>
        <v>0.24786324786324765</v>
      </c>
      <c r="Q241" s="2111">
        <f t="shared" si="151"/>
        <v>-3.4246575342465779E-2</v>
      </c>
      <c r="R241" s="2111">
        <f t="shared" si="151"/>
        <v>4.9645390070921946E-2</v>
      </c>
      <c r="S241" s="2111">
        <f t="shared" si="151"/>
        <v>0.14864864864864868</v>
      </c>
      <c r="T241" s="2111">
        <f t="shared" si="151"/>
        <v>0.54705882352941182</v>
      </c>
      <c r="U241" s="2111">
        <f t="shared" si="151"/>
        <v>0.47528517110266155</v>
      </c>
      <c r="V241" s="2111">
        <f t="shared" si="151"/>
        <v>0.10567010309278335</v>
      </c>
      <c r="W241" s="2111">
        <f t="shared" si="151"/>
        <v>0.11421911421911424</v>
      </c>
      <c r="X241" s="2111">
        <f t="shared" si="151"/>
        <v>7.7361881101813079E-2</v>
      </c>
      <c r="Y241" s="1543">
        <f t="shared" si="151"/>
        <v>8.0391630871988307E-2</v>
      </c>
      <c r="Z241" s="1543">
        <f t="shared" si="151"/>
        <v>7.4409712714179177E-2</v>
      </c>
      <c r="AA241" s="1543">
        <f t="shared" si="151"/>
        <v>6.9256366387646429E-2</v>
      </c>
      <c r="AB241" s="1543">
        <f t="shared" si="151"/>
        <v>6.4770590631712421E-2</v>
      </c>
      <c r="AC241" s="1543">
        <f t="shared" si="151"/>
        <v>6.083055937268611E-2</v>
      </c>
      <c r="AD241" s="61"/>
      <c r="AE241" s="61"/>
      <c r="AF241" s="61"/>
    </row>
    <row r="242" spans="1:32">
      <c r="B242" s="2107"/>
      <c r="C242" s="2107"/>
      <c r="D242" s="2107"/>
      <c r="E242" s="2107"/>
      <c r="F242" s="2107"/>
      <c r="G242" s="2107"/>
      <c r="H242" s="2107"/>
      <c r="I242" s="2107"/>
      <c r="J242" s="2107"/>
      <c r="K242" s="2107"/>
      <c r="L242" s="2107"/>
      <c r="M242" s="2107"/>
      <c r="N242" s="2107"/>
      <c r="O242" s="2107"/>
      <c r="P242" s="2107"/>
      <c r="Q242" s="2107"/>
      <c r="R242" s="2107"/>
      <c r="S242" s="2107"/>
      <c r="T242" s="2107"/>
      <c r="U242" s="2107"/>
      <c r="V242" s="2107"/>
      <c r="W242" s="2107"/>
      <c r="X242" s="2107"/>
      <c r="Y242" s="61"/>
      <c r="Z242" s="61"/>
      <c r="AA242" s="61"/>
      <c r="AB242" s="61"/>
      <c r="AD242" s="61"/>
      <c r="AE242" s="61"/>
      <c r="AF242" s="61"/>
    </row>
    <row r="243" spans="1:32">
      <c r="A243" s="375" t="s">
        <v>437</v>
      </c>
      <c r="B243" s="2107"/>
      <c r="C243" s="2107"/>
      <c r="D243" s="2107"/>
      <c r="E243" s="2107"/>
      <c r="F243" s="2107"/>
      <c r="G243" s="2107"/>
      <c r="H243" s="2107"/>
      <c r="I243" s="2107"/>
      <c r="J243" s="2107"/>
      <c r="K243" s="2107"/>
      <c r="L243" s="2107"/>
      <c r="M243" s="2107"/>
      <c r="N243" s="2114"/>
      <c r="O243" s="2114">
        <f t="shared" ref="O243:AC243" si="152">O237/O231*1000000</f>
        <v>1622.8070175438595</v>
      </c>
      <c r="P243" s="2114">
        <f t="shared" si="152"/>
        <v>1839.1608391608393</v>
      </c>
      <c r="Q243" s="2114">
        <f t="shared" si="152"/>
        <v>2049.9999999999995</v>
      </c>
      <c r="R243" s="2114">
        <f t="shared" si="152"/>
        <v>1901.3157894736842</v>
      </c>
      <c r="S243" s="2114">
        <f t="shared" si="152"/>
        <v>1370.6896551724137</v>
      </c>
      <c r="T243" s="2114">
        <f t="shared" si="152"/>
        <v>1186.3013698630139</v>
      </c>
      <c r="U243" s="2114">
        <f t="shared" si="152"/>
        <v>1535.3773584905662</v>
      </c>
      <c r="V243" s="2114">
        <f t="shared" si="152"/>
        <v>1768.3982683982683</v>
      </c>
      <c r="W243" s="2114">
        <f t="shared" si="152"/>
        <v>1754.3520309477756</v>
      </c>
      <c r="X243" s="2114">
        <f t="shared" si="152"/>
        <v>1832.0645372078723</v>
      </c>
      <c r="Y243" s="382">
        <f t="shared" si="152"/>
        <v>1869.7346567771963</v>
      </c>
      <c r="Z243" s="382">
        <f t="shared" si="152"/>
        <v>1864.5524367259018</v>
      </c>
      <c r="AA243" s="382">
        <f t="shared" si="152"/>
        <v>1860.0871553884713</v>
      </c>
      <c r="AB243" s="382">
        <f t="shared" si="152"/>
        <v>1856.199660103141</v>
      </c>
      <c r="AC243" s="382">
        <f t="shared" si="152"/>
        <v>1852.7846213121973</v>
      </c>
      <c r="AD243" s="61"/>
      <c r="AE243" s="61"/>
      <c r="AF243" s="61"/>
    </row>
    <row r="244" spans="1:32">
      <c r="A244" s="375" t="s">
        <v>429</v>
      </c>
      <c r="B244" s="2107"/>
      <c r="C244" s="2107"/>
      <c r="D244" s="2107"/>
      <c r="E244" s="2107"/>
      <c r="F244" s="2107"/>
      <c r="G244" s="2107"/>
      <c r="H244" s="2107"/>
      <c r="I244" s="2107"/>
      <c r="J244" s="2107"/>
      <c r="K244" s="2107"/>
      <c r="L244" s="2107"/>
      <c r="M244" s="2107"/>
      <c r="N244" s="2107"/>
      <c r="O244" s="2107"/>
      <c r="P244" s="2111">
        <f t="shared" ref="P244:AD244" si="153">P243/O243-1</f>
        <v>0.13332073332073358</v>
      </c>
      <c r="Q244" s="2111">
        <f t="shared" si="153"/>
        <v>0.11463878326996157</v>
      </c>
      <c r="R244" s="2111">
        <f t="shared" si="153"/>
        <v>-7.2528883183568538E-2</v>
      </c>
      <c r="S244" s="2111">
        <f t="shared" si="153"/>
        <v>-0.27908364157021837</v>
      </c>
      <c r="T244" s="2111">
        <f t="shared" si="153"/>
        <v>-0.13452227104333581</v>
      </c>
      <c r="U244" s="2111">
        <f t="shared" si="153"/>
        <v>0.2942557409908928</v>
      </c>
      <c r="V244" s="2111">
        <f t="shared" si="153"/>
        <v>0.15176784301208257</v>
      </c>
      <c r="W244" s="2111">
        <f t="shared" si="153"/>
        <v>-7.9429151800828324E-3</v>
      </c>
      <c r="X244" s="2111">
        <f t="shared" si="153"/>
        <v>4.4296985376482967E-2</v>
      </c>
      <c r="Y244" s="1543">
        <f t="shared" si="153"/>
        <v>2.0561568003894859E-2</v>
      </c>
      <c r="Z244" s="1543">
        <f t="shared" si="153"/>
        <v>-2.7716339495075237E-3</v>
      </c>
      <c r="AA244" s="1543">
        <f t="shared" si="153"/>
        <v>-2.3948274392708857E-3</v>
      </c>
      <c r="AB244" s="1543">
        <f t="shared" si="153"/>
        <v>-2.089953298192837E-3</v>
      </c>
      <c r="AC244" s="1543">
        <f t="shared" si="153"/>
        <v>-1.8398014310346822E-3</v>
      </c>
      <c r="AD244" s="1543">
        <f t="shared" si="153"/>
        <v>-1</v>
      </c>
      <c r="AE244" s="61"/>
      <c r="AF244" s="61"/>
    </row>
    <row r="245" spans="1:32">
      <c r="B245" s="2107"/>
      <c r="C245" s="2107"/>
      <c r="D245" s="2107"/>
      <c r="E245" s="2107"/>
      <c r="F245" s="2107"/>
      <c r="G245" s="2107"/>
      <c r="H245" s="2107"/>
      <c r="I245" s="2107"/>
      <c r="J245" s="2107"/>
      <c r="K245" s="2107"/>
      <c r="L245" s="2107"/>
      <c r="M245" s="2107"/>
      <c r="N245" s="2107"/>
      <c r="O245" s="2107"/>
      <c r="P245" s="2107"/>
      <c r="Q245" s="2107"/>
      <c r="R245" s="2107"/>
      <c r="S245" s="2107"/>
      <c r="T245" s="2107"/>
      <c r="U245" s="2107"/>
      <c r="V245" s="2107"/>
      <c r="W245" s="2107"/>
      <c r="X245" s="2107"/>
      <c r="Y245" s="61"/>
      <c r="Z245" s="61"/>
      <c r="AA245" s="61"/>
      <c r="AB245" s="61"/>
      <c r="AD245" s="61"/>
      <c r="AE245" s="61"/>
      <c r="AF245" s="61"/>
    </row>
    <row r="246" spans="1:32">
      <c r="A246" s="375" t="s">
        <v>438</v>
      </c>
      <c r="B246" s="2107"/>
      <c r="C246" s="2107"/>
      <c r="D246" s="2107"/>
      <c r="E246" s="2107"/>
      <c r="F246" s="2107"/>
      <c r="G246" s="2107"/>
      <c r="H246" s="2107"/>
      <c r="I246" s="2107"/>
      <c r="J246" s="2107"/>
      <c r="K246" s="2107"/>
      <c r="L246" s="2107"/>
      <c r="M246" s="2107"/>
      <c r="N246" s="2107"/>
      <c r="O246" s="2117">
        <f>+(O14*0.6)/(O237)</f>
        <v>817.29729729729729</v>
      </c>
      <c r="P246" s="2117">
        <f>+(P14*0.6)/(P237)</f>
        <v>644.25855513307965</v>
      </c>
      <c r="Q246" s="2117">
        <f>+(Q14*0.6)/(Q237)</f>
        <v>770.59233449477358</v>
      </c>
      <c r="R246" s="2117">
        <f>+(R14*0.6)/(R237)</f>
        <v>1299.2387543252594</v>
      </c>
      <c r="S246" s="2117">
        <f>+(S14*0.6)/(S237)</f>
        <v>1743.0188679245282</v>
      </c>
      <c r="T246" s="2117">
        <f t="shared" ref="T246:AC246" si="154">+(T14*0.6)/(T237)</f>
        <v>2059.6766743648959</v>
      </c>
      <c r="U246" s="2117">
        <f t="shared" si="154"/>
        <v>1765.2589861751153</v>
      </c>
      <c r="V246" s="2117">
        <f t="shared" si="154"/>
        <v>1741.1383108935129</v>
      </c>
      <c r="W246" s="2117">
        <f t="shared" si="154"/>
        <v>1718.9583241455346</v>
      </c>
      <c r="X246" s="2117">
        <f t="shared" si="154"/>
        <v>1642.5604511475162</v>
      </c>
      <c r="Y246" s="2121">
        <f t="shared" si="154"/>
        <v>1393.9559494412676</v>
      </c>
      <c r="Z246" s="2121">
        <f t="shared" si="154"/>
        <v>1351.0154459977978</v>
      </c>
      <c r="AA246" s="2121">
        <f t="shared" si="154"/>
        <v>1323.884997907385</v>
      </c>
      <c r="AB246" s="2121">
        <f t="shared" si="154"/>
        <v>1298.9673202829599</v>
      </c>
      <c r="AC246" s="2121">
        <f t="shared" si="154"/>
        <v>1275.9619620771778</v>
      </c>
      <c r="AD246" s="61"/>
      <c r="AE246" s="61"/>
      <c r="AF246" s="61"/>
    </row>
    <row r="247" spans="1:32">
      <c r="A247" s="375" t="s">
        <v>429</v>
      </c>
      <c r="B247" s="2107"/>
      <c r="C247" s="2107"/>
      <c r="D247" s="2107"/>
      <c r="E247" s="2107"/>
      <c r="F247" s="2107"/>
      <c r="G247" s="2107"/>
      <c r="H247" s="2107"/>
      <c r="I247" s="2107"/>
      <c r="J247" s="2107"/>
      <c r="K247" s="2107"/>
      <c r="L247" s="2107"/>
      <c r="M247" s="2107"/>
      <c r="N247" s="2107"/>
      <c r="O247" s="2107"/>
      <c r="P247" s="2111">
        <f t="shared" ref="P247:AC247" si="155">P246/O246-1</f>
        <v>-0.21172068320357318</v>
      </c>
      <c r="Q247" s="2111">
        <f t="shared" si="155"/>
        <v>0.19609173732368701</v>
      </c>
      <c r="R247" s="2111">
        <f t="shared" si="155"/>
        <v>0.68602605575759368</v>
      </c>
      <c r="S247" s="2111">
        <f t="shared" si="155"/>
        <v>0.34156933213536989</v>
      </c>
      <c r="T247" s="2111">
        <f t="shared" si="155"/>
        <v>0.18167204742735965</v>
      </c>
      <c r="U247" s="2111">
        <f t="shared" si="155"/>
        <v>-0.14294364346314925</v>
      </c>
      <c r="V247" s="2111">
        <f t="shared" si="155"/>
        <v>-1.3664099982216182E-2</v>
      </c>
      <c r="W247" s="2111">
        <f t="shared" si="155"/>
        <v>-1.2738785086289894E-2</v>
      </c>
      <c r="X247" s="2111">
        <f t="shared" si="155"/>
        <v>-4.4444284614052143E-2</v>
      </c>
      <c r="Y247" s="1543">
        <f t="shared" si="155"/>
        <v>-0.15135181267305564</v>
      </c>
      <c r="Z247" s="1543">
        <f t="shared" si="155"/>
        <v>-3.0804777913306047E-2</v>
      </c>
      <c r="AA247" s="1543">
        <f t="shared" si="155"/>
        <v>-2.0081523250369271E-2</v>
      </c>
      <c r="AB247" s="1543">
        <f t="shared" si="155"/>
        <v>-1.8821633045023933E-2</v>
      </c>
      <c r="AC247" s="1543">
        <f t="shared" si="155"/>
        <v>-1.7710498059928748E-2</v>
      </c>
      <c r="AD247" s="61"/>
      <c r="AE247" s="61"/>
      <c r="AF247" s="61"/>
    </row>
    <row r="248" spans="1:32">
      <c r="B248" s="2107"/>
      <c r="C248" s="2107"/>
      <c r="D248" s="2107"/>
      <c r="E248" s="2107"/>
      <c r="F248" s="2107"/>
      <c r="G248" s="2107"/>
      <c r="H248" s="2107"/>
      <c r="I248" s="2107"/>
      <c r="J248" s="2107"/>
      <c r="K248" s="2107"/>
      <c r="L248" s="2107"/>
      <c r="M248" s="2107"/>
      <c r="N248" s="2107"/>
      <c r="O248" s="2107"/>
      <c r="P248" s="2107"/>
      <c r="Q248" s="2107"/>
      <c r="R248" s="2107"/>
      <c r="S248" s="2107"/>
      <c r="T248" s="2107"/>
      <c r="U248" s="2107"/>
      <c r="V248" s="2107"/>
      <c r="W248" s="2107"/>
      <c r="X248" s="2107"/>
      <c r="Y248" s="61"/>
      <c r="Z248" s="61"/>
      <c r="AA248" s="61"/>
      <c r="AB248" s="61"/>
      <c r="AD248" s="61"/>
      <c r="AE248" s="61"/>
      <c r="AF248" s="61"/>
    </row>
    <row r="249" spans="1:32">
      <c r="A249" s="375" t="s">
        <v>213</v>
      </c>
      <c r="B249" s="2107"/>
      <c r="C249" s="2107"/>
      <c r="D249" s="2107"/>
      <c r="E249" s="2107"/>
      <c r="F249" s="2107"/>
      <c r="G249" s="2107"/>
      <c r="H249" s="2107"/>
      <c r="I249" s="2107"/>
      <c r="J249" s="2107"/>
      <c r="K249" s="2107"/>
      <c r="L249" s="2107"/>
      <c r="M249" s="2107"/>
      <c r="N249" s="2107"/>
      <c r="O249" s="2107"/>
      <c r="P249" s="2118">
        <f>KateQtrSalesOld!F13/100</f>
        <v>-6.8000000000000005E-2</v>
      </c>
      <c r="Q249" s="2118">
        <f>KateQtrSalesOld!F14/100</f>
        <v>0.23600000000000002</v>
      </c>
      <c r="R249" s="2118">
        <f>KateQtrSalesOld!F15/100</f>
        <v>0.68900000000000006</v>
      </c>
      <c r="S249" s="2118">
        <f>KateQtrSalesOld!F16/100</f>
        <v>0.29499999999999998</v>
      </c>
      <c r="T249" s="2132">
        <f>KateQtrSalesOld!F17/100</f>
        <v>0.28199999999999997</v>
      </c>
      <c r="U249" s="2132">
        <f>KateQtrSalesOld!F31/100</f>
        <v>0.24399999999999999</v>
      </c>
      <c r="V249" s="2132">
        <f>KateQtrSalesOld!F38/100</f>
        <v>0.16818824978383284</v>
      </c>
      <c r="W249" s="2132">
        <f>KateQtrSalesOld!F45/100</f>
        <v>0.13022399145350455</v>
      </c>
      <c r="X249" s="2132">
        <f>KateQtrSalesOld!F52/100</f>
        <v>4.3029905311251559E-2</v>
      </c>
      <c r="Y249" s="1057">
        <f>KateQtrSalesOld!F59/100</f>
        <v>-6.7685122354254224E-2</v>
      </c>
      <c r="Z249" s="2119">
        <v>-0.01</v>
      </c>
      <c r="AA249" s="2119">
        <v>0</v>
      </c>
      <c r="AB249" s="2119">
        <v>0</v>
      </c>
      <c r="AC249" s="2119">
        <v>0</v>
      </c>
      <c r="AD249" s="61"/>
      <c r="AE249" s="61"/>
      <c r="AF249" s="61"/>
    </row>
    <row r="250" spans="1:32">
      <c r="B250" s="2107"/>
      <c r="C250" s="2107"/>
      <c r="D250" s="2107"/>
      <c r="E250" s="2107"/>
      <c r="F250" s="2107"/>
      <c r="G250" s="2107"/>
      <c r="H250" s="2107"/>
      <c r="I250" s="2107"/>
      <c r="J250" s="2107"/>
      <c r="K250" s="2107"/>
      <c r="L250" s="2107"/>
      <c r="M250" s="2107"/>
      <c r="N250" s="2107"/>
      <c r="O250" s="2107"/>
      <c r="P250" s="2107"/>
      <c r="Q250" s="2107"/>
      <c r="R250" s="2107"/>
      <c r="S250" s="2107"/>
      <c r="T250" s="2107"/>
      <c r="U250" s="2107"/>
      <c r="V250" s="2107"/>
      <c r="W250" s="2107"/>
      <c r="X250" s="2107"/>
      <c r="Y250" s="61"/>
      <c r="Z250" s="61"/>
      <c r="AA250" s="61"/>
      <c r="AB250" s="61"/>
      <c r="AD250" s="61"/>
      <c r="AE250" s="61"/>
      <c r="AF250" s="61"/>
    </row>
    <row r="251" spans="1:32">
      <c r="A251" s="375" t="s">
        <v>439</v>
      </c>
      <c r="B251" s="2107"/>
      <c r="C251" s="2107"/>
      <c r="D251" s="2107"/>
      <c r="E251" s="2107"/>
      <c r="F251" s="2107"/>
      <c r="G251" s="2107"/>
      <c r="H251" s="2107"/>
      <c r="I251" s="2107"/>
      <c r="J251" s="2107"/>
      <c r="K251" s="2107"/>
      <c r="L251" s="2107"/>
      <c r="M251" s="2107"/>
      <c r="N251" s="2107"/>
      <c r="O251" s="2107"/>
      <c r="P251" s="2120">
        <f t="shared" ref="P251:Y251" si="156">(((P14/O14)-1)-P249)/P238</f>
        <v>0.44740333740333732</v>
      </c>
      <c r="Q251" s="2120">
        <f t="shared" si="156"/>
        <v>0.7587636921624209</v>
      </c>
      <c r="R251" s="2120">
        <f t="shared" si="156"/>
        <v>1.2592650569723012</v>
      </c>
      <c r="S251" s="2120">
        <f t="shared" si="156"/>
        <v>1.8056568144499152</v>
      </c>
      <c r="T251" s="2120">
        <f t="shared" si="156"/>
        <v>0.90424344813953728</v>
      </c>
      <c r="U251" s="2120">
        <f t="shared" si="156"/>
        <v>8.849398213527411E-2</v>
      </c>
      <c r="V251" s="2120">
        <f t="shared" si="156"/>
        <v>0.27316795003165123</v>
      </c>
      <c r="W251" s="2120">
        <f t="shared" si="156"/>
        <v>-0.31052310100864372</v>
      </c>
      <c r="X251" s="2120">
        <f t="shared" si="156"/>
        <v>3.2782602338685983E-2</v>
      </c>
      <c r="Y251" s="2122">
        <f t="shared" si="156"/>
        <v>-0.21132051380088379</v>
      </c>
      <c r="Z251" s="2131">
        <v>0.7</v>
      </c>
      <c r="AA251" s="2131">
        <v>0.7</v>
      </c>
      <c r="AB251" s="2131">
        <v>0.7</v>
      </c>
      <c r="AC251" s="2131">
        <v>0.7</v>
      </c>
      <c r="AD251" s="61"/>
      <c r="AE251" s="61"/>
      <c r="AF251" s="61"/>
    </row>
    <row r="254" spans="1:32" ht="15" hidden="1" outlineLevel="1">
      <c r="A254" s="2063"/>
      <c r="B254" s="2064"/>
      <c r="C254" s="2064"/>
      <c r="D254" s="2064"/>
      <c r="E254" s="2064"/>
      <c r="F254" s="2064"/>
      <c r="G254" s="2064"/>
      <c r="H254" s="2064"/>
      <c r="I254" s="2064"/>
      <c r="J254" s="2064"/>
      <c r="K254" s="2064"/>
      <c r="L254" s="2064"/>
      <c r="M254" s="2064"/>
      <c r="N254" s="2064"/>
      <c r="O254" s="2064"/>
      <c r="P254" s="2064"/>
      <c r="Q254" s="2065"/>
      <c r="R254" s="2066"/>
      <c r="S254" s="2065"/>
      <c r="T254" s="2065"/>
      <c r="U254" s="2065"/>
      <c r="V254" s="2395" t="s">
        <v>892</v>
      </c>
      <c r="W254" s="2395"/>
      <c r="X254" s="2395"/>
      <c r="Y254" s="2395"/>
      <c r="Z254" s="2395"/>
      <c r="AA254" s="2067"/>
      <c r="AB254" s="2065"/>
      <c r="AC254" s="2065"/>
    </row>
    <row r="255" spans="1:32" hidden="1" outlineLevel="1">
      <c r="A255" s="2133" t="s">
        <v>408</v>
      </c>
      <c r="X255" s="217">
        <v>69</v>
      </c>
    </row>
    <row r="256" spans="1:32" hidden="1" outlineLevel="1">
      <c r="A256" s="2133" t="s">
        <v>893</v>
      </c>
      <c r="X256" s="217">
        <v>12</v>
      </c>
    </row>
    <row r="257" spans="22:24" hidden="1" outlineLevel="1">
      <c r="V257" s="24">
        <v>54</v>
      </c>
      <c r="W257" s="24">
        <v>75</v>
      </c>
      <c r="X257" s="24">
        <v>81</v>
      </c>
    </row>
    <row r="258" spans="22:24" collapsed="1"/>
  </sheetData>
  <mergeCells count="5">
    <mergeCell ref="V31:Z31"/>
    <mergeCell ref="V218:Z218"/>
    <mergeCell ref="T219:X219"/>
    <mergeCell ref="T5:X5"/>
    <mergeCell ref="V254:Z254"/>
  </mergeCells>
  <phoneticPr fontId="0" type="noConversion"/>
  <dataValidations disablePrompts="1" count="1">
    <dataValidation type="custom" allowBlank="1" showInputMessage="1" showErrorMessage="1" sqref="A86 A238">
      <formula1>-1</formula1>
    </dataValidation>
  </dataValidations>
  <printOptions horizontalCentered="1"/>
  <pageMargins left="0.5" right="0.5" top="0.5" bottom="0.5" header="0.5" footer="0.5"/>
  <pageSetup scale="46" orientation="landscape" r:id="rId1"/>
  <headerFooter alignWithMargins="0">
    <oddFooter>&amp;R&amp;8&amp;D
&amp;F/&amp;A</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BL80"/>
  <sheetViews>
    <sheetView topLeftCell="M1" zoomScale="85" zoomScaleNormal="85" workbookViewId="0">
      <selection activeCell="AI45" sqref="AI45"/>
    </sheetView>
  </sheetViews>
  <sheetFormatPr defaultRowHeight="12.75" outlineLevelRow="1" outlineLevelCol="1"/>
  <cols>
    <col min="1" max="1" width="3" style="3" customWidth="1"/>
    <col min="2" max="2" width="7" style="3" customWidth="1"/>
    <col min="3" max="3" width="1.42578125" style="3" customWidth="1" outlineLevel="1"/>
    <col min="4" max="4" width="12.7109375" style="3" customWidth="1" outlineLevel="1"/>
    <col min="5" max="5" width="5.140625" style="4" customWidth="1" outlineLevel="1"/>
    <col min="6" max="6" width="5.42578125" style="58" customWidth="1" outlineLevel="1"/>
    <col min="7" max="7" width="7.7109375" style="3" customWidth="1" outlineLevel="1"/>
    <col min="8" max="8" width="2.5703125" style="3" customWidth="1" outlineLevel="1" collapsed="1"/>
    <col min="9" max="9" width="10.85546875" style="3" customWidth="1" outlineLevel="1"/>
    <col min="10" max="10" width="4.5703125" style="4" customWidth="1" outlineLevel="1"/>
    <col min="11" max="11" width="4.85546875" style="4" customWidth="1" outlineLevel="1"/>
    <col min="12" max="12" width="8" style="4" customWidth="1" outlineLevel="1"/>
    <col min="13" max="13" width="1.85546875" style="3" customWidth="1" outlineLevel="1"/>
    <col min="14" max="14" width="10.140625" style="56" customWidth="1" outlineLevel="1"/>
    <col min="15" max="15" width="3.85546875" style="56" customWidth="1" outlineLevel="1"/>
    <col min="16" max="16" width="4.28515625" style="56" customWidth="1" outlineLevel="1"/>
    <col min="17" max="17" width="3.5703125" style="56" customWidth="1" outlineLevel="1"/>
    <col min="18" max="18" width="7.85546875" style="10" customWidth="1" outlineLevel="1"/>
    <col min="19" max="19" width="6.28515625" style="10" customWidth="1" outlineLevel="1"/>
    <col min="20" max="20" width="2.85546875" style="56" customWidth="1" outlineLevel="1"/>
    <col min="21" max="21" width="6.42578125" style="56" bestFit="1" customWidth="1" outlineLevel="1"/>
    <col min="22" max="22" width="2.5703125" style="56" customWidth="1"/>
    <col min="23" max="23" width="9.42578125" style="56" customWidth="1"/>
    <col min="24" max="24" width="4.85546875" style="10" customWidth="1"/>
    <col min="25" max="25" width="5.42578125" style="56" customWidth="1"/>
    <col min="26" max="26" width="2.28515625" style="56" customWidth="1"/>
    <col min="27" max="27" width="8.7109375" style="56" customWidth="1"/>
    <col min="28" max="28" width="4.85546875" style="10" customWidth="1"/>
    <col min="29" max="29" width="5.7109375" style="56" customWidth="1"/>
    <col min="30" max="30" width="1.28515625" style="56" customWidth="1"/>
    <col min="31" max="31" width="7.7109375" style="56" customWidth="1"/>
    <col min="32" max="32" width="4.42578125" style="56" customWidth="1"/>
    <col min="33" max="33" width="5.42578125" style="56" customWidth="1"/>
    <col min="34" max="34" width="7.140625" style="56" customWidth="1"/>
    <col min="35" max="35" width="7.28515625" style="56" customWidth="1"/>
    <col min="36" max="36" width="2.85546875" style="56" customWidth="1"/>
    <col min="37" max="37" width="8.5703125" style="56" customWidth="1"/>
    <col min="38" max="38" width="5.140625" style="10" customWidth="1"/>
    <col min="39" max="39" width="5.85546875" style="56" customWidth="1"/>
    <col min="40" max="40" width="1.7109375" style="56" customWidth="1"/>
    <col min="41" max="41" width="8.7109375" style="56" customWidth="1"/>
    <col min="42" max="42" width="4.5703125" style="10" customWidth="1"/>
    <col min="43" max="43" width="5" style="56" customWidth="1"/>
    <col min="44" max="44" width="2.140625" style="56" customWidth="1"/>
    <col min="45" max="45" width="1.28515625" style="56" customWidth="1"/>
    <col min="46" max="46" width="6" style="56" customWidth="1"/>
    <col min="47" max="47" width="5.5703125" style="56" customWidth="1"/>
    <col min="48" max="48" width="4.85546875" style="56" customWidth="1"/>
    <col min="49" max="49" width="1.85546875" style="56" customWidth="1"/>
    <col min="50" max="50" width="9.85546875" style="56" customWidth="1"/>
    <col min="51" max="51" width="5.5703125" style="10" customWidth="1"/>
    <col min="52" max="52" width="1.7109375" style="10" customWidth="1"/>
    <col min="53" max="53" width="9" style="56" customWidth="1"/>
    <col min="54" max="54" width="5" style="56" customWidth="1"/>
    <col min="55" max="55" width="4.85546875" style="56" customWidth="1"/>
    <col min="56" max="56" width="9.140625" style="10"/>
    <col min="57" max="64" width="9.140625" style="56"/>
    <col min="65" max="16384" width="9.140625" style="3"/>
  </cols>
  <sheetData>
    <row r="1" spans="1:64">
      <c r="A1" s="93" t="s">
        <v>896</v>
      </c>
      <c r="B1" s="41"/>
      <c r="C1" s="5"/>
      <c r="D1" s="5"/>
      <c r="E1" s="57"/>
      <c r="F1" s="36"/>
      <c r="G1" s="5"/>
      <c r="H1" s="5"/>
      <c r="I1" s="572"/>
      <c r="J1" s="1388"/>
      <c r="K1" s="1388"/>
      <c r="L1" s="1388"/>
      <c r="M1" s="572"/>
      <c r="N1" s="317"/>
      <c r="O1" s="317"/>
      <c r="P1" s="317"/>
      <c r="Q1" s="317"/>
      <c r="R1" s="1496"/>
      <c r="S1" s="1496"/>
      <c r="T1" s="317"/>
      <c r="U1" s="317"/>
      <c r="V1" s="319"/>
      <c r="W1" s="319"/>
      <c r="X1" s="1467"/>
      <c r="Y1" s="25"/>
      <c r="Z1" s="26"/>
      <c r="AA1" s="25"/>
      <c r="AB1" s="1467"/>
      <c r="AC1" s="26"/>
      <c r="AD1" s="26"/>
      <c r="AE1" s="26"/>
      <c r="AF1" s="26"/>
      <c r="AG1" s="26"/>
      <c r="AH1" s="26"/>
      <c r="AI1" s="26"/>
      <c r="AJ1" s="25"/>
      <c r="AK1" s="26"/>
      <c r="AL1" s="1467"/>
      <c r="AM1" s="25"/>
      <c r="AN1" s="26"/>
      <c r="AO1" s="25"/>
      <c r="AP1" s="1534"/>
      <c r="AQ1" s="26"/>
      <c r="AR1" s="540"/>
      <c r="AS1" s="317"/>
      <c r="AT1" s="317"/>
      <c r="AU1" s="317"/>
      <c r="AV1" s="317"/>
      <c r="AW1" s="317"/>
      <c r="AX1" s="25"/>
      <c r="BE1" s="3"/>
      <c r="BF1" s="3"/>
      <c r="BG1" s="3"/>
      <c r="BH1" s="3"/>
      <c r="BI1" s="3"/>
      <c r="BJ1" s="3"/>
      <c r="BK1" s="3"/>
      <c r="BL1" s="3"/>
    </row>
    <row r="2" spans="1:64">
      <c r="A2" s="1018" t="s">
        <v>899</v>
      </c>
      <c r="B2" s="61"/>
      <c r="C2" s="61"/>
      <c r="D2" s="61"/>
      <c r="E2" s="65"/>
      <c r="F2" s="315"/>
      <c r="G2" s="61"/>
      <c r="H2" s="61"/>
      <c r="I2" s="1043"/>
      <c r="J2" s="1389"/>
      <c r="K2" s="1389"/>
      <c r="L2" s="1389"/>
      <c r="M2" s="1043"/>
      <c r="N2" s="154"/>
      <c r="O2" s="154"/>
      <c r="P2" s="154"/>
      <c r="Q2" s="154"/>
      <c r="R2" s="115"/>
      <c r="S2" s="115"/>
      <c r="T2" s="154"/>
      <c r="U2" s="154"/>
      <c r="V2" s="154"/>
      <c r="AJ2" s="154"/>
      <c r="AK2" s="154"/>
      <c r="AL2" s="115"/>
      <c r="AM2" s="154"/>
      <c r="AN2" s="154"/>
      <c r="AO2" s="154"/>
      <c r="AP2" s="115"/>
      <c r="AQ2" s="154"/>
      <c r="AR2" s="1042"/>
      <c r="AS2" s="154"/>
      <c r="AT2" s="154"/>
      <c r="AU2" s="154"/>
      <c r="AV2" s="154"/>
      <c r="AW2" s="154"/>
      <c r="AX2" s="154"/>
      <c r="BE2" s="3"/>
      <c r="BF2" s="3"/>
      <c r="BG2" s="3"/>
      <c r="BH2" s="3"/>
      <c r="BI2" s="3"/>
      <c r="BJ2" s="3"/>
      <c r="BK2" s="3"/>
      <c r="BL2" s="3"/>
    </row>
    <row r="3" spans="1:64">
      <c r="A3" s="125" t="s">
        <v>634</v>
      </c>
      <c r="B3" s="61"/>
      <c r="C3" s="61"/>
      <c r="D3" s="61"/>
      <c r="E3" s="65"/>
      <c r="F3" s="315"/>
      <c r="G3" s="61"/>
      <c r="H3" s="61"/>
      <c r="I3" s="1043"/>
      <c r="J3" s="1389"/>
      <c r="K3" s="1389"/>
      <c r="L3" s="1389"/>
      <c r="M3" s="1043"/>
      <c r="N3" s="958"/>
      <c r="O3" s="958"/>
      <c r="P3" s="958"/>
      <c r="Q3" s="958"/>
      <c r="R3" s="1482"/>
      <c r="S3" s="1482"/>
      <c r="T3" s="958"/>
      <c r="U3" s="958"/>
      <c r="V3" s="958"/>
      <c r="W3" s="61"/>
      <c r="X3" s="65"/>
      <c r="Y3" s="61"/>
      <c r="Z3" s="61"/>
      <c r="AA3" s="61"/>
      <c r="AB3" s="65"/>
      <c r="AC3" s="61"/>
      <c r="AD3" s="61"/>
      <c r="AE3" s="61"/>
      <c r="AF3" s="61"/>
      <c r="AG3" s="61"/>
      <c r="AH3" s="61"/>
      <c r="AI3" s="61"/>
      <c r="AJ3" s="154"/>
      <c r="AK3" s="154"/>
      <c r="AL3" s="1482"/>
      <c r="AM3" s="154"/>
      <c r="AN3" s="1020"/>
      <c r="AO3" s="958"/>
      <c r="AP3" s="1482"/>
      <c r="AQ3" s="958"/>
      <c r="AR3" s="1042"/>
      <c r="AS3" s="154"/>
      <c r="AT3" s="154"/>
      <c r="AU3" s="154"/>
      <c r="AV3" s="154"/>
      <c r="AW3" s="154"/>
      <c r="AX3" s="154"/>
      <c r="BE3" s="3"/>
      <c r="BF3" s="3"/>
      <c r="BG3" s="3"/>
      <c r="BH3" s="3"/>
      <c r="BI3" s="3"/>
      <c r="BJ3" s="3"/>
      <c r="BK3" s="3"/>
      <c r="BL3" s="3"/>
    </row>
    <row r="4" spans="1:64">
      <c r="A4" s="125" t="s">
        <v>468</v>
      </c>
      <c r="B4" s="61"/>
      <c r="C4" s="61"/>
      <c r="D4" s="2398" t="s">
        <v>513</v>
      </c>
      <c r="E4" s="2399"/>
      <c r="F4" s="2399"/>
      <c r="G4" s="2399"/>
      <c r="H4" s="2399"/>
      <c r="I4" s="2399"/>
      <c r="J4" s="2399"/>
      <c r="K4" s="2399"/>
      <c r="L4" s="2399"/>
      <c r="M4" s="2399"/>
      <c r="N4" s="2399"/>
      <c r="O4" s="2399"/>
      <c r="P4" s="2399"/>
      <c r="Q4" s="2399"/>
      <c r="R4" s="2399"/>
      <c r="S4" s="2399"/>
      <c r="T4" s="2399"/>
      <c r="U4" s="2400"/>
      <c r="V4" s="958"/>
      <c r="W4" s="953" t="s">
        <v>407</v>
      </c>
      <c r="X4" s="1524"/>
      <c r="Y4" s="954"/>
      <c r="Z4" s="954"/>
      <c r="AA4" s="954"/>
      <c r="AB4" s="1524"/>
      <c r="AC4" s="954"/>
      <c r="AD4" s="954"/>
      <c r="AE4" s="954"/>
      <c r="AF4" s="954"/>
      <c r="AG4" s="955"/>
      <c r="AH4" s="953"/>
      <c r="AI4" s="955"/>
      <c r="AJ4" s="154"/>
      <c r="AK4" s="1040"/>
      <c r="AL4" s="1531"/>
      <c r="AM4" s="1041"/>
      <c r="AN4" s="1041"/>
      <c r="AO4" s="1041"/>
      <c r="AP4" s="1531"/>
      <c r="AQ4" s="1041" t="s">
        <v>514</v>
      </c>
      <c r="AR4" s="1041"/>
      <c r="AS4" s="1041"/>
      <c r="AT4" s="1041"/>
      <c r="AU4" s="1041"/>
      <c r="AV4" s="1041"/>
      <c r="AW4" s="1041"/>
      <c r="AX4" s="1041"/>
      <c r="AY4" s="1531"/>
      <c r="AZ4" s="1531"/>
      <c r="BA4" s="1531"/>
      <c r="BB4" s="1531"/>
      <c r="BC4" s="1535"/>
      <c r="BE4" s="3"/>
      <c r="BF4" s="3"/>
      <c r="BG4" s="3"/>
      <c r="BH4" s="3"/>
      <c r="BI4" s="3"/>
      <c r="BJ4" s="3"/>
      <c r="BK4" s="3"/>
      <c r="BL4" s="3"/>
    </row>
    <row r="5" spans="1:64">
      <c r="B5" s="61"/>
      <c r="C5" s="61"/>
      <c r="D5" s="2196"/>
      <c r="E5" s="2168" t="s">
        <v>428</v>
      </c>
      <c r="F5" s="2168" t="s">
        <v>428</v>
      </c>
      <c r="G5" s="2197"/>
      <c r="H5" s="2197"/>
      <c r="I5" s="726"/>
      <c r="J5" s="2168" t="s">
        <v>428</v>
      </c>
      <c r="K5" s="2168" t="s">
        <v>428</v>
      </c>
      <c r="L5" s="2168"/>
      <c r="M5" s="2197"/>
      <c r="N5" s="2197"/>
      <c r="O5" s="2168"/>
      <c r="P5" s="2168" t="s">
        <v>428</v>
      </c>
      <c r="Q5" s="2197"/>
      <c r="R5" s="2168"/>
      <c r="S5" s="2168"/>
      <c r="T5" s="2197"/>
      <c r="U5" s="2198"/>
      <c r="V5" s="1157"/>
      <c r="W5" s="2167"/>
      <c r="X5" s="2168" t="s">
        <v>428</v>
      </c>
      <c r="Y5" s="2168" t="s">
        <v>428</v>
      </c>
      <c r="Z5" s="220"/>
      <c r="AA5" s="2169"/>
      <c r="AB5" s="2168" t="s">
        <v>428</v>
      </c>
      <c r="AC5" s="2168" t="s">
        <v>428</v>
      </c>
      <c r="AD5" s="2168"/>
      <c r="AE5" s="2169"/>
      <c r="AF5" s="2168" t="s">
        <v>428</v>
      </c>
      <c r="AG5" s="2168" t="s">
        <v>428</v>
      </c>
      <c r="AH5" s="2168"/>
      <c r="AI5" s="2170"/>
      <c r="AJ5" s="154"/>
      <c r="AK5" s="2167"/>
      <c r="AL5" s="2168" t="s">
        <v>428</v>
      </c>
      <c r="AM5" s="2197" t="s">
        <v>428</v>
      </c>
      <c r="AN5" s="220"/>
      <c r="AO5" s="2169"/>
      <c r="AP5" s="2168" t="s">
        <v>428</v>
      </c>
      <c r="AQ5" s="2197" t="s">
        <v>428</v>
      </c>
      <c r="AR5" s="220"/>
      <c r="AS5" s="2197"/>
      <c r="AT5" s="2169"/>
      <c r="AU5" s="2168" t="s">
        <v>428</v>
      </c>
      <c r="AV5" s="2168" t="s">
        <v>428</v>
      </c>
      <c r="AW5" s="220"/>
      <c r="AX5" s="2169"/>
      <c r="AY5" s="2168" t="s">
        <v>428</v>
      </c>
      <c r="AZ5" s="2168"/>
      <c r="BA5" s="726"/>
      <c r="BB5" s="2168" t="s">
        <v>428</v>
      </c>
      <c r="BC5" s="2198" t="s">
        <v>428</v>
      </c>
      <c r="BE5" s="3"/>
      <c r="BF5" s="3"/>
      <c r="BG5" s="3"/>
      <c r="BH5" s="3"/>
      <c r="BI5" s="3"/>
      <c r="BJ5" s="3"/>
      <c r="BK5" s="3"/>
      <c r="BL5" s="3"/>
    </row>
    <row r="6" spans="1:64" ht="35.25" customHeight="1">
      <c r="A6" s="956"/>
      <c r="B6" s="61"/>
      <c r="C6" s="61"/>
      <c r="D6" s="2199" t="s">
        <v>894</v>
      </c>
      <c r="E6" s="2172" t="s">
        <v>515</v>
      </c>
      <c r="F6" s="2173" t="s">
        <v>635</v>
      </c>
      <c r="G6" s="2150" t="s">
        <v>895</v>
      </c>
      <c r="H6" s="1158"/>
      <c r="I6" s="2201" t="s">
        <v>845</v>
      </c>
      <c r="J6" s="2172" t="s">
        <v>515</v>
      </c>
      <c r="K6" s="2173" t="s">
        <v>635</v>
      </c>
      <c r="L6" s="2150" t="s">
        <v>895</v>
      </c>
      <c r="M6" s="1158"/>
      <c r="N6" s="1369" t="s">
        <v>793</v>
      </c>
      <c r="O6" s="2172" t="s">
        <v>515</v>
      </c>
      <c r="P6" s="2173" t="s">
        <v>635</v>
      </c>
      <c r="Q6" s="1158"/>
      <c r="R6" s="1497" t="s">
        <v>334</v>
      </c>
      <c r="S6" s="1497" t="s">
        <v>5</v>
      </c>
      <c r="T6" s="1159"/>
      <c r="U6" s="2202" t="s">
        <v>181</v>
      </c>
      <c r="V6" s="1159"/>
      <c r="W6" s="2171" t="s">
        <v>894</v>
      </c>
      <c r="X6" s="2172" t="s">
        <v>515</v>
      </c>
      <c r="Y6" s="2173" t="s">
        <v>516</v>
      </c>
      <c r="Z6" s="154"/>
      <c r="AA6" s="1048" t="s">
        <v>845</v>
      </c>
      <c r="AB6" s="2172" t="s">
        <v>515</v>
      </c>
      <c r="AC6" s="2173" t="s">
        <v>516</v>
      </c>
      <c r="AD6" s="2173"/>
      <c r="AE6" s="1048" t="s">
        <v>799</v>
      </c>
      <c r="AF6" s="2172" t="s">
        <v>515</v>
      </c>
      <c r="AG6" s="2173" t="s">
        <v>516</v>
      </c>
      <c r="AH6" s="2173"/>
      <c r="AI6" s="2174" t="s">
        <v>5</v>
      </c>
      <c r="AJ6" s="154"/>
      <c r="AK6" s="2171" t="s">
        <v>894</v>
      </c>
      <c r="AL6" s="2172" t="s">
        <v>515</v>
      </c>
      <c r="AM6" s="1159" t="s">
        <v>516</v>
      </c>
      <c r="AN6" s="154"/>
      <c r="AO6" s="1048" t="s">
        <v>845</v>
      </c>
      <c r="AP6" s="2172" t="s">
        <v>515</v>
      </c>
      <c r="AQ6" s="1159" t="s">
        <v>516</v>
      </c>
      <c r="AR6" s="154"/>
      <c r="AS6" s="1159"/>
      <c r="AT6" s="1048" t="s">
        <v>799</v>
      </c>
      <c r="AU6" s="2172" t="s">
        <v>515</v>
      </c>
      <c r="AV6" s="2173" t="s">
        <v>516</v>
      </c>
      <c r="AW6" s="154"/>
      <c r="AX6" s="1527" t="s">
        <v>410</v>
      </c>
      <c r="AY6" s="2172" t="s">
        <v>515</v>
      </c>
      <c r="AZ6" s="2172"/>
      <c r="BA6" s="1527" t="s">
        <v>783</v>
      </c>
      <c r="BB6" s="2172" t="s">
        <v>515</v>
      </c>
      <c r="BC6" s="2250" t="s">
        <v>516</v>
      </c>
      <c r="BD6" s="1555" t="s">
        <v>5</v>
      </c>
      <c r="BE6" s="3"/>
      <c r="BF6" s="3"/>
      <c r="BG6" s="3"/>
      <c r="BH6" s="3"/>
      <c r="BI6" s="3"/>
      <c r="BJ6" s="3"/>
      <c r="BK6" s="3"/>
      <c r="BL6" s="3"/>
    </row>
    <row r="7" spans="1:64" ht="9.75" customHeight="1">
      <c r="A7" s="956"/>
      <c r="B7" s="61"/>
      <c r="C7" s="61"/>
      <c r="D7" s="2199"/>
      <c r="E7" s="2172"/>
      <c r="F7" s="2173"/>
      <c r="G7" s="2200"/>
      <c r="H7" s="1158"/>
      <c r="I7" s="2201"/>
      <c r="J7" s="2172"/>
      <c r="K7" s="2173"/>
      <c r="L7" s="1020"/>
      <c r="M7" s="1158"/>
      <c r="N7" s="1369"/>
      <c r="O7" s="2172"/>
      <c r="P7" s="2173"/>
      <c r="Q7" s="1158"/>
      <c r="R7" s="1497"/>
      <c r="S7" s="1497"/>
      <c r="T7" s="1159"/>
      <c r="U7" s="2202"/>
      <c r="V7" s="1159"/>
      <c r="W7" s="2175"/>
      <c r="X7" s="2172"/>
      <c r="Y7" s="2173"/>
      <c r="Z7" s="154"/>
      <c r="AA7" s="2150"/>
      <c r="AB7" s="2172"/>
      <c r="AC7" s="2173"/>
      <c r="AD7" s="2173"/>
      <c r="AE7" s="2150"/>
      <c r="AF7" s="2172"/>
      <c r="AG7" s="2173"/>
      <c r="AH7" s="2173"/>
      <c r="AI7" s="2176"/>
      <c r="AJ7" s="154"/>
      <c r="AK7" s="2175"/>
      <c r="AL7" s="2172"/>
      <c r="AM7" s="1159"/>
      <c r="AN7" s="154"/>
      <c r="AO7" s="2150"/>
      <c r="AP7" s="2172"/>
      <c r="AQ7" s="1159"/>
      <c r="AR7" s="154"/>
      <c r="AS7" s="1159"/>
      <c r="AT7" s="2150"/>
      <c r="AU7" s="2172"/>
      <c r="AV7" s="2173"/>
      <c r="AW7" s="154"/>
      <c r="AX7" s="1588"/>
      <c r="AY7" s="2172"/>
      <c r="AZ7" s="2172"/>
      <c r="BA7" s="1588"/>
      <c r="BB7" s="2172"/>
      <c r="BC7" s="2250"/>
      <c r="BD7" s="1555"/>
      <c r="BE7" s="3"/>
      <c r="BF7" s="3"/>
      <c r="BG7" s="3"/>
      <c r="BH7" s="3"/>
      <c r="BI7" s="3"/>
      <c r="BJ7" s="3"/>
      <c r="BK7" s="3"/>
      <c r="BL7" s="3"/>
    </row>
    <row r="8" spans="1:64" hidden="1" outlineLevel="1">
      <c r="A8" s="956"/>
      <c r="B8" s="965" t="s">
        <v>792</v>
      </c>
      <c r="C8" s="61"/>
      <c r="D8" s="2203"/>
      <c r="E8" s="1483"/>
      <c r="F8" s="1468"/>
      <c r="G8" s="2204"/>
      <c r="H8" s="1036"/>
      <c r="I8" s="2205"/>
      <c r="J8" s="1483"/>
      <c r="K8" s="2206"/>
      <c r="L8" s="2206"/>
      <c r="M8" s="1037"/>
      <c r="N8" s="701"/>
      <c r="O8" s="701"/>
      <c r="P8" s="701"/>
      <c r="Q8" s="701"/>
      <c r="R8" s="1521"/>
      <c r="S8" s="1504"/>
      <c r="T8" s="154"/>
      <c r="U8" s="2207"/>
      <c r="V8" s="154"/>
      <c r="W8" s="2100"/>
      <c r="X8" s="115"/>
      <c r="Y8" s="154"/>
      <c r="Z8" s="154"/>
      <c r="AA8" s="154"/>
      <c r="AB8" s="115"/>
      <c r="AC8" s="154"/>
      <c r="AD8" s="154"/>
      <c r="AE8" s="154"/>
      <c r="AF8" s="154"/>
      <c r="AG8" s="154"/>
      <c r="AH8" s="154"/>
      <c r="AI8" s="1067"/>
      <c r="AJ8" s="154"/>
      <c r="AK8" s="2100"/>
      <c r="AL8" s="115"/>
      <c r="AM8" s="154"/>
      <c r="AN8" s="154"/>
      <c r="AO8" s="195"/>
      <c r="AP8" s="1484"/>
      <c r="AQ8" s="1162"/>
      <c r="AR8" s="154"/>
      <c r="AS8" s="1162"/>
      <c r="AT8" s="1162"/>
      <c r="AU8" s="1162"/>
      <c r="AV8" s="1162"/>
      <c r="AW8" s="154"/>
      <c r="AX8" s="2251"/>
      <c r="AY8" s="115"/>
      <c r="AZ8" s="115"/>
      <c r="BC8" s="2190"/>
      <c r="BD8" s="1401"/>
      <c r="BE8" s="3"/>
      <c r="BF8" s="3"/>
      <c r="BG8" s="3"/>
      <c r="BH8" s="3"/>
      <c r="BI8" s="3"/>
      <c r="BJ8" s="3"/>
      <c r="BK8" s="3"/>
      <c r="BL8" s="3"/>
    </row>
    <row r="9" spans="1:64" ht="10.5" hidden="1" customHeight="1" outlineLevel="1">
      <c r="A9" s="956" t="s">
        <v>457</v>
      </c>
      <c r="B9" s="61" t="s">
        <v>63</v>
      </c>
      <c r="C9" s="61"/>
      <c r="D9" s="2208">
        <f>+'qtrP&amp;L'!CF10</f>
        <v>1038.8</v>
      </c>
      <c r="E9" s="1483">
        <f>+'qtrP&amp;L'!CG10</f>
        <v>-9.7292224269178718</v>
      </c>
      <c r="F9" s="2209">
        <f>(D9/'qtrP&amp;L'!CF10)*100</f>
        <v>100</v>
      </c>
      <c r="G9" s="2210"/>
      <c r="H9" s="1036"/>
      <c r="I9" s="2211"/>
      <c r="J9" s="1483"/>
      <c r="K9" s="2206"/>
      <c r="L9" s="2206"/>
      <c r="M9" s="1037"/>
      <c r="N9" s="478"/>
      <c r="O9" s="478"/>
      <c r="P9" s="478"/>
      <c r="Q9" s="478"/>
      <c r="R9" s="1502">
        <f>'qtrP&amp;L'!CF10</f>
        <v>1038.8</v>
      </c>
      <c r="S9" s="1504">
        <f>+D9+I9+N9</f>
        <v>1038.8</v>
      </c>
      <c r="T9" s="1162"/>
      <c r="U9" s="2212">
        <f>S9-R9</f>
        <v>0</v>
      </c>
      <c r="V9" s="1162"/>
      <c r="W9" s="2343">
        <f>+'CoachSegsales&amp;OldOM'!AO72+'CoachSegsales&amp;OldOM'!AS72</f>
        <v>703.4</v>
      </c>
      <c r="X9" s="1483"/>
      <c r="Y9" s="1162">
        <f>W9/D9*100</f>
        <v>67.712745475548701</v>
      </c>
      <c r="Z9" s="154"/>
      <c r="AA9" s="2178"/>
      <c r="AB9" s="1483"/>
      <c r="AC9" s="1162"/>
      <c r="AD9" s="1162"/>
      <c r="AE9" s="2347"/>
      <c r="AF9" s="1162"/>
      <c r="AG9" s="1162"/>
      <c r="AH9" s="1162"/>
      <c r="AI9" s="2182"/>
      <c r="AJ9" s="154"/>
      <c r="AK9" s="2351"/>
      <c r="AL9" s="1483"/>
      <c r="AM9" s="1162"/>
      <c r="AN9" s="1179"/>
      <c r="AO9" s="2178"/>
      <c r="AP9" s="1483"/>
      <c r="AQ9" s="1162"/>
      <c r="AR9" s="1179"/>
      <c r="AS9" s="1162"/>
      <c r="AT9" s="1162"/>
      <c r="AU9" s="1162"/>
      <c r="AV9" s="1162"/>
      <c r="AW9" s="1179"/>
      <c r="AX9" s="2252"/>
      <c r="AY9" s="1483"/>
      <c r="AZ9" s="1483"/>
      <c r="BA9" s="1036">
        <f>'qtrP&amp;L'!CF60</f>
        <v>216.89999999999998</v>
      </c>
      <c r="BB9" s="1483" t="e">
        <f>(BA9/#REF!-1)*100</f>
        <v>#REF!</v>
      </c>
      <c r="BC9" s="2190">
        <f>(BA9/R9)*100</f>
        <v>20.879861378513667</v>
      </c>
      <c r="BD9" s="983">
        <f>AK9+AO9+AT9+AX9</f>
        <v>0</v>
      </c>
      <c r="BE9" s="3"/>
      <c r="BF9" s="3"/>
      <c r="BG9" s="3"/>
      <c r="BH9" s="3"/>
      <c r="BI9" s="3"/>
      <c r="BJ9" s="3"/>
      <c r="BK9" s="3"/>
      <c r="BL9" s="3"/>
    </row>
    <row r="10" spans="1:64" ht="10.5" hidden="1" customHeight="1" outlineLevel="1">
      <c r="A10" s="956" t="s">
        <v>458</v>
      </c>
      <c r="B10" s="61" t="s">
        <v>167</v>
      </c>
      <c r="C10" s="61"/>
      <c r="D10" s="2213">
        <f>+'qtrP&amp;L'!CF11</f>
        <v>1219.4000000000001</v>
      </c>
      <c r="E10" s="1483">
        <f>+'qtrP&amp;L'!CG11</f>
        <v>-14.104016274731901</v>
      </c>
      <c r="F10" s="2209">
        <f>(D10/'qtrP&amp;L'!CF11)*100</f>
        <v>100</v>
      </c>
      <c r="G10" s="2210"/>
      <c r="H10" s="1036"/>
      <c r="I10" s="2156"/>
      <c r="J10" s="1483"/>
      <c r="K10" s="2206"/>
      <c r="L10" s="2206"/>
      <c r="M10" s="1037"/>
      <c r="N10" s="478"/>
      <c r="O10" s="478"/>
      <c r="P10" s="478"/>
      <c r="Q10" s="478"/>
      <c r="R10" s="1502">
        <f>'qtrP&amp;L'!CF11</f>
        <v>1219.4000000000001</v>
      </c>
      <c r="S10" s="1504">
        <f>+D10+I10+N10</f>
        <v>1219.4000000000001</v>
      </c>
      <c r="T10" s="1162"/>
      <c r="U10" s="2214">
        <f>S10-R10</f>
        <v>0</v>
      </c>
      <c r="V10" s="1162"/>
      <c r="W10" s="2344">
        <f>+'CoachSegsales&amp;OldOM'!AO73+'CoachSegsales&amp;OldOM'!AS73</f>
        <v>824.5</v>
      </c>
      <c r="X10" s="1483"/>
      <c r="Y10" s="1162">
        <f>W10/D10*100</f>
        <v>67.615220600295217</v>
      </c>
      <c r="Z10" s="154"/>
      <c r="AA10" s="1455"/>
      <c r="AB10" s="1483"/>
      <c r="AC10" s="1162"/>
      <c r="AD10" s="1162"/>
      <c r="AE10" s="2347"/>
      <c r="AF10" s="1162"/>
      <c r="AG10" s="1162"/>
      <c r="AH10" s="1162"/>
      <c r="AI10" s="2182"/>
      <c r="AJ10" s="154"/>
      <c r="AK10" s="2352"/>
      <c r="AL10" s="1483"/>
      <c r="AM10" s="1162"/>
      <c r="AN10" s="154"/>
      <c r="AO10" s="1455"/>
      <c r="AP10" s="1483"/>
      <c r="AQ10" s="1162"/>
      <c r="AR10" s="154"/>
      <c r="AS10" s="1162"/>
      <c r="AT10" s="1162"/>
      <c r="AU10" s="1162"/>
      <c r="AV10" s="1162"/>
      <c r="AW10" s="154"/>
      <c r="AX10" s="2253"/>
      <c r="AY10" s="1483"/>
      <c r="AZ10" s="1483"/>
      <c r="BA10" s="195">
        <f>'qtrP&amp;L'!CF61</f>
        <v>299.00000000000011</v>
      </c>
      <c r="BB10" s="1483" t="e">
        <f>(BA10/#REF!-1)*100</f>
        <v>#REF!</v>
      </c>
      <c r="BC10" s="2190">
        <f>(BA10/R10)*100</f>
        <v>24.520255863539454</v>
      </c>
      <c r="BD10" s="192">
        <f>AK10+AO10+AT10+AX10</f>
        <v>0</v>
      </c>
      <c r="BE10" s="3"/>
      <c r="BF10" s="3"/>
      <c r="BG10" s="3"/>
      <c r="BH10" s="3"/>
      <c r="BI10" s="3"/>
      <c r="BJ10" s="3"/>
      <c r="BK10" s="3"/>
      <c r="BL10" s="3"/>
    </row>
    <row r="11" spans="1:64" ht="10.5" hidden="1" customHeight="1" outlineLevel="1">
      <c r="A11" s="956" t="s">
        <v>459</v>
      </c>
      <c r="B11" s="61" t="s">
        <v>166</v>
      </c>
      <c r="C11" s="61"/>
      <c r="D11" s="2213">
        <f>+'qtrP&amp;L'!CF12</f>
        <v>929.3</v>
      </c>
      <c r="E11" s="1483">
        <f>+'qtrP&amp;L'!CG12</f>
        <v>-15.489448230580216</v>
      </c>
      <c r="F11" s="2209">
        <f>(D11/'qtrP&amp;L'!CF12)*100</f>
        <v>100</v>
      </c>
      <c r="G11" s="2210"/>
      <c r="H11" s="1036"/>
      <c r="I11" s="2156"/>
      <c r="J11" s="1483"/>
      <c r="K11" s="2206"/>
      <c r="L11" s="2206"/>
      <c r="M11" s="1037"/>
      <c r="N11" s="478"/>
      <c r="O11" s="478"/>
      <c r="P11" s="478"/>
      <c r="Q11" s="478"/>
      <c r="R11" s="1502">
        <f>'qtrP&amp;L'!CF12</f>
        <v>929.3</v>
      </c>
      <c r="S11" s="1504">
        <f>+D11+I11+N11</f>
        <v>929.3</v>
      </c>
      <c r="T11" s="1162"/>
      <c r="U11" s="2214">
        <f>S11-R11</f>
        <v>0</v>
      </c>
      <c r="V11" s="1162"/>
      <c r="W11" s="2344">
        <f>+'CoachSegsales&amp;OldOM'!AO74+'CoachSegsales&amp;OldOM'!AS74</f>
        <v>642.29999999999995</v>
      </c>
      <c r="X11" s="1483"/>
      <c r="Y11" s="1162">
        <f>W11/D11*100</f>
        <v>69.116539330679004</v>
      </c>
      <c r="Z11" s="154"/>
      <c r="AA11" s="1455"/>
      <c r="AB11" s="1483"/>
      <c r="AC11" s="1162"/>
      <c r="AD11" s="1162"/>
      <c r="AE11" s="2347"/>
      <c r="AF11" s="1162"/>
      <c r="AG11" s="1162"/>
      <c r="AH11" s="1162"/>
      <c r="AI11" s="2182"/>
      <c r="AJ11" s="154"/>
      <c r="AK11" s="2352"/>
      <c r="AL11" s="1483"/>
      <c r="AM11" s="1162"/>
      <c r="AN11" s="154"/>
      <c r="AO11" s="1455"/>
      <c r="AP11" s="1483"/>
      <c r="AQ11" s="1162"/>
      <c r="AR11" s="154"/>
      <c r="AS11" s="1162"/>
      <c r="AT11" s="1162"/>
      <c r="AU11" s="1162"/>
      <c r="AV11" s="1162"/>
      <c r="AW11" s="154"/>
      <c r="AX11" s="2253"/>
      <c r="AY11" s="1483"/>
      <c r="AZ11" s="1483"/>
      <c r="BA11" s="195">
        <f>'qtrP&amp;L'!CF62</f>
        <v>146.5</v>
      </c>
      <c r="BB11" s="1483" t="e">
        <f>(BA11/#REF!-1)*100</f>
        <v>#REF!</v>
      </c>
      <c r="BC11" s="2190">
        <f>(BA11/R11)*100</f>
        <v>15.764553965350265</v>
      </c>
      <c r="BD11" s="192">
        <f>AK11+AO11+AT11+AX11</f>
        <v>0</v>
      </c>
      <c r="BE11" s="3"/>
      <c r="BF11" s="3"/>
      <c r="BG11" s="3"/>
      <c r="BH11" s="3"/>
      <c r="BI11" s="3"/>
      <c r="BJ11" s="3"/>
      <c r="BK11" s="3"/>
      <c r="BL11" s="3"/>
    </row>
    <row r="12" spans="1:64" ht="10.5" hidden="1" customHeight="1" outlineLevel="1">
      <c r="A12" s="956" t="s">
        <v>460</v>
      </c>
      <c r="B12" s="61" t="s">
        <v>62</v>
      </c>
      <c r="C12" s="61"/>
      <c r="D12" s="2215">
        <f>+'CoachSegsales&amp;OldOM'!D75+'CoachSegsales&amp;OldOM'!J75</f>
        <v>948</v>
      </c>
      <c r="E12" s="1483">
        <f>+'qtrP&amp;L'!CG13</f>
        <v>-11.627718673210008</v>
      </c>
      <c r="F12" s="2209">
        <f>(D12/'qtrP&amp;L'!CF13)*100</f>
        <v>94.41290708096804</v>
      </c>
      <c r="G12" s="1411"/>
      <c r="H12" s="1036"/>
      <c r="I12" s="2139"/>
      <c r="J12" s="1483"/>
      <c r="K12" s="2206"/>
      <c r="L12" s="2206"/>
      <c r="M12" s="1037"/>
      <c r="N12" s="1583">
        <v>43</v>
      </c>
      <c r="O12" s="478"/>
      <c r="P12" s="2216">
        <f>(N12/'qtrP&amp;L'!CF13)*100</f>
        <v>4.2824419878498157</v>
      </c>
      <c r="Q12" s="478"/>
      <c r="R12" s="1523">
        <f>'qtrP&amp;L'!CF13</f>
        <v>1004.1</v>
      </c>
      <c r="S12" s="1504">
        <f>+D12+I12+N12</f>
        <v>991</v>
      </c>
      <c r="T12" s="1162"/>
      <c r="U12" s="2217">
        <f>S12-R12</f>
        <v>-13.100000000000023</v>
      </c>
      <c r="V12" s="1162"/>
      <c r="W12" s="2345">
        <f>+'CoachSegsales&amp;OldOM'!AO75+'CoachSegsales&amp;OldOM'!AS75</f>
        <v>652.80000000000007</v>
      </c>
      <c r="X12" s="1483"/>
      <c r="Y12" s="1162">
        <f>W12/D12*100</f>
        <v>68.860759493670898</v>
      </c>
      <c r="Z12" s="154"/>
      <c r="AA12" s="1456"/>
      <c r="AB12" s="1483"/>
      <c r="AC12" s="1162"/>
      <c r="AD12" s="1162"/>
      <c r="AE12" s="2347"/>
      <c r="AF12" s="1162"/>
      <c r="AG12" s="1162"/>
      <c r="AH12" s="1162"/>
      <c r="AI12" s="2182"/>
      <c r="AJ12" s="154"/>
      <c r="AK12" s="2193"/>
      <c r="AL12" s="1483"/>
      <c r="AM12" s="1162"/>
      <c r="AN12" s="154"/>
      <c r="AO12" s="193"/>
      <c r="AP12" s="1483"/>
      <c r="AQ12" s="1162"/>
      <c r="AR12" s="154"/>
      <c r="AS12" s="1162"/>
      <c r="AT12" s="1162"/>
      <c r="AU12" s="1162"/>
      <c r="AV12" s="1162"/>
      <c r="AW12" s="154"/>
      <c r="AX12" s="1539"/>
      <c r="AY12" s="1483"/>
      <c r="AZ12" s="1483"/>
      <c r="BA12" s="193">
        <f>'qtrP&amp;L'!CF63</f>
        <v>126.10000000000014</v>
      </c>
      <c r="BB12" s="1483" t="e">
        <f>(BA12/#REF!-1)*100</f>
        <v>#REF!</v>
      </c>
      <c r="BC12" s="2190">
        <f>(BA12/R12)*100</f>
        <v>12.558510108554938</v>
      </c>
      <c r="BD12" s="193">
        <f>AK12+AO12+AT12+AX12</f>
        <v>0</v>
      </c>
      <c r="BE12" s="3"/>
      <c r="BF12" s="3"/>
      <c r="BG12" s="3"/>
      <c r="BH12" s="3"/>
      <c r="BI12" s="3"/>
      <c r="BJ12" s="3"/>
      <c r="BK12" s="3"/>
      <c r="BL12" s="3"/>
    </row>
    <row r="13" spans="1:64" ht="10.5" hidden="1" customHeight="1" outlineLevel="1">
      <c r="A13" s="956"/>
      <c r="B13" s="61" t="s">
        <v>461</v>
      </c>
      <c r="C13" s="61"/>
      <c r="D13" s="2218">
        <f>SUM(D9:D12)</f>
        <v>4135.5</v>
      </c>
      <c r="E13" s="1483">
        <f>+'qtrP&amp;L'!CG14</f>
        <v>-12.788121074622794</v>
      </c>
      <c r="F13" s="2209">
        <f>(D13/'qtrP&amp;L'!CF14)*100</f>
        <v>98.661608932150003</v>
      </c>
      <c r="G13" s="2210"/>
      <c r="H13" s="1036"/>
      <c r="I13" s="2140"/>
      <c r="J13" s="1483"/>
      <c r="K13" s="2206"/>
      <c r="L13" s="2206"/>
      <c r="M13" s="1037"/>
      <c r="N13" s="1036">
        <f>N20*0.91</f>
        <v>313.67700000000002</v>
      </c>
      <c r="O13" s="478"/>
      <c r="P13" s="478"/>
      <c r="Q13" s="478"/>
      <c r="R13" s="1502">
        <f>'qtrP&amp;L'!CF14</f>
        <v>4191.6000000000004</v>
      </c>
      <c r="S13" s="1504"/>
      <c r="T13" s="1162"/>
      <c r="U13" s="2214"/>
      <c r="V13" s="1162"/>
      <c r="W13" s="2346">
        <f>+'CoachSegsales&amp;OldOM'!AO76+'CoachSegsales&amp;OldOM'!AS76</f>
        <v>2823</v>
      </c>
      <c r="X13" s="1483"/>
      <c r="Y13" s="1162">
        <f>W13/D13*100</f>
        <v>68.2626042800145</v>
      </c>
      <c r="Z13" s="154"/>
      <c r="AA13" s="1633"/>
      <c r="AB13" s="1483"/>
      <c r="AC13" s="1162"/>
      <c r="AD13" s="1162"/>
      <c r="AE13" s="1162"/>
      <c r="AF13" s="1162"/>
      <c r="AG13" s="1162"/>
      <c r="AH13" s="1162"/>
      <c r="AI13" s="2182"/>
      <c r="AJ13" s="154"/>
      <c r="AK13" s="2183"/>
      <c r="AL13" s="1483"/>
      <c r="AM13" s="1162"/>
      <c r="AN13" s="154"/>
      <c r="AO13" s="1633"/>
      <c r="AP13" s="1483"/>
      <c r="AQ13" s="1162"/>
      <c r="AR13" s="154"/>
      <c r="AS13" s="1162"/>
      <c r="AT13" s="1162"/>
      <c r="AU13" s="1162"/>
      <c r="AV13" s="1162"/>
      <c r="AW13" s="154"/>
      <c r="AX13" s="2252"/>
      <c r="AY13" s="1483"/>
      <c r="AZ13" s="1483"/>
      <c r="BA13" s="1036">
        <f>'qtrP&amp;L'!CF64</f>
        <v>788.50000000000023</v>
      </c>
      <c r="BB13" s="1483" t="e">
        <f>(BA13/#REF!-1)*100</f>
        <v>#REF!</v>
      </c>
      <c r="BC13" s="2190">
        <f>(BA13/R13)*100</f>
        <v>18.811432388586702</v>
      </c>
      <c r="BD13" s="983">
        <f>AK13+AO13+AT13+AX13</f>
        <v>0</v>
      </c>
      <c r="BE13" s="3"/>
      <c r="BF13" s="3"/>
      <c r="BG13" s="3"/>
      <c r="BH13" s="3"/>
      <c r="BI13" s="3"/>
      <c r="BJ13" s="3"/>
      <c r="BK13" s="3"/>
      <c r="BL13" s="3"/>
    </row>
    <row r="14" spans="1:64" hidden="1" outlineLevel="1">
      <c r="A14" s="61"/>
      <c r="B14" s="61"/>
      <c r="C14" s="61"/>
      <c r="D14" s="2219"/>
      <c r="E14" s="115"/>
      <c r="F14" s="1468"/>
      <c r="G14" s="2220"/>
      <c r="H14" s="154"/>
      <c r="I14" s="2221"/>
      <c r="J14" s="2222"/>
      <c r="K14" s="2222"/>
      <c r="L14" s="2222"/>
      <c r="M14" s="2223"/>
      <c r="N14" s="154"/>
      <c r="O14" s="154"/>
      <c r="P14" s="154"/>
      <c r="Q14" s="154"/>
      <c r="R14" s="1521"/>
      <c r="S14" s="1521"/>
      <c r="T14" s="154"/>
      <c r="U14" s="2224"/>
      <c r="V14" s="154"/>
      <c r="W14" s="2184"/>
      <c r="X14" s="115"/>
      <c r="Y14" s="1526"/>
      <c r="Z14" s="154"/>
      <c r="AA14" s="195"/>
      <c r="AB14" s="115"/>
      <c r="AC14" s="154"/>
      <c r="AD14" s="154"/>
      <c r="AE14" s="154"/>
      <c r="AF14" s="154"/>
      <c r="AG14" s="154"/>
      <c r="AH14" s="154"/>
      <c r="AI14" s="1067"/>
      <c r="AJ14" s="154"/>
      <c r="AK14" s="2184"/>
      <c r="AL14" s="115"/>
      <c r="AM14" s="1162"/>
      <c r="AN14" s="154"/>
      <c r="AO14" s="195"/>
      <c r="AP14" s="1484"/>
      <c r="AQ14" s="1162"/>
      <c r="AR14" s="154"/>
      <c r="AS14" s="154"/>
      <c r="AT14" s="154"/>
      <c r="AU14" s="154"/>
      <c r="AV14" s="154"/>
      <c r="AW14" s="154"/>
      <c r="AX14" s="2253"/>
      <c r="AY14" s="115"/>
      <c r="AZ14" s="115"/>
      <c r="BC14" s="2190"/>
      <c r="BD14" s="1401"/>
      <c r="BE14" s="3"/>
      <c r="BF14" s="3"/>
      <c r="BG14" s="3"/>
      <c r="BH14" s="3"/>
      <c r="BI14" s="3"/>
      <c r="BJ14" s="3"/>
      <c r="BK14" s="3"/>
      <c r="BL14" s="3"/>
    </row>
    <row r="15" spans="1:64" hidden="1" outlineLevel="1">
      <c r="A15" s="956"/>
      <c r="B15" s="965" t="s">
        <v>803</v>
      </c>
      <c r="C15" s="61"/>
      <c r="D15" s="2225"/>
      <c r="E15" s="1483"/>
      <c r="F15" s="1468"/>
      <c r="G15" s="2204"/>
      <c r="H15" s="1036"/>
      <c r="I15" s="2226"/>
      <c r="J15" s="1483"/>
      <c r="K15" s="1483"/>
      <c r="L15" s="1483"/>
      <c r="M15" s="1037"/>
      <c r="N15" s="701"/>
      <c r="O15" s="701"/>
      <c r="P15" s="701"/>
      <c r="Q15" s="701"/>
      <c r="R15" s="1521"/>
      <c r="S15" s="1504"/>
      <c r="T15" s="154"/>
      <c r="U15" s="2227"/>
      <c r="V15" s="154"/>
      <c r="W15" s="2343"/>
      <c r="X15" s="115"/>
      <c r="Y15" s="1526"/>
      <c r="Z15" s="154"/>
      <c r="AA15" s="195"/>
      <c r="AB15" s="115"/>
      <c r="AC15" s="154"/>
      <c r="AD15" s="154"/>
      <c r="AE15" s="154"/>
      <c r="AF15" s="154"/>
      <c r="AG15" s="154"/>
      <c r="AH15" s="154"/>
      <c r="AI15" s="1067"/>
      <c r="AJ15" s="154"/>
      <c r="AK15" s="2100"/>
      <c r="AL15" s="115"/>
      <c r="AM15" s="154"/>
      <c r="AN15" s="154"/>
      <c r="AO15" s="195"/>
      <c r="AP15" s="1484"/>
      <c r="AQ15" s="154"/>
      <c r="AR15" s="154"/>
      <c r="AS15" s="154"/>
      <c r="AT15" s="154"/>
      <c r="AU15" s="154"/>
      <c r="AV15" s="154"/>
      <c r="AW15" s="154"/>
      <c r="AX15" s="2251"/>
      <c r="AY15" s="115"/>
      <c r="AZ15" s="115"/>
      <c r="BC15" s="2190"/>
      <c r="BD15" s="1401"/>
      <c r="BE15" s="3"/>
      <c r="BF15" s="3"/>
      <c r="BG15" s="3"/>
      <c r="BH15" s="3"/>
      <c r="BI15" s="3"/>
      <c r="BJ15" s="3"/>
      <c r="BK15" s="3"/>
      <c r="BL15" s="3"/>
    </row>
    <row r="16" spans="1:64" ht="10.5" hidden="1" customHeight="1" outlineLevel="1">
      <c r="A16" s="956" t="s">
        <v>457</v>
      </c>
      <c r="B16" s="61" t="s">
        <v>63</v>
      </c>
      <c r="C16" s="61"/>
      <c r="D16" s="2208">
        <f>+'CoachSegsales&amp;OldOM'!D79+'CoachSegsales&amp;OldOM'!J79</f>
        <v>930</v>
      </c>
      <c r="E16" s="1483">
        <f>(D16/D9-1)*100</f>
        <v>-10.473623411628797</v>
      </c>
      <c r="F16" s="2209">
        <f>(D16/'qtrP&amp;L'!CJ10)*100</f>
        <v>90.26497136756285</v>
      </c>
      <c r="G16" s="1660"/>
      <c r="H16" s="1036"/>
      <c r="I16" s="2157"/>
      <c r="J16" s="1483"/>
      <c r="K16" s="2206"/>
      <c r="L16" s="2206"/>
      <c r="M16" s="1037"/>
      <c r="N16" s="2228">
        <v>87.5</v>
      </c>
      <c r="O16" s="478"/>
      <c r="P16" s="2216">
        <f>(N16/'qtrP&amp;L'!CJ10)*100</f>
        <v>8.4926720372706992</v>
      </c>
      <c r="Q16" s="478"/>
      <c r="R16" s="1502">
        <f>'qtrP&amp;L'!CJ10</f>
        <v>1030.3</v>
      </c>
      <c r="S16" s="1504">
        <f>+D16+I16+N16</f>
        <v>1017.5</v>
      </c>
      <c r="T16" s="1162"/>
      <c r="U16" s="2212">
        <f>S16-R16</f>
        <v>-12.799999999999955</v>
      </c>
      <c r="V16" s="1162"/>
      <c r="W16" s="2343">
        <f>+'CoachSegsales&amp;OldOM'!AO79+'CoachSegsales&amp;OldOM'!AS79</f>
        <v>631.09999999999991</v>
      </c>
      <c r="X16" s="1483">
        <f>+(W16/W9-1)*100</f>
        <v>-10.278646573784489</v>
      </c>
      <c r="Y16" s="1162">
        <f>W16/D16*100</f>
        <v>67.860215053763426</v>
      </c>
      <c r="Z16" s="154"/>
      <c r="AA16" s="1633"/>
      <c r="AB16" s="1483"/>
      <c r="AC16" s="1162"/>
      <c r="AD16" s="1162"/>
      <c r="AE16" s="1633">
        <v>50.6</v>
      </c>
      <c r="AF16" s="1162" t="s">
        <v>606</v>
      </c>
      <c r="AG16" s="1162">
        <f>AE16/N16*100</f>
        <v>57.828571428571429</v>
      </c>
      <c r="AH16" s="1162">
        <f>+W16+AE16</f>
        <v>681.69999999999993</v>
      </c>
      <c r="AI16" s="2182">
        <f>+'qtrP&amp;L'!CJ10-'qtrP&amp;L'!CJ20</f>
        <v>697.39999999999986</v>
      </c>
      <c r="AJ16" s="154"/>
      <c r="AK16" s="2183"/>
      <c r="AL16" s="1483"/>
      <c r="AM16" s="1162"/>
      <c r="AN16" s="1179"/>
      <c r="AO16" s="1633"/>
      <c r="AP16" s="1483"/>
      <c r="AQ16" s="1162"/>
      <c r="AR16" s="1179"/>
      <c r="AS16" s="1526"/>
      <c r="AT16" s="1633">
        <v>15.1</v>
      </c>
      <c r="AU16" s="1483" t="s">
        <v>606</v>
      </c>
      <c r="AV16" s="1162">
        <f>AT16/N16*100</f>
        <v>17.257142857142856</v>
      </c>
      <c r="AW16" s="1179"/>
      <c r="AX16" s="2253"/>
      <c r="AY16" s="1483"/>
      <c r="AZ16" s="1483"/>
      <c r="BA16" s="1036">
        <f>'qtrP&amp;L'!CJ60</f>
        <v>164.99999999999989</v>
      </c>
      <c r="BB16" s="1483">
        <f>(BA16/BA9-1)*100</f>
        <v>-23.928077455048459</v>
      </c>
      <c r="BC16" s="2255">
        <f>(BA16/R16)*100</f>
        <v>16.01475298456759</v>
      </c>
      <c r="BD16" s="983">
        <f>AK16+AO16+AT16+AX16</f>
        <v>15.1</v>
      </c>
      <c r="BE16" s="3"/>
      <c r="BF16" s="3"/>
      <c r="BG16" s="3"/>
      <c r="BH16" s="3"/>
      <c r="BI16" s="3"/>
      <c r="BJ16" s="3"/>
      <c r="BK16" s="3"/>
      <c r="BL16" s="3"/>
    </row>
    <row r="17" spans="1:64" ht="10.5" hidden="1" customHeight="1" outlineLevel="1">
      <c r="A17" s="956" t="s">
        <v>458</v>
      </c>
      <c r="B17" s="61" t="s">
        <v>167</v>
      </c>
      <c r="C17" s="61"/>
      <c r="D17" s="2213">
        <f>+'CoachSegsales&amp;OldOM'!D80+'CoachSegsales&amp;OldOM'!J80</f>
        <v>1168.3</v>
      </c>
      <c r="E17" s="1483">
        <f>(D17/D10-1)*100</f>
        <v>-4.1905855338691289</v>
      </c>
      <c r="F17" s="2209">
        <f>(D17/'qtrP&amp;L'!CJ11)*100</f>
        <v>91.717695085570739</v>
      </c>
      <c r="G17" s="1660"/>
      <c r="H17" s="1036"/>
      <c r="I17" s="2156"/>
      <c r="J17" s="1483"/>
      <c r="K17" s="2206"/>
      <c r="L17" s="2206"/>
      <c r="M17" s="1037"/>
      <c r="N17" s="2229">
        <v>94</v>
      </c>
      <c r="O17" s="478"/>
      <c r="P17" s="2216">
        <f>(N17/'qtrP&amp;L'!CJ11)*100</f>
        <v>7.3794944261265512</v>
      </c>
      <c r="Q17" s="478"/>
      <c r="R17" s="1502">
        <f>'qtrP&amp;L'!CJ11</f>
        <v>1273.8</v>
      </c>
      <c r="S17" s="1504">
        <f>+D17+I17+N17</f>
        <v>1262.3</v>
      </c>
      <c r="T17" s="1162"/>
      <c r="U17" s="2214">
        <f>S17-R17</f>
        <v>-11.5</v>
      </c>
      <c r="V17" s="1162"/>
      <c r="W17" s="2344">
        <f>+'CoachSegsales&amp;OldOM'!AO80+'CoachSegsales&amp;OldOM'!AS80</f>
        <v>774.7</v>
      </c>
      <c r="X17" s="1483">
        <f>+(W17/W10-1)*100</f>
        <v>-6.0400242571255198</v>
      </c>
      <c r="Y17" s="1162">
        <f>W17/D17*100</f>
        <v>66.310023110502442</v>
      </c>
      <c r="Z17" s="154"/>
      <c r="AA17" s="1590"/>
      <c r="AB17" s="1483"/>
      <c r="AC17" s="1162"/>
      <c r="AD17" s="1526"/>
      <c r="AE17" s="1590">
        <v>60.5</v>
      </c>
      <c r="AF17" s="1162" t="s">
        <v>606</v>
      </c>
      <c r="AG17" s="1162">
        <f>AE17/N17*100</f>
        <v>64.361702127659569</v>
      </c>
      <c r="AH17" s="1162">
        <f>+W17+AE17</f>
        <v>835.2</v>
      </c>
      <c r="AI17" s="2182">
        <f>+'qtrP&amp;L'!CJ11-'qtrP&amp;L'!CJ21</f>
        <v>859.09999999999991</v>
      </c>
      <c r="AJ17" s="154"/>
      <c r="AK17" s="2185"/>
      <c r="AL17" s="1483"/>
      <c r="AM17" s="1162"/>
      <c r="AN17" s="154"/>
      <c r="AO17" s="1590"/>
      <c r="AP17" s="1483"/>
      <c r="AQ17" s="1162"/>
      <c r="AR17" s="154"/>
      <c r="AS17" s="1526"/>
      <c r="AT17" s="1590">
        <v>22.2</v>
      </c>
      <c r="AU17" s="1483" t="s">
        <v>606</v>
      </c>
      <c r="AV17" s="1162">
        <f>AT17/N17*100</f>
        <v>23.617021276595743</v>
      </c>
      <c r="AW17" s="154"/>
      <c r="AX17" s="2253"/>
      <c r="AY17" s="1483"/>
      <c r="AZ17" s="1483"/>
      <c r="BA17" s="195">
        <f>'qtrP&amp;L'!CJ61</f>
        <v>284.99999999999989</v>
      </c>
      <c r="BB17" s="1483">
        <f>(BA17/BA10-1)*100</f>
        <v>-4.6822742474917138</v>
      </c>
      <c r="BC17" s="2190">
        <f>(BA17/R17)*100</f>
        <v>22.373999057936874</v>
      </c>
      <c r="BD17" s="192">
        <f>AK17+AO17+AT17+AX17</f>
        <v>22.2</v>
      </c>
      <c r="BE17" s="3"/>
      <c r="BF17" s="3"/>
      <c r="BG17" s="3"/>
      <c r="BH17" s="3"/>
      <c r="BI17" s="3"/>
      <c r="BJ17" s="3"/>
      <c r="BK17" s="3"/>
      <c r="BL17" s="3"/>
    </row>
    <row r="18" spans="1:64" ht="10.5" hidden="1" customHeight="1" outlineLevel="1">
      <c r="A18" s="956" t="s">
        <v>459</v>
      </c>
      <c r="B18" s="61" t="s">
        <v>166</v>
      </c>
      <c r="C18" s="61"/>
      <c r="D18" s="2213">
        <f>+'CoachSegsales&amp;OldOM'!D81+'CoachSegsales&amp;OldOM'!J81</f>
        <v>947.09999999999991</v>
      </c>
      <c r="E18" s="1483">
        <f>(D18/D11-1)*100</f>
        <v>1.9154202087592775</v>
      </c>
      <c r="F18" s="2209">
        <f>(D18/'qtrP&amp;L'!CJ12)*100</f>
        <v>91.675539637982766</v>
      </c>
      <c r="G18" s="1660"/>
      <c r="H18" s="1036"/>
      <c r="I18" s="2156"/>
      <c r="J18" s="1483"/>
      <c r="K18" s="2206"/>
      <c r="L18" s="2206"/>
      <c r="M18" s="1037"/>
      <c r="N18" s="2229">
        <v>79.2</v>
      </c>
      <c r="O18" s="478"/>
      <c r="P18" s="2216">
        <f>(N18/'qtrP&amp;L'!CJ12)*100</f>
        <v>7.6662472171135416</v>
      </c>
      <c r="Q18" s="478"/>
      <c r="R18" s="1502">
        <f>'qtrP&amp;L'!CJ12</f>
        <v>1033.0999999999999</v>
      </c>
      <c r="S18" s="1504">
        <f>+D18+I18+N18</f>
        <v>1026.3</v>
      </c>
      <c r="T18" s="1162"/>
      <c r="U18" s="2214">
        <f>S18-R18</f>
        <v>-6.7999999999999545</v>
      </c>
      <c r="V18" s="1162"/>
      <c r="W18" s="2344">
        <f>+'CoachSegsales&amp;OldOM'!AO81+'CoachSegsales&amp;OldOM'!AS81</f>
        <v>647.1</v>
      </c>
      <c r="X18" s="1483">
        <f>+(W18/W11-1)*100</f>
        <v>0.74731433909389633</v>
      </c>
      <c r="Y18" s="1162">
        <f>W18/D18*100</f>
        <v>68.324358568261019</v>
      </c>
      <c r="Z18" s="154"/>
      <c r="AA18" s="1590"/>
      <c r="AB18" s="1483"/>
      <c r="AC18" s="1162"/>
      <c r="AD18" s="1526"/>
      <c r="AE18" s="1590">
        <v>46.1</v>
      </c>
      <c r="AF18" s="1162" t="s">
        <v>606</v>
      </c>
      <c r="AG18" s="1162">
        <f>AE18/N18*100</f>
        <v>58.207070707070706</v>
      </c>
      <c r="AH18" s="1162">
        <f>+W18+AE18</f>
        <v>693.2</v>
      </c>
      <c r="AI18" s="2182">
        <f>+'qtrP&amp;L'!CJ12-'qtrP&amp;L'!CJ22</f>
        <v>712.99999999999989</v>
      </c>
      <c r="AJ18" s="154"/>
      <c r="AK18" s="2185"/>
      <c r="AL18" s="1483"/>
      <c r="AM18" s="1162"/>
      <c r="AN18" s="154"/>
      <c r="AO18" s="1590"/>
      <c r="AP18" s="1483"/>
      <c r="AQ18" s="1162"/>
      <c r="AR18" s="154"/>
      <c r="AS18" s="1526"/>
      <c r="AT18" s="1590">
        <v>7.4</v>
      </c>
      <c r="AU18" s="1483" t="s">
        <v>606</v>
      </c>
      <c r="AV18" s="1162">
        <f>AT18/N18*100</f>
        <v>9.3434343434343443</v>
      </c>
      <c r="AW18" s="154"/>
      <c r="AX18" s="2253"/>
      <c r="AY18" s="1483"/>
      <c r="AZ18" s="1483"/>
      <c r="BA18" s="195">
        <f>'qtrP&amp;L'!CJ62</f>
        <v>151.79999999999973</v>
      </c>
      <c r="BB18" s="1483">
        <f>(BA18/BA11-1)*100</f>
        <v>3.617747440272856</v>
      </c>
      <c r="BC18" s="2190">
        <f>(BA18/R18)*100</f>
        <v>14.693640499467598</v>
      </c>
      <c r="BD18" s="192">
        <f>AK18+AO18+AT18+AX18</f>
        <v>7.4</v>
      </c>
    </row>
    <row r="19" spans="1:64" ht="10.5" hidden="1" customHeight="1" outlineLevel="1">
      <c r="A19" s="956" t="s">
        <v>460</v>
      </c>
      <c r="B19" s="61" t="s">
        <v>62</v>
      </c>
      <c r="C19" s="61"/>
      <c r="D19" s="2215">
        <f>+'CoachSegsales&amp;OldOM'!D82+'CoachSegsales&amp;OldOM'!J82</f>
        <v>1056</v>
      </c>
      <c r="E19" s="1483">
        <f>(D19/D12-1)*100</f>
        <v>11.392405063291132</v>
      </c>
      <c r="F19" s="2209">
        <f>(D19/'qtrP&amp;L'!CJ13)*100</f>
        <v>91.460245972631228</v>
      </c>
      <c r="G19" s="1659"/>
      <c r="H19" s="1036"/>
      <c r="I19" s="2139"/>
      <c r="J19" s="1483"/>
      <c r="K19" s="2206"/>
      <c r="L19" s="2206"/>
      <c r="M19" s="1037"/>
      <c r="N19" s="1583">
        <v>84</v>
      </c>
      <c r="O19" s="1484"/>
      <c r="P19" s="2216">
        <f>(N19/'qtrP&amp;L'!CJ13)*100</f>
        <v>7.2752468387320288</v>
      </c>
      <c r="Q19" s="478"/>
      <c r="R19" s="1523">
        <f>'qtrP&amp;L'!CJ13</f>
        <v>1154.5999999999999</v>
      </c>
      <c r="S19" s="1504">
        <f>+D19+I19+N19</f>
        <v>1140</v>
      </c>
      <c r="T19" s="1162"/>
      <c r="U19" s="2217">
        <f>S19-R19</f>
        <v>-14.599999999999909</v>
      </c>
      <c r="V19" s="1162"/>
      <c r="W19" s="2345">
        <f>+'CoachSegsales&amp;OldOM'!AO82+'CoachSegsales&amp;OldOM'!AS82</f>
        <v>711.3</v>
      </c>
      <c r="X19" s="1483">
        <f>+(W19/W12-1)*100</f>
        <v>8.9613970588235059</v>
      </c>
      <c r="Y19" s="1162">
        <f>W19/D19*100</f>
        <v>67.357954545454547</v>
      </c>
      <c r="Z19" s="154"/>
      <c r="AA19" s="1583"/>
      <c r="AB19" s="1483"/>
      <c r="AC19" s="1162"/>
      <c r="AD19" s="1526"/>
      <c r="AE19" s="1583">
        <f>AE20-SUM(AE16:AE18)</f>
        <v>46.300000000000011</v>
      </c>
      <c r="AF19" s="1162" t="s">
        <v>606</v>
      </c>
      <c r="AG19" s="1162">
        <f>AE19/N19*100</f>
        <v>55.119047619047635</v>
      </c>
      <c r="AH19" s="1162">
        <f>+W19+AE19</f>
        <v>757.59999999999991</v>
      </c>
      <c r="AI19" s="2182">
        <f>+'qtrP&amp;L'!CJ13-'qtrP&amp;L'!CJ23</f>
        <v>782.89999999999986</v>
      </c>
      <c r="AJ19" s="154"/>
      <c r="AK19" s="2187"/>
      <c r="AL19" s="1483"/>
      <c r="AM19" s="1162"/>
      <c r="AN19" s="154"/>
      <c r="AO19" s="2048"/>
      <c r="AP19" s="1483"/>
      <c r="AQ19" s="1162"/>
      <c r="AR19" s="154"/>
      <c r="AS19" s="1526"/>
      <c r="AT19" s="2048">
        <f>AT20-SUM(AT16:AT18)</f>
        <v>2.4000000000000057</v>
      </c>
      <c r="AU19" s="1483" t="s">
        <v>606</v>
      </c>
      <c r="AV19" s="1162">
        <f>AT19/N19*100</f>
        <v>2.8571428571428639</v>
      </c>
      <c r="AW19" s="154"/>
      <c r="AX19" s="1539"/>
      <c r="AY19" s="1483"/>
      <c r="AZ19" s="1483"/>
      <c r="BA19" s="193">
        <f>'qtrP&amp;L'!CJ63</f>
        <v>174.79999999999984</v>
      </c>
      <c r="BB19" s="1483">
        <f>(BA19/BA12-1)*100</f>
        <v>38.620142743853812</v>
      </c>
      <c r="BC19" s="2190">
        <f>(BA19/R19)*100</f>
        <v>15.139442231075684</v>
      </c>
      <c r="BD19" s="193">
        <f>AK19+AO19+AT19+AX19</f>
        <v>2.4000000000000057</v>
      </c>
    </row>
    <row r="20" spans="1:64" ht="10.5" hidden="1" customHeight="1" outlineLevel="1">
      <c r="A20" s="956"/>
      <c r="B20" s="61" t="s">
        <v>461</v>
      </c>
      <c r="C20" s="61"/>
      <c r="D20" s="2230">
        <v>4147.1000000000004</v>
      </c>
      <c r="E20" s="1483">
        <f>(D20/D13-1)*100</f>
        <v>0.28049812598236468</v>
      </c>
      <c r="F20" s="2209">
        <f>(D20/'qtrP&amp;L'!CJ14)*100</f>
        <v>92.326016296362283</v>
      </c>
      <c r="G20" s="1660"/>
      <c r="H20" s="1036"/>
      <c r="I20" s="2140"/>
      <c r="J20" s="1483"/>
      <c r="K20" s="2206"/>
      <c r="L20" s="2206"/>
      <c r="M20" s="1037"/>
      <c r="N20" s="1036">
        <f>SUM(N16:N19)</f>
        <v>344.7</v>
      </c>
      <c r="O20" s="1484">
        <f>N20/N13-1</f>
        <v>9.8901098901098772E-2</v>
      </c>
      <c r="P20" s="2216">
        <f>(N20/'qtrP&amp;L'!CJ14)*100</f>
        <v>7.6739837036377407</v>
      </c>
      <c r="Q20" s="478"/>
      <c r="R20" s="1502">
        <f>'qtrP&amp;L'!CJ14</f>
        <v>4491.7999999999993</v>
      </c>
      <c r="S20" s="1504">
        <f>+D20+I20+N20</f>
        <v>4491.8</v>
      </c>
      <c r="T20" s="1162"/>
      <c r="U20" s="2214">
        <f>S20-R20</f>
        <v>0</v>
      </c>
      <c r="V20" s="1162"/>
      <c r="W20" s="2191">
        <v>2848.9</v>
      </c>
      <c r="X20" s="1483">
        <f>+(W20/W13-1)*100</f>
        <v>0.91746369110874415</v>
      </c>
      <c r="Y20" s="1162">
        <f>W20/D20*100</f>
        <v>68.696197342721419</v>
      </c>
      <c r="Z20" s="154"/>
      <c r="AA20" s="1633"/>
      <c r="AB20" s="1483"/>
      <c r="AC20" s="1162"/>
      <c r="AD20" s="1162"/>
      <c r="AE20" s="1633">
        <f>202.4+1.1</f>
        <v>203.5</v>
      </c>
      <c r="AF20" s="1162" t="s">
        <v>606</v>
      </c>
      <c r="AG20" s="1162">
        <f>AE20/N20*100</f>
        <v>59.036843632143899</v>
      </c>
      <c r="AH20" s="1162">
        <f>+W20+AE20</f>
        <v>3052.4</v>
      </c>
      <c r="AI20" s="2182">
        <f>+'qtrP&amp;L'!CJ14-'qtrP&amp;L'!CJ24</f>
        <v>3052.3999999999992</v>
      </c>
      <c r="AJ20" s="154"/>
      <c r="AK20" s="2183">
        <v>1024.4000000000001</v>
      </c>
      <c r="AL20" s="1483"/>
      <c r="AM20" s="1162">
        <f>(AK20/D20)*100</f>
        <v>24.701598707530565</v>
      </c>
      <c r="AN20" s="154"/>
      <c r="AO20" s="1633"/>
      <c r="AP20" s="1483"/>
      <c r="AQ20" s="1162"/>
      <c r="AR20" s="154"/>
      <c r="AS20" s="1162"/>
      <c r="AT20" s="1633">
        <f>32.5+14.6</f>
        <v>47.1</v>
      </c>
      <c r="AU20" s="1483"/>
      <c r="AV20" s="1162">
        <f>AT20/N20*100</f>
        <v>13.664055700609227</v>
      </c>
      <c r="AW20" s="154"/>
      <c r="AX20" s="2252">
        <f>+-403.4+108.5</f>
        <v>-294.89999999999998</v>
      </c>
      <c r="AY20" s="1483"/>
      <c r="AZ20" s="1483"/>
      <c r="BA20" s="1036">
        <f>'qtrP&amp;L'!CJ64</f>
        <v>776.59999999999934</v>
      </c>
      <c r="BB20" s="1483">
        <f>(BA20/BA13-1)*100</f>
        <v>-1.5091946734306805</v>
      </c>
      <c r="BC20" s="2190">
        <f>(BA20/R20)*100</f>
        <v>17.289282692907062</v>
      </c>
      <c r="BD20" s="983">
        <f>AK20+AO20+AT20+AX20</f>
        <v>776.6</v>
      </c>
    </row>
    <row r="21" spans="1:64" hidden="1" outlineLevel="1">
      <c r="A21" s="61"/>
      <c r="B21" s="61"/>
      <c r="C21" s="61"/>
      <c r="D21" s="2231"/>
      <c r="E21" s="115"/>
      <c r="F21" s="1468"/>
      <c r="G21" s="2178"/>
      <c r="H21" s="154"/>
      <c r="I21" s="2221"/>
      <c r="J21" s="2222"/>
      <c r="K21" s="2222"/>
      <c r="L21" s="2222"/>
      <c r="M21" s="2223"/>
      <c r="N21" s="154"/>
      <c r="O21" s="154"/>
      <c r="P21" s="154"/>
      <c r="Q21" s="154"/>
      <c r="R21" s="1521"/>
      <c r="S21" s="1521"/>
      <c r="T21" s="154"/>
      <c r="U21" s="2224"/>
      <c r="V21" s="154"/>
      <c r="W21" s="2184"/>
      <c r="X21" s="115"/>
      <c r="Y21" s="1526"/>
      <c r="Z21" s="154"/>
      <c r="AA21" s="195"/>
      <c r="AB21" s="115"/>
      <c r="AC21" s="154"/>
      <c r="AD21" s="154"/>
      <c r="AE21" s="154"/>
      <c r="AF21" s="154"/>
      <c r="AG21" s="154"/>
      <c r="AH21" s="154"/>
      <c r="AI21" s="1067"/>
      <c r="AJ21" s="154"/>
      <c r="AK21" s="2184"/>
      <c r="AL21" s="115"/>
      <c r="AM21" s="1162"/>
      <c r="AN21" s="154"/>
      <c r="AO21" s="195"/>
      <c r="AP21" s="1484"/>
      <c r="AQ21" s="1162"/>
      <c r="AR21" s="154"/>
      <c r="AS21" s="154"/>
      <c r="AT21" s="1036"/>
      <c r="AU21" s="154"/>
      <c r="AV21" s="154"/>
      <c r="AW21" s="154"/>
      <c r="AX21" s="2253"/>
      <c r="AY21" s="115"/>
      <c r="AZ21" s="115"/>
      <c r="BC21" s="2190"/>
      <c r="BD21" s="1401"/>
    </row>
    <row r="22" spans="1:64" collapsed="1">
      <c r="A22" s="956"/>
      <c r="B22" s="965" t="s">
        <v>853</v>
      </c>
      <c r="C22" s="61"/>
      <c r="D22" s="2225"/>
      <c r="E22" s="1483"/>
      <c r="F22" s="1468"/>
      <c r="G22" s="2204"/>
      <c r="H22" s="1036"/>
      <c r="I22" s="2226"/>
      <c r="J22" s="1483"/>
      <c r="K22" s="1483"/>
      <c r="L22" s="1483"/>
      <c r="M22" s="1037"/>
      <c r="N22" s="701"/>
      <c r="O22" s="1486"/>
      <c r="P22" s="701"/>
      <c r="Q22" s="701"/>
      <c r="R22" s="1521"/>
      <c r="S22" s="1504"/>
      <c r="T22" s="154"/>
      <c r="U22" s="2227"/>
      <c r="V22" s="154"/>
      <c r="W22" s="2184"/>
      <c r="X22" s="115"/>
      <c r="Y22" s="1526"/>
      <c r="Z22" s="154"/>
      <c r="AA22" s="195"/>
      <c r="AB22" s="115"/>
      <c r="AC22" s="154"/>
      <c r="AD22" s="154"/>
      <c r="AE22" s="154"/>
      <c r="AF22" s="154"/>
      <c r="AG22" s="154"/>
      <c r="AH22" s="154"/>
      <c r="AI22" s="1067"/>
      <c r="AJ22" s="154"/>
      <c r="AK22" s="2100"/>
      <c r="AL22" s="115"/>
      <c r="AM22" s="154"/>
      <c r="AN22" s="154"/>
      <c r="AO22" s="195"/>
      <c r="AP22" s="1484"/>
      <c r="AQ22" s="154"/>
      <c r="AR22" s="154"/>
      <c r="AS22" s="154"/>
      <c r="AT22" s="154"/>
      <c r="AU22" s="154"/>
      <c r="AV22" s="154"/>
      <c r="AW22" s="154"/>
      <c r="AX22" s="2253"/>
      <c r="AY22" s="115"/>
      <c r="AZ22" s="115"/>
      <c r="BC22" s="2190"/>
      <c r="BD22" s="1401"/>
    </row>
    <row r="23" spans="1:64" ht="10.5" customHeight="1">
      <c r="A23" s="956" t="s">
        <v>457</v>
      </c>
      <c r="B23" s="61" t="s">
        <v>63</v>
      </c>
      <c r="C23" s="61"/>
      <c r="D23" s="2232">
        <v>950.1</v>
      </c>
      <c r="E23" s="1483">
        <f>(D23/D16-1)*100</f>
        <v>2.1612903225806557</v>
      </c>
      <c r="F23" s="2209">
        <f>(D23/'qtrP&amp;L'!CN10)*100</f>
        <v>91.567077872012348</v>
      </c>
      <c r="G23" s="1660"/>
      <c r="H23" s="1036"/>
      <c r="I23" s="2233"/>
      <c r="J23" s="1483"/>
      <c r="K23" s="2206"/>
      <c r="L23" s="2206"/>
      <c r="M23" s="1037"/>
      <c r="N23" s="2228">
        <v>87.5</v>
      </c>
      <c r="O23" s="1484">
        <f>N23/N16-1</f>
        <v>0</v>
      </c>
      <c r="P23" s="2216">
        <f>(N23/'qtrP&amp;L'!CN10)*100</f>
        <v>8.4329221279876645</v>
      </c>
      <c r="Q23" s="478"/>
      <c r="R23" s="1502">
        <f>'qtrP&amp;L'!CN10</f>
        <v>1037.5999999999999</v>
      </c>
      <c r="S23" s="1504">
        <f>+D23+I23+N23</f>
        <v>1037.5999999999999</v>
      </c>
      <c r="T23" s="1162"/>
      <c r="U23" s="2212">
        <f>S23-R23</f>
        <v>0</v>
      </c>
      <c r="V23" s="1162"/>
      <c r="W23" s="2183">
        <v>663.6</v>
      </c>
      <c r="X23" s="1483">
        <f>+(W23/W16-1)*100</f>
        <v>5.1497385517350835</v>
      </c>
      <c r="Y23" s="1162">
        <f>W23/D23*100</f>
        <v>69.845279444269025</v>
      </c>
      <c r="Z23" s="154"/>
      <c r="AA23" s="1633"/>
      <c r="AB23" s="1483"/>
      <c r="AC23" s="2362">
        <v>59.4</v>
      </c>
      <c r="AD23" s="1162"/>
      <c r="AE23" s="1633">
        <f>51.1+0.4</f>
        <v>51.5</v>
      </c>
      <c r="AF23" s="1483">
        <f>+(AE23/AE16-1)*100</f>
        <v>1.7786561264822032</v>
      </c>
      <c r="AG23" s="1162">
        <f>AE23/N23*100</f>
        <v>58.857142857142854</v>
      </c>
      <c r="AH23" s="1162">
        <f>+W23+AE23</f>
        <v>715.1</v>
      </c>
      <c r="AI23" s="2182">
        <f>+'qtrP&amp;L'!CN10-'qtrP&amp;L'!CN20</f>
        <v>715.09999999999991</v>
      </c>
      <c r="AJ23" s="154"/>
      <c r="AK23" s="2183">
        <v>232.3</v>
      </c>
      <c r="AL23" s="1483"/>
      <c r="AM23" s="1162">
        <f>(AK23/D23)*100</f>
        <v>24.4500578886433</v>
      </c>
      <c r="AN23" s="1179"/>
      <c r="AO23" s="1633"/>
      <c r="AP23" s="1483"/>
      <c r="AQ23" s="1162"/>
      <c r="AR23" s="1179"/>
      <c r="AS23" s="1526"/>
      <c r="AT23" s="1633">
        <f>3.9+1.35</f>
        <v>5.25</v>
      </c>
      <c r="AU23" s="1483">
        <f>+(AT23/AT16-1)*100</f>
        <v>-65.231788079470192</v>
      </c>
      <c r="AV23" s="1162">
        <f>AT23/N23*100</f>
        <v>6</v>
      </c>
      <c r="AW23" s="1179"/>
      <c r="AX23" s="2253">
        <f>+-70.3+9.5</f>
        <v>-60.8</v>
      </c>
      <c r="AY23" s="1483"/>
      <c r="AZ23" s="1483"/>
      <c r="BA23" s="1036">
        <f>'qtrP&amp;L'!CN60</f>
        <v>176.79999999999995</v>
      </c>
      <c r="BB23" s="1483">
        <f>(BA23/BA16-1)*100</f>
        <v>7.1515151515151976</v>
      </c>
      <c r="BC23" s="2255">
        <f>(BA23/R23)*100</f>
        <v>17.039321511179644</v>
      </c>
      <c r="BD23" s="983">
        <f>AK23+AO23+AT23+AX23</f>
        <v>176.75</v>
      </c>
    </row>
    <row r="24" spans="1:64" ht="10.5" customHeight="1">
      <c r="A24" s="956" t="s">
        <v>458</v>
      </c>
      <c r="B24" s="61" t="s">
        <v>167</v>
      </c>
      <c r="C24" s="61"/>
      <c r="D24" s="2234">
        <v>1203.4000000000001</v>
      </c>
      <c r="E24" s="1483">
        <f>(D24/D17-1)*100</f>
        <v>3.0043653171274665</v>
      </c>
      <c r="F24" s="2209">
        <f>(D24/'qtrP&amp;L'!CN11)*100</f>
        <v>91.049406067942812</v>
      </c>
      <c r="G24" s="1660"/>
      <c r="H24" s="1036"/>
      <c r="I24" s="2142"/>
      <c r="J24" s="1483"/>
      <c r="K24" s="2206"/>
      <c r="L24" s="2206"/>
      <c r="M24" s="1037"/>
      <c r="N24" s="1590">
        <v>118.3</v>
      </c>
      <c r="O24" s="1484">
        <f>N24/N17-1</f>
        <v>0.25851063829787235</v>
      </c>
      <c r="P24" s="2216">
        <f>(N24/'qtrP&amp;L'!CN11)*100</f>
        <v>8.950593932057199</v>
      </c>
      <c r="Q24" s="478"/>
      <c r="R24" s="1502">
        <f>'qtrP&amp;L'!CN11</f>
        <v>1321.7</v>
      </c>
      <c r="S24" s="1504">
        <f>+D24+I24+N24</f>
        <v>1321.7</v>
      </c>
      <c r="T24" s="1162"/>
      <c r="U24" s="2214">
        <f>S24-R24</f>
        <v>0</v>
      </c>
      <c r="V24" s="1162"/>
      <c r="W24" s="2185">
        <v>830.2</v>
      </c>
      <c r="X24" s="1483">
        <f>+(W24/W17-1)*100</f>
        <v>7.1640635084548876</v>
      </c>
      <c r="Y24" s="1162">
        <f>W24/D24*100</f>
        <v>68.987867708160209</v>
      </c>
      <c r="Z24" s="154"/>
      <c r="AA24" s="1590"/>
      <c r="AB24" s="1483"/>
      <c r="AC24" s="2362">
        <v>59.2</v>
      </c>
      <c r="AD24" s="1526"/>
      <c r="AE24" s="1590">
        <f>76+0.2</f>
        <v>76.2</v>
      </c>
      <c r="AF24" s="1483">
        <f>+(AE24/AE17-1)*100</f>
        <v>25.950413223140512</v>
      </c>
      <c r="AG24" s="1162">
        <f>AE24/N24*100</f>
        <v>64.41251056635673</v>
      </c>
      <c r="AH24" s="1162">
        <f>+W24+AE24</f>
        <v>906.40000000000009</v>
      </c>
      <c r="AI24" s="2182">
        <f>+'qtrP&amp;L'!CN11-'qtrP&amp;L'!CN21</f>
        <v>906.40000000000009</v>
      </c>
      <c r="AJ24" s="154"/>
      <c r="AK24" s="2185">
        <v>338.7</v>
      </c>
      <c r="AL24" s="1483"/>
      <c r="AM24" s="1162">
        <f>(AK24/D24)*100</f>
        <v>28.145255110520189</v>
      </c>
      <c r="AN24" s="154"/>
      <c r="AO24" s="1590"/>
      <c r="AP24" s="1483"/>
      <c r="AQ24" s="1162"/>
      <c r="AR24" s="154"/>
      <c r="AS24" s="1526"/>
      <c r="AT24" s="1590">
        <f>12+10.2</f>
        <v>22.2</v>
      </c>
      <c r="AU24" s="1483">
        <f>+(AT24/AT17-1)*100</f>
        <v>0</v>
      </c>
      <c r="AV24" s="1162">
        <f>AT24/N24*100</f>
        <v>18.765849535080303</v>
      </c>
      <c r="AW24" s="154"/>
      <c r="AX24" s="2253">
        <f>+-73.3+6.7</f>
        <v>-66.599999999999994</v>
      </c>
      <c r="AY24" s="1483"/>
      <c r="AZ24" s="1483"/>
      <c r="BA24" s="195">
        <f>'qtrP&amp;L'!CN61</f>
        <v>294.30000000000018</v>
      </c>
      <c r="BB24" s="1483">
        <f>(BA24/BA17-1)*100</f>
        <v>3.2631578947369455</v>
      </c>
      <c r="BC24" s="2190">
        <f>(BA24/R24)*100</f>
        <v>22.266777634864205</v>
      </c>
      <c r="BD24" s="192">
        <f>AK24+AO24+AT24+AX24</f>
        <v>294.29999999999995</v>
      </c>
    </row>
    <row r="25" spans="1:64" ht="10.5" customHeight="1">
      <c r="A25" s="956" t="s">
        <v>459</v>
      </c>
      <c r="B25" s="61" t="s">
        <v>166</v>
      </c>
      <c r="C25" s="61"/>
      <c r="D25" s="2234">
        <v>915.3</v>
      </c>
      <c r="E25" s="1483">
        <f>(D25/D18-1)*100</f>
        <v>-3.3576179917643278</v>
      </c>
      <c r="F25" s="2209">
        <f>(D25/'qtrP&amp;L'!CN12)*100</f>
        <v>91.971463022508033</v>
      </c>
      <c r="G25" s="1660"/>
      <c r="H25" s="1036"/>
      <c r="I25" s="2142"/>
      <c r="J25" s="1483"/>
      <c r="K25" s="2206"/>
      <c r="L25" s="2206"/>
      <c r="M25" s="1037"/>
      <c r="N25" s="1590">
        <v>79.900000000000006</v>
      </c>
      <c r="O25" s="1484">
        <f>N25/N18-1</f>
        <v>8.8383838383838675E-3</v>
      </c>
      <c r="P25" s="2216">
        <f>(N25/'qtrP&amp;L'!CN12)*100</f>
        <v>8.0285369774919602</v>
      </c>
      <c r="Q25" s="478"/>
      <c r="R25" s="1502">
        <f>'qtrP&amp;L'!CN12</f>
        <v>995.2</v>
      </c>
      <c r="S25" s="1504">
        <f>+D25+I25+N25</f>
        <v>995.19999999999993</v>
      </c>
      <c r="T25" s="1162"/>
      <c r="U25" s="2214">
        <f>S25-R25</f>
        <v>0</v>
      </c>
      <c r="V25" s="1162"/>
      <c r="W25" s="2186">
        <v>656.1</v>
      </c>
      <c r="X25" s="1483">
        <f>+(W25/W18-1)*100</f>
        <v>1.3908205841446364</v>
      </c>
      <c r="Y25" s="1162">
        <f>W25/D25*100</f>
        <v>71.681415929203553</v>
      </c>
      <c r="Z25" s="154"/>
      <c r="AA25" s="1936"/>
      <c r="AB25" s="1483"/>
      <c r="AC25" s="2362">
        <v>63.2</v>
      </c>
      <c r="AD25" s="1937"/>
      <c r="AE25" s="1936">
        <v>49.6</v>
      </c>
      <c r="AF25" s="1483">
        <f>+(AE25/AE18-1)*100</f>
        <v>7.5921908893709311</v>
      </c>
      <c r="AG25" s="1162">
        <f>AE25/N25*100</f>
        <v>62.077596996245298</v>
      </c>
      <c r="AH25" s="1162">
        <f>+W25+AE25</f>
        <v>705.7</v>
      </c>
      <c r="AI25" s="2182">
        <f>+'qtrP&amp;L'!CN12-'qtrP&amp;L'!CN22</f>
        <v>705.7</v>
      </c>
      <c r="AJ25" s="154"/>
      <c r="AK25" s="2186">
        <v>222.9</v>
      </c>
      <c r="AL25" s="1483"/>
      <c r="AM25" s="1162">
        <f>(AK25/D25)*100</f>
        <v>24.352671255326126</v>
      </c>
      <c r="AN25" s="154"/>
      <c r="AO25" s="1936"/>
      <c r="AP25" s="1483"/>
      <c r="AQ25" s="1162"/>
      <c r="AR25" s="154"/>
      <c r="AS25" s="1937"/>
      <c r="AT25" s="1936">
        <f>2.5+1.7</f>
        <v>4.2</v>
      </c>
      <c r="AU25" s="1483">
        <f>+(AT25/AT18-1)*100</f>
        <v>-43.243243243243242</v>
      </c>
      <c r="AV25" s="1162">
        <f>AT25/N25*100</f>
        <v>5.2565707133917394</v>
      </c>
      <c r="AW25" s="154"/>
      <c r="AX25" s="2256">
        <f>+-74.3+9.2</f>
        <v>-65.099999999999994</v>
      </c>
      <c r="AY25" s="1483"/>
      <c r="AZ25" s="1483"/>
      <c r="BA25" s="195">
        <f>'qtrP&amp;L'!CN62</f>
        <v>162</v>
      </c>
      <c r="BB25" s="1483">
        <f>(BA25/BA18-1)*100</f>
        <v>6.7193675889329896</v>
      </c>
      <c r="BC25" s="2190">
        <f>(BA25/R25)*100</f>
        <v>16.278135048231508</v>
      </c>
      <c r="BD25" s="192">
        <f>AK25+AO25+AT25+AX25</f>
        <v>162</v>
      </c>
    </row>
    <row r="26" spans="1:64" ht="10.5" customHeight="1">
      <c r="A26" s="956" t="s">
        <v>460</v>
      </c>
      <c r="B26" s="61" t="s">
        <v>62</v>
      </c>
      <c r="C26" s="61"/>
      <c r="D26" s="2235">
        <v>1045.9000000000001</v>
      </c>
      <c r="E26" s="1483">
        <f>(D26/D19-1)*100</f>
        <v>-0.95643939393939004</v>
      </c>
      <c r="F26" s="2209">
        <f>(D26/'qtrP&amp;L'!CN13)*100</f>
        <v>92.247309931204811</v>
      </c>
      <c r="G26" s="2047"/>
      <c r="H26" s="1036"/>
      <c r="I26" s="2143"/>
      <c r="J26" s="1483"/>
      <c r="K26" s="2206"/>
      <c r="L26" s="2206"/>
      <c r="M26" s="1037"/>
      <c r="N26" s="2048">
        <v>87.9</v>
      </c>
      <c r="O26" s="1484">
        <f>N26/N19-1</f>
        <v>4.6428571428571486E-2</v>
      </c>
      <c r="P26" s="2216">
        <f>(N26/'qtrP&amp;L'!CN13)*100</f>
        <v>7.7526900687952027</v>
      </c>
      <c r="Q26" s="478"/>
      <c r="R26" s="1523">
        <f>'qtrP&amp;L'!CN13</f>
        <v>1133.8</v>
      </c>
      <c r="S26" s="1504">
        <f>+D26+I26+N26</f>
        <v>1133.8000000000002</v>
      </c>
      <c r="T26" s="1162"/>
      <c r="U26" s="2217">
        <f>S26-R26</f>
        <v>0</v>
      </c>
      <c r="V26" s="1162"/>
      <c r="W26" s="2187">
        <v>705.1</v>
      </c>
      <c r="X26" s="1483">
        <f>+(W26/W19-1)*100</f>
        <v>-0.87164346970335371</v>
      </c>
      <c r="Y26" s="1162">
        <f>W26/D26*100</f>
        <v>67.415622908499856</v>
      </c>
      <c r="Z26" s="154"/>
      <c r="AA26" s="1583"/>
      <c r="AB26" s="1483"/>
      <c r="AC26" s="1162"/>
      <c r="AD26" s="1526"/>
      <c r="AE26" s="1583">
        <f>49.4+2.3</f>
        <v>51.699999999999996</v>
      </c>
      <c r="AF26" s="1483">
        <f>+(AE26/AE19-1)*100</f>
        <v>11.663066954643586</v>
      </c>
      <c r="AG26" s="1162">
        <f>AE26/N26*100</f>
        <v>58.816837315130819</v>
      </c>
      <c r="AH26" s="1162">
        <f>+W26+AE26</f>
        <v>756.80000000000007</v>
      </c>
      <c r="AI26" s="2182">
        <f>+'qtrP&amp;L'!CN13-'qtrP&amp;L'!CN23</f>
        <v>756.81999999999994</v>
      </c>
      <c r="AJ26" s="154"/>
      <c r="AK26" s="2187">
        <v>246.1</v>
      </c>
      <c r="AL26" s="1483"/>
      <c r="AM26" s="1162">
        <f>(AK26/D26)*100</f>
        <v>23.529974184912515</v>
      </c>
      <c r="AN26" s="154"/>
      <c r="AO26" s="2048"/>
      <c r="AP26" s="1483"/>
      <c r="AQ26" s="1162"/>
      <c r="AR26" s="154"/>
      <c r="AS26" s="1526"/>
      <c r="AT26" s="2048">
        <f>+-2.9+7.3</f>
        <v>4.4000000000000004</v>
      </c>
      <c r="AU26" s="1483">
        <f>+(AT26/AT19-1)*100</f>
        <v>83.333333333332902</v>
      </c>
      <c r="AV26" s="1162">
        <f>AT26/N26*100</f>
        <v>5.0056882821387942</v>
      </c>
      <c r="AW26" s="154"/>
      <c r="AX26" s="1539">
        <f>+-50.2-28.2</f>
        <v>-78.400000000000006</v>
      </c>
      <c r="AY26" s="1483"/>
      <c r="AZ26" s="1483"/>
      <c r="BA26" s="193">
        <f>'qtrP&amp;L'!CN63</f>
        <v>179.51999999999998</v>
      </c>
      <c r="BB26" s="1483">
        <f>(BA26/BA19-1)*100</f>
        <v>2.700228832952023</v>
      </c>
      <c r="BC26" s="2190">
        <f>(BA26/R26)*100</f>
        <v>15.833480331628152</v>
      </c>
      <c r="BD26" s="193">
        <f>AK26+AO26+AT26+AX26</f>
        <v>172.1</v>
      </c>
    </row>
    <row r="27" spans="1:64" ht="10.5" customHeight="1">
      <c r="A27" s="956"/>
      <c r="B27" s="61" t="s">
        <v>461</v>
      </c>
      <c r="C27" s="61"/>
      <c r="D27" s="2218">
        <f>SUM(D23:D26)</f>
        <v>4114.7000000000007</v>
      </c>
      <c r="E27" s="1483">
        <f>(D27/D20-1)*100</f>
        <v>-0.78126883846542095</v>
      </c>
      <c r="F27" s="2209">
        <f>(D27/'qtrP&amp;L'!CN14)*100</f>
        <v>91.676135730677558</v>
      </c>
      <c r="G27" s="2151"/>
      <c r="H27" s="1036"/>
      <c r="I27" s="2140"/>
      <c r="J27" s="1483"/>
      <c r="K27" s="1483"/>
      <c r="L27" s="1483"/>
      <c r="M27" s="1037"/>
      <c r="N27" s="1036">
        <f>SUM(N23:N26)</f>
        <v>373.6</v>
      </c>
      <c r="O27" s="1484">
        <f>N27/N20-1</f>
        <v>8.3841021177835984E-2</v>
      </c>
      <c r="P27" s="2216">
        <f>(N27/'qtrP&amp;L'!CN14)*100</f>
        <v>8.3238642693224598</v>
      </c>
      <c r="Q27" s="478"/>
      <c r="R27" s="1502">
        <f>'qtrP&amp;L'!CN14</f>
        <v>4488.3</v>
      </c>
      <c r="S27" s="1504">
        <f>+D27+I27+N27</f>
        <v>4488.3000000000011</v>
      </c>
      <c r="T27" s="1162"/>
      <c r="U27" s="2214">
        <f>S27-R27</f>
        <v>0</v>
      </c>
      <c r="V27" s="1162"/>
      <c r="W27" s="2188">
        <f>SUM(W23:W26)</f>
        <v>2855</v>
      </c>
      <c r="X27" s="1483">
        <f>+(W27/W20-1)*100</f>
        <v>0.21411772965003184</v>
      </c>
      <c r="Y27" s="1162">
        <f>W27/D27*100</f>
        <v>69.385374389384395</v>
      </c>
      <c r="Z27" s="154"/>
      <c r="AA27" s="2081"/>
      <c r="AB27" s="1483"/>
      <c r="AC27" s="1162"/>
      <c r="AD27" s="1162"/>
      <c r="AE27" s="2152">
        <f>SUM(AE23:AE26)</f>
        <v>229</v>
      </c>
      <c r="AF27" s="1483"/>
      <c r="AG27" s="1162">
        <f>AE27/N27*100</f>
        <v>61.295503211991431</v>
      </c>
      <c r="AH27" s="1162">
        <f>+W27+AE27</f>
        <v>3084</v>
      </c>
      <c r="AI27" s="2182">
        <f>+'qtrP&amp;L'!CN14-'qtrP&amp;L'!CN24</f>
        <v>3084.0200000000004</v>
      </c>
      <c r="AJ27" s="154"/>
      <c r="AK27" s="2188">
        <f>SUM(AK23:AK26)</f>
        <v>1040</v>
      </c>
      <c r="AL27" s="1483">
        <f>+(AK27/AK20-1)*100</f>
        <v>1.5228426395939021</v>
      </c>
      <c r="AM27" s="1162">
        <f>(AK27/D27)*100</f>
        <v>25.275232702262613</v>
      </c>
      <c r="AN27" s="154"/>
      <c r="AO27" s="2081"/>
      <c r="AP27" s="1483"/>
      <c r="AQ27" s="1162"/>
      <c r="AR27" s="154"/>
      <c r="AS27" s="1162"/>
      <c r="AT27" s="2152">
        <f>SUM(AT23:AT26)</f>
        <v>36.049999999999997</v>
      </c>
      <c r="AU27" s="1483">
        <f>+(AT27/AT20-1)*100</f>
        <v>-23.460721868365187</v>
      </c>
      <c r="AV27" s="1162">
        <f>(AT27/N27)*100</f>
        <v>9.6493576017130618</v>
      </c>
      <c r="AW27" s="154"/>
      <c r="AX27" s="2252">
        <f>SUM(AX23:AX26)</f>
        <v>-270.89999999999998</v>
      </c>
      <c r="AY27" s="1483">
        <f>+(AX27/AX20-1)*100</f>
        <v>-8.138351983723302</v>
      </c>
      <c r="AZ27" s="1483"/>
      <c r="BA27" s="1036">
        <f>'qtrP&amp;L'!CN64</f>
        <v>812.62000000000012</v>
      </c>
      <c r="BB27" s="1483">
        <f>(BA27/BA20-1)*100</f>
        <v>4.6381663662117933</v>
      </c>
      <c r="BC27" s="2190">
        <f>(BA27/R27)*100</f>
        <v>18.105295991800908</v>
      </c>
      <c r="BD27" s="983">
        <f>AK27+AO27+AT27+AX27</f>
        <v>805.15</v>
      </c>
    </row>
    <row r="28" spans="1:64">
      <c r="D28" s="2219"/>
      <c r="E28" s="115"/>
      <c r="F28" s="1468"/>
      <c r="G28" s="2178"/>
      <c r="H28" s="154"/>
      <c r="I28" s="2221"/>
      <c r="J28" s="10"/>
      <c r="K28" s="10"/>
      <c r="L28" s="10"/>
      <c r="M28" s="56"/>
      <c r="R28" s="1521"/>
      <c r="S28" s="1521"/>
      <c r="U28" s="2236"/>
      <c r="W28" s="2189"/>
      <c r="AA28" s="154"/>
      <c r="AB28" s="115"/>
      <c r="AC28" s="154"/>
      <c r="AI28" s="2190"/>
      <c r="AK28" s="2189"/>
      <c r="BC28" s="2190"/>
    </row>
    <row r="29" spans="1:64" s="61" customFormat="1">
      <c r="A29" s="956"/>
      <c r="B29" s="997" t="s">
        <v>12</v>
      </c>
      <c r="D29" s="2225"/>
      <c r="E29" s="1483"/>
      <c r="F29" s="1468"/>
      <c r="G29" s="2204"/>
      <c r="H29" s="1036"/>
      <c r="I29" s="2226"/>
      <c r="J29" s="1483"/>
      <c r="K29" s="1483"/>
      <c r="L29" s="1483"/>
      <c r="M29" s="1037"/>
      <c r="N29" s="701"/>
      <c r="O29" s="1486"/>
      <c r="P29" s="701"/>
      <c r="Q29" s="701"/>
      <c r="R29" s="1521"/>
      <c r="S29" s="1504"/>
      <c r="T29" s="154"/>
      <c r="U29" s="2237"/>
      <c r="V29" s="154"/>
      <c r="W29" s="2184"/>
      <c r="X29" s="115"/>
      <c r="Y29" s="1526">
        <f>Y23-Y30</f>
        <v>1.4470110460006254</v>
      </c>
      <c r="Z29" s="154"/>
      <c r="AA29" s="195"/>
      <c r="AB29" s="115"/>
      <c r="AC29" s="154"/>
      <c r="AD29" s="154"/>
      <c r="AE29" s="154"/>
      <c r="AF29" s="154"/>
      <c r="AG29" s="154"/>
      <c r="AH29" s="154"/>
      <c r="AI29" s="1067"/>
      <c r="AJ29" s="154"/>
      <c r="AK29" s="2100"/>
      <c r="AL29" s="115"/>
      <c r="AM29" s="154"/>
      <c r="AN29" s="154"/>
      <c r="AO29" s="195"/>
      <c r="AP29" s="1484"/>
      <c r="AQ29" s="154"/>
      <c r="AR29" s="154"/>
      <c r="AS29" s="154"/>
      <c r="AT29" s="154"/>
      <c r="AU29" s="154"/>
      <c r="AV29" s="154"/>
      <c r="AW29" s="154"/>
      <c r="AX29" s="2251"/>
      <c r="AY29" s="115"/>
      <c r="AZ29" s="115"/>
      <c r="BA29" s="154"/>
      <c r="BB29" s="154"/>
      <c r="BC29" s="1067"/>
      <c r="BD29" s="1403"/>
      <c r="BE29" s="154"/>
      <c r="BF29" s="154"/>
      <c r="BG29" s="154"/>
      <c r="BH29" s="154"/>
      <c r="BI29" s="154"/>
      <c r="BJ29" s="154"/>
      <c r="BK29" s="154"/>
      <c r="BL29" s="154"/>
    </row>
    <row r="30" spans="1:64" s="61" customFormat="1" ht="10.5" customHeight="1">
      <c r="A30" s="956" t="s">
        <v>457</v>
      </c>
      <c r="B30" s="61" t="s">
        <v>63</v>
      </c>
      <c r="D30" s="2238">
        <v>924</v>
      </c>
      <c r="E30" s="1483">
        <f>(D30/D23-1)*100</f>
        <v>-2.7470792548152878</v>
      </c>
      <c r="F30" s="2239">
        <f>(D30/'qtrP&amp;L'!CR10)*100</f>
        <v>71.689037163472719</v>
      </c>
      <c r="G30" s="2348">
        <v>-2</v>
      </c>
      <c r="H30" s="1036"/>
      <c r="I30" s="2165">
        <v>269</v>
      </c>
      <c r="J30" s="1483">
        <f>(+I30/KateQtrSalesOld!V48-1)*100</f>
        <v>-15.015417277460452</v>
      </c>
      <c r="K30" s="2239">
        <f>(I30/'qtrP&amp;L'!CR10)*100</f>
        <v>20.870509736985024</v>
      </c>
      <c r="L30" s="2356">
        <v>-9</v>
      </c>
      <c r="M30" s="1037"/>
      <c r="N30" s="2164">
        <v>96</v>
      </c>
      <c r="O30" s="1484">
        <f>N30/N23-1</f>
        <v>9.7142857142857197E-2</v>
      </c>
      <c r="P30" s="2240">
        <f>(N30/'qtrP&amp;L'!CR10)*100</f>
        <v>7.4482116533478155</v>
      </c>
      <c r="Q30" s="478"/>
      <c r="R30" s="1502">
        <f>'qtrP&amp;L'!CR10</f>
        <v>1288.9000000000001</v>
      </c>
      <c r="S30" s="1504">
        <f>+D30+I30+N30</f>
        <v>1289</v>
      </c>
      <c r="T30" s="1162"/>
      <c r="U30" s="2212">
        <f>S30-R30</f>
        <v>9.9999999999909051E-2</v>
      </c>
      <c r="V30" s="1162"/>
      <c r="W30" s="2191">
        <v>632</v>
      </c>
      <c r="X30" s="1483">
        <f>+(W30/W23-1)*100</f>
        <v>-4.7619047619047672</v>
      </c>
      <c r="Y30" s="1162">
        <f>W30/D30*100</f>
        <v>68.398268398268399</v>
      </c>
      <c r="Z30" s="154"/>
      <c r="AA30" s="2192">
        <v>165</v>
      </c>
      <c r="AB30" s="1483"/>
      <c r="AC30" s="2166">
        <f>AA30/I30*100</f>
        <v>61.338289962825279</v>
      </c>
      <c r="AD30" s="1162"/>
      <c r="AE30" s="1633">
        <v>55.8</v>
      </c>
      <c r="AF30" s="1483">
        <f>+(AE30/AE23-1)*100</f>
        <v>8.3495145631067977</v>
      </c>
      <c r="AG30" s="1162">
        <f>AE30/N30*100</f>
        <v>58.124999999999993</v>
      </c>
      <c r="AH30" s="1162">
        <f>+W30+AE30+AA30</f>
        <v>852.8</v>
      </c>
      <c r="AI30" s="2182">
        <f>+'qtrP&amp;L'!CR10-'qtrP&amp;L'!CR20</f>
        <v>852.80000000000007</v>
      </c>
      <c r="AJ30" s="154"/>
      <c r="AK30" s="2191">
        <v>198.3</v>
      </c>
      <c r="AL30" s="1483">
        <f>+(AK30/AK23-1)*100</f>
        <v>-14.636246233318984</v>
      </c>
      <c r="AM30" s="1162">
        <f>(AK30/D30)*100</f>
        <v>21.461038961038962</v>
      </c>
      <c r="AN30" s="1179"/>
      <c r="AO30" s="2081">
        <v>21.6</v>
      </c>
      <c r="AP30" s="1483"/>
      <c r="AQ30" s="1162">
        <f>(AO30/I30)*100</f>
        <v>8.0297397769516738</v>
      </c>
      <c r="AR30" s="1179"/>
      <c r="AS30" s="1526"/>
      <c r="AT30" s="2081">
        <v>9.1999999999999993</v>
      </c>
      <c r="AU30" s="1483">
        <f>+(AT30/AT23-1)*100</f>
        <v>75.238095238095212</v>
      </c>
      <c r="AV30" s="1162">
        <f>AT30/N30*100</f>
        <v>9.5833333333333321</v>
      </c>
      <c r="AW30" s="1179"/>
      <c r="AX30" s="2253">
        <f>+BA30-AK30-AO30-AT30</f>
        <v>-60.29999999999994</v>
      </c>
      <c r="AY30" s="1483">
        <f>+(AX30/AX23-1)*100</f>
        <v>-0.82236842105272157</v>
      </c>
      <c r="AZ30" s="1483"/>
      <c r="BA30" s="1036">
        <f>'qtrP&amp;L'!CR60</f>
        <v>168.80000000000007</v>
      </c>
      <c r="BB30" s="1483">
        <f>(BA30/BA23-1)*100</f>
        <v>-4.5248868778279938</v>
      </c>
      <c r="BC30" s="2255">
        <f>(BA30/R30)*100</f>
        <v>13.096438823803247</v>
      </c>
      <c r="BD30" s="983">
        <f>AK30+AO30+AT30+AX30</f>
        <v>168.80000000000007</v>
      </c>
      <c r="BE30" s="154"/>
      <c r="BF30" s="154"/>
      <c r="BG30" s="154"/>
      <c r="BH30" s="154"/>
      <c r="BI30" s="154"/>
      <c r="BJ30" s="154"/>
      <c r="BK30" s="154"/>
      <c r="BL30" s="154"/>
    </row>
    <row r="31" spans="1:64" s="61" customFormat="1" ht="10.5" customHeight="1">
      <c r="A31" s="956" t="s">
        <v>458</v>
      </c>
      <c r="B31" s="61" t="s">
        <v>167</v>
      </c>
      <c r="D31" s="2238">
        <v>1230</v>
      </c>
      <c r="E31" s="1483">
        <f>(D31/D24-1)*100</f>
        <v>2.2104038557420491</v>
      </c>
      <c r="F31" s="2239">
        <f>(D31/'qtrP&amp;L'!CR11)*100</f>
        <v>68.907563025210081</v>
      </c>
      <c r="G31" s="2348">
        <v>3</v>
      </c>
      <c r="H31" s="1036"/>
      <c r="I31" s="2165">
        <v>435</v>
      </c>
      <c r="J31" s="1483">
        <f>(+I31/KateQtrSalesOld!V49-1)*100</f>
        <v>-7.6113389559444133</v>
      </c>
      <c r="K31" s="2239">
        <f>(I31/'qtrP&amp;L'!CR11)*100</f>
        <v>24.369747899159663</v>
      </c>
      <c r="L31" s="2356">
        <v>-7</v>
      </c>
      <c r="M31" s="1037"/>
      <c r="N31" s="2164">
        <v>121</v>
      </c>
      <c r="O31" s="1484">
        <f>N31/N24-1</f>
        <v>2.2823330515638229E-2</v>
      </c>
      <c r="P31" s="2240">
        <f>(N31/'qtrP&amp;L'!CR11)*100</f>
        <v>6.7787114845938374</v>
      </c>
      <c r="Q31" s="478"/>
      <c r="R31" s="1502">
        <f>'qtrP&amp;L'!CR11</f>
        <v>1785</v>
      </c>
      <c r="S31" s="1504">
        <f>+D31+I31+N31</f>
        <v>1786</v>
      </c>
      <c r="T31" s="1162"/>
      <c r="U31" s="2214">
        <f>S31-R31</f>
        <v>1</v>
      </c>
      <c r="V31" s="1162"/>
      <c r="W31" s="2385">
        <v>846</v>
      </c>
      <c r="X31" s="1483">
        <f>+(W31/W24-1)*100</f>
        <v>1.9031558660563608</v>
      </c>
      <c r="Y31" s="2166">
        <f>W31/D31*100</f>
        <v>68.780487804878049</v>
      </c>
      <c r="Z31" s="154"/>
      <c r="AA31" s="2164">
        <v>275</v>
      </c>
      <c r="AB31" s="1483"/>
      <c r="AC31" s="2166">
        <f>AA31/I31*100</f>
        <v>63.218390804597703</v>
      </c>
      <c r="AD31" s="1526"/>
      <c r="AE31" s="2164">
        <v>75</v>
      </c>
      <c r="AF31" s="1483">
        <f>+(AE31/AE24-1)*100</f>
        <v>-1.5748031496063075</v>
      </c>
      <c r="AG31" s="2166">
        <f>AE31/N31*100</f>
        <v>61.983471074380169</v>
      </c>
      <c r="AH31" s="1162">
        <f>+W31+AE31+AA31</f>
        <v>1196</v>
      </c>
      <c r="AI31" s="2182">
        <f>+'qtrP&amp;L'!CR11-'qtrP&amp;L'!CR21</f>
        <v>1195.8</v>
      </c>
      <c r="AJ31" s="154"/>
      <c r="AK31" s="2385">
        <v>361</v>
      </c>
      <c r="AL31" s="1483">
        <f>+(AK31/AK24-1)*100</f>
        <v>6.5839976380277498</v>
      </c>
      <c r="AM31" s="2166">
        <f>(AK31/D31)*100</f>
        <v>29.349593495934961</v>
      </c>
      <c r="AN31" s="154"/>
      <c r="AO31" s="2164">
        <v>92</v>
      </c>
      <c r="AP31" s="1483"/>
      <c r="AQ31" s="2166">
        <f>(AO31/I31)*100</f>
        <v>21.149425287356323</v>
      </c>
      <c r="AR31" s="154"/>
      <c r="AS31" s="1526"/>
      <c r="AT31" s="2164">
        <v>24</v>
      </c>
      <c r="AU31" s="1483">
        <f>+(AT31/AT24-1)*100</f>
        <v>8.1081081081081141</v>
      </c>
      <c r="AV31" s="2166">
        <f>AT31/N31*100</f>
        <v>19.834710743801654</v>
      </c>
      <c r="AW31" s="154"/>
      <c r="AX31" s="2384">
        <f>+BA31-AK31-AO31-AT31</f>
        <v>-65.700000000000045</v>
      </c>
      <c r="AY31" s="1483">
        <f>+(AX31/AX24-1)*100</f>
        <v>-1.3513513513512709</v>
      </c>
      <c r="AZ31" s="1483"/>
      <c r="BA31" s="195">
        <f>'qtrP&amp;L'!CR61</f>
        <v>411.29999999999995</v>
      </c>
      <c r="BB31" s="1483">
        <f>(BA31/BA24-1)*100</f>
        <v>39.755351681957073</v>
      </c>
      <c r="BC31" s="1067">
        <f>(BA31/R31)*100</f>
        <v>23.042016806722685</v>
      </c>
      <c r="BD31" s="192">
        <f>AK31+AO31+AT31+AX31</f>
        <v>411.29999999999995</v>
      </c>
      <c r="BE31" s="154"/>
      <c r="BF31" s="154"/>
      <c r="BG31" s="154"/>
      <c r="BH31" s="154"/>
      <c r="BI31" s="154"/>
      <c r="BJ31" s="154"/>
      <c r="BK31" s="154"/>
      <c r="BL31" s="154"/>
    </row>
    <row r="32" spans="1:64" s="61" customFormat="1" ht="10.5" customHeight="1">
      <c r="A32" s="956" t="s">
        <v>459</v>
      </c>
      <c r="B32" s="61" t="s">
        <v>166</v>
      </c>
      <c r="D32" s="2241">
        <f>+'CoachSegsales&amp;OldOM'!D95+'CoachSegsales&amp;OldOM'!J95</f>
        <v>958.76458267129578</v>
      </c>
      <c r="E32" s="1483">
        <f>(D32/D25-1)*100</f>
        <v>4.7486706731449724</v>
      </c>
      <c r="F32" s="2239">
        <f>(D32/'qtrP&amp;L'!CR12)*100</f>
        <v>73.434726379794142</v>
      </c>
      <c r="G32" s="2388">
        <v>2.5</v>
      </c>
      <c r="H32" s="1036"/>
      <c r="I32" s="2144">
        <f>+KateQtrSalesOld!V57</f>
        <v>254.95150000000001</v>
      </c>
      <c r="J32" s="1483">
        <f>(+I32/KateQtrSalesOld!V50-1)*100</f>
        <v>-6.0000000000000053</v>
      </c>
      <c r="K32" s="2239">
        <f>(I32/'qtrP&amp;L'!CR12)*100</f>
        <v>19.527519039610645</v>
      </c>
      <c r="L32" s="2357">
        <f>KateQtrSalesOld!F57</f>
        <v>-6</v>
      </c>
      <c r="M32" s="1037"/>
      <c r="N32" s="195">
        <f>N25*(1+O32)</f>
        <v>91.885000000000005</v>
      </c>
      <c r="O32" s="1486">
        <v>0.15</v>
      </c>
      <c r="P32" s="2240">
        <f>(N32/'qtrP&amp;L'!CR12)*100</f>
        <v>7.0377545805952275</v>
      </c>
      <c r="Q32" s="478"/>
      <c r="R32" s="1502">
        <f>'qtrP&amp;L'!CR12</f>
        <v>1305.6010826712957</v>
      </c>
      <c r="S32" s="1504">
        <f>+D32+I32+N32</f>
        <v>1305.6010826712957</v>
      </c>
      <c r="T32" s="1162"/>
      <c r="U32" s="2214">
        <f>S32-R32</f>
        <v>0</v>
      </c>
      <c r="V32" s="1162"/>
      <c r="W32" s="2180">
        <f>Y32*(D32/100)</f>
        <v>687.43420577531913</v>
      </c>
      <c r="X32" s="2177">
        <f>+(W32/W25-1)*100</f>
        <v>4.7758277359120749</v>
      </c>
      <c r="Y32" s="2163">
        <v>71.7</v>
      </c>
      <c r="Z32" s="2154"/>
      <c r="AA32" s="2148">
        <f>(AC32/100)*I32</f>
        <v>164.9536205</v>
      </c>
      <c r="AB32" s="2177"/>
      <c r="AC32" s="2163">
        <v>64.7</v>
      </c>
      <c r="AD32" s="2163"/>
      <c r="AE32" s="2148">
        <f>(AG32/100)*N32</f>
        <v>56.968700000000005</v>
      </c>
      <c r="AF32" s="2177">
        <f>+(AE32/AE25-1)*100</f>
        <v>14.856250000000015</v>
      </c>
      <c r="AG32" s="2320">
        <v>62</v>
      </c>
      <c r="AH32" s="2162">
        <f>+W32+AE32+AA32</f>
        <v>909.35652627531908</v>
      </c>
      <c r="AI32" s="2179">
        <f>+'qtrP&amp;L'!CR12-'qtrP&amp;L'!CR22</f>
        <v>916.53196003524965</v>
      </c>
      <c r="AJ32" s="154"/>
      <c r="AK32" s="2180">
        <f>(AM32/100)*D32</f>
        <v>214.30949527701424</v>
      </c>
      <c r="AL32" s="2177">
        <f>+(AK32/AK25-1)*100</f>
        <v>-3.8539725091905619</v>
      </c>
      <c r="AM32" s="2163">
        <f>+AM25-2</f>
        <v>22.352671255326126</v>
      </c>
      <c r="AN32" s="2154"/>
      <c r="AO32" s="2148">
        <f>(AQ32/100)*I32</f>
        <v>-5.09903</v>
      </c>
      <c r="AP32" s="2177"/>
      <c r="AQ32" s="2341">
        <v>-2</v>
      </c>
      <c r="AR32" s="2154"/>
      <c r="AS32" s="2163"/>
      <c r="AT32" s="2148">
        <f>(AV32/100)*N32</f>
        <v>5.5130999999999997</v>
      </c>
      <c r="AU32" s="2177">
        <f>+(AT32/AT25-1)*100</f>
        <v>31.264285714285698</v>
      </c>
      <c r="AV32" s="2320">
        <v>6</v>
      </c>
      <c r="AW32" s="2154"/>
      <c r="AX32" s="2353">
        <f>+BA32-AK32-AO32-AT32</f>
        <v>-26.064208831011904</v>
      </c>
      <c r="AY32" s="2177">
        <f>+(AX32/AX25-1)*100</f>
        <v>-59.962812855588467</v>
      </c>
      <c r="AZ32" s="2177"/>
      <c r="BA32" s="2148">
        <f>'qtrP&amp;L'!CR62</f>
        <v>188.65935644600233</v>
      </c>
      <c r="BB32" s="2177">
        <f>(BA32/BA25-1)*100</f>
        <v>16.456392867902679</v>
      </c>
      <c r="BC32" s="2181">
        <f>(BA32/R32)*100</f>
        <v>14.450000000000006</v>
      </c>
      <c r="BD32" s="192">
        <f>AK32+AO32+AT32+AX32</f>
        <v>188.65935644600233</v>
      </c>
      <c r="BE32" s="154"/>
      <c r="BF32" s="154"/>
      <c r="BG32" s="154"/>
      <c r="BH32" s="154"/>
      <c r="BI32" s="154"/>
      <c r="BJ32" s="154"/>
      <c r="BK32" s="154"/>
      <c r="BL32" s="154"/>
    </row>
    <row r="33" spans="1:64" s="61" customFormat="1" ht="10.5" customHeight="1">
      <c r="A33" s="956" t="s">
        <v>460</v>
      </c>
      <c r="B33" s="61" t="s">
        <v>62</v>
      </c>
      <c r="D33" s="2242">
        <f>+'CoachSegsales&amp;OldOM'!D96+'CoachSegsales&amp;OldOM'!J96</f>
        <v>1064.7405508720001</v>
      </c>
      <c r="E33" s="1483">
        <f>(D33/D26-1)*100</f>
        <v>1.8013721074672473</v>
      </c>
      <c r="F33" s="2239">
        <f>(D33/'qtrP&amp;L'!CR13)*100</f>
        <v>73.359777782996701</v>
      </c>
      <c r="G33" s="2349">
        <v>1</v>
      </c>
      <c r="H33" s="1036"/>
      <c r="I33" s="2145">
        <f>+KateQtrSalesOld!V58</f>
        <v>285.57</v>
      </c>
      <c r="J33" s="1483">
        <f>(+I33/KateQtrSalesOld!V51-1)*100</f>
        <v>-5.0000000000000044</v>
      </c>
      <c r="K33" s="2239">
        <f>(I33/'qtrP&amp;L'!CR13)*100</f>
        <v>19.675546051414393</v>
      </c>
      <c r="L33" s="2357">
        <f>KateQtrSalesOld!F58</f>
        <v>-5</v>
      </c>
      <c r="M33" s="1037"/>
      <c r="N33" s="193">
        <f>N26*(1+O33)</f>
        <v>101.08499999999999</v>
      </c>
      <c r="O33" s="1486">
        <v>0.15</v>
      </c>
      <c r="P33" s="2240">
        <f>(N33/'qtrP&amp;L'!CR13)*100</f>
        <v>6.9646761655889069</v>
      </c>
      <c r="Q33" s="478"/>
      <c r="R33" s="1523">
        <f>'qtrP&amp;L'!CR13</f>
        <v>1451.3955508720001</v>
      </c>
      <c r="S33" s="1504">
        <f>+D33+I33+N33</f>
        <v>1451.3955508720001</v>
      </c>
      <c r="T33" s="1162"/>
      <c r="U33" s="2217">
        <f>S33-R33</f>
        <v>0</v>
      </c>
      <c r="V33" s="1162"/>
      <c r="W33" s="2254">
        <f>Y33*(D33/100)</f>
        <v>724.02357459296002</v>
      </c>
      <c r="X33" s="2177">
        <f>+(W33/W26-1)*100</f>
        <v>2.6838142948461208</v>
      </c>
      <c r="Y33" s="2163">
        <v>68</v>
      </c>
      <c r="Z33" s="2154"/>
      <c r="AA33" s="2149">
        <f>(AC33/100)*I33</f>
        <v>171.34199999999998</v>
      </c>
      <c r="AB33" s="2177"/>
      <c r="AC33" s="2163">
        <v>60</v>
      </c>
      <c r="AD33" s="2163"/>
      <c r="AE33" s="2149">
        <f>(AG33/100)*N33</f>
        <v>59.134724999999996</v>
      </c>
      <c r="AF33" s="2177">
        <f>+(AE33/AE26-1)*100</f>
        <v>14.380512572533855</v>
      </c>
      <c r="AG33" s="2320">
        <v>58.5</v>
      </c>
      <c r="AH33" s="2162">
        <f>+W33+AE33+AA33</f>
        <v>954.50029959296</v>
      </c>
      <c r="AI33" s="2179">
        <f>+'qtrP&amp;L'!CR13-'qtrP&amp;L'!CR23</f>
        <v>962.27525022813597</v>
      </c>
      <c r="AJ33" s="154"/>
      <c r="AK33" s="2254">
        <f>(AM33/100)*D33</f>
        <v>229.23836573903691</v>
      </c>
      <c r="AL33" s="2177">
        <f>+(AK33/AK26-1)*100</f>
        <v>-6.8515376923864668</v>
      </c>
      <c r="AM33" s="2163">
        <f>+AM26-2</f>
        <v>21.529974184912515</v>
      </c>
      <c r="AN33" s="2154"/>
      <c r="AO33" s="2149">
        <f>(AQ33/100)*I33</f>
        <v>1.4278500000000001</v>
      </c>
      <c r="AP33" s="2177"/>
      <c r="AQ33" s="2163">
        <v>0.5</v>
      </c>
      <c r="AR33" s="2154"/>
      <c r="AS33" s="2163"/>
      <c r="AT33" s="2149">
        <f>(AV33/100)*N33</f>
        <v>6.0650999999999993</v>
      </c>
      <c r="AU33" s="2177">
        <f>+(AT33/AT26-1)*100</f>
        <v>37.843181818181783</v>
      </c>
      <c r="AV33" s="2320">
        <v>6</v>
      </c>
      <c r="AW33" s="2154"/>
      <c r="AX33" s="2354">
        <f>+BA33-AK33-AO33-AT33</f>
        <v>-17.570587557365052</v>
      </c>
      <c r="AY33" s="2177">
        <f>+(AX33/AX26-1)*100</f>
        <v>-77.588536278871118</v>
      </c>
      <c r="AZ33" s="2177"/>
      <c r="BA33" s="2149">
        <f>'qtrP&amp;L'!CR63</f>
        <v>219.16072818167186</v>
      </c>
      <c r="BB33" s="2177">
        <f>(BA33/BA26-1)*100</f>
        <v>22.081510796385849</v>
      </c>
      <c r="BC33" s="2181">
        <f>(BA33/R33)*100</f>
        <v>15.099999999999989</v>
      </c>
      <c r="BD33" s="193">
        <f>AK33+AO33+AT33+AX33</f>
        <v>219.16072818167186</v>
      </c>
      <c r="BE33" s="154"/>
      <c r="BF33" s="154"/>
      <c r="BG33" s="154"/>
      <c r="BH33" s="154"/>
      <c r="BI33" s="154"/>
      <c r="BJ33" s="154"/>
      <c r="BK33" s="154"/>
      <c r="BL33" s="154"/>
    </row>
    <row r="34" spans="1:64" s="61" customFormat="1" ht="10.5" customHeight="1">
      <c r="A34" s="956"/>
      <c r="B34" s="61" t="s">
        <v>461</v>
      </c>
      <c r="D34" s="2243">
        <f>SUM(D30:D33)</f>
        <v>4177.5051335432963</v>
      </c>
      <c r="E34" s="2194">
        <f>(D34/D27-1)*100</f>
        <v>1.5263599665418015</v>
      </c>
      <c r="F34" s="2244">
        <f>(D34/'qtrP&amp;L'!CR14)*100</f>
        <v>71.644300972708663</v>
      </c>
      <c r="G34" s="2350">
        <f>SUMPRODUCT(G30:G33,D30:D33)/D34</f>
        <v>1.2695740251674479</v>
      </c>
      <c r="H34" s="1071"/>
      <c r="I34" s="2245">
        <f>SUM(I30:I33)</f>
        <v>1244.5215000000001</v>
      </c>
      <c r="J34" s="2194">
        <f>(+I34/KateQtrSalesOld!V52-1)*100</f>
        <v>-8.4365320521781371</v>
      </c>
      <c r="K34" s="2244">
        <f>(I34/'qtrP&amp;L'!CR14)*100</f>
        <v>21.343569920973444</v>
      </c>
      <c r="L34" s="2358">
        <f>+KateQtrSalesOld!F59</f>
        <v>-6.7685122354254217</v>
      </c>
      <c r="M34" s="1529"/>
      <c r="N34" s="1071">
        <f>SUM(N30:N33)</f>
        <v>409.96999999999997</v>
      </c>
      <c r="O34" s="2246">
        <f>N34/N27-1</f>
        <v>9.735010706638092E-2</v>
      </c>
      <c r="P34" s="2247">
        <f>(N34/'qtrP&amp;L'!CR14)*100</f>
        <v>7.0309941294718348</v>
      </c>
      <c r="Q34" s="2248"/>
      <c r="R34" s="1523">
        <f>'qtrP&amp;L'!CR14</f>
        <v>5830.896633543296</v>
      </c>
      <c r="S34" s="2249">
        <f>+D34+I34+N34</f>
        <v>5831.9966335432964</v>
      </c>
      <c r="T34" s="2195"/>
      <c r="U34" s="2217">
        <f>S34-R34</f>
        <v>1.1000000000003638</v>
      </c>
      <c r="V34" s="1162"/>
      <c r="W34" s="2243">
        <f>SUM(W30:W33)</f>
        <v>2889.4577803682791</v>
      </c>
      <c r="X34" s="2337">
        <f>+(W34/W27-1)*100</f>
        <v>1.2069275085211606</v>
      </c>
      <c r="Y34" s="2338">
        <f>W34/D34*100</f>
        <v>69.167067136970459</v>
      </c>
      <c r="Z34" s="2339"/>
      <c r="AA34" s="2245">
        <f>SUM(AA30:AA33)</f>
        <v>776.29562049999993</v>
      </c>
      <c r="AB34" s="2337"/>
      <c r="AC34" s="2338">
        <f>AA34/I34*100</f>
        <v>62.377035712119067</v>
      </c>
      <c r="AD34" s="2338"/>
      <c r="AE34" s="2245">
        <f>SUM(AE30:AE33)</f>
        <v>246.90342500000003</v>
      </c>
      <c r="AF34" s="2337"/>
      <c r="AG34" s="2338">
        <f>AE34/N34*100</f>
        <v>60.224754250311008</v>
      </c>
      <c r="AH34" s="2338">
        <f>+W34+AE34+AA34</f>
        <v>3912.6568258682792</v>
      </c>
      <c r="AI34" s="2340">
        <f>+'qtrP&amp;L'!CR14-'qtrP&amp;L'!CR24</f>
        <v>3927.4072102633859</v>
      </c>
      <c r="AJ34" s="154"/>
      <c r="AK34" s="2243">
        <f>SUM(AK30:AK33)</f>
        <v>1002.8478610160511</v>
      </c>
      <c r="AL34" s="2337">
        <f>+(AK34/AK27-1)*100</f>
        <v>-3.5723210561489305</v>
      </c>
      <c r="AM34" s="2338">
        <f>(AK34/D34)*100</f>
        <v>24.005903738182859</v>
      </c>
      <c r="AN34" s="2339"/>
      <c r="AO34" s="2245">
        <f>SUM(AO30:AO33)</f>
        <v>109.92882</v>
      </c>
      <c r="AP34" s="2337"/>
      <c r="AQ34" s="2338">
        <f>(AO34/I34)*100</f>
        <v>8.8330189554780691</v>
      </c>
      <c r="AR34" s="2339"/>
      <c r="AS34" s="2338"/>
      <c r="AT34" s="2245">
        <f>SUM(AT30:AT33)</f>
        <v>44.778200000000005</v>
      </c>
      <c r="AU34" s="2337">
        <f>+(AT34/AT27-1)*100</f>
        <v>24.211373092926515</v>
      </c>
      <c r="AV34" s="2338">
        <f>(AT34/N34)*100</f>
        <v>10.922311388638196</v>
      </c>
      <c r="AW34" s="2339"/>
      <c r="AX34" s="2355">
        <f>+BA34-AK34-AO34-AT34</f>
        <v>-169.63479638837686</v>
      </c>
      <c r="AY34" s="2337">
        <f>+(AX34/AX27-1)*100</f>
        <v>-37.381027542127399</v>
      </c>
      <c r="AZ34" s="2337"/>
      <c r="BA34" s="2245">
        <f>'qtrP&amp;L'!CR64</f>
        <v>987.92008462767421</v>
      </c>
      <c r="BB34" s="2337">
        <f>(BA34/BA27-1)*100</f>
        <v>21.572208981771812</v>
      </c>
      <c r="BC34" s="2342">
        <f>(BA34/R34)*100</f>
        <v>16.942850246126536</v>
      </c>
      <c r="BD34" s="983">
        <f>AK34+AO34+AT34+AX34</f>
        <v>987.92008462767421</v>
      </c>
      <c r="BE34" s="154"/>
      <c r="BF34" s="154"/>
      <c r="BG34" s="154"/>
      <c r="BH34" s="154"/>
      <c r="BI34" s="154"/>
      <c r="BJ34" s="154"/>
      <c r="BK34" s="154"/>
      <c r="BL34" s="154"/>
    </row>
    <row r="36" spans="1:64">
      <c r="D36" s="2365"/>
    </row>
    <row r="37" spans="1:64">
      <c r="D37" s="2365"/>
      <c r="W37" s="1023"/>
      <c r="Y37" s="1670"/>
      <c r="AA37" s="1023"/>
    </row>
    <row r="38" spans="1:64">
      <c r="C38" s="2133"/>
      <c r="D38" s="1057">
        <f>+(D31+N31)/(D24+N24)-1</f>
        <v>2.2168419459786648E-2</v>
      </c>
      <c r="W38" s="1023"/>
      <c r="Y38" s="1670"/>
      <c r="AA38" s="1023"/>
    </row>
    <row r="39" spans="1:64">
      <c r="C39" s="2133"/>
      <c r="D39" s="1057">
        <f>+(D32+N32)/(D25+N25)-1</f>
        <v>5.5717024388360015E-2</v>
      </c>
      <c r="W39" s="1023"/>
      <c r="Y39" s="1670"/>
      <c r="AA39" s="1023"/>
    </row>
    <row r="40" spans="1:64">
      <c r="C40" s="2133"/>
      <c r="D40" s="1057"/>
      <c r="W40" s="1023"/>
      <c r="Y40" s="1670"/>
      <c r="AA40" s="1023"/>
    </row>
    <row r="41" spans="1:64">
      <c r="C41" s="2133"/>
      <c r="D41" s="89"/>
      <c r="W41" s="1023"/>
      <c r="AA41" s="1023"/>
    </row>
    <row r="80" spans="5:64">
      <c r="E80" s="3"/>
      <c r="F80" s="3"/>
      <c r="J80" s="3"/>
      <c r="K80" s="3"/>
      <c r="L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56"/>
      <c r="BE80" s="3"/>
      <c r="BF80" s="3"/>
      <c r="BG80" s="3"/>
      <c r="BH80" s="3"/>
      <c r="BI80" s="3"/>
      <c r="BJ80" s="3"/>
      <c r="BK80" s="3"/>
      <c r="BL80" s="3"/>
    </row>
  </sheetData>
  <mergeCells count="1">
    <mergeCell ref="D4:U4"/>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DL235"/>
  <sheetViews>
    <sheetView view="pageBreakPreview" topLeftCell="A18" zoomScale="85" zoomScaleNormal="100" zoomScaleSheetLayoutView="85" workbookViewId="0">
      <pane ySplit="8670" topLeftCell="A125"/>
      <selection activeCell="CS209" sqref="CS209"/>
      <selection pane="bottomLeft" activeCell="CR142" sqref="CR142"/>
    </sheetView>
  </sheetViews>
  <sheetFormatPr defaultRowHeight="12.75" outlineLevelRow="2" outlineLevelCol="1"/>
  <cols>
    <col min="1" max="1" width="3" style="3" customWidth="1"/>
    <col min="2" max="3" width="5.140625" style="3" customWidth="1"/>
    <col min="4" max="4" width="9.140625" style="3" hidden="1" customWidth="1" outlineLevel="1"/>
    <col min="5" max="5" width="6.42578125" style="3" hidden="1" customWidth="1" outlineLevel="1"/>
    <col min="6" max="6" width="5.7109375" style="3" hidden="1" customWidth="1" outlineLevel="1"/>
    <col min="7" max="7" width="2.42578125" style="3" hidden="1" customWidth="1" outlineLevel="1"/>
    <col min="8" max="8" width="9.140625" style="3" hidden="1" customWidth="1" outlineLevel="1"/>
    <col min="9" max="9" width="6.42578125" style="3" hidden="1" customWidth="1" outlineLevel="1"/>
    <col min="10" max="10" width="5.7109375" style="3" hidden="1" customWidth="1" outlineLevel="1"/>
    <col min="11" max="11" width="2.42578125" style="3" hidden="1" customWidth="1" outlineLevel="1"/>
    <col min="12" max="12" width="9.140625" style="3" hidden="1" customWidth="1" outlineLevel="1"/>
    <col min="13" max="13" width="6.42578125" style="3" hidden="1" customWidth="1" outlineLevel="1"/>
    <col min="14" max="14" width="5.7109375" style="3" hidden="1" customWidth="1" outlineLevel="1"/>
    <col min="15" max="15" width="2.42578125" style="3" hidden="1" customWidth="1" outlineLevel="1"/>
    <col min="16" max="16" width="9.140625" style="3" hidden="1" customWidth="1" outlineLevel="1" collapsed="1"/>
    <col min="17" max="17" width="6.42578125" style="3" hidden="1" customWidth="1" outlineLevel="1"/>
    <col min="18" max="18" width="5.7109375" style="3" hidden="1" customWidth="1" outlineLevel="1"/>
    <col min="19" max="19" width="2.42578125" style="3" hidden="1" customWidth="1" outlineLevel="1"/>
    <col min="20" max="20" width="9.140625" style="3" hidden="1" customWidth="1" outlineLevel="1"/>
    <col min="21" max="21" width="6.42578125" style="3" hidden="1" customWidth="1" outlineLevel="1"/>
    <col min="22" max="22" width="5.7109375" style="3" hidden="1" customWidth="1" outlineLevel="1"/>
    <col min="23" max="23" width="2.42578125" style="3" hidden="1" customWidth="1" outlineLevel="1"/>
    <col min="24" max="24" width="7.7109375" style="3" hidden="1" customWidth="1" outlineLevel="1" collapsed="1"/>
    <col min="25" max="25" width="6.42578125" style="3" hidden="1" customWidth="1" outlineLevel="1"/>
    <col min="26" max="26" width="5.7109375" style="3" hidden="1" customWidth="1" outlineLevel="1"/>
    <col min="27" max="27" width="2.28515625" style="3" hidden="1" customWidth="1" outlineLevel="1"/>
    <col min="28" max="28" width="7.7109375" style="3" hidden="1" customWidth="1" outlineLevel="1" collapsed="1"/>
    <col min="29" max="29" width="6.42578125" style="3" hidden="1" customWidth="1" outlineLevel="1"/>
    <col min="30" max="30" width="5.7109375" style="3" hidden="1" customWidth="1" outlineLevel="1"/>
    <col min="31" max="31" width="2.7109375" style="3" hidden="1" customWidth="1" outlineLevel="1"/>
    <col min="32" max="32" width="7.7109375" style="3" hidden="1" customWidth="1" outlineLevel="1" collapsed="1"/>
    <col min="33" max="33" width="6.42578125" style="3" hidden="1" customWidth="1" outlineLevel="1"/>
    <col min="34" max="34" width="5.7109375" style="3" hidden="1" customWidth="1" outlineLevel="1"/>
    <col min="35" max="35" width="2.7109375" style="3" hidden="1" customWidth="1" outlineLevel="1" collapsed="1"/>
    <col min="36" max="36" width="7.7109375" style="3" hidden="1" customWidth="1" outlineLevel="1" collapsed="1"/>
    <col min="37" max="37" width="6.42578125" style="3" hidden="1" customWidth="1" outlineLevel="1"/>
    <col min="38" max="38" width="5.7109375" style="3" hidden="1" customWidth="1" outlineLevel="1"/>
    <col min="39" max="39" width="1.85546875" style="3" hidden="1" customWidth="1" outlineLevel="1"/>
    <col min="40" max="40" width="7.7109375" style="3" hidden="1" customWidth="1" outlineLevel="1"/>
    <col min="41" max="41" width="6.42578125" style="3" hidden="1" customWidth="1" outlineLevel="1"/>
    <col min="42" max="42" width="7.28515625" style="3" hidden="1" customWidth="1" outlineLevel="1"/>
    <col min="43" max="43" width="2.28515625" style="3" hidden="1" customWidth="1" outlineLevel="1" collapsed="1"/>
    <col min="44" max="44" width="7.7109375" style="3" hidden="1" customWidth="1" outlineLevel="1" collapsed="1"/>
    <col min="45" max="45" width="6.7109375" style="3" hidden="1" customWidth="1" outlineLevel="1"/>
    <col min="46" max="46" width="6.42578125" style="3" hidden="1" customWidth="1" outlineLevel="1"/>
    <col min="47" max="47" width="3.28515625" style="3" hidden="1" customWidth="1" outlineLevel="1"/>
    <col min="48" max="48" width="7.7109375" style="3" hidden="1" customWidth="1" outlineLevel="1"/>
    <col min="49" max="49" width="6" style="3" hidden="1" customWidth="1" outlineLevel="1"/>
    <col min="50" max="50" width="5.85546875" style="3" hidden="1" customWidth="1" outlineLevel="1"/>
    <col min="51" max="51" width="3.7109375" style="3" hidden="1" customWidth="1" outlineLevel="1"/>
    <col min="52" max="52" width="7.7109375" style="3" hidden="1" customWidth="1" outlineLevel="1"/>
    <col min="53" max="53" width="6" style="3" hidden="1" customWidth="1" outlineLevel="1"/>
    <col min="54" max="54" width="5.85546875" style="3" hidden="1" customWidth="1" outlineLevel="1"/>
    <col min="55" max="55" width="2.28515625" style="3" hidden="1" customWidth="1" outlineLevel="1"/>
    <col min="56" max="56" width="8.85546875" style="3" hidden="1" customWidth="1" outlineLevel="1"/>
    <col min="57" max="57" width="6" style="3" hidden="1" customWidth="1" outlineLevel="1"/>
    <col min="58" max="58" width="5.85546875" style="3" hidden="1" customWidth="1" outlineLevel="1"/>
    <col min="59" max="59" width="2.28515625" style="3" hidden="1" customWidth="1" outlineLevel="1"/>
    <col min="60" max="60" width="9.28515625" style="3" hidden="1" customWidth="1" outlineLevel="1"/>
    <col min="61" max="61" width="6.85546875" style="3" hidden="1" customWidth="1" outlineLevel="1"/>
    <col min="62" max="62" width="6" style="3" hidden="1" customWidth="1" outlineLevel="1"/>
    <col min="63" max="63" width="2.28515625" style="3" hidden="1" customWidth="1" outlineLevel="1"/>
    <col min="64" max="64" width="8.7109375" style="3" hidden="1" customWidth="1" outlineLevel="1"/>
    <col min="65" max="65" width="6" style="3" hidden="1" customWidth="1" outlineLevel="1"/>
    <col min="66" max="66" width="7.7109375" style="3" hidden="1" customWidth="1" outlineLevel="1"/>
    <col min="67" max="67" width="2.28515625" style="3" hidden="1" customWidth="1" outlineLevel="1"/>
    <col min="68" max="68" width="9.28515625" style="3" hidden="1" customWidth="1" outlineLevel="1"/>
    <col min="69" max="69" width="5.7109375" style="3" hidden="1" customWidth="1" outlineLevel="1"/>
    <col min="70" max="70" width="7" style="3" hidden="1" customWidth="1" outlineLevel="1"/>
    <col min="71" max="71" width="2.28515625" style="3" hidden="1" customWidth="1" outlineLevel="1"/>
    <col min="72" max="72" width="9" style="3" hidden="1" customWidth="1" outlineLevel="1"/>
    <col min="73" max="73" width="7.5703125" style="3" hidden="1" customWidth="1" outlineLevel="1"/>
    <col min="74" max="74" width="7.140625" style="3" hidden="1" customWidth="1" outlineLevel="1"/>
    <col min="75" max="75" width="2.28515625" style="3" hidden="1" customWidth="1" outlineLevel="1"/>
    <col min="76" max="76" width="9.140625" style="3" customWidth="1" collapsed="1"/>
    <col min="77" max="77" width="8" style="3" customWidth="1"/>
    <col min="78" max="78" width="6.5703125" style="3" customWidth="1"/>
    <col min="79" max="79" width="2.28515625" style="3" customWidth="1"/>
    <col min="80" max="80" width="10.28515625" style="3" customWidth="1"/>
    <col min="81" max="81" width="7.7109375" style="3" bestFit="1" customWidth="1"/>
    <col min="82" max="82" width="7.140625" style="3" bestFit="1" customWidth="1"/>
    <col min="83" max="83" width="2.28515625" style="3" customWidth="1"/>
    <col min="84" max="84" width="10.140625" style="3" customWidth="1"/>
    <col min="85" max="85" width="7.7109375" style="3" bestFit="1" customWidth="1"/>
    <col min="86" max="86" width="6.5703125" style="3" customWidth="1"/>
    <col min="87" max="87" width="2.28515625" style="3" customWidth="1"/>
    <col min="88" max="88" width="10.140625" style="3" customWidth="1"/>
    <col min="89" max="89" width="8.7109375" style="3" bestFit="1" customWidth="1"/>
    <col min="90" max="90" width="6.5703125" style="3" customWidth="1"/>
    <col min="91" max="91" width="2.28515625" style="3" customWidth="1"/>
    <col min="92" max="92" width="10.140625" style="3" customWidth="1"/>
    <col min="93" max="93" width="8.7109375" style="3" bestFit="1" customWidth="1"/>
    <col min="94" max="94" width="6.5703125" style="3" customWidth="1"/>
    <col min="95" max="95" width="2.28515625" style="3" customWidth="1"/>
    <col min="96" max="96" width="10.140625" style="61" customWidth="1"/>
    <col min="97" max="97" width="8.7109375" style="61" bestFit="1" customWidth="1"/>
    <col min="98" max="98" width="8.42578125" style="61" customWidth="1"/>
    <col min="99" max="99" width="2.28515625" style="61" customWidth="1"/>
    <col min="100" max="100" width="10" style="61" customWidth="1"/>
    <col min="101" max="101" width="21.140625" style="61" bestFit="1" customWidth="1"/>
    <col min="102" max="102" width="7.140625" style="61" customWidth="1"/>
    <col min="103" max="103" width="10" style="61" customWidth="1"/>
    <col min="104" max="104" width="1.7109375" style="3" customWidth="1"/>
    <col min="105" max="107" width="9.140625" style="3" hidden="1" customWidth="1" outlineLevel="1"/>
    <col min="108" max="108" width="1.7109375" style="3" hidden="1" customWidth="1" outlineLevel="1"/>
    <col min="109" max="109" width="9.140625" style="3" hidden="1" customWidth="1" outlineLevel="1"/>
    <col min="110" max="110" width="2.42578125" style="3" hidden="1" customWidth="1" outlineLevel="1"/>
    <col min="111" max="112" width="9.140625" style="3" hidden="1" customWidth="1" outlineLevel="1"/>
    <col min="113" max="113" width="9.28515625" style="3" bestFit="1" customWidth="1" collapsed="1"/>
    <col min="114" max="114" width="9.28515625" style="3" bestFit="1" customWidth="1"/>
    <col min="115" max="16384" width="9.140625" style="3"/>
  </cols>
  <sheetData>
    <row r="1" spans="1:113">
      <c r="A1" s="93" t="s">
        <v>342</v>
      </c>
      <c r="B1" s="5"/>
      <c r="C1" s="5"/>
      <c r="D1" s="22"/>
      <c r="E1" s="5"/>
      <c r="F1" s="5"/>
      <c r="G1" s="22"/>
      <c r="H1" s="22"/>
      <c r="I1" s="5"/>
      <c r="J1" s="5"/>
      <c r="K1" s="22"/>
      <c r="L1" s="22"/>
      <c r="M1" s="5"/>
      <c r="N1" s="5"/>
      <c r="O1" s="22"/>
      <c r="P1" s="22"/>
      <c r="Q1" s="5"/>
      <c r="R1" s="5"/>
      <c r="S1" s="5"/>
      <c r="T1" s="5"/>
      <c r="U1" s="5"/>
      <c r="V1" s="5"/>
      <c r="W1" s="5"/>
      <c r="X1" s="5"/>
      <c r="Y1" s="5"/>
      <c r="Z1" s="5"/>
      <c r="AA1" s="5"/>
      <c r="AB1" s="5"/>
      <c r="AC1" s="5"/>
      <c r="AD1" s="5"/>
      <c r="AE1" s="5"/>
      <c r="AF1" s="5"/>
      <c r="AG1" s="5"/>
      <c r="AH1" s="5"/>
      <c r="AI1" s="5"/>
      <c r="AJ1" s="5"/>
      <c r="AK1" s="5"/>
      <c r="AL1" s="5"/>
      <c r="AM1" s="5"/>
      <c r="AN1" s="5"/>
      <c r="AO1" s="5"/>
      <c r="AP1" s="5"/>
      <c r="AQ1" s="5"/>
      <c r="AR1" s="98"/>
      <c r="AS1" s="98"/>
      <c r="AT1" s="556"/>
      <c r="AU1" s="5"/>
      <c r="AV1" s="98"/>
      <c r="AW1" s="98"/>
      <c r="AX1" s="556"/>
      <c r="AY1" s="5"/>
      <c r="AZ1" s="98"/>
      <c r="BA1" s="98"/>
      <c r="BB1" s="556"/>
      <c r="BC1" s="5"/>
      <c r="BD1" s="98"/>
      <c r="BE1" s="98"/>
      <c r="BF1" s="556"/>
      <c r="BG1" s="5"/>
      <c r="BH1" s="557"/>
      <c r="BI1" s="98"/>
      <c r="BJ1" s="556"/>
      <c r="BK1" s="5"/>
      <c r="BL1" s="98"/>
      <c r="BM1" s="98"/>
      <c r="BN1" s="556"/>
      <c r="BO1" s="5"/>
      <c r="BP1" s="98"/>
      <c r="BQ1" s="98"/>
      <c r="BR1" s="556"/>
      <c r="BS1" s="5"/>
      <c r="BY1" s="98"/>
      <c r="BZ1" s="556"/>
      <c r="CA1" s="5"/>
      <c r="CB1" s="5"/>
      <c r="CC1" s="5"/>
      <c r="CD1" s="5"/>
      <c r="CE1" s="5"/>
      <c r="CF1" s="5"/>
      <c r="CG1" s="5"/>
      <c r="CH1" s="1566"/>
      <c r="CI1" s="5"/>
      <c r="CJ1" s="5"/>
      <c r="CK1" s="5"/>
      <c r="CL1" s="5"/>
      <c r="CM1" s="5"/>
      <c r="CN1" s="5"/>
      <c r="CO1" s="5"/>
      <c r="CP1" s="5"/>
      <c r="CQ1" s="5"/>
      <c r="CR1" s="98"/>
      <c r="CS1" s="98"/>
      <c r="CT1" s="98"/>
      <c r="CU1" s="98"/>
      <c r="CV1" s="98"/>
      <c r="CW1" s="98"/>
      <c r="CX1" s="98"/>
      <c r="CY1" s="98"/>
      <c r="CZ1" s="5"/>
      <c r="DA1" s="5"/>
      <c r="DB1" s="5"/>
      <c r="DC1" s="5"/>
      <c r="DD1" s="5"/>
      <c r="DE1" s="5"/>
      <c r="DF1" s="5"/>
      <c r="DG1" s="5"/>
      <c r="DH1" s="5"/>
      <c r="DI1" s="5"/>
    </row>
    <row r="2" spans="1:113">
      <c r="A2" s="7" t="s">
        <v>295</v>
      </c>
      <c r="B2" s="7"/>
      <c r="C2" s="7"/>
      <c r="D2" s="23"/>
      <c r="E2" s="7"/>
      <c r="F2" s="7"/>
      <c r="G2" s="23"/>
      <c r="H2" s="23"/>
      <c r="I2" s="7"/>
      <c r="J2" s="7"/>
      <c r="K2" s="23"/>
      <c r="L2" s="23"/>
      <c r="M2" s="7"/>
      <c r="N2" s="7"/>
      <c r="O2" s="23"/>
      <c r="P2" s="23"/>
      <c r="Q2" s="7"/>
      <c r="R2" s="7"/>
      <c r="S2" s="7"/>
      <c r="T2" s="7"/>
      <c r="U2" s="7"/>
      <c r="V2" s="7"/>
      <c r="W2" s="7"/>
      <c r="X2" s="7"/>
      <c r="Y2" s="7"/>
      <c r="Z2" s="7"/>
      <c r="AA2" s="7"/>
      <c r="AB2" s="7"/>
      <c r="AC2" s="7"/>
      <c r="AD2" s="7"/>
      <c r="AE2" s="7"/>
      <c r="AF2" s="7"/>
      <c r="AG2" s="7"/>
      <c r="AH2" s="7"/>
      <c r="AI2" s="7"/>
      <c r="AJ2" s="7"/>
      <c r="AK2" s="7"/>
      <c r="AL2" s="7"/>
      <c r="AM2" s="7"/>
      <c r="AN2" s="7"/>
      <c r="AO2" s="7"/>
      <c r="AP2" s="7"/>
      <c r="AQ2" s="7"/>
      <c r="AR2" s="318"/>
      <c r="AS2" s="318"/>
      <c r="AT2" s="558"/>
      <c r="AU2" s="7"/>
      <c r="AV2" s="559"/>
      <c r="AW2" s="318"/>
      <c r="AX2" s="558"/>
      <c r="AY2" s="7"/>
      <c r="AZ2" s="560"/>
      <c r="BA2" s="318"/>
      <c r="BB2" s="558"/>
      <c r="BC2" s="7"/>
      <c r="BD2" s="318"/>
      <c r="BE2" s="318"/>
      <c r="BF2" s="558"/>
      <c r="BG2" s="7"/>
      <c r="BH2" s="318"/>
      <c r="BI2" s="318"/>
      <c r="BJ2" s="558"/>
      <c r="BK2" s="7"/>
      <c r="BL2" s="318"/>
      <c r="BM2" s="318"/>
      <c r="BN2" s="558"/>
      <c r="BO2" s="7"/>
      <c r="BP2" s="318"/>
      <c r="BQ2" s="318"/>
      <c r="BR2" s="558"/>
      <c r="BS2" s="7"/>
      <c r="BY2" s="318"/>
      <c r="BZ2" s="558"/>
      <c r="CA2" s="7"/>
      <c r="CB2" s="7"/>
      <c r="CC2" s="7"/>
      <c r="CD2" s="7"/>
      <c r="CE2" s="25"/>
      <c r="CF2" s="7"/>
      <c r="CG2" s="7"/>
      <c r="CH2" s="7"/>
      <c r="CI2" s="25"/>
      <c r="CJ2" s="7"/>
      <c r="CK2" s="7"/>
      <c r="CL2" s="7"/>
      <c r="CM2" s="25"/>
      <c r="CN2" s="7"/>
      <c r="CO2" s="7"/>
      <c r="CP2" s="7"/>
      <c r="CQ2" s="25"/>
      <c r="CR2" s="318">
        <f>0.8*KateQtrSalesOld!V52+'CoachSegsales&amp;OldOM'!D90</f>
        <v>3436.3519999999999</v>
      </c>
      <c r="CS2" s="318">
        <f>CR2/(CN14+KateQtrSalesOld!V52)</f>
        <v>0.58766274076569602</v>
      </c>
      <c r="CT2" s="318"/>
      <c r="CU2" s="317"/>
      <c r="CV2" s="98"/>
      <c r="CW2" s="98"/>
      <c r="CX2" s="98"/>
      <c r="CY2" s="98"/>
      <c r="CZ2" s="5"/>
      <c r="DA2" s="5"/>
      <c r="DB2" s="5"/>
      <c r="DC2" s="5"/>
      <c r="DD2" s="5"/>
      <c r="DE2" s="5"/>
      <c r="DF2" s="5"/>
      <c r="DG2" s="5"/>
      <c r="DH2" s="5"/>
      <c r="DI2" s="5"/>
    </row>
    <row r="3" spans="1:113">
      <c r="A3" s="125" t="s">
        <v>631</v>
      </c>
      <c r="AR3" s="61"/>
      <c r="AS3" s="61"/>
      <c r="AT3" s="1183"/>
      <c r="AV3" s="61"/>
      <c r="AW3" s="61"/>
      <c r="AX3" s="1183"/>
      <c r="AZ3" s="61"/>
      <c r="BA3" s="61"/>
      <c r="BB3" s="1183"/>
      <c r="BD3" s="61"/>
      <c r="BE3" s="61"/>
      <c r="BF3" s="1183"/>
      <c r="BH3" s="61"/>
      <c r="BI3" s="61"/>
      <c r="BJ3" s="1183"/>
      <c r="BL3" s="61"/>
      <c r="BM3" s="61"/>
      <c r="BN3" s="1183"/>
      <c r="BP3" s="981"/>
      <c r="BQ3" s="61"/>
      <c r="BR3" s="1183"/>
      <c r="BT3" s="220"/>
      <c r="BU3" s="220"/>
      <c r="BV3" s="1184"/>
      <c r="BW3" s="726"/>
      <c r="BX3" s="220"/>
      <c r="BY3" s="61"/>
      <c r="BZ3" s="1183"/>
      <c r="CH3" s="89"/>
      <c r="CR3" s="2403"/>
      <c r="CS3" s="2403"/>
      <c r="CT3" s="2403"/>
    </row>
    <row r="4" spans="1:113">
      <c r="A4" s="125" t="s">
        <v>456</v>
      </c>
      <c r="AB4" s="1185"/>
      <c r="AF4" s="1185"/>
      <c r="AJ4" s="98"/>
      <c r="AK4" s="61"/>
      <c r="AL4" s="61"/>
      <c r="AN4" s="98"/>
      <c r="AO4" s="61"/>
      <c r="AP4" s="61"/>
      <c r="AR4" s="98"/>
      <c r="AS4" s="61"/>
      <c r="AT4" s="1183"/>
      <c r="AV4" s="98"/>
      <c r="AW4" s="61"/>
      <c r="AX4" s="1183"/>
      <c r="AY4" s="61"/>
      <c r="AZ4" s="98"/>
      <c r="BA4" s="61"/>
      <c r="BB4" s="1183"/>
      <c r="BC4" s="61"/>
      <c r="BD4" s="98"/>
      <c r="BE4" s="61"/>
      <c r="BF4" s="1183"/>
      <c r="BG4" s="61"/>
      <c r="BH4" s="98"/>
      <c r="BI4" s="61"/>
      <c r="BJ4" s="1183"/>
      <c r="BK4" s="61"/>
      <c r="BL4" s="98"/>
      <c r="BM4" s="61"/>
      <c r="BN4" s="1183"/>
      <c r="BO4" s="61"/>
      <c r="BP4" s="98"/>
      <c r="BQ4" s="61"/>
      <c r="BR4" s="1183"/>
      <c r="BS4" s="61"/>
      <c r="BT4" s="98"/>
      <c r="BU4" s="61"/>
      <c r="BV4" s="1183"/>
      <c r="BW4" s="61"/>
      <c r="BX4" s="98"/>
      <c r="BY4" s="61"/>
      <c r="BZ4" s="1183"/>
      <c r="CA4" s="61"/>
      <c r="CB4" s="61"/>
      <c r="CC4" s="61"/>
      <c r="CD4" s="61"/>
      <c r="CE4" s="61"/>
      <c r="CF4" s="61"/>
      <c r="CG4" s="61"/>
      <c r="CH4" s="89"/>
      <c r="CI4" s="61"/>
      <c r="CJ4" s="61"/>
      <c r="CK4" s="61"/>
      <c r="CL4" s="61"/>
      <c r="CM4" s="61"/>
      <c r="CN4" s="61"/>
      <c r="CO4" s="61"/>
      <c r="CP4" s="61"/>
      <c r="CQ4" s="61"/>
      <c r="CR4" s="2402"/>
      <c r="CS4" s="2402"/>
      <c r="CT4" s="2402"/>
    </row>
    <row r="5" spans="1:113">
      <c r="A5" s="125"/>
      <c r="AT5" s="1183"/>
      <c r="AV5" s="61"/>
      <c r="AW5" s="61"/>
      <c r="AX5" s="1183"/>
      <c r="AZ5" s="61"/>
      <c r="BA5" s="61"/>
      <c r="BB5" s="1183"/>
      <c r="BD5" s="61"/>
      <c r="BE5" s="61"/>
      <c r="BF5" s="1183"/>
      <c r="BH5" s="61"/>
      <c r="BI5" s="61"/>
      <c r="BJ5" s="1183"/>
      <c r="BL5" s="61"/>
      <c r="BM5" s="61"/>
      <c r="BN5" s="1183"/>
      <c r="BP5" s="61"/>
      <c r="BQ5" s="61"/>
      <c r="BR5" s="1183"/>
      <c r="BT5" s="61"/>
      <c r="BU5" s="61"/>
      <c r="BV5" s="1183"/>
      <c r="BX5" s="61"/>
      <c r="BY5" s="61"/>
      <c r="BZ5" s="1183"/>
      <c r="CH5" s="89"/>
      <c r="CJ5" s="153"/>
      <c r="CK5" s="153"/>
      <c r="CL5" s="2"/>
      <c r="CN5" s="153"/>
      <c r="CO5" s="153"/>
      <c r="CP5" s="2"/>
      <c r="CQ5" s="2"/>
      <c r="CR5" s="151"/>
      <c r="CS5" s="151"/>
      <c r="CT5" s="1057"/>
    </row>
    <row r="6" spans="1:113">
      <c r="A6" s="125"/>
      <c r="D6" s="1186">
        <v>1995</v>
      </c>
      <c r="E6" s="1187"/>
      <c r="F6" s="1188"/>
      <c r="H6" s="1186">
        <v>1996</v>
      </c>
      <c r="I6" s="1187"/>
      <c r="J6" s="1188"/>
      <c r="L6" s="1186">
        <v>1997</v>
      </c>
      <c r="M6" s="1187"/>
      <c r="N6" s="1188"/>
      <c r="P6" s="1186">
        <f>L6+1</f>
        <v>1998</v>
      </c>
      <c r="Q6" s="1187"/>
      <c r="R6" s="1188"/>
      <c r="T6" s="1188">
        <f>P6+1</f>
        <v>1999</v>
      </c>
      <c r="U6" s="1187"/>
      <c r="V6" s="1188"/>
      <c r="X6" s="1188">
        <v>2000</v>
      </c>
      <c r="Y6" s="1187"/>
      <c r="Z6" s="1188"/>
      <c r="AB6" s="1188">
        <v>2001</v>
      </c>
      <c r="AC6" s="1187"/>
      <c r="AD6" s="1188"/>
      <c r="AF6" s="1188">
        <v>2002</v>
      </c>
      <c r="AG6" s="1187"/>
      <c r="AH6" s="1188"/>
      <c r="AJ6" s="1188">
        <v>2003</v>
      </c>
      <c r="AK6" s="1187"/>
      <c r="AL6" s="1188"/>
      <c r="AN6" s="1188">
        <v>2004</v>
      </c>
      <c r="AO6" s="1187"/>
      <c r="AP6" s="1188"/>
      <c r="AR6" s="1189" t="s">
        <v>343</v>
      </c>
      <c r="AS6" s="1190"/>
      <c r="AT6" s="1191"/>
      <c r="AV6" s="1192" t="s">
        <v>623</v>
      </c>
      <c r="AW6" s="1190"/>
      <c r="AX6" s="1191"/>
      <c r="AY6" s="299"/>
      <c r="AZ6" s="1189" t="s">
        <v>145</v>
      </c>
      <c r="BA6" s="1190"/>
      <c r="BB6" s="1191"/>
      <c r="BC6" s="299"/>
      <c r="BD6" s="1189" t="s">
        <v>636</v>
      </c>
      <c r="BE6" s="1190"/>
      <c r="BF6" s="1191"/>
      <c r="BG6" s="299"/>
      <c r="BH6" s="1189" t="s">
        <v>422</v>
      </c>
      <c r="BI6" s="1190"/>
      <c r="BJ6" s="1191"/>
      <c r="BK6" s="299" t="s">
        <v>175</v>
      </c>
      <c r="BL6" s="1189" t="s">
        <v>118</v>
      </c>
      <c r="BM6" s="1190"/>
      <c r="BN6" s="1191"/>
      <c r="BO6" s="299" t="s">
        <v>175</v>
      </c>
      <c r="BP6" s="1189" t="s">
        <v>314</v>
      </c>
      <c r="BQ6" s="1190"/>
      <c r="BR6" s="1191"/>
      <c r="BS6" s="299" t="s">
        <v>175</v>
      </c>
      <c r="BT6" s="1189" t="s">
        <v>210</v>
      </c>
      <c r="BU6" s="1193"/>
      <c r="BV6" s="1191"/>
      <c r="BW6" s="299" t="s">
        <v>175</v>
      </c>
      <c r="BX6" s="1189" t="s">
        <v>226</v>
      </c>
      <c r="BY6" s="1190"/>
      <c r="BZ6" s="1191"/>
      <c r="CA6" s="299" t="s">
        <v>175</v>
      </c>
      <c r="CB6" s="1189" t="s">
        <v>730</v>
      </c>
      <c r="CC6" s="1188"/>
      <c r="CD6" s="1188"/>
      <c r="CE6" s="299"/>
      <c r="CF6" s="2401" t="s">
        <v>792</v>
      </c>
      <c r="CG6" s="2401"/>
      <c r="CH6" s="2401"/>
      <c r="CI6" s="299"/>
      <c r="CJ6" s="2401" t="s">
        <v>803</v>
      </c>
      <c r="CK6" s="2401"/>
      <c r="CL6" s="2401"/>
      <c r="CM6" s="299"/>
      <c r="CN6" s="2401" t="s">
        <v>853</v>
      </c>
      <c r="CO6" s="2401"/>
      <c r="CP6" s="2401"/>
      <c r="CQ6" s="299"/>
      <c r="CR6" s="1055"/>
      <c r="CS6" s="1640" t="s">
        <v>12</v>
      </c>
      <c r="CT6" s="1879"/>
      <c r="CU6" s="1194"/>
    </row>
    <row r="7" spans="1:113" outlineLevel="1">
      <c r="AJ7" s="126"/>
      <c r="AK7" s="127"/>
      <c r="AL7" s="127"/>
      <c r="AN7" s="126"/>
      <c r="AO7" s="127"/>
      <c r="AP7" s="127"/>
      <c r="AR7" s="61"/>
      <c r="AS7" s="61"/>
      <c r="AT7" s="1183"/>
      <c r="AV7" s="61"/>
      <c r="AW7" s="61"/>
      <c r="AX7" s="1183"/>
      <c r="AZ7" s="61"/>
      <c r="BA7" s="61"/>
      <c r="BB7" s="1183"/>
      <c r="BD7" s="61"/>
      <c r="BE7" s="61"/>
      <c r="BF7" s="1183"/>
      <c r="BH7" s="61"/>
      <c r="BI7" s="61"/>
      <c r="BJ7" s="1183"/>
      <c r="BL7" s="61"/>
      <c r="BM7" s="61"/>
      <c r="BN7" s="1183"/>
      <c r="BP7" s="61"/>
      <c r="BQ7" s="61"/>
      <c r="BR7" s="1183"/>
      <c r="BT7" s="61"/>
      <c r="BU7" s="61"/>
      <c r="BV7" s="1183"/>
      <c r="BX7" s="61"/>
      <c r="BY7" s="61"/>
      <c r="BZ7" s="1183"/>
      <c r="CG7" s="1195"/>
      <c r="CH7" s="1195"/>
      <c r="CK7" s="1195"/>
      <c r="CL7" s="1195"/>
      <c r="CO7" s="1195"/>
      <c r="CP7" s="1195"/>
      <c r="CQ7" s="1195"/>
      <c r="CS7" s="1069"/>
      <c r="CT7" s="1069"/>
    </row>
    <row r="8" spans="1:113" outlineLevel="1">
      <c r="D8" s="1196"/>
      <c r="E8" s="127"/>
      <c r="F8" s="127"/>
      <c r="G8" s="127"/>
      <c r="H8" s="1196"/>
      <c r="I8" s="127"/>
      <c r="J8" s="127"/>
      <c r="K8" s="127"/>
      <c r="L8" s="1196"/>
      <c r="M8" s="127"/>
      <c r="N8" s="127"/>
      <c r="O8" s="127"/>
      <c r="P8" s="1196"/>
      <c r="Q8" s="127"/>
      <c r="R8" s="127"/>
      <c r="S8" s="127"/>
      <c r="U8" s="127"/>
      <c r="V8" s="127"/>
      <c r="W8" s="127"/>
      <c r="Y8" s="127"/>
      <c r="Z8" s="127"/>
      <c r="AA8" s="127"/>
      <c r="AC8" s="127"/>
      <c r="AD8" s="127"/>
      <c r="AE8" s="127"/>
      <c r="AG8" s="127"/>
      <c r="AH8" s="127"/>
      <c r="AI8" s="127"/>
      <c r="AK8" s="127"/>
      <c r="AL8" s="127"/>
      <c r="AM8" s="127"/>
      <c r="AN8" s="1196"/>
      <c r="AO8" s="127"/>
      <c r="AP8" s="127"/>
      <c r="AQ8" s="127"/>
      <c r="AS8" s="1197"/>
      <c r="AT8" s="1198"/>
      <c r="AU8" s="127"/>
      <c r="AV8" s="1199"/>
      <c r="AW8" s="1197"/>
      <c r="AX8" s="1198"/>
      <c r="AY8" s="127"/>
      <c r="AZ8" s="1199"/>
      <c r="BA8" s="1197"/>
      <c r="BB8" s="1198"/>
      <c r="BC8" s="127"/>
      <c r="BD8" s="1199"/>
      <c r="BE8" s="1197"/>
      <c r="BF8" s="1198"/>
      <c r="BG8" s="127"/>
      <c r="BH8" s="1199"/>
      <c r="BI8" s="1197"/>
      <c r="BJ8" s="1198"/>
      <c r="BK8" s="127"/>
      <c r="BM8" s="1197"/>
      <c r="BN8" s="1198"/>
      <c r="BO8" s="127"/>
      <c r="BP8" s="1196" t="s">
        <v>212</v>
      </c>
      <c r="BQ8" s="1197"/>
      <c r="BR8" s="1198"/>
      <c r="BS8" s="127"/>
      <c r="BT8" s="1199"/>
      <c r="BU8" s="1197"/>
      <c r="BV8" s="1198"/>
      <c r="BW8" s="127"/>
      <c r="BX8" s="1196" t="s">
        <v>212</v>
      </c>
      <c r="BY8" s="1197"/>
      <c r="BZ8" s="1198"/>
      <c r="CA8" s="127"/>
      <c r="CB8" s="127"/>
      <c r="CC8" s="127"/>
      <c r="CD8" s="127"/>
      <c r="CE8" s="127"/>
      <c r="CF8" s="127"/>
      <c r="CG8" s="127"/>
      <c r="CH8" s="127"/>
      <c r="CI8" s="127"/>
      <c r="CJ8" s="127"/>
      <c r="CK8" s="127"/>
      <c r="CL8" s="127"/>
      <c r="CM8" s="127"/>
      <c r="CN8" s="127"/>
      <c r="CO8" s="127"/>
      <c r="CP8" s="127"/>
      <c r="CQ8" s="127"/>
      <c r="CR8" s="1197"/>
      <c r="CS8" s="1197"/>
      <c r="CT8" s="1197"/>
      <c r="CU8" s="1197"/>
    </row>
    <row r="9" spans="1:113" outlineLevel="1">
      <c r="AR9" s="61"/>
      <c r="AS9" s="61"/>
      <c r="AT9" s="1183"/>
      <c r="AV9" s="61"/>
      <c r="AW9" s="61"/>
      <c r="AX9" s="1183"/>
      <c r="AZ9" s="61"/>
      <c r="BA9" s="1200"/>
      <c r="BB9" s="1183"/>
      <c r="BD9" s="61"/>
      <c r="BE9" s="61"/>
      <c r="BF9" s="1183"/>
      <c r="BH9" s="61"/>
      <c r="BI9" s="61"/>
      <c r="BJ9" s="1183"/>
      <c r="BL9" s="61"/>
      <c r="BM9" s="61"/>
      <c r="BN9" s="1183"/>
      <c r="BP9" s="61"/>
      <c r="BQ9" s="61"/>
      <c r="BR9" s="1183"/>
      <c r="BT9" s="61"/>
      <c r="BU9" s="61"/>
      <c r="BV9" s="1183"/>
      <c r="BX9" s="61"/>
      <c r="BY9" s="61"/>
      <c r="BZ9" s="1183"/>
      <c r="CD9" s="1195"/>
      <c r="CN9" s="654"/>
      <c r="CR9" s="1200"/>
      <c r="CT9" s="98"/>
    </row>
    <row r="10" spans="1:113" outlineLevel="1">
      <c r="A10" s="691" t="s">
        <v>457</v>
      </c>
      <c r="B10" s="691" t="s">
        <v>63</v>
      </c>
      <c r="C10" s="1201"/>
      <c r="D10" s="1202"/>
      <c r="E10" s="975"/>
      <c r="F10" s="1203"/>
      <c r="H10" s="1202"/>
      <c r="I10" s="975"/>
      <c r="J10" s="1203"/>
      <c r="L10" s="1202"/>
      <c r="M10" s="975"/>
      <c r="N10" s="1203"/>
      <c r="P10" s="1202"/>
      <c r="Q10" s="975"/>
      <c r="R10" s="1203"/>
      <c r="T10" s="1202"/>
      <c r="U10" s="975"/>
      <c r="V10" s="1203"/>
      <c r="X10" s="1202">
        <v>118.032</v>
      </c>
      <c r="Y10" s="975"/>
      <c r="Z10" s="1203"/>
      <c r="AB10" s="1202">
        <v>131.495</v>
      </c>
      <c r="AC10" s="975">
        <f t="shared" ref="AC10:AC16" si="0">(AB10/X10-1)*100</f>
        <v>11.406228819303244</v>
      </c>
      <c r="AD10" s="1203">
        <v>5.5</v>
      </c>
      <c r="AF10" s="1202">
        <v>150.702</v>
      </c>
      <c r="AG10" s="975">
        <f t="shared" ref="AG10:AG16" si="1">(AF10/AB10-1)*100</f>
        <v>14.606639035704783</v>
      </c>
      <c r="AH10" s="1203">
        <v>-1.9</v>
      </c>
      <c r="AJ10" s="1202">
        <v>192.791</v>
      </c>
      <c r="AK10" s="975">
        <f t="shared" ref="AK10:AK16" si="2">(AJ10/AF10-1)*100</f>
        <v>27.928627357301174</v>
      </c>
      <c r="AL10" s="1203">
        <v>13.2</v>
      </c>
      <c r="AN10" s="1202">
        <v>258.375</v>
      </c>
      <c r="AO10" s="975">
        <f t="shared" ref="AO10:AO16" si="3">+(AN10/AJ10-1)*100</f>
        <v>34.018185496210918</v>
      </c>
      <c r="AP10" s="1203">
        <v>17.8</v>
      </c>
      <c r="AR10" s="1202">
        <v>344.065</v>
      </c>
      <c r="AS10" s="967">
        <f t="shared" ref="AS10:AS16" si="4">+(AR10/AN10-1)*100</f>
        <v>33.164973391388486</v>
      </c>
      <c r="AT10" s="1203">
        <v>15.1</v>
      </c>
      <c r="AU10" s="1204" t="s">
        <v>347</v>
      </c>
      <c r="AV10" s="1202">
        <v>434</v>
      </c>
      <c r="AW10" s="967">
        <f t="shared" ref="AW10:AW16" si="5">+(AV10/AR10-1)*100</f>
        <v>26.138956301861562</v>
      </c>
      <c r="AX10" s="1203">
        <v>25.1</v>
      </c>
      <c r="AY10" s="1203"/>
      <c r="AZ10" s="1202">
        <v>529.42100000000005</v>
      </c>
      <c r="BA10" s="967">
        <f t="shared" ref="BA10:BA16" si="6">+(AZ10/AV10-1)*100</f>
        <v>21.986405529953924</v>
      </c>
      <c r="BB10" s="1203">
        <v>21.4</v>
      </c>
      <c r="BC10" s="1203"/>
      <c r="BD10" s="1202">
        <v>676.71799999999996</v>
      </c>
      <c r="BE10" s="967">
        <f t="shared" ref="BE10:BE16" si="7">+(BD10/AZ10-1)*100</f>
        <v>27.822281322425791</v>
      </c>
      <c r="BF10" s="1203">
        <v>19.3</v>
      </c>
      <c r="BG10" s="1203"/>
      <c r="BH10" s="1202">
        <v>752.529</v>
      </c>
      <c r="BI10" s="967">
        <f t="shared" ref="BI10:BI16" si="8">+(BH10/BD10-1)*100</f>
        <v>11.202746195608814</v>
      </c>
      <c r="BJ10" s="1203">
        <v>0.6</v>
      </c>
      <c r="BK10" s="1203"/>
      <c r="BL10" s="1202">
        <v>761.43700000000001</v>
      </c>
      <c r="BM10" s="967">
        <f t="shared" ref="BM10:BM16" si="9">+(BL10/BH10-1)*100</f>
        <v>1.183741756131651</v>
      </c>
      <c r="BN10" s="1203">
        <v>-1.1000000000000001</v>
      </c>
      <c r="BO10" s="1203"/>
      <c r="BP10" s="1202">
        <v>911.66899999999998</v>
      </c>
      <c r="BQ10" s="967">
        <f t="shared" ref="BQ10:BQ16" si="10">+(BP10/BL10-1)*100</f>
        <v>19.730063025568768</v>
      </c>
      <c r="BR10" s="1203">
        <v>8.5</v>
      </c>
      <c r="BS10" s="1203"/>
      <c r="BT10" s="1202">
        <v>1050.3589999999999</v>
      </c>
      <c r="BU10" s="967">
        <f t="shared" ref="BU10:BU16" si="11">+(BT10/BP10-1)*100</f>
        <v>15.212758139193049</v>
      </c>
      <c r="BV10" s="1070">
        <v>9.1999999999999993</v>
      </c>
      <c r="BW10" s="1070"/>
      <c r="BX10" s="196">
        <v>1161.3499999999999</v>
      </c>
      <c r="BY10" s="967">
        <f t="shared" ref="BY10:BY16" si="12">+(BX10/BT10-1)*100</f>
        <v>10.566958535129412</v>
      </c>
      <c r="BZ10" s="1070">
        <v>5.5</v>
      </c>
      <c r="CA10" s="1070"/>
      <c r="CB10" s="196">
        <v>1150.76</v>
      </c>
      <c r="CC10" s="967">
        <f t="shared" ref="CC10:CC16" si="13">+(CB10/BX10-1)*100</f>
        <v>-0.91186980669047957</v>
      </c>
      <c r="CD10" s="1070">
        <v>-6.8</v>
      </c>
      <c r="CE10" s="1203"/>
      <c r="CF10" s="196">
        <v>1038.8</v>
      </c>
      <c r="CG10" s="967">
        <f t="shared" ref="CG10:CG16" si="14">+(CF10/CB10-1)*100</f>
        <v>-9.7292224269178718</v>
      </c>
      <c r="CH10" s="1070">
        <v>-24</v>
      </c>
      <c r="CI10" s="1203"/>
      <c r="CJ10" s="1620">
        <v>1030.3</v>
      </c>
      <c r="CK10" s="967">
        <f>+(CJ10/CF10-1)*100</f>
        <v>-0.81825182903350058</v>
      </c>
      <c r="CL10" s="1622">
        <v>-9.5</v>
      </c>
      <c r="CM10" s="1203"/>
      <c r="CN10" s="1672">
        <v>1037.5999999999999</v>
      </c>
      <c r="CO10" s="967">
        <f t="shared" ref="CO10:CO16" si="15">+(CN10/CJ10-1)*100</f>
        <v>0.70853149568086415</v>
      </c>
      <c r="CP10" s="1622">
        <v>1.9</v>
      </c>
      <c r="CQ10" s="1622"/>
      <c r="CR10" s="2134">
        <v>1288.9000000000001</v>
      </c>
      <c r="CS10" s="967">
        <f t="shared" ref="CS10:CS16" si="16">+(CR10/CN10-1)*100</f>
        <v>24.219352351580593</v>
      </c>
      <c r="CT10" s="968"/>
      <c r="CU10" s="1643"/>
      <c r="CV10" s="967">
        <f>CK10-CL10</f>
        <v>8.6817481709665003</v>
      </c>
      <c r="CW10" s="981">
        <f>CL10+CH10</f>
        <v>-33.5</v>
      </c>
      <c r="CX10" s="1373"/>
    </row>
    <row r="11" spans="1:113" outlineLevel="1">
      <c r="A11" s="691" t="s">
        <v>458</v>
      </c>
      <c r="B11" s="691" t="s">
        <v>167</v>
      </c>
      <c r="C11" s="1201"/>
      <c r="D11" s="1205"/>
      <c r="E11" s="975"/>
      <c r="F11" s="1203"/>
      <c r="H11" s="1205"/>
      <c r="I11" s="975"/>
      <c r="J11" s="1203"/>
      <c r="L11" s="1205"/>
      <c r="M11" s="975"/>
      <c r="N11" s="1203"/>
      <c r="P11" s="1205"/>
      <c r="Q11" s="975"/>
      <c r="R11" s="1203"/>
      <c r="T11" s="1205"/>
      <c r="U11" s="975"/>
      <c r="V11" s="1203"/>
      <c r="X11" s="1205">
        <v>194.12799999999999</v>
      </c>
      <c r="Y11" s="975"/>
      <c r="Z11" s="1203"/>
      <c r="AB11" s="1205">
        <v>211.02799999999999</v>
      </c>
      <c r="AC11" s="975">
        <f t="shared" si="0"/>
        <v>8.7055963075908682</v>
      </c>
      <c r="AD11" s="1203">
        <v>2.6</v>
      </c>
      <c r="AF11" s="1205">
        <v>235.75</v>
      </c>
      <c r="AG11" s="975">
        <f t="shared" si="1"/>
        <v>11.71503307617947</v>
      </c>
      <c r="AH11" s="1203">
        <v>0.6</v>
      </c>
      <c r="AJ11" s="1205">
        <v>308.52300000000002</v>
      </c>
      <c r="AK11" s="975">
        <f t="shared" si="2"/>
        <v>30.868716861081658</v>
      </c>
      <c r="AL11" s="1203">
        <v>12.7</v>
      </c>
      <c r="AN11" s="1205">
        <v>411.51299999999998</v>
      </c>
      <c r="AO11" s="975">
        <f t="shared" si="3"/>
        <v>33.381627949942128</v>
      </c>
      <c r="AP11" s="1203">
        <v>13.7</v>
      </c>
      <c r="AR11" s="162">
        <v>531.75900000000001</v>
      </c>
      <c r="AS11" s="967">
        <f t="shared" si="4"/>
        <v>29.220462051016625</v>
      </c>
      <c r="AT11" s="1203">
        <v>16.5</v>
      </c>
      <c r="AU11" s="1204" t="s">
        <v>347</v>
      </c>
      <c r="AV11" s="162">
        <v>619.79999999999995</v>
      </c>
      <c r="AW11" s="967">
        <f t="shared" si="5"/>
        <v>16.556560396721064</v>
      </c>
      <c r="AX11" s="1203">
        <v>19.899999999999999</v>
      </c>
      <c r="AY11" s="1206"/>
      <c r="AZ11" s="162">
        <v>805.60299999999995</v>
      </c>
      <c r="BA11" s="967">
        <f t="shared" si="6"/>
        <v>29.977896095514687</v>
      </c>
      <c r="BB11" s="1203">
        <v>25.7</v>
      </c>
      <c r="BC11" s="1206"/>
      <c r="BD11" s="162">
        <v>978.01700000000005</v>
      </c>
      <c r="BE11" s="967">
        <f t="shared" si="7"/>
        <v>21.401856745816495</v>
      </c>
      <c r="BF11" s="1203">
        <v>7</v>
      </c>
      <c r="BG11" s="1206"/>
      <c r="BH11" s="162">
        <v>960.25599999999997</v>
      </c>
      <c r="BI11" s="967">
        <f t="shared" si="8"/>
        <v>-1.8160216028964782</v>
      </c>
      <c r="BJ11" s="1203">
        <v>-13.2</v>
      </c>
      <c r="BK11" s="1206"/>
      <c r="BL11" s="162">
        <v>1065.0050000000001</v>
      </c>
      <c r="BM11" s="967">
        <f t="shared" si="9"/>
        <v>10.908445247933907</v>
      </c>
      <c r="BN11" s="1203">
        <v>3.2</v>
      </c>
      <c r="BO11" s="1206"/>
      <c r="BP11" s="162">
        <v>1264.4570000000001</v>
      </c>
      <c r="BQ11" s="967">
        <f t="shared" si="10"/>
        <v>18.727799400002819</v>
      </c>
      <c r="BR11" s="1203">
        <v>12.6</v>
      </c>
      <c r="BS11" s="1206"/>
      <c r="BT11" s="162">
        <v>1448.6489999999999</v>
      </c>
      <c r="BU11" s="967">
        <f t="shared" si="11"/>
        <v>14.566885232158921</v>
      </c>
      <c r="BV11" s="1070">
        <v>8.8000000000000007</v>
      </c>
      <c r="BW11" s="968"/>
      <c r="BX11" s="162">
        <v>1503.7739999999999</v>
      </c>
      <c r="BY11" s="967">
        <f t="shared" si="12"/>
        <v>3.8052695994681862</v>
      </c>
      <c r="BZ11" s="1070">
        <v>-2.2000000000000002</v>
      </c>
      <c r="CA11" s="968"/>
      <c r="CB11" s="162">
        <v>1419.624</v>
      </c>
      <c r="CC11" s="967">
        <f t="shared" si="13"/>
        <v>-5.5959206636103431</v>
      </c>
      <c r="CD11" s="1070">
        <v>-13.6</v>
      </c>
      <c r="CE11" s="1206"/>
      <c r="CF11" s="162">
        <v>1219.4000000000001</v>
      </c>
      <c r="CG11" s="967">
        <f t="shared" si="14"/>
        <v>-14.104016274731901</v>
      </c>
      <c r="CH11" s="1070">
        <v>-22</v>
      </c>
      <c r="CI11" s="1206"/>
      <c r="CJ11" s="162">
        <v>1273.8</v>
      </c>
      <c r="CK11" s="967">
        <f t="shared" ref="CK11:CK16" si="17">+(CJ11/CF11-1)*100</f>
        <v>4.4612104313596745</v>
      </c>
      <c r="CL11" s="1622">
        <v>-4.2</v>
      </c>
      <c r="CM11" s="1206"/>
      <c r="CN11" s="1623">
        <v>1321.7</v>
      </c>
      <c r="CO11" s="967">
        <f t="shared" si="15"/>
        <v>3.7604019469304584</v>
      </c>
      <c r="CP11" s="1622">
        <v>2.8</v>
      </c>
      <c r="CQ11" s="1622"/>
      <c r="CR11" s="2136">
        <v>1785</v>
      </c>
      <c r="CS11" s="967">
        <f t="shared" si="16"/>
        <v>35.053340394945899</v>
      </c>
      <c r="CT11" s="968"/>
      <c r="CU11" s="1643"/>
      <c r="CV11" s="967">
        <f>CK11-CL11</f>
        <v>8.6612104313596738</v>
      </c>
      <c r="CW11" s="981">
        <f>CL11+CH11</f>
        <v>-26.2</v>
      </c>
      <c r="CY11" s="1681">
        <v>-2.3E-2</v>
      </c>
    </row>
    <row r="12" spans="1:113" outlineLevel="1">
      <c r="A12" s="691" t="s">
        <v>459</v>
      </c>
      <c r="B12" s="691" t="s">
        <v>166</v>
      </c>
      <c r="C12" s="1201"/>
      <c r="D12" s="1205"/>
      <c r="E12" s="975"/>
      <c r="F12" s="1203"/>
      <c r="H12" s="1205"/>
      <c r="I12" s="975"/>
      <c r="J12" s="1203"/>
      <c r="L12" s="1205"/>
      <c r="M12" s="975"/>
      <c r="N12" s="1203"/>
      <c r="P12" s="1205"/>
      <c r="Q12" s="975"/>
      <c r="R12" s="1203"/>
      <c r="T12" s="1205"/>
      <c r="U12" s="975"/>
      <c r="V12" s="1203"/>
      <c r="X12" s="1205">
        <v>115.072</v>
      </c>
      <c r="Y12" s="975"/>
      <c r="Z12" s="1203"/>
      <c r="AB12" s="1205">
        <v>125.714</v>
      </c>
      <c r="AC12" s="975">
        <f t="shared" si="0"/>
        <v>9.2481229143492669</v>
      </c>
      <c r="AD12" s="1203">
        <v>3.7</v>
      </c>
      <c r="AF12" s="1205">
        <v>161.571</v>
      </c>
      <c r="AG12" s="975">
        <f t="shared" si="1"/>
        <v>28.522678460632854</v>
      </c>
      <c r="AH12" s="1203">
        <v>9.6</v>
      </c>
      <c r="AJ12" s="1205">
        <v>220.39599999999999</v>
      </c>
      <c r="AK12" s="975">
        <f t="shared" si="2"/>
        <v>36.408142550333913</v>
      </c>
      <c r="AL12" s="1203">
        <v>14.1</v>
      </c>
      <c r="AN12" s="1205">
        <v>313.07299999999998</v>
      </c>
      <c r="AO12" s="975">
        <f t="shared" si="3"/>
        <v>42.050218697254024</v>
      </c>
      <c r="AP12" s="1203">
        <v>20.5</v>
      </c>
      <c r="AR12" s="162">
        <v>415.93900000000002</v>
      </c>
      <c r="AS12" s="967">
        <f t="shared" si="4"/>
        <v>32.85687363650014</v>
      </c>
      <c r="AT12" s="1070">
        <v>19.3</v>
      </c>
      <c r="AU12" s="1204" t="s">
        <v>347</v>
      </c>
      <c r="AV12" s="162">
        <f>497.859-(497.859-479.718)</f>
        <v>479.71800000000002</v>
      </c>
      <c r="AW12" s="967">
        <f t="shared" si="5"/>
        <v>15.333738841512812</v>
      </c>
      <c r="AX12" s="1203">
        <v>21.1</v>
      </c>
      <c r="AY12" s="1206"/>
      <c r="AZ12" s="162">
        <v>625.303</v>
      </c>
      <c r="BA12" s="967">
        <f t="shared" si="6"/>
        <v>30.348037805544092</v>
      </c>
      <c r="BB12" s="1203">
        <v>20</v>
      </c>
      <c r="BC12" s="1206"/>
      <c r="BD12" s="162">
        <v>744.52200000000005</v>
      </c>
      <c r="BE12" s="967">
        <f t="shared" si="7"/>
        <v>19.065796901662079</v>
      </c>
      <c r="BF12" s="1203">
        <v>9</v>
      </c>
      <c r="BG12" s="1206"/>
      <c r="BH12" s="162">
        <v>739.93899999999996</v>
      </c>
      <c r="BI12" s="967">
        <f t="shared" si="8"/>
        <v>-0.6155627368969685</v>
      </c>
      <c r="BJ12" s="1203">
        <v>-4.2</v>
      </c>
      <c r="BK12" s="1206"/>
      <c r="BL12" s="162">
        <v>830.66899999999998</v>
      </c>
      <c r="BM12" s="967">
        <f t="shared" si="9"/>
        <v>12.261821582589928</v>
      </c>
      <c r="BN12" s="1203">
        <v>5.0999999999999996</v>
      </c>
      <c r="BO12" s="1206"/>
      <c r="BP12" s="162">
        <v>950.70600000000002</v>
      </c>
      <c r="BQ12" s="967">
        <f t="shared" si="10"/>
        <v>14.4506415912957</v>
      </c>
      <c r="BR12" s="1203">
        <v>10.3</v>
      </c>
      <c r="BS12" s="1206"/>
      <c r="BT12" s="162">
        <v>1108.981</v>
      </c>
      <c r="BU12" s="967">
        <f t="shared" si="11"/>
        <v>16.648154108630852</v>
      </c>
      <c r="BV12" s="1070">
        <v>6.7</v>
      </c>
      <c r="BW12" s="968"/>
      <c r="BX12" s="162">
        <v>1187.578</v>
      </c>
      <c r="BY12" s="967">
        <f t="shared" si="12"/>
        <v>7.0873170956039733</v>
      </c>
      <c r="BZ12" s="1070">
        <v>1</v>
      </c>
      <c r="CA12" s="968"/>
      <c r="CB12" s="162">
        <v>1099.626</v>
      </c>
      <c r="CC12" s="967">
        <f t="shared" si="13"/>
        <v>-7.4059977534107198</v>
      </c>
      <c r="CD12" s="1070">
        <v>-21.4</v>
      </c>
      <c r="CE12" s="1206"/>
      <c r="CF12" s="162">
        <v>929.3</v>
      </c>
      <c r="CG12" s="967">
        <f t="shared" si="14"/>
        <v>-15.489448230580216</v>
      </c>
      <c r="CH12" s="1070">
        <v>-23</v>
      </c>
      <c r="CI12" s="1206"/>
      <c r="CJ12" s="162">
        <v>1033.0999999999999</v>
      </c>
      <c r="CK12" s="967">
        <f>+(CJ12/CF12-1)*100</f>
        <v>11.169697621865925</v>
      </c>
      <c r="CL12" s="1622">
        <v>-0.2</v>
      </c>
      <c r="CM12" s="1206"/>
      <c r="CN12" s="1623">
        <v>995.2</v>
      </c>
      <c r="CO12" s="967">
        <f t="shared" si="15"/>
        <v>-3.668570322330833</v>
      </c>
      <c r="CP12" s="1622">
        <v>3.4</v>
      </c>
      <c r="CQ12" s="1622"/>
      <c r="CR12" s="302">
        <f>+'SegOM-New'!D32+'SegOM-New'!I32+'SegOM-New'!N32</f>
        <v>1305.6010826712957</v>
      </c>
      <c r="CS12" s="967">
        <f t="shared" si="16"/>
        <v>31.189819400250762</v>
      </c>
      <c r="CT12" s="968"/>
      <c r="CU12" s="1643"/>
      <c r="CV12" s="967">
        <f>CK12-CL12</f>
        <v>11.369697621865924</v>
      </c>
      <c r="DI12" s="3">
        <v>1</v>
      </c>
    </row>
    <row r="13" spans="1:113" outlineLevel="1">
      <c r="A13" s="691" t="s">
        <v>460</v>
      </c>
      <c r="B13" s="691" t="s">
        <v>62</v>
      </c>
      <c r="C13" s="1201"/>
      <c r="D13" s="1207"/>
      <c r="E13" s="975"/>
      <c r="F13" s="1203"/>
      <c r="H13" s="1207"/>
      <c r="I13" s="975"/>
      <c r="J13" s="1203"/>
      <c r="L13" s="1207"/>
      <c r="M13" s="975"/>
      <c r="N13" s="1203"/>
      <c r="P13" s="1207"/>
      <c r="Q13" s="975"/>
      <c r="R13" s="1203"/>
      <c r="T13" s="1207"/>
      <c r="U13" s="975"/>
      <c r="V13" s="1203"/>
      <c r="X13" s="1207">
        <v>121.68600000000001</v>
      </c>
      <c r="Y13" s="975"/>
      <c r="Z13" s="1203"/>
      <c r="AB13" s="1207">
        <v>132.25399999999999</v>
      </c>
      <c r="AC13" s="975">
        <f t="shared" si="0"/>
        <v>8.6846473711026597</v>
      </c>
      <c r="AD13" s="1203">
        <v>1.6</v>
      </c>
      <c r="AF13" s="1207">
        <v>171.38</v>
      </c>
      <c r="AG13" s="975">
        <f t="shared" si="1"/>
        <v>29.583982337018178</v>
      </c>
      <c r="AH13" s="1203">
        <v>9.5</v>
      </c>
      <c r="AJ13" s="1207">
        <v>231.51599999999999</v>
      </c>
      <c r="AK13" s="975">
        <f t="shared" si="2"/>
        <v>35.089275294666812</v>
      </c>
      <c r="AL13" s="1203">
        <v>21.6</v>
      </c>
      <c r="AN13" s="1207">
        <f>338.145</f>
        <v>338.14499999999998</v>
      </c>
      <c r="AO13" s="975">
        <f t="shared" si="3"/>
        <v>46.05686000103664</v>
      </c>
      <c r="AP13" s="1203">
        <v>17.7</v>
      </c>
      <c r="AR13" s="1208">
        <v>418.66</v>
      </c>
      <c r="AS13" s="967">
        <f t="shared" si="4"/>
        <v>23.81079122861496</v>
      </c>
      <c r="AT13" s="1203">
        <v>22</v>
      </c>
      <c r="AU13" s="1204" t="s">
        <v>347</v>
      </c>
      <c r="AV13" s="1208">
        <v>501.57299999999998</v>
      </c>
      <c r="AW13" s="967">
        <f t="shared" si="5"/>
        <v>19.804375865857725</v>
      </c>
      <c r="AX13" s="1203">
        <v>18.5</v>
      </c>
      <c r="AY13" s="1206"/>
      <c r="AZ13" s="1208">
        <v>652.12900000000002</v>
      </c>
      <c r="BA13" s="967">
        <f t="shared" si="6"/>
        <v>30.016767250230792</v>
      </c>
      <c r="BB13" s="1203">
        <v>20.2</v>
      </c>
      <c r="BC13" s="1206"/>
      <c r="BD13" s="1208">
        <v>781.5</v>
      </c>
      <c r="BE13" s="967">
        <f t="shared" si="7"/>
        <v>19.838252861013682</v>
      </c>
      <c r="BF13" s="1203">
        <v>6.7</v>
      </c>
      <c r="BG13" s="1206"/>
      <c r="BH13" s="1208">
        <v>777.74400000000003</v>
      </c>
      <c r="BI13" s="967">
        <f t="shared" si="8"/>
        <v>-0.4806142034548877</v>
      </c>
      <c r="BJ13" s="1203">
        <v>-6.1</v>
      </c>
      <c r="BK13" s="1206"/>
      <c r="BL13" s="1208">
        <f>950.525</f>
        <v>950.52499999999998</v>
      </c>
      <c r="BM13" s="967">
        <f t="shared" si="9"/>
        <v>22.215664794585365</v>
      </c>
      <c r="BN13" s="1203">
        <v>6.3</v>
      </c>
      <c r="BO13" s="1206"/>
      <c r="BP13" s="1208">
        <v>1031.675</v>
      </c>
      <c r="BQ13" s="967">
        <f t="shared" si="10"/>
        <v>8.5373872333710299</v>
      </c>
      <c r="BR13" s="1203">
        <v>10.1</v>
      </c>
      <c r="BS13" s="1206"/>
      <c r="BT13" s="1208">
        <v>1155.191</v>
      </c>
      <c r="BU13" s="967">
        <f t="shared" si="11"/>
        <v>11.972375021203385</v>
      </c>
      <c r="BV13" s="1070">
        <v>1.7</v>
      </c>
      <c r="BW13" s="968"/>
      <c r="BX13" s="1208">
        <v>1222.6880000000001</v>
      </c>
      <c r="BY13" s="967">
        <f t="shared" si="12"/>
        <v>5.8429298704716359</v>
      </c>
      <c r="BZ13" s="1070">
        <v>-1.7</v>
      </c>
      <c r="CA13" s="968"/>
      <c r="CB13" s="1208">
        <v>1136.2159999999999</v>
      </c>
      <c r="CC13" s="967">
        <f t="shared" si="13"/>
        <v>-7.0722866340391155</v>
      </c>
      <c r="CD13" s="1070">
        <v>-17</v>
      </c>
      <c r="CE13" s="1206"/>
      <c r="CF13" s="1570">
        <v>1004.1</v>
      </c>
      <c r="CG13" s="967">
        <f t="shared" si="14"/>
        <v>-11.627718673210008</v>
      </c>
      <c r="CH13" s="1622">
        <v>-19</v>
      </c>
      <c r="CI13" s="1206"/>
      <c r="CJ13" s="1570">
        <v>1154.5999999999999</v>
      </c>
      <c r="CK13" s="967">
        <f t="shared" si="17"/>
        <v>14.988546957474336</v>
      </c>
      <c r="CL13" s="1622">
        <v>2</v>
      </c>
      <c r="CM13" s="1206"/>
      <c r="CN13" s="2042">
        <v>1133.8</v>
      </c>
      <c r="CO13" s="967">
        <f t="shared" si="15"/>
        <v>-1.8014896934003044</v>
      </c>
      <c r="CP13" s="2043">
        <v>4</v>
      </c>
      <c r="CQ13" s="968"/>
      <c r="CR13" s="1209">
        <f>+'SegOM-New'!D33+'SegOM-New'!I33+'SegOM-New'!N33</f>
        <v>1451.3955508720001</v>
      </c>
      <c r="CS13" s="967">
        <f t="shared" si="16"/>
        <v>28.011602652319635</v>
      </c>
      <c r="CT13" s="968"/>
      <c r="CU13" s="1643"/>
      <c r="CV13" s="967">
        <f>CK13-CL13</f>
        <v>12.988546957474336</v>
      </c>
    </row>
    <row r="14" spans="1:113" outlineLevel="1">
      <c r="A14" s="691"/>
      <c r="B14" s="691" t="s">
        <v>461</v>
      </c>
      <c r="C14" s="691"/>
      <c r="D14" s="1202">
        <v>395.02100000000002</v>
      </c>
      <c r="E14" s="975"/>
      <c r="F14" s="1203"/>
      <c r="H14" s="1202">
        <v>512.64499999999998</v>
      </c>
      <c r="I14" s="975">
        <f>(H14/D14-1)*100</f>
        <v>29.776644785973396</v>
      </c>
      <c r="J14" s="1203"/>
      <c r="L14" s="1202">
        <v>540.36599999999999</v>
      </c>
      <c r="M14" s="975">
        <f>(L14/H14-1)*100</f>
        <v>5.4074456982902364</v>
      </c>
      <c r="N14" s="1203"/>
      <c r="P14" s="1202">
        <v>513.91499999999996</v>
      </c>
      <c r="Q14" s="975">
        <f>(P14/L14-1)*100</f>
        <v>-4.8950156005374224</v>
      </c>
      <c r="R14" s="1203"/>
      <c r="T14" s="1202">
        <v>500.94400000000002</v>
      </c>
      <c r="U14" s="975">
        <f>(T14/P14-1)*100</f>
        <v>-2.5239582421217377</v>
      </c>
      <c r="V14" s="1203"/>
      <c r="X14" s="1210">
        <f>SUM(X10:X13)</f>
        <v>548.91800000000001</v>
      </c>
      <c r="Y14" s="975">
        <f>(X14/T14-1)*100</f>
        <v>9.5767191542367911</v>
      </c>
      <c r="Z14" s="1203"/>
      <c r="AB14" s="1210">
        <f>SUM(AB10:AB13)</f>
        <v>600.49099999999999</v>
      </c>
      <c r="AC14" s="975">
        <f t="shared" si="0"/>
        <v>9.3953923901201932</v>
      </c>
      <c r="AD14" s="1203">
        <v>3.2</v>
      </c>
      <c r="AF14" s="1210">
        <f>SUM(AF10:AF13)</f>
        <v>719.40300000000002</v>
      </c>
      <c r="AG14" s="975">
        <f t="shared" si="1"/>
        <v>19.802461652214621</v>
      </c>
      <c r="AH14" s="1203">
        <v>3.9</v>
      </c>
      <c r="AJ14" s="1210">
        <f>SUM(AJ10:AJ13)</f>
        <v>953.226</v>
      </c>
      <c r="AK14" s="975">
        <f t="shared" si="2"/>
        <v>32.502366545594043</v>
      </c>
      <c r="AL14" s="1070">
        <v>15.2</v>
      </c>
      <c r="AN14" s="1210">
        <f>SUM(AN10:AN13)</f>
        <v>1321.1059999999998</v>
      </c>
      <c r="AO14" s="975">
        <f t="shared" si="3"/>
        <v>38.593156292421703</v>
      </c>
      <c r="AP14" s="1203">
        <v>16.899999999999999</v>
      </c>
      <c r="AR14" s="1211">
        <f>SUM(AR10:AR13)</f>
        <v>1710.4230000000002</v>
      </c>
      <c r="AS14" s="967">
        <f t="shared" si="4"/>
        <v>29.469020653906686</v>
      </c>
      <c r="AT14" s="1203">
        <v>18.2</v>
      </c>
      <c r="AV14" s="1211">
        <f>SUM(AV10:AV13)</f>
        <v>2035.0909999999999</v>
      </c>
      <c r="AW14" s="967">
        <f t="shared" si="5"/>
        <v>18.981737266161613</v>
      </c>
      <c r="AX14" s="1203">
        <v>20.7</v>
      </c>
      <c r="AY14" s="1206"/>
      <c r="AZ14" s="1211">
        <f>SUM(AZ10:AZ13)</f>
        <v>2612.4559999999997</v>
      </c>
      <c r="BA14" s="967">
        <f t="shared" si="6"/>
        <v>28.370475816560536</v>
      </c>
      <c r="BB14" s="1203">
        <v>22.3</v>
      </c>
      <c r="BC14" s="1206"/>
      <c r="BD14" s="132">
        <f>SUM(BD10:BD13)</f>
        <v>3180.7570000000001</v>
      </c>
      <c r="BE14" s="967">
        <f t="shared" si="7"/>
        <v>21.753514700343302</v>
      </c>
      <c r="BF14" s="1203">
        <v>9.8000000000000007</v>
      </c>
      <c r="BG14" s="1206"/>
      <c r="BH14" s="132">
        <f>SUM(BH10:BH13)</f>
        <v>3230.4679999999998</v>
      </c>
      <c r="BI14" s="967">
        <f t="shared" si="8"/>
        <v>1.5628669527411265</v>
      </c>
      <c r="BJ14" s="1203">
        <v>-6.8</v>
      </c>
      <c r="BK14" s="1206"/>
      <c r="BL14" s="132">
        <f>SUM(BL10:BL13)</f>
        <v>3607.636</v>
      </c>
      <c r="BM14" s="967">
        <f t="shared" si="9"/>
        <v>11.675336205156661</v>
      </c>
      <c r="BN14" s="1203">
        <v>3.5</v>
      </c>
      <c r="BO14" s="1206"/>
      <c r="BP14" s="132">
        <f>SUM(BP10:BP13)</f>
        <v>4158.5070000000005</v>
      </c>
      <c r="BQ14" s="967">
        <f t="shared" si="10"/>
        <v>15.269583738492475</v>
      </c>
      <c r="BR14" s="1203">
        <v>10.6</v>
      </c>
      <c r="BS14" s="1206"/>
      <c r="BT14" s="132">
        <f>SUM(BT10:BT13)</f>
        <v>4763.1799999999994</v>
      </c>
      <c r="BU14" s="967">
        <f t="shared" si="11"/>
        <v>14.540627201060353</v>
      </c>
      <c r="BV14" s="1671">
        <v>6.6</v>
      </c>
      <c r="BW14" s="968"/>
      <c r="BX14" s="132">
        <f>SUM(BX10:BX13)</f>
        <v>5075.3899999999994</v>
      </c>
      <c r="BY14" s="967">
        <f t="shared" si="12"/>
        <v>6.5546546634811298</v>
      </c>
      <c r="BZ14" s="1671">
        <v>0.3</v>
      </c>
      <c r="CA14" s="968"/>
      <c r="CB14" s="132">
        <f>SUM(CB10:CB13)</f>
        <v>4806.2260000000006</v>
      </c>
      <c r="CC14" s="967">
        <f t="shared" si="13"/>
        <v>-5.3033165924194714</v>
      </c>
      <c r="CD14" s="1671">
        <v>-15</v>
      </c>
      <c r="CE14" s="1206"/>
      <c r="CF14" s="132">
        <f>SUM(CF10:CF13)</f>
        <v>4191.6000000000004</v>
      </c>
      <c r="CG14" s="967">
        <f>+(CF14/CB14-1)*100</f>
        <v>-12.788121074622794</v>
      </c>
      <c r="CH14" s="1622">
        <v>-22</v>
      </c>
      <c r="CI14" s="1206"/>
      <c r="CJ14" s="132">
        <f>SUM(CJ10:CJ13)</f>
        <v>4491.7999999999993</v>
      </c>
      <c r="CK14" s="967">
        <f>+(CJ14/CF14-1)*100</f>
        <v>7.1619429334859985</v>
      </c>
      <c r="CL14" s="1622">
        <v>-3.3</v>
      </c>
      <c r="CM14" s="1206"/>
      <c r="CN14" s="132">
        <f>SUM(CN10:CN13)</f>
        <v>4488.3</v>
      </c>
      <c r="CO14" s="967">
        <f>+(CN14/CJ14-1)*100</f>
        <v>-7.7919764904921252E-2</v>
      </c>
      <c r="CP14" s="2043">
        <v>3.1</v>
      </c>
      <c r="CQ14" s="968"/>
      <c r="CR14" s="132">
        <f>SUM(CR10:CR13)</f>
        <v>5830.896633543296</v>
      </c>
      <c r="CS14" s="967">
        <f>+(CR14/CN14-1)*100</f>
        <v>29.913255208949852</v>
      </c>
      <c r="CT14" s="968"/>
      <c r="CU14" s="968"/>
      <c r="CV14" s="1057"/>
    </row>
    <row r="15" spans="1:113" hidden="1" outlineLevel="2">
      <c r="A15" s="691" t="s">
        <v>462</v>
      </c>
      <c r="B15" s="691"/>
      <c r="C15" s="691"/>
      <c r="D15" s="1212"/>
      <c r="E15" s="975"/>
      <c r="F15" s="1206"/>
      <c r="H15" s="1212"/>
      <c r="I15" s="975"/>
      <c r="J15" s="1206"/>
      <c r="L15" s="1212"/>
      <c r="M15" s="975"/>
      <c r="N15" s="1206"/>
      <c r="P15" s="1212"/>
      <c r="Q15" s="975"/>
      <c r="R15" s="1206"/>
      <c r="T15" s="1212"/>
      <c r="U15" s="975"/>
      <c r="V15" s="1206"/>
      <c r="X15" s="1212">
        <f>SUM(X10:X11)</f>
        <v>312.15999999999997</v>
      </c>
      <c r="Y15" s="975"/>
      <c r="Z15" s="1206"/>
      <c r="AB15" s="1212">
        <f>SUM(AB10:AB11)</f>
        <v>342.52300000000002</v>
      </c>
      <c r="AC15" s="975">
        <f t="shared" si="0"/>
        <v>9.7267426960533143</v>
      </c>
      <c r="AD15" s="1206">
        <f>((AB10/AB15)*AD10)+((AB11/AB15)*AD11)</f>
        <v>3.7133135585055599</v>
      </c>
      <c r="AF15" s="1212">
        <f>SUM(AF10:AF11)</f>
        <v>386.452</v>
      </c>
      <c r="AG15" s="975">
        <f t="shared" si="1"/>
        <v>12.825124152246703</v>
      </c>
      <c r="AH15" s="1206">
        <f>((AF10/AF15)*AH10)+((AF11/AF15)*AH11)</f>
        <v>-0.37490762112759146</v>
      </c>
      <c r="AJ15" s="1212">
        <f>SUM(AJ10:AJ11)</f>
        <v>501.31400000000002</v>
      </c>
      <c r="AK15" s="975">
        <f t="shared" si="2"/>
        <v>29.722190595468522</v>
      </c>
      <c r="AL15" s="1206">
        <f>((AJ10/AJ15)*AL10)+((AJ11/AJ15)*AL11)</f>
        <v>12.892285673250695</v>
      </c>
      <c r="AN15" s="1212">
        <f>SUM(AN10:AN11)</f>
        <v>669.88799999999992</v>
      </c>
      <c r="AO15" s="975">
        <f t="shared" si="3"/>
        <v>33.626429742636319</v>
      </c>
      <c r="AP15" s="1206">
        <f>((AN10/AN15)*AP10)+((AN11/AN15)*AP11)</f>
        <v>15.281365093866437</v>
      </c>
      <c r="AR15" s="1213">
        <f>SUM(AR10:AR11)</f>
        <v>875.82400000000007</v>
      </c>
      <c r="AS15" s="967">
        <f t="shared" si="4"/>
        <v>30.741855354925018</v>
      </c>
      <c r="AT15" s="1206">
        <f>((AR10/AR15)*AT10)+((AR11/AR15)*AT11)</f>
        <v>15.950013929739306</v>
      </c>
      <c r="AV15" s="1213">
        <f>SUM(AV10:AV11)</f>
        <v>1053.8</v>
      </c>
      <c r="AW15" s="967">
        <f t="shared" si="5"/>
        <v>20.320977730685598</v>
      </c>
      <c r="AX15" s="1206">
        <f>((AV10/AV15)*AX10)+((AV11/AV15)*AX11)</f>
        <v>22.041582843044218</v>
      </c>
      <c r="AY15" s="1206"/>
      <c r="AZ15" s="1213">
        <f>SUM(AZ10:AZ11)</f>
        <v>1335.0239999999999</v>
      </c>
      <c r="BA15" s="967">
        <f t="shared" si="6"/>
        <v>26.686657809831082</v>
      </c>
      <c r="BB15" s="1206">
        <f>((AZ10/AZ15)*BB10)+((AZ11/AZ15)*BB11)</f>
        <v>23.994779494600849</v>
      </c>
      <c r="BC15" s="1206"/>
      <c r="BD15" s="1213">
        <f>SUM(BD10:BD11)</f>
        <v>1654.7350000000001</v>
      </c>
      <c r="BE15" s="967">
        <f t="shared" si="7"/>
        <v>23.947958988003236</v>
      </c>
      <c r="BF15" s="1206">
        <f>((BD10/BD15)*BF10)+((BD11/BD15)*BF11)</f>
        <v>12.030189969995195</v>
      </c>
      <c r="BG15" s="1206"/>
      <c r="BH15" s="1213">
        <f>SUM(BH10:BH11)</f>
        <v>1712.7849999999999</v>
      </c>
      <c r="BI15" s="967">
        <f t="shared" si="8"/>
        <v>3.508114592366729</v>
      </c>
      <c r="BJ15" s="1206">
        <f>((BH10/BH15)*BJ10)+((BH11/BH15)*BJ11)</f>
        <v>-7.136833753214793</v>
      </c>
      <c r="BK15" s="1206"/>
      <c r="BL15" s="1213">
        <f>SUM(BL10:BL11)</f>
        <v>1826.442</v>
      </c>
      <c r="BM15" s="967">
        <f t="shared" si="9"/>
        <v>6.6358007572462574</v>
      </c>
      <c r="BN15" s="1206">
        <f>((BL10/BL15)*BN10)+((BL11/BL15)*BN11)</f>
        <v>1.4073457027378917</v>
      </c>
      <c r="BO15" s="1206"/>
      <c r="BP15" s="1213">
        <f>SUM(BP10:BP11)</f>
        <v>2176.1260000000002</v>
      </c>
      <c r="BQ15" s="967">
        <f t="shared" si="10"/>
        <v>19.145639445435457</v>
      </c>
      <c r="BR15" s="1206">
        <f>((BP10/BP15)*BR10)+((BP11/BP15)*BR11)</f>
        <v>10.882340774385305</v>
      </c>
      <c r="BS15" s="1206"/>
      <c r="BT15" s="1213">
        <f>SUM(BT10:BT11)</f>
        <v>2499.0079999999998</v>
      </c>
      <c r="BU15" s="967">
        <f t="shared" si="11"/>
        <v>14.83746805102275</v>
      </c>
      <c r="BV15" s="968">
        <f>((BT10/BT15)*BV10)+((BT11/BT15)*BV11)</f>
        <v>8.9681241516633801</v>
      </c>
      <c r="BW15" s="968"/>
      <c r="BX15" s="1213">
        <f>SUM(BX10:BX11)</f>
        <v>2665.1239999999998</v>
      </c>
      <c r="BY15" s="967">
        <f t="shared" si="12"/>
        <v>6.6472776397674682</v>
      </c>
      <c r="BZ15" s="968">
        <f>((BX10/BX15)*BZ10)+((BX11/BX15)*BZ11)</f>
        <v>1.1553391887206748</v>
      </c>
      <c r="CA15" s="968"/>
      <c r="CB15" s="1213">
        <f>SUM(CB10:CB11)</f>
        <v>2570.384</v>
      </c>
      <c r="CC15" s="967">
        <f t="shared" si="13"/>
        <v>-3.5548064555345205</v>
      </c>
      <c r="CD15" s="968">
        <f>((CB10/CB15)*CD10)+((CB11/CB15)*CD11)</f>
        <v>-10.555642425411923</v>
      </c>
      <c r="CE15" s="1206"/>
      <c r="CF15" s="1213">
        <f>SUM(CF10:CF11)</f>
        <v>2258.1999999999998</v>
      </c>
      <c r="CG15" s="967">
        <f t="shared" si="14"/>
        <v>-12.145422629459269</v>
      </c>
      <c r="CH15" s="1206">
        <f>((CF10/CF15)*CH10)+((CF11/CF15)*CH11)</f>
        <v>-22.920024798512092</v>
      </c>
      <c r="CI15" s="1206"/>
      <c r="CJ15" s="1213">
        <f>SUM(CJ10:CJ11)</f>
        <v>2304.1</v>
      </c>
      <c r="CK15" s="967">
        <f t="shared" si="17"/>
        <v>2.0325923301744764</v>
      </c>
      <c r="CL15" s="1206">
        <f>((CJ10/CJ15)*CL10)+((CJ11/CJ15)*CL11)</f>
        <v>-6.5699448808645453</v>
      </c>
      <c r="CM15" s="1206"/>
      <c r="CN15" s="1213">
        <f>SUM(CN10:CN11)</f>
        <v>2359.3000000000002</v>
      </c>
      <c r="CO15" s="967">
        <f t="shared" si="15"/>
        <v>2.3957293520246559</v>
      </c>
      <c r="CP15" s="1206">
        <f>((CN10/CN15)*CP10)+((CN11/CN15)*CP11)</f>
        <v>2.404187682787267</v>
      </c>
      <c r="CQ15" s="1206"/>
      <c r="CR15" s="535">
        <f>SUM(CR10:CR11)</f>
        <v>3073.9</v>
      </c>
      <c r="CS15" s="535">
        <f t="shared" si="16"/>
        <v>30.288644937057583</v>
      </c>
      <c r="CT15" s="535"/>
      <c r="CU15" s="968"/>
    </row>
    <row r="16" spans="1:113" hidden="1" outlineLevel="2">
      <c r="A16" s="691" t="s">
        <v>463</v>
      </c>
      <c r="B16" s="691"/>
      <c r="C16" s="691"/>
      <c r="D16" s="1212"/>
      <c r="E16" s="975"/>
      <c r="F16" s="1206"/>
      <c r="H16" s="1212"/>
      <c r="I16" s="975"/>
      <c r="J16" s="1206"/>
      <c r="L16" s="1212"/>
      <c r="M16" s="975"/>
      <c r="N16" s="1206"/>
      <c r="P16" s="1212"/>
      <c r="Q16" s="975"/>
      <c r="R16" s="1206"/>
      <c r="T16" s="1212"/>
      <c r="U16" s="975"/>
      <c r="V16" s="1206"/>
      <c r="X16" s="1212">
        <f>SUM(X10:X12)</f>
        <v>427.23199999999997</v>
      </c>
      <c r="Y16" s="975"/>
      <c r="Z16" s="1206"/>
      <c r="AB16" s="1212">
        <f>SUM(AB10:AB12)</f>
        <v>468.23700000000002</v>
      </c>
      <c r="AC16" s="975">
        <f t="shared" si="0"/>
        <v>9.5978297505804999</v>
      </c>
      <c r="AD16" s="1206">
        <f>((AB12/AB16)*AD12)+((AB15/AB16)*AD15)</f>
        <v>3.7097390851214231</v>
      </c>
      <c r="AF16" s="1212">
        <f>SUM(AF10:AF12)</f>
        <v>548.02300000000002</v>
      </c>
      <c r="AG16" s="975">
        <f t="shared" si="1"/>
        <v>17.039661538921536</v>
      </c>
      <c r="AH16" s="1206">
        <f>((AF12/AF16)*AH12)+((AF15/AF16)*AH15)</f>
        <v>2.565946684719437</v>
      </c>
      <c r="AJ16" s="1212">
        <f>SUM(AJ10:AJ12)</f>
        <v>721.71</v>
      </c>
      <c r="AK16" s="975">
        <f t="shared" si="2"/>
        <v>31.693377832682202</v>
      </c>
      <c r="AL16" s="1206">
        <f>((AJ12/AJ16)*AL12)+((AJ15/AJ16)*AL15)</f>
        <v>13.261097809369412</v>
      </c>
      <c r="AN16" s="1212">
        <f>SUM(AN10:AN12)</f>
        <v>982.9609999999999</v>
      </c>
      <c r="AO16" s="975">
        <f t="shared" si="3"/>
        <v>36.198888750329061</v>
      </c>
      <c r="AP16" s="1206">
        <f>((AN12/AN16)*AP12)+((AN15/AN16)*AP15)</f>
        <v>16.943499894705894</v>
      </c>
      <c r="AR16" s="1213">
        <f>SUM(AR10:AR12)</f>
        <v>1291.7630000000001</v>
      </c>
      <c r="AS16" s="967">
        <f t="shared" si="4"/>
        <v>31.415488508699774</v>
      </c>
      <c r="AT16" s="1206">
        <f>((AR12/AR16)*AT12)+((AR15/AR16)*AT15)</f>
        <v>17.02868691857562</v>
      </c>
      <c r="AV16" s="1213">
        <f>SUM(AV10:AV12)</f>
        <v>1533.518</v>
      </c>
      <c r="AW16" s="967">
        <f t="shared" si="5"/>
        <v>18.715120343282777</v>
      </c>
      <c r="AX16" s="1206">
        <f>((AV12/AV16)*AX12)+((AV15/AV16)*AX15)</f>
        <v>21.747035117944488</v>
      </c>
      <c r="AY16" s="1206"/>
      <c r="AZ16" s="1213">
        <f>SUM(AZ10:AZ12)</f>
        <v>1960.3269999999998</v>
      </c>
      <c r="BA16" s="967">
        <f t="shared" si="6"/>
        <v>27.832017622225468</v>
      </c>
      <c r="BB16" s="1206">
        <f>((AZ12/AZ16)*BB12)+((AZ15/AZ16)*BB15)</f>
        <v>22.720529023984266</v>
      </c>
      <c r="BC16" s="1206"/>
      <c r="BD16" s="1213">
        <f>SUM(BD10:BD12)</f>
        <v>2399.2570000000001</v>
      </c>
      <c r="BE16" s="967">
        <f t="shared" si="7"/>
        <v>22.390652171806046</v>
      </c>
      <c r="BF16" s="1206">
        <f>((BD12/BD16)*BF12)+((BD15/BD16)*BF15)</f>
        <v>11.089880908964734</v>
      </c>
      <c r="BG16" s="1206"/>
      <c r="BH16" s="1213">
        <f>SUM(BH10:BH12)</f>
        <v>2452.7239999999997</v>
      </c>
      <c r="BI16" s="967">
        <f t="shared" si="8"/>
        <v>2.2284815674185721</v>
      </c>
      <c r="BJ16" s="1206">
        <f>((BH12/BH16)*BJ12)+((BH15/BH16)*BJ15)</f>
        <v>-6.2508482813394419</v>
      </c>
      <c r="BK16" s="1206"/>
      <c r="BL16" s="1213">
        <f>SUM(BL10:BL12)</f>
        <v>2657.1109999999999</v>
      </c>
      <c r="BM16" s="967">
        <f t="shared" si="9"/>
        <v>8.3330615266944186</v>
      </c>
      <c r="BN16" s="1206">
        <f>((BL12/BL16)*BN12)+((BL15/BL16)*BN15)</f>
        <v>2.5617474015951913</v>
      </c>
      <c r="BO16" s="1206"/>
      <c r="BP16" s="1213">
        <f>SUM(BP10:BP12)</f>
        <v>3126.8320000000003</v>
      </c>
      <c r="BQ16" s="967">
        <f t="shared" si="10"/>
        <v>17.67788398753385</v>
      </c>
      <c r="BR16" s="1206">
        <f>((BP12/BP16)*BR12)+((BP15/BP16)*BR15)</f>
        <v>10.705281415822787</v>
      </c>
      <c r="BS16" s="1206"/>
      <c r="BT16" s="1213">
        <f>SUM(BT10:BT12)</f>
        <v>3607.9889999999996</v>
      </c>
      <c r="BU16" s="967">
        <f t="shared" si="11"/>
        <v>15.388002937158095</v>
      </c>
      <c r="BV16" s="968">
        <f>((BT12/BT16)*BV12)+((BT15/BT16)*BV15)</f>
        <v>8.2709749669414183</v>
      </c>
      <c r="BW16" s="968"/>
      <c r="BX16" s="1213">
        <f>SUM(BX10:BX12)</f>
        <v>3852.7019999999998</v>
      </c>
      <c r="BY16" s="967">
        <f t="shared" si="12"/>
        <v>6.7825317649250039</v>
      </c>
      <c r="BZ16" s="968">
        <f>((BX12/BX16)*BZ12)+((BX15/BX16)*BZ15)</f>
        <v>1.1074565850148803</v>
      </c>
      <c r="CA16" s="968"/>
      <c r="CB16" s="1213">
        <f>SUM(CB10:CB12)</f>
        <v>3670.01</v>
      </c>
      <c r="CC16" s="967">
        <f t="shared" si="13"/>
        <v>-4.7419187884243152</v>
      </c>
      <c r="CD16" s="968">
        <f>((CB12/CB16)*CD12)+((CB15/CB16)*CD15)</f>
        <v>-13.804880858635261</v>
      </c>
      <c r="CE16" s="1206"/>
      <c r="CF16" s="1213">
        <f>SUM(CF10:CF12)</f>
        <v>3187.5</v>
      </c>
      <c r="CG16" s="967">
        <f t="shared" si="14"/>
        <v>-13.147375620229917</v>
      </c>
      <c r="CH16" s="1206">
        <f>((CF12/CF16)*CH12)+((CF15/CF16)*CH15)</f>
        <v>-22.943341176470589</v>
      </c>
      <c r="CI16" s="1206"/>
      <c r="CJ16" s="1213">
        <f>SUM(CJ10:CJ12)</f>
        <v>3337.2</v>
      </c>
      <c r="CK16" s="967">
        <f t="shared" si="17"/>
        <v>4.6964705882352797</v>
      </c>
      <c r="CL16" s="1206">
        <f>((CJ12/CJ16)*CL12)+((CJ15/CJ16)*CL15)</f>
        <v>-4.5979953254225094</v>
      </c>
      <c r="CM16" s="1206"/>
      <c r="CN16" s="1213">
        <f>SUM(CN10:CN12)</f>
        <v>3354.5</v>
      </c>
      <c r="CO16" s="967">
        <f t="shared" si="15"/>
        <v>0.51839865755722858</v>
      </c>
      <c r="CP16" s="1206">
        <f>((CN12/CN16)*CP12)+((CN15/CN16)*CP15)</f>
        <v>2.6996214040840663</v>
      </c>
      <c r="CQ16" s="1206"/>
      <c r="CR16" s="535">
        <f>SUM(CR10:CR12)</f>
        <v>4379.501082671296</v>
      </c>
      <c r="CS16" s="535">
        <f t="shared" si="16"/>
        <v>30.556001868275338</v>
      </c>
      <c r="CT16" s="535"/>
      <c r="CU16" s="968"/>
    </row>
    <row r="17" spans="1:116" outlineLevel="1" collapsed="1">
      <c r="Y17" s="1214"/>
      <c r="AR17" s="61"/>
      <c r="AS17" s="61"/>
      <c r="AT17" s="1183"/>
      <c r="AV17" s="151"/>
      <c r="AW17" s="61"/>
      <c r="AX17" s="1183"/>
      <c r="AZ17" s="179"/>
      <c r="BA17" s="61"/>
      <c r="BB17" s="1183"/>
      <c r="BD17" s="1057"/>
      <c r="BE17" s="61"/>
      <c r="BF17" s="1183"/>
      <c r="BH17" s="987"/>
      <c r="BI17" s="61"/>
      <c r="BJ17" s="1183"/>
      <c r="BL17" s="151">
        <f>BL14-70</f>
        <v>3537.636</v>
      </c>
      <c r="BM17" s="61"/>
      <c r="BN17" s="1183"/>
      <c r="BP17" s="1057">
        <f>BP14/BL17-1</f>
        <v>0.17550448943871011</v>
      </c>
      <c r="BQ17" s="61"/>
      <c r="BR17" s="1183"/>
      <c r="BT17" s="61"/>
      <c r="BU17" s="61"/>
      <c r="BV17" s="1183"/>
      <c r="BW17" s="61"/>
      <c r="BX17" s="61"/>
      <c r="BY17" s="61"/>
      <c r="BZ17" s="1183"/>
      <c r="CA17" s="61"/>
      <c r="CB17" s="61"/>
      <c r="CC17" s="61"/>
      <c r="CD17" s="61"/>
      <c r="CF17" s="654"/>
      <c r="CH17" s="1195"/>
      <c r="CJ17" s="1057"/>
      <c r="CK17" s="2"/>
      <c r="CL17" s="980"/>
      <c r="CN17" s="1682"/>
      <c r="CO17" s="2"/>
      <c r="CR17" s="1880"/>
      <c r="CS17" s="1057"/>
      <c r="CU17" s="132"/>
      <c r="CV17" s="132"/>
    </row>
    <row r="18" spans="1:116" outlineLevel="1">
      <c r="D18" s="1196"/>
      <c r="E18" s="127"/>
      <c r="F18" s="127"/>
      <c r="G18" s="127"/>
      <c r="H18" s="1196"/>
      <c r="I18" s="127"/>
      <c r="J18" s="127"/>
      <c r="K18" s="127"/>
      <c r="L18" s="1196"/>
      <c r="M18" s="127"/>
      <c r="N18" s="127"/>
      <c r="O18" s="127"/>
      <c r="P18" s="1196"/>
      <c r="Q18" s="127"/>
      <c r="R18" s="127"/>
      <c r="S18" s="127"/>
      <c r="U18" s="127"/>
      <c r="V18" s="127"/>
      <c r="W18" s="127"/>
      <c r="Y18" s="127"/>
      <c r="Z18" s="127"/>
      <c r="AA18" s="127"/>
      <c r="AC18" s="127"/>
      <c r="AD18" s="127"/>
      <c r="AE18" s="127"/>
      <c r="AG18" s="127"/>
      <c r="AH18" s="127"/>
      <c r="AI18" s="127"/>
      <c r="AK18" s="127"/>
      <c r="AL18" s="127"/>
      <c r="AM18" s="127"/>
      <c r="AN18" s="1196"/>
      <c r="AO18" s="127"/>
      <c r="AP18" s="127"/>
      <c r="AQ18" s="127"/>
      <c r="AS18" s="1197"/>
      <c r="AT18" s="1198"/>
      <c r="AU18" s="127"/>
      <c r="AV18" s="1199"/>
      <c r="AW18" s="1197"/>
      <c r="AX18" s="1198"/>
      <c r="AY18" s="127"/>
      <c r="AZ18" s="1199"/>
      <c r="BA18" s="1197"/>
      <c r="BB18" s="1198"/>
      <c r="BC18" s="127"/>
      <c r="BD18" s="1199"/>
      <c r="BE18" s="1197"/>
      <c r="BF18" s="1198"/>
      <c r="BG18" s="127"/>
      <c r="BH18" s="1199"/>
      <c r="BI18" s="1197"/>
      <c r="BJ18" s="1198"/>
      <c r="BK18" s="127"/>
      <c r="BM18" s="1197"/>
      <c r="BN18" s="1198"/>
      <c r="BO18" s="127"/>
      <c r="BQ18" s="1197"/>
      <c r="BR18" s="1198"/>
      <c r="BS18" s="127"/>
      <c r="BT18" s="1196"/>
      <c r="BU18" s="1197"/>
      <c r="BV18" s="1198"/>
      <c r="BW18" s="127"/>
      <c r="BY18" s="1197"/>
      <c r="BZ18" s="1198"/>
      <c r="CA18" s="127"/>
      <c r="CB18" s="127"/>
      <c r="CC18" s="127"/>
      <c r="CE18" s="127"/>
      <c r="CG18" s="1196" t="s">
        <v>464</v>
      </c>
      <c r="CI18" s="127"/>
      <c r="CJ18" s="127"/>
      <c r="CK18" s="1637"/>
      <c r="CL18" s="127"/>
      <c r="CM18" s="127"/>
      <c r="CN18" s="1679"/>
      <c r="CO18" s="1637"/>
      <c r="CP18" s="127"/>
      <c r="CQ18" s="127"/>
      <c r="CR18" s="1881"/>
      <c r="CS18" s="2383"/>
      <c r="CT18" s="1197"/>
      <c r="CU18" s="1197"/>
      <c r="CW18" s="1374">
        <f>CR11-CR21</f>
        <v>1195.8</v>
      </c>
    </row>
    <row r="19" spans="1:116" outlineLevel="1">
      <c r="AB19" s="153"/>
      <c r="AR19" s="61"/>
      <c r="AS19" s="61"/>
      <c r="AT19" s="1183"/>
      <c r="AV19" s="61"/>
      <c r="AW19" s="61"/>
      <c r="AX19" s="1183"/>
      <c r="AZ19" s="61"/>
      <c r="BA19" s="61"/>
      <c r="BB19" s="1183">
        <f>2/3*BB21</f>
        <v>-0.40867965885510671</v>
      </c>
      <c r="BD19" s="61"/>
      <c r="BE19" s="61"/>
      <c r="BF19" s="1183"/>
      <c r="BH19" s="61"/>
      <c r="BI19" s="61"/>
      <c r="BJ19" s="1183"/>
      <c r="BL19" s="61"/>
      <c r="BM19" s="61"/>
      <c r="BN19" s="1183"/>
      <c r="BP19" s="1215"/>
      <c r="BQ19" s="1216"/>
      <c r="BR19" s="1183"/>
      <c r="BT19" s="61"/>
      <c r="BU19" s="1216"/>
      <c r="BV19" s="1183"/>
      <c r="BX19" s="61"/>
      <c r="BZ19" s="1183"/>
      <c r="CG19" s="91"/>
      <c r="CH19" s="1195"/>
      <c r="CK19" s="91"/>
      <c r="CO19" s="1637"/>
      <c r="CS19" s="1882"/>
      <c r="CW19" s="1374"/>
    </row>
    <row r="20" spans="1:116" outlineLevel="1">
      <c r="A20" s="3" t="str">
        <f>$A$10</f>
        <v>1Q</v>
      </c>
      <c r="B20" s="3" t="str">
        <f>$B$10</f>
        <v>Sept</v>
      </c>
      <c r="D20" s="1202"/>
      <c r="E20" s="1217"/>
      <c r="H20" s="1202"/>
      <c r="I20" s="1217"/>
      <c r="L20" s="1202"/>
      <c r="M20" s="1217"/>
      <c r="P20" s="1202"/>
      <c r="Q20" s="1217"/>
      <c r="T20" s="1202"/>
      <c r="U20" s="1217"/>
      <c r="V20" s="1217"/>
      <c r="X20" s="1202">
        <v>54.726999999999997</v>
      </c>
      <c r="Y20" s="1217">
        <f>((X10-X20)/X10)*100</f>
        <v>53.633760336180025</v>
      </c>
      <c r="AB20" s="1218">
        <v>49.564</v>
      </c>
      <c r="AC20" s="1217">
        <f t="shared" ref="AC20:AC26" si="18">((AB10-AB20)/AB10)*100</f>
        <v>62.307312065097541</v>
      </c>
      <c r="AD20" s="1217">
        <f>-(+Y20-AC20)</f>
        <v>8.6735517289175164</v>
      </c>
      <c r="AF20" s="1218">
        <v>54.131</v>
      </c>
      <c r="AG20" s="1217">
        <f t="shared" ref="AG20:AG26" si="19">((AF10-AF20)/AF10)*100</f>
        <v>64.080768669294358</v>
      </c>
      <c r="AH20" s="1217">
        <f>-(+AC20-AG20)</f>
        <v>1.7734566041968165</v>
      </c>
      <c r="AJ20" s="1218">
        <v>61.567</v>
      </c>
      <c r="AK20" s="1217">
        <f t="shared" ref="AK20:AK26" si="20">((AJ10-AJ20)/AJ10)*100</f>
        <v>68.06541799150375</v>
      </c>
      <c r="AL20" s="1217">
        <f>-AG20+AK20</f>
        <v>3.9846493222093926</v>
      </c>
      <c r="AM20" s="1219"/>
      <c r="AN20" s="1218">
        <v>70.465999999999994</v>
      </c>
      <c r="AO20" s="1217">
        <f t="shared" ref="AO20:AO26" si="21">((AN10-AN20)/AN10)*100</f>
        <v>72.727237542331878</v>
      </c>
      <c r="AP20" s="1217">
        <f>+AO20-AK20</f>
        <v>4.6618195508281275</v>
      </c>
      <c r="AQ20" s="1219"/>
      <c r="AR20" s="1220">
        <v>85.891000000000005</v>
      </c>
      <c r="AS20" s="1217">
        <f t="shared" ref="AS20:AS26" si="22">((AR10-AR20)/AR10)*100</f>
        <v>75.0364030052461</v>
      </c>
      <c r="AT20" s="1217">
        <f>+AS20-AO20</f>
        <v>2.3091654629142226</v>
      </c>
      <c r="AU20" s="1204" t="s">
        <v>347</v>
      </c>
      <c r="AV20" s="1220">
        <v>103.9</v>
      </c>
      <c r="AW20" s="1221">
        <f t="shared" ref="AW20:AW26" si="23">((AV10-AV20)/AV10)*100</f>
        <v>76.059907834101395</v>
      </c>
      <c r="AX20" s="1217">
        <f>+AW20-AS20</f>
        <v>1.0235048288552946</v>
      </c>
      <c r="AY20" s="1217"/>
      <c r="AZ20" s="1220">
        <v>123.416</v>
      </c>
      <c r="BA20" s="1221">
        <f t="shared" ref="BA20:BA26" si="24">((AZ10-AZ20)/AZ10)*100</f>
        <v>76.688495545133279</v>
      </c>
      <c r="BB20" s="1217">
        <f>+BA20-AW20</f>
        <v>0.6285877110318836</v>
      </c>
      <c r="BC20" s="1217"/>
      <c r="BD20" s="1220">
        <v>158.49700000000001</v>
      </c>
      <c r="BE20" s="1221">
        <f t="shared" ref="BE20:BE26" si="25">((BD10-BD20)/BD10)*100</f>
        <v>76.578574827328367</v>
      </c>
      <c r="BF20" s="1217">
        <f>+BE20-BA20</f>
        <v>-0.10992071780491131</v>
      </c>
      <c r="BG20" s="1217"/>
      <c r="BH20" s="1220">
        <v>194.33600000000001</v>
      </c>
      <c r="BI20" s="1221">
        <f t="shared" ref="BI20:BI26" si="26">((BH10-BH20)/BH10)*100</f>
        <v>74.175613165738469</v>
      </c>
      <c r="BJ20" s="1217">
        <f>+BI20-BE20</f>
        <v>-2.4029616615898988</v>
      </c>
      <c r="BK20" s="1217"/>
      <c r="BL20" s="1220">
        <v>211.25899999999999</v>
      </c>
      <c r="BM20" s="1221">
        <f t="shared" ref="BM20:BM26" si="27">((BL10-BL20)/BL10)*100</f>
        <v>72.255222690780712</v>
      </c>
      <c r="BN20" s="1217">
        <f>+BM20-BI20</f>
        <v>-1.9203904749577561</v>
      </c>
      <c r="BO20" s="1217"/>
      <c r="BP20" s="1220">
        <v>235.49799999999999</v>
      </c>
      <c r="BQ20" s="1221">
        <f t="shared" ref="BQ20:BQ26" si="28">((BP10-BP20)/BP10)*100</f>
        <v>74.16847561998928</v>
      </c>
      <c r="BR20" s="1217">
        <f>+BQ20-BM20</f>
        <v>1.9132529292085678</v>
      </c>
      <c r="BS20" s="1217"/>
      <c r="BT20" s="1220">
        <v>285.70600000000002</v>
      </c>
      <c r="BU20" s="1221">
        <f t="shared" ref="BU20:BU26" si="29">((BT10-BT20)/BT10)*100</f>
        <v>72.799204843296422</v>
      </c>
      <c r="BV20" s="1217">
        <f>+BU20-BQ20</f>
        <v>-1.3692707766928578</v>
      </c>
      <c r="BW20" s="1217"/>
      <c r="BX20" s="1220">
        <v>316.18200000000002</v>
      </c>
      <c r="BY20" s="1221">
        <f t="shared" ref="BY20:BY26" si="30">((BX10-BX20)/BX10)*100</f>
        <v>72.774615748912893</v>
      </c>
      <c r="BZ20" s="1217">
        <f>+BY20-BU20</f>
        <v>-2.4589094383529186E-2</v>
      </c>
      <c r="CA20" s="1217"/>
      <c r="CB20" s="1220">
        <v>324.18700000000001</v>
      </c>
      <c r="CC20" s="1221">
        <f t="shared" ref="CC20:CC26" si="31">((CB10-CB20)/CB10)*100</f>
        <v>71.828443811046611</v>
      </c>
      <c r="CD20" s="1217">
        <f>+CC20-BY20</f>
        <v>-0.94617193786628206</v>
      </c>
      <c r="CE20" s="1217"/>
      <c r="CF20" s="1220">
        <f>323.4-4</f>
        <v>319.39999999999998</v>
      </c>
      <c r="CG20" s="1221">
        <f t="shared" ref="CG20:CG26" si="32">((CF10-CF20)/CF10)*100</f>
        <v>69.252984212552946</v>
      </c>
      <c r="CH20" s="1217">
        <f>+CG20-CC20</f>
        <v>-2.5754595984936657</v>
      </c>
      <c r="CI20" s="1217"/>
      <c r="CJ20" s="1621">
        <f>333.8-0.9</f>
        <v>332.90000000000003</v>
      </c>
      <c r="CK20" s="1221">
        <f t="shared" ref="CK20:CK26" si="33">((CJ10-CJ20)/CJ10)*100</f>
        <v>67.689022614772384</v>
      </c>
      <c r="CL20" s="1217">
        <f>+CK20-CG20</f>
        <v>-1.5639615977805619</v>
      </c>
      <c r="CM20" s="1217"/>
      <c r="CN20" s="1621">
        <f>322.9-0.4</f>
        <v>322.5</v>
      </c>
      <c r="CO20" s="1372">
        <f t="shared" ref="CO20:CO26" si="34">((CN10-CN20)/CN10)*100</f>
        <v>68.91865844255976</v>
      </c>
      <c r="CP20" s="1217">
        <f>+CO20-CK20</f>
        <v>1.2296358277873765</v>
      </c>
      <c r="CQ20" s="1217"/>
      <c r="CR20" s="2135">
        <f>524.5-88.4</f>
        <v>436.1</v>
      </c>
      <c r="CS20" s="2137">
        <f>((CR10-CR20)/CR10)*100</f>
        <v>66.164946853906443</v>
      </c>
      <c r="CT20" s="1217">
        <f>+CS20-CO20</f>
        <v>-2.7537115886533172</v>
      </c>
      <c r="CU20" s="1221"/>
      <c r="CV20" s="1064"/>
      <c r="CW20" s="1066">
        <v>0.6</v>
      </c>
      <c r="CX20" s="61">
        <v>6</v>
      </c>
      <c r="CY20" s="1222">
        <f>CX20*CW20</f>
        <v>3.5999999999999996</v>
      </c>
    </row>
    <row r="21" spans="1:116" outlineLevel="1">
      <c r="A21" s="3" t="str">
        <f>$A$11</f>
        <v>2Q</v>
      </c>
      <c r="B21" s="3" t="str">
        <f>$B$11</f>
        <v>Dec</v>
      </c>
      <c r="D21" s="1205"/>
      <c r="E21" s="1217"/>
      <c r="H21" s="1205"/>
      <c r="I21" s="1217"/>
      <c r="L21" s="1205"/>
      <c r="M21" s="1217"/>
      <c r="P21" s="1205"/>
      <c r="Q21" s="1217"/>
      <c r="T21" s="1205"/>
      <c r="U21" s="1217"/>
      <c r="X21" s="1205">
        <v>73.641000000000005</v>
      </c>
      <c r="Y21" s="1217">
        <f t="shared" ref="Y21:Y26" si="35">((X11-X21)/X11)*100</f>
        <v>62.065750432704192</v>
      </c>
      <c r="AB21" s="1025">
        <v>74.146000000000001</v>
      </c>
      <c r="AC21" s="1217">
        <f t="shared" si="18"/>
        <v>64.864378186780897</v>
      </c>
      <c r="AD21" s="1217">
        <f>-(+Y21-AC21)</f>
        <v>2.7986277540767048</v>
      </c>
      <c r="AF21" s="1025">
        <v>74.132000000000005</v>
      </c>
      <c r="AG21" s="1217">
        <f t="shared" si="19"/>
        <v>68.554825026511139</v>
      </c>
      <c r="AH21" s="1217">
        <f>-(+AC21-AG21)</f>
        <v>3.6904468397302423</v>
      </c>
      <c r="AJ21" s="1025">
        <v>91.680999999999997</v>
      </c>
      <c r="AK21" s="1217">
        <f t="shared" si="20"/>
        <v>70.283901038172203</v>
      </c>
      <c r="AL21" s="1217">
        <f>-AG21+AK21</f>
        <v>1.7290760116610642</v>
      </c>
      <c r="AM21" s="1219"/>
      <c r="AN21" s="1223">
        <v>106.37</v>
      </c>
      <c r="AO21" s="1217">
        <f t="shared" si="21"/>
        <v>74.151484886261187</v>
      </c>
      <c r="AP21" s="1217">
        <f>+AO21-AK21</f>
        <v>3.8675838480889837</v>
      </c>
      <c r="AQ21" s="1219"/>
      <c r="AR21" s="1223">
        <v>128.791</v>
      </c>
      <c r="AS21" s="1217">
        <f t="shared" si="22"/>
        <v>75.780193659157618</v>
      </c>
      <c r="AT21" s="1217">
        <f>+AS21-AO21</f>
        <v>1.6287087728964309</v>
      </c>
      <c r="AU21" s="1204" t="s">
        <v>347</v>
      </c>
      <c r="AV21" s="1223">
        <v>138</v>
      </c>
      <c r="AW21" s="1221">
        <f t="shared" si="23"/>
        <v>77.734753146176189</v>
      </c>
      <c r="AX21" s="1217">
        <f>+AW21-AS21</f>
        <v>1.954559487018571</v>
      </c>
      <c r="AY21" s="1217"/>
      <c r="AZ21" s="1223">
        <v>184.30799999999999</v>
      </c>
      <c r="BA21" s="1221">
        <f t="shared" si="24"/>
        <v>77.121733657893529</v>
      </c>
      <c r="BB21" s="1217">
        <f>+BA21-AW21</f>
        <v>-0.61301948828266006</v>
      </c>
      <c r="BC21" s="1217"/>
      <c r="BD21" s="1223">
        <v>240.745</v>
      </c>
      <c r="BE21" s="1221">
        <f t="shared" si="25"/>
        <v>75.384374709233072</v>
      </c>
      <c r="BF21" s="1217">
        <f>+BE21-BA21</f>
        <v>-1.7373589486604573</v>
      </c>
      <c r="BG21" s="1217"/>
      <c r="BH21" s="1223">
        <v>268.22000000000003</v>
      </c>
      <c r="BI21" s="1221">
        <f t="shared" si="26"/>
        <v>72.067865235937077</v>
      </c>
      <c r="BJ21" s="1217">
        <f>+BI21-BE21</f>
        <v>-3.3165094732959943</v>
      </c>
      <c r="BK21" s="1217"/>
      <c r="BL21" s="1223">
        <v>294.06599999999997</v>
      </c>
      <c r="BM21" s="1221">
        <f t="shared" si="27"/>
        <v>72.388298646485225</v>
      </c>
      <c r="BN21" s="1217">
        <f>+BM21-BI21</f>
        <v>0.32043341054814789</v>
      </c>
      <c r="BO21" s="1217"/>
      <c r="BP21" s="1223">
        <v>349.28100000000001</v>
      </c>
      <c r="BQ21" s="1221">
        <f t="shared" si="28"/>
        <v>72.376996608030169</v>
      </c>
      <c r="BR21" s="1217">
        <f>+BQ21-BM21</f>
        <v>-1.1302038455056618E-2</v>
      </c>
      <c r="BS21" s="1217"/>
      <c r="BT21" s="1223">
        <v>403.43799999999999</v>
      </c>
      <c r="BU21" s="1221">
        <f t="shared" si="29"/>
        <v>72.150741829111112</v>
      </c>
      <c r="BV21" s="1217">
        <f>+BU21-BQ21</f>
        <v>-0.22625477891905632</v>
      </c>
      <c r="BW21" s="1217"/>
      <c r="BX21" s="1223">
        <v>418.392</v>
      </c>
      <c r="BY21" s="1221">
        <f t="shared" si="30"/>
        <v>72.177202159367027</v>
      </c>
      <c r="BZ21" s="1217">
        <f>+BY21-BU21</f>
        <v>2.646033025591521E-2</v>
      </c>
      <c r="CA21" s="1217"/>
      <c r="CB21" s="1223">
        <v>436.94499999999999</v>
      </c>
      <c r="CC21" s="1221">
        <f t="shared" si="31"/>
        <v>69.221075439693891</v>
      </c>
      <c r="CD21" s="1217">
        <f>+CC21-BY21</f>
        <v>-2.9561267196731364</v>
      </c>
      <c r="CE21" s="1217"/>
      <c r="CF21" s="1223">
        <f>379.4-1</f>
        <v>378.4</v>
      </c>
      <c r="CG21" s="1221">
        <f t="shared" si="32"/>
        <v>68.968345087748077</v>
      </c>
      <c r="CH21" s="1217">
        <f>+CG21-CC21</f>
        <v>-0.25273035194581439</v>
      </c>
      <c r="CI21" s="1217"/>
      <c r="CJ21" s="1223">
        <v>414.7</v>
      </c>
      <c r="CK21" s="1221">
        <f t="shared" si="33"/>
        <v>67.443868739205527</v>
      </c>
      <c r="CL21" s="1217">
        <f>+CK21-CG21</f>
        <v>-1.5244763485425494</v>
      </c>
      <c r="CM21" s="1217"/>
      <c r="CN21" s="1676">
        <f>415.5-0.2</f>
        <v>415.3</v>
      </c>
      <c r="CO21" s="1372">
        <f t="shared" si="34"/>
        <v>68.578346069456003</v>
      </c>
      <c r="CP21" s="1217">
        <f>+CO21-CK21</f>
        <v>1.1344773302504763</v>
      </c>
      <c r="CQ21" s="1217"/>
      <c r="CR21" s="2382">
        <f>607.6-17-1.4</f>
        <v>589.20000000000005</v>
      </c>
      <c r="CS21" s="2137">
        <f>((CR11-CR21)/CR11)*100</f>
        <v>66.991596638655466</v>
      </c>
      <c r="CT21" s="1217">
        <f>+CS21-CO21</f>
        <v>-1.5867494308005377</v>
      </c>
      <c r="CU21" s="1221"/>
      <c r="CV21" s="1635">
        <f>CJ11-CJ21</f>
        <v>859.09999999999991</v>
      </c>
      <c r="CW21" s="1066">
        <v>0.4</v>
      </c>
      <c r="CX21" s="61">
        <v>1</v>
      </c>
      <c r="CY21" s="1222">
        <f>CX21*CW21</f>
        <v>0.4</v>
      </c>
    </row>
    <row r="22" spans="1:116" outlineLevel="1">
      <c r="A22" s="3" t="str">
        <f>$A$12</f>
        <v>3Q</v>
      </c>
      <c r="B22" s="3" t="str">
        <f>$B$12</f>
        <v>Mar</v>
      </c>
      <c r="D22" s="1205"/>
      <c r="E22" s="1217"/>
      <c r="H22" s="1205"/>
      <c r="I22" s="1217"/>
      <c r="L22" s="1205"/>
      <c r="M22" s="1217"/>
      <c r="P22" s="1205"/>
      <c r="Q22" s="1217"/>
      <c r="T22" s="1205"/>
      <c r="U22" s="1217"/>
      <c r="X22" s="1205">
        <v>44.835000000000001</v>
      </c>
      <c r="Y22" s="1217">
        <f t="shared" si="35"/>
        <v>61.037437430478306</v>
      </c>
      <c r="AB22" s="1025">
        <v>45.271999999999998</v>
      </c>
      <c r="AC22" s="1217">
        <f t="shared" si="18"/>
        <v>63.988099972954494</v>
      </c>
      <c r="AD22" s="1217">
        <f>-(+Y22-AC22)</f>
        <v>2.9506625424761879</v>
      </c>
      <c r="AF22" s="1025">
        <v>50.465000000000003</v>
      </c>
      <c r="AG22" s="1217">
        <f t="shared" si="19"/>
        <v>68.76605331402294</v>
      </c>
      <c r="AH22" s="1217">
        <f>-(+AC22-AG22)</f>
        <v>4.7779533410684465</v>
      </c>
      <c r="AJ22" s="1025">
        <v>60.588999999999999</v>
      </c>
      <c r="AK22" s="1217">
        <f t="shared" si="20"/>
        <v>72.509029201981889</v>
      </c>
      <c r="AL22" s="1217">
        <f>-AG22+AK22</f>
        <v>3.7429758879589485</v>
      </c>
      <c r="AM22" s="1219"/>
      <c r="AN22" s="1223">
        <v>75.555999999999997</v>
      </c>
      <c r="AO22" s="1217">
        <f t="shared" si="21"/>
        <v>75.866331494571554</v>
      </c>
      <c r="AP22" s="1217">
        <f>+AO22-AK22</f>
        <v>3.3573022925896652</v>
      </c>
      <c r="AQ22" s="1219"/>
      <c r="AR22" s="1223">
        <v>91.266000000000005</v>
      </c>
      <c r="AS22" s="1217">
        <f t="shared" si="22"/>
        <v>78.057840212146488</v>
      </c>
      <c r="AT22" s="1217">
        <f>+AS22-AO22</f>
        <v>2.1915087175749335</v>
      </c>
      <c r="AU22" s="1204" t="s">
        <v>347</v>
      </c>
      <c r="AV22" s="1223">
        <f>108.09-(108.09-103.519)</f>
        <v>103.51900000000001</v>
      </c>
      <c r="AW22" s="1221">
        <f t="shared" si="23"/>
        <v>78.420863924222147</v>
      </c>
      <c r="AX22" s="1217">
        <f>+AW22-AS22</f>
        <v>0.36302371207565898</v>
      </c>
      <c r="AY22" s="1217"/>
      <c r="AZ22" s="1223">
        <v>138.893</v>
      </c>
      <c r="BA22" s="1221">
        <f t="shared" si="24"/>
        <v>77.787888431688316</v>
      </c>
      <c r="BB22" s="1217">
        <f>+BA22-AW22</f>
        <v>-0.63297549253383067</v>
      </c>
      <c r="BC22" s="1217"/>
      <c r="BD22" s="1223">
        <v>186.20400000000001</v>
      </c>
      <c r="BE22" s="1221">
        <f t="shared" si="25"/>
        <v>74.99012789413878</v>
      </c>
      <c r="BF22" s="1217">
        <f>+BE22-BA22</f>
        <v>-2.7977605375495358</v>
      </c>
      <c r="BG22" s="1217"/>
      <c r="BH22" s="1223">
        <v>214.876</v>
      </c>
      <c r="BI22" s="1221">
        <f t="shared" si="26"/>
        <v>70.960308890327454</v>
      </c>
      <c r="BJ22" s="1217">
        <f>+BI22-BE22</f>
        <v>-4.0298190038113262</v>
      </c>
      <c r="BK22" s="1217"/>
      <c r="BL22" s="1223">
        <v>215.09399999999999</v>
      </c>
      <c r="BM22" s="1221">
        <f t="shared" si="27"/>
        <v>74.105931484141109</v>
      </c>
      <c r="BN22" s="1217">
        <f>+BM22-BI22</f>
        <v>3.1456225938136555</v>
      </c>
      <c r="BO22" s="1217"/>
      <c r="BP22" s="1223">
        <v>259.05099999999999</v>
      </c>
      <c r="BQ22" s="1221">
        <f t="shared" si="28"/>
        <v>72.751723456042143</v>
      </c>
      <c r="BR22" s="1217">
        <f>+BQ22-BM22</f>
        <v>-1.3542080280989666</v>
      </c>
      <c r="BS22" s="1217"/>
      <c r="BT22" s="1223">
        <v>290.91399999999999</v>
      </c>
      <c r="BU22" s="1221">
        <f t="shared" si="29"/>
        <v>73.767449577585182</v>
      </c>
      <c r="BV22" s="1217">
        <f>+BU22-BQ22</f>
        <v>1.0157261215430395</v>
      </c>
      <c r="BW22" s="1217"/>
      <c r="BX22" s="1223">
        <v>307.39</v>
      </c>
      <c r="BY22" s="1221">
        <f t="shared" si="30"/>
        <v>74.116226471019161</v>
      </c>
      <c r="BZ22" s="1217">
        <f>+BY22-BU22</f>
        <v>0.34877689343397833</v>
      </c>
      <c r="CA22" s="1217"/>
      <c r="CB22" s="1223">
        <v>318.28699999999998</v>
      </c>
      <c r="CC22" s="1221">
        <f t="shared" si="31"/>
        <v>71.054976873955326</v>
      </c>
      <c r="CD22" s="1217">
        <f>+CC22-BY22</f>
        <v>-3.0612495970638349</v>
      </c>
      <c r="CE22" s="1217"/>
      <c r="CF22" s="1223">
        <v>263.8</v>
      </c>
      <c r="CG22" s="1221">
        <f t="shared" si="32"/>
        <v>71.613042074679868</v>
      </c>
      <c r="CH22" s="1217">
        <f>+CG22-CC22</f>
        <v>0.55806520072454191</v>
      </c>
      <c r="CI22" s="1217"/>
      <c r="CJ22" s="1223">
        <v>320.10000000000002</v>
      </c>
      <c r="CK22" s="1221">
        <f t="shared" si="33"/>
        <v>69.0155841641661</v>
      </c>
      <c r="CL22" s="1217">
        <f>+CK22-CG22</f>
        <v>-2.5974579105137678</v>
      </c>
      <c r="CM22" s="1217"/>
      <c r="CN22" s="1676">
        <v>289.5</v>
      </c>
      <c r="CO22" s="1372">
        <f t="shared" si="34"/>
        <v>70.910369774919616</v>
      </c>
      <c r="CP22" s="1217">
        <f>+CO22-CK22</f>
        <v>1.8947856107535159</v>
      </c>
      <c r="CQ22" s="1217"/>
      <c r="CR22" s="1026">
        <f>CR12*(1-CS22/100)</f>
        <v>389.06912263604602</v>
      </c>
      <c r="CS22" s="1885">
        <v>70.2</v>
      </c>
      <c r="CT22" s="1217">
        <f>+CS22-CO22</f>
        <v>-0.71036977491961295</v>
      </c>
      <c r="CU22" s="1221"/>
      <c r="CV22" s="192"/>
      <c r="CW22" s="1374"/>
      <c r="CY22" s="1222">
        <f>SUM(CY20:CY21)</f>
        <v>3.9999999999999996</v>
      </c>
    </row>
    <row r="23" spans="1:116" outlineLevel="1">
      <c r="A23" s="3" t="s">
        <v>460</v>
      </c>
      <c r="B23" s="3" t="str">
        <f>$B$13</f>
        <v>June</v>
      </c>
      <c r="D23" s="1207"/>
      <c r="E23" s="1217"/>
      <c r="H23" s="1207"/>
      <c r="I23" s="1217"/>
      <c r="L23" s="1207"/>
      <c r="M23" s="1217"/>
      <c r="P23" s="1207"/>
      <c r="Q23" s="1217"/>
      <c r="T23" s="1207"/>
      <c r="U23" s="1217"/>
      <c r="X23" s="1207">
        <v>46.881999999999998</v>
      </c>
      <c r="Y23" s="1217">
        <f t="shared" si="35"/>
        <v>61.472971418240384</v>
      </c>
      <c r="AB23" s="1224">
        <v>49.524999999999999</v>
      </c>
      <c r="AC23" s="1217">
        <f t="shared" si="18"/>
        <v>62.553117486049572</v>
      </c>
      <c r="AD23" s="1217">
        <f>-(+Y23-AC23)</f>
        <v>1.0801460678091885</v>
      </c>
      <c r="AF23" s="1224">
        <v>57.313000000000002</v>
      </c>
      <c r="AG23" s="1217">
        <f t="shared" si="19"/>
        <v>66.557941416734735</v>
      </c>
      <c r="AH23" s="1217">
        <f>-(+AC23-AG23)</f>
        <v>4.0048239306851627</v>
      </c>
      <c r="AJ23" s="1224">
        <v>61.96</v>
      </c>
      <c r="AK23" s="1217">
        <f t="shared" si="20"/>
        <v>73.237270858169623</v>
      </c>
      <c r="AL23" s="1217">
        <f>-AG23+AK23</f>
        <v>6.6793294414348878</v>
      </c>
      <c r="AM23" s="1219"/>
      <c r="AN23" s="1225">
        <v>78.632000000000005</v>
      </c>
      <c r="AO23" s="1217">
        <f t="shared" si="21"/>
        <v>76.746070472726188</v>
      </c>
      <c r="AP23" s="1217">
        <f>+AO23-AK23</f>
        <v>3.5087996145565654</v>
      </c>
      <c r="AQ23" s="1219"/>
      <c r="AR23" s="1225">
        <v>93.703999999999994</v>
      </c>
      <c r="AS23" s="1217">
        <f t="shared" si="22"/>
        <v>77.61811493813596</v>
      </c>
      <c r="AT23" s="1217">
        <f>+AS23-AO23</f>
        <v>0.87204446540977187</v>
      </c>
      <c r="AU23" s="1204" t="s">
        <v>347</v>
      </c>
      <c r="AV23" s="1225">
        <v>108.054</v>
      </c>
      <c r="AW23" s="1221">
        <f t="shared" si="23"/>
        <v>78.456974358667637</v>
      </c>
      <c r="AX23" s="1217">
        <f>+AW23-AS23</f>
        <v>0.83885942053167639</v>
      </c>
      <c r="AY23" s="1217"/>
      <c r="AZ23" s="1225">
        <v>142.85300000000001</v>
      </c>
      <c r="BA23" s="1221">
        <f t="shared" si="24"/>
        <v>78.094364765253502</v>
      </c>
      <c r="BB23" s="1217">
        <f>+BA23-AW23</f>
        <v>-0.36260959341413468</v>
      </c>
      <c r="BC23" s="1217"/>
      <c r="BD23" s="1225">
        <v>188.208</v>
      </c>
      <c r="BE23" s="1221">
        <f t="shared" si="25"/>
        <v>75.917082533589252</v>
      </c>
      <c r="BF23" s="1217">
        <f>+BE23-BA23</f>
        <v>-2.1772822316642504</v>
      </c>
      <c r="BG23" s="1217"/>
      <c r="BH23" s="1225">
        <v>230.42599999999999</v>
      </c>
      <c r="BI23" s="1221">
        <f t="shared" si="26"/>
        <v>70.372513320578491</v>
      </c>
      <c r="BJ23" s="1217">
        <f>+BI23-BE23</f>
        <v>-5.5445692130107602</v>
      </c>
      <c r="BK23" s="1217"/>
      <c r="BL23" s="1225">
        <v>253.52600000000001</v>
      </c>
      <c r="BM23" s="1221">
        <f t="shared" si="27"/>
        <v>73.327792535703963</v>
      </c>
      <c r="BN23" s="1217">
        <f>+BM23-BI23</f>
        <v>2.9552792151254721</v>
      </c>
      <c r="BO23" s="1217"/>
      <c r="BP23" s="1225">
        <v>291.13600000000002</v>
      </c>
      <c r="BQ23" s="1221">
        <f t="shared" si="28"/>
        <v>71.780260256379194</v>
      </c>
      <c r="BR23" s="1217">
        <f>+BQ23-BM23</f>
        <v>-1.5475322793247699</v>
      </c>
      <c r="BS23" s="1217"/>
      <c r="BT23" s="1225">
        <v>317.04399999999998</v>
      </c>
      <c r="BU23" s="1221">
        <f t="shared" si="29"/>
        <v>72.554841580310097</v>
      </c>
      <c r="BV23" s="1217">
        <f>+BU23-BQ23</f>
        <v>0.77458132393090295</v>
      </c>
      <c r="BW23" s="1217"/>
      <c r="BX23" s="1225">
        <f>335.278-4.8</f>
        <v>330.47800000000001</v>
      </c>
      <c r="BY23" s="1221">
        <f t="shared" si="30"/>
        <v>72.97119134235389</v>
      </c>
      <c r="BZ23" s="1217">
        <f>+BY23-BU23</f>
        <v>0.4163497620437937</v>
      </c>
      <c r="CA23" s="1217"/>
      <c r="CB23" s="1225">
        <f>429.844-82.192</f>
        <v>347.65199999999999</v>
      </c>
      <c r="CC23" s="1221">
        <f t="shared" si="31"/>
        <v>69.402648792131075</v>
      </c>
      <c r="CD23" s="1217">
        <f>+CC23-BY23</f>
        <v>-3.5685425502228156</v>
      </c>
      <c r="CE23" s="1217"/>
      <c r="CF23" s="1571">
        <f>316.4-4.7</f>
        <v>311.7</v>
      </c>
      <c r="CG23" s="1221">
        <f t="shared" si="32"/>
        <v>68.957275171795644</v>
      </c>
      <c r="CH23" s="1217">
        <f>+CG23-CC23</f>
        <v>-0.44537362033543104</v>
      </c>
      <c r="CI23" s="1217"/>
      <c r="CJ23" s="1571">
        <f>371.9-0.2</f>
        <v>371.7</v>
      </c>
      <c r="CK23" s="1656">
        <f t="shared" si="33"/>
        <v>67.807032738610772</v>
      </c>
      <c r="CL23" s="1217">
        <f>+CK23-CG23</f>
        <v>-1.1502424331848715</v>
      </c>
      <c r="CM23" s="1217"/>
      <c r="CN23" s="2044">
        <f>379.3-2.32</f>
        <v>376.98</v>
      </c>
      <c r="CO23" s="1656">
        <f t="shared" si="34"/>
        <v>66.750749691303582</v>
      </c>
      <c r="CP23" s="1217">
        <f>+CO23-CK23</f>
        <v>-1.0562830473071898</v>
      </c>
      <c r="CQ23" s="1217"/>
      <c r="CR23" s="1146">
        <f>CR13*(1-CS23/100)</f>
        <v>489.12030064386414</v>
      </c>
      <c r="CS23" s="1371">
        <v>66.3</v>
      </c>
      <c r="CT23" s="1217">
        <f>+CS23-CO23</f>
        <v>-0.45074969130358511</v>
      </c>
      <c r="CU23" s="1221"/>
      <c r="CV23" s="192"/>
      <c r="CY23" s="1222"/>
    </row>
    <row r="24" spans="1:116" outlineLevel="1">
      <c r="B24" s="3" t="str">
        <f>$B$14</f>
        <v>Year</v>
      </c>
      <c r="D24" s="1202">
        <v>159.32499999999999</v>
      </c>
      <c r="E24" s="1217">
        <f>((D14-D24)/D14)*100</f>
        <v>59.666701263983434</v>
      </c>
      <c r="H24" s="1202">
        <v>211.977</v>
      </c>
      <c r="I24" s="1217">
        <f>((H14-H24)/H14)*100</f>
        <v>58.650333076495428</v>
      </c>
      <c r="L24" s="1202">
        <v>227.08600000000001</v>
      </c>
      <c r="M24" s="1217">
        <f>((L14-L24)/L14)*100</f>
        <v>57.975520295503415</v>
      </c>
      <c r="P24" s="1202">
        <v>235.512</v>
      </c>
      <c r="Q24" s="1217">
        <f>((P14-P24)/P14)*100</f>
        <v>54.172966346574825</v>
      </c>
      <c r="T24" s="1202">
        <v>226.19</v>
      </c>
      <c r="U24" s="1217">
        <f>((T14-T24)/T14)*100</f>
        <v>54.847248395030192</v>
      </c>
      <c r="W24" s="705"/>
      <c r="X24" s="1210">
        <f>SUM(X20:X23)</f>
        <v>220.08500000000001</v>
      </c>
      <c r="Y24" s="1217">
        <f t="shared" si="35"/>
        <v>59.905668970593048</v>
      </c>
      <c r="Z24" s="1226"/>
      <c r="AB24" s="705">
        <f>SUM(AB20:AB23)</f>
        <v>218.50700000000001</v>
      </c>
      <c r="AC24" s="1217">
        <f t="shared" si="18"/>
        <v>63.611944225642013</v>
      </c>
      <c r="AD24" s="1226"/>
      <c r="AF24" s="705">
        <f>SUM(AF20:AF23)</f>
        <v>236.041</v>
      </c>
      <c r="AG24" s="1217">
        <f t="shared" si="19"/>
        <v>67.189322257482942</v>
      </c>
      <c r="AH24" s="1226"/>
      <c r="AJ24" s="705">
        <f>SUM(AJ20:AJ23)</f>
        <v>275.79699999999997</v>
      </c>
      <c r="AK24" s="1217">
        <f t="shared" si="20"/>
        <v>71.066987262202247</v>
      </c>
      <c r="AL24" s="1226"/>
      <c r="AN24" s="705">
        <f>SUM(AN20:AN23)</f>
        <v>331.024</v>
      </c>
      <c r="AO24" s="1217">
        <f t="shared" si="21"/>
        <v>74.943418620458914</v>
      </c>
      <c r="AP24" s="1226"/>
      <c r="AR24" s="1065">
        <f>SUM(AR20:AR23)</f>
        <v>399.65200000000004</v>
      </c>
      <c r="AS24" s="1221">
        <f t="shared" si="22"/>
        <v>76.634317943573024</v>
      </c>
      <c r="AT24" s="1221">
        <f>AS24-AO24</f>
        <v>1.6908993231141096</v>
      </c>
      <c r="AV24" s="1065">
        <f>SUM(AV20:AV23)</f>
        <v>453.47299999999996</v>
      </c>
      <c r="AW24" s="1221">
        <f t="shared" si="23"/>
        <v>77.71731092123153</v>
      </c>
      <c r="AX24" s="1221">
        <f>AW24-AS24</f>
        <v>1.0829929776585061</v>
      </c>
      <c r="AY24" s="1226"/>
      <c r="AZ24" s="1065">
        <f>SUM(AZ20:AZ23)</f>
        <v>589.47</v>
      </c>
      <c r="BA24" s="1221">
        <f t="shared" si="24"/>
        <v>77.43617500160768</v>
      </c>
      <c r="BB24" s="1221">
        <f>BA24-AW24</f>
        <v>-0.28113591962384987</v>
      </c>
      <c r="BC24" s="1226"/>
      <c r="BD24" s="1065">
        <f>SUM(BD20:BD23)</f>
        <v>773.654</v>
      </c>
      <c r="BE24" s="1221">
        <f t="shared" si="25"/>
        <v>75.677047948019933</v>
      </c>
      <c r="BF24" s="1221">
        <f>BE24-BA24</f>
        <v>-1.759127053587747</v>
      </c>
      <c r="BG24" s="1226"/>
      <c r="BH24" s="1065">
        <f>SUM(BH20:BH23)</f>
        <v>907.85799999999995</v>
      </c>
      <c r="BI24" s="1221">
        <f t="shared" si="26"/>
        <v>71.897013064360948</v>
      </c>
      <c r="BJ24" s="1221">
        <f>BI24-BE24</f>
        <v>-3.7800348836589848</v>
      </c>
      <c r="BK24" s="1226"/>
      <c r="BL24" s="1065">
        <f>SUM(BL20:BL23)</f>
        <v>973.94499999999994</v>
      </c>
      <c r="BM24" s="1221">
        <f t="shared" si="27"/>
        <v>73.003235359664885</v>
      </c>
      <c r="BN24" s="1217">
        <f>+BM24-BI24</f>
        <v>1.1062222953039367</v>
      </c>
      <c r="BO24" s="1226"/>
      <c r="BP24" s="1065">
        <f>SUM(BP20:BP23)</f>
        <v>1134.9659999999999</v>
      </c>
      <c r="BQ24" s="1221">
        <f t="shared" si="28"/>
        <v>72.707368293476478</v>
      </c>
      <c r="BR24" s="1217">
        <f>+BQ24-BM24</f>
        <v>-0.29586706618840708</v>
      </c>
      <c r="BS24" s="1226"/>
      <c r="BT24" s="1065">
        <f>SUM(BT20:BT23)</f>
        <v>1297.1019999999999</v>
      </c>
      <c r="BU24" s="1221">
        <f t="shared" si="29"/>
        <v>72.768150689245417</v>
      </c>
      <c r="BV24" s="1217">
        <f>+BU24-BQ24</f>
        <v>6.0782395768939068E-2</v>
      </c>
      <c r="BW24" s="1226"/>
      <c r="BX24" s="1065">
        <f>SUM(BX20:BX23)</f>
        <v>1372.442</v>
      </c>
      <c r="BY24" s="1221">
        <f t="shared" si="30"/>
        <v>72.958885918126484</v>
      </c>
      <c r="BZ24" s="1217">
        <f>+BY24-BU24</f>
        <v>0.19073522888106709</v>
      </c>
      <c r="CA24" s="1226"/>
      <c r="CB24" s="1065">
        <f>SUM(CB20:CB23)</f>
        <v>1427.0710000000001</v>
      </c>
      <c r="CC24" s="1221">
        <f t="shared" si="31"/>
        <v>70.307867337074867</v>
      </c>
      <c r="CD24" s="1217">
        <f>+CC24-BY24</f>
        <v>-2.6510185810516163</v>
      </c>
      <c r="CE24" s="1226"/>
      <c r="CF24" s="1065">
        <f>SUM(CF20:CF23)</f>
        <v>1273.3</v>
      </c>
      <c r="CG24" s="1221">
        <f t="shared" si="32"/>
        <v>69.622578490313956</v>
      </c>
      <c r="CH24" s="1217">
        <f>+CG24-CC24</f>
        <v>-0.68528884676091195</v>
      </c>
      <c r="CI24" s="1226"/>
      <c r="CJ24" s="1065">
        <f>SUM(CJ20:CJ23)</f>
        <v>1439.4</v>
      </c>
      <c r="CK24" s="1221">
        <f t="shared" si="33"/>
        <v>67.954940113094963</v>
      </c>
      <c r="CL24" s="1217">
        <f>+CK24-CG24</f>
        <v>-1.6676383772189922</v>
      </c>
      <c r="CM24" s="1226"/>
      <c r="CN24" s="1065">
        <f>SUM(CN20:CN23)</f>
        <v>1404.28</v>
      </c>
      <c r="CO24" s="1221">
        <f t="shared" si="34"/>
        <v>68.712430096027461</v>
      </c>
      <c r="CP24" s="1217">
        <f>+CO24-CK24</f>
        <v>0.7574899829324977</v>
      </c>
      <c r="CQ24" s="1217"/>
      <c r="CR24" s="1065">
        <f>SUM(CR20:CR23)</f>
        <v>1903.4894232799102</v>
      </c>
      <c r="CS24" s="1221">
        <f>((CR14-CR24)/CR14)*100</f>
        <v>67.355116324138891</v>
      </c>
      <c r="CT24" s="1217">
        <f>+CS24-CO24</f>
        <v>-1.3573137718885704</v>
      </c>
      <c r="CU24" s="1227"/>
    </row>
    <row r="25" spans="1:116" hidden="1" outlineLevel="2">
      <c r="A25" s="3" t="str">
        <f>$A$15</f>
        <v>6 Mos</v>
      </c>
      <c r="D25" s="1212"/>
      <c r="E25" s="1217"/>
      <c r="H25" s="1212"/>
      <c r="I25" s="1217"/>
      <c r="L25" s="1212"/>
      <c r="M25" s="1217"/>
      <c r="P25" s="1212"/>
      <c r="Q25" s="1217"/>
      <c r="T25" s="1212"/>
      <c r="U25" s="1217"/>
      <c r="X25" s="1212">
        <f>SUM(X20:X21)</f>
        <v>128.36799999999999</v>
      </c>
      <c r="Y25" s="1217">
        <f t="shared" si="35"/>
        <v>58.877498718605835</v>
      </c>
      <c r="AB25" s="165">
        <f>SUM(AB20:AB21)</f>
        <v>123.71000000000001</v>
      </c>
      <c r="AC25" s="1217">
        <f t="shared" si="18"/>
        <v>63.882717364965266</v>
      </c>
      <c r="AF25" s="165">
        <f>SUM(AF20:AF21)</f>
        <v>128.26300000000001</v>
      </c>
      <c r="AG25" s="1217">
        <f t="shared" si="19"/>
        <v>66.810108370509141</v>
      </c>
      <c r="AJ25" s="165">
        <f>SUM(AJ20:AJ21)</f>
        <v>153.24799999999999</v>
      </c>
      <c r="AK25" s="1217">
        <f t="shared" si="20"/>
        <v>69.4307360257244</v>
      </c>
      <c r="AN25" s="165">
        <f>SUM(AN20:AN21)</f>
        <v>176.83600000000001</v>
      </c>
      <c r="AO25" s="1217">
        <f t="shared" si="21"/>
        <v>73.602154389987575</v>
      </c>
      <c r="AR25" s="1153">
        <f>SUM(AR20:AR21)</f>
        <v>214.68200000000002</v>
      </c>
      <c r="AS25" s="1221">
        <f t="shared" si="22"/>
        <v>75.48799758855661</v>
      </c>
      <c r="AT25" s="61"/>
      <c r="AV25" s="1153">
        <f>SUM(AV20:AV21)</f>
        <v>241.9</v>
      </c>
      <c r="AW25" s="1221">
        <f t="shared" si="23"/>
        <v>77.044980072119955</v>
      </c>
      <c r="AX25" s="61"/>
      <c r="AZ25" s="1153">
        <f>SUM(AZ20:AZ21)</f>
        <v>307.72399999999999</v>
      </c>
      <c r="BA25" s="1221">
        <f t="shared" si="24"/>
        <v>76.949927491940215</v>
      </c>
      <c r="BB25" s="61"/>
      <c r="BD25" s="1153">
        <f>SUM(BD20:BD21)</f>
        <v>399.24200000000002</v>
      </c>
      <c r="BE25" s="1221">
        <f t="shared" si="25"/>
        <v>75.872753039006241</v>
      </c>
      <c r="BF25" s="61"/>
      <c r="BH25" s="1153">
        <f>SUM(BH20:BH21)</f>
        <v>462.55600000000004</v>
      </c>
      <c r="BI25" s="1221">
        <f t="shared" si="26"/>
        <v>72.993925098596719</v>
      </c>
      <c r="BJ25" s="61"/>
      <c r="BL25" s="1153">
        <f>SUM(BL20:BL21)</f>
        <v>505.32499999999993</v>
      </c>
      <c r="BM25" s="1221">
        <f t="shared" si="27"/>
        <v>72.332819766518739</v>
      </c>
      <c r="BN25" s="1228"/>
      <c r="BP25" s="1153">
        <f>SUM(BP20:BP21)</f>
        <v>584.779</v>
      </c>
      <c r="BQ25" s="1221">
        <f t="shared" si="28"/>
        <v>73.127521108612285</v>
      </c>
      <c r="BR25" s="1228"/>
      <c r="BT25" s="1153">
        <f>SUM(BT20:BT21)</f>
        <v>689.14400000000001</v>
      </c>
      <c r="BU25" s="1221">
        <f t="shared" si="29"/>
        <v>72.423297564473572</v>
      </c>
      <c r="BV25" s="1228"/>
      <c r="BX25" s="1153">
        <f>SUM(BX20:BX21)</f>
        <v>734.57400000000007</v>
      </c>
      <c r="BY25" s="1221">
        <f t="shared" si="30"/>
        <v>72.437530111169295</v>
      </c>
      <c r="BZ25" s="1228"/>
      <c r="CB25" s="1153">
        <f>SUM(CB20:CB21)</f>
        <v>761.13200000000006</v>
      </c>
      <c r="CC25" s="1221">
        <f t="shared" si="31"/>
        <v>70.38839332955699</v>
      </c>
      <c r="CF25" s="1153">
        <f>SUM(CF20:CF21)</f>
        <v>697.8</v>
      </c>
      <c r="CG25" s="1221">
        <f t="shared" si="32"/>
        <v>69.099282614471704</v>
      </c>
      <c r="CJ25" s="1153">
        <f>SUM(CJ20:CJ21)</f>
        <v>747.6</v>
      </c>
      <c r="CK25" s="1221">
        <f t="shared" si="33"/>
        <v>67.553491601927007</v>
      </c>
      <c r="CN25" s="1153">
        <f>SUM(CN20:CN21)</f>
        <v>737.8</v>
      </c>
      <c r="CO25" s="1221">
        <f t="shared" si="34"/>
        <v>68.728012546094192</v>
      </c>
      <c r="CR25" s="535">
        <f>SUM(CR20:CR21)</f>
        <v>1025.3000000000002</v>
      </c>
      <c r="CS25" s="535">
        <f>((CR15-CR25)/CR15)*100</f>
        <v>66.644978691564461</v>
      </c>
    </row>
    <row r="26" spans="1:116" hidden="1" outlineLevel="2">
      <c r="A26" s="3" t="str">
        <f>$A$16</f>
        <v>9 Mos</v>
      </c>
      <c r="D26" s="1212"/>
      <c r="E26" s="1217"/>
      <c r="H26" s="1212"/>
      <c r="I26" s="1217"/>
      <c r="L26" s="1212"/>
      <c r="M26" s="1217"/>
      <c r="P26" s="1212"/>
      <c r="Q26" s="1217"/>
      <c r="T26" s="1212"/>
      <c r="U26" s="1217"/>
      <c r="X26" s="1212">
        <f>SUM(X20:X22)</f>
        <v>173.203</v>
      </c>
      <c r="Y26" s="1217">
        <f t="shared" si="35"/>
        <v>59.459263351059846</v>
      </c>
      <c r="AB26" s="165">
        <f>SUM(AB20:AB22)</f>
        <v>168.982</v>
      </c>
      <c r="AC26" s="1217">
        <f t="shared" si="18"/>
        <v>63.911010876970423</v>
      </c>
      <c r="AF26" s="165">
        <f>SUM(AF20:AF22)</f>
        <v>178.72800000000001</v>
      </c>
      <c r="AG26" s="1217">
        <f t="shared" si="19"/>
        <v>67.386770263291879</v>
      </c>
      <c r="AJ26" s="165">
        <f>SUM(AJ20:AJ22)</f>
        <v>213.83699999999999</v>
      </c>
      <c r="AK26" s="1217">
        <f t="shared" si="20"/>
        <v>70.370786049798397</v>
      </c>
      <c r="AN26" s="165">
        <f>SUM(AN20:AN22)</f>
        <v>252.392</v>
      </c>
      <c r="AO26" s="1217">
        <f t="shared" si="21"/>
        <v>74.323294616978714</v>
      </c>
      <c r="AR26" s="1153">
        <f>SUM(AR20:AR22)</f>
        <v>305.94800000000004</v>
      </c>
      <c r="AS26" s="1221">
        <f t="shared" si="22"/>
        <v>76.315469633361531</v>
      </c>
      <c r="AT26" s="61"/>
      <c r="AV26" s="1153">
        <f>SUM(AV20:AV22)</f>
        <v>345.41899999999998</v>
      </c>
      <c r="AW26" s="1221">
        <f t="shared" si="23"/>
        <v>77.475386659954438</v>
      </c>
      <c r="AX26" s="61"/>
      <c r="AZ26" s="1153">
        <f>SUM(AZ20:AZ22)</f>
        <v>446.61699999999996</v>
      </c>
      <c r="BA26" s="1221">
        <f t="shared" si="24"/>
        <v>77.217219372074155</v>
      </c>
      <c r="BB26" s="61"/>
      <c r="BD26" s="1153">
        <f>SUM(BD20:BD22)</f>
        <v>585.44600000000003</v>
      </c>
      <c r="BE26" s="1221">
        <f t="shared" si="25"/>
        <v>75.598862481176468</v>
      </c>
      <c r="BF26" s="61"/>
      <c r="BH26" s="1153">
        <f>SUM(BH20:BH22)</f>
        <v>677.43200000000002</v>
      </c>
      <c r="BI26" s="1221">
        <f t="shared" si="26"/>
        <v>72.380422746301647</v>
      </c>
      <c r="BJ26" s="61"/>
      <c r="BL26" s="1153">
        <f>SUM(BL20:BL22)</f>
        <v>720.41899999999987</v>
      </c>
      <c r="BM26" s="1221">
        <f t="shared" si="27"/>
        <v>72.887131926366649</v>
      </c>
      <c r="BN26" s="61"/>
      <c r="BP26" s="1153">
        <f>SUM(BP20:BP22)</f>
        <v>843.82999999999993</v>
      </c>
      <c r="BQ26" s="1221">
        <f t="shared" si="28"/>
        <v>73.013260706043695</v>
      </c>
      <c r="BR26" s="61"/>
      <c r="BT26" s="1153">
        <f>SUM(BT20:BT22)</f>
        <v>980.05799999999999</v>
      </c>
      <c r="BU26" s="1221">
        <f t="shared" si="29"/>
        <v>72.836447117771144</v>
      </c>
      <c r="BV26" s="61"/>
      <c r="BX26" s="1153">
        <f>SUM(BX20:BX22)</f>
        <v>1041.9639999999999</v>
      </c>
      <c r="BY26" s="1221">
        <f t="shared" si="30"/>
        <v>72.954980686281985</v>
      </c>
      <c r="BZ26" s="61"/>
      <c r="CB26" s="1153">
        <f>SUM(CB20:CB22)</f>
        <v>1079.4190000000001</v>
      </c>
      <c r="CC26" s="1221">
        <f t="shared" si="31"/>
        <v>70.588118288506024</v>
      </c>
      <c r="CF26" s="1153">
        <f>SUM(CF20:CF22)</f>
        <v>961.59999999999991</v>
      </c>
      <c r="CG26" s="1221">
        <f t="shared" si="32"/>
        <v>69.832156862745094</v>
      </c>
      <c r="CJ26" s="1153">
        <f>SUM(CJ20:CJ22)</f>
        <v>1067.7</v>
      </c>
      <c r="CK26" s="1221">
        <f t="shared" si="33"/>
        <v>68.006112909025532</v>
      </c>
      <c r="CN26" s="1153">
        <f>SUM(CN20:CN22)</f>
        <v>1027.3</v>
      </c>
      <c r="CO26" s="1221">
        <f t="shared" si="34"/>
        <v>69.375465792219401</v>
      </c>
      <c r="CR26" s="535">
        <f>SUM(CR20:CR22)</f>
        <v>1414.3691226360461</v>
      </c>
      <c r="CS26" s="535">
        <f>((CR16-CR26)/CR16)*100</f>
        <v>67.704788834682844</v>
      </c>
    </row>
    <row r="27" spans="1:116" outlineLevel="1" collapsed="1">
      <c r="T27" s="584"/>
      <c r="U27" s="1217"/>
      <c r="AB27" s="3" t="s">
        <v>175</v>
      </c>
      <c r="AF27" s="3" t="s">
        <v>175</v>
      </c>
      <c r="AJ27" s="3" t="s">
        <v>175</v>
      </c>
      <c r="AN27" s="3" t="s">
        <v>175</v>
      </c>
      <c r="AR27" s="61" t="s">
        <v>175</v>
      </c>
      <c r="AS27" s="61"/>
      <c r="AT27" s="1183"/>
      <c r="AV27" s="981"/>
      <c r="AW27" s="61"/>
      <c r="AX27" s="1183"/>
      <c r="AZ27" s="981"/>
      <c r="BA27" s="1229"/>
      <c r="BB27" s="1183"/>
      <c r="BD27" s="61" t="s">
        <v>175</v>
      </c>
      <c r="BE27" s="61"/>
      <c r="BF27" s="1183"/>
      <c r="BH27" s="61" t="s">
        <v>175</v>
      </c>
      <c r="BI27" s="61"/>
      <c r="BJ27" s="1183"/>
      <c r="BL27" s="61"/>
      <c r="BM27" s="61"/>
      <c r="BN27" s="1183"/>
      <c r="BP27" s="61"/>
      <c r="BQ27" s="61"/>
      <c r="BR27" s="1183"/>
      <c r="BT27" s="61"/>
      <c r="BU27" s="61"/>
      <c r="BV27" s="1183"/>
      <c r="BX27" s="61"/>
      <c r="BY27" s="61"/>
      <c r="BZ27" s="1183"/>
      <c r="CB27" s="1026"/>
      <c r="CC27" s="1217"/>
      <c r="CF27" s="705"/>
      <c r="CG27" s="1365"/>
      <c r="CJ27" s="705"/>
      <c r="CN27" s="705"/>
      <c r="CR27" s="1065"/>
      <c r="CV27" s="1227"/>
    </row>
    <row r="28" spans="1:116" outlineLevel="1">
      <c r="D28" s="1196"/>
      <c r="E28" s="127"/>
      <c r="F28" s="127"/>
      <c r="G28" s="127"/>
      <c r="H28" s="1196"/>
      <c r="I28" s="127"/>
      <c r="J28" s="127"/>
      <c r="K28" s="127"/>
      <c r="L28" s="1196"/>
      <c r="M28" s="127"/>
      <c r="N28" s="127"/>
      <c r="O28" s="127"/>
      <c r="P28" s="1196"/>
      <c r="Q28" s="127"/>
      <c r="R28" s="127"/>
      <c r="S28" s="127"/>
      <c r="U28" s="127"/>
      <c r="V28" s="127"/>
      <c r="W28" s="127"/>
      <c r="Y28" s="127"/>
      <c r="Z28" s="127"/>
      <c r="AA28" s="127"/>
      <c r="AC28" s="127"/>
      <c r="AD28" s="127"/>
      <c r="AE28" s="127"/>
      <c r="AG28" s="127"/>
      <c r="AH28" s="127"/>
      <c r="AI28" s="127"/>
      <c r="AK28" s="127"/>
      <c r="AL28" s="127"/>
      <c r="AM28" s="127"/>
      <c r="AN28" s="1196"/>
      <c r="AO28" s="127"/>
      <c r="AP28" s="127"/>
      <c r="AQ28" s="127"/>
      <c r="AS28" s="1197"/>
      <c r="AT28" s="1198"/>
      <c r="AU28" s="127"/>
      <c r="AV28" s="1199"/>
      <c r="AW28" s="1197"/>
      <c r="AX28" s="1198"/>
      <c r="AY28" s="127"/>
      <c r="AZ28" s="1199"/>
      <c r="BA28" s="1197"/>
      <c r="BB28" s="1198"/>
      <c r="BC28" s="127"/>
      <c r="BD28" s="1199"/>
      <c r="BE28" s="1197"/>
      <c r="BF28" s="1198"/>
      <c r="BG28" s="127"/>
      <c r="BH28" s="1199"/>
      <c r="BI28" s="1197"/>
      <c r="BJ28" s="1198"/>
      <c r="BK28" s="127"/>
      <c r="BM28" s="1197"/>
      <c r="BN28" s="1198"/>
      <c r="BO28" s="127"/>
      <c r="BQ28" s="1197"/>
      <c r="BR28" s="1198"/>
      <c r="BS28" s="127"/>
      <c r="BT28" s="1199"/>
      <c r="BU28" s="1197"/>
      <c r="BV28" s="1198"/>
      <c r="BW28" s="127"/>
      <c r="BX28" s="1196" t="s">
        <v>465</v>
      </c>
      <c r="BY28" s="1197"/>
      <c r="BZ28" s="1198"/>
      <c r="CA28" s="127"/>
      <c r="CB28" s="1230"/>
      <c r="CC28" s="127"/>
      <c r="CD28" s="127"/>
      <c r="CE28" s="127"/>
      <c r="CF28" s="127"/>
      <c r="CG28" s="127"/>
      <c r="CH28" s="127"/>
      <c r="CI28" s="127"/>
      <c r="CJ28" s="127"/>
      <c r="CK28" s="127"/>
      <c r="CL28" s="127"/>
      <c r="CM28" s="127"/>
      <c r="CN28" s="127"/>
      <c r="CO28" s="127"/>
      <c r="CP28" s="127"/>
      <c r="CQ28" s="127"/>
      <c r="CR28" s="1197"/>
      <c r="CS28" s="1197"/>
      <c r="CT28" s="1197"/>
      <c r="CU28" s="1197"/>
    </row>
    <row r="29" spans="1:116" outlineLevel="1">
      <c r="T29" s="705"/>
      <c r="X29" s="705"/>
      <c r="Y29" s="1217"/>
      <c r="AB29" s="705"/>
      <c r="AF29" s="705"/>
      <c r="AG29" s="1217"/>
      <c r="AJ29" s="1218"/>
      <c r="AK29" s="1217"/>
      <c r="AN29" s="1218"/>
      <c r="AO29" s="1217"/>
      <c r="AR29" s="1220"/>
      <c r="AS29" s="1221"/>
      <c r="AT29" s="1231"/>
      <c r="AV29" s="1220"/>
      <c r="AW29" s="1221"/>
      <c r="AX29" s="1183"/>
      <c r="AZ29" s="1220"/>
      <c r="BA29" s="1221"/>
      <c r="BB29" s="1183"/>
      <c r="BD29" s="1220"/>
      <c r="BE29" s="1221"/>
      <c r="BF29" s="1183"/>
      <c r="BH29" s="1220"/>
      <c r="BI29" s="1221"/>
      <c r="BJ29" s="1183"/>
      <c r="BL29" s="1220"/>
      <c r="BM29" s="1221"/>
      <c r="BN29" s="1183"/>
      <c r="BP29" s="1220"/>
      <c r="BQ29" s="1221"/>
      <c r="BR29" s="1183"/>
      <c r="BT29" s="1220"/>
      <c r="BU29" s="1221"/>
      <c r="BV29" s="1183"/>
      <c r="BX29" s="1220"/>
      <c r="BZ29" s="1183"/>
      <c r="CF29" s="980"/>
      <c r="CG29" s="1226"/>
      <c r="CJ29" s="1031"/>
      <c r="CK29" s="1226"/>
      <c r="CN29" s="1031"/>
      <c r="CO29" s="1226"/>
      <c r="CR29" s="1066"/>
      <c r="CS29" s="1227">
        <f>CS31-CO31</f>
        <v>-2.3619886026590322</v>
      </c>
      <c r="CV29" s="179"/>
    </row>
    <row r="30" spans="1:116" outlineLevel="1">
      <c r="A30" s="3" t="str">
        <f>$A$10</f>
        <v>1Q</v>
      </c>
      <c r="B30" s="3" t="str">
        <f>$B$10</f>
        <v>Sept</v>
      </c>
      <c r="D30" s="1202"/>
      <c r="E30" s="1217"/>
      <c r="F30" s="22"/>
      <c r="H30" s="1202"/>
      <c r="I30" s="1217"/>
      <c r="J30" s="22"/>
      <c r="L30" s="1202"/>
      <c r="M30" s="1217"/>
      <c r="N30" s="22"/>
      <c r="P30" s="1202"/>
      <c r="Q30" s="1217"/>
      <c r="R30" s="22"/>
      <c r="S30" s="691"/>
      <c r="T30" s="1202"/>
      <c r="U30" s="1217"/>
      <c r="V30" s="22"/>
      <c r="X30" s="1202">
        <v>60.256</v>
      </c>
      <c r="Y30" s="1217">
        <f t="shared" ref="Y30:Y36" si="36">X30/X10*100</f>
        <v>51.050562559305959</v>
      </c>
      <c r="Z30" s="22"/>
      <c r="AB30" s="1218">
        <v>65.188999999999993</v>
      </c>
      <c r="AC30" s="1217">
        <f>AB30/AB10*100</f>
        <v>49.575269021635798</v>
      </c>
      <c r="AD30" s="22">
        <f t="shared" ref="AD30:AD36" si="37">(AB30/X30-1)*100</f>
        <v>8.1867365905469835</v>
      </c>
      <c r="AF30" s="1218">
        <v>77.100999999999999</v>
      </c>
      <c r="AG30" s="1217">
        <f t="shared" ref="AG30:AG36" si="38">AF30/AF10*100</f>
        <v>51.161232100436628</v>
      </c>
      <c r="AH30" s="22">
        <f t="shared" ref="AH30:AH36" si="39">(AF30/AB30-1)*100</f>
        <v>18.273021522035936</v>
      </c>
      <c r="AJ30" s="1218">
        <v>93.616</v>
      </c>
      <c r="AK30" s="1217">
        <f t="shared" ref="AK30:AK36" si="40">AJ30/AJ10*100</f>
        <v>48.558283322354264</v>
      </c>
      <c r="AL30" s="22">
        <f t="shared" ref="AL30:AL36" si="41">(AJ30/AF30-1)*100</f>
        <v>21.419955642598666</v>
      </c>
      <c r="AN30" s="1218">
        <v>116.28400000000001</v>
      </c>
      <c r="AO30" s="1217">
        <f t="shared" ref="AO30:AO36" si="42">AN30/AN10*100</f>
        <v>45.005902273826806</v>
      </c>
      <c r="AP30" s="22">
        <f t="shared" ref="AP30:AP36" si="43">(AN30/AJ30-1)*100</f>
        <v>24.213809605195703</v>
      </c>
      <c r="AR30" s="1220">
        <v>157.61699999999999</v>
      </c>
      <c r="AS30" s="1221">
        <f t="shared" ref="AS30:AS36" si="44">AR30/AR10*100</f>
        <v>45.810239344309942</v>
      </c>
      <c r="AT30" s="22">
        <f>(AR30/AN30-1)*100</f>
        <v>35.544872897389148</v>
      </c>
      <c r="AU30" s="1204" t="s">
        <v>347</v>
      </c>
      <c r="AV30" s="1220">
        <v>194.5</v>
      </c>
      <c r="AW30" s="1221">
        <f t="shared" ref="AW30:AW36" si="45">AV30/AV10*100</f>
        <v>44.815668202764975</v>
      </c>
      <c r="AX30" s="22">
        <f t="shared" ref="AX30:AX36" si="46">(AV30/AR30-1)*100</f>
        <v>23.400394627483088</v>
      </c>
      <c r="AY30" s="22"/>
      <c r="AZ30" s="1220">
        <v>225.351</v>
      </c>
      <c r="BA30" s="1221">
        <f t="shared" ref="BA30:BA36" si="47">AZ30/AZ10*100</f>
        <v>42.565557467497506</v>
      </c>
      <c r="BB30" s="22">
        <f t="shared" ref="BB30:BB36" si="48">(AZ30/AV30-1)*100</f>
        <v>15.86169665809769</v>
      </c>
      <c r="BC30" s="22"/>
      <c r="BD30" s="1220">
        <v>279.46300000000002</v>
      </c>
      <c r="BE30" s="1221">
        <f t="shared" ref="BE30:BE36" si="49">BD30/BD10*100</f>
        <v>41.296817876870428</v>
      </c>
      <c r="BF30" s="22">
        <f t="shared" ref="BF30:BF36" si="50">(BD30/AZ30-1)*100</f>
        <v>24.012318560822909</v>
      </c>
      <c r="BG30" s="22"/>
      <c r="BH30" s="1220">
        <v>324.70699999999999</v>
      </c>
      <c r="BI30" s="1221">
        <f t="shared" ref="BI30:BI36" si="51">BH30/BH10*100</f>
        <v>43.148769017539522</v>
      </c>
      <c r="BJ30" s="22">
        <f t="shared" ref="BJ30:BJ36" si="52">(BH30/BD30-1)*100</f>
        <v>16.189620808479098</v>
      </c>
      <c r="BK30" s="22"/>
      <c r="BL30" s="1220">
        <f>326.931</f>
        <v>326.93099999999998</v>
      </c>
      <c r="BM30" s="1221">
        <f t="shared" ref="BM30:BM36" si="53">BL30/BL10*100</f>
        <v>42.936053803532005</v>
      </c>
      <c r="BN30" s="22">
        <f>(BL30/BH30-1)*100</f>
        <v>0.68492517869955805</v>
      </c>
      <c r="BO30" s="22"/>
      <c r="BP30" s="1220">
        <v>390.51100000000002</v>
      </c>
      <c r="BQ30" s="1221">
        <f t="shared" ref="BQ30:BQ36" si="54">BP30/BP10*100</f>
        <v>42.83473497508416</v>
      </c>
      <c r="BR30" s="22">
        <f>(BP30/BL30-1)*100</f>
        <v>19.447528683422497</v>
      </c>
      <c r="BS30" s="22"/>
      <c r="BT30" s="1220">
        <v>442.68700000000001</v>
      </c>
      <c r="BU30" s="1221">
        <f t="shared" ref="BU30:BU36" si="55">BT30/BT10*100</f>
        <v>42.146256660817876</v>
      </c>
      <c r="BV30" s="22">
        <f>(BT30/BP30-1)*100</f>
        <v>13.360955261183417</v>
      </c>
      <c r="BW30" s="22"/>
      <c r="BX30" s="1220">
        <v>513.45100000000002</v>
      </c>
      <c r="BY30" s="1221">
        <f t="shared" ref="BY30:BY36" si="56">BX30/BX10*100</f>
        <v>44.211564127954539</v>
      </c>
      <c r="BZ30" s="22">
        <f>(BX30/BT30-1)*100</f>
        <v>15.98510911772879</v>
      </c>
      <c r="CA30" s="22"/>
      <c r="CB30" s="1220">
        <v>504.93900000000002</v>
      </c>
      <c r="CC30" s="1221">
        <f t="shared" ref="CC30:CC36" si="57">CB30/CB10*100</f>
        <v>43.878741005943901</v>
      </c>
      <c r="CD30" s="316">
        <f>(CB30/BX30-1)*100</f>
        <v>-1.6578018155578578</v>
      </c>
      <c r="CE30" s="316"/>
      <c r="CF30" s="1220">
        <f>535.6-33.1</f>
        <v>502.5</v>
      </c>
      <c r="CG30" s="1221">
        <f t="shared" ref="CG30:CG36" si="58">CF30/CF10*100</f>
        <v>48.373122834039279</v>
      </c>
      <c r="CH30" s="316">
        <f>(CF30/CB30-1)*100</f>
        <v>-0.48302864306382087</v>
      </c>
      <c r="CI30" s="316"/>
      <c r="CJ30" s="1621">
        <f>555.1-12.6-5.9-4.2</f>
        <v>532.4</v>
      </c>
      <c r="CK30" s="1221">
        <f t="shared" ref="CK30:CK36" si="59">CJ30/CJ10*100</f>
        <v>51.674269630204797</v>
      </c>
      <c r="CL30" s="316">
        <f>(CJ30/CF30-1)*100</f>
        <v>5.950248756218901</v>
      </c>
      <c r="CM30" s="316"/>
      <c r="CN30" s="1621">
        <v>538.29999999999995</v>
      </c>
      <c r="CO30" s="1372">
        <f t="shared" ref="CO30:CO36" si="60">CN30/CN10*100</f>
        <v>51.879336931380102</v>
      </c>
      <c r="CP30" s="316">
        <f>(CN30/CJ30-1)*100</f>
        <v>1.1081893313298119</v>
      </c>
      <c r="CQ30" s="316"/>
      <c r="CR30" s="2135">
        <f>786.2-99.1-3.1</f>
        <v>684</v>
      </c>
      <c r="CS30" s="1372">
        <f>CR30/CR10*100</f>
        <v>53.068508030103189</v>
      </c>
      <c r="CT30" s="316">
        <f>(CR30/CN30-1)*100</f>
        <v>27.066691436002245</v>
      </c>
      <c r="CU30" s="1635"/>
      <c r="CV30" s="179">
        <f>(CD30+BZ30)/100</f>
        <v>0.14327307302170933</v>
      </c>
      <c r="CW30" s="1065">
        <f>CB30-BX30</f>
        <v>-8.5120000000000005</v>
      </c>
      <c r="CX30" s="987">
        <f>CC30-CC31</f>
        <v>5.3660080569376873</v>
      </c>
      <c r="CY30" s="179">
        <f>(CH30+CD30)/100</f>
        <v>-2.1408304586216786E-2</v>
      </c>
      <c r="DI30" s="705">
        <f>CF30-CB30</f>
        <v>-2.4390000000000214</v>
      </c>
      <c r="DJ30" s="90">
        <f>CG30-CG31</f>
        <v>3.9250336098306562</v>
      </c>
      <c r="DK30" s="705">
        <f>708-CR30</f>
        <v>24</v>
      </c>
      <c r="DL30" s="705">
        <f>+CR30-CN30</f>
        <v>145.70000000000005</v>
      </c>
    </row>
    <row r="31" spans="1:116" outlineLevel="1">
      <c r="A31" s="3" t="str">
        <f>$A$11</f>
        <v>2Q</v>
      </c>
      <c r="B31" s="3" t="str">
        <f>$B$11</f>
        <v>Dec</v>
      </c>
      <c r="D31" s="1205"/>
      <c r="E31" s="1217"/>
      <c r="F31" s="22"/>
      <c r="H31" s="1205"/>
      <c r="I31" s="1217"/>
      <c r="J31" s="22"/>
      <c r="L31" s="1205"/>
      <c r="M31" s="1217"/>
      <c r="N31" s="22"/>
      <c r="P31" s="1205"/>
      <c r="Q31" s="1217"/>
      <c r="R31" s="22"/>
      <c r="T31" s="1205"/>
      <c r="U31" s="1217"/>
      <c r="V31" s="22"/>
      <c r="X31" s="1205">
        <v>79.665999999999997</v>
      </c>
      <c r="Y31" s="1217">
        <f t="shared" si="36"/>
        <v>41.037871919558235</v>
      </c>
      <c r="Z31" s="22"/>
      <c r="AB31" s="1025">
        <v>75.17</v>
      </c>
      <c r="AC31" s="1217">
        <f t="shared" ref="AC31:AC36" si="61">AB31/AB11*100</f>
        <v>35.620865477566959</v>
      </c>
      <c r="AD31" s="22">
        <f t="shared" si="37"/>
        <v>-5.6435618708106317</v>
      </c>
      <c r="AF31" s="1025">
        <v>91.677000000000007</v>
      </c>
      <c r="AG31" s="1217">
        <f t="shared" si="38"/>
        <v>38.88738069989396</v>
      </c>
      <c r="AH31" s="22">
        <f t="shared" si="39"/>
        <v>21.959558334441944</v>
      </c>
      <c r="AJ31" s="1025">
        <v>114.242</v>
      </c>
      <c r="AK31" s="1232">
        <f t="shared" si="40"/>
        <v>37.028681816266534</v>
      </c>
      <c r="AL31" s="22">
        <f t="shared" si="41"/>
        <v>24.613589013602088</v>
      </c>
      <c r="AN31" s="1223">
        <v>144.43899999999999</v>
      </c>
      <c r="AO31" s="1232">
        <f t="shared" si="42"/>
        <v>35.09949867926408</v>
      </c>
      <c r="AP31" s="22">
        <f t="shared" si="43"/>
        <v>26.43248542567531</v>
      </c>
      <c r="AR31" s="1223">
        <v>191.47800000000001</v>
      </c>
      <c r="AS31" s="1221">
        <f t="shared" si="44"/>
        <v>36.008417346956044</v>
      </c>
      <c r="AT31" s="22">
        <f t="shared" ref="AT31:AT36" si="62">(AR31/AN31-1)*100</f>
        <v>32.566689052125831</v>
      </c>
      <c r="AU31" s="1204" t="s">
        <v>347</v>
      </c>
      <c r="AV31" s="1223">
        <v>228.5</v>
      </c>
      <c r="AW31" s="1221">
        <f t="shared" si="45"/>
        <v>36.866731203614073</v>
      </c>
      <c r="AX31" s="22">
        <f t="shared" si="46"/>
        <v>19.334858312704316</v>
      </c>
      <c r="AY31" s="22"/>
      <c r="AZ31" s="1223">
        <v>280.58</v>
      </c>
      <c r="BA31" s="1221">
        <f t="shared" si="47"/>
        <v>34.828569407015614</v>
      </c>
      <c r="BB31" s="22">
        <f t="shared" si="48"/>
        <v>22.792122538293214</v>
      </c>
      <c r="BC31" s="22"/>
      <c r="BD31" s="1223">
        <v>334.209</v>
      </c>
      <c r="BE31" s="1221">
        <f t="shared" si="49"/>
        <v>34.172105392851044</v>
      </c>
      <c r="BF31" s="22">
        <f t="shared" si="50"/>
        <v>19.113621783448576</v>
      </c>
      <c r="BG31" s="22"/>
      <c r="BH31" s="1223">
        <f>343.673</f>
        <v>343.673</v>
      </c>
      <c r="BI31" s="1221">
        <f t="shared" si="51"/>
        <v>35.789726906158357</v>
      </c>
      <c r="BJ31" s="22">
        <f t="shared" si="52"/>
        <v>2.8317609639477048</v>
      </c>
      <c r="BK31" s="22"/>
      <c r="BL31" s="1223">
        <v>390.10199999999998</v>
      </c>
      <c r="BM31" s="1221">
        <f t="shared" si="53"/>
        <v>36.62912380693048</v>
      </c>
      <c r="BN31" s="22">
        <f>(BL31/BH31-1)*100</f>
        <v>13.509644342150807</v>
      </c>
      <c r="BO31" s="22"/>
      <c r="BP31" s="1223">
        <v>461.84100000000001</v>
      </c>
      <c r="BQ31" s="1221">
        <f t="shared" si="54"/>
        <v>36.524848215479054</v>
      </c>
      <c r="BR31" s="22">
        <f>(BP31/BL31-1)*100</f>
        <v>18.389805743113353</v>
      </c>
      <c r="BS31" s="22"/>
      <c r="BT31" s="1223">
        <f>544.31-20.27</f>
        <v>524.04</v>
      </c>
      <c r="BU31" s="1221">
        <f t="shared" si="55"/>
        <v>36.17439421143424</v>
      </c>
      <c r="BV31" s="22">
        <f>(BT31/BP31-1)*100</f>
        <v>13.467621973796163</v>
      </c>
      <c r="BW31" s="22"/>
      <c r="BX31" s="1223">
        <v>558.80499999999995</v>
      </c>
      <c r="BY31" s="1221">
        <f t="shared" si="56"/>
        <v>37.160171674733036</v>
      </c>
      <c r="BZ31" s="22">
        <f>(BX31/BT31-1)*100</f>
        <v>6.63403556980382</v>
      </c>
      <c r="CA31" s="22"/>
      <c r="CB31" s="1223">
        <v>546.73599999999999</v>
      </c>
      <c r="CC31" s="1221">
        <f t="shared" si="57"/>
        <v>38.512732949006214</v>
      </c>
      <c r="CD31" s="316">
        <f>(CB31/BX31-1)*100</f>
        <v>-2.1597874034770537</v>
      </c>
      <c r="CE31" s="316"/>
      <c r="CF31" s="1223">
        <f>564.6-19.1-3.5</f>
        <v>542</v>
      </c>
      <c r="CG31" s="1221">
        <f t="shared" si="58"/>
        <v>44.448089224208623</v>
      </c>
      <c r="CH31" s="316">
        <f>(CF31/CB31-1)*100</f>
        <v>-0.86623159989464016</v>
      </c>
      <c r="CI31" s="316"/>
      <c r="CJ31" s="1223">
        <f>598.1-13.9-8.5-1.6</f>
        <v>574.1</v>
      </c>
      <c r="CK31" s="1221">
        <f t="shared" si="59"/>
        <v>45.069869681268649</v>
      </c>
      <c r="CL31" s="316">
        <f>(CJ31/CF31-1)*100</f>
        <v>5.922509225092254</v>
      </c>
      <c r="CM31" s="316"/>
      <c r="CN31" s="1676">
        <f>628.8-3.7-13</f>
        <v>612.09999999999991</v>
      </c>
      <c r="CO31" s="1372">
        <f t="shared" si="60"/>
        <v>46.311568434591805</v>
      </c>
      <c r="CP31" s="316">
        <f>(CN31/CJ31-1)*100</f>
        <v>6.6190559136038774</v>
      </c>
      <c r="CQ31" s="316"/>
      <c r="CR31" s="2382">
        <f>831-29.7-0.9-15.9</f>
        <v>784.5</v>
      </c>
      <c r="CS31" s="2137">
        <f>CR31/CR11*100</f>
        <v>43.949579831932773</v>
      </c>
      <c r="CT31" s="316">
        <f>(CR31/CN31-1)*100</f>
        <v>28.165332462016025</v>
      </c>
      <c r="CU31" s="1635"/>
      <c r="CV31" s="179">
        <f>(CD31+BZ31)/100</f>
        <v>4.4742481663267671E-2</v>
      </c>
      <c r="CW31" s="1065">
        <f>CB31-BX31</f>
        <v>-12.06899999999996</v>
      </c>
      <c r="CX31" s="987">
        <f>CC31-CC32</f>
        <v>-8.6514847031773456</v>
      </c>
      <c r="CY31" s="179">
        <f>(CH31+CD31)/100</f>
        <v>-3.0260190033716938E-2</v>
      </c>
      <c r="DI31" s="705">
        <f>CF31-CB31</f>
        <v>-4.73599999999999</v>
      </c>
      <c r="DJ31" s="90">
        <f>CG31-CG32</f>
        <v>-11.400398885120985</v>
      </c>
      <c r="DK31" s="2133">
        <f>811-24</f>
        <v>787</v>
      </c>
      <c r="DL31" s="705">
        <f>+CR31-CN31</f>
        <v>172.40000000000009</v>
      </c>
    </row>
    <row r="32" spans="1:116" outlineLevel="1">
      <c r="A32" s="3" t="str">
        <f>$A$12</f>
        <v>3Q</v>
      </c>
      <c r="B32" s="3" t="str">
        <f>$B$12</f>
        <v>Mar</v>
      </c>
      <c r="D32" s="1205"/>
      <c r="E32" s="1217"/>
      <c r="F32" s="22"/>
      <c r="H32" s="1205"/>
      <c r="I32" s="1217"/>
      <c r="J32" s="22"/>
      <c r="L32" s="1205"/>
      <c r="M32" s="1217"/>
      <c r="N32" s="22"/>
      <c r="P32" s="1205"/>
      <c r="Q32" s="1217"/>
      <c r="R32" s="22"/>
      <c r="T32" s="1205"/>
      <c r="U32" s="1217"/>
      <c r="V32" s="22"/>
      <c r="X32" s="1205">
        <v>65.768000000000001</v>
      </c>
      <c r="Y32" s="1217">
        <f t="shared" si="36"/>
        <v>57.153781979977744</v>
      </c>
      <c r="Z32" s="22"/>
      <c r="AB32" s="1025">
        <v>68.078999999999994</v>
      </c>
      <c r="AC32" s="1217">
        <f t="shared" si="61"/>
        <v>54.153873076984262</v>
      </c>
      <c r="AD32" s="22">
        <f t="shared" si="37"/>
        <v>3.5138669261646882</v>
      </c>
      <c r="AF32" s="1025">
        <v>87.379000000000005</v>
      </c>
      <c r="AG32" s="1217">
        <f t="shared" si="38"/>
        <v>54.080868472683839</v>
      </c>
      <c r="AH32" s="22">
        <f t="shared" si="39"/>
        <v>28.349417588389979</v>
      </c>
      <c r="AJ32" s="1025">
        <v>107.06</v>
      </c>
      <c r="AK32" s="1217">
        <f>AJ32/AJ12*100</f>
        <v>48.576199205067248</v>
      </c>
      <c r="AL32" s="22">
        <f t="shared" si="41"/>
        <v>22.523718513601665</v>
      </c>
      <c r="AN32" s="1223">
        <v>136.648</v>
      </c>
      <c r="AO32" s="1232">
        <f t="shared" si="42"/>
        <v>43.647328258904473</v>
      </c>
      <c r="AP32" s="22">
        <f t="shared" si="43"/>
        <v>27.636839155613657</v>
      </c>
      <c r="AR32" s="1223">
        <v>192.33699999999999</v>
      </c>
      <c r="AS32" s="1221">
        <f t="shared" si="44"/>
        <v>46.241636393798125</v>
      </c>
      <c r="AT32" s="22">
        <f t="shared" si="62"/>
        <v>40.753615127919907</v>
      </c>
      <c r="AU32" s="1204" t="s">
        <v>347</v>
      </c>
      <c r="AV32" s="1223">
        <f>224.333-(224.333-222.523)</f>
        <v>222.523</v>
      </c>
      <c r="AW32" s="1221">
        <f t="shared" si="45"/>
        <v>46.386210231844537</v>
      </c>
      <c r="AX32" s="22">
        <f t="shared" si="46"/>
        <v>15.694328184384698</v>
      </c>
      <c r="AY32" s="22"/>
      <c r="AZ32" s="1223">
        <v>259.78300000000002</v>
      </c>
      <c r="BA32" s="1221">
        <f t="shared" si="47"/>
        <v>41.545138916653208</v>
      </c>
      <c r="BB32" s="22">
        <f t="shared" si="48"/>
        <v>16.744336540492455</v>
      </c>
      <c r="BC32" s="22"/>
      <c r="BD32" s="1223">
        <v>301.62599999999998</v>
      </c>
      <c r="BE32" s="1221">
        <f t="shared" si="49"/>
        <v>40.512704795828725</v>
      </c>
      <c r="BF32" s="22">
        <f t="shared" si="50"/>
        <v>16.106904608846605</v>
      </c>
      <c r="BG32" s="22"/>
      <c r="BH32" s="1223">
        <f>339.686-13.4</f>
        <v>326.286</v>
      </c>
      <c r="BI32" s="1221">
        <f t="shared" si="51"/>
        <v>44.096337671078295</v>
      </c>
      <c r="BJ32" s="22">
        <f t="shared" si="52"/>
        <v>8.1756877722742871</v>
      </c>
      <c r="BK32" s="22"/>
      <c r="BL32" s="1223">
        <v>366.45299999999997</v>
      </c>
      <c r="BM32" s="1221">
        <f t="shared" si="53"/>
        <v>44.115405775344932</v>
      </c>
      <c r="BN32" s="22">
        <f>(BL32/BH32-1)*100</f>
        <v>12.310365752744513</v>
      </c>
      <c r="BO32" s="22"/>
      <c r="BP32" s="1223">
        <f>437.818-4.809-20.869</f>
        <v>412.14</v>
      </c>
      <c r="BQ32" s="1221">
        <f t="shared" si="54"/>
        <v>43.350941300465124</v>
      </c>
      <c r="BR32" s="22">
        <f>(BP32/BL32-1)*100</f>
        <v>12.467355977437755</v>
      </c>
      <c r="BS32" s="22"/>
      <c r="BT32" s="1223">
        <v>480.57499999999999</v>
      </c>
      <c r="BU32" s="1221">
        <f t="shared" si="55"/>
        <v>43.334827197219788</v>
      </c>
      <c r="BV32" s="22">
        <f>(BT32/BP32-1)*100</f>
        <v>16.604794487310137</v>
      </c>
      <c r="BW32" s="22"/>
      <c r="BX32" s="1223">
        <v>531.69500000000005</v>
      </c>
      <c r="BY32" s="1221">
        <f t="shared" si="56"/>
        <v>44.771375017051518</v>
      </c>
      <c r="BZ32" s="22">
        <f>(BX32/BT32-1)*100</f>
        <v>10.63725745201063</v>
      </c>
      <c r="CA32" s="22"/>
      <c r="CB32" s="1223">
        <v>518.63</v>
      </c>
      <c r="CC32" s="1221">
        <f t="shared" si="57"/>
        <v>47.164217652183559</v>
      </c>
      <c r="CD32" s="316">
        <f>(CB32/BX32-1)*100</f>
        <v>-2.4572358212885281</v>
      </c>
      <c r="CE32" s="316"/>
      <c r="CF32" s="1223">
        <f>541.5-22.5</f>
        <v>519</v>
      </c>
      <c r="CG32" s="1221">
        <f t="shared" si="58"/>
        <v>55.848488109329608</v>
      </c>
      <c r="CH32" s="316">
        <f>(CF32/CB32-1)*100</f>
        <v>7.1341804369207118E-2</v>
      </c>
      <c r="CI32" s="316"/>
      <c r="CJ32" s="1223">
        <f>578.7-9.4-7.8-0.3</f>
        <v>561.20000000000016</v>
      </c>
      <c r="CK32" s="1221">
        <f t="shared" si="59"/>
        <v>54.321943664698502</v>
      </c>
      <c r="CL32" s="316">
        <f>(CJ32/CF32-1)*100</f>
        <v>8.1310211946050472</v>
      </c>
      <c r="CM32" s="316"/>
      <c r="CN32" s="1676">
        <f>554.6-6.4-4.5</f>
        <v>543.70000000000005</v>
      </c>
      <c r="CO32" s="1372">
        <f t="shared" si="60"/>
        <v>54.632234726688097</v>
      </c>
      <c r="CP32" s="316">
        <f>(CN32/CJ32-1)*100</f>
        <v>-3.1183178902352338</v>
      </c>
      <c r="CQ32" s="316"/>
      <c r="CR32" s="1026">
        <f>CS32*CR12/100</f>
        <v>727.87260358924732</v>
      </c>
      <c r="CS32" s="1941">
        <v>55.75</v>
      </c>
      <c r="CT32" s="316">
        <f>(CR32/CN32-1)*100</f>
        <v>33.873938493516143</v>
      </c>
      <c r="CU32" s="1635"/>
      <c r="CV32" s="179">
        <f>(CD32+BZ32)/100</f>
        <v>8.1800216307221021E-2</v>
      </c>
      <c r="CW32" s="1065">
        <f>CB32-BX32</f>
        <v>-13.065000000000055</v>
      </c>
      <c r="CX32" s="987">
        <f>CC32-CC33</f>
        <v>-1.8818264098609845</v>
      </c>
      <c r="CY32" s="179">
        <f>(CH32+CD32)/100</f>
        <v>-2.385894016919321E-2</v>
      </c>
      <c r="DI32" s="705">
        <f>CF32-CB32</f>
        <v>0.37000000000000455</v>
      </c>
      <c r="DJ32" s="90">
        <f>CG32-CG33</f>
        <v>-0.55027695391110143</v>
      </c>
    </row>
    <row r="33" spans="1:114" outlineLevel="1">
      <c r="A33" s="3" t="str">
        <f>$A$13</f>
        <v>4Q</v>
      </c>
      <c r="B33" s="3" t="str">
        <f>$B$13</f>
        <v>June</v>
      </c>
      <c r="D33" s="1207"/>
      <c r="E33" s="1217"/>
      <c r="F33" s="22"/>
      <c r="H33" s="1207"/>
      <c r="I33" s="1217"/>
      <c r="J33" s="22"/>
      <c r="L33" s="1207"/>
      <c r="M33" s="1217"/>
      <c r="N33" s="22"/>
      <c r="P33" s="1207"/>
      <c r="Q33" s="1217"/>
      <c r="R33" s="22"/>
      <c r="T33" s="1207"/>
      <c r="U33" s="1217"/>
      <c r="V33" s="22"/>
      <c r="X33" s="1207">
        <v>67.126000000000005</v>
      </c>
      <c r="Y33" s="1217">
        <f t="shared" si="36"/>
        <v>55.163289121180746</v>
      </c>
      <c r="Z33" s="22"/>
      <c r="AB33" s="1224">
        <v>67.289000000000001</v>
      </c>
      <c r="AC33" s="1217">
        <f t="shared" si="61"/>
        <v>50.878612367111778</v>
      </c>
      <c r="AD33" s="22">
        <f t="shared" si="37"/>
        <v>0.242826922503947</v>
      </c>
      <c r="AF33" s="1224">
        <v>90.197000000000003</v>
      </c>
      <c r="AG33" s="1217">
        <f t="shared" si="38"/>
        <v>52.629828451394566</v>
      </c>
      <c r="AH33" s="22">
        <f t="shared" si="39"/>
        <v>34.044197417111263</v>
      </c>
      <c r="AJ33" s="1224">
        <v>118.749</v>
      </c>
      <c r="AK33" s="1217">
        <f t="shared" si="40"/>
        <v>51.291919348986681</v>
      </c>
      <c r="AL33" s="22">
        <f t="shared" si="41"/>
        <v>31.655154827765884</v>
      </c>
      <c r="AN33" s="1225">
        <v>148.24600000000001</v>
      </c>
      <c r="AO33" s="1232">
        <f t="shared" si="42"/>
        <v>43.840955802983935</v>
      </c>
      <c r="AP33" s="22">
        <f t="shared" si="43"/>
        <v>24.83978812453158</v>
      </c>
      <c r="AR33" s="1225">
        <v>196.77600000000001</v>
      </c>
      <c r="AS33" s="1221">
        <f t="shared" si="44"/>
        <v>47.001385372378543</v>
      </c>
      <c r="AT33" s="22">
        <f t="shared" si="62"/>
        <v>32.736127787596288</v>
      </c>
      <c r="AU33" s="1204" t="s">
        <v>347</v>
      </c>
      <c r="AV33" s="1225">
        <v>221.34800000000001</v>
      </c>
      <c r="AW33" s="1221">
        <f t="shared" si="45"/>
        <v>44.130764614522718</v>
      </c>
      <c r="AX33" s="22">
        <f t="shared" si="46"/>
        <v>12.487295198601455</v>
      </c>
      <c r="AY33" s="22"/>
      <c r="AZ33" s="1225">
        <v>263.875</v>
      </c>
      <c r="BA33" s="1221">
        <f t="shared" si="47"/>
        <v>40.463619927959037</v>
      </c>
      <c r="BB33" s="22">
        <f t="shared" si="48"/>
        <v>19.212732891193941</v>
      </c>
      <c r="BC33" s="22"/>
      <c r="BD33" s="1225">
        <v>312.57600000000002</v>
      </c>
      <c r="BE33" s="1221">
        <f t="shared" si="49"/>
        <v>39.996928982725535</v>
      </c>
      <c r="BF33" s="22">
        <f t="shared" si="50"/>
        <v>18.456087162482238</v>
      </c>
      <c r="BG33" s="22"/>
      <c r="BH33" s="1225">
        <f>342.631-15</f>
        <v>327.63099999999997</v>
      </c>
      <c r="BI33" s="1221">
        <f t="shared" si="51"/>
        <v>42.12581517825916</v>
      </c>
      <c r="BJ33" s="22">
        <f t="shared" si="52"/>
        <v>4.8164286445536275</v>
      </c>
      <c r="BK33" s="22"/>
      <c r="BL33" s="1225">
        <v>400.03399999999999</v>
      </c>
      <c r="BM33" s="1221">
        <f t="shared" si="53"/>
        <v>42.08558428237027</v>
      </c>
      <c r="BN33" s="22">
        <f>(BL33/BH33-1)*100</f>
        <v>22.098946680869645</v>
      </c>
      <c r="BO33" s="22"/>
      <c r="BP33" s="1225">
        <v>428.447</v>
      </c>
      <c r="BQ33" s="1221">
        <f t="shared" si="54"/>
        <v>41.529260668330629</v>
      </c>
      <c r="BR33" s="22">
        <f>(BP33/BL33-1)*100</f>
        <v>7.1026462750666264</v>
      </c>
      <c r="BS33" s="22"/>
      <c r="BT33" s="1225">
        <v>467.57799999999997</v>
      </c>
      <c r="BU33" s="1221">
        <f t="shared" si="55"/>
        <v>40.476250247794518</v>
      </c>
      <c r="BV33" s="22">
        <f>(BT33/BP33-1)*100</f>
        <v>9.1332183443926453</v>
      </c>
      <c r="BW33" s="22"/>
      <c r="BX33" s="1225">
        <f>569.656-48.402</f>
        <v>521.25399999999991</v>
      </c>
      <c r="BY33" s="1221">
        <f t="shared" si="56"/>
        <v>42.631807951006294</v>
      </c>
      <c r="BZ33" s="22">
        <f>(BX33/BT33-1)*100</f>
        <v>11.479582016262512</v>
      </c>
      <c r="CA33" s="22"/>
      <c r="CB33" s="1225">
        <f>606.584-49.315</f>
        <v>557.26900000000001</v>
      </c>
      <c r="CC33" s="1221">
        <f t="shared" si="57"/>
        <v>49.046044062044544</v>
      </c>
      <c r="CD33" s="316">
        <f>(CB33/BX33-1)*100</f>
        <v>6.9092994969822907</v>
      </c>
      <c r="CE33" s="316"/>
      <c r="CF33" s="1571">
        <f>648.9-66.2-13.6-2.8</f>
        <v>566.29999999999995</v>
      </c>
      <c r="CG33" s="1221">
        <f t="shared" si="58"/>
        <v>56.39876506324071</v>
      </c>
      <c r="CH33" s="316">
        <f>(CF33/CB33-1)*100</f>
        <v>1.620581801607468</v>
      </c>
      <c r="CI33" s="316"/>
      <c r="CJ33" s="1571">
        <v>608.1</v>
      </c>
      <c r="CK33" s="1656">
        <f t="shared" si="59"/>
        <v>52.667590507535081</v>
      </c>
      <c r="CL33" s="316">
        <f>(CJ33/CF33-1)*100</f>
        <v>7.3812466890341044</v>
      </c>
      <c r="CM33" s="316"/>
      <c r="CN33" s="2044">
        <v>577.29999999999995</v>
      </c>
      <c r="CO33" s="1656">
        <f t="shared" si="60"/>
        <v>50.917269359675423</v>
      </c>
      <c r="CP33" s="316">
        <f>(CN33/CJ33-1)*100</f>
        <v>-5.0649564216411864</v>
      </c>
      <c r="CQ33" s="316"/>
      <c r="CR33" s="1146">
        <f>CS33*CR13/100</f>
        <v>743.11452204646412</v>
      </c>
      <c r="CS33" s="1371">
        <v>51.2</v>
      </c>
      <c r="CT33" s="316">
        <f>(CR33/CN33-1)*100</f>
        <v>28.722418507961912</v>
      </c>
      <c r="CU33" s="1635"/>
      <c r="CV33" s="179">
        <f>(CD33+BZ33)/100</f>
        <v>0.18388881513244804</v>
      </c>
      <c r="CW33" s="1065">
        <f>CB33-BX33</f>
        <v>36.0150000000001</v>
      </c>
      <c r="CX33" s="987">
        <f>CC33-CC34</f>
        <v>4.7790037688914708</v>
      </c>
      <c r="CY33" s="179">
        <f>(CH33+CD33)/100</f>
        <v>8.5298812985897587E-2</v>
      </c>
      <c r="DI33" s="705">
        <f>CF33-CB33</f>
        <v>9.0309999999999491</v>
      </c>
      <c r="DJ33" s="90">
        <f>CG33-CG34</f>
        <v>5.5876189615134422</v>
      </c>
    </row>
    <row r="34" spans="1:114" outlineLevel="1">
      <c r="B34" s="3" t="str">
        <f>$B$14</f>
        <v>Year</v>
      </c>
      <c r="D34" s="1202">
        <v>178.221</v>
      </c>
      <c r="E34" s="1217">
        <f>D34/D14*100</f>
        <v>45.116841889418538</v>
      </c>
      <c r="F34" s="22"/>
      <c r="H34" s="1202">
        <v>238.62100000000001</v>
      </c>
      <c r="I34" s="1217">
        <f>H34/H14*100</f>
        <v>46.547025719552522</v>
      </c>
      <c r="J34" s="22"/>
      <c r="L34" s="1202">
        <v>269.01100000000002</v>
      </c>
      <c r="M34" s="1217">
        <f>L34/L14*100</f>
        <v>49.783109966208094</v>
      </c>
      <c r="N34" s="22"/>
      <c r="P34" s="1202">
        <v>253.39</v>
      </c>
      <c r="Q34" s="1217">
        <f>P34/P14*100</f>
        <v>49.305819055680416</v>
      </c>
      <c r="R34" s="22">
        <f>(P34/L34-1)*100</f>
        <v>-5.8068257431852395</v>
      </c>
      <c r="T34" s="1202">
        <v>248.17099999999999</v>
      </c>
      <c r="U34" s="1217">
        <f>T34/T14*100</f>
        <v>49.540667220288093</v>
      </c>
      <c r="V34" s="22">
        <f>(T34/P34-1)*100</f>
        <v>-2.0596708630964078</v>
      </c>
      <c r="X34" s="1210">
        <f>SUM(X30:X33)</f>
        <v>272.81600000000003</v>
      </c>
      <c r="Y34" s="1217">
        <f t="shared" si="36"/>
        <v>49.700683890854371</v>
      </c>
      <c r="Z34" s="22"/>
      <c r="AB34" s="705">
        <f>SUM(AB30:AB33)</f>
        <v>275.72699999999998</v>
      </c>
      <c r="AC34" s="1217">
        <f t="shared" si="61"/>
        <v>45.916924649994748</v>
      </c>
      <c r="AD34" s="22">
        <f t="shared" si="37"/>
        <v>1.0670195296463403</v>
      </c>
      <c r="AF34" s="705">
        <f>SUM(AF30:AF33)</f>
        <v>346.35400000000004</v>
      </c>
      <c r="AG34" s="1217">
        <f t="shared" si="38"/>
        <v>48.144642154675473</v>
      </c>
      <c r="AH34" s="22">
        <f t="shared" si="39"/>
        <v>25.614829160727837</v>
      </c>
      <c r="AJ34" s="705">
        <f>SUM(AJ30:AJ33)</f>
        <v>433.66700000000003</v>
      </c>
      <c r="AK34" s="1217">
        <f t="shared" si="40"/>
        <v>45.494667581454976</v>
      </c>
      <c r="AL34" s="22">
        <f t="shared" si="41"/>
        <v>25.209179048025998</v>
      </c>
      <c r="AN34" s="705">
        <f>SUM(AN30:AN33)</f>
        <v>545.61699999999996</v>
      </c>
      <c r="AO34" s="1217">
        <f t="shared" si="42"/>
        <v>41.300016804102022</v>
      </c>
      <c r="AP34" s="22">
        <f t="shared" si="43"/>
        <v>25.814738036327391</v>
      </c>
      <c r="AR34" s="1065">
        <f>SUM(AR30:AR33)</f>
        <v>738.20800000000008</v>
      </c>
      <c r="AS34" s="1221">
        <f t="shared" si="44"/>
        <v>43.159382211300944</v>
      </c>
      <c r="AT34" s="22">
        <f>(AR34/AN34-1)*100</f>
        <v>35.297837127508892</v>
      </c>
      <c r="AV34" s="1065">
        <f>SUM(AV30:AV33)</f>
        <v>866.87100000000009</v>
      </c>
      <c r="AW34" s="1221">
        <f t="shared" si="45"/>
        <v>42.596178745815308</v>
      </c>
      <c r="AX34" s="22">
        <f t="shared" si="46"/>
        <v>17.429098573843692</v>
      </c>
      <c r="AY34" s="22"/>
      <c r="AZ34" s="1065">
        <f>SUM(AZ30:AZ33)</f>
        <v>1029.5889999999999</v>
      </c>
      <c r="BA34" s="1221">
        <f t="shared" si="47"/>
        <v>39.410769023478295</v>
      </c>
      <c r="BB34" s="22">
        <f t="shared" si="48"/>
        <v>18.770728285984873</v>
      </c>
      <c r="BC34" s="22"/>
      <c r="BD34" s="1065">
        <f>SUM(BD30:BD33)</f>
        <v>1227.874</v>
      </c>
      <c r="BE34" s="1221">
        <f t="shared" si="49"/>
        <v>38.603200433104448</v>
      </c>
      <c r="BF34" s="22">
        <f t="shared" si="50"/>
        <v>19.258655638317833</v>
      </c>
      <c r="BG34" s="22"/>
      <c r="BH34" s="1065">
        <f>SUM(BH30:BH33)</f>
        <v>1322.297</v>
      </c>
      <c r="BI34" s="1221">
        <f t="shared" si="51"/>
        <v>40.932056903210309</v>
      </c>
      <c r="BJ34" s="22">
        <f t="shared" si="52"/>
        <v>7.6899584159286771</v>
      </c>
      <c r="BK34" s="22"/>
      <c r="BL34" s="1065">
        <f>SUM(BL30:BL33)</f>
        <v>1483.52</v>
      </c>
      <c r="BM34" s="1221">
        <f t="shared" si="53"/>
        <v>41.121665267782006</v>
      </c>
      <c r="BN34" s="22">
        <f>(BL34/BH34-1)*100</f>
        <v>12.192646583936884</v>
      </c>
      <c r="BO34" s="22"/>
      <c r="BP34" s="1065">
        <f>SUM(BP30:BP33)</f>
        <v>1692.9390000000003</v>
      </c>
      <c r="BQ34" s="1221">
        <f t="shared" si="54"/>
        <v>40.710259715806664</v>
      </c>
      <c r="BR34" s="22">
        <f>(BP34/BL34-1)*100</f>
        <v>14.116358390854211</v>
      </c>
      <c r="BS34" s="22"/>
      <c r="BT34" s="1065">
        <f>SUM(BT30:BT33)</f>
        <v>1914.8799999999999</v>
      </c>
      <c r="BU34" s="1221">
        <f t="shared" si="55"/>
        <v>40.201713980995891</v>
      </c>
      <c r="BV34" s="22">
        <f>(BT34/BP34-1)*100</f>
        <v>13.109804901416977</v>
      </c>
      <c r="BW34" s="22"/>
      <c r="BX34" s="1065">
        <f>SUM(BX30:BX33)</f>
        <v>2125.2049999999999</v>
      </c>
      <c r="BY34" s="1221">
        <f t="shared" si="56"/>
        <v>41.872742784298353</v>
      </c>
      <c r="BZ34" s="22">
        <f>(BX34/BT34-1)*100</f>
        <v>10.983716995320858</v>
      </c>
      <c r="CA34" s="22"/>
      <c r="CB34" s="1065">
        <f>SUM(CB30:CB33)</f>
        <v>2127.5739999999996</v>
      </c>
      <c r="CC34" s="1221">
        <f t="shared" si="57"/>
        <v>44.267040293153073</v>
      </c>
      <c r="CD34" s="316">
        <f>(CB34/BX34-1)*100</f>
        <v>0.11147159921041094</v>
      </c>
      <c r="CE34" s="316"/>
      <c r="CF34" s="1065">
        <f>SUM(CF30:CF33)</f>
        <v>2129.8000000000002</v>
      </c>
      <c r="CG34" s="1221">
        <f t="shared" si="58"/>
        <v>50.811146101727267</v>
      </c>
      <c r="CH34" s="316">
        <f>(CF34/CB34-1)*100</f>
        <v>0.10462620806610534</v>
      </c>
      <c r="CI34" s="316"/>
      <c r="CJ34" s="1065">
        <f>SUM(CJ30:CJ33)</f>
        <v>2275.8000000000002</v>
      </c>
      <c r="CK34" s="1221">
        <f t="shared" si="59"/>
        <v>50.665657420187912</v>
      </c>
      <c r="CL34" s="316">
        <f>(CJ34/CF34-1)*100</f>
        <v>6.855103765611803</v>
      </c>
      <c r="CM34" s="316"/>
      <c r="CN34" s="1065">
        <f>SUM(CN30:CN33)</f>
        <v>2271.3999999999996</v>
      </c>
      <c r="CO34" s="1221">
        <f t="shared" si="60"/>
        <v>50.607134104226539</v>
      </c>
      <c r="CP34" s="316">
        <f>(CN34/CJ34-1)*100</f>
        <v>-0.19333860620444066</v>
      </c>
      <c r="CQ34" s="316"/>
      <c r="CR34" s="1065">
        <f>SUM(CR30:CR33)</f>
        <v>2939.4871256357114</v>
      </c>
      <c r="CS34" s="1221">
        <f>CR34/CR14*100</f>
        <v>50.412266078012358</v>
      </c>
      <c r="CT34" s="316">
        <f>(CR34/CN34-1)*100</f>
        <v>29.413010726235456</v>
      </c>
      <c r="CU34" s="316"/>
    </row>
    <row r="35" spans="1:114" hidden="1" outlineLevel="2">
      <c r="A35" s="3" t="str">
        <f>$A$15</f>
        <v>6 Mos</v>
      </c>
      <c r="D35" s="1212"/>
      <c r="E35" s="1217"/>
      <c r="F35" s="22"/>
      <c r="H35" s="1212"/>
      <c r="I35" s="1217"/>
      <c r="J35" s="22"/>
      <c r="L35" s="1212"/>
      <c r="M35" s="1217"/>
      <c r="N35" s="22"/>
      <c r="P35" s="1212"/>
      <c r="Q35" s="1217"/>
      <c r="R35" s="22"/>
      <c r="T35" s="1212"/>
      <c r="U35" s="1217"/>
      <c r="V35" s="22"/>
      <c r="X35" s="1212">
        <f>SUM(X30:X31)</f>
        <v>139.922</v>
      </c>
      <c r="Y35" s="1217">
        <f t="shared" si="36"/>
        <v>44.823808303434134</v>
      </c>
      <c r="Z35" s="22"/>
      <c r="AB35" s="165">
        <f>SUM(AB30:AB31)</f>
        <v>140.35899999999998</v>
      </c>
      <c r="AC35" s="1217">
        <f t="shared" si="61"/>
        <v>40.977978121177259</v>
      </c>
      <c r="AD35" s="22">
        <f t="shared" si="37"/>
        <v>0.31231686225181576</v>
      </c>
      <c r="AF35" s="165">
        <f>SUM(AF30:AF31)</f>
        <v>168.77800000000002</v>
      </c>
      <c r="AG35" s="1217">
        <f t="shared" si="38"/>
        <v>43.673729208284605</v>
      </c>
      <c r="AH35" s="22">
        <f t="shared" si="39"/>
        <v>20.247365683711081</v>
      </c>
      <c r="AJ35" s="165">
        <f>SUM(AJ30:AJ31)</f>
        <v>207.858</v>
      </c>
      <c r="AK35" s="1217">
        <f t="shared" si="40"/>
        <v>41.462636192087196</v>
      </c>
      <c r="AL35" s="22">
        <f t="shared" si="41"/>
        <v>23.1546765573712</v>
      </c>
      <c r="AN35" s="165">
        <f>SUM(AN30:AN31)</f>
        <v>260.72300000000001</v>
      </c>
      <c r="AO35" s="1217">
        <f t="shared" si="42"/>
        <v>38.92038669150665</v>
      </c>
      <c r="AP35" s="22">
        <f t="shared" si="43"/>
        <v>25.433228454040744</v>
      </c>
      <c r="AR35" s="1153">
        <f>SUM(AR30:AR31)</f>
        <v>349.09500000000003</v>
      </c>
      <c r="AS35" s="1221">
        <f t="shared" si="44"/>
        <v>39.859035605327101</v>
      </c>
      <c r="AT35" s="316">
        <f>(AR35/AN35-1)*100</f>
        <v>33.894976661054073</v>
      </c>
      <c r="AV35" s="1153">
        <f>SUM(AV30:AV31)</f>
        <v>423</v>
      </c>
      <c r="AW35" s="1221">
        <f t="shared" si="45"/>
        <v>40.140444107041183</v>
      </c>
      <c r="AX35" s="316">
        <f t="shared" si="46"/>
        <v>21.170455033730072</v>
      </c>
      <c r="AY35" s="22"/>
      <c r="AZ35" s="1153">
        <f>SUM(AZ30:AZ31)</f>
        <v>505.93099999999998</v>
      </c>
      <c r="BA35" s="1221">
        <f t="shared" si="47"/>
        <v>37.896771893239375</v>
      </c>
      <c r="BB35" s="316">
        <f t="shared" si="48"/>
        <v>19.605437352245868</v>
      </c>
      <c r="BC35" s="22"/>
      <c r="BD35" s="1153">
        <f>SUM(BD30:BD31)</f>
        <v>613.67200000000003</v>
      </c>
      <c r="BE35" s="1221">
        <f t="shared" si="49"/>
        <v>37.08581736652696</v>
      </c>
      <c r="BF35" s="316">
        <f t="shared" si="50"/>
        <v>21.295591691357131</v>
      </c>
      <c r="BG35" s="22"/>
      <c r="BH35" s="1153">
        <f>SUM(BH30:BH31)</f>
        <v>668.38</v>
      </c>
      <c r="BI35" s="1221">
        <f t="shared" si="51"/>
        <v>39.022994713288597</v>
      </c>
      <c r="BJ35" s="316">
        <f t="shared" si="52"/>
        <v>8.9148600555345467</v>
      </c>
      <c r="BK35" s="22"/>
      <c r="BL35" s="1153">
        <f>SUM(BL30:BL31)</f>
        <v>717.0329999999999</v>
      </c>
      <c r="BM35" s="1221">
        <f t="shared" si="53"/>
        <v>39.258459890869787</v>
      </c>
      <c r="BN35" s="1233">
        <f>(BL35/BI35-1)*100</f>
        <v>1737.4627710359371</v>
      </c>
      <c r="BO35" s="22"/>
      <c r="BP35" s="1153">
        <f>SUM(BP30:BP31)</f>
        <v>852.35200000000009</v>
      </c>
      <c r="BQ35" s="1221">
        <f t="shared" si="54"/>
        <v>39.168320216752157</v>
      </c>
      <c r="BR35" s="316">
        <f>(BP35/BN35-1)*100</f>
        <v>-50.942718646466446</v>
      </c>
      <c r="BS35" s="22"/>
      <c r="BT35" s="1153">
        <f>SUM(BT30:BT31)</f>
        <v>966.72699999999998</v>
      </c>
      <c r="BU35" s="1221">
        <f t="shared" si="55"/>
        <v>38.684429981816784</v>
      </c>
      <c r="BV35" s="316">
        <f>(BT35/BR35-1)*100</f>
        <v>-1997.6745365886657</v>
      </c>
      <c r="BW35" s="22"/>
      <c r="BX35" s="1153">
        <f>SUM(BX30:BX31)</f>
        <v>1072.2559999999999</v>
      </c>
      <c r="BY35" s="1221">
        <f t="shared" si="56"/>
        <v>40.232874718024377</v>
      </c>
      <c r="BZ35" s="316">
        <f>(BX35/BV35-1)*100</f>
        <v>-153.67520986832224</v>
      </c>
      <c r="CA35" s="22"/>
      <c r="CB35" s="1153">
        <f>SUM(CB30:CB31)</f>
        <v>1051.675</v>
      </c>
      <c r="CC35" s="1221">
        <f t="shared" si="57"/>
        <v>40.915092842158991</v>
      </c>
      <c r="CD35" s="316">
        <f>(CB35/BZ35-1)*100</f>
        <v>-784.34915488395006</v>
      </c>
      <c r="CE35" s="22"/>
      <c r="CF35" s="1153">
        <f>SUM(CF30:CF31)</f>
        <v>1044.5</v>
      </c>
      <c r="CG35" s="1221">
        <f t="shared" si="58"/>
        <v>46.253653352227445</v>
      </c>
      <c r="CH35" s="316">
        <f>(CF35/CD35-1)*100</f>
        <v>-233.16773448357208</v>
      </c>
      <c r="CI35" s="22"/>
      <c r="CJ35" s="1153">
        <f>SUM(CJ30:CJ31)</f>
        <v>1106.5</v>
      </c>
      <c r="CK35" s="1221">
        <f t="shared" si="59"/>
        <v>48.02308927563908</v>
      </c>
      <c r="CL35" s="316">
        <f>(CJ35/CH35-1)*100</f>
        <v>-574.55107905504781</v>
      </c>
      <c r="CM35" s="22"/>
      <c r="CN35" s="1153">
        <f>SUM(CN30:CN31)</f>
        <v>1150.3999999999999</v>
      </c>
      <c r="CO35" s="1221">
        <f t="shared" si="60"/>
        <v>48.760225490611617</v>
      </c>
      <c r="CP35" s="316">
        <f>(CN35/CL35-1)*100</f>
        <v>-300.22588799102749</v>
      </c>
      <c r="CQ35" s="316"/>
      <c r="CR35" s="535">
        <f>SUM(CR30:CR31)</f>
        <v>1468.5</v>
      </c>
      <c r="CS35" s="535">
        <f>CR35/CR15*100</f>
        <v>47.773187156381141</v>
      </c>
      <c r="CT35" s="535">
        <f>(CR35/CP35-1)*100</f>
        <v>-589.13170340723161</v>
      </c>
      <c r="CU35" s="316"/>
    </row>
    <row r="36" spans="1:114" hidden="1" outlineLevel="2">
      <c r="A36" s="3" t="str">
        <f>$A$16</f>
        <v>9 Mos</v>
      </c>
      <c r="D36" s="1212"/>
      <c r="E36" s="1217"/>
      <c r="F36" s="22"/>
      <c r="H36" s="1212"/>
      <c r="I36" s="1217"/>
      <c r="J36" s="22"/>
      <c r="L36" s="1212"/>
      <c r="M36" s="1217"/>
      <c r="N36" s="22"/>
      <c r="P36" s="1212"/>
      <c r="Q36" s="1217"/>
      <c r="R36" s="22"/>
      <c r="T36" s="1212"/>
      <c r="U36" s="1217"/>
      <c r="V36" s="22"/>
      <c r="X36" s="1212">
        <f>SUM(X30:X32)</f>
        <v>205.69</v>
      </c>
      <c r="Y36" s="1217">
        <f t="shared" si="36"/>
        <v>48.144801887499064</v>
      </c>
      <c r="Z36" s="22"/>
      <c r="AB36" s="165">
        <f>SUM(AB30:AB32)</f>
        <v>208.43799999999999</v>
      </c>
      <c r="AC36" s="1217">
        <f t="shared" si="61"/>
        <v>44.515491086778695</v>
      </c>
      <c r="AD36" s="22">
        <f t="shared" si="37"/>
        <v>1.3359910544994857</v>
      </c>
      <c r="AF36" s="165">
        <f>SUM(AF30:AF32)</f>
        <v>256.15700000000004</v>
      </c>
      <c r="AG36" s="1217">
        <f t="shared" si="38"/>
        <v>46.742016302235498</v>
      </c>
      <c r="AH36" s="22">
        <f t="shared" si="39"/>
        <v>22.893618246193135</v>
      </c>
      <c r="AJ36" s="165">
        <f>SUM(AJ30:AJ32)</f>
        <v>314.91800000000001</v>
      </c>
      <c r="AK36" s="1217">
        <f t="shared" si="40"/>
        <v>43.634978038270219</v>
      </c>
      <c r="AL36" s="22">
        <f t="shared" si="41"/>
        <v>22.939447292090385</v>
      </c>
      <c r="AN36" s="165">
        <f>SUM(AN30:AN32)</f>
        <v>397.37099999999998</v>
      </c>
      <c r="AO36" s="1217">
        <f t="shared" si="42"/>
        <v>40.425917203225765</v>
      </c>
      <c r="AP36" s="22">
        <f t="shared" si="43"/>
        <v>26.182371283953266</v>
      </c>
      <c r="AR36" s="1153">
        <f>SUM(AR30:AR32)</f>
        <v>541.43200000000002</v>
      </c>
      <c r="AS36" s="1221">
        <f t="shared" si="44"/>
        <v>41.914190141690071</v>
      </c>
      <c r="AT36" s="316">
        <f t="shared" si="62"/>
        <v>36.253526301617399</v>
      </c>
      <c r="AV36" s="1153">
        <f>SUM(AV30:AV32)</f>
        <v>645.52300000000002</v>
      </c>
      <c r="AW36" s="1221">
        <f t="shared" si="45"/>
        <v>42.094256474328958</v>
      </c>
      <c r="AX36" s="316">
        <f t="shared" si="46"/>
        <v>19.225128917389434</v>
      </c>
      <c r="AY36" s="22"/>
      <c r="AZ36" s="1153">
        <f>SUM(AZ30:AZ32)</f>
        <v>765.71399999999994</v>
      </c>
      <c r="BA36" s="1221">
        <f t="shared" si="47"/>
        <v>39.060524086032586</v>
      </c>
      <c r="BB36" s="316">
        <f t="shared" si="48"/>
        <v>18.619166164489865</v>
      </c>
      <c r="BC36" s="22"/>
      <c r="BD36" s="1153">
        <f>SUM(BD30:BD32)</f>
        <v>915.298</v>
      </c>
      <c r="BE36" s="1221">
        <f t="shared" si="49"/>
        <v>38.149227031535176</v>
      </c>
      <c r="BF36" s="316">
        <f t="shared" si="50"/>
        <v>19.535231169862378</v>
      </c>
      <c r="BG36" s="22"/>
      <c r="BH36" s="1153">
        <f>SUM(BH30:BH32)</f>
        <v>994.66599999999994</v>
      </c>
      <c r="BI36" s="1221">
        <f t="shared" si="51"/>
        <v>40.553523347918478</v>
      </c>
      <c r="BJ36" s="316">
        <f t="shared" si="52"/>
        <v>8.6712742735152837</v>
      </c>
      <c r="BK36" s="22"/>
      <c r="BL36" s="1153">
        <f>SUM(BL30:BL32)</f>
        <v>1083.4859999999999</v>
      </c>
      <c r="BM36" s="1221">
        <f t="shared" si="53"/>
        <v>40.776843722373656</v>
      </c>
      <c r="BN36" s="316">
        <f>(BL36/BI36-1)*100</f>
        <v>2571.7431940611218</v>
      </c>
      <c r="BO36" s="22"/>
      <c r="BP36" s="1153">
        <f>SUM(BP30:BP32)</f>
        <v>1264.4920000000002</v>
      </c>
      <c r="BQ36" s="1221">
        <f t="shared" si="54"/>
        <v>40.440036433041492</v>
      </c>
      <c r="BR36" s="316">
        <f>(BP36/BN36-1)*100</f>
        <v>-50.831327057846686</v>
      </c>
      <c r="BS36" s="22"/>
      <c r="BT36" s="1153">
        <f>SUM(BT30:BT32)</f>
        <v>1447.3019999999999</v>
      </c>
      <c r="BU36" s="1221">
        <f t="shared" si="55"/>
        <v>40.113814094222569</v>
      </c>
      <c r="BV36" s="316">
        <f>(BT36/BR36-1)*100</f>
        <v>-2947.2638504065658</v>
      </c>
      <c r="BW36" s="22"/>
      <c r="BX36" s="1153">
        <f>SUM(BX30:BX32)</f>
        <v>1603.951</v>
      </c>
      <c r="BY36" s="1221">
        <f t="shared" si="56"/>
        <v>41.631846947934207</v>
      </c>
      <c r="BZ36" s="316">
        <f>(BX36/BV36-1)*100</f>
        <v>-154.42169691657367</v>
      </c>
      <c r="CA36" s="22"/>
      <c r="CB36" s="1153">
        <f>SUM(CB30:CB32)</f>
        <v>1570.3049999999998</v>
      </c>
      <c r="CC36" s="1221">
        <f t="shared" si="57"/>
        <v>42.787485592682302</v>
      </c>
      <c r="CD36" s="316">
        <f>(CB36/BZ36-1)*100</f>
        <v>-1116.8940190110443</v>
      </c>
      <c r="CE36" s="22"/>
      <c r="CF36" s="1153">
        <f>SUM(CF30:CF32)</f>
        <v>1563.5</v>
      </c>
      <c r="CG36" s="1221">
        <f t="shared" si="58"/>
        <v>49.050980392156859</v>
      </c>
      <c r="CH36" s="316">
        <f>(CF36/CD36-1)*100</f>
        <v>-239.98642426113125</v>
      </c>
      <c r="CI36" s="22"/>
      <c r="CJ36" s="1153">
        <f>SUM(CJ30:CJ32)</f>
        <v>1667.7000000000003</v>
      </c>
      <c r="CK36" s="1221">
        <f t="shared" si="59"/>
        <v>49.973031283710903</v>
      </c>
      <c r="CL36" s="316">
        <f>(CJ36/CH36-1)*100</f>
        <v>-794.9143082299363</v>
      </c>
      <c r="CM36" s="22"/>
      <c r="CN36" s="1153">
        <f>SUM(CN30:CN32)</f>
        <v>1694.1</v>
      </c>
      <c r="CO36" s="1221">
        <f t="shared" si="60"/>
        <v>50.502310329408253</v>
      </c>
      <c r="CP36" s="316">
        <f>(CN36/CL36-1)*100</f>
        <v>-313.11731119449996</v>
      </c>
      <c r="CQ36" s="316"/>
      <c r="CR36" s="535">
        <f>SUM(CR30:CR32)</f>
        <v>2196.3726035892473</v>
      </c>
      <c r="CS36" s="535">
        <f>CR36/CR16*100</f>
        <v>50.151205859493928</v>
      </c>
      <c r="CT36" s="535">
        <f>(CR36/CP36-1)*100</f>
        <v>-801.45358466779908</v>
      </c>
      <c r="CU36" s="316"/>
    </row>
    <row r="37" spans="1:114" outlineLevel="1" collapsed="1">
      <c r="X37" s="1212"/>
      <c r="Y37" s="1217"/>
      <c r="Z37" s="22"/>
      <c r="AB37" s="165"/>
      <c r="AC37" s="1217"/>
      <c r="AD37" s="22"/>
      <c r="AF37" s="165"/>
      <c r="AG37" s="1217"/>
      <c r="AH37" s="22"/>
      <c r="AJ37" s="165"/>
      <c r="AK37" s="1217"/>
      <c r="AL37" s="22"/>
      <c r="AN37" s="165"/>
      <c r="AO37" s="1217"/>
      <c r="AP37" s="22"/>
      <c r="AR37" s="1153"/>
      <c r="AS37" s="1221"/>
      <c r="AT37" s="316"/>
      <c r="AV37" s="1153"/>
      <c r="AW37" s="1221"/>
      <c r="AX37" s="316"/>
      <c r="AY37" s="22"/>
      <c r="AZ37" s="1153"/>
      <c r="BA37" s="1234"/>
      <c r="BB37" s="316"/>
      <c r="BC37" s="22"/>
      <c r="BD37" s="1153"/>
      <c r="BE37" s="1221"/>
      <c r="BF37" s="316"/>
      <c r="BG37" s="22"/>
      <c r="BH37" s="1235"/>
      <c r="BI37" s="179"/>
      <c r="BJ37" s="316"/>
      <c r="BK37" s="22"/>
      <c r="BL37" s="1153"/>
      <c r="BM37" s="1057"/>
      <c r="BN37" s="316"/>
      <c r="BO37" s="22"/>
      <c r="BP37" s="1153"/>
      <c r="BQ37" s="1221"/>
      <c r="BR37" s="316"/>
      <c r="BS37" s="22"/>
      <c r="BT37" s="1153"/>
      <c r="BU37" s="1221"/>
      <c r="BV37" s="316"/>
      <c r="BW37" s="22"/>
      <c r="BX37" s="1153"/>
      <c r="BY37" s="1221"/>
      <c r="BZ37" s="316"/>
      <c r="CA37" s="22"/>
      <c r="CB37" s="1026"/>
      <c r="CC37" s="1236"/>
      <c r="CD37" s="22"/>
      <c r="CE37" s="22"/>
      <c r="CF37" s="1375"/>
      <c r="CG37" s="1236"/>
      <c r="CH37" s="359"/>
      <c r="CI37" s="22"/>
      <c r="CJ37" s="22"/>
      <c r="CK37" s="1236"/>
      <c r="CL37" s="359"/>
      <c r="CM37" s="22"/>
      <c r="CN37" s="22"/>
      <c r="CO37" s="1236"/>
      <c r="CP37" s="359"/>
      <c r="CQ37" s="359"/>
      <c r="CR37" s="316"/>
      <c r="CS37" s="1883"/>
      <c r="CT37" s="987"/>
      <c r="CU37" s="316"/>
      <c r="DA37" s="3" t="s">
        <v>141</v>
      </c>
      <c r="DB37" s="564">
        <v>300.15219999999999</v>
      </c>
      <c r="DC37" s="221">
        <v>0.79</v>
      </c>
      <c r="DE37" s="89">
        <f>+DB37/$DB$60*DC37</f>
        <v>0.25240991832026649</v>
      </c>
      <c r="DG37" s="221">
        <v>0.36</v>
      </c>
      <c r="DH37" s="89">
        <f>+DB37/$DB$60*DG37</f>
        <v>0.11502224125986825</v>
      </c>
    </row>
    <row r="38" spans="1:114" hidden="1" outlineLevel="2">
      <c r="D38" s="1196"/>
      <c r="E38" s="127"/>
      <c r="F38" s="127"/>
      <c r="G38" s="127"/>
      <c r="H38" s="1196"/>
      <c r="I38" s="127"/>
      <c r="J38" s="127"/>
      <c r="K38" s="127"/>
      <c r="L38" s="1196"/>
      <c r="M38" s="127"/>
      <c r="N38" s="127"/>
      <c r="O38" s="127"/>
      <c r="P38" s="1196"/>
      <c r="Q38" s="127"/>
      <c r="R38" s="127"/>
      <c r="S38" s="127"/>
      <c r="U38" s="127"/>
      <c r="V38" s="127"/>
      <c r="W38" s="127"/>
      <c r="Y38" s="127"/>
      <c r="Z38" s="127"/>
      <c r="AA38" s="127"/>
      <c r="AB38" s="1196" t="s">
        <v>279</v>
      </c>
      <c r="AC38" s="127"/>
      <c r="AD38" s="127"/>
      <c r="AE38" s="127"/>
      <c r="AF38" s="1196"/>
      <c r="AG38" s="127"/>
      <c r="AH38" s="127"/>
      <c r="AI38" s="127"/>
      <c r="AJ38" s="1196"/>
      <c r="AK38" s="127"/>
      <c r="AL38" s="127"/>
      <c r="AM38" s="127"/>
      <c r="AN38" s="1196"/>
      <c r="AO38" s="127"/>
      <c r="AP38" s="127"/>
      <c r="AQ38" s="127"/>
      <c r="AR38" s="1199"/>
      <c r="AS38" s="1197"/>
      <c r="AT38" s="1198"/>
      <c r="AU38" s="127"/>
      <c r="AV38" s="1199"/>
      <c r="AW38" s="1197"/>
      <c r="AX38" s="1198"/>
      <c r="AY38" s="127"/>
      <c r="AZ38" s="1199"/>
      <c r="BA38" s="1197"/>
      <c r="BB38" s="1198"/>
      <c r="BC38" s="127"/>
      <c r="BD38" s="1199"/>
      <c r="BE38" s="1197"/>
      <c r="BF38" s="1198"/>
      <c r="BG38" s="127"/>
      <c r="BH38" s="1199"/>
      <c r="BI38" s="1197"/>
      <c r="BJ38" s="1198"/>
      <c r="BK38" s="127"/>
      <c r="BL38" s="1199"/>
      <c r="BM38" s="1197"/>
      <c r="BN38" s="1198"/>
      <c r="BO38" s="127"/>
      <c r="BP38" s="1199"/>
      <c r="BQ38" s="1197"/>
      <c r="BR38" s="1198"/>
      <c r="BS38" s="127"/>
      <c r="BT38" s="1199"/>
      <c r="BU38" s="1197"/>
      <c r="BV38" s="1198"/>
      <c r="BW38" s="127"/>
      <c r="BX38" s="1199"/>
      <c r="BY38" s="1197"/>
      <c r="BZ38" s="1198"/>
      <c r="CA38" s="127"/>
      <c r="CB38" s="1230"/>
      <c r="CC38" s="127"/>
      <c r="CD38" s="127"/>
      <c r="CE38" s="127"/>
      <c r="CF38" s="127"/>
      <c r="CG38" s="127"/>
      <c r="CH38" s="127"/>
      <c r="CI38" s="127"/>
      <c r="CJ38" s="127"/>
      <c r="CK38" s="127"/>
      <c r="CL38" s="127"/>
      <c r="CM38" s="127"/>
      <c r="CN38" s="127"/>
      <c r="CO38" s="127"/>
      <c r="CP38" s="127"/>
      <c r="CQ38" s="127"/>
      <c r="CR38" s="1197"/>
      <c r="CS38" s="1197"/>
      <c r="CT38" s="1197"/>
      <c r="CU38" s="1197"/>
      <c r="DE38" s="89"/>
    </row>
    <row r="39" spans="1:114" hidden="1" outlineLevel="2">
      <c r="D39" s="1196"/>
      <c r="E39" s="127"/>
      <c r="F39" s="127"/>
      <c r="G39" s="127"/>
      <c r="H39" s="1196"/>
      <c r="I39" s="127"/>
      <c r="J39" s="127"/>
      <c r="K39" s="127"/>
      <c r="L39" s="1196"/>
      <c r="M39" s="127"/>
      <c r="N39" s="127"/>
      <c r="O39" s="127"/>
      <c r="P39" s="1196"/>
      <c r="Q39" s="127"/>
      <c r="R39" s="127"/>
      <c r="S39" s="127"/>
      <c r="U39" s="127"/>
      <c r="V39" s="127"/>
      <c r="W39" s="127"/>
      <c r="X39" s="705"/>
      <c r="Y39" s="1217"/>
      <c r="AB39" s="705"/>
      <c r="AF39" s="705"/>
      <c r="AG39" s="1217"/>
      <c r="AJ39" s="1218"/>
      <c r="AK39" s="1217"/>
      <c r="AN39" s="1218"/>
      <c r="AO39" s="1217"/>
      <c r="AR39" s="1220"/>
      <c r="AS39" s="1221"/>
      <c r="AT39" s="1183"/>
      <c r="AV39" s="1220"/>
      <c r="AW39" s="1221"/>
      <c r="AX39" s="1183"/>
      <c r="AZ39" s="1220"/>
      <c r="BA39" s="1221"/>
      <c r="BB39" s="1183"/>
      <c r="BD39" s="1220"/>
      <c r="BE39" s="1221"/>
      <c r="BF39" s="1183"/>
      <c r="BH39" s="1220"/>
      <c r="BI39" s="1221"/>
      <c r="BJ39" s="1183"/>
      <c r="BL39" s="1220"/>
      <c r="BM39" s="1221"/>
      <c r="BN39" s="1183"/>
      <c r="BP39" s="1220"/>
      <c r="BQ39" s="1221"/>
      <c r="BR39" s="1183"/>
      <c r="BT39" s="1220"/>
      <c r="BU39" s="1221"/>
      <c r="BV39" s="1183"/>
      <c r="BX39" s="1220"/>
      <c r="BY39" s="1221"/>
      <c r="BZ39" s="1183"/>
      <c r="CB39" s="56"/>
      <c r="DE39" s="89"/>
    </row>
    <row r="40" spans="1:114" hidden="1" outlineLevel="2">
      <c r="A40" s="3" t="str">
        <f>$A$10</f>
        <v>1Q</v>
      </c>
      <c r="B40" s="3" t="str">
        <f>$B$10</f>
        <v>Sept</v>
      </c>
      <c r="D40" s="1196"/>
      <c r="E40" s="127"/>
      <c r="F40" s="127"/>
      <c r="G40" s="127"/>
      <c r="H40" s="1196"/>
      <c r="I40" s="127"/>
      <c r="J40" s="127"/>
      <c r="K40" s="127"/>
      <c r="L40" s="1196"/>
      <c r="M40" s="127"/>
      <c r="N40" s="127"/>
      <c r="O40" s="127"/>
      <c r="P40" s="1196"/>
      <c r="Q40" s="127"/>
      <c r="R40" s="127"/>
      <c r="S40" s="127"/>
      <c r="U40" s="127"/>
      <c r="V40" s="127"/>
      <c r="W40" s="127"/>
      <c r="X40" s="1237" t="s">
        <v>175</v>
      </c>
      <c r="Y40" s="1238"/>
      <c r="Z40" s="26"/>
      <c r="AB40" s="1239">
        <v>4.95</v>
      </c>
      <c r="AC40" s="1217">
        <f>AB40/AB10*100</f>
        <v>3.7644016882771205</v>
      </c>
      <c r="AD40" s="26"/>
      <c r="AF40" s="1239">
        <v>0</v>
      </c>
      <c r="AG40" s="1217">
        <f>AF40/AF10*100</f>
        <v>0</v>
      </c>
      <c r="AH40" s="22"/>
      <c r="AJ40" s="1240"/>
      <c r="AK40" s="1241"/>
      <c r="AL40" s="1242"/>
      <c r="AM40" s="1243"/>
      <c r="AN40" s="1240"/>
      <c r="AO40" s="1241"/>
      <c r="AP40" s="1242"/>
      <c r="AQ40" s="1242"/>
      <c r="AR40" s="1240"/>
      <c r="AS40" s="1244"/>
      <c r="AT40" s="1242"/>
      <c r="AU40" s="1242"/>
      <c r="AV40" s="1065"/>
      <c r="AW40" s="1221"/>
      <c r="AX40" s="22"/>
      <c r="AY40" s="1245"/>
      <c r="AZ40" s="1065"/>
      <c r="BA40" s="1221"/>
      <c r="BB40" s="22"/>
      <c r="BC40" s="1245"/>
      <c r="BD40" s="1065"/>
      <c r="BE40" s="1221"/>
      <c r="BF40" s="22"/>
      <c r="BG40" s="1245"/>
      <c r="BH40" s="1065"/>
      <c r="BI40" s="1221"/>
      <c r="BJ40" s="22"/>
      <c r="BK40" s="1245"/>
      <c r="BL40" s="1065"/>
      <c r="BM40" s="1221"/>
      <c r="BN40" s="22"/>
      <c r="BO40" s="1245"/>
      <c r="BP40" s="1065"/>
      <c r="BQ40" s="1221"/>
      <c r="BR40" s="22"/>
      <c r="BS40" s="1245"/>
      <c r="BT40" s="1065"/>
      <c r="BU40" s="1221"/>
      <c r="BV40" s="22"/>
      <c r="BW40" s="1245"/>
      <c r="BX40" s="1065"/>
      <c r="BY40" s="1221"/>
      <c r="BZ40" s="22"/>
      <c r="CA40" s="1245"/>
      <c r="CB40" s="1246"/>
      <c r="CC40" s="1245"/>
      <c r="CD40" s="1245"/>
      <c r="CE40" s="1245"/>
      <c r="CF40" s="1245"/>
      <c r="CG40" s="1245"/>
      <c r="CH40" s="1245"/>
      <c r="CI40" s="1245"/>
      <c r="CJ40" s="1245"/>
      <c r="CK40" s="1245"/>
      <c r="CL40" s="1245"/>
      <c r="CM40" s="1245"/>
      <c r="CN40" s="1245"/>
      <c r="CO40" s="1245"/>
      <c r="CP40" s="1245"/>
      <c r="CQ40" s="1245"/>
      <c r="CR40" s="1247"/>
      <c r="CS40" s="1247"/>
      <c r="CT40" s="1247"/>
      <c r="CU40" s="1247"/>
      <c r="DE40" s="89"/>
    </row>
    <row r="41" spans="1:114" hidden="1" outlineLevel="2">
      <c r="A41" s="3" t="str">
        <f>$A$11</f>
        <v>2Q</v>
      </c>
      <c r="B41" s="3" t="str">
        <f>$B$11</f>
        <v>Dec</v>
      </c>
      <c r="D41" s="1196"/>
      <c r="E41" s="127"/>
      <c r="F41" s="127"/>
      <c r="G41" s="127"/>
      <c r="H41" s="1196"/>
      <c r="I41" s="127"/>
      <c r="J41" s="127"/>
      <c r="K41" s="127"/>
      <c r="L41" s="1196"/>
      <c r="M41" s="127"/>
      <c r="N41" s="127"/>
      <c r="O41" s="127"/>
      <c r="P41" s="1196"/>
      <c r="Q41" s="127"/>
      <c r="R41" s="127"/>
      <c r="S41" s="127"/>
      <c r="U41" s="127"/>
      <c r="V41" s="127"/>
      <c r="W41" s="127"/>
      <c r="X41" s="1248"/>
      <c r="Y41" s="1238"/>
      <c r="Z41" s="26"/>
      <c r="AB41" s="1117">
        <v>0</v>
      </c>
      <c r="AC41" s="1217">
        <f t="shared" ref="AC41:AC46" si="63">AB41/AB11*100</f>
        <v>0</v>
      </c>
      <c r="AD41" s="26"/>
      <c r="AF41" s="1117">
        <v>0</v>
      </c>
      <c r="AG41" s="1217">
        <f t="shared" ref="AG41:AG46" si="64">AF41/AF11*100</f>
        <v>0</v>
      </c>
      <c r="AH41" s="22"/>
      <c r="AJ41" s="1249"/>
      <c r="AK41" s="1241"/>
      <c r="AL41" s="1242"/>
      <c r="AM41" s="1243"/>
      <c r="AN41" s="1249"/>
      <c r="AO41" s="1241"/>
      <c r="AP41" s="1242"/>
      <c r="AQ41" s="1242"/>
      <c r="AR41" s="1249"/>
      <c r="AS41" s="1244"/>
      <c r="AT41" s="1242"/>
      <c r="AU41" s="1242"/>
      <c r="AV41" s="981"/>
      <c r="AW41" s="1221"/>
      <c r="AX41" s="22"/>
      <c r="AY41" s="1245"/>
      <c r="AZ41" s="981"/>
      <c r="BA41" s="1221"/>
      <c r="BB41" s="22"/>
      <c r="BC41" s="1245"/>
      <c r="BD41" s="981"/>
      <c r="BE41" s="1221"/>
      <c r="BF41" s="22"/>
      <c r="BG41" s="1245"/>
      <c r="BH41" s="981"/>
      <c r="BI41" s="1221"/>
      <c r="BJ41" s="22"/>
      <c r="BK41" s="1245"/>
      <c r="BL41" s="981"/>
      <c r="BM41" s="1221"/>
      <c r="BN41" s="22"/>
      <c r="BO41" s="1245"/>
      <c r="BP41" s="981"/>
      <c r="BQ41" s="1221"/>
      <c r="BR41" s="22"/>
      <c r="BS41" s="1245"/>
      <c r="BT41" s="981"/>
      <c r="BU41" s="1221"/>
      <c r="BV41" s="22"/>
      <c r="BW41" s="1245"/>
      <c r="BX41" s="981"/>
      <c r="BY41" s="1221"/>
      <c r="BZ41" s="22"/>
      <c r="CA41" s="1245"/>
      <c r="CB41" s="1246"/>
      <c r="CC41" s="1245"/>
      <c r="CD41" s="1245"/>
      <c r="CE41" s="1245"/>
      <c r="CF41" s="1245"/>
      <c r="CG41" s="1245"/>
      <c r="CH41" s="1245"/>
      <c r="CI41" s="1245"/>
      <c r="CJ41" s="1245"/>
      <c r="CK41" s="1245"/>
      <c r="CL41" s="1245"/>
      <c r="CM41" s="1245"/>
      <c r="CN41" s="1245"/>
      <c r="CO41" s="1245"/>
      <c r="CP41" s="1245"/>
      <c r="CQ41" s="1245"/>
      <c r="CR41" s="1247"/>
      <c r="CS41" s="1247"/>
      <c r="CT41" s="1247"/>
      <c r="CU41" s="1247"/>
      <c r="DE41" s="89"/>
    </row>
    <row r="42" spans="1:114" hidden="1" outlineLevel="2">
      <c r="A42" s="3" t="str">
        <f>$A$12</f>
        <v>3Q</v>
      </c>
      <c r="B42" s="3" t="str">
        <f>$B$12</f>
        <v>Mar</v>
      </c>
      <c r="D42" s="1196"/>
      <c r="E42" s="127"/>
      <c r="F42" s="127"/>
      <c r="G42" s="127"/>
      <c r="H42" s="1196"/>
      <c r="I42" s="127"/>
      <c r="J42" s="127"/>
      <c r="K42" s="127"/>
      <c r="L42" s="1196"/>
      <c r="M42" s="127"/>
      <c r="N42" s="127"/>
      <c r="O42" s="127"/>
      <c r="P42" s="1196"/>
      <c r="Q42" s="127"/>
      <c r="R42" s="127"/>
      <c r="S42" s="127"/>
      <c r="U42" s="127"/>
      <c r="V42" s="127"/>
      <c r="W42" s="127"/>
      <c r="X42" s="1248"/>
      <c r="Y42" s="1238"/>
      <c r="Z42" s="26"/>
      <c r="AB42" s="1022">
        <v>-0.36299999999999999</v>
      </c>
      <c r="AC42" s="1217">
        <f t="shared" si="63"/>
        <v>-0.28875065625149143</v>
      </c>
      <c r="AD42" s="26"/>
      <c r="AF42" s="1117">
        <v>4.4669999999999996</v>
      </c>
      <c r="AG42" s="1217">
        <f t="shared" si="64"/>
        <v>2.7647288189093335</v>
      </c>
      <c r="AH42" s="1250"/>
      <c r="AJ42" s="1249"/>
      <c r="AK42" s="1241"/>
      <c r="AL42" s="1242"/>
      <c r="AM42" s="1243"/>
      <c r="AN42" s="1249"/>
      <c r="AO42" s="1241"/>
      <c r="AP42" s="1242"/>
      <c r="AQ42" s="1242"/>
      <c r="AR42" s="1249"/>
      <c r="AS42" s="1244"/>
      <c r="AT42" s="1242"/>
      <c r="AU42" s="1242"/>
      <c r="AV42" s="981"/>
      <c r="AW42" s="1221"/>
      <c r="AX42" s="22"/>
      <c r="AY42" s="1245"/>
      <c r="AZ42" s="981"/>
      <c r="BA42" s="1221"/>
      <c r="BB42" s="22"/>
      <c r="BC42" s="1245"/>
      <c r="BD42" s="981"/>
      <c r="BE42" s="1221"/>
      <c r="BF42" s="22"/>
      <c r="BG42" s="1245"/>
      <c r="BH42" s="981"/>
      <c r="BI42" s="1221"/>
      <c r="BJ42" s="22"/>
      <c r="BK42" s="1245"/>
      <c r="BL42" s="981"/>
      <c r="BM42" s="1221"/>
      <c r="BN42" s="22"/>
      <c r="BO42" s="1245"/>
      <c r="BP42" s="981"/>
      <c r="BQ42" s="1221"/>
      <c r="BR42" s="22"/>
      <c r="BS42" s="1245"/>
      <c r="BT42" s="981"/>
      <c r="BU42" s="1221"/>
      <c r="BV42" s="22"/>
      <c r="BW42" s="1245"/>
      <c r="BX42" s="981"/>
      <c r="BY42" s="1221"/>
      <c r="BZ42" s="22"/>
      <c r="CA42" s="1245"/>
      <c r="CB42" s="1246"/>
      <c r="CC42" s="1245"/>
      <c r="CD42" s="1245"/>
      <c r="CE42" s="1245"/>
      <c r="CF42" s="1245"/>
      <c r="CG42" s="1245"/>
      <c r="CH42" s="1245"/>
      <c r="CI42" s="1245"/>
      <c r="CJ42" s="1245"/>
      <c r="CK42" s="1245"/>
      <c r="CL42" s="1245"/>
      <c r="CM42" s="1245"/>
      <c r="CN42" s="1245"/>
      <c r="CO42" s="1245"/>
      <c r="CP42" s="1245"/>
      <c r="CQ42" s="1245"/>
      <c r="CR42" s="1247"/>
      <c r="CS42" s="1247"/>
      <c r="CT42" s="1247"/>
      <c r="CU42" s="1247"/>
      <c r="DE42" s="89"/>
    </row>
    <row r="43" spans="1:114" hidden="1" outlineLevel="2">
      <c r="A43" s="3" t="str">
        <f>$A$13</f>
        <v>4Q</v>
      </c>
      <c r="B43" s="3" t="str">
        <f>$B$13</f>
        <v>June</v>
      </c>
      <c r="D43" s="1196"/>
      <c r="E43" s="127"/>
      <c r="F43" s="127"/>
      <c r="G43" s="127"/>
      <c r="H43" s="1196"/>
      <c r="I43" s="127"/>
      <c r="J43" s="127"/>
      <c r="K43" s="127"/>
      <c r="L43" s="1196"/>
      <c r="M43" s="127"/>
      <c r="N43" s="127"/>
      <c r="O43" s="127"/>
      <c r="P43" s="1196"/>
      <c r="Q43" s="127"/>
      <c r="R43" s="127"/>
      <c r="S43" s="127"/>
      <c r="T43" s="54"/>
      <c r="U43" s="127"/>
      <c r="V43" s="127"/>
      <c r="W43" s="127"/>
      <c r="X43" s="1207"/>
      <c r="Y43" s="1238"/>
      <c r="Z43" s="26"/>
      <c r="AB43" s="1024">
        <v>-1.7999999999999999E-2</v>
      </c>
      <c r="AC43" s="1217">
        <f t="shared" si="63"/>
        <v>-1.3610174361455986E-2</v>
      </c>
      <c r="AD43" s="26"/>
      <c r="AF43" s="1024">
        <v>-1.0940000000000001</v>
      </c>
      <c r="AG43" s="1217">
        <f t="shared" si="64"/>
        <v>-0.63834753180067694</v>
      </c>
      <c r="AH43" s="22"/>
      <c r="AJ43" s="1251"/>
      <c r="AK43" s="1241"/>
      <c r="AL43" s="1242"/>
      <c r="AM43" s="1243"/>
      <c r="AN43" s="1251"/>
      <c r="AO43" s="1241"/>
      <c r="AP43" s="1242"/>
      <c r="AQ43" s="1242"/>
      <c r="AR43" s="1251"/>
      <c r="AS43" s="1244"/>
      <c r="AT43" s="1242"/>
      <c r="AU43" s="1242"/>
      <c r="AV43" s="1026"/>
      <c r="AW43" s="1221"/>
      <c r="AX43" s="22"/>
      <c r="AY43" s="1245"/>
      <c r="AZ43" s="1026"/>
      <c r="BA43" s="1221"/>
      <c r="BB43" s="22"/>
      <c r="BC43" s="1245"/>
      <c r="BD43" s="1026"/>
      <c r="BE43" s="1221"/>
      <c r="BF43" s="22"/>
      <c r="BG43" s="1245"/>
      <c r="BH43" s="1026"/>
      <c r="BI43" s="1221"/>
      <c r="BJ43" s="22"/>
      <c r="BK43" s="1245"/>
      <c r="BL43" s="1026"/>
      <c r="BM43" s="1221"/>
      <c r="BN43" s="22"/>
      <c r="BO43" s="1245"/>
      <c r="BP43" s="1026"/>
      <c r="BQ43" s="1221"/>
      <c r="BR43" s="22"/>
      <c r="BS43" s="1245"/>
      <c r="BT43" s="1026"/>
      <c r="BU43" s="1221"/>
      <c r="BV43" s="22"/>
      <c r="BW43" s="1245"/>
      <c r="BX43" s="1026"/>
      <c r="BY43" s="1221"/>
      <c r="BZ43" s="22"/>
      <c r="CA43" s="1245"/>
      <c r="CB43" s="1246"/>
      <c r="CC43" s="1245"/>
      <c r="CD43" s="1245"/>
      <c r="CE43" s="1245"/>
      <c r="CF43" s="1245"/>
      <c r="CG43" s="1245"/>
      <c r="CH43" s="1245"/>
      <c r="CI43" s="1245"/>
      <c r="CJ43" s="1245"/>
      <c r="CK43" s="1245"/>
      <c r="CL43" s="1245"/>
      <c r="CM43" s="1245"/>
      <c r="CN43" s="1245"/>
      <c r="CO43" s="1245"/>
      <c r="CP43" s="1245"/>
      <c r="CQ43" s="1245"/>
      <c r="CR43" s="1247"/>
      <c r="CS43" s="1247"/>
      <c r="CT43" s="1247"/>
      <c r="CU43" s="1247"/>
      <c r="DE43" s="89"/>
    </row>
    <row r="44" spans="1:114" hidden="1" outlineLevel="2">
      <c r="B44" s="3" t="str">
        <f>$B$14</f>
        <v>Year</v>
      </c>
      <c r="D44" s="1196"/>
      <c r="E44" s="127"/>
      <c r="F44" s="127"/>
      <c r="G44" s="127"/>
      <c r="H44" s="1196"/>
      <c r="I44" s="127"/>
      <c r="J44" s="127"/>
      <c r="K44" s="127"/>
      <c r="L44" s="1196"/>
      <c r="M44" s="127"/>
      <c r="N44" s="127"/>
      <c r="O44" s="127"/>
      <c r="P44" s="1196"/>
      <c r="Q44" s="127"/>
      <c r="R44" s="127"/>
      <c r="S44" s="127"/>
      <c r="T44" s="1025">
        <v>7.1079999999999997</v>
      </c>
      <c r="U44" s="127"/>
      <c r="V44" s="127"/>
      <c r="W44" s="127"/>
      <c r="X44" s="1252"/>
      <c r="Y44" s="1238"/>
      <c r="Z44" s="26"/>
      <c r="AB44" s="705">
        <f>SUM(AB40:AB43)</f>
        <v>4.569</v>
      </c>
      <c r="AC44" s="1217">
        <f t="shared" si="63"/>
        <v>0.76087734870297807</v>
      </c>
      <c r="AD44" s="26"/>
      <c r="AF44" s="705">
        <f>SUM(AF40:AF43)</f>
        <v>3.3729999999999993</v>
      </c>
      <c r="AG44" s="1217">
        <f t="shared" si="64"/>
        <v>0.46886098612321592</v>
      </c>
      <c r="AH44" s="22"/>
      <c r="AJ44" s="705"/>
      <c r="AK44" s="1217"/>
      <c r="AL44" s="1245"/>
      <c r="AN44" s="705"/>
      <c r="AO44" s="1217"/>
      <c r="AP44" s="22"/>
      <c r="AQ44" s="1245"/>
      <c r="AR44" s="1065"/>
      <c r="AS44" s="1221"/>
      <c r="AT44" s="22"/>
      <c r="AU44" s="1245"/>
      <c r="AV44" s="1065"/>
      <c r="AW44" s="1221"/>
      <c r="AX44" s="22"/>
      <c r="AY44" s="1245"/>
      <c r="AZ44" s="1065"/>
      <c r="BA44" s="1221"/>
      <c r="BB44" s="22"/>
      <c r="BC44" s="1245"/>
      <c r="BD44" s="1065"/>
      <c r="BE44" s="1221"/>
      <c r="BF44" s="22"/>
      <c r="BG44" s="1245"/>
      <c r="BH44" s="1065"/>
      <c r="BI44" s="1221"/>
      <c r="BJ44" s="22"/>
      <c r="BK44" s="1245"/>
      <c r="BL44" s="1065"/>
      <c r="BM44" s="1221"/>
      <c r="BN44" s="22"/>
      <c r="BO44" s="1245"/>
      <c r="BP44" s="1065"/>
      <c r="BQ44" s="1221"/>
      <c r="BR44" s="22"/>
      <c r="BS44" s="1245"/>
      <c r="BT44" s="1065"/>
      <c r="BU44" s="1221"/>
      <c r="BV44" s="22"/>
      <c r="BW44" s="1245"/>
      <c r="BX44" s="1065"/>
      <c r="BY44" s="1221"/>
      <c r="BZ44" s="22"/>
      <c r="CA44" s="1245"/>
      <c r="CB44" s="1246"/>
      <c r="CC44" s="1245"/>
      <c r="CD44" s="1245"/>
      <c r="CE44" s="1245"/>
      <c r="CF44" s="1245"/>
      <c r="CG44" s="1245"/>
      <c r="CH44" s="1245"/>
      <c r="CI44" s="1245"/>
      <c r="CJ44" s="1245"/>
      <c r="CK44" s="1245"/>
      <c r="CL44" s="1245"/>
      <c r="CM44" s="1245"/>
      <c r="CN44" s="1245"/>
      <c r="CO44" s="1245"/>
      <c r="CP44" s="1245"/>
      <c r="CQ44" s="1245"/>
      <c r="CR44" s="1247"/>
      <c r="CS44" s="1247"/>
      <c r="CT44" s="1247"/>
      <c r="CU44" s="1247"/>
      <c r="DE44" s="89"/>
    </row>
    <row r="45" spans="1:114" hidden="1" outlineLevel="2">
      <c r="A45" s="3" t="str">
        <f>$A$15</f>
        <v>6 Mos</v>
      </c>
      <c r="D45" s="1196"/>
      <c r="E45" s="127"/>
      <c r="F45" s="127"/>
      <c r="G45" s="127"/>
      <c r="H45" s="1196"/>
      <c r="I45" s="127"/>
      <c r="J45" s="127"/>
      <c r="K45" s="127"/>
      <c r="L45" s="1196"/>
      <c r="M45" s="127"/>
      <c r="N45" s="127"/>
      <c r="O45" s="127"/>
      <c r="P45" s="1196"/>
      <c r="Q45" s="127"/>
      <c r="R45" s="127"/>
      <c r="S45" s="127"/>
      <c r="U45" s="127"/>
      <c r="V45" s="127"/>
      <c r="W45" s="127"/>
      <c r="X45" s="1253"/>
      <c r="Y45" s="1238"/>
      <c r="Z45" s="26"/>
      <c r="AB45" s="165">
        <f>SUM(AB40:AB41)</f>
        <v>4.95</v>
      </c>
      <c r="AC45" s="1217">
        <f t="shared" si="63"/>
        <v>1.4451584273172895</v>
      </c>
      <c r="AD45" s="26"/>
      <c r="AF45" s="165">
        <f>SUM(AF40:AF41)</f>
        <v>0</v>
      </c>
      <c r="AG45" s="1217">
        <f t="shared" si="64"/>
        <v>0</v>
      </c>
      <c r="AH45" s="22"/>
      <c r="AJ45" s="165"/>
      <c r="AK45" s="1217"/>
      <c r="AL45" s="1245"/>
      <c r="AN45" s="165"/>
      <c r="AO45" s="1217"/>
      <c r="AP45" s="22"/>
      <c r="AQ45" s="1245"/>
      <c r="AR45" s="1153"/>
      <c r="AS45" s="1221"/>
      <c r="AT45" s="316"/>
      <c r="AU45" s="1245"/>
      <c r="AV45" s="1153"/>
      <c r="AW45" s="1221"/>
      <c r="AX45" s="316"/>
      <c r="AY45" s="1245"/>
      <c r="AZ45" s="1153"/>
      <c r="BA45" s="1221"/>
      <c r="BB45" s="316"/>
      <c r="BC45" s="1245"/>
      <c r="BD45" s="1153"/>
      <c r="BE45" s="1221"/>
      <c r="BF45" s="316"/>
      <c r="BG45" s="1245"/>
      <c r="BH45" s="1153"/>
      <c r="BI45" s="1221"/>
      <c r="BJ45" s="316"/>
      <c r="BK45" s="1245"/>
      <c r="BL45" s="1153"/>
      <c r="BM45" s="1221"/>
      <c r="BN45" s="316"/>
      <c r="BO45" s="1245"/>
      <c r="BP45" s="1153"/>
      <c r="BQ45" s="1221"/>
      <c r="BR45" s="316"/>
      <c r="BS45" s="1245"/>
      <c r="BT45" s="1153"/>
      <c r="BU45" s="1221"/>
      <c r="BV45" s="316"/>
      <c r="BW45" s="1245"/>
      <c r="BX45" s="1153"/>
      <c r="BY45" s="1221"/>
      <c r="BZ45" s="316"/>
      <c r="CA45" s="1245"/>
      <c r="CB45" s="1246"/>
      <c r="CC45" s="1245"/>
      <c r="CD45" s="1245"/>
      <c r="CE45" s="1245"/>
      <c r="CF45" s="1245"/>
      <c r="CG45" s="1245"/>
      <c r="CH45" s="1245"/>
      <c r="CI45" s="1245"/>
      <c r="CJ45" s="1245"/>
      <c r="CK45" s="1245"/>
      <c r="CL45" s="1245"/>
      <c r="CM45" s="1245"/>
      <c r="CN45" s="1245"/>
      <c r="CO45" s="1245"/>
      <c r="CP45" s="1245"/>
      <c r="CQ45" s="1245"/>
      <c r="CR45" s="1247"/>
      <c r="CS45" s="1247"/>
      <c r="CT45" s="1247"/>
      <c r="CU45" s="1247"/>
      <c r="DE45" s="89"/>
    </row>
    <row r="46" spans="1:114" hidden="1" outlineLevel="2">
      <c r="A46" s="3" t="str">
        <f>$A$16</f>
        <v>9 Mos</v>
      </c>
      <c r="D46" s="1196"/>
      <c r="E46" s="127"/>
      <c r="F46" s="127"/>
      <c r="G46" s="127"/>
      <c r="H46" s="1196"/>
      <c r="I46" s="127"/>
      <c r="J46" s="127"/>
      <c r="K46" s="127"/>
      <c r="L46" s="1196"/>
      <c r="M46" s="127"/>
      <c r="N46" s="127"/>
      <c r="O46" s="127"/>
      <c r="P46" s="1196"/>
      <c r="Q46" s="127"/>
      <c r="R46" s="127"/>
      <c r="S46" s="127"/>
      <c r="U46" s="127"/>
      <c r="V46" s="127"/>
      <c r="W46" s="127"/>
      <c r="X46" s="1253"/>
      <c r="Y46" s="1238"/>
      <c r="Z46" s="26"/>
      <c r="AB46" s="165">
        <f>SUM(AB40:AB42)</f>
        <v>4.5869999999999997</v>
      </c>
      <c r="AC46" s="1217">
        <f t="shared" si="63"/>
        <v>0.97963210938050593</v>
      </c>
      <c r="AD46" s="26"/>
      <c r="AF46" s="165">
        <f>SUM(AF40:AF42)</f>
        <v>4.4669999999999996</v>
      </c>
      <c r="AG46" s="1217">
        <f t="shared" si="64"/>
        <v>0.81511177450581451</v>
      </c>
      <c r="AH46" s="22"/>
      <c r="AJ46" s="165"/>
      <c r="AK46" s="1217"/>
      <c r="AL46" s="1245"/>
      <c r="AN46" s="165"/>
      <c r="AO46" s="1217"/>
      <c r="AP46" s="22"/>
      <c r="AQ46" s="1245"/>
      <c r="AR46" s="1153"/>
      <c r="AS46" s="1221"/>
      <c r="AT46" s="316"/>
      <c r="AU46" s="1245"/>
      <c r="AV46" s="1153"/>
      <c r="AW46" s="1221"/>
      <c r="AX46" s="316"/>
      <c r="AY46" s="1245"/>
      <c r="AZ46" s="1153"/>
      <c r="BA46" s="1221"/>
      <c r="BB46" s="316"/>
      <c r="BC46" s="1245"/>
      <c r="BD46" s="1153"/>
      <c r="BE46" s="1221"/>
      <c r="BF46" s="316"/>
      <c r="BG46" s="1245"/>
      <c r="BH46" s="1153"/>
      <c r="BI46" s="1221"/>
      <c r="BJ46" s="316"/>
      <c r="BK46" s="1245"/>
      <c r="BL46" s="1153"/>
      <c r="BM46" s="1221"/>
      <c r="BN46" s="316"/>
      <c r="BO46" s="1245"/>
      <c r="BP46" s="1153"/>
      <c r="BQ46" s="1221"/>
      <c r="BR46" s="316"/>
      <c r="BS46" s="1245"/>
      <c r="BT46" s="1153"/>
      <c r="BU46" s="1221"/>
      <c r="BV46" s="316"/>
      <c r="BW46" s="1245"/>
      <c r="BX46" s="1153"/>
      <c r="BY46" s="1221"/>
      <c r="BZ46" s="316"/>
      <c r="CA46" s="1245"/>
      <c r="CB46" s="1246"/>
      <c r="CC46" s="1245"/>
      <c r="CD46" s="1245"/>
      <c r="CE46" s="1245"/>
      <c r="CF46" s="1245"/>
      <c r="CG46" s="1245"/>
      <c r="CH46" s="1245"/>
      <c r="CI46" s="1245"/>
      <c r="CJ46" s="1245"/>
      <c r="CK46" s="1245"/>
      <c r="CL46" s="1245"/>
      <c r="CM46" s="1245"/>
      <c r="CN46" s="1245"/>
      <c r="CO46" s="1245"/>
      <c r="CP46" s="1245"/>
      <c r="CQ46" s="1245"/>
      <c r="CR46" s="1247"/>
      <c r="CS46" s="1247"/>
      <c r="CT46" s="1247"/>
      <c r="CU46" s="1247"/>
      <c r="DE46" s="89"/>
    </row>
    <row r="47" spans="1:114" hidden="1" outlineLevel="2">
      <c r="D47" s="1196"/>
      <c r="E47" s="127"/>
      <c r="F47" s="127"/>
      <c r="G47" s="127"/>
      <c r="H47" s="1196"/>
      <c r="I47" s="127"/>
      <c r="J47" s="127"/>
      <c r="K47" s="127"/>
      <c r="L47" s="1196"/>
      <c r="M47" s="127"/>
      <c r="N47" s="127"/>
      <c r="O47" s="127"/>
      <c r="P47" s="1196"/>
      <c r="Q47" s="127"/>
      <c r="R47" s="127"/>
      <c r="S47" s="127"/>
      <c r="U47" s="127"/>
      <c r="V47" s="127"/>
      <c r="W47" s="127"/>
      <c r="AO47" s="1226"/>
      <c r="AR47" s="61"/>
      <c r="AS47" s="1227"/>
      <c r="AT47" s="1183"/>
      <c r="AV47" s="61"/>
      <c r="AW47" s="61"/>
      <c r="AX47" s="1183"/>
      <c r="AZ47" s="61"/>
      <c r="BA47" s="61"/>
      <c r="BB47" s="1183"/>
      <c r="BD47" s="61"/>
      <c r="BE47" s="61"/>
      <c r="BF47" s="1183"/>
      <c r="BH47" s="61"/>
      <c r="BI47" s="61"/>
      <c r="BJ47" s="1183"/>
      <c r="BL47" s="61"/>
      <c r="BM47" s="61"/>
      <c r="BN47" s="1183"/>
      <c r="BP47" s="61"/>
      <c r="BQ47" s="61"/>
      <c r="BR47" s="1183"/>
      <c r="BT47" s="61"/>
      <c r="BU47" s="61"/>
      <c r="BV47" s="1183"/>
      <c r="BX47" s="61"/>
      <c r="BY47" s="61"/>
      <c r="BZ47" s="1183"/>
      <c r="CB47" s="56"/>
      <c r="DE47" s="89"/>
    </row>
    <row r="48" spans="1:114" hidden="1" outlineLevel="2" collapsed="1">
      <c r="T48" s="705"/>
      <c r="Y48" s="127"/>
      <c r="Z48" s="127"/>
      <c r="AA48" s="127"/>
      <c r="AB48" s="1196" t="s">
        <v>280</v>
      </c>
      <c r="AC48" s="127"/>
      <c r="AD48" s="127"/>
      <c r="AE48" s="127"/>
      <c r="AF48" s="1196"/>
      <c r="AG48" s="127"/>
      <c r="AH48" s="127"/>
      <c r="AI48" s="127"/>
      <c r="AJ48" s="1196"/>
      <c r="AK48" s="127"/>
      <c r="AL48" s="127"/>
      <c r="AM48" s="127"/>
      <c r="AN48" s="1196"/>
      <c r="AO48" s="127"/>
      <c r="AP48" s="127"/>
      <c r="AQ48" s="127"/>
      <c r="AR48" s="1199"/>
      <c r="AS48" s="1197"/>
      <c r="AT48" s="1198"/>
      <c r="AU48" s="127"/>
      <c r="AV48" s="1199"/>
      <c r="AW48" s="1197"/>
      <c r="AX48" s="1198"/>
      <c r="AY48" s="127"/>
      <c r="AZ48" s="1199"/>
      <c r="BA48" s="1197"/>
      <c r="BB48" s="1198"/>
      <c r="BC48" s="127"/>
      <c r="BD48" s="1199"/>
      <c r="BE48" s="1197"/>
      <c r="BF48" s="1198"/>
      <c r="BG48" s="127"/>
      <c r="BH48" s="1199"/>
      <c r="BI48" s="1197"/>
      <c r="BJ48" s="1198"/>
      <c r="BK48" s="127"/>
      <c r="BL48" s="1199"/>
      <c r="BM48" s="1197"/>
      <c r="BN48" s="1198"/>
      <c r="BO48" s="127"/>
      <c r="BP48" s="1199"/>
      <c r="BQ48" s="1197"/>
      <c r="BR48" s="1198"/>
      <c r="BS48" s="127"/>
      <c r="BT48" s="1199"/>
      <c r="BU48" s="1197"/>
      <c r="BV48" s="1198"/>
      <c r="BW48" s="127"/>
      <c r="BX48" s="1199"/>
      <c r="BY48" s="1197"/>
      <c r="BZ48" s="1198"/>
      <c r="CA48" s="127"/>
      <c r="CB48" s="1230"/>
      <c r="CC48" s="127"/>
      <c r="CD48" s="127"/>
      <c r="CE48" s="127"/>
      <c r="CF48" s="127"/>
      <c r="CG48" s="127"/>
      <c r="CH48" s="127"/>
      <c r="CI48" s="127"/>
      <c r="CJ48" s="127"/>
      <c r="CK48" s="127"/>
      <c r="CL48" s="127"/>
      <c r="CM48" s="127"/>
      <c r="CN48" s="127"/>
      <c r="CO48" s="127"/>
      <c r="CP48" s="127"/>
      <c r="CQ48" s="127"/>
      <c r="CR48" s="1197"/>
      <c r="CS48" s="1197"/>
      <c r="CT48" s="1197"/>
      <c r="CU48" s="1197"/>
      <c r="DE48" s="89"/>
    </row>
    <row r="49" spans="1:115" hidden="1" outlineLevel="2">
      <c r="T49" s="705"/>
      <c r="X49" s="705"/>
      <c r="Y49" s="1217"/>
      <c r="AB49" s="705"/>
      <c r="AF49" s="705"/>
      <c r="AG49" s="1217"/>
      <c r="AJ49" s="1218"/>
      <c r="AK49" s="1217"/>
      <c r="AN49" s="1218"/>
      <c r="AO49" s="1217"/>
      <c r="AR49" s="1220"/>
      <c r="AS49" s="1221"/>
      <c r="AT49" s="1183"/>
      <c r="AV49" s="1220"/>
      <c r="AW49" s="1221"/>
      <c r="AX49" s="1183"/>
      <c r="AZ49" s="1220"/>
      <c r="BA49" s="1221"/>
      <c r="BB49" s="1183"/>
      <c r="BD49" s="1220"/>
      <c r="BE49" s="1221"/>
      <c r="BF49" s="1183"/>
      <c r="BH49" s="1220"/>
      <c r="BI49" s="1221"/>
      <c r="BJ49" s="1183"/>
      <c r="BL49" s="1220"/>
      <c r="BM49" s="1221"/>
      <c r="BN49" s="1183"/>
      <c r="BP49" s="1220"/>
      <c r="BQ49" s="1221"/>
      <c r="BR49" s="1183"/>
      <c r="BT49" s="1220"/>
      <c r="BU49" s="1221"/>
      <c r="BV49" s="1183"/>
      <c r="BX49" s="1220"/>
      <c r="BY49" s="1221"/>
      <c r="BZ49" s="1183"/>
      <c r="CB49" s="56"/>
      <c r="DE49" s="89"/>
    </row>
    <row r="50" spans="1:115" hidden="1" outlineLevel="2">
      <c r="A50" s="3" t="str">
        <f>$A$10</f>
        <v>1Q</v>
      </c>
      <c r="B50" s="3" t="str">
        <f>$B$10</f>
        <v>Sept</v>
      </c>
      <c r="D50" s="1237"/>
      <c r="E50" s="1238"/>
      <c r="F50" s="26"/>
      <c r="G50" s="56"/>
      <c r="H50" s="1237"/>
      <c r="I50" s="1238"/>
      <c r="J50" s="26"/>
      <c r="K50" s="56"/>
      <c r="L50" s="1237"/>
      <c r="M50" s="1238"/>
      <c r="N50" s="26"/>
      <c r="O50" s="56"/>
      <c r="P50" s="1237"/>
      <c r="Q50" s="1238"/>
      <c r="R50" s="26"/>
      <c r="S50" s="1254"/>
      <c r="T50" s="1237"/>
      <c r="U50" s="1238"/>
      <c r="V50" s="26"/>
      <c r="X50" s="1237"/>
      <c r="Y50" s="1238"/>
      <c r="Z50" s="26"/>
      <c r="AB50" s="1239"/>
      <c r="AC50" s="1238"/>
      <c r="AD50" s="26"/>
      <c r="AF50" s="1239"/>
      <c r="AG50" s="1238"/>
      <c r="AH50" s="26"/>
      <c r="AJ50" s="1240">
        <f>AJ54/4</f>
        <v>6.3282221941007579</v>
      </c>
      <c r="AK50" s="1241">
        <f t="shared" ref="AK50:AK56" si="65">AJ50/AJ20*100</f>
        <v>10.278594367275907</v>
      </c>
      <c r="AL50" s="1242" t="s">
        <v>165</v>
      </c>
      <c r="AM50" s="1243"/>
      <c r="AN50" s="1240">
        <f>AN54/4</f>
        <v>10.892749999999999</v>
      </c>
      <c r="AO50" s="1241">
        <f t="shared" ref="AO50:AO56" si="66">AN50/AN20*100</f>
        <v>15.458164221042772</v>
      </c>
      <c r="AP50" s="1242">
        <f t="shared" ref="AP50:AP56" si="67">(AN50/AJ50-1)*100</f>
        <v>72.129701927254501</v>
      </c>
      <c r="AQ50" s="1242" t="s">
        <v>165</v>
      </c>
      <c r="AR50" s="1240">
        <f>AR54/4</f>
        <v>13.97</v>
      </c>
      <c r="AS50" s="1244">
        <f t="shared" ref="AS50:AS56" si="68">AR50/AR20*100</f>
        <v>16.264800735816326</v>
      </c>
      <c r="AT50" s="1242">
        <f t="shared" ref="AT50:AT56" si="69">(AR50/AN50-1)*100</f>
        <v>28.250441807624348</v>
      </c>
      <c r="AU50" s="1242" t="s">
        <v>165</v>
      </c>
      <c r="AV50" s="1240">
        <f>+AV54/4</f>
        <v>17.297499999999999</v>
      </c>
      <c r="AW50" s="1244">
        <f t="shared" ref="AW50:AW56" si="70">AV50/AV20*100</f>
        <v>16.64821944177093</v>
      </c>
      <c r="AX50" s="1242">
        <f t="shared" ref="AX50:AX56" si="71">(AV50/AR50-1)*100</f>
        <v>23.818897637795256</v>
      </c>
      <c r="AY50" s="1242" t="s">
        <v>165</v>
      </c>
      <c r="AZ50" s="1240">
        <f>AZ54/4</f>
        <v>14.1815</v>
      </c>
      <c r="BA50" s="1244">
        <f t="shared" ref="BA50:BA56" si="72">AZ50/AZ20*100</f>
        <v>11.490811564140792</v>
      </c>
      <c r="BB50" s="1242">
        <f t="shared" ref="BB50:BB56" si="73">(AZ50/AV50-1)*100</f>
        <v>-18.014163896516834</v>
      </c>
      <c r="BC50" s="1242" t="s">
        <v>165</v>
      </c>
      <c r="BD50" s="1240">
        <f>BD54/4</f>
        <v>16.74475</v>
      </c>
      <c r="BE50" s="1244">
        <f t="shared" ref="BE50:BE56" si="74">BD50/BD20*100</f>
        <v>10.564711003993764</v>
      </c>
      <c r="BF50" s="1242">
        <f t="shared" ref="BF50:BF56" si="75">(BD50/AZ50-1)*100</f>
        <v>18.074604237915604</v>
      </c>
      <c r="BG50" s="1242" t="s">
        <v>165</v>
      </c>
      <c r="BH50" s="1240">
        <f>BH54/4</f>
        <v>0</v>
      </c>
      <c r="BI50" s="1244">
        <f t="shared" ref="BI50:BI56" si="76">BH50/BH20*100</f>
        <v>0</v>
      </c>
      <c r="BJ50" s="1242">
        <f t="shared" ref="BJ50:BJ56" si="77">(BH50/BD50-1)*100</f>
        <v>-100</v>
      </c>
      <c r="BK50" s="1242" t="s">
        <v>165</v>
      </c>
      <c r="BL50" s="1240">
        <f>BL54/4</f>
        <v>0</v>
      </c>
      <c r="BM50" s="1244">
        <f t="shared" ref="BM50:BM56" si="78">BL50/BL20*100</f>
        <v>0</v>
      </c>
      <c r="BN50" s="1242" t="e">
        <f t="shared" ref="BN50:BN56" si="79">(BL50/BI50-1)*100</f>
        <v>#DIV/0!</v>
      </c>
      <c r="BO50" s="1242"/>
      <c r="BP50" s="1240">
        <f>BP54/4</f>
        <v>0</v>
      </c>
      <c r="BQ50" s="1244">
        <f t="shared" ref="BQ50:BQ56" si="80">BP50/BP20*100</f>
        <v>0</v>
      </c>
      <c r="BR50" s="1242" t="e">
        <f t="shared" ref="BR50:BR56" si="81">(BP50/BN50-1)*100</f>
        <v>#DIV/0!</v>
      </c>
      <c r="BS50" s="1242"/>
      <c r="BT50" s="1240">
        <f>BT54/4</f>
        <v>0</v>
      </c>
      <c r="BU50" s="1244">
        <f t="shared" ref="BU50:BU56" si="82">BT50/BT20*100</f>
        <v>0</v>
      </c>
      <c r="BV50" s="1242" t="e">
        <f t="shared" ref="BV50:BV56" si="83">(BT50/BR50-1)*100</f>
        <v>#DIV/0!</v>
      </c>
      <c r="BW50" s="1242"/>
      <c r="BX50" s="1240">
        <f>BX54/4</f>
        <v>0</v>
      </c>
      <c r="BY50" s="1244">
        <f t="shared" ref="BY50:BY56" si="84">BX50/BX20*100</f>
        <v>0</v>
      </c>
      <c r="BZ50" s="1242" t="e">
        <f t="shared" ref="BZ50:BZ56" si="85">(BX50/BV50-1)*100</f>
        <v>#DIV/0!</v>
      </c>
      <c r="CA50" s="1242"/>
      <c r="CB50" s="1255">
        <f>CB54/4</f>
        <v>0</v>
      </c>
      <c r="CC50" s="1244">
        <f t="shared" ref="CC50:CC56" si="86">CB50/CB20*100</f>
        <v>0</v>
      </c>
      <c r="CD50" s="1242" t="e">
        <f t="shared" ref="CD50:CD56" si="87">(CB50/BZ50-1)*100</f>
        <v>#DIV/0!</v>
      </c>
      <c r="CE50" s="1242"/>
      <c r="CF50" s="1240">
        <f>CF54/4</f>
        <v>0</v>
      </c>
      <c r="CG50" s="1244">
        <f t="shared" ref="CG50:CG56" si="88">CF50/CF20*100</f>
        <v>0</v>
      </c>
      <c r="CH50" s="1242" t="e">
        <f t="shared" ref="CH50:CH56" si="89">(CF50/CD50-1)*100</f>
        <v>#DIV/0!</v>
      </c>
      <c r="CI50" s="1242"/>
      <c r="CJ50" s="1240">
        <f>CJ54/4</f>
        <v>0</v>
      </c>
      <c r="CK50" s="1244">
        <f t="shared" ref="CK50:CK56" si="90">CJ50/CJ20*100</f>
        <v>0</v>
      </c>
      <c r="CL50" s="1242" t="e">
        <f t="shared" ref="CL50:CL56" si="91">(CJ50/CH50-1)*100</f>
        <v>#DIV/0!</v>
      </c>
      <c r="CM50" s="1242"/>
      <c r="CN50" s="1240">
        <f>CN54/4</f>
        <v>0</v>
      </c>
      <c r="CO50" s="1244">
        <f t="shared" ref="CO50:CO56" si="92">CN50/CN20*100</f>
        <v>0</v>
      </c>
      <c r="CP50" s="1242" t="e">
        <f t="shared" ref="CP50:CP56" si="93">(CN50/CL50-1)*100</f>
        <v>#DIV/0!</v>
      </c>
      <c r="CQ50" s="1242"/>
      <c r="CR50" s="1240">
        <f>CR54/4</f>
        <v>0</v>
      </c>
      <c r="CS50" s="1244">
        <f t="shared" ref="CS50:CS56" si="94">CR50/CR20*100</f>
        <v>0</v>
      </c>
      <c r="CT50" s="1256" t="e">
        <f t="shared" ref="CT50:CT56" si="95">(CR50/CP50-1)*100</f>
        <v>#DIV/0!</v>
      </c>
      <c r="CU50" s="1256"/>
      <c r="DE50" s="89"/>
    </row>
    <row r="51" spans="1:115" hidden="1" outlineLevel="2">
      <c r="A51" s="3" t="str">
        <f>$A$11</f>
        <v>2Q</v>
      </c>
      <c r="B51" s="3" t="str">
        <f>$B$11</f>
        <v>Dec</v>
      </c>
      <c r="D51" s="1248"/>
      <c r="E51" s="1238"/>
      <c r="F51" s="26"/>
      <c r="G51" s="56"/>
      <c r="H51" s="1248"/>
      <c r="I51" s="1238"/>
      <c r="J51" s="26"/>
      <c r="K51" s="56"/>
      <c r="L51" s="1248"/>
      <c r="M51" s="1238"/>
      <c r="N51" s="26"/>
      <c r="O51" s="56"/>
      <c r="P51" s="1248"/>
      <c r="Q51" s="1238"/>
      <c r="R51" s="26"/>
      <c r="S51" s="56"/>
      <c r="T51" s="1248"/>
      <c r="U51" s="1238"/>
      <c r="V51" s="26"/>
      <c r="X51" s="1248"/>
      <c r="Y51" s="1238"/>
      <c r="Z51" s="26"/>
      <c r="AB51" s="1117"/>
      <c r="AC51" s="1238"/>
      <c r="AD51" s="26"/>
      <c r="AF51" s="1117"/>
      <c r="AG51" s="1238"/>
      <c r="AH51" s="26"/>
      <c r="AJ51" s="1249">
        <f>AJ54/4</f>
        <v>6.3282221941007579</v>
      </c>
      <c r="AK51" s="1241">
        <f t="shared" si="65"/>
        <v>6.9024358308709095</v>
      </c>
      <c r="AL51" s="1242" t="s">
        <v>165</v>
      </c>
      <c r="AM51" s="1243"/>
      <c r="AN51" s="1249">
        <f>AN54/4</f>
        <v>10.892749999999999</v>
      </c>
      <c r="AO51" s="1241">
        <f t="shared" si="66"/>
        <v>10.240434332988624</v>
      </c>
      <c r="AP51" s="1242">
        <f t="shared" si="67"/>
        <v>72.129701927254501</v>
      </c>
      <c r="AQ51" s="1242" t="s">
        <v>165</v>
      </c>
      <c r="AR51" s="1249">
        <f>AR54/4</f>
        <v>13.97</v>
      </c>
      <c r="AS51" s="1244">
        <f t="shared" si="68"/>
        <v>10.847031236654736</v>
      </c>
      <c r="AT51" s="1242">
        <f t="shared" si="69"/>
        <v>28.250441807624348</v>
      </c>
      <c r="AU51" s="1242" t="s">
        <v>165</v>
      </c>
      <c r="AV51" s="1249">
        <f>AV54/4</f>
        <v>17.297499999999999</v>
      </c>
      <c r="AW51" s="1244">
        <f t="shared" si="70"/>
        <v>12.534420289855072</v>
      </c>
      <c r="AX51" s="1242">
        <f t="shared" si="71"/>
        <v>23.818897637795256</v>
      </c>
      <c r="AY51" s="1242" t="s">
        <v>165</v>
      </c>
      <c r="AZ51" s="1249">
        <f>AZ54/4</f>
        <v>14.1815</v>
      </c>
      <c r="BA51" s="1244">
        <f t="shared" si="72"/>
        <v>7.6944571044121792</v>
      </c>
      <c r="BB51" s="1242">
        <f t="shared" si="73"/>
        <v>-18.014163896516834</v>
      </c>
      <c r="BC51" s="1242" t="s">
        <v>165</v>
      </c>
      <c r="BD51" s="1249">
        <f>BD54/4</f>
        <v>16.74475</v>
      </c>
      <c r="BE51" s="1244">
        <f t="shared" si="74"/>
        <v>6.9553884815884022</v>
      </c>
      <c r="BF51" s="1242">
        <f t="shared" si="75"/>
        <v>18.074604237915604</v>
      </c>
      <c r="BG51" s="1242" t="s">
        <v>165</v>
      </c>
      <c r="BH51" s="1249">
        <f>BH54/4</f>
        <v>0</v>
      </c>
      <c r="BI51" s="1244">
        <f t="shared" si="76"/>
        <v>0</v>
      </c>
      <c r="BJ51" s="1242">
        <f t="shared" si="77"/>
        <v>-100</v>
      </c>
      <c r="BK51" s="1242" t="s">
        <v>165</v>
      </c>
      <c r="BL51" s="1249">
        <f>BL54/4</f>
        <v>0</v>
      </c>
      <c r="BM51" s="1244">
        <f t="shared" si="78"/>
        <v>0</v>
      </c>
      <c r="BN51" s="1242" t="e">
        <f t="shared" si="79"/>
        <v>#DIV/0!</v>
      </c>
      <c r="BO51" s="1242"/>
      <c r="BP51" s="1249">
        <f>BP54/4</f>
        <v>0</v>
      </c>
      <c r="BQ51" s="1244">
        <f t="shared" si="80"/>
        <v>0</v>
      </c>
      <c r="BR51" s="1242" t="e">
        <f t="shared" si="81"/>
        <v>#DIV/0!</v>
      </c>
      <c r="BS51" s="1242"/>
      <c r="BT51" s="1249">
        <f>BT54/4</f>
        <v>0</v>
      </c>
      <c r="BU51" s="1244">
        <f t="shared" si="82"/>
        <v>0</v>
      </c>
      <c r="BV51" s="1242" t="e">
        <f t="shared" si="83"/>
        <v>#DIV/0!</v>
      </c>
      <c r="BW51" s="1242"/>
      <c r="BX51" s="1249">
        <f>BX54/4</f>
        <v>0</v>
      </c>
      <c r="BY51" s="1244">
        <f t="shared" si="84"/>
        <v>0</v>
      </c>
      <c r="BZ51" s="1242" t="e">
        <f t="shared" si="85"/>
        <v>#DIV/0!</v>
      </c>
      <c r="CA51" s="1242"/>
      <c r="CB51" s="1251">
        <f>CB54/4</f>
        <v>0</v>
      </c>
      <c r="CC51" s="1244">
        <f t="shared" si="86"/>
        <v>0</v>
      </c>
      <c r="CD51" s="1242" t="e">
        <f t="shared" si="87"/>
        <v>#DIV/0!</v>
      </c>
      <c r="CE51" s="1242"/>
      <c r="CF51" s="1249">
        <f>CF54/4</f>
        <v>0</v>
      </c>
      <c r="CG51" s="1244">
        <f t="shared" si="88"/>
        <v>0</v>
      </c>
      <c r="CH51" s="1242" t="e">
        <f t="shared" si="89"/>
        <v>#DIV/0!</v>
      </c>
      <c r="CI51" s="1242"/>
      <c r="CJ51" s="1249">
        <f>CJ54/4</f>
        <v>0</v>
      </c>
      <c r="CK51" s="1244">
        <f t="shared" si="90"/>
        <v>0</v>
      </c>
      <c r="CL51" s="1242" t="e">
        <f t="shared" si="91"/>
        <v>#DIV/0!</v>
      </c>
      <c r="CM51" s="1242"/>
      <c r="CN51" s="1249">
        <f>CN54/4</f>
        <v>0</v>
      </c>
      <c r="CO51" s="1244">
        <f t="shared" si="92"/>
        <v>0</v>
      </c>
      <c r="CP51" s="1242" t="e">
        <f t="shared" si="93"/>
        <v>#DIV/0!</v>
      </c>
      <c r="CQ51" s="1242"/>
      <c r="CR51" s="1249">
        <f>CR54/4</f>
        <v>0</v>
      </c>
      <c r="CS51" s="1244">
        <f t="shared" si="94"/>
        <v>0</v>
      </c>
      <c r="CT51" s="1256" t="e">
        <f t="shared" si="95"/>
        <v>#DIV/0!</v>
      </c>
      <c r="CU51" s="1256"/>
      <c r="DE51" s="89"/>
    </row>
    <row r="52" spans="1:115" hidden="1" outlineLevel="2">
      <c r="A52" s="3" t="str">
        <f>$A$12</f>
        <v>3Q</v>
      </c>
      <c r="B52" s="3" t="str">
        <f>$B$12</f>
        <v>Mar</v>
      </c>
      <c r="D52" s="1248"/>
      <c r="E52" s="1238"/>
      <c r="F52" s="26"/>
      <c r="G52" s="56"/>
      <c r="H52" s="1248"/>
      <c r="I52" s="1238"/>
      <c r="J52" s="26"/>
      <c r="K52" s="56"/>
      <c r="L52" s="1248"/>
      <c r="M52" s="1238"/>
      <c r="N52" s="26"/>
      <c r="O52" s="56"/>
      <c r="P52" s="1248"/>
      <c r="Q52" s="1238"/>
      <c r="R52" s="26"/>
      <c r="S52" s="56"/>
      <c r="T52" s="1248"/>
      <c r="U52" s="1238"/>
      <c r="V52" s="26"/>
      <c r="X52" s="1248"/>
      <c r="Y52" s="1238"/>
      <c r="Z52" s="26"/>
      <c r="AB52" s="1117"/>
      <c r="AC52" s="1238"/>
      <c r="AD52" s="26"/>
      <c r="AF52" s="1117"/>
      <c r="AG52" s="1238"/>
      <c r="AH52" s="26"/>
      <c r="AJ52" s="1249">
        <f>AJ54/4</f>
        <v>6.3282221941007579</v>
      </c>
      <c r="AK52" s="1241">
        <f t="shared" si="65"/>
        <v>10.444506748916069</v>
      </c>
      <c r="AL52" s="1242" t="s">
        <v>165</v>
      </c>
      <c r="AM52" s="1243"/>
      <c r="AN52" s="1249">
        <f>AN54/4</f>
        <v>10.892749999999999</v>
      </c>
      <c r="AO52" s="1241">
        <f t="shared" si="66"/>
        <v>14.416790195351792</v>
      </c>
      <c r="AP52" s="1242">
        <f t="shared" si="67"/>
        <v>72.129701927254501</v>
      </c>
      <c r="AQ52" s="1242" t="s">
        <v>165</v>
      </c>
      <c r="AR52" s="1249">
        <f>AR54/4</f>
        <v>13.97</v>
      </c>
      <c r="AS52" s="1244">
        <f t="shared" si="68"/>
        <v>15.306905090614247</v>
      </c>
      <c r="AT52" s="1242">
        <f t="shared" si="69"/>
        <v>28.250441807624348</v>
      </c>
      <c r="AU52" s="1242" t="s">
        <v>165</v>
      </c>
      <c r="AV52" s="1249">
        <f>AV54/4</f>
        <v>17.297499999999999</v>
      </c>
      <c r="AW52" s="1244">
        <f t="shared" si="70"/>
        <v>16.709492943324413</v>
      </c>
      <c r="AX52" s="1242">
        <f t="shared" si="71"/>
        <v>23.818897637795256</v>
      </c>
      <c r="AY52" s="1242" t="s">
        <v>165</v>
      </c>
      <c r="AZ52" s="1249">
        <f>AZ54/4</f>
        <v>14.1815</v>
      </c>
      <c r="BA52" s="1244">
        <f t="shared" si="72"/>
        <v>10.210377772817925</v>
      </c>
      <c r="BB52" s="1242">
        <f t="shared" si="73"/>
        <v>-18.014163896516834</v>
      </c>
      <c r="BC52" s="1242" t="s">
        <v>165</v>
      </c>
      <c r="BD52" s="1249">
        <f>BD54/4</f>
        <v>16.74475</v>
      </c>
      <c r="BE52" s="1244">
        <f t="shared" si="74"/>
        <v>8.9926908122274494</v>
      </c>
      <c r="BF52" s="1242">
        <f t="shared" si="75"/>
        <v>18.074604237915604</v>
      </c>
      <c r="BG52" s="1242" t="s">
        <v>165</v>
      </c>
      <c r="BH52" s="1249">
        <f>BH54/4</f>
        <v>0</v>
      </c>
      <c r="BI52" s="1244">
        <f t="shared" si="76"/>
        <v>0</v>
      </c>
      <c r="BJ52" s="1242">
        <f t="shared" si="77"/>
        <v>-100</v>
      </c>
      <c r="BK52" s="1242" t="s">
        <v>165</v>
      </c>
      <c r="BL52" s="1249">
        <f>BL54/4</f>
        <v>0</v>
      </c>
      <c r="BM52" s="1244">
        <f t="shared" si="78"/>
        <v>0</v>
      </c>
      <c r="BN52" s="1242" t="e">
        <f t="shared" si="79"/>
        <v>#DIV/0!</v>
      </c>
      <c r="BO52" s="1242"/>
      <c r="BP52" s="1249">
        <f>BP54/4</f>
        <v>0</v>
      </c>
      <c r="BQ52" s="1244">
        <f t="shared" si="80"/>
        <v>0</v>
      </c>
      <c r="BR52" s="1242" t="e">
        <f t="shared" si="81"/>
        <v>#DIV/0!</v>
      </c>
      <c r="BS52" s="1242"/>
      <c r="BT52" s="1249">
        <f>BT54/4</f>
        <v>0</v>
      </c>
      <c r="BU52" s="1244">
        <f t="shared" si="82"/>
        <v>0</v>
      </c>
      <c r="BV52" s="1242" t="e">
        <f t="shared" si="83"/>
        <v>#DIV/0!</v>
      </c>
      <c r="BW52" s="1242"/>
      <c r="BX52" s="1249">
        <f>BX54/4</f>
        <v>0</v>
      </c>
      <c r="BY52" s="1244">
        <f t="shared" si="84"/>
        <v>0</v>
      </c>
      <c r="BZ52" s="1242" t="e">
        <f t="shared" si="85"/>
        <v>#DIV/0!</v>
      </c>
      <c r="CA52" s="1242"/>
      <c r="CB52" s="1251">
        <f>CB54/4</f>
        <v>0</v>
      </c>
      <c r="CC52" s="1244">
        <f t="shared" si="86"/>
        <v>0</v>
      </c>
      <c r="CD52" s="1242" t="e">
        <f t="shared" si="87"/>
        <v>#DIV/0!</v>
      </c>
      <c r="CE52" s="1242"/>
      <c r="CF52" s="1249">
        <f>CF54/4</f>
        <v>0</v>
      </c>
      <c r="CG52" s="1244">
        <f t="shared" si="88"/>
        <v>0</v>
      </c>
      <c r="CH52" s="1242" t="e">
        <f t="shared" si="89"/>
        <v>#DIV/0!</v>
      </c>
      <c r="CI52" s="1242"/>
      <c r="CJ52" s="1249">
        <f>CJ54/4</f>
        <v>0</v>
      </c>
      <c r="CK52" s="1244">
        <f t="shared" si="90"/>
        <v>0</v>
      </c>
      <c r="CL52" s="1242" t="e">
        <f t="shared" si="91"/>
        <v>#DIV/0!</v>
      </c>
      <c r="CM52" s="1242"/>
      <c r="CN52" s="1249">
        <f>CN54/4</f>
        <v>0</v>
      </c>
      <c r="CO52" s="1244">
        <f t="shared" si="92"/>
        <v>0</v>
      </c>
      <c r="CP52" s="1242" t="e">
        <f t="shared" si="93"/>
        <v>#DIV/0!</v>
      </c>
      <c r="CQ52" s="1242"/>
      <c r="CR52" s="1249">
        <f>CR54/4</f>
        <v>0</v>
      </c>
      <c r="CS52" s="1244">
        <f t="shared" si="94"/>
        <v>0</v>
      </c>
      <c r="CT52" s="1256" t="e">
        <f t="shared" si="95"/>
        <v>#DIV/0!</v>
      </c>
      <c r="CU52" s="1256"/>
      <c r="DE52" s="89"/>
    </row>
    <row r="53" spans="1:115" hidden="1" outlineLevel="2">
      <c r="A53" s="3" t="str">
        <f>$A$13</f>
        <v>4Q</v>
      </c>
      <c r="B53" s="3" t="str">
        <f>$B$13</f>
        <v>June</v>
      </c>
      <c r="D53" s="1248"/>
      <c r="E53" s="1238"/>
      <c r="F53" s="26"/>
      <c r="G53" s="56"/>
      <c r="H53" s="1248"/>
      <c r="I53" s="1238"/>
      <c r="J53" s="26"/>
      <c r="K53" s="56"/>
      <c r="L53" s="1248"/>
      <c r="M53" s="1238"/>
      <c r="N53" s="26"/>
      <c r="O53" s="56"/>
      <c r="P53" s="1248"/>
      <c r="Q53" s="1238"/>
      <c r="R53" s="26"/>
      <c r="S53" s="56"/>
      <c r="T53" s="1248"/>
      <c r="U53" s="1238"/>
      <c r="V53" s="26"/>
      <c r="X53" s="1248"/>
      <c r="Y53" s="1238"/>
      <c r="Z53" s="26"/>
      <c r="AB53" s="1117"/>
      <c r="AC53" s="1238"/>
      <c r="AD53" s="26"/>
      <c r="AF53" s="1117"/>
      <c r="AG53" s="1238"/>
      <c r="AH53" s="26"/>
      <c r="AJ53" s="1257">
        <f>AJ54/4</f>
        <v>6.3282221941007579</v>
      </c>
      <c r="AK53" s="1241">
        <f t="shared" si="65"/>
        <v>10.21339928034338</v>
      </c>
      <c r="AL53" s="1242" t="s">
        <v>165</v>
      </c>
      <c r="AM53" s="1243"/>
      <c r="AN53" s="1257">
        <f>AN54/4</f>
        <v>10.892749999999999</v>
      </c>
      <c r="AO53" s="1241">
        <f t="shared" si="66"/>
        <v>13.852820734560991</v>
      </c>
      <c r="AP53" s="1242">
        <f t="shared" si="67"/>
        <v>72.129701927254501</v>
      </c>
      <c r="AQ53" s="1242" t="s">
        <v>165</v>
      </c>
      <c r="AR53" s="1257">
        <f>AR54/4</f>
        <v>13.97</v>
      </c>
      <c r="AS53" s="1244">
        <f t="shared" si="68"/>
        <v>14.90864851020234</v>
      </c>
      <c r="AT53" s="1242">
        <f t="shared" si="69"/>
        <v>28.250441807624348</v>
      </c>
      <c r="AU53" s="1242" t="s">
        <v>165</v>
      </c>
      <c r="AV53" s="1257">
        <f>AV54/4</f>
        <v>17.297499999999999</v>
      </c>
      <c r="AW53" s="1244">
        <f t="shared" si="70"/>
        <v>16.008199603901751</v>
      </c>
      <c r="AX53" s="1242">
        <f t="shared" si="71"/>
        <v>23.818897637795256</v>
      </c>
      <c r="AY53" s="1242" t="s">
        <v>165</v>
      </c>
      <c r="AZ53" s="1257">
        <f>AZ54/4</f>
        <v>14.1815</v>
      </c>
      <c r="BA53" s="1244">
        <f t="shared" si="72"/>
        <v>9.9273378927988905</v>
      </c>
      <c r="BB53" s="1242">
        <f t="shared" si="73"/>
        <v>-18.014163896516834</v>
      </c>
      <c r="BC53" s="1242" t="s">
        <v>165</v>
      </c>
      <c r="BD53" s="1257">
        <f>BD54/4</f>
        <v>16.74475</v>
      </c>
      <c r="BE53" s="1244">
        <f t="shared" si="74"/>
        <v>8.896938493581569</v>
      </c>
      <c r="BF53" s="1242">
        <f t="shared" si="75"/>
        <v>18.074604237915604</v>
      </c>
      <c r="BG53" s="1242" t="s">
        <v>165</v>
      </c>
      <c r="BH53" s="1257">
        <f>BH54/4</f>
        <v>0</v>
      </c>
      <c r="BI53" s="1244">
        <f t="shared" si="76"/>
        <v>0</v>
      </c>
      <c r="BJ53" s="1242">
        <f t="shared" si="77"/>
        <v>-100</v>
      </c>
      <c r="BK53" s="1242" t="s">
        <v>165</v>
      </c>
      <c r="BL53" s="1257">
        <f>BL54/4</f>
        <v>0</v>
      </c>
      <c r="BM53" s="1244">
        <f t="shared" si="78"/>
        <v>0</v>
      </c>
      <c r="BN53" s="1242" t="e">
        <f t="shared" si="79"/>
        <v>#DIV/0!</v>
      </c>
      <c r="BO53" s="1242"/>
      <c r="BP53" s="1257">
        <f>BP54/4</f>
        <v>0</v>
      </c>
      <c r="BQ53" s="1244">
        <f t="shared" si="80"/>
        <v>0</v>
      </c>
      <c r="BR53" s="1242" t="e">
        <f t="shared" si="81"/>
        <v>#DIV/0!</v>
      </c>
      <c r="BS53" s="1242"/>
      <c r="BT53" s="1257">
        <f>BT54/4</f>
        <v>0</v>
      </c>
      <c r="BU53" s="1244">
        <f t="shared" si="82"/>
        <v>0</v>
      </c>
      <c r="BV53" s="1242" t="e">
        <f t="shared" si="83"/>
        <v>#DIV/0!</v>
      </c>
      <c r="BW53" s="1242"/>
      <c r="BX53" s="1257">
        <f>BX54/4</f>
        <v>0</v>
      </c>
      <c r="BY53" s="1244">
        <f t="shared" si="84"/>
        <v>0</v>
      </c>
      <c r="BZ53" s="1242" t="e">
        <f t="shared" si="85"/>
        <v>#DIV/0!</v>
      </c>
      <c r="CA53" s="1242"/>
      <c r="CB53" s="1251">
        <f>CB54/4</f>
        <v>0</v>
      </c>
      <c r="CC53" s="1244">
        <f t="shared" si="86"/>
        <v>0</v>
      </c>
      <c r="CD53" s="1242" t="e">
        <f t="shared" si="87"/>
        <v>#DIV/0!</v>
      </c>
      <c r="CE53" s="1242"/>
      <c r="CF53" s="1257">
        <f>CF54/4</f>
        <v>0</v>
      </c>
      <c r="CG53" s="1244">
        <f t="shared" si="88"/>
        <v>0</v>
      </c>
      <c r="CH53" s="1242" t="e">
        <f t="shared" si="89"/>
        <v>#DIV/0!</v>
      </c>
      <c r="CI53" s="1242"/>
      <c r="CJ53" s="1257">
        <f>CJ54/4</f>
        <v>0</v>
      </c>
      <c r="CK53" s="1244">
        <f t="shared" si="90"/>
        <v>0</v>
      </c>
      <c r="CL53" s="1242" t="e">
        <f t="shared" si="91"/>
        <v>#DIV/0!</v>
      </c>
      <c r="CM53" s="1242"/>
      <c r="CN53" s="1257">
        <f>CN54/4</f>
        <v>0</v>
      </c>
      <c r="CO53" s="1244">
        <f t="shared" si="92"/>
        <v>0</v>
      </c>
      <c r="CP53" s="1242" t="e">
        <f t="shared" si="93"/>
        <v>#DIV/0!</v>
      </c>
      <c r="CQ53" s="1242"/>
      <c r="CR53" s="1257">
        <f>CR54/4</f>
        <v>0</v>
      </c>
      <c r="CS53" s="1244">
        <f t="shared" si="94"/>
        <v>0</v>
      </c>
      <c r="CT53" s="1256" t="e">
        <f t="shared" si="95"/>
        <v>#DIV/0!</v>
      </c>
      <c r="CU53" s="1256"/>
      <c r="DE53" s="89"/>
    </row>
    <row r="54" spans="1:115" hidden="1" outlineLevel="2">
      <c r="B54" s="3" t="str">
        <f>$B$14</f>
        <v>Year</v>
      </c>
      <c r="D54" s="1252"/>
      <c r="E54" s="1238"/>
      <c r="F54" s="26"/>
      <c r="G54" s="56"/>
      <c r="H54" s="1252"/>
      <c r="I54" s="1238"/>
      <c r="J54" s="26"/>
      <c r="K54" s="56"/>
      <c r="L54" s="1252"/>
      <c r="M54" s="1238"/>
      <c r="N54" s="26"/>
      <c r="O54" s="56"/>
      <c r="P54" s="1252"/>
      <c r="Q54" s="1238"/>
      <c r="R54" s="26"/>
      <c r="S54" s="56"/>
      <c r="T54" s="1252"/>
      <c r="U54" s="1238"/>
      <c r="V54" s="26"/>
      <c r="X54" s="1252"/>
      <c r="Y54" s="1238"/>
      <c r="Z54" s="26"/>
      <c r="AB54" s="1258"/>
      <c r="AC54" s="1238"/>
      <c r="AD54" s="26"/>
      <c r="AF54" s="1258"/>
      <c r="AG54" s="1238"/>
      <c r="AH54" s="26"/>
      <c r="AJ54" s="705">
        <f>'yrP&amp;L'!J45</f>
        <v>25.312888776403032</v>
      </c>
      <c r="AK54" s="1217">
        <f t="shared" si="65"/>
        <v>9.1780870627320219</v>
      </c>
      <c r="AL54" s="1245" t="s">
        <v>165</v>
      </c>
      <c r="AN54" s="705">
        <f>'yrP&amp;L'!K45</f>
        <v>43.570999999999998</v>
      </c>
      <c r="AO54" s="1217">
        <f t="shared" si="66"/>
        <v>13.162489728841411</v>
      </c>
      <c r="AP54" s="22">
        <f t="shared" si="67"/>
        <v>72.129701927254501</v>
      </c>
      <c r="AQ54" s="1245" t="s">
        <v>165</v>
      </c>
      <c r="AR54" s="1065">
        <f>'yrP&amp;L'!L45</f>
        <v>55.88</v>
      </c>
      <c r="AS54" s="1221">
        <f t="shared" si="68"/>
        <v>13.982164483100295</v>
      </c>
      <c r="AT54" s="22">
        <f t="shared" si="69"/>
        <v>28.250441807624348</v>
      </c>
      <c r="AU54" s="1245" t="s">
        <v>165</v>
      </c>
      <c r="AV54" s="1065">
        <f>'yrP&amp;L'!M45</f>
        <v>69.19</v>
      </c>
      <c r="AW54" s="1221">
        <f t="shared" si="70"/>
        <v>15.257799251554118</v>
      </c>
      <c r="AX54" s="22">
        <f t="shared" si="71"/>
        <v>23.818897637795256</v>
      </c>
      <c r="AY54" s="1245" t="s">
        <v>165</v>
      </c>
      <c r="AZ54" s="1065">
        <f>'yrP&amp;L'!N45</f>
        <v>56.725999999999999</v>
      </c>
      <c r="BA54" s="1221">
        <f t="shared" si="72"/>
        <v>9.6232208594160848</v>
      </c>
      <c r="BB54" s="22">
        <f t="shared" si="73"/>
        <v>-18.014163896516834</v>
      </c>
      <c r="BC54" s="1245" t="s">
        <v>165</v>
      </c>
      <c r="BD54" s="1065">
        <f>'yrP&amp;L'!O45</f>
        <v>66.978999999999999</v>
      </c>
      <c r="BE54" s="1221">
        <f t="shared" si="74"/>
        <v>8.657487714146118</v>
      </c>
      <c r="BF54" s="22">
        <f t="shared" si="75"/>
        <v>18.074604237915604</v>
      </c>
      <c r="BG54" s="1245" t="s">
        <v>165</v>
      </c>
      <c r="BH54" s="1065">
        <f>'yrP&amp;L'!AF45</f>
        <v>0</v>
      </c>
      <c r="BI54" s="1221">
        <f t="shared" si="76"/>
        <v>0</v>
      </c>
      <c r="BJ54" s="22">
        <f t="shared" si="77"/>
        <v>-100</v>
      </c>
      <c r="BK54" s="1245" t="s">
        <v>165</v>
      </c>
      <c r="BL54" s="1065">
        <f>'yrP&amp;L'!AK45</f>
        <v>0</v>
      </c>
      <c r="BM54" s="1221">
        <f t="shared" si="78"/>
        <v>0</v>
      </c>
      <c r="BN54" s="22" t="e">
        <f t="shared" si="79"/>
        <v>#DIV/0!</v>
      </c>
      <c r="BO54" s="1245"/>
      <c r="BP54" s="1065">
        <f>'yrP&amp;L'!AP45</f>
        <v>0</v>
      </c>
      <c r="BQ54" s="1221">
        <f t="shared" si="80"/>
        <v>0</v>
      </c>
      <c r="BR54" s="22" t="e">
        <f t="shared" si="81"/>
        <v>#DIV/0!</v>
      </c>
      <c r="BS54" s="1245"/>
      <c r="BT54" s="1065">
        <f>'yrP&amp;L'!AT45</f>
        <v>0</v>
      </c>
      <c r="BU54" s="1221">
        <f t="shared" si="82"/>
        <v>0</v>
      </c>
      <c r="BV54" s="22" t="e">
        <f t="shared" si="83"/>
        <v>#DIV/0!</v>
      </c>
      <c r="BW54" s="1245"/>
      <c r="BX54" s="1065">
        <f>'yrP&amp;L'!AV45</f>
        <v>0</v>
      </c>
      <c r="BY54" s="1221">
        <f t="shared" si="84"/>
        <v>0</v>
      </c>
      <c r="BZ54" s="22" t="e">
        <f t="shared" si="85"/>
        <v>#DIV/0!</v>
      </c>
      <c r="CA54" s="1245"/>
      <c r="CB54" s="1259">
        <f>'yrP&amp;L'!BB45</f>
        <v>0</v>
      </c>
      <c r="CC54" s="1221">
        <f t="shared" si="86"/>
        <v>0</v>
      </c>
      <c r="CD54" s="22" t="e">
        <f t="shared" si="87"/>
        <v>#DIV/0!</v>
      </c>
      <c r="CE54" s="1245"/>
      <c r="CF54" s="1065">
        <f>'yrP&amp;L'!BF45</f>
        <v>0</v>
      </c>
      <c r="CG54" s="1221">
        <f t="shared" si="88"/>
        <v>0</v>
      </c>
      <c r="CH54" s="22" t="e">
        <f t="shared" si="89"/>
        <v>#DIV/0!</v>
      </c>
      <c r="CI54" s="1245"/>
      <c r="CJ54" s="1065">
        <f>'yrP&amp;L'!BJ45</f>
        <v>0</v>
      </c>
      <c r="CK54" s="1221">
        <f t="shared" si="90"/>
        <v>0</v>
      </c>
      <c r="CL54" s="22" t="e">
        <f t="shared" si="91"/>
        <v>#DIV/0!</v>
      </c>
      <c r="CM54" s="1245"/>
      <c r="CN54" s="1065">
        <f>'yrP&amp;L'!BN45</f>
        <v>0</v>
      </c>
      <c r="CO54" s="1221">
        <f t="shared" si="92"/>
        <v>0</v>
      </c>
      <c r="CP54" s="22" t="e">
        <f t="shared" si="93"/>
        <v>#DIV/0!</v>
      </c>
      <c r="CQ54" s="22"/>
      <c r="CR54" s="1065">
        <f>'yrP&amp;L'!BR45</f>
        <v>0</v>
      </c>
      <c r="CS54" s="1221">
        <f t="shared" si="94"/>
        <v>0</v>
      </c>
      <c r="CT54" s="316" t="e">
        <f t="shared" si="95"/>
        <v>#DIV/0!</v>
      </c>
      <c r="CU54" s="1247"/>
      <c r="DE54" s="89"/>
    </row>
    <row r="55" spans="1:115" hidden="1" outlineLevel="2">
      <c r="A55" s="3" t="str">
        <f>$A$15</f>
        <v>6 Mos</v>
      </c>
      <c r="D55" s="1253"/>
      <c r="E55" s="1238"/>
      <c r="F55" s="26"/>
      <c r="G55" s="56"/>
      <c r="H55" s="1253"/>
      <c r="I55" s="1238"/>
      <c r="J55" s="26"/>
      <c r="K55" s="56"/>
      <c r="L55" s="1253"/>
      <c r="M55" s="1238"/>
      <c r="N55" s="26"/>
      <c r="O55" s="56"/>
      <c r="P55" s="1253"/>
      <c r="Q55" s="1238"/>
      <c r="R55" s="26"/>
      <c r="S55" s="56"/>
      <c r="T55" s="1253"/>
      <c r="U55" s="1238"/>
      <c r="V55" s="26"/>
      <c r="X55" s="1253"/>
      <c r="Y55" s="1238"/>
      <c r="Z55" s="26"/>
      <c r="AB55" s="1130"/>
      <c r="AC55" s="1238"/>
      <c r="AD55" s="26"/>
      <c r="AF55" s="1130"/>
      <c r="AG55" s="1238"/>
      <c r="AH55" s="26"/>
      <c r="AJ55" s="165">
        <f>SUM(AJ50:AJ51)</f>
        <v>12.656444388201516</v>
      </c>
      <c r="AK55" s="1217">
        <f t="shared" si="65"/>
        <v>8.2587990630882739</v>
      </c>
      <c r="AL55" s="1245" t="s">
        <v>165</v>
      </c>
      <c r="AN55" s="165">
        <f>SUM(AN50:AN51)</f>
        <v>21.785499999999999</v>
      </c>
      <c r="AO55" s="1217">
        <f t="shared" si="66"/>
        <v>12.319606867379944</v>
      </c>
      <c r="AP55" s="22">
        <f t="shared" si="67"/>
        <v>72.129701927254501</v>
      </c>
      <c r="AQ55" s="1245" t="s">
        <v>165</v>
      </c>
      <c r="AR55" s="1153">
        <f>SUM(AR50:AR51)</f>
        <v>27.94</v>
      </c>
      <c r="AS55" s="1221">
        <f t="shared" si="68"/>
        <v>13.01459833614369</v>
      </c>
      <c r="AT55" s="316">
        <f t="shared" si="69"/>
        <v>28.250441807624348</v>
      </c>
      <c r="AU55" s="1245" t="s">
        <v>165</v>
      </c>
      <c r="AV55" s="1153">
        <f>SUM(AV50:AV51)</f>
        <v>34.594999999999999</v>
      </c>
      <c r="AW55" s="1221">
        <f t="shared" si="70"/>
        <v>14.301364200082677</v>
      </c>
      <c r="AX55" s="316">
        <f t="shared" si="71"/>
        <v>23.818897637795256</v>
      </c>
      <c r="AY55" s="1245" t="s">
        <v>165</v>
      </c>
      <c r="AZ55" s="1153">
        <f>SUM(AZ50:AZ51)</f>
        <v>28.363</v>
      </c>
      <c r="BA55" s="1221">
        <f t="shared" si="72"/>
        <v>9.2170256463584241</v>
      </c>
      <c r="BB55" s="316">
        <f t="shared" si="73"/>
        <v>-18.014163896516834</v>
      </c>
      <c r="BC55" s="1245" t="s">
        <v>165</v>
      </c>
      <c r="BD55" s="1153">
        <f>SUM(BD50:BD51)</f>
        <v>33.4895</v>
      </c>
      <c r="BE55" s="1221">
        <f t="shared" si="74"/>
        <v>8.3882707731150532</v>
      </c>
      <c r="BF55" s="316">
        <f t="shared" si="75"/>
        <v>18.074604237915604</v>
      </c>
      <c r="BG55" s="1245" t="s">
        <v>165</v>
      </c>
      <c r="BH55" s="1153">
        <f>SUM(BH50:BH51)</f>
        <v>0</v>
      </c>
      <c r="BI55" s="1221">
        <f t="shared" si="76"/>
        <v>0</v>
      </c>
      <c r="BJ55" s="316">
        <f t="shared" si="77"/>
        <v>-100</v>
      </c>
      <c r="BK55" s="1245" t="s">
        <v>165</v>
      </c>
      <c r="BL55" s="1153">
        <f>SUM(BL50:BL51)</f>
        <v>0</v>
      </c>
      <c r="BM55" s="1221">
        <f t="shared" si="78"/>
        <v>0</v>
      </c>
      <c r="BN55" s="316" t="e">
        <f t="shared" si="79"/>
        <v>#DIV/0!</v>
      </c>
      <c r="BO55" s="1245"/>
      <c r="BP55" s="1153">
        <f>SUM(BP50:BP51)</f>
        <v>0</v>
      </c>
      <c r="BQ55" s="1221">
        <f t="shared" si="80"/>
        <v>0</v>
      </c>
      <c r="BR55" s="316" t="e">
        <f t="shared" si="81"/>
        <v>#DIV/0!</v>
      </c>
      <c r="BS55" s="1245"/>
      <c r="BT55" s="1153">
        <f>SUM(BT50:BT51)</f>
        <v>0</v>
      </c>
      <c r="BU55" s="1221">
        <f t="shared" si="82"/>
        <v>0</v>
      </c>
      <c r="BV55" s="316" t="e">
        <f t="shared" si="83"/>
        <v>#DIV/0!</v>
      </c>
      <c r="BW55" s="1245"/>
      <c r="BX55" s="1153">
        <f>SUM(BX50:BX51)</f>
        <v>0</v>
      </c>
      <c r="BY55" s="1221">
        <f t="shared" si="84"/>
        <v>0</v>
      </c>
      <c r="BZ55" s="316" t="e">
        <f t="shared" si="85"/>
        <v>#DIV/0!</v>
      </c>
      <c r="CA55" s="1245"/>
      <c r="CB55" s="218">
        <f>SUM(CB50:CB51)</f>
        <v>0</v>
      </c>
      <c r="CC55" s="1221">
        <f t="shared" si="86"/>
        <v>0</v>
      </c>
      <c r="CD55" s="316" t="e">
        <f t="shared" si="87"/>
        <v>#DIV/0!</v>
      </c>
      <c r="CE55" s="1245"/>
      <c r="CF55" s="1153">
        <f>SUM(CF50:CF51)</f>
        <v>0</v>
      </c>
      <c r="CG55" s="1221">
        <f t="shared" si="88"/>
        <v>0</v>
      </c>
      <c r="CH55" s="316" t="e">
        <f t="shared" si="89"/>
        <v>#DIV/0!</v>
      </c>
      <c r="CI55" s="1245"/>
      <c r="CJ55" s="1153">
        <f>SUM(CJ50:CJ51)</f>
        <v>0</v>
      </c>
      <c r="CK55" s="1221">
        <f t="shared" si="90"/>
        <v>0</v>
      </c>
      <c r="CL55" s="316" t="e">
        <f t="shared" si="91"/>
        <v>#DIV/0!</v>
      </c>
      <c r="CM55" s="1245"/>
      <c r="CN55" s="1153">
        <f>SUM(CN50:CN51)</f>
        <v>0</v>
      </c>
      <c r="CO55" s="1221">
        <f t="shared" si="92"/>
        <v>0</v>
      </c>
      <c r="CP55" s="316" t="e">
        <f t="shared" si="93"/>
        <v>#DIV/0!</v>
      </c>
      <c r="CQ55" s="316"/>
      <c r="CR55" s="1153">
        <f>SUM(CR50:CR51)</f>
        <v>0</v>
      </c>
      <c r="CS55" s="1221">
        <f t="shared" si="94"/>
        <v>0</v>
      </c>
      <c r="CT55" s="316" t="e">
        <f t="shared" si="95"/>
        <v>#DIV/0!</v>
      </c>
      <c r="CU55" s="1247"/>
      <c r="DE55" s="89"/>
    </row>
    <row r="56" spans="1:115" hidden="1" outlineLevel="2">
      <c r="A56" s="3" t="str">
        <f>$A$16</f>
        <v>9 Mos</v>
      </c>
      <c r="D56" s="1253"/>
      <c r="E56" s="1238"/>
      <c r="F56" s="26"/>
      <c r="G56" s="56"/>
      <c r="H56" s="1253"/>
      <c r="I56" s="1238"/>
      <c r="J56" s="26"/>
      <c r="K56" s="56"/>
      <c r="L56" s="1253"/>
      <c r="M56" s="1238"/>
      <c r="N56" s="26"/>
      <c r="O56" s="56"/>
      <c r="P56" s="1253"/>
      <c r="Q56" s="1238"/>
      <c r="R56" s="26"/>
      <c r="S56" s="56"/>
      <c r="T56" s="1253"/>
      <c r="U56" s="1238"/>
      <c r="V56" s="26"/>
      <c r="X56" s="1253"/>
      <c r="Y56" s="1238"/>
      <c r="Z56" s="26"/>
      <c r="AB56" s="1130"/>
      <c r="AC56" s="1238"/>
      <c r="AD56" s="26"/>
      <c r="AF56" s="1130"/>
      <c r="AG56" s="1238"/>
      <c r="AH56" s="26"/>
      <c r="AJ56" s="165">
        <f>SUM(AJ50:AJ52)</f>
        <v>18.984666582302275</v>
      </c>
      <c r="AK56" s="1217">
        <f t="shared" si="65"/>
        <v>8.8781018169457457</v>
      </c>
      <c r="AL56" s="1245" t="s">
        <v>165</v>
      </c>
      <c r="AN56" s="165">
        <f>SUM(AN50:AN52)</f>
        <v>32.678249999999998</v>
      </c>
      <c r="AO56" s="1217">
        <f t="shared" si="66"/>
        <v>12.947419094107579</v>
      </c>
      <c r="AP56" s="22">
        <f t="shared" si="67"/>
        <v>72.129701927254501</v>
      </c>
      <c r="AQ56" s="1245" t="s">
        <v>165</v>
      </c>
      <c r="AR56" s="1153">
        <f>SUM(AR50:AR52)</f>
        <v>41.910000000000004</v>
      </c>
      <c r="AS56" s="1221">
        <f t="shared" si="68"/>
        <v>13.698406265116947</v>
      </c>
      <c r="AT56" s="316">
        <f t="shared" si="69"/>
        <v>28.250441807624348</v>
      </c>
      <c r="AU56" s="1245" t="s">
        <v>165</v>
      </c>
      <c r="AV56" s="1153">
        <f>SUM(AV50:AV52)</f>
        <v>51.892499999999998</v>
      </c>
      <c r="AW56" s="1221">
        <f t="shared" si="70"/>
        <v>15.023058951592125</v>
      </c>
      <c r="AX56" s="316">
        <f t="shared" si="71"/>
        <v>23.818897637795256</v>
      </c>
      <c r="AY56" s="1245" t="s">
        <v>165</v>
      </c>
      <c r="AZ56" s="1153">
        <f>SUM(AZ50:AZ52)</f>
        <v>42.544499999999999</v>
      </c>
      <c r="BA56" s="1221">
        <f t="shared" si="72"/>
        <v>9.5259472881686111</v>
      </c>
      <c r="BB56" s="316">
        <f t="shared" si="73"/>
        <v>-18.014163896516834</v>
      </c>
      <c r="BC56" s="1245" t="s">
        <v>165</v>
      </c>
      <c r="BD56" s="1153">
        <f>SUM(BD50:BD52)</f>
        <v>50.234250000000003</v>
      </c>
      <c r="BE56" s="1221">
        <f t="shared" si="74"/>
        <v>8.5805095602327111</v>
      </c>
      <c r="BF56" s="316">
        <f t="shared" si="75"/>
        <v>18.074604237915604</v>
      </c>
      <c r="BG56" s="1245" t="s">
        <v>165</v>
      </c>
      <c r="BH56" s="1153">
        <f>SUM(BH50:BH52)</f>
        <v>0</v>
      </c>
      <c r="BI56" s="1221">
        <f t="shared" si="76"/>
        <v>0</v>
      </c>
      <c r="BJ56" s="316">
        <f t="shared" si="77"/>
        <v>-100</v>
      </c>
      <c r="BK56" s="1245" t="s">
        <v>165</v>
      </c>
      <c r="BL56" s="1153">
        <f>SUM(BL50:BL52)</f>
        <v>0</v>
      </c>
      <c r="BM56" s="1221">
        <f t="shared" si="78"/>
        <v>0</v>
      </c>
      <c r="BN56" s="316" t="e">
        <f t="shared" si="79"/>
        <v>#DIV/0!</v>
      </c>
      <c r="BO56" s="1245"/>
      <c r="BP56" s="1153">
        <f>SUM(BP50:BP52)</f>
        <v>0</v>
      </c>
      <c r="BQ56" s="1221">
        <f t="shared" si="80"/>
        <v>0</v>
      </c>
      <c r="BR56" s="316" t="e">
        <f t="shared" si="81"/>
        <v>#DIV/0!</v>
      </c>
      <c r="BS56" s="1245"/>
      <c r="BT56" s="1153">
        <f>SUM(BT50:BT52)</f>
        <v>0</v>
      </c>
      <c r="BU56" s="1221">
        <f t="shared" si="82"/>
        <v>0</v>
      </c>
      <c r="BV56" s="316" t="e">
        <f t="shared" si="83"/>
        <v>#DIV/0!</v>
      </c>
      <c r="BW56" s="1245"/>
      <c r="BX56" s="1153">
        <f>SUM(BX50:BX52)</f>
        <v>0</v>
      </c>
      <c r="BY56" s="1221">
        <f t="shared" si="84"/>
        <v>0</v>
      </c>
      <c r="BZ56" s="316" t="e">
        <f t="shared" si="85"/>
        <v>#DIV/0!</v>
      </c>
      <c r="CA56" s="1245"/>
      <c r="CB56" s="218">
        <f>SUM(CB50:CB52)</f>
        <v>0</v>
      </c>
      <c r="CC56" s="1221">
        <f t="shared" si="86"/>
        <v>0</v>
      </c>
      <c r="CD56" s="316" t="e">
        <f t="shared" si="87"/>
        <v>#DIV/0!</v>
      </c>
      <c r="CE56" s="1245"/>
      <c r="CF56" s="1153">
        <f>SUM(CF50:CF52)</f>
        <v>0</v>
      </c>
      <c r="CG56" s="1221">
        <f t="shared" si="88"/>
        <v>0</v>
      </c>
      <c r="CH56" s="316" t="e">
        <f t="shared" si="89"/>
        <v>#DIV/0!</v>
      </c>
      <c r="CI56" s="1245"/>
      <c r="CJ56" s="1153">
        <f>SUM(CJ50:CJ52)</f>
        <v>0</v>
      </c>
      <c r="CK56" s="1221">
        <f t="shared" si="90"/>
        <v>0</v>
      </c>
      <c r="CL56" s="316" t="e">
        <f t="shared" si="91"/>
        <v>#DIV/0!</v>
      </c>
      <c r="CM56" s="1245"/>
      <c r="CN56" s="1153">
        <f>SUM(CN50:CN52)</f>
        <v>0</v>
      </c>
      <c r="CO56" s="1221">
        <f t="shared" si="92"/>
        <v>0</v>
      </c>
      <c r="CP56" s="316" t="e">
        <f t="shared" si="93"/>
        <v>#DIV/0!</v>
      </c>
      <c r="CQ56" s="316"/>
      <c r="CR56" s="1153">
        <f>SUM(CR50:CR52)</f>
        <v>0</v>
      </c>
      <c r="CS56" s="1221">
        <f t="shared" si="94"/>
        <v>0</v>
      </c>
      <c r="CT56" s="316" t="e">
        <f t="shared" si="95"/>
        <v>#DIV/0!</v>
      </c>
      <c r="CU56" s="1247"/>
      <c r="DE56" s="89"/>
    </row>
    <row r="57" spans="1:115" hidden="1" outlineLevel="2">
      <c r="D57" s="56"/>
      <c r="E57" s="56"/>
      <c r="F57" s="56"/>
      <c r="G57" s="56"/>
      <c r="H57" s="56"/>
      <c r="I57" s="56"/>
      <c r="J57" s="56"/>
      <c r="K57" s="56"/>
      <c r="L57" s="56"/>
      <c r="M57" s="56"/>
      <c r="N57" s="56"/>
      <c r="O57" s="56"/>
      <c r="P57" s="56"/>
      <c r="Q57" s="56"/>
      <c r="R57" s="56"/>
      <c r="S57" s="56"/>
      <c r="T57" s="56"/>
      <c r="U57" s="56"/>
      <c r="V57" s="56"/>
      <c r="W57" s="127"/>
      <c r="AO57" s="1226"/>
      <c r="AR57" s="61"/>
      <c r="AS57" s="61"/>
      <c r="AT57" s="1183"/>
      <c r="AV57" s="61"/>
      <c r="AW57" s="61"/>
      <c r="AX57" s="1183"/>
      <c r="AZ57" s="61"/>
      <c r="BA57" s="61"/>
      <c r="BB57" s="1183"/>
      <c r="BD57" s="61"/>
      <c r="BE57" s="61"/>
      <c r="BF57" s="1183"/>
      <c r="BH57" s="61"/>
      <c r="BI57" s="61"/>
      <c r="BJ57" s="1183"/>
      <c r="BL57" s="61"/>
      <c r="BM57" s="61"/>
      <c r="BN57" s="1183"/>
      <c r="BP57" s="61"/>
      <c r="BQ57" s="61"/>
      <c r="BR57" s="1183"/>
      <c r="BT57" s="61"/>
      <c r="BU57" s="61"/>
      <c r="BV57" s="1183"/>
      <c r="BX57" s="61"/>
      <c r="BY57" s="61"/>
      <c r="BZ57" s="1183"/>
      <c r="CB57" s="56"/>
      <c r="DE57" s="89"/>
    </row>
    <row r="58" spans="1:115" outlineLevel="1" collapsed="1">
      <c r="D58" s="1260"/>
      <c r="E58" s="127"/>
      <c r="F58" s="127"/>
      <c r="G58" s="127"/>
      <c r="H58" s="1260"/>
      <c r="I58" s="127"/>
      <c r="J58" s="127"/>
      <c r="K58" s="127"/>
      <c r="L58" s="1260"/>
      <c r="M58" s="127"/>
      <c r="N58" s="127"/>
      <c r="O58" s="127"/>
      <c r="P58" s="1260"/>
      <c r="Q58" s="127"/>
      <c r="R58" s="127"/>
      <c r="S58" s="127"/>
      <c r="U58" s="127"/>
      <c r="V58" s="127"/>
      <c r="Y58" s="127"/>
      <c r="Z58" s="1261"/>
      <c r="AA58" s="127"/>
      <c r="AC58" s="127"/>
      <c r="AD58" s="127"/>
      <c r="AE58" s="1260"/>
      <c r="AG58" s="127"/>
      <c r="AH58" s="127"/>
      <c r="AI58" s="127"/>
      <c r="AK58" s="127"/>
      <c r="AL58" s="127"/>
      <c r="AM58" s="127"/>
      <c r="AN58" s="1196"/>
      <c r="AO58" s="127"/>
      <c r="AP58" s="127"/>
      <c r="AQ58" s="127"/>
      <c r="AS58" s="1197"/>
      <c r="AT58" s="1198"/>
      <c r="AU58" s="127"/>
      <c r="AV58" s="1199"/>
      <c r="AW58" s="1197"/>
      <c r="AX58" s="1198"/>
      <c r="AY58" s="127"/>
      <c r="AZ58" s="1199"/>
      <c r="BA58" s="1197"/>
      <c r="BB58" s="1198"/>
      <c r="BC58" s="127"/>
      <c r="BD58" s="1199"/>
      <c r="BE58" s="1197"/>
      <c r="BF58" s="1198"/>
      <c r="BG58" s="127"/>
      <c r="BH58" s="1199"/>
      <c r="BI58" s="1197"/>
      <c r="BJ58" s="1198"/>
      <c r="BK58" s="127"/>
      <c r="BL58" s="1260"/>
      <c r="BM58" s="1197"/>
      <c r="BN58" s="1198"/>
      <c r="BO58" s="127"/>
      <c r="BQ58" s="1197"/>
      <c r="BR58" s="1198"/>
      <c r="BS58" s="127"/>
      <c r="BT58" s="1199"/>
      <c r="BU58" s="1197"/>
      <c r="BV58" s="1198"/>
      <c r="BW58" s="127"/>
      <c r="BX58" s="1260" t="s">
        <v>266</v>
      </c>
      <c r="BY58" s="1197"/>
      <c r="BZ58" s="1198"/>
      <c r="CA58" s="127"/>
      <c r="CB58" s="1230"/>
      <c r="CC58" s="127"/>
      <c r="CD58" s="127"/>
      <c r="CE58" s="127"/>
      <c r="CF58" s="1262"/>
      <c r="CG58" s="127"/>
      <c r="CH58" s="127"/>
      <c r="CI58" s="127"/>
      <c r="CJ58" s="1262"/>
      <c r="CK58" s="127"/>
      <c r="CL58" s="127"/>
      <c r="CM58" s="127"/>
      <c r="CN58" s="1262"/>
      <c r="CO58" s="127"/>
      <c r="CP58" s="127"/>
      <c r="CQ58" s="127"/>
      <c r="CR58" s="1884">
        <f>CR31-CN31</f>
        <v>172.40000000000009</v>
      </c>
      <c r="CS58" s="1197"/>
      <c r="CT58" s="1197"/>
      <c r="CU58" s="1197"/>
      <c r="CV58" s="179"/>
      <c r="DA58" s="3" t="s">
        <v>297</v>
      </c>
      <c r="DB58" s="564">
        <v>536.62099999999998</v>
      </c>
      <c r="DC58" s="221">
        <v>0.56000000000000005</v>
      </c>
      <c r="DE58" s="89">
        <f>+DB58/$DB$60*DC58</f>
        <v>0.31988471248163236</v>
      </c>
      <c r="DG58" s="221">
        <v>0.55000000000000004</v>
      </c>
      <c r="DH58" s="89">
        <f>+DB58/$DB$60*DG58</f>
        <v>0.31417248547303178</v>
      </c>
    </row>
    <row r="59" spans="1:115" outlineLevel="1">
      <c r="AR59" s="61"/>
      <c r="AS59" s="61"/>
      <c r="AT59" s="1183"/>
      <c r="AV59" s="61"/>
      <c r="AW59" s="61"/>
      <c r="AX59" s="1183"/>
      <c r="AZ59" s="1057"/>
      <c r="BA59" s="61"/>
      <c r="BB59" s="1183"/>
      <c r="BD59" s="1057"/>
      <c r="BE59" s="1227"/>
      <c r="BF59" s="1183"/>
      <c r="BH59" s="1057"/>
      <c r="BI59" s="61"/>
      <c r="BJ59" s="1183"/>
      <c r="BL59" s="1057"/>
      <c r="BM59" s="61"/>
      <c r="BN59" s="1183"/>
      <c r="BP59" s="1057"/>
      <c r="BQ59" s="61"/>
      <c r="BR59" s="1183"/>
      <c r="BT59" s="1057"/>
      <c r="BU59" s="61"/>
      <c r="BV59" s="1183"/>
      <c r="BX59" s="1057"/>
      <c r="BY59" s="61"/>
      <c r="BZ59" s="1183"/>
      <c r="CF59" s="705"/>
      <c r="CG59" s="359"/>
      <c r="CJ59" s="705"/>
      <c r="CK59" s="359"/>
      <c r="CN59" s="705"/>
      <c r="CO59" s="359"/>
      <c r="CR59" s="1065"/>
      <c r="CS59" s="987">
        <f>CO61-CS61</f>
        <v>-0.77523917185848035</v>
      </c>
      <c r="CV59" s="154"/>
      <c r="CW59" s="154"/>
      <c r="CX59" s="154"/>
      <c r="CY59" s="154"/>
      <c r="DA59" s="3" t="s">
        <v>180</v>
      </c>
      <c r="DB59" s="564">
        <v>102.65200000000002</v>
      </c>
      <c r="DC59" s="221">
        <v>0.75</v>
      </c>
      <c r="DE59" s="89">
        <f>+DB59/$DB$60*DC59</f>
        <v>8.1953305063564408E-2</v>
      </c>
      <c r="DG59" s="221">
        <v>0.5</v>
      </c>
      <c r="DH59" s="89">
        <f>+DB59/$DB$60*DG59</f>
        <v>5.4635536709042941E-2</v>
      </c>
    </row>
    <row r="60" spans="1:115" outlineLevel="1">
      <c r="A60" s="3" t="str">
        <f>$A$10</f>
        <v>1Q</v>
      </c>
      <c r="B60" s="3" t="str">
        <f>$B$10</f>
        <v>Sept</v>
      </c>
      <c r="D60" s="1210"/>
      <c r="E60" s="1217"/>
      <c r="F60" s="22"/>
      <c r="H60" s="1210"/>
      <c r="I60" s="1217"/>
      <c r="J60" s="22"/>
      <c r="L60" s="1210"/>
      <c r="M60" s="1217"/>
      <c r="N60" s="22"/>
      <c r="P60" s="1210"/>
      <c r="Q60" s="1217"/>
      <c r="R60" s="22"/>
      <c r="T60" s="1210"/>
      <c r="U60" s="1217"/>
      <c r="V60" s="22"/>
      <c r="X60" s="1210">
        <f>X10-X20-X30</f>
        <v>3.0489999999999995</v>
      </c>
      <c r="Y60" s="1217">
        <f t="shared" ref="Y60:Y66" si="96">X60/X10*100</f>
        <v>2.5831977768740679</v>
      </c>
      <c r="Z60" s="22"/>
      <c r="AB60" s="1210">
        <f>AB10-AB20-AB30-AB40</f>
        <v>11.792000000000019</v>
      </c>
      <c r="AC60" s="1217">
        <f t="shared" ref="AC60:AC66" si="97">AB60/AB10*100</f>
        <v>8.9676413551846217</v>
      </c>
      <c r="AD60" s="22">
        <f t="shared" ref="AD60:AD66" si="98">IF(X60&lt;0,"       NM",(AB60/X60-1)*100)</f>
        <v>286.74975401771144</v>
      </c>
      <c r="AF60" s="1210">
        <f>AF10-AF20-AF30-AF40</f>
        <v>19.47</v>
      </c>
      <c r="AG60" s="1217">
        <f t="shared" ref="AG60:AG66" si="99">AF60/AF10*100</f>
        <v>12.919536568857746</v>
      </c>
      <c r="AH60" s="22">
        <f t="shared" ref="AH60:AH66" si="100">IF(AB60&lt;0,"       NM",(AF60/AB60-1)*100)</f>
        <v>65.111940298507179</v>
      </c>
      <c r="AJ60" s="1210">
        <f>AJ10-AJ20-AJ30</f>
        <v>37.60799999999999</v>
      </c>
      <c r="AK60" s="1217">
        <f t="shared" ref="AK60:AK66" si="101">AJ60/AJ10*100</f>
        <v>19.50713466914949</v>
      </c>
      <c r="AL60" s="22">
        <f t="shared" ref="AL60:AL66" si="102">IF(AF60&lt;0,"       NM",(AJ60/AF60-1)*100)</f>
        <v>93.158705701078532</v>
      </c>
      <c r="AN60" s="1210">
        <f>AN10-AN20-AN30</f>
        <v>71.624999999999986</v>
      </c>
      <c r="AO60" s="1217">
        <f t="shared" ref="AO60:AO66" si="103">AN60/AN10*100</f>
        <v>27.721335268505076</v>
      </c>
      <c r="AP60" s="22">
        <f t="shared" ref="AP60:AP66" si="104">IF(AK60&lt;0,"       NM",(AN60/AK60-1)*100)</f>
        <v>267.17335074984044</v>
      </c>
      <c r="AR60" s="132">
        <f>AR10-AR20-AR30</f>
        <v>100.55699999999999</v>
      </c>
      <c r="AS60" s="1221">
        <f t="shared" ref="AS60:AS66" si="105">AR60/AR10*100</f>
        <v>29.226163660936155</v>
      </c>
      <c r="AT60" s="22">
        <f>IF(AN60&lt;0,"       NM",(AR60/AN60-1)*100)</f>
        <v>40.393717277486928</v>
      </c>
      <c r="AV60" s="132">
        <f>AV10-AV20-AV30</f>
        <v>135.60000000000002</v>
      </c>
      <c r="AW60" s="1221">
        <f t="shared" ref="AW60:AW66" si="106">AV60/AV10*100</f>
        <v>31.244239631336413</v>
      </c>
      <c r="AX60" s="1263">
        <f t="shared" ref="AX60:AX66" si="107">IF(AR60&lt;0,"       NM",(AV60/AR60-1)*100)</f>
        <v>34.84889167337932</v>
      </c>
      <c r="AY60" s="22"/>
      <c r="AZ60" s="132">
        <f>AZ10-AZ20-AZ30</f>
        <v>180.65400000000005</v>
      </c>
      <c r="BA60" s="1221">
        <f t="shared" ref="BA60:BA66" si="108">AZ60/AZ10*100</f>
        <v>34.122938077635759</v>
      </c>
      <c r="BB60" s="1263">
        <f t="shared" ref="BB60:BB66" si="109">IF(AV60&lt;0,"       NM",(AZ60/AV60-1)*100)</f>
        <v>33.225663716814168</v>
      </c>
      <c r="BC60" s="22"/>
      <c r="BD60" s="132">
        <f>BD10-BD20-BD30</f>
        <v>238.75799999999998</v>
      </c>
      <c r="BE60" s="1221">
        <f t="shared" ref="BE60:BE66" si="110">BD60/BD10*100</f>
        <v>35.281756950457947</v>
      </c>
      <c r="BF60" s="1263">
        <f t="shared" ref="BF60:BF66" si="111">IF(AZ60&lt;0,"       NM",(BD60/AZ60-1)*100)</f>
        <v>32.163140589192537</v>
      </c>
      <c r="BG60" s="22"/>
      <c r="BH60" s="132">
        <f>BH10-BH20-BH30</f>
        <v>233.48599999999999</v>
      </c>
      <c r="BI60" s="1221">
        <f t="shared" ref="BI60:BI66" si="112">BH60/BH10*100</f>
        <v>31.02684414819894</v>
      </c>
      <c r="BJ60" s="1263">
        <f t="shared" ref="BJ60:BJ66" si="113">IF(BD60&lt;0,"       NM",(BH60/BD60-1)*100)</f>
        <v>-2.2080935507920119</v>
      </c>
      <c r="BK60" s="22"/>
      <c r="BL60" s="132">
        <f>BL10-BL20-BL30</f>
        <v>223.24700000000001</v>
      </c>
      <c r="BM60" s="1221">
        <f t="shared" ref="BM60:BM66" si="114">BL60/BL10*100</f>
        <v>29.319168887248715</v>
      </c>
      <c r="BN60" s="1263">
        <f>IF(BH60&lt;0,"       NM",(BL60/BH60-1)*100)</f>
        <v>-4.3852736352500639</v>
      </c>
      <c r="BO60" s="22"/>
      <c r="BP60" s="132">
        <f>BP10-BP20-BP30</f>
        <v>285.66000000000003</v>
      </c>
      <c r="BQ60" s="1221">
        <f t="shared" ref="BQ60:BQ66" si="115">BP60/BP10*100</f>
        <v>31.333740644905117</v>
      </c>
      <c r="BR60" s="1263">
        <f>IF(BL60&lt;0,"       NM",(BP60/BL60-1)*100)</f>
        <v>27.95692663283269</v>
      </c>
      <c r="BS60" s="22"/>
      <c r="BT60" s="132">
        <f>BT10-BT20-BT30</f>
        <v>321.96599999999989</v>
      </c>
      <c r="BU60" s="1221">
        <f t="shared" ref="BU60:BU66" si="116">BT60/BT10*100</f>
        <v>30.652948182478557</v>
      </c>
      <c r="BV60" s="1263">
        <f>IF(BP60&lt;0,"       NM",(BT60/BP60-1)*100)</f>
        <v>12.709514807813438</v>
      </c>
      <c r="BW60" s="22"/>
      <c r="BX60" s="132">
        <f>BX10-BX20-BX30</f>
        <v>331.71699999999987</v>
      </c>
      <c r="BY60" s="1221">
        <f t="shared" ref="BY60:BY66" si="117">BX60/BX10*100</f>
        <v>28.563051620958358</v>
      </c>
      <c r="BZ60" s="1263">
        <f>IF(BT60&lt;0,"       NM",(BX60/BT60-1)*100)</f>
        <v>3.0285806575849561</v>
      </c>
      <c r="CA60" s="22"/>
      <c r="CB60" s="132">
        <f>CB10-CB20-CB30</f>
        <v>321.63399999999996</v>
      </c>
      <c r="CC60" s="1221">
        <f t="shared" ref="CC60:CC66" si="118">CB60/CB10*100</f>
        <v>27.94970280510271</v>
      </c>
      <c r="CD60" s="1263">
        <f t="shared" ref="CD60:CD66" si="119">IF(BX60&lt;0,"       NM",(CB60/BX60-1)*100)</f>
        <v>-3.0396392105318415</v>
      </c>
      <c r="CE60" s="22"/>
      <c r="CF60" s="132">
        <f>CF10-CF20-CF30</f>
        <v>216.89999999999998</v>
      </c>
      <c r="CG60" s="1221">
        <f t="shared" ref="CG60:CG66" si="120">CF60/CF10*100</f>
        <v>20.879861378513667</v>
      </c>
      <c r="CH60" s="1263">
        <f t="shared" ref="CH60:CH66" si="121">IF(CB60&lt;0,"       NM",(CF60/CB60-1)*100)</f>
        <v>-32.563099672298321</v>
      </c>
      <c r="CI60" s="22"/>
      <c r="CJ60" s="132">
        <f>CJ10-CJ20-CJ30</f>
        <v>164.99999999999989</v>
      </c>
      <c r="CK60" s="1221">
        <f t="shared" ref="CK60:CK66" si="122">CJ60/CJ10*100</f>
        <v>16.01475298456759</v>
      </c>
      <c r="CL60" s="1263">
        <f t="shared" ref="CL60:CL66" si="123">IF(CF60&lt;0,"       NM",(CJ60/CF60-1)*100)</f>
        <v>-23.928077455048459</v>
      </c>
      <c r="CM60" s="22"/>
      <c r="CN60" s="132">
        <f>CN10-CN20-CN30</f>
        <v>176.79999999999995</v>
      </c>
      <c r="CO60" s="1221">
        <f t="shared" ref="CO60:CO66" si="124">CN60/CN10*100</f>
        <v>17.039321511179644</v>
      </c>
      <c r="CP60" s="1263">
        <f t="shared" ref="CP60:CP66" si="125">IF(CJ60&lt;0,"       NM",(CN60/CJ60-1)*100)</f>
        <v>7.1515151515151976</v>
      </c>
      <c r="CQ60" s="1263"/>
      <c r="CR60" s="132">
        <f>CR10-CR20-CR30</f>
        <v>168.80000000000007</v>
      </c>
      <c r="CS60" s="1221">
        <f t="shared" ref="CS60:CS66" si="126">CR60/CR10*100</f>
        <v>13.096438823803247</v>
      </c>
      <c r="CT60" s="1263">
        <f t="shared" ref="CT60:CT66" si="127">IF(CN60&lt;0,"       NM",(CR60/CN60-1)*100)</f>
        <v>-4.5248868778279938</v>
      </c>
      <c r="CU60" s="316"/>
      <c r="CV60" s="1007"/>
      <c r="CW60" s="1372">
        <f>CC60-CG60</f>
        <v>7.0698414265890435</v>
      </c>
      <c r="CX60" s="154"/>
      <c r="CY60" s="1007"/>
      <c r="DB60" s="564">
        <f>SUM(DB30:DB59)</f>
        <v>939.42520000000002</v>
      </c>
      <c r="DE60" s="2">
        <f>SUM(DE30:DE59)</f>
        <v>0.65424793586546315</v>
      </c>
      <c r="DH60" s="2">
        <f>SUM(DH30:DH59)</f>
        <v>0.48383026344194296</v>
      </c>
    </row>
    <row r="61" spans="1:115" outlineLevel="1">
      <c r="A61" s="3" t="str">
        <f>$A$11</f>
        <v>2Q</v>
      </c>
      <c r="B61" s="3" t="str">
        <f>$B$11</f>
        <v>Dec</v>
      </c>
      <c r="D61" s="1212"/>
      <c r="E61" s="1217"/>
      <c r="F61" s="22"/>
      <c r="H61" s="1212"/>
      <c r="I61" s="1217"/>
      <c r="J61" s="22"/>
      <c r="L61" s="1212"/>
      <c r="M61" s="1217"/>
      <c r="N61" s="22"/>
      <c r="P61" s="1212"/>
      <c r="Q61" s="1217"/>
      <c r="R61" s="22"/>
      <c r="S61" s="165"/>
      <c r="T61" s="1212"/>
      <c r="U61" s="1217"/>
      <c r="V61" s="22"/>
      <c r="X61" s="1212">
        <f>X11-X21-X31</f>
        <v>40.820999999999984</v>
      </c>
      <c r="Y61" s="1217">
        <f t="shared" si="96"/>
        <v>21.027878513145957</v>
      </c>
      <c r="Z61" s="22"/>
      <c r="AB61" s="1212">
        <f>AB11-AB21-AB31-AB41</f>
        <v>61.712000000000003</v>
      </c>
      <c r="AC61" s="1217">
        <f t="shared" si="97"/>
        <v>29.243512709213949</v>
      </c>
      <c r="AD61" s="22">
        <f t="shared" si="98"/>
        <v>51.177090223169522</v>
      </c>
      <c r="AF61" s="1210">
        <f>AF11-AF21-AF31-AF41</f>
        <v>69.940999999999988</v>
      </c>
      <c r="AG61" s="1217">
        <f t="shared" si="99"/>
        <v>29.667444326617176</v>
      </c>
      <c r="AH61" s="22">
        <f t="shared" si="100"/>
        <v>13.334521648949927</v>
      </c>
      <c r="AJ61" s="1212">
        <f>AJ11-AJ21-AJ31</f>
        <v>102.60000000000004</v>
      </c>
      <c r="AK61" s="1217">
        <f t="shared" si="101"/>
        <v>33.255219221905669</v>
      </c>
      <c r="AL61" s="22">
        <f t="shared" si="102"/>
        <v>46.695071560315206</v>
      </c>
      <c r="AN61" s="1212">
        <f>AN11-AN21-AN31</f>
        <v>160.70399999999998</v>
      </c>
      <c r="AO61" s="1217">
        <f t="shared" si="103"/>
        <v>39.0519862069971</v>
      </c>
      <c r="AP61" s="1264">
        <f t="shared" si="104"/>
        <v>383.24444631578933</v>
      </c>
      <c r="AR61" s="151">
        <f>AR11-AR21-AR31</f>
        <v>211.49</v>
      </c>
      <c r="AS61" s="1221">
        <f t="shared" si="105"/>
        <v>39.771776312201581</v>
      </c>
      <c r="AT61" s="1263">
        <f t="shared" ref="AT61:AT66" si="128">IF(AN61&lt;0,"       NM",(AR61/AN61-1)*100)</f>
        <v>31.602200318598193</v>
      </c>
      <c r="AV61" s="151">
        <f>AV11-AV21-AV31</f>
        <v>253.29999999999995</v>
      </c>
      <c r="AW61" s="1221">
        <f t="shared" si="106"/>
        <v>40.868021942562109</v>
      </c>
      <c r="AX61" s="1263">
        <f t="shared" si="107"/>
        <v>19.769256229608946</v>
      </c>
      <c r="AY61" s="1264"/>
      <c r="AZ61" s="151">
        <f>AZ11-AZ21-AZ31</f>
        <v>340.71499999999997</v>
      </c>
      <c r="BA61" s="1221">
        <f t="shared" si="108"/>
        <v>42.293164250877915</v>
      </c>
      <c r="BB61" s="1263">
        <f t="shared" si="109"/>
        <v>34.510461902881964</v>
      </c>
      <c r="BC61" s="1264"/>
      <c r="BD61" s="151">
        <f>BD11-BD21-BD31</f>
        <v>403.06300000000005</v>
      </c>
      <c r="BE61" s="1221">
        <f t="shared" si="110"/>
        <v>41.212269316382027</v>
      </c>
      <c r="BF61" s="1263">
        <f t="shared" si="111"/>
        <v>18.29916499126838</v>
      </c>
      <c r="BG61" s="1264"/>
      <c r="BH61" s="151">
        <f>BH11-BH21-BH31</f>
        <v>348.36299999999994</v>
      </c>
      <c r="BI61" s="1221">
        <f t="shared" si="112"/>
        <v>36.27813832977872</v>
      </c>
      <c r="BJ61" s="1263">
        <f t="shared" si="113"/>
        <v>-13.571079459042412</v>
      </c>
      <c r="BK61" s="1264"/>
      <c r="BL61" s="151">
        <f>BL11-BL21-BL31</f>
        <v>380.8370000000001</v>
      </c>
      <c r="BM61" s="1221">
        <f t="shared" si="114"/>
        <v>35.759174839554753</v>
      </c>
      <c r="BN61" s="1263">
        <f>IF(BH61&lt;0,"       NM",(BL61/BH61-1)*100)</f>
        <v>9.321885504488181</v>
      </c>
      <c r="BO61" s="1264"/>
      <c r="BP61" s="151">
        <f>BP11-BP21-BP31</f>
        <v>453.33500000000015</v>
      </c>
      <c r="BQ61" s="1221">
        <f t="shared" si="115"/>
        <v>35.852148392551122</v>
      </c>
      <c r="BR61" s="1263">
        <f>IF(BL61&lt;0,"       NM",(BP61/BL61-1)*100)</f>
        <v>19.036490677113839</v>
      </c>
      <c r="BS61" s="1264"/>
      <c r="BT61" s="151">
        <f>BT11-BT21-BT31</f>
        <v>521.17099999999982</v>
      </c>
      <c r="BU61" s="1221">
        <f t="shared" si="116"/>
        <v>35.976347617676872</v>
      </c>
      <c r="BV61" s="1263">
        <f>IF(BP61&lt;0,"       NM",(BT61/BP61-1)*100)</f>
        <v>14.963768515556852</v>
      </c>
      <c r="BW61" s="1264"/>
      <c r="BX61" s="151">
        <f>BX11-BX21-BX31</f>
        <v>526.57699999999988</v>
      </c>
      <c r="BY61" s="1221">
        <f t="shared" si="117"/>
        <v>35.017030484633985</v>
      </c>
      <c r="BZ61" s="1263">
        <f>IF(BT61&lt;0,"       NM",(BX61/BT61-1)*100)</f>
        <v>1.0372795109474753</v>
      </c>
      <c r="CA61" s="1264"/>
      <c r="CB61" s="151">
        <f>CB11-CB21-CB31</f>
        <v>435.9430000000001</v>
      </c>
      <c r="CC61" s="1221">
        <f t="shared" si="118"/>
        <v>30.708342490687677</v>
      </c>
      <c r="CD61" s="1263">
        <f t="shared" si="119"/>
        <v>-17.211917725232929</v>
      </c>
      <c r="CE61" s="1264"/>
      <c r="CF61" s="151">
        <f>CF11-CF21-CF31</f>
        <v>299.00000000000011</v>
      </c>
      <c r="CG61" s="1221">
        <f t="shared" si="120"/>
        <v>24.520255863539454</v>
      </c>
      <c r="CH61" s="1263">
        <f t="shared" si="121"/>
        <v>-31.413051706301044</v>
      </c>
      <c r="CI61" s="1264"/>
      <c r="CJ61" s="151">
        <f>CJ11-CJ21-CJ31</f>
        <v>284.99999999999989</v>
      </c>
      <c r="CK61" s="1221">
        <f t="shared" si="122"/>
        <v>22.373999057936874</v>
      </c>
      <c r="CL61" s="1263">
        <f t="shared" si="123"/>
        <v>-4.6822742474917138</v>
      </c>
      <c r="CM61" s="1264"/>
      <c r="CN61" s="151">
        <f>CN11-CN21-CN31</f>
        <v>294.30000000000018</v>
      </c>
      <c r="CO61" s="1221">
        <f t="shared" si="124"/>
        <v>22.266777634864205</v>
      </c>
      <c r="CP61" s="1263">
        <f t="shared" si="125"/>
        <v>3.2631578947369455</v>
      </c>
      <c r="CQ61" s="1263"/>
      <c r="CR61" s="151">
        <f>CR11-CR21-CR31</f>
        <v>411.29999999999995</v>
      </c>
      <c r="CS61" s="1221">
        <f t="shared" si="126"/>
        <v>23.042016806722685</v>
      </c>
      <c r="CT61" s="1263">
        <f t="shared" si="127"/>
        <v>39.755351681957073</v>
      </c>
      <c r="CU61" s="1263"/>
      <c r="CV61" s="1265"/>
      <c r="CW61" s="1372">
        <f>CC61-CG61</f>
        <v>6.1880866271482233</v>
      </c>
      <c r="CX61" s="154"/>
      <c r="CY61" s="1265"/>
      <c r="DK61" s="3">
        <f>0.675*75</f>
        <v>50.625</v>
      </c>
    </row>
    <row r="62" spans="1:115" outlineLevel="1">
      <c r="A62" s="3" t="str">
        <f>$A$12</f>
        <v>3Q</v>
      </c>
      <c r="B62" s="3" t="str">
        <f>$B$12</f>
        <v>Mar</v>
      </c>
      <c r="D62" s="1212"/>
      <c r="E62" s="1217"/>
      <c r="F62" s="22"/>
      <c r="H62" s="1212"/>
      <c r="I62" s="1217"/>
      <c r="J62" s="22"/>
      <c r="L62" s="1212"/>
      <c r="M62" s="1217"/>
      <c r="N62" s="22"/>
      <c r="P62" s="1212"/>
      <c r="Q62" s="1217"/>
      <c r="R62" s="22"/>
      <c r="S62" s="165"/>
      <c r="T62" s="1212"/>
      <c r="U62" s="1217"/>
      <c r="V62" s="22"/>
      <c r="X62" s="1212">
        <f>X12-X22-X32</f>
        <v>4.4689999999999941</v>
      </c>
      <c r="Y62" s="1217">
        <f t="shared" si="96"/>
        <v>3.8836554505005512</v>
      </c>
      <c r="Z62" s="22"/>
      <c r="AB62" s="1212">
        <f>AB12-AB22-AB32-AB42</f>
        <v>12.726000000000013</v>
      </c>
      <c r="AC62" s="1217">
        <f t="shared" si="97"/>
        <v>10.122977552221721</v>
      </c>
      <c r="AD62" s="22">
        <f t="shared" si="98"/>
        <v>184.76169165361446</v>
      </c>
      <c r="AF62" s="1210">
        <f>AF12-AF22-AF32-AF42</f>
        <v>19.259999999999991</v>
      </c>
      <c r="AG62" s="1217">
        <f t="shared" si="99"/>
        <v>11.920456022429763</v>
      </c>
      <c r="AH62" s="22">
        <f t="shared" si="100"/>
        <v>51.34370579915111</v>
      </c>
      <c r="AJ62" s="1212">
        <f>AJ12-AJ22-AJ32</f>
        <v>52.746999999999986</v>
      </c>
      <c r="AK62" s="1217">
        <f t="shared" si="101"/>
        <v>23.932829996914641</v>
      </c>
      <c r="AL62" s="22">
        <f t="shared" si="102"/>
        <v>173.86812045690556</v>
      </c>
      <c r="AN62" s="1212">
        <f>AN12-AN22-AN32</f>
        <v>100.869</v>
      </c>
      <c r="AO62" s="1217">
        <f t="shared" si="103"/>
        <v>32.219003235667081</v>
      </c>
      <c r="AP62" s="22">
        <f t="shared" si="104"/>
        <v>321.46708104726338</v>
      </c>
      <c r="AR62" s="151">
        <f>AR12-AR22-AR32</f>
        <v>132.33600000000001</v>
      </c>
      <c r="AS62" s="1221">
        <f t="shared" si="105"/>
        <v>31.816203818348367</v>
      </c>
      <c r="AT62" s="316">
        <f t="shared" si="128"/>
        <v>31.195907563275149</v>
      </c>
      <c r="AV62" s="151">
        <f>AV12-AV22-AV32</f>
        <v>153.67600000000002</v>
      </c>
      <c r="AW62" s="1221">
        <f t="shared" si="106"/>
        <v>32.03465369237761</v>
      </c>
      <c r="AX62" s="316">
        <f t="shared" si="107"/>
        <v>16.125619634868826</v>
      </c>
      <c r="AY62" s="22"/>
      <c r="AZ62" s="151">
        <f>AZ12-AZ22-AZ32</f>
        <v>226.62699999999995</v>
      </c>
      <c r="BA62" s="1221">
        <f t="shared" si="108"/>
        <v>36.242749515035108</v>
      </c>
      <c r="BB62" s="316">
        <f t="shared" si="109"/>
        <v>47.470652541711075</v>
      </c>
      <c r="BC62" s="22"/>
      <c r="BD62" s="151">
        <f>BD12-BD22-BD32</f>
        <v>256.69200000000001</v>
      </c>
      <c r="BE62" s="1221">
        <f t="shared" si="110"/>
        <v>34.477423098310055</v>
      </c>
      <c r="BF62" s="316">
        <f t="shared" si="111"/>
        <v>13.266292189368457</v>
      </c>
      <c r="BG62" s="22"/>
      <c r="BH62" s="151">
        <f>BH12-BH22-BH32</f>
        <v>198.77699999999999</v>
      </c>
      <c r="BI62" s="1221">
        <f t="shared" si="112"/>
        <v>26.863971219249155</v>
      </c>
      <c r="BJ62" s="316">
        <f t="shared" si="113"/>
        <v>-22.562058809779817</v>
      </c>
      <c r="BK62" s="22"/>
      <c r="BL62" s="151">
        <f>BL12-BL22-BL32</f>
        <v>249.12200000000007</v>
      </c>
      <c r="BM62" s="1221">
        <f t="shared" si="114"/>
        <v>29.990525708796174</v>
      </c>
      <c r="BN62" s="316">
        <f>IF(BH62&lt;0,"       NM",(BL62/BH62-1)*100)</f>
        <v>25.32737690980349</v>
      </c>
      <c r="BO62" s="22"/>
      <c r="BP62" s="151">
        <f>BP12-BP22-BP32</f>
        <v>279.51499999999999</v>
      </c>
      <c r="BQ62" s="1221">
        <f t="shared" si="115"/>
        <v>29.400782155577009</v>
      </c>
      <c r="BR62" s="316">
        <f>IF(BL62&lt;0,"       NM",(BP62/BL62-1)*100)</f>
        <v>12.200046563531085</v>
      </c>
      <c r="BS62" s="22"/>
      <c r="BT62" s="151">
        <f>BT12-BT22-BT32</f>
        <v>337.49200000000002</v>
      </c>
      <c r="BU62" s="1221">
        <f t="shared" si="116"/>
        <v>30.432622380365398</v>
      </c>
      <c r="BV62" s="316">
        <f>IF(BP62&lt;0,"       NM",(BT62/BP62-1)*100)</f>
        <v>20.741999534908693</v>
      </c>
      <c r="BW62" s="22"/>
      <c r="BX62" s="151">
        <f>BX12-BX22-BX32</f>
        <v>348.49299999999994</v>
      </c>
      <c r="BY62" s="1221">
        <f t="shared" si="117"/>
        <v>29.344851453967653</v>
      </c>
      <c r="BZ62" s="316">
        <f>IF(BT62&lt;0,"       NM",(BX62/BT62-1)*100)</f>
        <v>3.259632820926095</v>
      </c>
      <c r="CA62" s="22"/>
      <c r="CB62" s="151">
        <f>CB12-CB22-CB32</f>
        <v>262.70899999999995</v>
      </c>
      <c r="CC62" s="1221">
        <f t="shared" si="118"/>
        <v>23.890759221771763</v>
      </c>
      <c r="CD62" s="316">
        <f t="shared" si="119"/>
        <v>-24.615702467481416</v>
      </c>
      <c r="CE62" s="22"/>
      <c r="CF62" s="151">
        <f>CF12-CF22-CF32</f>
        <v>146.5</v>
      </c>
      <c r="CG62" s="1221">
        <f t="shared" si="120"/>
        <v>15.764553965350265</v>
      </c>
      <c r="CH62" s="316">
        <f t="shared" si="121"/>
        <v>-44.234875851227009</v>
      </c>
      <c r="CI62" s="22"/>
      <c r="CJ62" s="151">
        <f>CJ12-CJ22-CJ32</f>
        <v>151.79999999999973</v>
      </c>
      <c r="CK62" s="1221">
        <f t="shared" si="122"/>
        <v>14.693640499467598</v>
      </c>
      <c r="CL62" s="316">
        <f t="shared" si="123"/>
        <v>3.617747440272856</v>
      </c>
      <c r="CM62" s="22"/>
      <c r="CN62" s="151">
        <f>CN12-CN22-CN32</f>
        <v>162</v>
      </c>
      <c r="CO62" s="1221">
        <f t="shared" si="124"/>
        <v>16.278135048231508</v>
      </c>
      <c r="CP62" s="316">
        <f t="shared" si="125"/>
        <v>6.7193675889329896</v>
      </c>
      <c r="CQ62" s="316"/>
      <c r="CR62" s="151">
        <f>CR12-CR22-CR32</f>
        <v>188.65935644600233</v>
      </c>
      <c r="CS62" s="1221">
        <f t="shared" si="126"/>
        <v>14.450000000000006</v>
      </c>
      <c r="CT62" s="316">
        <f t="shared" si="127"/>
        <v>16.456392867902679</v>
      </c>
      <c r="CU62" s="316"/>
      <c r="CV62" s="1265"/>
      <c r="CW62" s="1372">
        <f>CC62-CG62</f>
        <v>8.1262052564214979</v>
      </c>
      <c r="CX62" s="154"/>
      <c r="CY62" s="1265"/>
    </row>
    <row r="63" spans="1:115" outlineLevel="1">
      <c r="A63" s="3" t="str">
        <f>$A$13</f>
        <v>4Q</v>
      </c>
      <c r="B63" s="3" t="str">
        <f>$B$13</f>
        <v>June</v>
      </c>
      <c r="D63" s="1266"/>
      <c r="E63" s="1217"/>
      <c r="F63" s="22"/>
      <c r="H63" s="1266"/>
      <c r="I63" s="1217"/>
      <c r="J63" s="22"/>
      <c r="L63" s="1266"/>
      <c r="M63" s="1217"/>
      <c r="N63" s="22"/>
      <c r="P63" s="1266"/>
      <c r="Q63" s="1217"/>
      <c r="R63" s="22"/>
      <c r="S63" s="165"/>
      <c r="T63" s="1266"/>
      <c r="U63" s="1217"/>
      <c r="V63" s="22"/>
      <c r="X63" s="1266">
        <f>X13-X23-X33</f>
        <v>7.6779999999999973</v>
      </c>
      <c r="Y63" s="1217">
        <f t="shared" si="96"/>
        <v>6.3096822970596431</v>
      </c>
      <c r="Z63" s="22"/>
      <c r="AB63" s="1266">
        <f>AB13-AB23-AB33-AB43</f>
        <v>15.457999999999984</v>
      </c>
      <c r="AC63" s="1217">
        <f t="shared" si="97"/>
        <v>11.688115293299246</v>
      </c>
      <c r="AD63" s="22">
        <f t="shared" si="98"/>
        <v>101.32847095597799</v>
      </c>
      <c r="AF63" s="1267">
        <f>AF13-AF23-AF33-AF43</f>
        <v>24.963999999999992</v>
      </c>
      <c r="AG63" s="1217">
        <f t="shared" si="99"/>
        <v>14.56646049714085</v>
      </c>
      <c r="AH63" s="22">
        <f t="shared" si="100"/>
        <v>61.49566567473164</v>
      </c>
      <c r="AJ63" s="1266">
        <f>AJ13-AJ23-AJ33</f>
        <v>50.806999999999988</v>
      </c>
      <c r="AK63" s="1217">
        <f t="shared" si="101"/>
        <v>21.945351509182949</v>
      </c>
      <c r="AL63" s="22">
        <f t="shared" si="102"/>
        <v>103.52107034129148</v>
      </c>
      <c r="AN63" s="1266">
        <f>AN13-AN23-AN33</f>
        <v>111.26699999999997</v>
      </c>
      <c r="AO63" s="1217">
        <f t="shared" si="103"/>
        <v>32.905114669742261</v>
      </c>
      <c r="AP63" s="22">
        <f t="shared" si="104"/>
        <v>407.01853626468784</v>
      </c>
      <c r="AR63" s="1209">
        <f>AR13-AR23-AR33</f>
        <v>128.18</v>
      </c>
      <c r="AS63" s="1221">
        <f t="shared" si="105"/>
        <v>30.616729565757417</v>
      </c>
      <c r="AT63" s="316">
        <f t="shared" si="128"/>
        <v>15.200373875452788</v>
      </c>
      <c r="AV63" s="1209">
        <f>AV13-AV23-AV33</f>
        <v>172.17099999999999</v>
      </c>
      <c r="AW63" s="1221">
        <f t="shared" si="106"/>
        <v>34.326209744144919</v>
      </c>
      <c r="AX63" s="316">
        <f t="shared" si="107"/>
        <v>34.319706662505837</v>
      </c>
      <c r="AY63" s="22"/>
      <c r="AZ63" s="1209">
        <f>AZ13-AZ23-AZ33</f>
        <v>245.40100000000001</v>
      </c>
      <c r="BA63" s="1221">
        <f t="shared" si="108"/>
        <v>37.630744837294458</v>
      </c>
      <c r="BB63" s="316">
        <f t="shared" si="109"/>
        <v>42.533295386563367</v>
      </c>
      <c r="BC63" s="22"/>
      <c r="BD63" s="1209">
        <f>BD13-BD23-BD33</f>
        <v>280.71600000000001</v>
      </c>
      <c r="BE63" s="1221">
        <f t="shared" si="110"/>
        <v>35.920153550863724</v>
      </c>
      <c r="BF63" s="316">
        <f t="shared" si="111"/>
        <v>14.390731904107978</v>
      </c>
      <c r="BG63" s="22"/>
      <c r="BH63" s="1209">
        <f>BH13-BH23-BH33</f>
        <v>219.68700000000001</v>
      </c>
      <c r="BI63" s="1221">
        <f t="shared" si="112"/>
        <v>28.246698142319325</v>
      </c>
      <c r="BJ63" s="316">
        <f t="shared" si="113"/>
        <v>-21.740477920745516</v>
      </c>
      <c r="BK63" s="22"/>
      <c r="BL63" s="1209">
        <f>BL13-BL23-BL33</f>
        <v>296.96500000000003</v>
      </c>
      <c r="BM63" s="1221">
        <f t="shared" si="114"/>
        <v>31.242208253333686</v>
      </c>
      <c r="BN63" s="316">
        <f>IF(BH63&lt;0,"       NM",(BL63/BH63-1)*100)</f>
        <v>35.176410074333035</v>
      </c>
      <c r="BO63" s="22"/>
      <c r="BP63" s="1209">
        <f>BP13-BP23-BP33</f>
        <v>312.09199999999998</v>
      </c>
      <c r="BQ63" s="1221">
        <f t="shared" si="115"/>
        <v>30.250999588048561</v>
      </c>
      <c r="BR63" s="316">
        <f>IF(BL63&lt;0,"       NM",(BP63/BL63-1)*100)</f>
        <v>5.0938662805380952</v>
      </c>
      <c r="BS63" s="22"/>
      <c r="BT63" s="1209">
        <f>BT13-BT23-BT33</f>
        <v>370.56900000000007</v>
      </c>
      <c r="BU63" s="1221">
        <f t="shared" si="116"/>
        <v>32.078591332515586</v>
      </c>
      <c r="BV63" s="316">
        <f>IF(BP63&lt;0,"       NM",(BT63/BP63-1)*100)</f>
        <v>18.737103161888193</v>
      </c>
      <c r="BW63" s="22"/>
      <c r="BX63" s="1209">
        <f>BX13-BX23-BX33</f>
        <v>370.95600000000013</v>
      </c>
      <c r="BY63" s="1221">
        <f t="shared" si="117"/>
        <v>30.339383391347596</v>
      </c>
      <c r="BZ63" s="316">
        <f>IF(BT63&lt;0,"       NM",(BX63/BT63-1)*100)</f>
        <v>0.10443399205006809</v>
      </c>
      <c r="CA63" s="22"/>
      <c r="CB63" s="1209">
        <f>CB13-CB23-CB33</f>
        <v>231.29499999999985</v>
      </c>
      <c r="CC63" s="1221">
        <f t="shared" si="118"/>
        <v>20.356604730086524</v>
      </c>
      <c r="CD63" s="316">
        <f t="shared" si="119"/>
        <v>-37.648939496867619</v>
      </c>
      <c r="CE63" s="22"/>
      <c r="CF63" s="1209">
        <f>CF13-CF23-CF33</f>
        <v>126.10000000000014</v>
      </c>
      <c r="CG63" s="1221">
        <f t="shared" si="120"/>
        <v>12.558510108554938</v>
      </c>
      <c r="CH63" s="316">
        <f>IF(CB63&lt;0,"       NM",(CF63/CB63-1)*100)</f>
        <v>-45.480879396441679</v>
      </c>
      <c r="CI63" s="22"/>
      <c r="CJ63" s="1209">
        <f>CJ13-CJ23-CJ33</f>
        <v>174.79999999999984</v>
      </c>
      <c r="CK63" s="1221">
        <f t="shared" si="122"/>
        <v>15.139442231075684</v>
      </c>
      <c r="CL63" s="316">
        <f t="shared" si="123"/>
        <v>38.620142743853812</v>
      </c>
      <c r="CM63" s="22"/>
      <c r="CN63" s="1209">
        <f>CN13-CN23-CN33</f>
        <v>179.51999999999998</v>
      </c>
      <c r="CO63" s="1221">
        <f t="shared" si="124"/>
        <v>15.833480331628152</v>
      </c>
      <c r="CP63" s="316">
        <f t="shared" si="125"/>
        <v>2.700228832952023</v>
      </c>
      <c r="CQ63" s="316"/>
      <c r="CR63" s="1209">
        <f>CR13-CR23-CR33</f>
        <v>219.16072818167186</v>
      </c>
      <c r="CS63" s="1221">
        <f>CR63/CR13*100</f>
        <v>15.099999999999989</v>
      </c>
      <c r="CT63" s="316">
        <f t="shared" si="127"/>
        <v>22.081510796385849</v>
      </c>
      <c r="CU63" s="316"/>
      <c r="CV63" s="1265"/>
      <c r="CW63" s="1372">
        <f>CC63-CG63</f>
        <v>7.7980946215315861</v>
      </c>
      <c r="CY63" s="1265"/>
    </row>
    <row r="64" spans="1:115" outlineLevel="1">
      <c r="B64" s="3" t="str">
        <f>$B$14</f>
        <v>Year</v>
      </c>
      <c r="D64" s="139">
        <f>D14-D24-D34</f>
        <v>57.475000000000023</v>
      </c>
      <c r="E64" s="1217">
        <f>D64/D14*100</f>
        <v>14.549859374564903</v>
      </c>
      <c r="F64" s="22"/>
      <c r="H64" s="139">
        <f>H14-H24-H34</f>
        <v>62.046999999999997</v>
      </c>
      <c r="I64" s="1217">
        <f>H64/H14*100</f>
        <v>12.103307356942913</v>
      </c>
      <c r="J64" s="22"/>
      <c r="L64" s="139">
        <f>L14-L24-L34</f>
        <v>44.268999999999949</v>
      </c>
      <c r="M64" s="1217">
        <f>L64/L14*100</f>
        <v>8.1924103292953205</v>
      </c>
      <c r="N64" s="22"/>
      <c r="P64" s="139">
        <f>P14-P24-P34</f>
        <v>25.012999999999977</v>
      </c>
      <c r="Q64" s="1217">
        <f>P64/P14*100</f>
        <v>4.8671472908944047</v>
      </c>
      <c r="R64" s="22">
        <f>IF(L64&lt;0,"       NM",(P64/L64-1)*100)</f>
        <v>-43.497707199168701</v>
      </c>
      <c r="T64" s="139">
        <f>T14-T24-T34-T44</f>
        <v>19.475000000000026</v>
      </c>
      <c r="U64" s="1217">
        <f>T64/T14*100</f>
        <v>3.8876600977354805</v>
      </c>
      <c r="V64" s="22">
        <f>IF(P64&lt;0,"       NM",(T64/P64-1)*100)</f>
        <v>-22.140486946787497</v>
      </c>
      <c r="X64" s="1210">
        <f>SUM(X60:X63)</f>
        <v>56.016999999999975</v>
      </c>
      <c r="Y64" s="1217">
        <f t="shared" si="96"/>
        <v>10.20498507973868</v>
      </c>
      <c r="Z64" s="22"/>
      <c r="AB64" s="1212">
        <f>SUM(AB60:AB63)</f>
        <v>101.68800000000002</v>
      </c>
      <c r="AC64" s="1217">
        <f t="shared" si="97"/>
        <v>16.934142226944289</v>
      </c>
      <c r="AD64" s="22">
        <f t="shared" si="98"/>
        <v>81.530606780084725</v>
      </c>
      <c r="AF64" s="1210">
        <f>SUM(AF60:AF63)</f>
        <v>133.63499999999996</v>
      </c>
      <c r="AG64" s="1217">
        <f t="shared" si="99"/>
        <v>18.575819116684244</v>
      </c>
      <c r="AH64" s="22">
        <f t="shared" si="100"/>
        <v>31.416686334670697</v>
      </c>
      <c r="AJ64" s="1210">
        <f>SUM(AJ60:AJ63)</f>
        <v>243.762</v>
      </c>
      <c r="AK64" s="1217">
        <f t="shared" si="101"/>
        <v>25.572319680747274</v>
      </c>
      <c r="AL64" s="22">
        <f t="shared" si="102"/>
        <v>82.408800089796898</v>
      </c>
      <c r="AN64" s="1210">
        <f>SUM(AN60:AN63)</f>
        <v>444.46499999999992</v>
      </c>
      <c r="AO64" s="1217">
        <f t="shared" si="103"/>
        <v>33.643401816356899</v>
      </c>
      <c r="AP64" s="22">
        <f t="shared" si="104"/>
        <v>1638.0707168877836</v>
      </c>
      <c r="AR64" s="132">
        <f>SUM(AR60:AR63)</f>
        <v>572.5630000000001</v>
      </c>
      <c r="AS64" s="1221">
        <f t="shared" si="105"/>
        <v>33.47493573227208</v>
      </c>
      <c r="AT64" s="316">
        <f t="shared" si="128"/>
        <v>28.820717041836865</v>
      </c>
      <c r="AV64" s="132">
        <f>SUM(AV60:AV63)</f>
        <v>714.74700000000007</v>
      </c>
      <c r="AW64" s="1221">
        <f t="shared" si="106"/>
        <v>35.121132175416243</v>
      </c>
      <c r="AX64" s="316">
        <f t="shared" si="107"/>
        <v>24.832900484313502</v>
      </c>
      <c r="AY64" s="22"/>
      <c r="AZ64" s="132">
        <f>SUM(AZ60:AZ63)</f>
        <v>993.39699999999993</v>
      </c>
      <c r="BA64" s="1221">
        <f t="shared" si="108"/>
        <v>38.025405978129392</v>
      </c>
      <c r="BB64" s="316">
        <f t="shared" si="109"/>
        <v>38.985822955535298</v>
      </c>
      <c r="BC64" s="22"/>
      <c r="BD64" s="132">
        <f>SUM(BD60:BD63)</f>
        <v>1179.229</v>
      </c>
      <c r="BE64" s="1221">
        <f t="shared" si="110"/>
        <v>37.073847514915478</v>
      </c>
      <c r="BF64" s="316">
        <f t="shared" si="111"/>
        <v>18.7067204752984</v>
      </c>
      <c r="BG64" s="22"/>
      <c r="BH64" s="132">
        <f>SUM(BH60:BH63)</f>
        <v>1000.313</v>
      </c>
      <c r="BI64" s="1221">
        <f t="shared" si="112"/>
        <v>30.964956161150646</v>
      </c>
      <c r="BJ64" s="316">
        <f t="shared" si="113"/>
        <v>-15.172286298929215</v>
      </c>
      <c r="BK64" s="22"/>
      <c r="BL64" s="132">
        <f>SUM(BL60:BL63)</f>
        <v>1150.1710000000003</v>
      </c>
      <c r="BM64" s="1221">
        <f t="shared" si="114"/>
        <v>31.881570091882892</v>
      </c>
      <c r="BN64" s="316">
        <f>IF(BH64&lt;0,"       NM",(BL64/BH64-1)*100)</f>
        <v>14.981110912284489</v>
      </c>
      <c r="BO64" s="22"/>
      <c r="BP64" s="132">
        <f>SUM(BP60:BP63)</f>
        <v>1330.6020000000001</v>
      </c>
      <c r="BQ64" s="1221">
        <f t="shared" si="115"/>
        <v>31.99710857766982</v>
      </c>
      <c r="BR64" s="316">
        <f>IF(BL64&lt;0,"       NM",(BP64/BL64-1)*100)</f>
        <v>15.687319537703504</v>
      </c>
      <c r="BS64" s="22"/>
      <c r="BT64" s="132">
        <f>SUM(BT60:BT63)</f>
        <v>1551.1979999999999</v>
      </c>
      <c r="BU64" s="1221">
        <f>BT64/BT14*100</f>
        <v>32.566436708249533</v>
      </c>
      <c r="BV64" s="316">
        <f>IF(BP64&lt;0,"       NM",(BT64/BP64-1)*100)</f>
        <v>16.578661387853</v>
      </c>
      <c r="BW64" s="22"/>
      <c r="BX64" s="132">
        <f>SUM(BX60:BX63)</f>
        <v>1577.7429999999999</v>
      </c>
      <c r="BY64" s="1221">
        <f>BX64/BX14*100</f>
        <v>31.086143133828141</v>
      </c>
      <c r="BZ64" s="316">
        <f>IF(BT64&lt;0,"       NM",(BX64/BT64-1)*100)</f>
        <v>1.7112580083264772</v>
      </c>
      <c r="CA64" s="22"/>
      <c r="CB64" s="132">
        <f>SUM(CB60:CB63)</f>
        <v>1251.5809999999997</v>
      </c>
      <c r="CC64" s="1221">
        <f t="shared" si="118"/>
        <v>26.040827043921773</v>
      </c>
      <c r="CD64" s="316">
        <f t="shared" si="119"/>
        <v>-20.672695109406302</v>
      </c>
      <c r="CE64" s="22"/>
      <c r="CF64" s="132">
        <f>SUM(CF60:CF63)</f>
        <v>788.50000000000023</v>
      </c>
      <c r="CG64" s="1221">
        <f t="shared" si="120"/>
        <v>18.811432388586702</v>
      </c>
      <c r="CH64" s="316">
        <f t="shared" si="121"/>
        <v>-36.999682801193011</v>
      </c>
      <c r="CI64" s="22"/>
      <c r="CJ64" s="132">
        <f>SUM(CJ60:CJ63)</f>
        <v>776.59999999999934</v>
      </c>
      <c r="CK64" s="1221">
        <f t="shared" si="122"/>
        <v>17.289282692907062</v>
      </c>
      <c r="CL64" s="316">
        <f t="shared" si="123"/>
        <v>-1.5091946734306805</v>
      </c>
      <c r="CM64" s="22"/>
      <c r="CN64" s="132">
        <f>SUM(CN60:CN63)</f>
        <v>812.62000000000012</v>
      </c>
      <c r="CO64" s="1221">
        <f t="shared" si="124"/>
        <v>18.105295991800908</v>
      </c>
      <c r="CP64" s="316">
        <f>IF(CJ64&lt;0,"       NM",(CN64/CJ64-1)*100)</f>
        <v>4.6381663662117933</v>
      </c>
      <c r="CQ64" s="316"/>
      <c r="CR64" s="132">
        <f>SUM(CR60:CR63)</f>
        <v>987.92008462767421</v>
      </c>
      <c r="CS64" s="1221">
        <f t="shared" si="126"/>
        <v>16.942850246126536</v>
      </c>
      <c r="CT64" s="316">
        <f t="shared" si="127"/>
        <v>21.572208981771812</v>
      </c>
      <c r="CU64" s="316"/>
      <c r="CV64" s="1268"/>
      <c r="CY64" s="1268"/>
    </row>
    <row r="65" spans="1:115" hidden="1" outlineLevel="2">
      <c r="A65" s="3" t="str">
        <f>$A$15</f>
        <v>6 Mos</v>
      </c>
      <c r="D65" s="1212"/>
      <c r="E65" s="1217"/>
      <c r="F65" s="22"/>
      <c r="H65" s="1212"/>
      <c r="I65" s="1217"/>
      <c r="J65" s="22"/>
      <c r="L65" s="1212"/>
      <c r="M65" s="1217"/>
      <c r="N65" s="22"/>
      <c r="P65" s="1205"/>
      <c r="Q65" s="1217"/>
      <c r="R65" s="22"/>
      <c r="T65" s="1212"/>
      <c r="U65" s="1217"/>
      <c r="V65" s="22"/>
      <c r="X65" s="1212">
        <f>SUM(X60:X61)</f>
        <v>43.869999999999983</v>
      </c>
      <c r="Y65" s="1217">
        <f t="shared" si="96"/>
        <v>14.053690415171701</v>
      </c>
      <c r="Z65" s="22"/>
      <c r="AB65" s="1212">
        <f>SUM(AB60:AB61)</f>
        <v>73.504000000000019</v>
      </c>
      <c r="AC65" s="1217">
        <f t="shared" si="97"/>
        <v>21.459580816470723</v>
      </c>
      <c r="AD65" s="22">
        <f t="shared" si="98"/>
        <v>67.549578299521414</v>
      </c>
      <c r="AF65" s="1212">
        <f>SUM(AF60:AF61)</f>
        <v>89.410999999999987</v>
      </c>
      <c r="AG65" s="1217">
        <f t="shared" si="99"/>
        <v>23.136379162224543</v>
      </c>
      <c r="AH65" s="22">
        <f t="shared" si="100"/>
        <v>21.640999129299043</v>
      </c>
      <c r="AJ65" s="1212">
        <f>SUM(AJ60:AJ61)</f>
        <v>140.20800000000003</v>
      </c>
      <c r="AK65" s="1217">
        <f t="shared" si="101"/>
        <v>27.968099833637204</v>
      </c>
      <c r="AL65" s="22">
        <f t="shared" si="102"/>
        <v>56.812920110501011</v>
      </c>
      <c r="AN65" s="1212">
        <f>SUM(AN60:AN61)</f>
        <v>232.32899999999995</v>
      </c>
      <c r="AO65" s="1217">
        <f t="shared" si="103"/>
        <v>34.68176769848094</v>
      </c>
      <c r="AP65" s="22">
        <f t="shared" si="104"/>
        <v>730.69282998117058</v>
      </c>
      <c r="AR65" s="151">
        <f>SUM(AR60:AR61)</f>
        <v>312.04700000000003</v>
      </c>
      <c r="AS65" s="1221">
        <f t="shared" si="105"/>
        <v>35.628961983229509</v>
      </c>
      <c r="AT65" s="316">
        <f t="shared" si="128"/>
        <v>34.312548153695865</v>
      </c>
      <c r="AV65" s="151">
        <f>SUM(AV60:AV61)</f>
        <v>388.9</v>
      </c>
      <c r="AW65" s="1221">
        <f t="shared" si="106"/>
        <v>36.904535965078757</v>
      </c>
      <c r="AX65" s="316">
        <f t="shared" si="107"/>
        <v>24.628661708011922</v>
      </c>
      <c r="AY65" s="22"/>
      <c r="AZ65" s="151">
        <f>SUM(AZ60:AZ61)</f>
        <v>521.36900000000003</v>
      </c>
      <c r="BA65" s="1221">
        <f t="shared" si="108"/>
        <v>39.053155598700847</v>
      </c>
      <c r="BB65" s="316">
        <f t="shared" si="109"/>
        <v>34.06248392903062</v>
      </c>
      <c r="BC65" s="22"/>
      <c r="BD65" s="151">
        <f>SUM(BD60:BD61)</f>
        <v>641.82100000000003</v>
      </c>
      <c r="BE65" s="1221">
        <f t="shared" si="110"/>
        <v>38.786935672479281</v>
      </c>
      <c r="BF65" s="316">
        <f t="shared" si="111"/>
        <v>23.103023002901967</v>
      </c>
      <c r="BG65" s="22"/>
      <c r="BH65" s="151">
        <f>SUM(BH60:BH61)</f>
        <v>581.84899999999993</v>
      </c>
      <c r="BI65" s="1221">
        <f t="shared" si="112"/>
        <v>33.970930385308137</v>
      </c>
      <c r="BJ65" s="316">
        <f t="shared" si="113"/>
        <v>-9.3440382910500155</v>
      </c>
      <c r="BK65" s="22"/>
      <c r="BL65" s="151">
        <f>SUM(BL60:BL61)</f>
        <v>604.08400000000006</v>
      </c>
      <c r="BM65" s="1221">
        <f t="shared" si="114"/>
        <v>33.074359875648938</v>
      </c>
      <c r="BN65" s="316">
        <f>IF(BI65&lt;0,"       NM",(BL65/BI65-1)*100)</f>
        <v>1678.2380204142314</v>
      </c>
      <c r="BO65" s="22"/>
      <c r="BP65" s="151">
        <f>SUM(BP60:BP61)</f>
        <v>738.99500000000012</v>
      </c>
      <c r="BQ65" s="1221">
        <f t="shared" si="115"/>
        <v>33.959200891860128</v>
      </c>
      <c r="BR65" s="316">
        <f>IF(BN65&lt;0,"       NM",(BP65/BN65-1)*100)</f>
        <v>-55.966019658069868</v>
      </c>
      <c r="BS65" s="22"/>
      <c r="BT65" s="151">
        <f>SUM(BT60:BT61)</f>
        <v>843.13699999999972</v>
      </c>
      <c r="BU65" s="1221">
        <f t="shared" si="116"/>
        <v>33.738867582656788</v>
      </c>
      <c r="BV65" s="316" t="str">
        <f>IF(BR65&lt;0,"       NM",(BT65/BR65-1)*100)</f>
        <v xml:space="preserve">       NM</v>
      </c>
      <c r="BW65" s="22"/>
      <c r="BX65" s="151">
        <f>SUM(BX60:BX61)</f>
        <v>858.29399999999976</v>
      </c>
      <c r="BY65" s="1221">
        <f t="shared" si="117"/>
        <v>32.204655393144925</v>
      </c>
      <c r="BZ65" s="316" t="e">
        <f>IF(BV65&lt;0,"       NM",(BX65/BV65-1)*100)</f>
        <v>#VALUE!</v>
      </c>
      <c r="CA65" s="22"/>
      <c r="CB65" s="151">
        <f>SUM(CB60:CB61)</f>
        <v>757.577</v>
      </c>
      <c r="CC65" s="1221">
        <f t="shared" si="118"/>
        <v>29.473300487397992</v>
      </c>
      <c r="CD65" s="316">
        <f t="shared" si="119"/>
        <v>-11.734557156405589</v>
      </c>
      <c r="CE65" s="22"/>
      <c r="CF65" s="151">
        <f>SUM(CF60:CF61)</f>
        <v>515.90000000000009</v>
      </c>
      <c r="CG65" s="1221">
        <f t="shared" si="120"/>
        <v>22.845629262244273</v>
      </c>
      <c r="CH65" s="316">
        <f t="shared" si="121"/>
        <v>-31.901311681848831</v>
      </c>
      <c r="CI65" s="22"/>
      <c r="CJ65" s="151">
        <f>SUM(CJ60:CJ61)</f>
        <v>449.99999999999977</v>
      </c>
      <c r="CK65" s="1221">
        <f t="shared" si="122"/>
        <v>19.530402326287913</v>
      </c>
      <c r="CL65" s="316">
        <f t="shared" si="123"/>
        <v>-12.773793370808351</v>
      </c>
      <c r="CM65" s="22"/>
      <c r="CN65" s="151">
        <f>SUM(CN60:CN61)</f>
        <v>471.10000000000014</v>
      </c>
      <c r="CO65" s="1221">
        <f t="shared" si="124"/>
        <v>19.967787055482564</v>
      </c>
      <c r="CP65" s="316">
        <f t="shared" si="125"/>
        <v>4.6888888888889646</v>
      </c>
      <c r="CQ65" s="316"/>
      <c r="CR65" s="151">
        <f>SUM(CR60:CR61)</f>
        <v>580.1</v>
      </c>
      <c r="CS65" s="1221">
        <f t="shared" si="126"/>
        <v>18.87179153518332</v>
      </c>
      <c r="CT65" s="316">
        <f t="shared" si="127"/>
        <v>23.137338144767526</v>
      </c>
      <c r="CU65" s="316"/>
      <c r="CV65" s="154"/>
      <c r="CY65" s="154"/>
    </row>
    <row r="66" spans="1:115" hidden="1" outlineLevel="2">
      <c r="A66" s="3" t="str">
        <f>$A$16</f>
        <v>9 Mos</v>
      </c>
      <c r="D66" s="1212"/>
      <c r="E66" s="1217"/>
      <c r="F66" s="22"/>
      <c r="H66" s="1212"/>
      <c r="I66" s="1217"/>
      <c r="J66" s="22"/>
      <c r="L66" s="1212"/>
      <c r="M66" s="1217"/>
      <c r="N66" s="22"/>
      <c r="P66" s="1212"/>
      <c r="Q66" s="1217"/>
      <c r="R66" s="22"/>
      <c r="T66" s="1212"/>
      <c r="U66" s="1217"/>
      <c r="V66" s="22"/>
      <c r="X66" s="1212">
        <f>SUM(X60:X62)</f>
        <v>48.338999999999977</v>
      </c>
      <c r="Y66" s="1217">
        <f t="shared" si="96"/>
        <v>11.314461463560779</v>
      </c>
      <c r="Z66" s="22"/>
      <c r="AB66" s="1212">
        <f>SUM(AB60:AB62)</f>
        <v>86.230000000000032</v>
      </c>
      <c r="AC66" s="1217">
        <f t="shared" si="97"/>
        <v>18.41588768081122</v>
      </c>
      <c r="AD66" s="22">
        <f t="shared" si="98"/>
        <v>78.385982333105915</v>
      </c>
      <c r="AF66" s="1212">
        <f>SUM(AF60:AF62)</f>
        <v>108.67099999999998</v>
      </c>
      <c r="AG66" s="1217">
        <f t="shared" si="99"/>
        <v>19.829642186550558</v>
      </c>
      <c r="AH66" s="22">
        <f t="shared" si="100"/>
        <v>26.024585411109747</v>
      </c>
      <c r="AJ66" s="1212">
        <f>SUM(AJ60:AJ62)</f>
        <v>192.95500000000001</v>
      </c>
      <c r="AK66" s="1217">
        <f t="shared" si="101"/>
        <v>26.735808011528178</v>
      </c>
      <c r="AL66" s="22">
        <f t="shared" si="102"/>
        <v>77.558870351795832</v>
      </c>
      <c r="AN66" s="1212">
        <f>SUM(AN60:AN62)</f>
        <v>333.19799999999998</v>
      </c>
      <c r="AO66" s="1217">
        <f t="shared" si="103"/>
        <v>33.897377413752935</v>
      </c>
      <c r="AP66" s="22">
        <f t="shared" si="104"/>
        <v>1146.2611934388847</v>
      </c>
      <c r="AR66" s="1213">
        <f>SUM(AR60:AR62)</f>
        <v>444.38300000000004</v>
      </c>
      <c r="AS66" s="1221">
        <f t="shared" si="105"/>
        <v>34.40127949167146</v>
      </c>
      <c r="AT66" s="316">
        <f t="shared" si="128"/>
        <v>33.369047833420382</v>
      </c>
      <c r="AV66" s="1213">
        <f>SUM(AV60:AV62)</f>
        <v>542.57600000000002</v>
      </c>
      <c r="AW66" s="1221">
        <f t="shared" si="106"/>
        <v>35.381130185625473</v>
      </c>
      <c r="AX66" s="316">
        <f t="shared" si="107"/>
        <v>22.096479838337647</v>
      </c>
      <c r="AY66" s="22"/>
      <c r="AZ66" s="1213">
        <f>SUM(AZ60:AZ62)</f>
        <v>747.99599999999998</v>
      </c>
      <c r="BA66" s="1221">
        <f t="shared" si="108"/>
        <v>38.156695286041561</v>
      </c>
      <c r="BB66" s="316">
        <f t="shared" si="109"/>
        <v>37.860133879861976</v>
      </c>
      <c r="BC66" s="22"/>
      <c r="BD66" s="1213">
        <f>SUM(BD60:BD62)</f>
        <v>898.51300000000003</v>
      </c>
      <c r="BE66" s="1221">
        <f t="shared" si="110"/>
        <v>37.449635449641285</v>
      </c>
      <c r="BF66" s="316">
        <f t="shared" si="111"/>
        <v>20.122701190915461</v>
      </c>
      <c r="BG66" s="22"/>
      <c r="BH66" s="1213">
        <f>SUM(BH60:BH62)</f>
        <v>780.62599999999998</v>
      </c>
      <c r="BI66" s="1221">
        <f t="shared" si="112"/>
        <v>31.82689939838319</v>
      </c>
      <c r="BJ66" s="316">
        <f t="shared" si="113"/>
        <v>-13.120233096237898</v>
      </c>
      <c r="BK66" s="22"/>
      <c r="BL66" s="1213">
        <f>SUM(BL60:BL62)</f>
        <v>853.20600000000013</v>
      </c>
      <c r="BM66" s="1221">
        <f t="shared" si="114"/>
        <v>32.110288203992987</v>
      </c>
      <c r="BN66" s="316">
        <f>IF(BI66&lt;0,"       NM",(BL66/BI66-1)*100)</f>
        <v>2580.7700911114925</v>
      </c>
      <c r="BO66" s="22"/>
      <c r="BP66" s="1213">
        <f>SUM(BP60:BP62)</f>
        <v>1018.5100000000001</v>
      </c>
      <c r="BQ66" s="1221">
        <f t="shared" si="115"/>
        <v>32.573224273002197</v>
      </c>
      <c r="BR66" s="316">
        <f>IF(BN66&lt;0,"       NM",(BP66/BN66-1)*100)</f>
        <v>-60.534648029753569</v>
      </c>
      <c r="BS66" s="22"/>
      <c r="BT66" s="1213">
        <f>SUM(BT60:BT62)</f>
        <v>1180.6289999999997</v>
      </c>
      <c r="BU66" s="1221">
        <f t="shared" si="116"/>
        <v>32.722633023548568</v>
      </c>
      <c r="BV66" s="316" t="str">
        <f>IF(BR66&lt;0,"       NM",(BT66/BR66-1)*100)</f>
        <v xml:space="preserve">       NM</v>
      </c>
      <c r="BW66" s="22"/>
      <c r="BX66" s="1213">
        <f>SUM(BX60:BX62)</f>
        <v>1206.7869999999998</v>
      </c>
      <c r="BY66" s="1221">
        <f t="shared" si="117"/>
        <v>31.323133738347785</v>
      </c>
      <c r="BZ66" s="316" t="e">
        <f>IF(BV66&lt;0,"       NM",(BX66/BV66-1)*100)</f>
        <v>#VALUE!</v>
      </c>
      <c r="CA66" s="22"/>
      <c r="CB66" s="1213">
        <f>SUM(CB60:CB62)</f>
        <v>1020.2859999999999</v>
      </c>
      <c r="CC66" s="1221">
        <f t="shared" si="118"/>
        <v>27.800632695823712</v>
      </c>
      <c r="CD66" s="316">
        <f t="shared" si="119"/>
        <v>-15.454342812774735</v>
      </c>
      <c r="CE66" s="22"/>
      <c r="CF66" s="1213">
        <f>SUM(CF60:CF62)</f>
        <v>662.40000000000009</v>
      </c>
      <c r="CG66" s="1221">
        <f t="shared" si="120"/>
        <v>20.781176470588239</v>
      </c>
      <c r="CH66" s="316">
        <f t="shared" si="121"/>
        <v>-35.077027421722917</v>
      </c>
      <c r="CI66" s="22"/>
      <c r="CJ66" s="1213">
        <f>SUM(CJ60:CJ62)</f>
        <v>601.7999999999995</v>
      </c>
      <c r="CK66" s="1221">
        <f t="shared" si="122"/>
        <v>18.033081625314619</v>
      </c>
      <c r="CL66" s="316">
        <f t="shared" si="123"/>
        <v>-9.1485507246377722</v>
      </c>
      <c r="CM66" s="22"/>
      <c r="CN66" s="1213">
        <f>SUM(CN60:CN62)</f>
        <v>633.10000000000014</v>
      </c>
      <c r="CO66" s="1221">
        <f t="shared" si="124"/>
        <v>18.873155462811152</v>
      </c>
      <c r="CP66" s="316">
        <f t="shared" si="125"/>
        <v>5.2010634762380548</v>
      </c>
      <c r="CQ66" s="316"/>
      <c r="CR66" s="1213">
        <f>SUM(CR60:CR62)</f>
        <v>768.75935644600236</v>
      </c>
      <c r="CS66" s="1221">
        <f t="shared" si="126"/>
        <v>17.553582975188906</v>
      </c>
      <c r="CT66" s="316">
        <f t="shared" si="127"/>
        <v>21.427792836203153</v>
      </c>
      <c r="CU66" s="316"/>
      <c r="CV66" s="154"/>
      <c r="CY66" s="154"/>
    </row>
    <row r="67" spans="1:115" outlineLevel="1" collapsed="1">
      <c r="W67" s="127"/>
      <c r="AO67" s="359"/>
      <c r="AR67" s="61"/>
      <c r="AS67" s="1227"/>
      <c r="AT67" s="1183"/>
      <c r="AV67" s="61"/>
      <c r="AW67" s="61"/>
      <c r="AX67" s="1183"/>
      <c r="AZ67" s="61"/>
      <c r="BA67" s="61"/>
      <c r="BB67" s="1183"/>
      <c r="BD67" s="61"/>
      <c r="BE67" s="1221"/>
      <c r="BF67" s="1183"/>
      <c r="BH67" s="61"/>
      <c r="BI67" s="1221"/>
      <c r="BJ67" s="1183"/>
      <c r="BL67" s="61"/>
      <c r="BM67" s="61"/>
      <c r="BN67" s="1183"/>
      <c r="BP67" s="61"/>
      <c r="BQ67" s="61"/>
      <c r="BR67" s="1183"/>
      <c r="BT67" s="61"/>
      <c r="BU67" s="1227"/>
      <c r="BV67" s="61"/>
      <c r="BX67" s="61"/>
      <c r="BY67" s="1269"/>
      <c r="BZ67" s="61"/>
      <c r="CB67" s="302"/>
      <c r="CC67" s="1226"/>
      <c r="CG67" s="1226"/>
      <c r="CK67" s="1226"/>
      <c r="CN67" s="139"/>
      <c r="CO67" s="1226"/>
      <c r="CR67" s="139"/>
      <c r="CS67" s="1226"/>
      <c r="CT67" s="3"/>
      <c r="CV67" s="465"/>
      <c r="CY67" s="465"/>
      <c r="DK67" s="153">
        <v>146.83570340696247</v>
      </c>
    </row>
    <row r="68" spans="1:115" outlineLevel="1">
      <c r="D68" s="1196"/>
      <c r="E68" s="127"/>
      <c r="F68" s="127"/>
      <c r="G68" s="127"/>
      <c r="H68" s="1196"/>
      <c r="I68" s="127"/>
      <c r="J68" s="127"/>
      <c r="K68" s="127"/>
      <c r="L68" s="1196"/>
      <c r="M68" s="127"/>
      <c r="N68" s="127"/>
      <c r="O68" s="127"/>
      <c r="P68" s="1196"/>
      <c r="Q68" s="127"/>
      <c r="R68" s="127"/>
      <c r="S68" s="127"/>
      <c r="U68" s="127"/>
      <c r="V68" s="127"/>
      <c r="Y68" s="127"/>
      <c r="Z68" s="127"/>
      <c r="AA68" s="127"/>
      <c r="AC68" s="127"/>
      <c r="AD68" s="127"/>
      <c r="AE68" s="127"/>
      <c r="AG68" s="127"/>
      <c r="AH68" s="127"/>
      <c r="AI68" s="127"/>
      <c r="AK68" s="127"/>
      <c r="AL68" s="127"/>
      <c r="AM68" s="127"/>
      <c r="AN68" s="1196"/>
      <c r="AO68" s="127"/>
      <c r="AP68" s="127"/>
      <c r="AQ68" s="127"/>
      <c r="AS68" s="1197"/>
      <c r="AT68" s="1198"/>
      <c r="AU68" s="127"/>
      <c r="AV68" s="1199"/>
      <c r="AW68" s="1197"/>
      <c r="AX68" s="1198"/>
      <c r="AY68" s="127"/>
      <c r="AZ68" s="1199"/>
      <c r="BA68" s="1197"/>
      <c r="BB68" s="1198"/>
      <c r="BC68" s="127"/>
      <c r="BD68" s="1199"/>
      <c r="BE68" s="1197"/>
      <c r="BF68" s="1198"/>
      <c r="BG68" s="127"/>
      <c r="BH68" s="1199"/>
      <c r="BI68" s="1197"/>
      <c r="BJ68" s="1198"/>
      <c r="BK68" s="127"/>
      <c r="BL68" s="1196" t="s">
        <v>615</v>
      </c>
      <c r="BM68" s="1197"/>
      <c r="BN68" s="1198"/>
      <c r="BO68" s="127"/>
      <c r="BQ68" s="1197"/>
      <c r="BR68" s="1198"/>
      <c r="BS68" s="127"/>
      <c r="BT68" s="1199"/>
      <c r="BU68" s="1197"/>
      <c r="BV68" s="1198"/>
      <c r="BW68" s="127"/>
      <c r="BX68" s="1196" t="s">
        <v>615</v>
      </c>
      <c r="BY68" s="1197"/>
      <c r="BZ68" s="1198"/>
      <c r="CA68" s="127"/>
      <c r="CB68" s="1230"/>
      <c r="CC68" s="127"/>
      <c r="CD68" s="127"/>
      <c r="CE68" s="127"/>
      <c r="CF68" s="127"/>
      <c r="CG68" s="127"/>
      <c r="CH68" s="127"/>
      <c r="CI68" s="127"/>
      <c r="CJ68" s="127"/>
      <c r="CK68" s="127"/>
      <c r="CL68" s="127"/>
      <c r="CM68" s="127"/>
      <c r="CN68" s="127"/>
      <c r="CO68" s="127"/>
      <c r="CP68" s="127"/>
      <c r="CQ68" s="127"/>
      <c r="CR68" s="127"/>
      <c r="CS68" s="1261"/>
      <c r="CT68" s="127"/>
      <c r="CU68" s="1197"/>
      <c r="CV68" s="154"/>
      <c r="CW68" s="154"/>
      <c r="CX68" s="154"/>
      <c r="CY68" s="154"/>
      <c r="DI68" s="3">
        <f>22*(1-0.3)</f>
        <v>15.399999999999999</v>
      </c>
      <c r="DK68" s="153">
        <f>CJ63</f>
        <v>174.79999999999984</v>
      </c>
    </row>
    <row r="69" spans="1:115" outlineLevel="1">
      <c r="V69" s="1205"/>
      <c r="AR69" s="61"/>
      <c r="AS69" s="61"/>
      <c r="AT69" s="1183"/>
      <c r="AV69" s="61"/>
      <c r="AW69" s="61"/>
      <c r="AX69" s="1183"/>
      <c r="AZ69" s="61"/>
      <c r="BA69" s="61"/>
      <c r="BB69" s="1183"/>
      <c r="BD69" s="61"/>
      <c r="BE69" s="61"/>
      <c r="BF69" s="1183"/>
      <c r="BH69" s="61"/>
      <c r="BI69" s="61"/>
      <c r="BJ69" s="1183"/>
      <c r="BL69" s="61"/>
      <c r="BM69" s="61"/>
      <c r="BN69" s="1183"/>
      <c r="BP69" s="61"/>
      <c r="BQ69" s="61"/>
      <c r="BR69" s="1183"/>
      <c r="BT69" s="61"/>
      <c r="BU69" s="61"/>
      <c r="BV69" s="1183"/>
      <c r="BX69" s="61"/>
      <c r="BY69" s="61"/>
      <c r="BZ69" s="1183"/>
      <c r="CR69" s="3"/>
      <c r="CS69" s="3"/>
      <c r="CT69" s="3"/>
      <c r="DI69" s="3">
        <f>DI68/(CJ164)</f>
        <v>5.4784774101743143E-2</v>
      </c>
    </row>
    <row r="70" spans="1:115" outlineLevel="1">
      <c r="A70" s="3" t="str">
        <f>$A$10</f>
        <v>1Q</v>
      </c>
      <c r="B70" s="3" t="str">
        <f>$B$10</f>
        <v>Sept</v>
      </c>
      <c r="D70" s="1202"/>
      <c r="E70" s="1221"/>
      <c r="F70" s="691"/>
      <c r="H70" s="1202"/>
      <c r="I70" s="1221"/>
      <c r="J70" s="691"/>
      <c r="L70" s="1202"/>
      <c r="M70" s="1221"/>
      <c r="N70" s="691"/>
      <c r="P70" s="1202"/>
      <c r="Q70" s="1221"/>
      <c r="R70" s="691"/>
      <c r="S70" s="691"/>
      <c r="T70" s="196"/>
      <c r="U70" s="1221"/>
      <c r="X70" s="196">
        <v>-9.7000000000000003E-2</v>
      </c>
      <c r="Y70" s="1221">
        <f t="shared" ref="Y70:Y76" si="129">X70/X10*100</f>
        <v>-8.2181103429578434E-2</v>
      </c>
      <c r="AB70" s="196">
        <v>-0.113</v>
      </c>
      <c r="AC70" s="1221">
        <f t="shared" ref="AC70:AC76" si="130">AB70/AB10*100</f>
        <v>-8.5934826419255483E-2</v>
      </c>
      <c r="AF70" s="196">
        <v>-0.44700000000000001</v>
      </c>
      <c r="AG70" s="1221">
        <f t="shared" ref="AG70:AG76" si="131">AF70/AF10*100</f>
        <v>-0.29661185651152611</v>
      </c>
      <c r="AJ70" s="196">
        <v>0.16500000000000001</v>
      </c>
      <c r="AK70" s="1221">
        <f t="shared" ref="AK70:AK76" si="132">AJ70/AJ10*100</f>
        <v>8.5584908009191302E-2</v>
      </c>
      <c r="AN70" s="196">
        <v>0.40500000000000003</v>
      </c>
      <c r="AO70" s="1221">
        <f t="shared" ref="AO70:AO76" si="133">AN70/AN10*100</f>
        <v>0.15674891146589259</v>
      </c>
      <c r="AR70" s="196">
        <v>2.5099999999999998</v>
      </c>
      <c r="AS70" s="1221">
        <f t="shared" ref="AS70:AS76" si="134">AR70/AR10*100</f>
        <v>0.72951331870431457</v>
      </c>
      <c r="AT70" s="61"/>
      <c r="AV70" s="196">
        <v>5.8869999999999996</v>
      </c>
      <c r="AW70" s="1221">
        <f t="shared" ref="AW70:AW76" si="135">AV70/AV10*100</f>
        <v>1.3564516129032258</v>
      </c>
      <c r="AX70" s="61"/>
      <c r="AZ70" s="196">
        <v>6.5890000000000004</v>
      </c>
      <c r="BA70" s="1221">
        <f t="shared" ref="BA70:BA76" si="136">AZ70/AZ10*100</f>
        <v>1.2445671781058929</v>
      </c>
      <c r="BB70" s="61"/>
      <c r="BD70" s="196">
        <v>14.996</v>
      </c>
      <c r="BE70" s="1221">
        <f t="shared" ref="BE70:BE76" si="137">BD70/BD10*100</f>
        <v>2.2159895259177382</v>
      </c>
      <c r="BF70" s="1222"/>
      <c r="BH70" s="196">
        <v>2.6459999999999999</v>
      </c>
      <c r="BI70" s="1221">
        <f t="shared" ref="BI70:BI76" si="138">BH70/BH10*100</f>
        <v>0.35161435639025201</v>
      </c>
      <c r="BJ70" s="61"/>
      <c r="BL70" s="992">
        <v>-0.59599999999999997</v>
      </c>
      <c r="BM70" s="1221">
        <f t="shared" ref="BM70:BM76" si="139">BL70/BL10*100</f>
        <v>-7.8273054763558891E-2</v>
      </c>
      <c r="BN70" s="61"/>
      <c r="BP70" s="992">
        <f>0.248-0.81</f>
        <v>-0.56200000000000006</v>
      </c>
      <c r="BQ70" s="1221">
        <f t="shared" ref="BQ70:BQ76" si="140">BP70/BP10*100</f>
        <v>-6.1645180432810601E-2</v>
      </c>
      <c r="BR70" s="61"/>
      <c r="BT70" s="992">
        <f>0.114-1.476</f>
        <v>-1.3619999999999999</v>
      </c>
      <c r="BU70" s="1221">
        <f t="shared" ref="BU70:BU76" si="141">BT70/BT10*100</f>
        <v>-0.12966995094058317</v>
      </c>
      <c r="BV70" s="61"/>
      <c r="BX70" s="992">
        <f>0.036-2.072</f>
        <v>-2.036</v>
      </c>
      <c r="BY70" s="1221">
        <f t="shared" ref="BY70:BY76" si="142">BX70/BX10*100</f>
        <v>-0.17531321307099498</v>
      </c>
      <c r="BZ70" s="61"/>
      <c r="CB70" s="992">
        <f>1.622+0.006</f>
        <v>1.6280000000000001</v>
      </c>
      <c r="CC70" s="1221">
        <f t="shared" ref="CC70:CC76" si="143">CB70/CB10*100</f>
        <v>0.14147172303521152</v>
      </c>
      <c r="CF70" s="992">
        <v>0.7</v>
      </c>
      <c r="CG70" s="1221">
        <f t="shared" ref="CG70:CG76" si="144">CF70/CF10*100</f>
        <v>6.7385444743935319E-2</v>
      </c>
      <c r="CJ70" s="992">
        <v>-6.7</v>
      </c>
      <c r="CK70" s="1221">
        <f t="shared" ref="CK70:CK76" si="145">CJ70/CJ10*100</f>
        <v>-0.65029603028244209</v>
      </c>
      <c r="CN70" s="992">
        <v>-5.7</v>
      </c>
      <c r="CO70" s="1221">
        <f t="shared" ref="CO70:CO76" si="146">CN70/CN10*100</f>
        <v>-0.54934464148033935</v>
      </c>
      <c r="CR70" s="992">
        <v>-20.5</v>
      </c>
      <c r="CS70" s="1221">
        <f t="shared" ref="CS70:CS76" si="147">CR70/CR10*100</f>
        <v>-1.5905035301419814</v>
      </c>
      <c r="CT70" s="3"/>
      <c r="CV70" s="983">
        <f>CR70-CN70</f>
        <v>-14.8</v>
      </c>
      <c r="CW70" s="1270"/>
      <c r="CX70" s="1270"/>
      <c r="CY70" s="1228"/>
    </row>
    <row r="71" spans="1:115" outlineLevel="1">
      <c r="A71" s="3" t="str">
        <f>$A$11</f>
        <v>2Q</v>
      </c>
      <c r="B71" s="3" t="str">
        <f>$B$11</f>
        <v>Dec</v>
      </c>
      <c r="D71" s="1205"/>
      <c r="E71" s="1221"/>
      <c r="H71" s="1205"/>
      <c r="I71" s="1221"/>
      <c r="L71" s="1205"/>
      <c r="M71" s="1221"/>
      <c r="P71" s="1205"/>
      <c r="Q71" s="1221"/>
      <c r="T71" s="1205"/>
      <c r="U71" s="1221"/>
      <c r="X71" s="148">
        <v>-9.7000000000000003E-2</v>
      </c>
      <c r="Y71" s="1221">
        <f t="shared" si="129"/>
        <v>-4.9967032061320374E-2</v>
      </c>
      <c r="AB71" s="148">
        <v>-1.399</v>
      </c>
      <c r="AC71" s="1221">
        <f t="shared" si="130"/>
        <v>-0.66294520158462389</v>
      </c>
      <c r="AF71" s="148">
        <v>-0.221</v>
      </c>
      <c r="AG71" s="1221">
        <f t="shared" si="131"/>
        <v>-9.3743372216330861E-2</v>
      </c>
      <c r="AJ71" s="148">
        <v>0.11</v>
      </c>
      <c r="AK71" s="1221">
        <f t="shared" si="132"/>
        <v>3.5653743805162015E-2</v>
      </c>
      <c r="AN71" s="148">
        <v>0.46600000000000003</v>
      </c>
      <c r="AO71" s="1221">
        <f t="shared" si="133"/>
        <v>0.11324065096363907</v>
      </c>
      <c r="AR71" s="143">
        <v>3.4689999999999999</v>
      </c>
      <c r="AS71" s="1221">
        <f t="shared" si="134"/>
        <v>0.65236319460507486</v>
      </c>
      <c r="AT71" s="61"/>
      <c r="AV71" s="143">
        <v>6.99</v>
      </c>
      <c r="AW71" s="1221">
        <f t="shared" si="135"/>
        <v>1.1277831558567282</v>
      </c>
      <c r="AX71" s="1228"/>
      <c r="AZ71" s="143">
        <v>7.8879999999999999</v>
      </c>
      <c r="BA71" s="1221">
        <f t="shared" si="136"/>
        <v>0.97914233189300448</v>
      </c>
      <c r="BB71" s="1228"/>
      <c r="BD71" s="143">
        <v>10.568</v>
      </c>
      <c r="BE71" s="1221">
        <f t="shared" si="137"/>
        <v>1.0805538145042468</v>
      </c>
      <c r="BF71" s="1057"/>
      <c r="BH71" s="143">
        <v>0.53200000000000003</v>
      </c>
      <c r="BI71" s="1221">
        <f t="shared" si="138"/>
        <v>5.5401892828579054E-2</v>
      </c>
      <c r="BJ71" s="61"/>
      <c r="BL71" s="143">
        <v>0.112</v>
      </c>
      <c r="BM71" s="1221">
        <f t="shared" si="139"/>
        <v>1.051638255219459E-2</v>
      </c>
      <c r="BN71" s="61"/>
      <c r="BP71" s="143">
        <f>0.23-1.124</f>
        <v>-0.89400000000000013</v>
      </c>
      <c r="BQ71" s="1221">
        <f t="shared" si="140"/>
        <v>-7.0702285645142554E-2</v>
      </c>
      <c r="BR71" s="61"/>
      <c r="BT71" s="143">
        <f>+-0.016+-1.755</f>
        <v>-1.7709999999999999</v>
      </c>
      <c r="BU71" s="1221">
        <f t="shared" si="141"/>
        <v>-0.12225183602100993</v>
      </c>
      <c r="BV71" s="61"/>
      <c r="BX71" s="143">
        <f>0.266-1.505</f>
        <v>-1.2389999999999999</v>
      </c>
      <c r="BY71" s="1221">
        <f t="shared" si="142"/>
        <v>-8.2392699966883323E-2</v>
      </c>
      <c r="BZ71" s="61"/>
      <c r="CB71" s="143">
        <v>1.9530000000000001</v>
      </c>
      <c r="CC71" s="1221">
        <f t="shared" si="143"/>
        <v>0.13757163868742711</v>
      </c>
      <c r="CF71" s="143">
        <v>0.4</v>
      </c>
      <c r="CG71" s="1221">
        <f t="shared" si="144"/>
        <v>3.2803017877644738E-2</v>
      </c>
      <c r="CJ71" s="143">
        <v>-6.3</v>
      </c>
      <c r="CK71" s="1221">
        <f t="shared" si="145"/>
        <v>-0.4945831370701837</v>
      </c>
      <c r="CN71" s="143">
        <v>-5.0999999999999996</v>
      </c>
      <c r="CO71" s="1221">
        <f t="shared" si="146"/>
        <v>-0.38586668684270253</v>
      </c>
      <c r="CR71" s="143">
        <v>-22.2</v>
      </c>
      <c r="CS71" s="1221">
        <f t="shared" si="147"/>
        <v>-1.2436974789915967</v>
      </c>
      <c r="CT71" s="3"/>
    </row>
    <row r="72" spans="1:115" outlineLevel="1">
      <c r="A72" s="3" t="str">
        <f>$A$12</f>
        <v>3Q</v>
      </c>
      <c r="B72" s="3" t="str">
        <f>$B$12</f>
        <v>Mar</v>
      </c>
      <c r="D72" s="1205"/>
      <c r="E72" s="1221"/>
      <c r="H72" s="1205"/>
      <c r="I72" s="1221"/>
      <c r="L72" s="1205"/>
      <c r="M72" s="1221"/>
      <c r="P72" s="1205"/>
      <c r="Q72" s="1221"/>
      <c r="T72" s="1205"/>
      <c r="U72" s="1221"/>
      <c r="X72" s="148">
        <v>-9.7000000000000003E-2</v>
      </c>
      <c r="Y72" s="1221">
        <f t="shared" si="129"/>
        <v>-8.4295050055617354E-2</v>
      </c>
      <c r="AB72" s="148">
        <v>-0.43</v>
      </c>
      <c r="AC72" s="1221">
        <f t="shared" si="130"/>
        <v>-0.34204623192325434</v>
      </c>
      <c r="AF72" s="148">
        <v>0.129</v>
      </c>
      <c r="AG72" s="1221">
        <f t="shared" si="131"/>
        <v>7.9841060586367599E-2</v>
      </c>
      <c r="AJ72" s="148">
        <v>0.34399999999999997</v>
      </c>
      <c r="AK72" s="1221">
        <f t="shared" si="132"/>
        <v>0.15608268752608939</v>
      </c>
      <c r="AN72" s="148">
        <v>0.76800000000000002</v>
      </c>
      <c r="AO72" s="1221">
        <f t="shared" si="133"/>
        <v>0.24531019921871258</v>
      </c>
      <c r="AR72" s="143">
        <v>4.9450000000000003</v>
      </c>
      <c r="AS72" s="1221">
        <f t="shared" si="134"/>
        <v>1.1888762534890933</v>
      </c>
      <c r="AT72" s="61"/>
      <c r="AV72" s="143">
        <v>10.118</v>
      </c>
      <c r="AW72" s="1221">
        <f t="shared" si="135"/>
        <v>2.1091557956966387</v>
      </c>
      <c r="AX72" s="61"/>
      <c r="AZ72" s="143">
        <v>12.988</v>
      </c>
      <c r="BA72" s="1221">
        <f t="shared" si="136"/>
        <v>2.0770730349926358</v>
      </c>
      <c r="BB72" s="61"/>
      <c r="BD72" s="143">
        <v>9.5470000000000006</v>
      </c>
      <c r="BE72" s="1221">
        <f t="shared" si="137"/>
        <v>1.2822992470336672</v>
      </c>
      <c r="BF72" s="1057"/>
      <c r="BH72" s="143">
        <v>-0.121</v>
      </c>
      <c r="BI72" s="1221">
        <f t="shared" si="138"/>
        <v>-1.6352699344135125E-2</v>
      </c>
      <c r="BJ72" s="61"/>
      <c r="BL72" s="143">
        <v>0.104</v>
      </c>
      <c r="BM72" s="1221">
        <f t="shared" si="139"/>
        <v>1.2520029036836572E-2</v>
      </c>
      <c r="BN72" s="61"/>
      <c r="BP72" s="143">
        <f>0.292-1.134</f>
        <v>-0.84199999999999986</v>
      </c>
      <c r="BQ72" s="1221">
        <f t="shared" si="140"/>
        <v>-8.8565760603172783E-2</v>
      </c>
      <c r="BR72" s="61"/>
      <c r="BT72" s="143">
        <f>0.257-1.929</f>
        <v>-1.6720000000000002</v>
      </c>
      <c r="BU72" s="1221">
        <f t="shared" si="141"/>
        <v>-0.15076903932529051</v>
      </c>
      <c r="BV72" s="61"/>
      <c r="BX72" s="143">
        <f>1.021-1.764</f>
        <v>-0.7430000000000001</v>
      </c>
      <c r="BY72" s="1221">
        <f t="shared" si="142"/>
        <v>-6.2564311565219299E-2</v>
      </c>
      <c r="BZ72" s="61"/>
      <c r="CB72" s="143">
        <v>-1.929</v>
      </c>
      <c r="CC72" s="1221">
        <f t="shared" si="143"/>
        <v>-0.17542328027893123</v>
      </c>
      <c r="CF72" s="143">
        <v>-1.2</v>
      </c>
      <c r="CG72" s="1221">
        <f t="shared" si="144"/>
        <v>-0.12912945227590661</v>
      </c>
      <c r="CJ72" s="143">
        <v>-6.5</v>
      </c>
      <c r="CK72" s="1221">
        <f t="shared" si="145"/>
        <v>-0.62917432968734888</v>
      </c>
      <c r="CN72" s="143">
        <v>-4</v>
      </c>
      <c r="CO72" s="1221">
        <f t="shared" si="146"/>
        <v>-0.40192926045016075</v>
      </c>
      <c r="CR72" s="143">
        <v>-17.5</v>
      </c>
      <c r="CS72" s="1221">
        <f t="shared" si="147"/>
        <v>-1.3403787904491102</v>
      </c>
      <c r="CT72" s="3"/>
    </row>
    <row r="73" spans="1:115" outlineLevel="1">
      <c r="A73" s="3" t="str">
        <f>$A$13</f>
        <v>4Q</v>
      </c>
      <c r="B73" s="3" t="str">
        <f>$B$13</f>
        <v>June</v>
      </c>
      <c r="D73" s="1207"/>
      <c r="E73" s="1221"/>
      <c r="H73" s="1207"/>
      <c r="I73" s="1221"/>
      <c r="L73" s="1207"/>
      <c r="M73" s="1221"/>
      <c r="P73" s="1207"/>
      <c r="Q73" s="1221"/>
      <c r="T73" s="1207"/>
      <c r="U73" s="1221"/>
      <c r="X73" s="1271">
        <v>-9.6000000000000002E-2</v>
      </c>
      <c r="Y73" s="1221">
        <f t="shared" si="129"/>
        <v>-7.8891573393816861E-2</v>
      </c>
      <c r="AB73" s="1271">
        <v>-0.316</v>
      </c>
      <c r="AC73" s="1221">
        <f t="shared" si="130"/>
        <v>-0.23893417212333842</v>
      </c>
      <c r="AF73" s="1271">
        <v>0.24</v>
      </c>
      <c r="AG73" s="1221">
        <f t="shared" si="131"/>
        <v>0.14003967790874081</v>
      </c>
      <c r="AJ73" s="1271">
        <v>0.44</v>
      </c>
      <c r="AK73" s="1221">
        <f t="shared" si="132"/>
        <v>0.19005165949653588</v>
      </c>
      <c r="AN73" s="1271">
        <v>1.5529999999999999</v>
      </c>
      <c r="AO73" s="1221">
        <f t="shared" si="133"/>
        <v>0.45927043132384038</v>
      </c>
      <c r="AR73" s="1272">
        <v>4.8360000000000003</v>
      </c>
      <c r="AS73" s="1221">
        <f t="shared" si="134"/>
        <v>1.1551139349352697</v>
      </c>
      <c r="AT73" s="61"/>
      <c r="AV73" s="1272">
        <v>9.6280000000000001</v>
      </c>
      <c r="AW73" s="1221">
        <f t="shared" si="135"/>
        <v>1.919561060902401</v>
      </c>
      <c r="AX73" s="61"/>
      <c r="AZ73" s="1272">
        <v>13.808</v>
      </c>
      <c r="BA73" s="1221">
        <f t="shared" si="136"/>
        <v>2.1173724830516658</v>
      </c>
      <c r="BB73" s="61"/>
      <c r="BD73" s="1272">
        <v>2.0590000000000002</v>
      </c>
      <c r="BE73" s="1221">
        <f t="shared" si="137"/>
        <v>0.26346769033909151</v>
      </c>
      <c r="BF73" s="1057"/>
      <c r="BH73" s="1272">
        <f>2.111-2.012</f>
        <v>9.9000000000000199E-2</v>
      </c>
      <c r="BI73" s="1221">
        <f t="shared" si="138"/>
        <v>1.2729124236252571E-2</v>
      </c>
      <c r="BJ73" s="61"/>
      <c r="BL73" s="1272">
        <v>2.137</v>
      </c>
      <c r="BM73" s="1221">
        <f t="shared" si="139"/>
        <v>0.2248231240630178</v>
      </c>
      <c r="BN73" s="61"/>
      <c r="BP73" s="1272">
        <f>0.261-1.668</f>
        <v>-1.407</v>
      </c>
      <c r="BQ73" s="1221">
        <f t="shared" si="140"/>
        <v>-0.13638015848014151</v>
      </c>
      <c r="BR73" s="61"/>
      <c r="BT73" s="1272">
        <f>0.365-1.886</f>
        <v>-1.5209999999999999</v>
      </c>
      <c r="BU73" s="1221">
        <f t="shared" si="141"/>
        <v>-0.13166653826077243</v>
      </c>
      <c r="BV73" s="61"/>
      <c r="BX73" s="1272">
        <f>1.046-1.043</f>
        <v>3.0000000000001137E-3</v>
      </c>
      <c r="BY73" s="1221">
        <f t="shared" si="142"/>
        <v>2.4536104059253984E-4</v>
      </c>
      <c r="BZ73" s="61"/>
      <c r="CB73" s="1272">
        <v>0.52900000000000003</v>
      </c>
      <c r="CC73" s="1221">
        <f t="shared" si="143"/>
        <v>4.6558048821702926E-2</v>
      </c>
      <c r="CF73" s="1572">
        <v>-6.3</v>
      </c>
      <c r="CG73" s="1221">
        <f t="shared" si="144"/>
        <v>-0.62742754705706594</v>
      </c>
      <c r="CJ73" s="1572">
        <v>-7.4</v>
      </c>
      <c r="CK73" s="1221">
        <f t="shared" si="145"/>
        <v>-0.64091460245972631</v>
      </c>
      <c r="CN73" s="1572">
        <v>-4.0999999999999996</v>
      </c>
      <c r="CO73" s="1221">
        <f t="shared" si="146"/>
        <v>-0.36161580525665898</v>
      </c>
      <c r="CR73" s="1572">
        <v>-17.5</v>
      </c>
      <c r="CS73" s="1221">
        <f t="shared" si="147"/>
        <v>-1.2057360923757814</v>
      </c>
      <c r="CT73" s="3"/>
    </row>
    <row r="74" spans="1:115" outlineLevel="1">
      <c r="B74" s="3" t="str">
        <f>$B$14</f>
        <v>Year</v>
      </c>
      <c r="D74" s="1202">
        <v>-0.33100000000000002</v>
      </c>
      <c r="E74" s="1221">
        <f>D74/D14*100</f>
        <v>-8.3793013535989225E-2</v>
      </c>
      <c r="H74" s="1210">
        <v>-0.247</v>
      </c>
      <c r="I74" s="1221">
        <f>H74/H14*100</f>
        <v>-4.8181490114991857E-2</v>
      </c>
      <c r="L74" s="1210">
        <v>-0.49199999999999999</v>
      </c>
      <c r="M74" s="1221">
        <f>L74/L14*100</f>
        <v>-9.1049399851211965E-2</v>
      </c>
      <c r="P74" s="1210">
        <v>-0.23599999999999999</v>
      </c>
      <c r="Q74" s="1221">
        <f>P74/P14*100</f>
        <v>-4.5921990990728037E-2</v>
      </c>
      <c r="T74" s="1210">
        <v>-0.41399999999999998</v>
      </c>
      <c r="U74" s="1221">
        <f>T74/T14*100</f>
        <v>-8.264396818806094E-2</v>
      </c>
      <c r="X74" s="1210">
        <f>SUM(X70:X73)</f>
        <v>-0.38700000000000001</v>
      </c>
      <c r="Y74" s="1221">
        <f t="shared" si="129"/>
        <v>-7.0502333681897844E-2</v>
      </c>
      <c r="AB74" s="1210">
        <f>SUM(AB70:AB73)</f>
        <v>-2.258</v>
      </c>
      <c r="AC74" s="1221">
        <f t="shared" si="130"/>
        <v>-0.37602561903508963</v>
      </c>
      <c r="AF74" s="1210">
        <f>SUM(AF70:AF73)</f>
        <v>-0.29900000000000004</v>
      </c>
      <c r="AG74" s="1221">
        <f t="shared" si="131"/>
        <v>-4.156223980161329E-2</v>
      </c>
      <c r="AJ74" s="1210">
        <f>SUM(AJ70:AJ73)</f>
        <v>1.0589999999999999</v>
      </c>
      <c r="AK74" s="1221">
        <f t="shared" si="132"/>
        <v>0.11109642414285803</v>
      </c>
      <c r="AN74" s="1210">
        <f>SUM(AN70:AN73)</f>
        <v>3.1920000000000002</v>
      </c>
      <c r="AO74" s="1221">
        <f t="shared" si="133"/>
        <v>0.24161573711723364</v>
      </c>
      <c r="AR74" s="1211">
        <f>SUM(AR70:AR73)</f>
        <v>15.76</v>
      </c>
      <c r="AS74" s="1221">
        <f t="shared" si="134"/>
        <v>0.92140949928760307</v>
      </c>
      <c r="AT74" s="61"/>
      <c r="AV74" s="1211">
        <f>SUM(AV70:AV73)</f>
        <v>32.622999999999998</v>
      </c>
      <c r="AW74" s="1221">
        <f t="shared" si="135"/>
        <v>1.6030241399524641</v>
      </c>
      <c r="AX74" s="61"/>
      <c r="AZ74" s="1211">
        <f>SUM(AZ70:AZ73)</f>
        <v>41.272999999999996</v>
      </c>
      <c r="BA74" s="1221">
        <f t="shared" si="136"/>
        <v>1.5798543592695915</v>
      </c>
      <c r="BB74" s="61"/>
      <c r="BD74" s="1211">
        <f>SUM(BD70:BD73)</f>
        <v>37.17</v>
      </c>
      <c r="BE74" s="1221">
        <f t="shared" si="137"/>
        <v>1.1685897413728872</v>
      </c>
      <c r="BF74" s="61"/>
      <c r="BH74" s="1211">
        <f>SUM(BH70:BH73)</f>
        <v>3.1560000000000001</v>
      </c>
      <c r="BI74" s="1221">
        <f t="shared" si="138"/>
        <v>9.7694823164940825E-2</v>
      </c>
      <c r="BJ74" s="61"/>
      <c r="BL74" s="1211">
        <f>SUM(BL70:BL73)</f>
        <v>1.7570000000000001</v>
      </c>
      <c r="BM74" s="1221">
        <f t="shared" si="139"/>
        <v>4.8702252666288956E-2</v>
      </c>
      <c r="BN74" s="61"/>
      <c r="BP74" s="1211">
        <f>SUM(BP70:BP73)</f>
        <v>-3.7050000000000001</v>
      </c>
      <c r="BQ74" s="1221">
        <f t="shared" si="140"/>
        <v>-8.9094475493247921E-2</v>
      </c>
      <c r="BR74" s="61"/>
      <c r="BT74" s="1211">
        <f>SUM(BT70:BT73)</f>
        <v>-6.3259999999999996</v>
      </c>
      <c r="BU74" s="1221">
        <f t="shared" si="141"/>
        <v>-0.13281043336594461</v>
      </c>
      <c r="BV74" s="61"/>
      <c r="BX74" s="1211">
        <f>SUM(BX70:BX73)</f>
        <v>-4.0149999999999997</v>
      </c>
      <c r="BY74" s="1221">
        <f t="shared" si="142"/>
        <v>-7.9107221316982543E-2</v>
      </c>
      <c r="BZ74" s="61"/>
      <c r="CB74" s="1211">
        <f>SUM(CB70:CB73)</f>
        <v>2.1810000000000005</v>
      </c>
      <c r="CC74" s="1221">
        <f t="shared" si="143"/>
        <v>4.5378640122208158E-2</v>
      </c>
      <c r="CF74" s="1211">
        <f>SUM(CF70:CF73)</f>
        <v>-6.3999999999999995</v>
      </c>
      <c r="CG74" s="1221">
        <f t="shared" si="144"/>
        <v>-0.15268632503101437</v>
      </c>
      <c r="CJ74" s="1211">
        <f>SUM(CJ70:CJ73)</f>
        <v>-26.9</v>
      </c>
      <c r="CK74" s="1221">
        <f t="shared" si="145"/>
        <v>-0.59886905026937987</v>
      </c>
      <c r="CN74" s="1211">
        <f>SUM(CN70:CN73)</f>
        <v>-18.899999999999999</v>
      </c>
      <c r="CO74" s="1221">
        <f t="shared" si="146"/>
        <v>-0.42109484660116292</v>
      </c>
      <c r="CR74" s="1211">
        <f>SUM(CR70:CR73)</f>
        <v>-77.7</v>
      </c>
      <c r="CS74" s="1221">
        <f t="shared" si="147"/>
        <v>-1.3325566355098217</v>
      </c>
      <c r="CT74" s="3"/>
    </row>
    <row r="75" spans="1:115" hidden="1" outlineLevel="2">
      <c r="A75" s="3" t="str">
        <f>$A$15</f>
        <v>6 Mos</v>
      </c>
      <c r="D75" s="1212"/>
      <c r="E75" s="1221"/>
      <c r="H75" s="1212"/>
      <c r="I75" s="1221"/>
      <c r="L75" s="1212"/>
      <c r="M75" s="1221"/>
      <c r="P75" s="1212"/>
      <c r="Q75" s="1221"/>
      <c r="T75" s="1212"/>
      <c r="U75" s="1221"/>
      <c r="X75" s="1212">
        <f>SUM(X70:X71)</f>
        <v>-0.19400000000000001</v>
      </c>
      <c r="Y75" s="1221">
        <f t="shared" si="129"/>
        <v>-6.2147616606868281E-2</v>
      </c>
      <c r="AB75" s="1212">
        <f>SUM(AB70:AB71)</f>
        <v>-1.512</v>
      </c>
      <c r="AC75" s="1221">
        <f t="shared" si="130"/>
        <v>-0.44143021052600845</v>
      </c>
      <c r="AF75" s="1212">
        <f>SUM(AF70:AF71)</f>
        <v>-0.66800000000000004</v>
      </c>
      <c r="AG75" s="1221">
        <f t="shared" si="131"/>
        <v>-0.17285458478672644</v>
      </c>
      <c r="AJ75" s="1212">
        <f>SUM(AJ70:AJ71)</f>
        <v>0.27500000000000002</v>
      </c>
      <c r="AK75" s="1221">
        <f t="shared" si="132"/>
        <v>5.4855838855487782E-2</v>
      </c>
      <c r="AN75" s="1212">
        <f>SUM(AN70:AN71)</f>
        <v>0.871</v>
      </c>
      <c r="AO75" s="1221">
        <f t="shared" si="133"/>
        <v>0.13002173497659314</v>
      </c>
      <c r="AR75" s="1213">
        <f>SUM(AR70:AR71)</f>
        <v>5.9789999999999992</v>
      </c>
      <c r="AS75" s="1221">
        <f t="shared" si="134"/>
        <v>0.68267140430040729</v>
      </c>
      <c r="AT75" s="61"/>
      <c r="AV75" s="1213">
        <f>SUM(AV70:AV71)</f>
        <v>12.876999999999999</v>
      </c>
      <c r="AW75" s="1221">
        <f t="shared" si="135"/>
        <v>1.2219586259252231</v>
      </c>
      <c r="AX75" s="61"/>
      <c r="AZ75" s="1213">
        <f>SUM(AZ70:AZ71)</f>
        <v>14.477</v>
      </c>
      <c r="BA75" s="1221">
        <f t="shared" si="136"/>
        <v>1.084399980824315</v>
      </c>
      <c r="BB75" s="61"/>
      <c r="BD75" s="1213">
        <f>SUM(BD70:BD71)</f>
        <v>25.564</v>
      </c>
      <c r="BE75" s="1221">
        <f t="shared" si="137"/>
        <v>1.5448999386608731</v>
      </c>
      <c r="BF75" s="61"/>
      <c r="BH75" s="1213">
        <f>SUM(BH70:BH71)</f>
        <v>3.1779999999999999</v>
      </c>
      <c r="BI75" s="1221">
        <f t="shared" si="138"/>
        <v>0.1855457631868565</v>
      </c>
      <c r="BJ75" s="61"/>
      <c r="BL75" s="1213">
        <f>SUM(BL70:BL71)</f>
        <v>-0.48399999999999999</v>
      </c>
      <c r="BM75" s="1221">
        <f t="shared" si="139"/>
        <v>-2.6499609623519389E-2</v>
      </c>
      <c r="BN75" s="61"/>
      <c r="BP75" s="1213">
        <f>SUM(BP70:BP71)</f>
        <v>-1.4560000000000002</v>
      </c>
      <c r="BQ75" s="1221">
        <f t="shared" si="140"/>
        <v>-6.6907890443843793E-2</v>
      </c>
      <c r="BR75" s="61"/>
      <c r="BT75" s="1213">
        <f>SUM(BT70:BT71)</f>
        <v>-3.133</v>
      </c>
      <c r="BU75" s="1221">
        <f t="shared" si="141"/>
        <v>-0.12536974671549672</v>
      </c>
      <c r="BV75" s="61"/>
      <c r="BX75" s="1213">
        <f>SUM(BX70:BX71)</f>
        <v>-3.2749999999999999</v>
      </c>
      <c r="BY75" s="1221">
        <f t="shared" si="142"/>
        <v>-0.12288358815574811</v>
      </c>
      <c r="BZ75" s="61"/>
      <c r="CB75" s="1213">
        <f>SUM(CB70:CB71)</f>
        <v>3.5810000000000004</v>
      </c>
      <c r="CC75" s="1221">
        <f t="shared" si="143"/>
        <v>0.13931770505885502</v>
      </c>
      <c r="CF75" s="1213">
        <f>SUM(CF70:CF71)</f>
        <v>1.1000000000000001</v>
      </c>
      <c r="CG75" s="1221">
        <f t="shared" si="144"/>
        <v>4.8711363032503771E-2</v>
      </c>
      <c r="CJ75" s="1213">
        <f>SUM(CJ70:CJ71)</f>
        <v>-13</v>
      </c>
      <c r="CK75" s="1221">
        <f t="shared" si="145"/>
        <v>-0.56421162275942893</v>
      </c>
      <c r="CN75" s="1213">
        <f>SUM(CN70:CN71)</f>
        <v>-10.8</v>
      </c>
      <c r="CO75" s="1221">
        <f t="shared" si="146"/>
        <v>-0.45776289577417029</v>
      </c>
      <c r="CR75" s="1213">
        <f>SUM(CR70:CR71)</f>
        <v>-42.7</v>
      </c>
      <c r="CS75" s="1221">
        <f t="shared" si="147"/>
        <v>-1.3891148052962037</v>
      </c>
      <c r="CT75" s="3"/>
    </row>
    <row r="76" spans="1:115" hidden="1" outlineLevel="2">
      <c r="A76" s="3" t="str">
        <f>$A$16</f>
        <v>9 Mos</v>
      </c>
      <c r="D76" s="1212"/>
      <c r="E76" s="1221"/>
      <c r="H76" s="1212"/>
      <c r="I76" s="1221"/>
      <c r="L76" s="1212"/>
      <c r="M76" s="1221"/>
      <c r="P76" s="1212"/>
      <c r="Q76" s="1221"/>
      <c r="T76" s="1212"/>
      <c r="U76" s="1221"/>
      <c r="X76" s="1212">
        <f>SUM(X70:X72)</f>
        <v>-0.29100000000000004</v>
      </c>
      <c r="Y76" s="1221">
        <f t="shared" si="129"/>
        <v>-6.8112875440041951E-2</v>
      </c>
      <c r="AB76" s="1212">
        <f>SUM(AB70:AB72)</f>
        <v>-1.9419999999999999</v>
      </c>
      <c r="AC76" s="1221">
        <f t="shared" si="130"/>
        <v>-0.41474723270480546</v>
      </c>
      <c r="AF76" s="1212">
        <f>SUM(AF70:AF72)</f>
        <v>-0.53900000000000003</v>
      </c>
      <c r="AG76" s="1221">
        <f t="shared" si="131"/>
        <v>-9.8353536256689966E-2</v>
      </c>
      <c r="AJ76" s="1212">
        <f>SUM(AJ70:AJ72)</f>
        <v>0.61899999999999999</v>
      </c>
      <c r="AK76" s="1221">
        <f t="shared" si="132"/>
        <v>8.5768521982513737E-2</v>
      </c>
      <c r="AN76" s="1212">
        <f>SUM(AN70:AN72)</f>
        <v>1.639</v>
      </c>
      <c r="AO76" s="1221">
        <f t="shared" si="133"/>
        <v>0.16674110163068528</v>
      </c>
      <c r="AR76" s="1213">
        <f>SUM(AR70:AR72)</f>
        <v>10.923999999999999</v>
      </c>
      <c r="AS76" s="1221">
        <f t="shared" si="134"/>
        <v>0.84566596194503152</v>
      </c>
      <c r="AT76" s="61"/>
      <c r="AV76" s="1213">
        <f>SUM(AV70:AV72)</f>
        <v>22.994999999999997</v>
      </c>
      <c r="AW76" s="1221">
        <f t="shared" si="135"/>
        <v>1.499493321891233</v>
      </c>
      <c r="AX76" s="61"/>
      <c r="AZ76" s="1213">
        <f>SUM(AZ70:AZ72)</f>
        <v>27.465</v>
      </c>
      <c r="BA76" s="1221">
        <f t="shared" si="136"/>
        <v>1.4010417649708442</v>
      </c>
      <c r="BB76" s="61"/>
      <c r="BD76" s="1213">
        <f>SUM(BD70:BD72)</f>
        <v>35.111000000000004</v>
      </c>
      <c r="BE76" s="1221">
        <f t="shared" si="137"/>
        <v>1.4634113811067344</v>
      </c>
      <c r="BF76" s="61"/>
      <c r="BH76" s="1213">
        <f>SUM(BH70:BH72)</f>
        <v>3.0569999999999999</v>
      </c>
      <c r="BI76" s="1221">
        <f t="shared" si="138"/>
        <v>0.12463693428204722</v>
      </c>
      <c r="BJ76" s="61"/>
      <c r="BL76" s="1213">
        <f>SUM(BL70:BL72)</f>
        <v>-0.38</v>
      </c>
      <c r="BM76" s="1221">
        <f t="shared" si="139"/>
        <v>-1.4301246730001119E-2</v>
      </c>
      <c r="BN76" s="61"/>
      <c r="BP76" s="1213">
        <f>SUM(BP70:BP72)</f>
        <v>-2.298</v>
      </c>
      <c r="BQ76" s="1221">
        <f t="shared" si="140"/>
        <v>-7.3492915513209522E-2</v>
      </c>
      <c r="BR76" s="61"/>
      <c r="BT76" s="1213">
        <f>SUM(BT70:BT72)</f>
        <v>-4.8049999999999997</v>
      </c>
      <c r="BU76" s="1221">
        <f t="shared" si="141"/>
        <v>-0.13317668097103399</v>
      </c>
      <c r="BV76" s="61"/>
      <c r="BX76" s="1213">
        <f>SUM(BX70:BX72)</f>
        <v>-4.0179999999999998</v>
      </c>
      <c r="BY76" s="1221">
        <f t="shared" si="142"/>
        <v>-0.10429044343424435</v>
      </c>
      <c r="BZ76" s="61"/>
      <c r="CB76" s="1213">
        <f>SUM(CB70:CB72)</f>
        <v>1.6520000000000004</v>
      </c>
      <c r="CC76" s="1221">
        <f t="shared" si="143"/>
        <v>4.5013501325609474E-2</v>
      </c>
      <c r="CF76" s="1213">
        <f>SUM(CF70:CF72)</f>
        <v>-9.9999999999999867E-2</v>
      </c>
      <c r="CG76" s="1221">
        <f t="shared" si="144"/>
        <v>-3.1372549019607803E-3</v>
      </c>
      <c r="CJ76" s="1213">
        <f>SUM(CJ70:CJ72)</f>
        <v>-19.5</v>
      </c>
      <c r="CK76" s="1221">
        <f t="shared" si="145"/>
        <v>-0.58432218626393384</v>
      </c>
      <c r="CN76" s="1213">
        <f>SUM(CN70:CN72)</f>
        <v>-14.8</v>
      </c>
      <c r="CO76" s="1221">
        <f t="shared" si="146"/>
        <v>-0.44119839022208973</v>
      </c>
      <c r="CR76" s="1213">
        <f>SUM(CR70:CR72)</f>
        <v>-60.2</v>
      </c>
      <c r="CS76" s="1221">
        <f t="shared" si="147"/>
        <v>-1.3745858001542208</v>
      </c>
      <c r="CT76" s="3"/>
    </row>
    <row r="77" spans="1:115" outlineLevel="1" collapsed="1">
      <c r="W77" s="127"/>
      <c r="AR77" s="61"/>
      <c r="AS77" s="61"/>
      <c r="AT77" s="1183"/>
      <c r="AV77" s="61"/>
      <c r="AW77" s="61"/>
      <c r="AX77" s="1183"/>
      <c r="AZ77" s="61"/>
      <c r="BA77" s="61"/>
      <c r="BB77" s="1183"/>
      <c r="BD77" s="61"/>
      <c r="BE77" s="1035"/>
      <c r="BF77" s="1183"/>
      <c r="BH77" s="61"/>
      <c r="BI77" s="61"/>
      <c r="BJ77" s="1183"/>
      <c r="BL77" s="61"/>
      <c r="BM77" s="61"/>
      <c r="BN77" s="1183"/>
      <c r="BP77" s="61"/>
      <c r="BQ77" s="61"/>
      <c r="BR77" s="1183"/>
      <c r="BT77" s="61"/>
      <c r="BU77" s="61"/>
      <c r="BV77" s="1183"/>
      <c r="BX77" s="61"/>
      <c r="BY77" s="61"/>
      <c r="BZ77" s="1183"/>
      <c r="CR77" s="139"/>
      <c r="CS77" s="3"/>
      <c r="CT77" s="3"/>
    </row>
    <row r="78" spans="1:115" outlineLevel="1">
      <c r="D78" s="1260"/>
      <c r="E78" s="127"/>
      <c r="F78" s="127"/>
      <c r="G78" s="127"/>
      <c r="H78" s="1260"/>
      <c r="I78" s="127"/>
      <c r="J78" s="127"/>
      <c r="K78" s="127"/>
      <c r="L78" s="1260"/>
      <c r="M78" s="127"/>
      <c r="N78" s="127"/>
      <c r="O78" s="127"/>
      <c r="P78" s="1260"/>
      <c r="Q78" s="127"/>
      <c r="R78" s="127"/>
      <c r="S78" s="127"/>
      <c r="U78" s="127"/>
      <c r="V78" s="127"/>
      <c r="Y78" s="127"/>
      <c r="Z78" s="127"/>
      <c r="AA78" s="127"/>
      <c r="AC78" s="127"/>
      <c r="AD78" s="127"/>
      <c r="AE78" s="127"/>
      <c r="AG78" s="127"/>
      <c r="AH78" s="127"/>
      <c r="AI78" s="127"/>
      <c r="AK78" s="127"/>
      <c r="AL78" s="127"/>
      <c r="AM78" s="127"/>
      <c r="AN78" s="1260"/>
      <c r="AO78" s="127"/>
      <c r="AP78" s="127"/>
      <c r="AQ78" s="127"/>
      <c r="AS78" s="1197"/>
      <c r="AT78" s="1197"/>
      <c r="AU78" s="127"/>
      <c r="AV78" s="1273"/>
      <c r="AW78" s="1197"/>
      <c r="AX78" s="1197"/>
      <c r="AY78" s="127"/>
      <c r="AZ78" s="1273"/>
      <c r="BA78" s="1197"/>
      <c r="BB78" s="1197"/>
      <c r="BC78" s="127"/>
      <c r="BD78" s="1273"/>
      <c r="BE78" s="1197"/>
      <c r="BF78" s="1197"/>
      <c r="BG78" s="127"/>
      <c r="BH78" s="1273"/>
      <c r="BI78" s="1197"/>
      <c r="BJ78" s="1197"/>
      <c r="BK78" s="127"/>
      <c r="BL78" s="1260" t="s">
        <v>616</v>
      </c>
      <c r="BM78" s="1197"/>
      <c r="BN78" s="1197"/>
      <c r="BO78" s="127"/>
      <c r="BQ78" s="1197"/>
      <c r="BR78" s="1197"/>
      <c r="BS78" s="127"/>
      <c r="BT78" s="1273"/>
      <c r="BU78" s="1197"/>
      <c r="BV78" s="1197"/>
      <c r="BW78" s="127"/>
      <c r="BX78" s="1260" t="s">
        <v>616</v>
      </c>
      <c r="BY78" s="1197"/>
      <c r="BZ78" s="1197"/>
      <c r="CA78" s="127"/>
      <c r="CB78" s="127"/>
      <c r="CC78" s="127"/>
      <c r="CD78" s="127"/>
      <c r="CE78" s="127"/>
      <c r="CF78" s="127"/>
      <c r="CG78" s="127"/>
      <c r="CH78" s="127"/>
      <c r="CI78" s="127"/>
      <c r="CJ78" s="127"/>
      <c r="CK78" s="127"/>
      <c r="CL78" s="127"/>
      <c r="CM78" s="127"/>
      <c r="CN78" s="127"/>
      <c r="CO78" s="127"/>
      <c r="CP78" s="127"/>
      <c r="CQ78" s="127"/>
      <c r="CR78" s="127"/>
      <c r="CS78" s="127"/>
      <c r="CT78" s="127"/>
      <c r="CU78" s="1197"/>
    </row>
    <row r="79" spans="1:115" outlineLevel="1">
      <c r="AR79" s="61"/>
      <c r="AS79" s="61"/>
      <c r="AT79" s="1183"/>
      <c r="AV79" s="61"/>
      <c r="AW79" s="61"/>
      <c r="AX79" s="1183"/>
      <c r="AZ79" s="151"/>
      <c r="BA79" s="61"/>
      <c r="BB79" s="1183"/>
      <c r="BD79" s="61"/>
      <c r="BE79" s="61"/>
      <c r="BF79" s="1183"/>
      <c r="BH79" s="61"/>
      <c r="BI79" s="61"/>
      <c r="BJ79" s="1183"/>
      <c r="BL79" s="61"/>
      <c r="BM79" s="61"/>
      <c r="BN79" s="1183"/>
      <c r="BP79" s="61"/>
      <c r="BQ79" s="61"/>
      <c r="BR79" s="1183"/>
      <c r="BT79" s="61"/>
      <c r="BU79" s="61"/>
      <c r="BV79" s="1183"/>
      <c r="BX79" s="61"/>
      <c r="BY79" s="61"/>
      <c r="BZ79" s="1183"/>
      <c r="CR79" s="3"/>
      <c r="CS79" s="3"/>
      <c r="CT79" s="3"/>
    </row>
    <row r="80" spans="1:115" outlineLevel="1">
      <c r="A80" s="3" t="str">
        <f>$A$10</f>
        <v>1Q</v>
      </c>
      <c r="B80" s="3" t="str">
        <f>$B$10</f>
        <v>Sept</v>
      </c>
      <c r="D80" s="139"/>
      <c r="E80" s="1217"/>
      <c r="F80" s="22"/>
      <c r="H80" s="139"/>
      <c r="I80" s="1217"/>
      <c r="J80" s="22"/>
      <c r="L80" s="139"/>
      <c r="M80" s="1217"/>
      <c r="N80" s="22"/>
      <c r="P80" s="139"/>
      <c r="Q80" s="1217"/>
      <c r="R80" s="22"/>
      <c r="T80" s="139"/>
      <c r="U80" s="1217"/>
      <c r="V80" s="22"/>
      <c r="X80" s="139">
        <f>X60+X70</f>
        <v>2.9519999999999995</v>
      </c>
      <c r="Y80" s="1217">
        <f t="shared" ref="Y80:Y86" si="148">X80/X10*100</f>
        <v>2.5010166734444894</v>
      </c>
      <c r="Z80" s="22"/>
      <c r="AB80" s="139">
        <f>AB60+AB70</f>
        <v>11.67900000000002</v>
      </c>
      <c r="AC80" s="1217">
        <f t="shared" ref="AC80:AC86" si="149">AB80/AB10*100</f>
        <v>8.8817065287653669</v>
      </c>
      <c r="AD80" s="22">
        <f t="shared" ref="AD80:AD86" si="150">IF(X80&lt;0,"       NM",(AB80/X80-1)*100)</f>
        <v>295.63008130081374</v>
      </c>
      <c r="AF80" s="139">
        <f>AF60+AF70</f>
        <v>19.023</v>
      </c>
      <c r="AG80" s="1217">
        <f t="shared" ref="AG80:AG86" si="151">AF80/AF10*100</f>
        <v>12.62292471234622</v>
      </c>
      <c r="AH80" s="22">
        <f t="shared" ref="AH80:AH86" si="152">IF(AB80&lt;0,"       NM",(AF80/AB80-1)*100)</f>
        <v>62.882096069868723</v>
      </c>
      <c r="AJ80" s="139">
        <f>AJ60+AJ70</f>
        <v>37.772999999999989</v>
      </c>
      <c r="AK80" s="1217">
        <f t="shared" ref="AK80:AK86" si="153">AJ80/AJ10*100</f>
        <v>19.592719577158679</v>
      </c>
      <c r="AL80" s="22">
        <f t="shared" ref="AL80:AL86" si="154">IF(AF80&lt;0,"       NM",(AJ80/AF80-1)*100)</f>
        <v>98.564895126951527</v>
      </c>
      <c r="AN80" s="139">
        <f>AN60+AN70</f>
        <v>72.029999999999987</v>
      </c>
      <c r="AO80" s="1217">
        <f t="shared" ref="AO80:AO86" si="155">AN80/AN10*100</f>
        <v>27.878084179970969</v>
      </c>
      <c r="AP80" s="22">
        <f t="shared" ref="AP80:AP86" si="156">IF(AK80&lt;0,"       NM",(AN80/AK80-1)*100)</f>
        <v>267.63655865300615</v>
      </c>
      <c r="AR80" s="132">
        <f>AR60+AR70</f>
        <v>103.06699999999999</v>
      </c>
      <c r="AS80" s="1221">
        <f t="shared" ref="AS80:AS86" si="157">AR80/AR10*100</f>
        <v>29.955676979640472</v>
      </c>
      <c r="AT80" s="316">
        <f t="shared" ref="AT80:AT86" si="158">IF(AN80&lt;0,"       NM",(AR80/AN80-1)*100)</f>
        <v>43.088990698320153</v>
      </c>
      <c r="AV80" s="132">
        <f>AV60+AV70</f>
        <v>141.48700000000002</v>
      </c>
      <c r="AW80" s="1221">
        <f t="shared" ref="AW80:AW86" si="159">AV80/AV10*100</f>
        <v>32.600691244239641</v>
      </c>
      <c r="AX80" s="316">
        <f t="shared" ref="AX80:AX86" si="160">IF(AR80&lt;0,"       NM",(AV80/AR80-1)*100)</f>
        <v>37.276722908399428</v>
      </c>
      <c r="AY80" s="22"/>
      <c r="AZ80" s="132">
        <f>AZ60+AZ70</f>
        <v>187.24300000000005</v>
      </c>
      <c r="BA80" s="1221">
        <f t="shared" ref="BA80:BA86" si="161">AZ80/AZ10*100</f>
        <v>35.367505255741655</v>
      </c>
      <c r="BB80" s="316">
        <f t="shared" ref="BB80:BB86" si="162">IF(AV80&lt;0,"       NM",(AZ80/AV80-1)*100)</f>
        <v>32.33936686762744</v>
      </c>
      <c r="BC80" s="22"/>
      <c r="BD80" s="132">
        <f>BD60+BD70</f>
        <v>253.75399999999999</v>
      </c>
      <c r="BE80" s="1221">
        <f t="shared" ref="BE80:BE86" si="163">BD80/BD10*100</f>
        <v>37.497746476375688</v>
      </c>
      <c r="BF80" s="316">
        <f t="shared" ref="BF80:BF86" si="164">IF(AZ80&lt;0,"       NM",(BD80/AZ80-1)*100)</f>
        <v>35.521221087036594</v>
      </c>
      <c r="BG80" s="22"/>
      <c r="BH80" s="132">
        <f>BH60+BH70</f>
        <v>236.13199999999998</v>
      </c>
      <c r="BI80" s="1221">
        <f t="shared" ref="BI80:BI86" si="165">BH80/BH10*100</f>
        <v>31.37845850458919</v>
      </c>
      <c r="BJ80" s="316">
        <f t="shared" ref="BJ80:BJ86" si="166">IF(BD80&lt;0,"       NM",(BH80/BD80-1)*100)</f>
        <v>-6.9445210715890271</v>
      </c>
      <c r="BK80" s="22"/>
      <c r="BL80" s="132">
        <f>BL60+BL70</f>
        <v>222.65100000000001</v>
      </c>
      <c r="BM80" s="1221">
        <f t="shared" ref="BM80:BM86" si="167">BL80/BL10*100</f>
        <v>29.240895832485158</v>
      </c>
      <c r="BN80" s="316">
        <f>IF(BH80&lt;0,"       NM",(BL80/BH80-1)*100)</f>
        <v>-5.709094913014745</v>
      </c>
      <c r="BO80" s="22"/>
      <c r="BP80" s="132">
        <f>BP60+BP70</f>
        <v>285.09800000000001</v>
      </c>
      <c r="BQ80" s="1221">
        <f t="shared" ref="BQ80:BQ86" si="168">BP80/BP10*100</f>
        <v>31.272095464472304</v>
      </c>
      <c r="BR80" s="316">
        <f>IF(BL80&lt;0,"       NM",(BP80/BL80-1)*100)</f>
        <v>28.04703324934539</v>
      </c>
      <c r="BS80" s="22"/>
      <c r="BT80" s="132">
        <f>BT60+BT70</f>
        <v>320.60399999999987</v>
      </c>
      <c r="BU80" s="1221">
        <f t="shared" ref="BU80:BU86" si="169">BT80/BT10*100</f>
        <v>30.523278231537969</v>
      </c>
      <c r="BV80" s="316">
        <f>IF(BP80&lt;0,"       NM",(BT80/BP80-1)*100)</f>
        <v>12.453963198619377</v>
      </c>
      <c r="BW80" s="22"/>
      <c r="BX80" s="132">
        <f>BX60+BX70</f>
        <v>329.68099999999987</v>
      </c>
      <c r="BY80" s="1221">
        <f t="shared" ref="BY80:BY86" si="170">BX80/BX10*100</f>
        <v>28.387738407887365</v>
      </c>
      <c r="BZ80" s="316">
        <f>IF(BT80&lt;0,"       NM",(BX80/BT80-1)*100)</f>
        <v>2.8312185749397978</v>
      </c>
      <c r="CA80" s="22"/>
      <c r="CB80" s="132">
        <f>CB60+CB70</f>
        <v>323.26199999999994</v>
      </c>
      <c r="CC80" s="1221">
        <f t="shared" ref="CC80:CC86" si="171">CB80/CB10*100</f>
        <v>28.09117452813792</v>
      </c>
      <c r="CD80" s="316">
        <f t="shared" ref="CD80:CD86" si="172">IF(BX80&lt;0,"       NM",(CB80/BX80-1)*100)</f>
        <v>-1.9470336476775763</v>
      </c>
      <c r="CE80" s="22"/>
      <c r="CF80" s="132">
        <f>CF60+CF70</f>
        <v>217.59999999999997</v>
      </c>
      <c r="CG80" s="1221">
        <f>CF80/CF10*100</f>
        <v>20.947246823257604</v>
      </c>
      <c r="CH80" s="316">
        <f t="shared" ref="CH80:CH86" si="173">IF(CB80&lt;0,"       NM",(CF80/CB80-1)*100)</f>
        <v>-32.686180250075793</v>
      </c>
      <c r="CI80" s="22"/>
      <c r="CJ80" s="132">
        <f>CJ60+CJ70</f>
        <v>158.2999999999999</v>
      </c>
      <c r="CK80" s="1221">
        <f>CJ80/CJ10*100</f>
        <v>15.364456954285149</v>
      </c>
      <c r="CL80" s="316">
        <f t="shared" ref="CL80:CL86" si="174">IF(CF80&lt;0,"       NM",(CJ80/CF80-1)*100)</f>
        <v>-27.251838235294159</v>
      </c>
      <c r="CM80" s="22"/>
      <c r="CN80" s="132">
        <f>CN60+CN70</f>
        <v>171.09999999999997</v>
      </c>
      <c r="CO80" s="1221">
        <f>CN80/CN10*100</f>
        <v>16.489976869699305</v>
      </c>
      <c r="CP80" s="316">
        <f t="shared" ref="CP80:CP86" si="175">IF(CJ80&lt;0,"       NM",(CN80/CJ80-1)*100)</f>
        <v>8.085912823752416</v>
      </c>
      <c r="CQ80" s="316"/>
      <c r="CR80" s="132">
        <f>CR60+CR70</f>
        <v>148.30000000000007</v>
      </c>
      <c r="CS80" s="1221">
        <f>CR80/CR10*100</f>
        <v>11.505935293661267</v>
      </c>
      <c r="CT80" s="316">
        <f t="shared" ref="CT80:CT86" si="176">IF(CN80&lt;0,"       NM",(CR80/CN80-1)*100)</f>
        <v>-13.325540619520693</v>
      </c>
      <c r="CU80" s="316"/>
    </row>
    <row r="81" spans="1:103" outlineLevel="1">
      <c r="A81" s="3" t="str">
        <f>$A$11</f>
        <v>2Q</v>
      </c>
      <c r="B81" s="3" t="str">
        <f>$B$11</f>
        <v>Dec</v>
      </c>
      <c r="D81" s="153"/>
      <c r="E81" s="1217"/>
      <c r="F81" s="22"/>
      <c r="H81" s="153"/>
      <c r="I81" s="1217"/>
      <c r="J81" s="22"/>
      <c r="L81" s="153"/>
      <c r="M81" s="1217"/>
      <c r="N81" s="22"/>
      <c r="P81" s="153"/>
      <c r="Q81" s="1217"/>
      <c r="R81" s="22"/>
      <c r="S81" s="165"/>
      <c r="T81" s="153"/>
      <c r="U81" s="1217"/>
      <c r="V81" s="22"/>
      <c r="X81" s="153">
        <f>X61+X71</f>
        <v>40.723999999999982</v>
      </c>
      <c r="Y81" s="1217">
        <f t="shared" si="148"/>
        <v>20.977911481084639</v>
      </c>
      <c r="Z81" s="22"/>
      <c r="AB81" s="153">
        <f>AB61+AB71</f>
        <v>60.313000000000002</v>
      </c>
      <c r="AC81" s="1217">
        <f t="shared" si="149"/>
        <v>28.580567507629322</v>
      </c>
      <c r="AD81" s="22">
        <f t="shared" si="150"/>
        <v>48.101856399175013</v>
      </c>
      <c r="AF81" s="153">
        <f>AF61+AF71</f>
        <v>69.719999999999985</v>
      </c>
      <c r="AG81" s="1217">
        <f t="shared" si="151"/>
        <v>29.573700954400845</v>
      </c>
      <c r="AH81" s="22">
        <f t="shared" si="152"/>
        <v>15.596969144297223</v>
      </c>
      <c r="AJ81" s="153">
        <f>AJ61+AJ71</f>
        <v>102.71000000000004</v>
      </c>
      <c r="AK81" s="1217">
        <f t="shared" si="153"/>
        <v>33.290872965710832</v>
      </c>
      <c r="AL81" s="22">
        <f t="shared" si="154"/>
        <v>47.317842799770602</v>
      </c>
      <c r="AN81" s="153">
        <f>AN61+AN71</f>
        <v>161.16999999999999</v>
      </c>
      <c r="AO81" s="1217">
        <f t="shared" si="155"/>
        <v>39.165226857960747</v>
      </c>
      <c r="AP81" s="22">
        <f t="shared" si="156"/>
        <v>384.12668591179033</v>
      </c>
      <c r="AR81" s="151">
        <f>AR61+AR71</f>
        <v>214.959</v>
      </c>
      <c r="AS81" s="1221">
        <f t="shared" si="157"/>
        <v>40.424139506806654</v>
      </c>
      <c r="AT81" s="316">
        <f t="shared" si="158"/>
        <v>33.374077061487874</v>
      </c>
      <c r="AV81" s="151">
        <f>AV61+AV71</f>
        <v>260.28999999999996</v>
      </c>
      <c r="AW81" s="1221">
        <f t="shared" si="159"/>
        <v>41.995805098418842</v>
      </c>
      <c r="AX81" s="316">
        <f t="shared" si="160"/>
        <v>21.088207518643067</v>
      </c>
      <c r="AY81" s="22"/>
      <c r="AZ81" s="151">
        <f>AZ61+AZ71</f>
        <v>348.60299999999995</v>
      </c>
      <c r="BA81" s="1221">
        <f t="shared" si="161"/>
        <v>43.272306582770916</v>
      </c>
      <c r="BB81" s="316">
        <f t="shared" si="162"/>
        <v>33.928694917207736</v>
      </c>
      <c r="BC81" s="22"/>
      <c r="BD81" s="151">
        <f>BD61+BD71</f>
        <v>413.63100000000003</v>
      </c>
      <c r="BE81" s="1221">
        <f t="shared" si="163"/>
        <v>42.292823130886276</v>
      </c>
      <c r="BF81" s="316">
        <f t="shared" si="164"/>
        <v>18.65388421786389</v>
      </c>
      <c r="BG81" s="22"/>
      <c r="BH81" s="151">
        <f>BH61+BH71</f>
        <v>348.89499999999992</v>
      </c>
      <c r="BI81" s="1221">
        <f t="shared" si="165"/>
        <v>36.333540222607297</v>
      </c>
      <c r="BJ81" s="316">
        <f t="shared" si="166"/>
        <v>-15.650664481143849</v>
      </c>
      <c r="BK81" s="22"/>
      <c r="BL81" s="151">
        <f>BL61+BL71</f>
        <v>380.94900000000013</v>
      </c>
      <c r="BM81" s="1221">
        <f t="shared" si="167"/>
        <v>35.76969122210695</v>
      </c>
      <c r="BN81" s="316">
        <f>IF(BH81&lt;0,"       NM",(BL81/BH81-1)*100)</f>
        <v>9.1872913054071415</v>
      </c>
      <c r="BO81" s="22"/>
      <c r="BP81" s="151">
        <f>BP61+BP71</f>
        <v>452.44100000000014</v>
      </c>
      <c r="BQ81" s="1221">
        <f t="shared" si="168"/>
        <v>35.781446106905982</v>
      </c>
      <c r="BR81" s="316">
        <f>IF(BL81&lt;0,"       NM",(BP81/BL81-1)*100)</f>
        <v>18.766816555496924</v>
      </c>
      <c r="BS81" s="22"/>
      <c r="BT81" s="151">
        <f>BT61+BT71</f>
        <v>519.39999999999986</v>
      </c>
      <c r="BU81" s="1221">
        <f t="shared" si="169"/>
        <v>35.854095781655865</v>
      </c>
      <c r="BV81" s="316">
        <f>IF(BP81&lt;0,"       NM",(BT81/BP81-1)*100)</f>
        <v>14.799498719169947</v>
      </c>
      <c r="BW81" s="22"/>
      <c r="BX81" s="151">
        <f>BX61+BX71</f>
        <v>525.33799999999985</v>
      </c>
      <c r="BY81" s="1221">
        <f t="shared" si="170"/>
        <v>34.934637784667103</v>
      </c>
      <c r="BZ81" s="316">
        <f>IF(BT81&lt;0,"       NM",(BX81/BT81-1)*100)</f>
        <v>1.1432422025413835</v>
      </c>
      <c r="CA81" s="22"/>
      <c r="CB81" s="151">
        <f>CB61+CB71</f>
        <v>437.89600000000007</v>
      </c>
      <c r="CC81" s="1221">
        <f t="shared" si="171"/>
        <v>30.845914129375107</v>
      </c>
      <c r="CD81" s="316">
        <f t="shared" si="172"/>
        <v>-16.644902900608717</v>
      </c>
      <c r="CE81" s="22"/>
      <c r="CF81" s="151">
        <f>CF61+CF71</f>
        <v>299.40000000000009</v>
      </c>
      <c r="CG81" s="1221">
        <f t="shared" ref="CG81:CG86" si="177">CF81/CF11*100</f>
        <v>24.553058881417094</v>
      </c>
      <c r="CH81" s="316">
        <f t="shared" si="173"/>
        <v>-31.627601074227663</v>
      </c>
      <c r="CI81" s="22"/>
      <c r="CJ81" s="151">
        <f>CJ61+CJ71</f>
        <v>278.69999999999987</v>
      </c>
      <c r="CK81" s="1221">
        <f t="shared" ref="CK81:CK86" si="178">CJ81/CJ11*100</f>
        <v>21.879415920866688</v>
      </c>
      <c r="CL81" s="316">
        <f t="shared" si="174"/>
        <v>-6.9138276553106888</v>
      </c>
      <c r="CM81" s="22"/>
      <c r="CN81" s="151">
        <f>CN61+CN71</f>
        <v>289.20000000000016</v>
      </c>
      <c r="CO81" s="1221">
        <f t="shared" ref="CO81:CO86" si="179">CN81/CN11*100</f>
        <v>21.880910948021498</v>
      </c>
      <c r="CP81" s="316">
        <f t="shared" si="175"/>
        <v>3.7674919268031237</v>
      </c>
      <c r="CQ81" s="316"/>
      <c r="CR81" s="151">
        <f>CR61+CR71</f>
        <v>389.09999999999997</v>
      </c>
      <c r="CS81" s="1221">
        <f t="shared" ref="CS81:CS86" si="180">CR81/CR11*100</f>
        <v>21.798319327731093</v>
      </c>
      <c r="CT81" s="316">
        <f t="shared" si="176"/>
        <v>34.543568464730214</v>
      </c>
      <c r="CU81" s="316"/>
    </row>
    <row r="82" spans="1:103" outlineLevel="1">
      <c r="A82" s="3" t="str">
        <f>$A$12</f>
        <v>3Q</v>
      </c>
      <c r="B82" s="3" t="str">
        <f>$B$12</f>
        <v>Mar</v>
      </c>
      <c r="D82" s="153"/>
      <c r="E82" s="1217"/>
      <c r="F82" s="22"/>
      <c r="H82" s="153"/>
      <c r="I82" s="1217"/>
      <c r="J82" s="22"/>
      <c r="L82" s="153"/>
      <c r="M82" s="1217"/>
      <c r="N82" s="22"/>
      <c r="P82" s="153"/>
      <c r="Q82" s="1217"/>
      <c r="R82" s="22"/>
      <c r="S82" s="165"/>
      <c r="T82" s="153"/>
      <c r="U82" s="1217"/>
      <c r="V82" s="22"/>
      <c r="X82" s="153">
        <f>X62+X72</f>
        <v>4.3719999999999937</v>
      </c>
      <c r="Y82" s="1217">
        <f t="shared" si="148"/>
        <v>3.7993604004449328</v>
      </c>
      <c r="Z82" s="22"/>
      <c r="AB82" s="153">
        <f>AB62+AB72</f>
        <v>12.296000000000014</v>
      </c>
      <c r="AC82" s="1217">
        <f t="shared" si="149"/>
        <v>9.7809313202984658</v>
      </c>
      <c r="AD82" s="22">
        <f t="shared" si="150"/>
        <v>181.24428179323036</v>
      </c>
      <c r="AF82" s="153">
        <f>AF62+AF72</f>
        <v>19.388999999999992</v>
      </c>
      <c r="AG82" s="1217">
        <f t="shared" si="151"/>
        <v>12.000297083016131</v>
      </c>
      <c r="AH82" s="22">
        <f t="shared" si="152"/>
        <v>57.685426154846866</v>
      </c>
      <c r="AJ82" s="153">
        <f>AJ62+AJ72</f>
        <v>53.090999999999987</v>
      </c>
      <c r="AK82" s="1217">
        <f t="shared" si="153"/>
        <v>24.088912684440729</v>
      </c>
      <c r="AL82" s="22">
        <f t="shared" si="154"/>
        <v>173.82020733405543</v>
      </c>
      <c r="AN82" s="153">
        <f>AN62+AN72</f>
        <v>101.637</v>
      </c>
      <c r="AO82" s="1217">
        <f t="shared" si="155"/>
        <v>32.464313434885796</v>
      </c>
      <c r="AP82" s="22">
        <f t="shared" si="156"/>
        <v>321.92439871164612</v>
      </c>
      <c r="AR82" s="151">
        <f>AR62+AR72</f>
        <v>137.28100000000001</v>
      </c>
      <c r="AS82" s="1221">
        <f t="shared" si="157"/>
        <v>33.005080071837455</v>
      </c>
      <c r="AT82" s="316">
        <f t="shared" si="158"/>
        <v>35.069905644597931</v>
      </c>
      <c r="AV82" s="151">
        <f>AV62+AV72</f>
        <v>163.79400000000001</v>
      </c>
      <c r="AW82" s="1221">
        <f t="shared" si="159"/>
        <v>34.143809488074247</v>
      </c>
      <c r="AX82" s="316">
        <f t="shared" si="160"/>
        <v>19.312942067729686</v>
      </c>
      <c r="AY82" s="22"/>
      <c r="AZ82" s="151">
        <f>AZ62+AZ72</f>
        <v>239.61499999999995</v>
      </c>
      <c r="BA82" s="1221">
        <f t="shared" si="161"/>
        <v>38.319822550027737</v>
      </c>
      <c r="BB82" s="316">
        <f t="shared" si="162"/>
        <v>46.29046241010046</v>
      </c>
      <c r="BC82" s="22"/>
      <c r="BD82" s="151">
        <f>BD62+BD72</f>
        <v>266.23900000000003</v>
      </c>
      <c r="BE82" s="1221">
        <f t="shared" si="163"/>
        <v>35.759722345343725</v>
      </c>
      <c r="BF82" s="316">
        <f t="shared" si="164"/>
        <v>11.111157481793743</v>
      </c>
      <c r="BG82" s="22"/>
      <c r="BH82" s="151">
        <f>BH62+BH72</f>
        <v>198.65599999999998</v>
      </c>
      <c r="BI82" s="1221">
        <f t="shared" si="165"/>
        <v>26.847618519905019</v>
      </c>
      <c r="BJ82" s="316">
        <f t="shared" si="166"/>
        <v>-25.384335127460677</v>
      </c>
      <c r="BK82" s="22"/>
      <c r="BL82" s="151">
        <f>BL62+BL72</f>
        <v>249.22600000000008</v>
      </c>
      <c r="BM82" s="1221">
        <f t="shared" si="167"/>
        <v>30.003045737833013</v>
      </c>
      <c r="BN82" s="316">
        <f>IF(BH82&lt;0,"       NM",(BL82/BH82-1)*100)</f>
        <v>25.456064755154696</v>
      </c>
      <c r="BO82" s="22"/>
      <c r="BP82" s="151">
        <f>BP62+BP72</f>
        <v>278.673</v>
      </c>
      <c r="BQ82" s="1221">
        <f t="shared" si="168"/>
        <v>29.312216394973838</v>
      </c>
      <c r="BR82" s="316">
        <f>IF(BL82&lt;0,"       NM",(BP82/BL82-1)*100)</f>
        <v>11.81538041777339</v>
      </c>
      <c r="BS82" s="22"/>
      <c r="BT82" s="151">
        <f>BT62+BT72</f>
        <v>335.82</v>
      </c>
      <c r="BU82" s="1221">
        <f t="shared" si="169"/>
        <v>30.281853341040112</v>
      </c>
      <c r="BV82" s="316">
        <f>IF(BP82&lt;0,"       NM",(BT82/BP82-1)*100)</f>
        <v>20.506830586386183</v>
      </c>
      <c r="BW82" s="22"/>
      <c r="BX82" s="151">
        <f>BX62+BX72</f>
        <v>347.74999999999994</v>
      </c>
      <c r="BY82" s="1221">
        <f t="shared" si="170"/>
        <v>29.282287142402431</v>
      </c>
      <c r="BZ82" s="316">
        <f>IF(BT82&lt;0,"       NM",(BX82/BT82-1)*100)</f>
        <v>3.5524983622178485</v>
      </c>
      <c r="CA82" s="22"/>
      <c r="CB82" s="151">
        <f>CB62+CB72</f>
        <v>260.77999999999997</v>
      </c>
      <c r="CC82" s="1221">
        <f t="shared" si="171"/>
        <v>23.715335941492832</v>
      </c>
      <c r="CD82" s="316">
        <f t="shared" si="172"/>
        <v>-25.009345794392523</v>
      </c>
      <c r="CE82" s="22"/>
      <c r="CF82" s="151">
        <f>CF62+CF72</f>
        <v>145.30000000000001</v>
      </c>
      <c r="CG82" s="1221">
        <f t="shared" si="177"/>
        <v>15.635424513074359</v>
      </c>
      <c r="CH82" s="316">
        <f t="shared" si="173"/>
        <v>-44.282537004371491</v>
      </c>
      <c r="CI82" s="22"/>
      <c r="CJ82" s="151">
        <f>CJ62+CJ72</f>
        <v>145.29999999999973</v>
      </c>
      <c r="CK82" s="1221">
        <f t="shared" si="178"/>
        <v>14.064466169780248</v>
      </c>
      <c r="CL82" s="316">
        <f t="shared" si="174"/>
        <v>-1.9984014443252818E-13</v>
      </c>
      <c r="CM82" s="22"/>
      <c r="CN82" s="151">
        <f>CN62+CN72</f>
        <v>158</v>
      </c>
      <c r="CO82" s="1221">
        <f t="shared" si="179"/>
        <v>15.87620578778135</v>
      </c>
      <c r="CP82" s="316">
        <f t="shared" si="175"/>
        <v>8.7405368203718581</v>
      </c>
      <c r="CQ82" s="316"/>
      <c r="CR82" s="151">
        <f>CR62+CR72</f>
        <v>171.15935644600233</v>
      </c>
      <c r="CS82" s="1221">
        <f t="shared" si="180"/>
        <v>13.109621209550898</v>
      </c>
      <c r="CT82" s="316">
        <f t="shared" si="176"/>
        <v>8.328706611393887</v>
      </c>
      <c r="CU82" s="316"/>
    </row>
    <row r="83" spans="1:103" outlineLevel="1">
      <c r="A83" s="3" t="str">
        <f>$A$13</f>
        <v>4Q</v>
      </c>
      <c r="B83" s="3" t="str">
        <f>$B$13</f>
        <v>June</v>
      </c>
      <c r="D83" s="1274"/>
      <c r="E83" s="1217"/>
      <c r="F83" s="22"/>
      <c r="H83" s="1274"/>
      <c r="I83" s="1217"/>
      <c r="J83" s="22"/>
      <c r="L83" s="1274"/>
      <c r="M83" s="1217"/>
      <c r="N83" s="22"/>
      <c r="P83" s="1274"/>
      <c r="Q83" s="1217"/>
      <c r="R83" s="22"/>
      <c r="S83" s="165"/>
      <c r="T83" s="1274"/>
      <c r="U83" s="1217"/>
      <c r="V83" s="22"/>
      <c r="X83" s="1274">
        <f>X63+X73</f>
        <v>7.5819999999999972</v>
      </c>
      <c r="Y83" s="1217">
        <f t="shared" si="148"/>
        <v>6.2307907236658258</v>
      </c>
      <c r="Z83" s="22"/>
      <c r="AB83" s="1274">
        <f>AB63+AB73</f>
        <v>15.141999999999983</v>
      </c>
      <c r="AC83" s="1217">
        <f t="shared" si="149"/>
        <v>11.449181121175906</v>
      </c>
      <c r="AD83" s="22">
        <f t="shared" si="150"/>
        <v>99.709839092587572</v>
      </c>
      <c r="AF83" s="1274">
        <f>AF63+AF73</f>
        <v>25.20399999999999</v>
      </c>
      <c r="AG83" s="1217">
        <f t="shared" si="151"/>
        <v>14.706500175049591</v>
      </c>
      <c r="AH83" s="22">
        <f t="shared" si="152"/>
        <v>66.450931184784153</v>
      </c>
      <c r="AJ83" s="1274">
        <f>AJ63+AJ73</f>
        <v>51.246999999999986</v>
      </c>
      <c r="AK83" s="1217">
        <f t="shared" si="153"/>
        <v>22.135403168679481</v>
      </c>
      <c r="AL83" s="22">
        <f t="shared" si="154"/>
        <v>103.3288366925885</v>
      </c>
      <c r="AN83" s="1274">
        <f>AN63+AN73</f>
        <v>112.81999999999996</v>
      </c>
      <c r="AO83" s="1217">
        <f t="shared" si="155"/>
        <v>33.364385101066105</v>
      </c>
      <c r="AP83" s="22">
        <f t="shared" si="156"/>
        <v>409.68125197572539</v>
      </c>
      <c r="AR83" s="1209">
        <f>AR63+AR73</f>
        <v>133.01600000000002</v>
      </c>
      <c r="AS83" s="1221">
        <f t="shared" si="157"/>
        <v>31.771843500692686</v>
      </c>
      <c r="AT83" s="316">
        <f t="shared" si="158"/>
        <v>17.901081368551729</v>
      </c>
      <c r="AV83" s="1209">
        <f>AV63+AV73</f>
        <v>181.79899999999998</v>
      </c>
      <c r="AW83" s="1221">
        <f t="shared" si="159"/>
        <v>36.245770805047314</v>
      </c>
      <c r="AX83" s="316">
        <f t="shared" si="160"/>
        <v>36.674535394238262</v>
      </c>
      <c r="AY83" s="22"/>
      <c r="AZ83" s="1209">
        <f>AZ63+AZ73</f>
        <v>259.209</v>
      </c>
      <c r="BA83" s="1221">
        <f t="shared" si="161"/>
        <v>39.748117320346125</v>
      </c>
      <c r="BB83" s="316">
        <f t="shared" si="162"/>
        <v>42.579992189175982</v>
      </c>
      <c r="BC83" s="22"/>
      <c r="BD83" s="1209">
        <f>BD63+BD73</f>
        <v>282.77500000000003</v>
      </c>
      <c r="BE83" s="1221">
        <f t="shared" si="163"/>
        <v>36.183621241202815</v>
      </c>
      <c r="BF83" s="316">
        <f t="shared" si="164"/>
        <v>9.091505310386605</v>
      </c>
      <c r="BG83" s="22"/>
      <c r="BH83" s="1209">
        <f>BH63+BH73</f>
        <v>219.786</v>
      </c>
      <c r="BI83" s="1221">
        <f t="shared" si="165"/>
        <v>28.259427266555576</v>
      </c>
      <c r="BJ83" s="316">
        <f t="shared" si="166"/>
        <v>-22.275307223057204</v>
      </c>
      <c r="BK83" s="22"/>
      <c r="BL83" s="1209">
        <f>BL63+BL73</f>
        <v>299.10200000000003</v>
      </c>
      <c r="BM83" s="1221">
        <f t="shared" si="167"/>
        <v>31.467031377396705</v>
      </c>
      <c r="BN83" s="316">
        <f>IF(BH83&lt;0,"       NM",(BL83/BH83-1)*100)</f>
        <v>36.087830890047613</v>
      </c>
      <c r="BO83" s="22"/>
      <c r="BP83" s="1209">
        <f>BP63+BP73</f>
        <v>310.685</v>
      </c>
      <c r="BQ83" s="1221">
        <f t="shared" si="168"/>
        <v>30.114619429568425</v>
      </c>
      <c r="BR83" s="316">
        <f>IF(BL83&lt;0,"       NM",(BP83/BL83-1)*100)</f>
        <v>3.8725919585960611</v>
      </c>
      <c r="BS83" s="22"/>
      <c r="BT83" s="1209">
        <f>BT63+BT73</f>
        <v>369.04800000000006</v>
      </c>
      <c r="BU83" s="1221">
        <f t="shared" si="169"/>
        <v>31.946924794254805</v>
      </c>
      <c r="BV83" s="316">
        <f>IF(BP83&lt;0,"       NM",(BT83/BP83-1)*100)</f>
        <v>18.785264818063329</v>
      </c>
      <c r="BW83" s="22"/>
      <c r="BX83" s="1209">
        <f>BX63+BX73</f>
        <v>370.95900000000012</v>
      </c>
      <c r="BY83" s="1221">
        <f t="shared" si="170"/>
        <v>30.339628752388187</v>
      </c>
      <c r="BZ83" s="316">
        <f>IF(BT83&lt;0,"       NM",(BX83/BT83-1)*100)</f>
        <v>0.51781882031607385</v>
      </c>
      <c r="CA83" s="22"/>
      <c r="CB83" s="1209">
        <f>CB63+CB73</f>
        <v>231.82399999999984</v>
      </c>
      <c r="CC83" s="1221">
        <f t="shared" si="171"/>
        <v>20.403162778908225</v>
      </c>
      <c r="CD83" s="316">
        <f t="shared" si="172"/>
        <v>-37.506840378586368</v>
      </c>
      <c r="CE83" s="22"/>
      <c r="CF83" s="1209">
        <f>CF63+CF73</f>
        <v>119.80000000000014</v>
      </c>
      <c r="CG83" s="1221">
        <f t="shared" si="177"/>
        <v>11.931082561497872</v>
      </c>
      <c r="CH83" s="316">
        <f t="shared" si="173"/>
        <v>-48.322865622196055</v>
      </c>
      <c r="CI83" s="22"/>
      <c r="CJ83" s="1209">
        <f>CJ63+CJ73</f>
        <v>167.39999999999984</v>
      </c>
      <c r="CK83" s="1221">
        <f t="shared" si="178"/>
        <v>14.498527628615957</v>
      </c>
      <c r="CL83" s="316">
        <f t="shared" si="174"/>
        <v>39.732888146911229</v>
      </c>
      <c r="CM83" s="22"/>
      <c r="CN83" s="1209">
        <f>CN63+CN73</f>
        <v>175.42</v>
      </c>
      <c r="CO83" s="1221">
        <f t="shared" si="179"/>
        <v>15.471864526371492</v>
      </c>
      <c r="CP83" s="316">
        <f t="shared" si="175"/>
        <v>4.7909199522103707</v>
      </c>
      <c r="CQ83" s="316"/>
      <c r="CR83" s="1209">
        <f>CR63+CR73</f>
        <v>201.66072818167186</v>
      </c>
      <c r="CS83" s="1221">
        <f t="shared" si="180"/>
        <v>13.894263907624207</v>
      </c>
      <c r="CT83" s="316">
        <f t="shared" si="176"/>
        <v>14.958800696426788</v>
      </c>
      <c r="CU83" s="316"/>
    </row>
    <row r="84" spans="1:103" outlineLevel="1">
      <c r="B84" s="3" t="str">
        <f>$B$14</f>
        <v>Year</v>
      </c>
      <c r="D84" s="139">
        <f>D64+D74</f>
        <v>57.14400000000002</v>
      </c>
      <c r="E84" s="1217">
        <f>D84/D14*100</f>
        <v>14.466066361028911</v>
      </c>
      <c r="F84" s="22"/>
      <c r="H84" s="139">
        <f>H64+H74</f>
        <v>61.8</v>
      </c>
      <c r="I84" s="1217">
        <f>H84/H14*100</f>
        <v>12.055125866827922</v>
      </c>
      <c r="J84" s="22"/>
      <c r="L84" s="139">
        <f>L64+L74</f>
        <v>43.776999999999951</v>
      </c>
      <c r="M84" s="1217">
        <f>L84/L14*100</f>
        <v>8.1013609294441089</v>
      </c>
      <c r="N84" s="22"/>
      <c r="P84" s="139">
        <f>P64+P74</f>
        <v>24.776999999999976</v>
      </c>
      <c r="Q84" s="1217">
        <f>P84/P14*100</f>
        <v>4.8212252999036762</v>
      </c>
      <c r="R84" s="22">
        <f>IF(L84&lt;0,"       NM",(P84/L84-1)*100)</f>
        <v>-43.401786326152994</v>
      </c>
      <c r="T84" s="139">
        <f>T64+T74</f>
        <v>19.061000000000025</v>
      </c>
      <c r="U84" s="1217">
        <f>T84/T14*100</f>
        <v>3.8050161295474192</v>
      </c>
      <c r="V84" s="22">
        <f>IF(P84&lt;0,"       NM",(T84/P84-1)*100)</f>
        <v>-23.069782459538914</v>
      </c>
      <c r="X84" s="1210">
        <f>SUM(X80:X83)</f>
        <v>55.629999999999967</v>
      </c>
      <c r="Y84" s="1217">
        <f t="shared" si="148"/>
        <v>10.134482746056781</v>
      </c>
      <c r="Z84" s="22"/>
      <c r="AB84" s="1210">
        <f>SUM(AB80:AB83)</f>
        <v>99.430000000000021</v>
      </c>
      <c r="AC84" s="1217">
        <f t="shared" si="149"/>
        <v>16.558116607909199</v>
      </c>
      <c r="AD84" s="22">
        <f t="shared" si="150"/>
        <v>78.734495775660761</v>
      </c>
      <c r="AF84" s="1210">
        <f>SUM(AF80:AF83)</f>
        <v>133.33599999999996</v>
      </c>
      <c r="AG84" s="1217">
        <f t="shared" si="151"/>
        <v>18.534256876882633</v>
      </c>
      <c r="AH84" s="22">
        <f t="shared" si="152"/>
        <v>34.100372121090139</v>
      </c>
      <c r="AJ84" s="1210">
        <f>SUM(AJ80:AJ83)</f>
        <v>244.821</v>
      </c>
      <c r="AK84" s="1217">
        <f t="shared" si="153"/>
        <v>25.683416104890135</v>
      </c>
      <c r="AL84" s="22">
        <f t="shared" si="154"/>
        <v>83.612077758444883</v>
      </c>
      <c r="AN84" s="1210">
        <f>SUM(AN80:AN83)</f>
        <v>447.65699999999993</v>
      </c>
      <c r="AO84" s="1217">
        <f t="shared" si="155"/>
        <v>33.885017553474135</v>
      </c>
      <c r="AP84" s="22">
        <f t="shared" si="156"/>
        <v>1642.9807552538377</v>
      </c>
      <c r="AR84" s="1211">
        <f>SUM(AR80:AR83)</f>
        <v>588.32300000000009</v>
      </c>
      <c r="AS84" s="1221">
        <f t="shared" si="157"/>
        <v>34.396345231559678</v>
      </c>
      <c r="AT84" s="316">
        <f t="shared" si="158"/>
        <v>31.422718733315946</v>
      </c>
      <c r="AV84" s="1211">
        <f>SUM(AV80:AV83)</f>
        <v>747.37</v>
      </c>
      <c r="AW84" s="1221">
        <f t="shared" si="159"/>
        <v>36.724156315368703</v>
      </c>
      <c r="AX84" s="316">
        <f t="shared" si="160"/>
        <v>27.033959236677795</v>
      </c>
      <c r="AY84" s="22"/>
      <c r="AZ84" s="1211">
        <f>SUM(AZ80:AZ83)</f>
        <v>1034.67</v>
      </c>
      <c r="BA84" s="1221">
        <f t="shared" si="161"/>
        <v>39.605260337398988</v>
      </c>
      <c r="BB84" s="316">
        <f t="shared" si="162"/>
        <v>38.441468081405475</v>
      </c>
      <c r="BC84" s="22"/>
      <c r="BD84" s="1211">
        <f>SUM(BD80:BD83)</f>
        <v>1216.3990000000001</v>
      </c>
      <c r="BE84" s="1221">
        <f t="shared" si="163"/>
        <v>38.242437256288362</v>
      </c>
      <c r="BF84" s="316">
        <f t="shared" si="164"/>
        <v>17.563957590342817</v>
      </c>
      <c r="BG84" s="22"/>
      <c r="BH84" s="1211">
        <f>SUM(BH80:BH83)</f>
        <v>1003.4689999999998</v>
      </c>
      <c r="BI84" s="1221">
        <f t="shared" si="165"/>
        <v>31.062650984315582</v>
      </c>
      <c r="BJ84" s="316">
        <f t="shared" si="166"/>
        <v>-17.504946978746304</v>
      </c>
      <c r="BK84" s="22"/>
      <c r="BL84" s="1211">
        <f>SUM(BL80:BL83)</f>
        <v>1151.9280000000003</v>
      </c>
      <c r="BM84" s="1221">
        <f t="shared" si="167"/>
        <v>31.930272344549181</v>
      </c>
      <c r="BN84" s="316">
        <f>IF(BH84&lt;0,"       NM",(BL84/BH84-1)*100)</f>
        <v>14.794577610270032</v>
      </c>
      <c r="BO84" s="22"/>
      <c r="BP84" s="1211">
        <f>SUM(BP80:BP83)</f>
        <v>1326.8970000000002</v>
      </c>
      <c r="BQ84" s="1221">
        <f t="shared" si="168"/>
        <v>31.908014102176573</v>
      </c>
      <c r="BR84" s="316">
        <f>IF(BL84&lt;0,"       NM",(BP84/BL84-1)*100)</f>
        <v>15.18923057691104</v>
      </c>
      <c r="BS84" s="22"/>
      <c r="BT84" s="1211">
        <f>SUM(BT80:BT83)</f>
        <v>1544.8719999999996</v>
      </c>
      <c r="BU84" s="1221">
        <f t="shared" si="169"/>
        <v>32.433626274883579</v>
      </c>
      <c r="BV84" s="316">
        <f>IF(BP84&lt;0,"       NM",(BT84/BP84-1)*100)</f>
        <v>16.427424283874291</v>
      </c>
      <c r="BW84" s="22"/>
      <c r="BX84" s="1211">
        <f>SUM(BX80:BX83)</f>
        <v>1573.7279999999998</v>
      </c>
      <c r="BY84" s="1221">
        <f t="shared" si="170"/>
        <v>31.007035912511157</v>
      </c>
      <c r="BZ84" s="316">
        <f>IF(BT84&lt;0,"       NM",(BX84/BT84-1)*100)</f>
        <v>1.867857013396601</v>
      </c>
      <c r="CA84" s="22"/>
      <c r="CB84" s="1211">
        <f>SUM(CB80:CB83)</f>
        <v>1253.7619999999997</v>
      </c>
      <c r="CC84" s="1221">
        <f t="shared" si="171"/>
        <v>26.086205684043978</v>
      </c>
      <c r="CD84" s="316">
        <f t="shared" si="172"/>
        <v>-20.33172187315725</v>
      </c>
      <c r="CE84" s="22"/>
      <c r="CF84" s="1211">
        <f>SUM(CF80:CF83)</f>
        <v>782.10000000000014</v>
      </c>
      <c r="CG84" s="1221">
        <f t="shared" si="177"/>
        <v>18.658746063555682</v>
      </c>
      <c r="CH84" s="316">
        <f t="shared" si="173"/>
        <v>-37.619739631604702</v>
      </c>
      <c r="CI84" s="22"/>
      <c r="CJ84" s="1211">
        <f>SUM(CJ80:CJ83)</f>
        <v>749.69999999999936</v>
      </c>
      <c r="CK84" s="1221">
        <f t="shared" si="178"/>
        <v>16.690413642637683</v>
      </c>
      <c r="CL84" s="316">
        <f t="shared" si="174"/>
        <v>-4.1426927502877797</v>
      </c>
      <c r="CM84" s="22"/>
      <c r="CN84" s="1211">
        <f>SUM(CN80:CN83)</f>
        <v>793.72000000000014</v>
      </c>
      <c r="CO84" s="1221">
        <f t="shared" si="179"/>
        <v>17.684201145199744</v>
      </c>
      <c r="CP84" s="316">
        <f t="shared" si="175"/>
        <v>5.8716820061359032</v>
      </c>
      <c r="CQ84" s="316"/>
      <c r="CR84" s="1211">
        <f>SUM(CR80:CR83)</f>
        <v>910.22008462767428</v>
      </c>
      <c r="CS84" s="1221">
        <f t="shared" si="180"/>
        <v>15.610293610616715</v>
      </c>
      <c r="CT84" s="316">
        <f t="shared" si="176"/>
        <v>14.677730764964236</v>
      </c>
      <c r="CU84" s="316"/>
    </row>
    <row r="85" spans="1:103" hidden="1" outlineLevel="2">
      <c r="A85" s="3" t="str">
        <f>$A$15</f>
        <v>6 Mos</v>
      </c>
      <c r="D85" s="1212"/>
      <c r="E85" s="1217"/>
      <c r="F85" s="22"/>
      <c r="H85" s="1212"/>
      <c r="I85" s="1217"/>
      <c r="J85" s="22"/>
      <c r="L85" s="1212"/>
      <c r="M85" s="1217"/>
      <c r="N85" s="22"/>
      <c r="P85" s="1212"/>
      <c r="Q85" s="1217"/>
      <c r="R85" s="22"/>
      <c r="T85" s="1212"/>
      <c r="U85" s="1217"/>
      <c r="V85" s="22"/>
      <c r="X85" s="1212">
        <f>SUM(X80:X81)</f>
        <v>43.675999999999981</v>
      </c>
      <c r="Y85" s="1217">
        <f t="shared" si="148"/>
        <v>13.991542798564835</v>
      </c>
      <c r="Z85" s="22"/>
      <c r="AB85" s="1212">
        <f>SUM(AB80:AB81)</f>
        <v>71.992000000000019</v>
      </c>
      <c r="AC85" s="1217">
        <f t="shared" si="149"/>
        <v>21.018150605944712</v>
      </c>
      <c r="AD85" s="22">
        <f t="shared" si="150"/>
        <v>64.831944317245288</v>
      </c>
      <c r="AF85" s="1212">
        <f>SUM(AF80:AF81)</f>
        <v>88.742999999999981</v>
      </c>
      <c r="AG85" s="1217">
        <f t="shared" si="151"/>
        <v>22.963524577437813</v>
      </c>
      <c r="AH85" s="22">
        <f t="shared" si="152"/>
        <v>23.267863095899479</v>
      </c>
      <c r="AJ85" s="1212">
        <f>SUM(AJ80:AJ81)</f>
        <v>140.48300000000003</v>
      </c>
      <c r="AK85" s="1217">
        <f t="shared" si="153"/>
        <v>28.022955672492696</v>
      </c>
      <c r="AL85" s="22">
        <f t="shared" si="154"/>
        <v>58.303190110769364</v>
      </c>
      <c r="AN85" s="1212">
        <f>SUM(AN80:AN81)</f>
        <v>233.2</v>
      </c>
      <c r="AO85" s="1217">
        <f t="shared" si="155"/>
        <v>34.811789433457534</v>
      </c>
      <c r="AP85" s="22">
        <f t="shared" si="156"/>
        <v>732.17488806474785</v>
      </c>
      <c r="AR85" s="1213">
        <f>SUM(AR80:AR81)</f>
        <v>318.02600000000001</v>
      </c>
      <c r="AS85" s="1221">
        <f t="shared" si="157"/>
        <v>36.311633387529909</v>
      </c>
      <c r="AT85" s="316">
        <f t="shared" si="158"/>
        <v>36.374785591766745</v>
      </c>
      <c r="AV85" s="1213">
        <f>SUM(AV80:AV81)</f>
        <v>401.77699999999999</v>
      </c>
      <c r="AW85" s="1221">
        <f t="shared" si="159"/>
        <v>38.126494591003983</v>
      </c>
      <c r="AX85" s="316">
        <f t="shared" si="160"/>
        <v>26.334639306220243</v>
      </c>
      <c r="AY85" s="22"/>
      <c r="AZ85" s="1213">
        <f>SUM(AZ80:AZ81)</f>
        <v>535.846</v>
      </c>
      <c r="BA85" s="1221">
        <f t="shared" si="161"/>
        <v>40.137555579525163</v>
      </c>
      <c r="BB85" s="316">
        <f t="shared" si="162"/>
        <v>33.369008181155223</v>
      </c>
      <c r="BC85" s="22"/>
      <c r="BD85" s="1213">
        <f>SUM(BD80:BD81)</f>
        <v>667.38499999999999</v>
      </c>
      <c r="BE85" s="1221">
        <f t="shared" si="163"/>
        <v>40.33183561114015</v>
      </c>
      <c r="BF85" s="316">
        <f t="shared" si="164"/>
        <v>24.547911153577708</v>
      </c>
      <c r="BG85" s="22"/>
      <c r="BH85" s="1213">
        <f>SUM(BH80:BH81)</f>
        <v>585.02699999999993</v>
      </c>
      <c r="BI85" s="1221">
        <f t="shared" si="165"/>
        <v>34.156476148494995</v>
      </c>
      <c r="BJ85" s="316">
        <f t="shared" si="166"/>
        <v>-12.340403215535268</v>
      </c>
      <c r="BK85" s="22"/>
      <c r="BL85" s="1213">
        <f>SUM(BL80:BL81)</f>
        <v>603.60000000000014</v>
      </c>
      <c r="BM85" s="1221">
        <f t="shared" si="167"/>
        <v>33.047860266025424</v>
      </c>
      <c r="BN85" s="316">
        <f>IF(BI85&lt;0,"       NM",(BL85/BI85-1)*100)</f>
        <v>1667.1612182001859</v>
      </c>
      <c r="BO85" s="22"/>
      <c r="BP85" s="1213">
        <f>SUM(BP80:BP81)</f>
        <v>737.53900000000021</v>
      </c>
      <c r="BQ85" s="1221">
        <f t="shared" si="168"/>
        <v>33.892293001416284</v>
      </c>
      <c r="BR85" s="316">
        <f>IF(BN85&lt;0,"       NM",(BP85/BN85-1)*100)</f>
        <v>-55.760787142336255</v>
      </c>
      <c r="BS85" s="22"/>
      <c r="BT85" s="1213">
        <f>SUM(BT80:BT81)</f>
        <v>840.00399999999968</v>
      </c>
      <c r="BU85" s="1221">
        <f t="shared" si="169"/>
        <v>33.613497835941288</v>
      </c>
      <c r="BV85" s="316" t="str">
        <f>IF(BR85&lt;0,"       NM",(BT85/BR85-1)*100)</f>
        <v xml:space="preserve">       NM</v>
      </c>
      <c r="BW85" s="22"/>
      <c r="BX85" s="1213">
        <f>SUM(BX80:BX81)</f>
        <v>855.01899999999978</v>
      </c>
      <c r="BY85" s="1221">
        <f t="shared" si="170"/>
        <v>32.081771804989181</v>
      </c>
      <c r="BZ85" s="316" t="e">
        <f>IF(BV85&lt;0,"       NM",(BX85/BV85-1)*100)</f>
        <v>#VALUE!</v>
      </c>
      <c r="CA85" s="22"/>
      <c r="CB85" s="1213">
        <f>SUM(CB80:CB81)</f>
        <v>761.15800000000002</v>
      </c>
      <c r="CC85" s="1221">
        <f t="shared" si="171"/>
        <v>29.612618192456846</v>
      </c>
      <c r="CD85" s="316">
        <f t="shared" si="172"/>
        <v>-10.977650789046766</v>
      </c>
      <c r="CE85" s="22"/>
      <c r="CF85" s="1213">
        <f>SUM(CF80:CF81)</f>
        <v>517</v>
      </c>
      <c r="CG85" s="1221">
        <f t="shared" si="177"/>
        <v>22.894340625276772</v>
      </c>
      <c r="CH85" s="316">
        <f t="shared" si="173"/>
        <v>-32.077177143247525</v>
      </c>
      <c r="CI85" s="22"/>
      <c r="CJ85" s="1213">
        <f>SUM(CJ80:CJ81)</f>
        <v>436.99999999999977</v>
      </c>
      <c r="CK85" s="1221">
        <f t="shared" si="178"/>
        <v>18.966190703528486</v>
      </c>
      <c r="CL85" s="316">
        <f t="shared" si="174"/>
        <v>-15.473887814313391</v>
      </c>
      <c r="CM85" s="22"/>
      <c r="CN85" s="1213">
        <f>SUM(CN80:CN81)</f>
        <v>460.30000000000013</v>
      </c>
      <c r="CO85" s="1221">
        <f t="shared" si="179"/>
        <v>19.51002415970839</v>
      </c>
      <c r="CP85" s="316">
        <f t="shared" si="175"/>
        <v>5.3318077803204522</v>
      </c>
      <c r="CQ85" s="316"/>
      <c r="CR85" s="1213">
        <f>SUM(CR80:CR81)</f>
        <v>537.40000000000009</v>
      </c>
      <c r="CS85" s="1221">
        <f t="shared" si="180"/>
        <v>17.482676729887118</v>
      </c>
      <c r="CT85" s="316">
        <f t="shared" si="176"/>
        <v>16.749945687595023</v>
      </c>
      <c r="CU85" s="316"/>
    </row>
    <row r="86" spans="1:103" hidden="1" outlineLevel="2">
      <c r="A86" s="3" t="str">
        <f>$A$16</f>
        <v>9 Mos</v>
      </c>
      <c r="D86" s="1212"/>
      <c r="E86" s="1217"/>
      <c r="F86" s="22"/>
      <c r="H86" s="1212"/>
      <c r="I86" s="1217"/>
      <c r="J86" s="22"/>
      <c r="L86" s="1212"/>
      <c r="M86" s="1217"/>
      <c r="N86" s="22"/>
      <c r="P86" s="1212"/>
      <c r="Q86" s="1217"/>
      <c r="R86" s="22"/>
      <c r="T86" s="1212"/>
      <c r="U86" s="1221"/>
      <c r="V86" s="22"/>
      <c r="X86" s="1212">
        <f>SUM(X80:X82)</f>
        <v>48.047999999999973</v>
      </c>
      <c r="Y86" s="1217">
        <f t="shared" si="148"/>
        <v>11.246348588120734</v>
      </c>
      <c r="Z86" s="22"/>
      <c r="AB86" s="1212">
        <f>SUM(AB80:AB82)</f>
        <v>84.288000000000039</v>
      </c>
      <c r="AC86" s="1217">
        <f t="shared" si="149"/>
        <v>18.001140448106415</v>
      </c>
      <c r="AD86" s="22">
        <f t="shared" si="150"/>
        <v>75.424575424575607</v>
      </c>
      <c r="AF86" s="1212">
        <f>SUM(AF80:AF82)</f>
        <v>108.13199999999998</v>
      </c>
      <c r="AG86" s="1217">
        <f t="shared" si="151"/>
        <v>19.73128865029387</v>
      </c>
      <c r="AH86" s="22">
        <f t="shared" si="152"/>
        <v>28.288724373576212</v>
      </c>
      <c r="AJ86" s="1212">
        <f>SUM(AJ80:AJ82)</f>
        <v>193.57400000000001</v>
      </c>
      <c r="AK86" s="1217">
        <f t="shared" si="153"/>
        <v>26.821576533510687</v>
      </c>
      <c r="AL86" s="22">
        <f t="shared" si="154"/>
        <v>79.016387378389425</v>
      </c>
      <c r="AN86" s="1212">
        <f>SUM(AN80:AN82)</f>
        <v>334.83699999999999</v>
      </c>
      <c r="AO86" s="1217">
        <f t="shared" si="155"/>
        <v>34.064118515383626</v>
      </c>
      <c r="AP86" s="22">
        <f t="shared" si="156"/>
        <v>1148.386721718826</v>
      </c>
      <c r="AR86" s="1213">
        <f>SUM(AR80:AR82)</f>
        <v>455.30700000000002</v>
      </c>
      <c r="AS86" s="1221">
        <f t="shared" si="157"/>
        <v>35.24694545361649</v>
      </c>
      <c r="AT86" s="316">
        <f t="shared" si="158"/>
        <v>35.978700083921431</v>
      </c>
      <c r="AV86" s="1213">
        <f>SUM(AV80:AV82)</f>
        <v>565.57100000000003</v>
      </c>
      <c r="AW86" s="1221">
        <f t="shared" si="159"/>
        <v>36.880623507516702</v>
      </c>
      <c r="AX86" s="316">
        <f t="shared" si="160"/>
        <v>24.217505990463572</v>
      </c>
      <c r="AY86" s="22"/>
      <c r="AZ86" s="1213">
        <f>SUM(AZ80:AZ82)</f>
        <v>775.46100000000001</v>
      </c>
      <c r="BA86" s="1221">
        <f t="shared" si="161"/>
        <v>39.557737051012417</v>
      </c>
      <c r="BB86" s="316">
        <f t="shared" si="162"/>
        <v>37.111167298181826</v>
      </c>
      <c r="BC86" s="22"/>
      <c r="BD86" s="1213">
        <f>SUM(BD80:BD82)</f>
        <v>933.62400000000002</v>
      </c>
      <c r="BE86" s="1221">
        <f t="shared" si="163"/>
        <v>38.913046830748023</v>
      </c>
      <c r="BF86" s="316">
        <f t="shared" si="164"/>
        <v>20.395996703896135</v>
      </c>
      <c r="BG86" s="22"/>
      <c r="BH86" s="1213">
        <f>SUM(BH80:BH82)</f>
        <v>783.68299999999988</v>
      </c>
      <c r="BI86" s="1221">
        <f t="shared" si="165"/>
        <v>31.951536332665231</v>
      </c>
      <c r="BJ86" s="316">
        <f t="shared" si="166"/>
        <v>-16.060105567123394</v>
      </c>
      <c r="BK86" s="22"/>
      <c r="BL86" s="1213">
        <f>SUM(BL80:BL82)</f>
        <v>852.82600000000025</v>
      </c>
      <c r="BM86" s="1221">
        <f t="shared" si="167"/>
        <v>32.095986957262994</v>
      </c>
      <c r="BN86" s="316">
        <f>IF(BI86&lt;0,"       NM",(BL86/BI86-1)*100)</f>
        <v>2569.1236099596404</v>
      </c>
      <c r="BO86" s="22"/>
      <c r="BP86" s="1213">
        <f>SUM(BP80:BP82)</f>
        <v>1016.2120000000002</v>
      </c>
      <c r="BQ86" s="1221">
        <f t="shared" si="168"/>
        <v>32.49973135748899</v>
      </c>
      <c r="BR86" s="316">
        <f>IF(BN86&lt;0,"       NM",(BP86/BN86-1)*100)</f>
        <v>-60.445188543654218</v>
      </c>
      <c r="BS86" s="22"/>
      <c r="BT86" s="1213">
        <f>SUM(BT80:BT82)</f>
        <v>1175.8239999999996</v>
      </c>
      <c r="BU86" s="1221">
        <f t="shared" si="169"/>
        <v>32.589456342577535</v>
      </c>
      <c r="BV86" s="316" t="str">
        <f>IF(BR86&lt;0,"       NM",(BT86/BR86-1)*100)</f>
        <v xml:space="preserve">       NM</v>
      </c>
      <c r="BW86" s="22"/>
      <c r="BX86" s="1213">
        <f>SUM(BX80:BX82)</f>
        <v>1202.7689999999998</v>
      </c>
      <c r="BY86" s="1221">
        <f t="shared" si="170"/>
        <v>31.21884329491354</v>
      </c>
      <c r="BZ86" s="316" t="e">
        <f>IF(BV86&lt;0,"       NM",(BX86/BV86-1)*100)</f>
        <v>#VALUE!</v>
      </c>
      <c r="CA86" s="22"/>
      <c r="CB86" s="1213">
        <f>SUM(CB80:CB82)</f>
        <v>1021.938</v>
      </c>
      <c r="CC86" s="1221">
        <f t="shared" si="171"/>
        <v>27.845646197149325</v>
      </c>
      <c r="CD86" s="316">
        <f t="shared" si="172"/>
        <v>-15.034557757973467</v>
      </c>
      <c r="CE86" s="22"/>
      <c r="CF86" s="1213">
        <f>SUM(CF80:CF82)</f>
        <v>662.3</v>
      </c>
      <c r="CG86" s="1221">
        <f t="shared" si="177"/>
        <v>20.778039215686274</v>
      </c>
      <c r="CH86" s="316">
        <f t="shared" si="173"/>
        <v>-35.191763101088327</v>
      </c>
      <c r="CI86" s="22"/>
      <c r="CJ86" s="1213">
        <f>SUM(CJ80:CJ82)</f>
        <v>582.2999999999995</v>
      </c>
      <c r="CK86" s="1221">
        <f t="shared" si="178"/>
        <v>17.448759439050686</v>
      </c>
      <c r="CL86" s="316">
        <f t="shared" si="174"/>
        <v>-12.07911822436969</v>
      </c>
      <c r="CM86" s="22"/>
      <c r="CN86" s="1213">
        <f>SUM(CN80:CN82)</f>
        <v>618.30000000000018</v>
      </c>
      <c r="CO86" s="1221">
        <f t="shared" si="179"/>
        <v>18.431957072589064</v>
      </c>
      <c r="CP86" s="316">
        <f t="shared" si="175"/>
        <v>6.1823802163834207</v>
      </c>
      <c r="CQ86" s="316"/>
      <c r="CR86" s="1213">
        <f>SUM(CR80:CR82)</f>
        <v>708.55935644600243</v>
      </c>
      <c r="CS86" s="1221">
        <f t="shared" si="180"/>
        <v>16.178997175034684</v>
      </c>
      <c r="CT86" s="316">
        <f t="shared" si="176"/>
        <v>14.597987456898309</v>
      </c>
      <c r="CU86" s="316"/>
    </row>
    <row r="87" spans="1:103" outlineLevel="1" collapsed="1">
      <c r="W87" s="127"/>
      <c r="AR87" s="61"/>
      <c r="AS87" s="61"/>
      <c r="AT87" s="1183"/>
      <c r="AV87" s="61"/>
      <c r="AW87" s="61"/>
      <c r="AX87" s="1183"/>
      <c r="AZ87" s="61"/>
      <c r="BA87" s="61"/>
      <c r="BB87" s="1183"/>
      <c r="BD87" s="61"/>
      <c r="BE87" s="61"/>
      <c r="BF87" s="1183"/>
      <c r="BH87" s="61"/>
      <c r="BI87" s="61"/>
      <c r="BJ87" s="1183"/>
      <c r="BL87" s="61"/>
      <c r="BM87" s="61"/>
      <c r="BN87" s="1183"/>
      <c r="BP87" s="61"/>
      <c r="BQ87" s="61"/>
      <c r="BR87" s="1183"/>
      <c r="BT87" s="61"/>
      <c r="BU87" s="61"/>
      <c r="BV87" s="1183"/>
      <c r="BX87" s="61"/>
      <c r="BY87" s="61"/>
      <c r="BZ87" s="1183"/>
      <c r="CB87" s="302"/>
      <c r="CR87" s="3"/>
      <c r="CS87" s="3"/>
      <c r="CT87" s="3"/>
    </row>
    <row r="88" spans="1:103">
      <c r="D88" s="1196"/>
      <c r="E88" s="127"/>
      <c r="F88" s="127"/>
      <c r="G88" s="127"/>
      <c r="H88" s="1196"/>
      <c r="I88" s="127"/>
      <c r="J88" s="127"/>
      <c r="K88" s="127"/>
      <c r="L88" s="1196"/>
      <c r="M88" s="127"/>
      <c r="N88" s="127"/>
      <c r="O88" s="127"/>
      <c r="P88" s="1196"/>
      <c r="Q88" s="127"/>
      <c r="R88" s="127"/>
      <c r="S88" s="127"/>
      <c r="U88" s="127"/>
      <c r="V88" s="127"/>
      <c r="Y88" s="127"/>
      <c r="Z88" s="127"/>
      <c r="AA88" s="127"/>
      <c r="AC88" s="127"/>
      <c r="AD88" s="127"/>
      <c r="AE88" s="127"/>
      <c r="AG88" s="127"/>
      <c r="AH88" s="127"/>
      <c r="AI88" s="127"/>
      <c r="AK88" s="127"/>
      <c r="AL88" s="127"/>
      <c r="AM88" s="127"/>
      <c r="AN88" s="1196"/>
      <c r="AO88" s="127"/>
      <c r="AP88" s="127"/>
      <c r="AQ88" s="127"/>
      <c r="AS88" s="1197"/>
      <c r="AT88" s="1198"/>
      <c r="AU88" s="127"/>
      <c r="AV88" s="1199"/>
      <c r="AW88" s="1197"/>
      <c r="AX88" s="1198"/>
      <c r="AY88" s="127"/>
      <c r="AZ88" s="1199"/>
      <c r="BA88" s="1197"/>
      <c r="BB88" s="1198"/>
      <c r="BC88" s="127"/>
      <c r="BD88" s="1199"/>
      <c r="BE88" s="1197"/>
      <c r="BF88" s="1198"/>
      <c r="BG88" s="127"/>
      <c r="BH88" s="1199"/>
      <c r="BI88" s="1197"/>
      <c r="BJ88" s="1198"/>
      <c r="BK88" s="127"/>
      <c r="BL88" s="1196" t="s">
        <v>466</v>
      </c>
      <c r="BM88" s="1197"/>
      <c r="BN88" s="1198"/>
      <c r="BO88" s="127"/>
      <c r="BQ88" s="1197"/>
      <c r="BR88" s="1198"/>
      <c r="BS88" s="127"/>
      <c r="BT88" s="1199"/>
      <c r="BU88" s="1197"/>
      <c r="BV88" s="1198"/>
      <c r="BW88" s="127"/>
      <c r="BX88" s="1196" t="s">
        <v>466</v>
      </c>
      <c r="BY88" s="1197"/>
      <c r="BZ88" s="1198"/>
      <c r="CA88" s="127"/>
      <c r="CB88" s="1230"/>
      <c r="CC88" s="127"/>
      <c r="CD88" s="127"/>
      <c r="CE88" s="127"/>
      <c r="CF88" s="127"/>
      <c r="CG88" s="127"/>
      <c r="CH88" s="127"/>
      <c r="CI88" s="127"/>
      <c r="CJ88" s="127"/>
      <c r="CK88" s="127"/>
      <c r="CL88" s="127"/>
      <c r="CM88" s="127"/>
      <c r="CN88" s="127"/>
      <c r="CO88" s="127"/>
      <c r="CP88" s="127"/>
      <c r="CQ88" s="127"/>
      <c r="CR88" s="127"/>
      <c r="CS88" s="127"/>
      <c r="CT88" s="127"/>
      <c r="CU88" s="1197"/>
    </row>
    <row r="89" spans="1:103">
      <c r="AR89" s="61"/>
      <c r="AS89" s="1227"/>
      <c r="AT89" s="1183"/>
      <c r="AV89" s="61"/>
      <c r="AW89" s="1227"/>
      <c r="AX89" s="1183"/>
      <c r="AZ89" s="61"/>
      <c r="BA89" s="1227"/>
      <c r="BB89" s="1183"/>
      <c r="BD89" s="61"/>
      <c r="BE89" s="1227"/>
      <c r="BF89" s="1183"/>
      <c r="BH89" s="61"/>
      <c r="BI89" s="1227"/>
      <c r="BJ89" s="1183"/>
      <c r="BL89" s="61"/>
      <c r="BM89" s="1227"/>
      <c r="BN89" s="1183"/>
      <c r="BP89" s="61"/>
      <c r="BQ89" s="1227"/>
      <c r="BR89" s="1183"/>
      <c r="BT89" s="61"/>
      <c r="BU89" s="1227"/>
      <c r="BV89" s="1183"/>
      <c r="BX89" s="61"/>
      <c r="BY89" s="1227"/>
      <c r="BZ89" s="1183"/>
      <c r="CR89" s="3"/>
      <c r="CS89" s="3"/>
      <c r="CT89" s="3"/>
    </row>
    <row r="90" spans="1:103">
      <c r="A90" s="3" t="str">
        <f>$A$10</f>
        <v>1Q</v>
      </c>
      <c r="B90" s="3" t="str">
        <f>$B$10</f>
        <v>Sept</v>
      </c>
      <c r="D90" s="1202"/>
      <c r="E90" s="1217"/>
      <c r="F90" s="691"/>
      <c r="H90" s="1202"/>
      <c r="I90" s="1217"/>
      <c r="J90" s="691"/>
      <c r="L90" s="1202"/>
      <c r="M90" s="1217"/>
      <c r="N90" s="691"/>
      <c r="P90" s="1202"/>
      <c r="Q90" s="1217"/>
      <c r="R90" s="691"/>
      <c r="S90" s="691"/>
      <c r="T90" s="1202"/>
      <c r="U90" s="1217"/>
      <c r="X90" s="1202">
        <v>0.90300000000000002</v>
      </c>
      <c r="Y90" s="1217">
        <f t="shared" ref="Y90:Y96" si="181">X90/X80*100</f>
        <v>30.589430894308951</v>
      </c>
      <c r="AB90" s="1202">
        <v>4.0880000000000001</v>
      </c>
      <c r="AC90" s="1217">
        <f t="shared" ref="AC90:AC96" si="182">AB90/AB80*100</f>
        <v>35.002996831920477</v>
      </c>
      <c r="AF90" s="1205">
        <v>6.7530000000000001</v>
      </c>
      <c r="AG90" s="1217">
        <f>AF90/AF80*100</f>
        <v>35.499132628922887</v>
      </c>
      <c r="AJ90" s="1202">
        <v>13.977</v>
      </c>
      <c r="AK90" s="1217">
        <f t="shared" ref="AK90:AK96" si="183">AJ90/AJ80*100</f>
        <v>37.002620919704562</v>
      </c>
      <c r="AN90" s="196">
        <v>27.007999999999999</v>
      </c>
      <c r="AO90" s="1217">
        <f t="shared" ref="AO90:AO96" si="184">AN90/AN80*100</f>
        <v>37.495487991114814</v>
      </c>
      <c r="AR90" s="196">
        <v>39.164999999999999</v>
      </c>
      <c r="AS90" s="1217">
        <f t="shared" ref="AS90:AS96" si="185">AR90/AR80*100</f>
        <v>37.999553688377461</v>
      </c>
      <c r="AT90" s="987"/>
      <c r="AU90" s="1204" t="s">
        <v>347</v>
      </c>
      <c r="AV90" s="196">
        <v>53.6</v>
      </c>
      <c r="AW90" s="1217">
        <f t="shared" ref="AW90:AW96" si="186">AV90/AV80*100</f>
        <v>37.883339105359497</v>
      </c>
      <c r="AX90" s="987"/>
      <c r="AZ90" s="196">
        <v>72.004000000000005</v>
      </c>
      <c r="BA90" s="1217">
        <f t="shared" ref="BA90:BA96" si="187">AZ90/AZ80*100</f>
        <v>38.454842103576624</v>
      </c>
      <c r="BB90" s="987"/>
      <c r="BD90" s="196">
        <v>98.968000000000004</v>
      </c>
      <c r="BE90" s="1217">
        <f t="shared" ref="BE90:BE96" si="188">BD90/BD80*100</f>
        <v>39.001552684883791</v>
      </c>
      <c r="BF90" s="987"/>
      <c r="BH90" s="196">
        <v>90.320999999999998</v>
      </c>
      <c r="BI90" s="1217">
        <f t="shared" ref="BI90:BI96" si="189">BH90/BH80*100</f>
        <v>38.250215980892044</v>
      </c>
      <c r="BJ90" s="987"/>
      <c r="BL90" s="196">
        <v>81.823999999999998</v>
      </c>
      <c r="BM90" s="1217">
        <f t="shared" ref="BM90:BM96" si="190">BL90/BL80*100</f>
        <v>36.749891085151198</v>
      </c>
      <c r="BN90" s="987"/>
      <c r="BP90" s="196">
        <v>96.221999999999994</v>
      </c>
      <c r="BQ90" s="1217">
        <f t="shared" ref="BQ90:BQ96" si="191">BP90/BP80*100</f>
        <v>33.750499828129271</v>
      </c>
      <c r="BR90" s="987"/>
      <c r="BT90" s="196">
        <v>105.621</v>
      </c>
      <c r="BU90" s="1217">
        <f t="shared" ref="BU90:BU96" si="192">BT90/BT80*100</f>
        <v>32.944379982782515</v>
      </c>
      <c r="BV90" s="987"/>
      <c r="BX90" s="196">
        <v>108.3</v>
      </c>
      <c r="BY90" s="1217">
        <f t="shared" ref="BY90:BY96" si="193">BX90/BX80*100</f>
        <v>32.849936757046976</v>
      </c>
      <c r="BZ90" s="987"/>
      <c r="CB90" s="196">
        <v>105.379</v>
      </c>
      <c r="CC90" s="1217">
        <f t="shared" ref="CC90:CC96" si="194">CB90/CB80*100</f>
        <v>32.598635162809117</v>
      </c>
      <c r="CF90" s="196">
        <f>61.4+10.4</f>
        <v>71.8</v>
      </c>
      <c r="CG90" s="1217">
        <f t="shared" ref="CG90:CG96" si="195">CF90/CF80*100</f>
        <v>32.996323529411768</v>
      </c>
      <c r="CJ90" s="1620">
        <v>45.2</v>
      </c>
      <c r="CK90" s="1217">
        <f t="shared" ref="CK90:CK96" si="196">CJ90/CJ80*100</f>
        <v>28.553379658875571</v>
      </c>
      <c r="CN90" s="1620">
        <v>45.1</v>
      </c>
      <c r="CO90" s="1217">
        <f t="shared" ref="CO90:CO96" si="197">CN90/CN80*100</f>
        <v>26.358854471069552</v>
      </c>
      <c r="CR90" s="2138">
        <v>28.6</v>
      </c>
      <c r="CS90" s="1217">
        <f>CR90/CR80*100</f>
        <v>19.28523263654753</v>
      </c>
      <c r="CT90" s="3"/>
    </row>
    <row r="91" spans="1:103">
      <c r="A91" s="3" t="str">
        <f>$A$11</f>
        <v>2Q</v>
      </c>
      <c r="B91" s="3" t="str">
        <f>$B$11</f>
        <v>Dec</v>
      </c>
      <c r="D91" s="1205"/>
      <c r="E91" s="1217"/>
      <c r="H91" s="1205"/>
      <c r="I91" s="1217"/>
      <c r="L91" s="1205"/>
      <c r="M91" s="1217"/>
      <c r="P91" s="1205"/>
      <c r="Q91" s="1217"/>
      <c r="T91" s="1205"/>
      <c r="U91" s="1217"/>
      <c r="X91" s="1205">
        <v>12.462</v>
      </c>
      <c r="Y91" s="1217">
        <f t="shared" si="181"/>
        <v>30.601119732835684</v>
      </c>
      <c r="AB91" s="1205">
        <v>21.109000000000002</v>
      </c>
      <c r="AC91" s="1217">
        <f t="shared" si="182"/>
        <v>34.999088090461427</v>
      </c>
      <c r="AF91" s="1205">
        <v>24.751999999999999</v>
      </c>
      <c r="AG91" s="1217">
        <f t="shared" ref="AG91:AG96" si="198">AF91/AF81*100</f>
        <v>35.502008032128515</v>
      </c>
      <c r="AJ91" s="148">
        <v>38.003</v>
      </c>
      <c r="AK91" s="1232">
        <f t="shared" si="183"/>
        <v>37.000292084509773</v>
      </c>
      <c r="AN91" s="162">
        <v>60.445</v>
      </c>
      <c r="AO91" s="1232">
        <f t="shared" si="184"/>
        <v>37.503877892908108</v>
      </c>
      <c r="AP91" s="1217"/>
      <c r="AR91" s="162">
        <v>81.683999999999997</v>
      </c>
      <c r="AS91" s="1217">
        <f t="shared" si="185"/>
        <v>37.999804613903116</v>
      </c>
      <c r="AT91" s="1221"/>
      <c r="AU91" s="1204" t="s">
        <v>347</v>
      </c>
      <c r="AV91" s="162">
        <v>98.6</v>
      </c>
      <c r="AW91" s="1217">
        <f t="shared" si="186"/>
        <v>37.88082523339353</v>
      </c>
      <c r="AX91" s="1221"/>
      <c r="AY91" s="1217"/>
      <c r="AZ91" s="162">
        <v>134.10599999999999</v>
      </c>
      <c r="BA91" s="1217">
        <f t="shared" si="187"/>
        <v>38.469548454832584</v>
      </c>
      <c r="BB91" s="1221"/>
      <c r="BC91" s="1217"/>
      <c r="BD91" s="162">
        <v>161.31399999999999</v>
      </c>
      <c r="BE91" s="1217">
        <f t="shared" si="188"/>
        <v>38.999494718722723</v>
      </c>
      <c r="BF91" s="1221"/>
      <c r="BG91" s="1217"/>
      <c r="BH91" s="162">
        <v>131.989</v>
      </c>
      <c r="BI91" s="1217">
        <f t="shared" si="189"/>
        <v>37.830579400679298</v>
      </c>
      <c r="BJ91" s="1221"/>
      <c r="BK91" s="1217"/>
      <c r="BL91" s="162">
        <v>139.999</v>
      </c>
      <c r="BM91" s="1217">
        <f t="shared" si="190"/>
        <v>36.750063656814937</v>
      </c>
      <c r="BN91" s="1221"/>
      <c r="BO91" s="1217"/>
      <c r="BP91" s="162">
        <v>149.01300000000001</v>
      </c>
      <c r="BQ91" s="1217">
        <f t="shared" si="191"/>
        <v>32.935344055910043</v>
      </c>
      <c r="BR91" s="1057"/>
      <c r="BS91" s="1217"/>
      <c r="BT91" s="162">
        <f>151.635+12.365+7.905</f>
        <v>171.905</v>
      </c>
      <c r="BU91" s="1217">
        <f t="shared" si="192"/>
        <v>33.096842510589155</v>
      </c>
      <c r="BV91" s="1221"/>
      <c r="BW91" s="1217"/>
      <c r="BX91" s="162">
        <v>172.57400000000001</v>
      </c>
      <c r="BY91" s="1217">
        <f t="shared" si="193"/>
        <v>32.850088895149419</v>
      </c>
      <c r="BZ91" s="1221"/>
      <c r="CA91" s="1217"/>
      <c r="CB91" s="162">
        <v>140.458</v>
      </c>
      <c r="CC91" s="1217">
        <f t="shared" si="194"/>
        <v>32.075652666386532</v>
      </c>
      <c r="CD91" s="1217"/>
      <c r="CE91" s="1217"/>
      <c r="CF91" s="162">
        <f>92.3+5.7+1.2</f>
        <v>99.2</v>
      </c>
      <c r="CG91" s="1217">
        <f t="shared" si="195"/>
        <v>33.13293253173012</v>
      </c>
      <c r="CH91" s="1217"/>
      <c r="CI91" s="1217"/>
      <c r="CJ91" s="162">
        <f>84.6+1.9+2.6+1.2</f>
        <v>90.3</v>
      </c>
      <c r="CK91" s="1217">
        <f t="shared" si="196"/>
        <v>32.400430570505932</v>
      </c>
      <c r="CL91" s="1217"/>
      <c r="CM91" s="1217"/>
      <c r="CN91" s="1623">
        <v>78</v>
      </c>
      <c r="CO91" s="1217">
        <f t="shared" si="197"/>
        <v>26.970954356846459</v>
      </c>
      <c r="CP91" s="1217"/>
      <c r="CQ91" s="1217"/>
      <c r="CR91" s="2136">
        <f>261-194.2+1.1+67.2-52.2</f>
        <v>82.90000000000002</v>
      </c>
      <c r="CS91" s="2137">
        <f>CR91/CR81*100</f>
        <v>21.305576972500649</v>
      </c>
      <c r="CT91" s="1217"/>
      <c r="CU91" s="1221"/>
    </row>
    <row r="92" spans="1:103">
      <c r="A92" s="3" t="str">
        <f>$A$12</f>
        <v>3Q</v>
      </c>
      <c r="B92" s="3" t="str">
        <f>$B$12</f>
        <v>Mar</v>
      </c>
      <c r="D92" s="1205"/>
      <c r="E92" s="1217"/>
      <c r="H92" s="1205"/>
      <c r="I92" s="1217"/>
      <c r="L92" s="1205"/>
      <c r="M92" s="1217"/>
      <c r="P92" s="1205"/>
      <c r="Q92" s="1217"/>
      <c r="T92" s="1205"/>
      <c r="U92" s="1217"/>
      <c r="X92" s="1205">
        <v>1.3380000000000001</v>
      </c>
      <c r="Y92" s="1217">
        <f t="shared" si="181"/>
        <v>30.603842634949725</v>
      </c>
      <c r="AB92" s="1205">
        <v>4.3029999999999999</v>
      </c>
      <c r="AC92" s="1217">
        <f t="shared" si="182"/>
        <v>34.995120364346086</v>
      </c>
      <c r="AF92" s="1205">
        <v>6.883</v>
      </c>
      <c r="AG92" s="1217">
        <f t="shared" si="198"/>
        <v>35.499510031461149</v>
      </c>
      <c r="AH92" s="1217"/>
      <c r="AJ92" s="1205">
        <v>19.643999999999998</v>
      </c>
      <c r="AK92" s="1217">
        <f t="shared" si="183"/>
        <v>37.000621574278128</v>
      </c>
      <c r="AN92" s="162">
        <v>38.113999999999997</v>
      </c>
      <c r="AO92" s="1232">
        <f t="shared" si="184"/>
        <v>37.500122986707595</v>
      </c>
      <c r="AP92" s="1226"/>
      <c r="AR92" s="162">
        <v>52.167999999999999</v>
      </c>
      <c r="AS92" s="1217">
        <f t="shared" si="185"/>
        <v>38.000888688165148</v>
      </c>
      <c r="AT92" s="1227"/>
      <c r="AU92" s="1204" t="s">
        <v>347</v>
      </c>
      <c r="AV92" s="162">
        <f>66.708-(66.708-62.122)</f>
        <v>62.122</v>
      </c>
      <c r="AW92" s="1221">
        <f t="shared" si="186"/>
        <v>37.926908189555171</v>
      </c>
      <c r="AX92" s="61"/>
      <c r="AZ92" s="162">
        <v>92.224999999999994</v>
      </c>
      <c r="BA92" s="1221">
        <f t="shared" si="187"/>
        <v>38.488825824760561</v>
      </c>
      <c r="BB92" s="61"/>
      <c r="BD92" s="162">
        <v>103.827</v>
      </c>
      <c r="BE92" s="1221">
        <f t="shared" si="188"/>
        <v>38.997667509267977</v>
      </c>
      <c r="BF92" s="61"/>
      <c r="BH92" s="162">
        <f>70.397+5</f>
        <v>75.397000000000006</v>
      </c>
      <c r="BI92" s="1217">
        <f t="shared" si="189"/>
        <v>37.953547841494853</v>
      </c>
      <c r="BJ92" s="61"/>
      <c r="BL92" s="162">
        <v>91.59</v>
      </c>
      <c r="BM92" s="1217">
        <f t="shared" si="190"/>
        <v>36.749777310553462</v>
      </c>
      <c r="BN92" s="1221"/>
      <c r="BP92" s="162">
        <v>92.658000000000001</v>
      </c>
      <c r="BQ92" s="1217">
        <f t="shared" si="191"/>
        <v>33.249722793381494</v>
      </c>
      <c r="BR92" s="61"/>
      <c r="BT92" s="162">
        <v>110.818</v>
      </c>
      <c r="BU92" s="1217">
        <f t="shared" si="192"/>
        <v>32.999225775713178</v>
      </c>
      <c r="BV92" s="61"/>
      <c r="BX92" s="162">
        <v>108.818</v>
      </c>
      <c r="BY92" s="1217">
        <f t="shared" si="193"/>
        <v>31.292020129403316</v>
      </c>
      <c r="BZ92" s="61"/>
      <c r="CB92" s="162">
        <v>70.040000000000006</v>
      </c>
      <c r="CC92" s="1217">
        <f t="shared" si="194"/>
        <v>26.857887874837033</v>
      </c>
      <c r="CF92" s="162">
        <f>34.7+10.4</f>
        <v>45.1</v>
      </c>
      <c r="CG92" s="1217">
        <f t="shared" si="195"/>
        <v>31.039229181004817</v>
      </c>
      <c r="CJ92" s="162">
        <v>21.2</v>
      </c>
      <c r="CK92" s="1217">
        <f t="shared" si="196"/>
        <v>14.590502408809385</v>
      </c>
      <c r="CN92" s="1623">
        <v>27.7</v>
      </c>
      <c r="CO92" s="1217">
        <f t="shared" si="197"/>
        <v>17.531645569620252</v>
      </c>
      <c r="CR92" s="302">
        <f>CR82*CS92/100</f>
        <v>32.520277724740446</v>
      </c>
      <c r="CS92" s="1885">
        <v>19</v>
      </c>
      <c r="CT92" s="3"/>
      <c r="CY92" s="61">
        <v>24</v>
      </c>
    </row>
    <row r="93" spans="1:103">
      <c r="A93" s="3" t="str">
        <f>$A$13</f>
        <v>4Q</v>
      </c>
      <c r="B93" s="3" t="str">
        <f>$B$13</f>
        <v>June</v>
      </c>
      <c r="D93" s="1207"/>
      <c r="E93" s="1217"/>
      <c r="H93" s="1207"/>
      <c r="I93" s="1217"/>
      <c r="L93" s="1207"/>
      <c r="M93" s="1217"/>
      <c r="P93" s="1207"/>
      <c r="Q93" s="1217"/>
      <c r="T93" s="1207"/>
      <c r="U93" s="1217"/>
      <c r="X93" s="1207">
        <v>2.3239999999999998</v>
      </c>
      <c r="Y93" s="1217">
        <f t="shared" si="181"/>
        <v>30.651543128462155</v>
      </c>
      <c r="AB93" s="1207">
        <v>5.9</v>
      </c>
      <c r="AC93" s="1217">
        <f t="shared" si="182"/>
        <v>38.964469686963461</v>
      </c>
      <c r="AF93" s="1207">
        <v>8.9369999999999994</v>
      </c>
      <c r="AG93" s="1217">
        <f t="shared" si="198"/>
        <v>35.458657355975255</v>
      </c>
      <c r="AJ93" s="1207">
        <v>18.960999999999999</v>
      </c>
      <c r="AK93" s="1217">
        <f t="shared" si="183"/>
        <v>36.99923897984273</v>
      </c>
      <c r="AN93" s="1208">
        <v>42.298999999999999</v>
      </c>
      <c r="AO93" s="1232">
        <f t="shared" si="184"/>
        <v>37.492465874844896</v>
      </c>
      <c r="AR93" s="1208">
        <v>43.052999999999997</v>
      </c>
      <c r="AS93" s="1217">
        <f>AR93/AR83*100</f>
        <v>32.366782943405298</v>
      </c>
      <c r="AT93" s="61"/>
      <c r="AU93" s="1204" t="s">
        <v>347</v>
      </c>
      <c r="AV93" s="1208">
        <v>69.004000000000005</v>
      </c>
      <c r="AW93" s="1221">
        <f t="shared" si="186"/>
        <v>37.956204379562053</v>
      </c>
      <c r="AX93" s="61"/>
      <c r="AZ93" s="1208">
        <v>99.805999999999997</v>
      </c>
      <c r="BA93" s="1221">
        <f t="shared" si="187"/>
        <v>38.504064287891239</v>
      </c>
      <c r="BB93" s="61"/>
      <c r="BD93" s="1208">
        <v>110.288</v>
      </c>
      <c r="BE93" s="1221">
        <f t="shared" si="188"/>
        <v>39.002033418795854</v>
      </c>
      <c r="BF93" s="61"/>
      <c r="BH93" s="1208">
        <f>61.005+22.515</f>
        <v>83.52000000000001</v>
      </c>
      <c r="BI93" s="1217">
        <f t="shared" si="189"/>
        <v>38.000600584204641</v>
      </c>
      <c r="BJ93" s="61"/>
      <c r="BL93" s="1208">
        <v>103.575</v>
      </c>
      <c r="BM93" s="1217">
        <f t="shared" si="190"/>
        <v>34.628655107622144</v>
      </c>
      <c r="BN93" s="61"/>
      <c r="BP93" s="1208">
        <v>108.20399999999999</v>
      </c>
      <c r="BQ93" s="1217">
        <f t="shared" si="191"/>
        <v>34.827558459532966</v>
      </c>
      <c r="BR93" s="61"/>
      <c r="BT93" s="1208">
        <v>117.61799999999999</v>
      </c>
      <c r="BU93" s="1217">
        <f t="shared" si="192"/>
        <v>31.870650972231246</v>
      </c>
      <c r="BV93" s="61"/>
      <c r="BX93" s="1208">
        <f>96.414+20.634</f>
        <v>117.048</v>
      </c>
      <c r="BY93" s="1217">
        <f t="shared" si="193"/>
        <v>31.552813114117722</v>
      </c>
      <c r="BZ93" s="61"/>
      <c r="CB93" s="1208">
        <f>25.042+43.226</f>
        <v>68.268000000000001</v>
      </c>
      <c r="CC93" s="1217">
        <f t="shared" si="194"/>
        <v>29.448202084339865</v>
      </c>
      <c r="CF93" s="1570">
        <f>20.8+11.6+2.4</f>
        <v>34.799999999999997</v>
      </c>
      <c r="CG93" s="1217">
        <f t="shared" si="195"/>
        <v>29.048414023372249</v>
      </c>
      <c r="CJ93" s="1570">
        <v>41.3</v>
      </c>
      <c r="CK93" s="1657">
        <f t="shared" si="196"/>
        <v>24.671445639187599</v>
      </c>
      <c r="CN93" s="2042">
        <v>33.700000000000003</v>
      </c>
      <c r="CO93" s="1657">
        <f t="shared" si="197"/>
        <v>19.211036369855208</v>
      </c>
      <c r="CR93" s="1209">
        <f>CR83*CS93/100</f>
        <v>38.315538354517656</v>
      </c>
      <c r="CS93" s="1371">
        <v>19</v>
      </c>
      <c r="CT93" s="3"/>
      <c r="CX93" s="1646">
        <v>0.31</v>
      </c>
      <c r="CY93" s="61">
        <f>CY92*CX93</f>
        <v>7.4399999999999995</v>
      </c>
    </row>
    <row r="94" spans="1:103">
      <c r="B94" s="3" t="str">
        <f>$B$14</f>
        <v>Year</v>
      </c>
      <c r="D94" s="1202">
        <v>19.963000000000001</v>
      </c>
      <c r="E94" s="1217">
        <f>D94/D84*100</f>
        <v>34.934551308973809</v>
      </c>
      <c r="H94" s="1202">
        <v>18.940000000000001</v>
      </c>
      <c r="I94" s="1217">
        <f>H94/H84*100</f>
        <v>30.647249190938513</v>
      </c>
      <c r="L94" s="1202">
        <v>11.645</v>
      </c>
      <c r="M94" s="1217">
        <f>L94/L84*100</f>
        <v>26.600726408844857</v>
      </c>
      <c r="P94" s="1202">
        <v>4.18</v>
      </c>
      <c r="Q94" s="1217">
        <f>P94/P84*100</f>
        <v>16.870484723735739</v>
      </c>
      <c r="T94" s="1202">
        <v>2.3460000000000001</v>
      </c>
      <c r="U94" s="1217">
        <f>T94/T84*100</f>
        <v>12.307853732752726</v>
      </c>
      <c r="X94" s="1210">
        <f>SUM(X90:X93)</f>
        <v>17.027000000000001</v>
      </c>
      <c r="Y94" s="1217">
        <f t="shared" si="181"/>
        <v>30.607585834981144</v>
      </c>
      <c r="AB94" s="1210">
        <f>SUM(AB90:AB93)</f>
        <v>35.400000000000006</v>
      </c>
      <c r="AC94" s="1217">
        <f t="shared" si="182"/>
        <v>35.602936739414666</v>
      </c>
      <c r="AF94" s="1210">
        <f>SUM(AF90:AF93)</f>
        <v>47.324999999999996</v>
      </c>
      <c r="AG94" s="1217">
        <f t="shared" si="198"/>
        <v>35.493040139197227</v>
      </c>
      <c r="AJ94" s="1210">
        <f>SUM(AJ90:AJ93)</f>
        <v>90.584999999999994</v>
      </c>
      <c r="AK94" s="1217">
        <f t="shared" si="183"/>
        <v>37.000502407881676</v>
      </c>
      <c r="AN94" s="1210">
        <f>SUM(AN90:AN93)</f>
        <v>167.86600000000001</v>
      </c>
      <c r="AO94" s="1217">
        <f t="shared" si="184"/>
        <v>37.498799303931371</v>
      </c>
      <c r="AR94" s="132">
        <f>SUM(AR90:AR93)</f>
        <v>216.07</v>
      </c>
      <c r="AS94" s="1221">
        <f>AR94/AR84*100</f>
        <v>36.726424090168145</v>
      </c>
      <c r="AT94" s="61"/>
      <c r="AV94" s="1211">
        <f>SUM(AV90:AV93)</f>
        <v>283.32600000000002</v>
      </c>
      <c r="AW94" s="1221">
        <f t="shared" si="186"/>
        <v>37.90973681041519</v>
      </c>
      <c r="AX94" s="61"/>
      <c r="AZ94" s="1211">
        <f>SUM(AZ90:AZ93)</f>
        <v>398.14100000000002</v>
      </c>
      <c r="BA94" s="1221">
        <f t="shared" si="187"/>
        <v>38.479998453613227</v>
      </c>
      <c r="BB94" s="61"/>
      <c r="BD94" s="1211">
        <f>SUM(BD90:BD93)</f>
        <v>474.39699999999999</v>
      </c>
      <c r="BE94" s="1221">
        <f t="shared" si="188"/>
        <v>39.000114271715113</v>
      </c>
      <c r="BF94" s="61"/>
      <c r="BH94" s="1211">
        <f>SUM(BH90:BH93)</f>
        <v>381.22699999999998</v>
      </c>
      <c r="BI94" s="1221">
        <f t="shared" si="189"/>
        <v>37.9909095348237</v>
      </c>
      <c r="BJ94" s="61"/>
      <c r="BL94" s="1211">
        <f>SUM(BL90:BL93)</f>
        <v>416.988</v>
      </c>
      <c r="BM94" s="1221">
        <f t="shared" si="190"/>
        <v>36.199137446090369</v>
      </c>
      <c r="BN94" s="61"/>
      <c r="BP94" s="1211">
        <f>SUM(BP90:BP93)</f>
        <v>446.09700000000004</v>
      </c>
      <c r="BQ94" s="1221">
        <f t="shared" si="191"/>
        <v>33.619565045365242</v>
      </c>
      <c r="BR94" s="61"/>
      <c r="BT94" s="1211">
        <f>SUM(BT90:BT93)</f>
        <v>505.96199999999999</v>
      </c>
      <c r="BU94" s="1221">
        <f t="shared" si="192"/>
        <v>32.751062871228179</v>
      </c>
      <c r="BV94" s="61"/>
      <c r="BX94" s="1211">
        <f>SUM(BX90:BX93)</f>
        <v>506.74</v>
      </c>
      <c r="BY94" s="1221">
        <f t="shared" si="193"/>
        <v>32.199973565952952</v>
      </c>
      <c r="BZ94" s="61"/>
      <c r="CB94" s="1211">
        <f>SUM(CB90:CB93)</f>
        <v>384.14499999999998</v>
      </c>
      <c r="CC94" s="1221">
        <f t="shared" si="194"/>
        <v>30.63938769878175</v>
      </c>
      <c r="CF94" s="1211">
        <f>SUM(CF90:CF93)</f>
        <v>250.89999999999998</v>
      </c>
      <c r="CG94" s="1221">
        <f t="shared" si="195"/>
        <v>32.080296637258655</v>
      </c>
      <c r="CJ94" s="1211">
        <f>SUM(CJ90:CJ93)</f>
        <v>198</v>
      </c>
      <c r="CK94" s="1221">
        <f t="shared" si="196"/>
        <v>26.410564225690297</v>
      </c>
      <c r="CN94" s="1211">
        <f>SUM(CN90:CN93)</f>
        <v>184.5</v>
      </c>
      <c r="CO94" s="1221">
        <f t="shared" si="197"/>
        <v>23.244973038351052</v>
      </c>
      <c r="CR94" s="1211">
        <f>SUM(CR90:CR93)</f>
        <v>182.33581607925814</v>
      </c>
      <c r="CS94" s="1221">
        <f>CR94/CR84*100</f>
        <v>20.032058087780236</v>
      </c>
      <c r="CT94" s="3"/>
      <c r="CY94" s="61">
        <f>CY92-CY93</f>
        <v>16.560000000000002</v>
      </c>
    </row>
    <row r="95" spans="1:103" hidden="1" outlineLevel="1">
      <c r="A95" s="3" t="str">
        <f>$A$15</f>
        <v>6 Mos</v>
      </c>
      <c r="D95" s="1212"/>
      <c r="E95" s="1217"/>
      <c r="H95" s="1212"/>
      <c r="I95" s="1217"/>
      <c r="L95" s="1212"/>
      <c r="M95" s="1217"/>
      <c r="P95" s="1212"/>
      <c r="Q95" s="1217"/>
      <c r="T95" s="1212"/>
      <c r="U95" s="1217"/>
      <c r="X95" s="1212">
        <f>SUM(X90:X91)</f>
        <v>13.365</v>
      </c>
      <c r="Y95" s="1217">
        <f t="shared" si="181"/>
        <v>30.600329700522039</v>
      </c>
      <c r="AB95" s="1212">
        <f>SUM(AB90:AB91)</f>
        <v>25.197000000000003</v>
      </c>
      <c r="AC95" s="1217">
        <f t="shared" si="182"/>
        <v>34.999722191354586</v>
      </c>
      <c r="AF95" s="1212">
        <f>SUM(AF90:AF91)</f>
        <v>31.504999999999999</v>
      </c>
      <c r="AG95" s="1217">
        <f t="shared" si="198"/>
        <v>35.501391659060438</v>
      </c>
      <c r="AJ95" s="1212">
        <f>SUM(AJ90:AJ91)</f>
        <v>51.980000000000004</v>
      </c>
      <c r="AK95" s="1217">
        <f t="shared" si="183"/>
        <v>37.000918260572448</v>
      </c>
      <c r="AN95" s="1212">
        <f>SUM(AN90:AN91)</f>
        <v>87.453000000000003</v>
      </c>
      <c r="AO95" s="1217">
        <f t="shared" si="184"/>
        <v>37.501286449399664</v>
      </c>
      <c r="AR95" s="1213">
        <f>SUM(AR90:AR91)</f>
        <v>120.84899999999999</v>
      </c>
      <c r="AS95" s="1221">
        <f t="shared" si="185"/>
        <v>37.999723293064086</v>
      </c>
      <c r="AT95" s="61"/>
      <c r="AV95" s="1213">
        <f>SUM(AV90:AV91)</f>
        <v>152.19999999999999</v>
      </c>
      <c r="AW95" s="1221">
        <f t="shared" si="186"/>
        <v>37.881710501098866</v>
      </c>
      <c r="AX95" s="61"/>
      <c r="AZ95" s="1213">
        <f>SUM(AZ90:AZ91)</f>
        <v>206.11</v>
      </c>
      <c r="BA95" s="1221">
        <f t="shared" si="187"/>
        <v>38.464409550505188</v>
      </c>
      <c r="BB95" s="61"/>
      <c r="BD95" s="1213">
        <f>SUM(BD90:BD91)</f>
        <v>260.28199999999998</v>
      </c>
      <c r="BE95" s="1221">
        <f t="shared" si="188"/>
        <v>39.000277201315583</v>
      </c>
      <c r="BF95" s="61"/>
      <c r="BH95" s="1213">
        <f>SUM(BH90:BH91)</f>
        <v>222.31</v>
      </c>
      <c r="BI95" s="1221">
        <f t="shared" si="189"/>
        <v>37.999955557606746</v>
      </c>
      <c r="BJ95" s="61"/>
      <c r="BL95" s="1213">
        <f>SUM(BL90:BL91)</f>
        <v>221.82299999999998</v>
      </c>
      <c r="BM95" s="1221">
        <f t="shared" si="190"/>
        <v>36.749999999999986</v>
      </c>
      <c r="BN95" s="61"/>
      <c r="BP95" s="1213">
        <f>SUM(BP90:BP91)</f>
        <v>245.23500000000001</v>
      </c>
      <c r="BQ95" s="1221">
        <f t="shared" si="191"/>
        <v>33.250445061210314</v>
      </c>
      <c r="BR95" s="61"/>
      <c r="BT95" s="1213">
        <f>SUM(BT90:BT91)</f>
        <v>277.52600000000001</v>
      </c>
      <c r="BU95" s="1221">
        <f t="shared" si="192"/>
        <v>33.038652196894311</v>
      </c>
      <c r="BV95" s="61"/>
      <c r="BX95" s="1213">
        <f>SUM(BX90:BX91)</f>
        <v>280.87400000000002</v>
      </c>
      <c r="BY95" s="1221">
        <f t="shared" si="193"/>
        <v>32.850030233246294</v>
      </c>
      <c r="BZ95" s="61"/>
      <c r="CB95" s="1213">
        <f>SUM(CB90:CB91)</f>
        <v>245.83699999999999</v>
      </c>
      <c r="CC95" s="1221">
        <f t="shared" si="194"/>
        <v>32.297762094072453</v>
      </c>
      <c r="CF95" s="1213">
        <f>SUM(CF90:CF91)</f>
        <v>171</v>
      </c>
      <c r="CG95" s="1221">
        <f t="shared" si="195"/>
        <v>33.075435203094777</v>
      </c>
      <c r="CJ95" s="1213">
        <f>SUM(CJ90:CJ91)</f>
        <v>135.5</v>
      </c>
      <c r="CK95" s="1221">
        <f t="shared" si="196"/>
        <v>31.00686498855837</v>
      </c>
      <c r="CN95" s="1213">
        <f>SUM(CN90:CN91)</f>
        <v>123.1</v>
      </c>
      <c r="CO95" s="1221">
        <f t="shared" si="197"/>
        <v>26.74342819900064</v>
      </c>
      <c r="CR95" s="1213">
        <f>SUM(CR90:CR91)</f>
        <v>111.50000000000003</v>
      </c>
      <c r="CS95" s="1221">
        <f>CR95/CR85*100</f>
        <v>20.748046148120583</v>
      </c>
      <c r="CT95" s="3"/>
    </row>
    <row r="96" spans="1:103" hidden="1" outlineLevel="1">
      <c r="A96" s="3" t="str">
        <f>$A$16</f>
        <v>9 Mos</v>
      </c>
      <c r="D96" s="1212"/>
      <c r="E96" s="1217"/>
      <c r="H96" s="1212"/>
      <c r="I96" s="1217"/>
      <c r="L96" s="1212"/>
      <c r="M96" s="1217"/>
      <c r="P96" s="1212"/>
      <c r="Q96" s="1217"/>
      <c r="T96" s="1212"/>
      <c r="U96" s="1217"/>
      <c r="X96" s="1212">
        <f>SUM(X90:X92)</f>
        <v>14.702999999999999</v>
      </c>
      <c r="Y96" s="1217">
        <f t="shared" si="181"/>
        <v>30.600649350649366</v>
      </c>
      <c r="AB96" s="1212">
        <f>SUM(AB90:AB92)</f>
        <v>29.500000000000004</v>
      </c>
      <c r="AC96" s="1217">
        <f t="shared" si="182"/>
        <v>34.999050873196644</v>
      </c>
      <c r="AF96" s="1212">
        <f>SUM(AF90:AF92)</f>
        <v>38.387999999999998</v>
      </c>
      <c r="AG96" s="1217">
        <f t="shared" si="198"/>
        <v>35.501054267007</v>
      </c>
      <c r="AJ96" s="1212">
        <f>SUM(AJ90:AJ92)</f>
        <v>71.623999999999995</v>
      </c>
      <c r="AK96" s="1217">
        <f t="shared" si="183"/>
        <v>37.000836889251651</v>
      </c>
      <c r="AN96" s="1212">
        <f>SUM(AN90:AN92)</f>
        <v>125.56700000000001</v>
      </c>
      <c r="AO96" s="1217">
        <f t="shared" si="184"/>
        <v>37.500933289929137</v>
      </c>
      <c r="AR96" s="1213">
        <f>SUM(AR90:AR92)</f>
        <v>173.017</v>
      </c>
      <c r="AS96" s="1221">
        <f t="shared" si="185"/>
        <v>38.000074674889689</v>
      </c>
      <c r="AT96" s="61"/>
      <c r="AV96" s="1213">
        <f>SUM(AV90:AV92)</f>
        <v>214.322</v>
      </c>
      <c r="AW96" s="1221">
        <f t="shared" si="186"/>
        <v>37.894800122354219</v>
      </c>
      <c r="AX96" s="61"/>
      <c r="AZ96" s="1213">
        <f>SUM(AZ90:AZ92)</f>
        <v>298.33500000000004</v>
      </c>
      <c r="BA96" s="1221">
        <f t="shared" si="187"/>
        <v>38.471954102140536</v>
      </c>
      <c r="BB96" s="61"/>
      <c r="BD96" s="1213">
        <f>SUM(BD90:BD92)</f>
        <v>364.10899999999998</v>
      </c>
      <c r="BE96" s="1221">
        <f t="shared" si="188"/>
        <v>38.999533002579199</v>
      </c>
      <c r="BF96" s="61"/>
      <c r="BH96" s="1213">
        <f>SUM(BH90:BH92)</f>
        <v>297.70699999999999</v>
      </c>
      <c r="BI96" s="1221">
        <f t="shared" si="189"/>
        <v>37.988191654023382</v>
      </c>
      <c r="BJ96" s="61"/>
      <c r="BL96" s="1213">
        <f>SUM(BL90:BL92)</f>
        <v>313.41300000000001</v>
      </c>
      <c r="BM96" s="1221">
        <f t="shared" si="190"/>
        <v>36.749934922246737</v>
      </c>
      <c r="BN96" s="61"/>
      <c r="BP96" s="1213">
        <f>SUM(BP90:BP92)</f>
        <v>337.89300000000003</v>
      </c>
      <c r="BQ96" s="1221">
        <f t="shared" si="191"/>
        <v>33.250246995705616</v>
      </c>
      <c r="BR96" s="61"/>
      <c r="BT96" s="1213">
        <f>SUM(BT90:BT92)</f>
        <v>388.34399999999999</v>
      </c>
      <c r="BU96" s="1221">
        <f t="shared" si="192"/>
        <v>33.027391854563277</v>
      </c>
      <c r="BV96" s="61"/>
      <c r="BX96" s="1213">
        <f>SUM(BX90:BX92)</f>
        <v>389.69200000000001</v>
      </c>
      <c r="BY96" s="1221">
        <f t="shared" si="193"/>
        <v>32.399571322506652</v>
      </c>
      <c r="BZ96" s="61"/>
      <c r="CB96" s="1213">
        <f>SUM(CB90:CB92)</f>
        <v>315.87700000000001</v>
      </c>
      <c r="CC96" s="1221">
        <f t="shared" si="194"/>
        <v>30.90960508367435</v>
      </c>
      <c r="CF96" s="1213">
        <f>SUM(CF90:CF92)</f>
        <v>216.1</v>
      </c>
      <c r="CG96" s="1221">
        <f t="shared" si="195"/>
        <v>32.628718103578443</v>
      </c>
      <c r="CJ96" s="1213">
        <f>SUM(CJ90:CJ92)</f>
        <v>156.69999999999999</v>
      </c>
      <c r="CK96" s="1221">
        <f t="shared" si="196"/>
        <v>26.910527219646251</v>
      </c>
      <c r="CN96" s="1213">
        <f>SUM(CN90:CN92)</f>
        <v>150.79999999999998</v>
      </c>
      <c r="CO96" s="1221">
        <f t="shared" si="197"/>
        <v>24.389454957140536</v>
      </c>
      <c r="CR96" s="1213">
        <f>SUM(CR90:CR92)</f>
        <v>144.02027772474048</v>
      </c>
      <c r="CS96" s="1221">
        <f>CR96/CR86*100</f>
        <v>20.325788716857613</v>
      </c>
      <c r="CT96" s="3"/>
    </row>
    <row r="97" spans="1:103" collapsed="1">
      <c r="W97" s="127"/>
      <c r="AR97" s="61"/>
      <c r="AS97" s="61"/>
      <c r="AT97" s="1183"/>
      <c r="AV97" s="61"/>
      <c r="AW97" s="61"/>
      <c r="AX97" s="1183"/>
      <c r="AZ97" s="61"/>
      <c r="BA97" s="61"/>
      <c r="BB97" s="1183"/>
      <c r="BD97" s="61"/>
      <c r="BE97" s="1227">
        <f>BE93-BA93</f>
        <v>0.49796913090461459</v>
      </c>
      <c r="BF97" s="1183"/>
      <c r="BH97" s="61"/>
      <c r="BI97" s="61"/>
      <c r="BJ97" s="1183"/>
      <c r="BL97" s="61"/>
      <c r="BM97" s="61"/>
      <c r="BN97" s="1183"/>
      <c r="BP97" s="61"/>
      <c r="BQ97" s="61"/>
      <c r="BR97" s="1183"/>
      <c r="BT97" s="61"/>
      <c r="BU97" s="61"/>
      <c r="BV97" s="1183"/>
      <c r="BX97" s="61"/>
      <c r="BY97" s="61"/>
      <c r="BZ97" s="1183"/>
      <c r="CB97" s="302"/>
      <c r="CR97" s="3"/>
      <c r="CS97" s="3"/>
      <c r="CT97" s="3"/>
      <c r="CY97" s="61">
        <v>16.8</v>
      </c>
    </row>
    <row r="98" spans="1:103" hidden="1" outlineLevel="1">
      <c r="D98" s="1260"/>
      <c r="E98" s="127"/>
      <c r="F98" s="127"/>
      <c r="G98" s="127"/>
      <c r="H98" s="1260"/>
      <c r="I98" s="127"/>
      <c r="J98" s="127"/>
      <c r="K98" s="127"/>
      <c r="L98" s="1260"/>
      <c r="M98" s="127"/>
      <c r="N98" s="127"/>
      <c r="O98" s="127"/>
      <c r="P98" s="1260"/>
      <c r="Q98" s="127"/>
      <c r="R98" s="127"/>
      <c r="S98" s="127"/>
      <c r="T98" s="1260"/>
      <c r="U98" s="127"/>
      <c r="V98" s="127"/>
      <c r="Y98" s="127"/>
      <c r="Z98" s="127"/>
      <c r="AA98" s="127"/>
      <c r="AB98" s="1260"/>
      <c r="AC98" s="127"/>
      <c r="AD98" s="127"/>
      <c r="AE98" s="127"/>
      <c r="AF98" s="1260"/>
      <c r="AG98" s="127"/>
      <c r="AH98" s="127"/>
      <c r="AI98" s="127"/>
      <c r="AJ98" s="1260"/>
      <c r="AK98" s="127"/>
      <c r="AL98" s="127"/>
      <c r="AM98" s="127"/>
      <c r="AN98" s="1260"/>
      <c r="AO98" s="127"/>
      <c r="AP98" s="127"/>
      <c r="AQ98" s="127"/>
      <c r="AS98" s="1197"/>
      <c r="AT98" s="1198"/>
      <c r="AU98" s="127"/>
      <c r="AV98" s="1273"/>
      <c r="AW98" s="1197"/>
      <c r="AX98" s="1198"/>
      <c r="AY98" s="127"/>
      <c r="AZ98" s="1273"/>
      <c r="BA98" s="1197"/>
      <c r="BB98" s="1198"/>
      <c r="BC98" s="127"/>
      <c r="BD98" s="1273"/>
      <c r="BE98" s="1197"/>
      <c r="BF98" s="1198"/>
      <c r="BG98" s="127"/>
      <c r="BH98" s="1273"/>
      <c r="BI98" s="1197"/>
      <c r="BJ98" s="1198"/>
      <c r="BL98" s="1273"/>
      <c r="BM98" s="1197"/>
      <c r="BN98" s="1198"/>
      <c r="BO98" s="127"/>
      <c r="BQ98" s="1197"/>
      <c r="BR98" s="1198"/>
      <c r="BT98" s="1273"/>
      <c r="BU98" s="1197"/>
      <c r="BV98" s="1198"/>
      <c r="BY98" s="1273"/>
      <c r="CA98" s="127"/>
      <c r="CB98" s="1230"/>
      <c r="CC98" s="127"/>
      <c r="CD98" s="127"/>
      <c r="CE98" s="127"/>
      <c r="CF98" s="1567" t="s">
        <v>423</v>
      </c>
      <c r="CG98" s="127"/>
      <c r="CH98" s="127"/>
      <c r="CI98" s="127"/>
      <c r="CJ98" s="127"/>
      <c r="CK98" s="127"/>
      <c r="CL98" s="127"/>
      <c r="CM98" s="127"/>
      <c r="CN98" s="127"/>
      <c r="CO98" s="127"/>
      <c r="CP98" s="127"/>
      <c r="CQ98" s="127"/>
      <c r="CR98" s="127"/>
      <c r="CS98" s="127"/>
      <c r="CT98" s="127"/>
      <c r="CU98" s="1197"/>
    </row>
    <row r="99" spans="1:103" hidden="1" outlineLevel="1">
      <c r="AR99" s="61"/>
      <c r="AS99" s="61"/>
      <c r="AT99" s="1183"/>
      <c r="AV99" s="61"/>
      <c r="AW99" s="61"/>
      <c r="AX99" s="1183"/>
      <c r="AZ99" s="61"/>
      <c r="BA99" s="61"/>
      <c r="BB99" s="1183"/>
      <c r="BD99" s="61"/>
      <c r="BE99" s="61"/>
      <c r="BF99" s="1183"/>
      <c r="BH99" s="61"/>
      <c r="BI99" s="61"/>
      <c r="BJ99" s="1183"/>
      <c r="BL99" s="61"/>
      <c r="BM99" s="61"/>
      <c r="BN99" s="1183"/>
      <c r="BP99" s="61"/>
      <c r="BQ99" s="61"/>
      <c r="BR99" s="1183"/>
      <c r="BT99" s="61"/>
      <c r="BU99" s="61"/>
      <c r="BV99" s="1183"/>
      <c r="BX99" s="61"/>
      <c r="BY99" s="61"/>
      <c r="BZ99" s="1183"/>
      <c r="CR99" s="3"/>
      <c r="CS99" s="3"/>
      <c r="CT99" s="3"/>
      <c r="CX99" s="61">
        <f>90.3-84.6</f>
        <v>5.7000000000000028</v>
      </c>
    </row>
    <row r="100" spans="1:103" hidden="1" outlineLevel="1">
      <c r="A100" s="3" t="str">
        <f>$A$10</f>
        <v>1Q</v>
      </c>
      <c r="B100" s="3" t="str">
        <f>$B$10</f>
        <v>Sept</v>
      </c>
      <c r="D100" s="139"/>
      <c r="E100" s="22"/>
      <c r="H100" s="139"/>
      <c r="I100" s="22"/>
      <c r="L100" s="139"/>
      <c r="M100" s="22"/>
      <c r="P100" s="139"/>
      <c r="Q100" s="22"/>
      <c r="T100" s="139"/>
      <c r="U100" s="22"/>
      <c r="X100" s="139">
        <f>X80-X90</f>
        <v>2.0489999999999995</v>
      </c>
      <c r="Y100" s="22"/>
      <c r="AB100" s="139">
        <f>AB80-AB90</f>
        <v>7.5910000000000197</v>
      </c>
      <c r="AC100" s="22">
        <f t="shared" ref="AC100:AC106" si="199">IF(X100&lt;0,"       NM",(AB100/X100-1)*100)</f>
        <v>270.47340165934708</v>
      </c>
      <c r="AF100" s="139">
        <f>AF80-AF90</f>
        <v>12.27</v>
      </c>
      <c r="AG100" s="22">
        <f t="shared" ref="AG100:AG106" si="200">IF(AB100&lt;0,"       NM",(AF100/AB100-1)*100)</f>
        <v>61.6387827690682</v>
      </c>
      <c r="AJ100" s="139">
        <f>AJ80-AJ90</f>
        <v>23.795999999999989</v>
      </c>
      <c r="AK100" s="22">
        <f t="shared" ref="AK100:AK106" si="201">IF(AE100&lt;0,"       NM",(AJ100/AF100-1)*100)</f>
        <v>93.936430317848334</v>
      </c>
      <c r="AN100" s="139">
        <f>AN80-AN90</f>
        <v>45.021999999999991</v>
      </c>
      <c r="AO100" s="22">
        <f t="shared" ref="AO100:AO106" si="202">IF(AJ100&lt;0,"       NM",(AN100/AJ100-1)*100)</f>
        <v>89.199865523617476</v>
      </c>
      <c r="AR100" s="132">
        <f>AR80-AR90</f>
        <v>63.901999999999994</v>
      </c>
      <c r="AS100" s="316">
        <f t="shared" ref="AS100:AS106" si="203">IF(AN100&lt;0,"       NM",(AR100/AN100-1)*100)</f>
        <v>41.935053973612924</v>
      </c>
      <c r="AT100" s="1183"/>
      <c r="AV100" s="132">
        <f>AV80-AV90</f>
        <v>87.887000000000029</v>
      </c>
      <c r="AW100" s="316">
        <f t="shared" ref="AW100:AW106" si="204">IF(AR100&lt;0,"       NM",(AV100/AR100-1)*100)</f>
        <v>37.53403649338054</v>
      </c>
      <c r="AX100" s="1183"/>
      <c r="AZ100" s="132">
        <f>AZ80-AZ90</f>
        <v>115.23900000000005</v>
      </c>
      <c r="BA100" s="316">
        <f t="shared" ref="BA100:BA106" si="205">IF(AV100&lt;0,"       NM",(AZ100/AV100-1)*100)</f>
        <v>31.121781378360858</v>
      </c>
      <c r="BB100" s="1183"/>
      <c r="BD100" s="132">
        <f>BD80-BD90</f>
        <v>154.786</v>
      </c>
      <c r="BE100" s="316">
        <f t="shared" ref="BE100:BE106" si="206">IF(AZ100&lt;0,"       NM",(BD100/AZ100-1)*100)</f>
        <v>34.317375194161649</v>
      </c>
      <c r="BF100" s="1183"/>
      <c r="BH100" s="132">
        <f>BH80-BH90</f>
        <v>145.81099999999998</v>
      </c>
      <c r="BI100" s="316">
        <f t="shared" ref="BI100:BI106" si="207">IF(BD100&lt;0,"       NM",(BH100/BD100-1)*100)</f>
        <v>-5.7983280141615019</v>
      </c>
      <c r="BJ100" s="1183"/>
      <c r="BL100" s="132">
        <f>BL80-BL90</f>
        <v>140.827</v>
      </c>
      <c r="BM100" s="316">
        <f t="shared" ref="BM100:BM106" si="208">IF(BH100&lt;0,"       NM",(BL100/BH100-1)*100)</f>
        <v>-3.4181234611929012</v>
      </c>
      <c r="BN100" s="1183"/>
      <c r="BP100" s="132">
        <f>BP80-BP90</f>
        <v>188.87600000000003</v>
      </c>
      <c r="BQ100" s="316">
        <f>IF(BL100&lt;0,"       NM",(BP100/BL100-1)*100)</f>
        <v>34.119167489188882</v>
      </c>
      <c r="BR100" s="1183"/>
      <c r="BT100" s="132">
        <f>BT80-BT90</f>
        <v>214.98299999999989</v>
      </c>
      <c r="BU100" s="316">
        <f>IF(BP100&lt;0,"       NM",(BT100/BP100-1)*100)</f>
        <v>13.822296109616804</v>
      </c>
      <c r="BV100" s="1183"/>
      <c r="BX100" s="132">
        <f>BX80-BX90</f>
        <v>221.38099999999986</v>
      </c>
      <c r="BY100" s="316">
        <f>IF(BT100&lt;0,"       NM",(BX100/BT100-1)*100)</f>
        <v>2.97604926901196</v>
      </c>
      <c r="BZ100" s="1183"/>
      <c r="CB100" s="132">
        <f>CB80-CB90</f>
        <v>217.88299999999992</v>
      </c>
      <c r="CC100" s="316">
        <f t="shared" ref="CC100:CC106" si="209">IF(BX100&lt;0,"       NM",(CB100/BX100-1)*100)</f>
        <v>-1.5800813981326045</v>
      </c>
      <c r="CF100" s="132">
        <f>CF80-CF90</f>
        <v>145.79999999999995</v>
      </c>
      <c r="CG100" s="316">
        <f t="shared" ref="CG100:CG106" si="210">IF(CB100&lt;0,"       NM",(CF100/CB100-1)*100)</f>
        <v>-33.083352074278395</v>
      </c>
      <c r="CJ100" s="132">
        <f>CJ80-CJ90</f>
        <v>113.09999999999989</v>
      </c>
      <c r="CK100" s="316">
        <f t="shared" ref="CK100:CK106" si="211">IF(CF100&lt;0,"       NM",(CJ100/CF100-1)*100)</f>
        <v>-22.427983539094697</v>
      </c>
      <c r="CN100" s="132">
        <f>CN80-CN90</f>
        <v>125.99999999999997</v>
      </c>
      <c r="CO100" s="316">
        <f t="shared" ref="CO100:CO106" si="212">IF(CJ100&lt;0,"       NM",(CN100/CJ100-1)*100)</f>
        <v>11.405835543766663</v>
      </c>
      <c r="CR100" s="132">
        <f>CR80-CR90</f>
        <v>119.70000000000007</v>
      </c>
      <c r="CS100" s="316">
        <f t="shared" ref="CS100:CS106" si="213">IF(CN100&lt;0,"       NM",(CR100/CN100-1)*100)</f>
        <v>-4.9999999999999156</v>
      </c>
      <c r="CT100" s="3"/>
    </row>
    <row r="101" spans="1:103" hidden="1" outlineLevel="1">
      <c r="A101" s="3" t="str">
        <f>$A$11</f>
        <v>2Q</v>
      </c>
      <c r="B101" s="3" t="str">
        <f>$B$11</f>
        <v>Dec</v>
      </c>
      <c r="D101" s="153"/>
      <c r="E101" s="22"/>
      <c r="H101" s="153"/>
      <c r="I101" s="22"/>
      <c r="L101" s="153"/>
      <c r="M101" s="22"/>
      <c r="P101" s="153"/>
      <c r="Q101" s="22"/>
      <c r="T101" s="153"/>
      <c r="U101" s="22"/>
      <c r="X101" s="153">
        <f>X81-X91</f>
        <v>28.261999999999983</v>
      </c>
      <c r="Y101" s="22"/>
      <c r="AB101" s="153">
        <f>AB81-AB91</f>
        <v>39.204000000000001</v>
      </c>
      <c r="AC101" s="22">
        <f t="shared" si="199"/>
        <v>38.716297501946158</v>
      </c>
      <c r="AF101" s="153">
        <f>AF81-AF91</f>
        <v>44.967999999999989</v>
      </c>
      <c r="AG101" s="22">
        <f t="shared" si="200"/>
        <v>14.702581369248001</v>
      </c>
      <c r="AJ101" s="153">
        <f>AJ81-AJ91</f>
        <v>64.707000000000036</v>
      </c>
      <c r="AK101" s="22">
        <f t="shared" si="201"/>
        <v>43.895659135385266</v>
      </c>
      <c r="AN101" s="153">
        <f>AN81-AN91</f>
        <v>100.72499999999999</v>
      </c>
      <c r="AO101" s="22">
        <f t="shared" si="202"/>
        <v>55.663220362557283</v>
      </c>
      <c r="AR101" s="151">
        <f>AR81-AR91</f>
        <v>133.27500000000001</v>
      </c>
      <c r="AS101" s="316">
        <f t="shared" si="203"/>
        <v>32.315711094564413</v>
      </c>
      <c r="AT101" s="1183"/>
      <c r="AV101" s="151">
        <f>AV81-AV91</f>
        <v>161.68999999999997</v>
      </c>
      <c r="AW101" s="316">
        <f t="shared" si="204"/>
        <v>21.320577752766813</v>
      </c>
      <c r="AX101" s="1183"/>
      <c r="AZ101" s="151">
        <f>AZ81-AZ91</f>
        <v>214.49699999999996</v>
      </c>
      <c r="BA101" s="316">
        <f t="shared" si="205"/>
        <v>32.659409982064446</v>
      </c>
      <c r="BB101" s="1183"/>
      <c r="BD101" s="151">
        <f>BD81-BD91</f>
        <v>252.31700000000004</v>
      </c>
      <c r="BE101" s="316">
        <f t="shared" si="206"/>
        <v>17.63194823237626</v>
      </c>
      <c r="BF101" s="1183"/>
      <c r="BH101" s="151">
        <f>BH81-BH91</f>
        <v>216.90599999999992</v>
      </c>
      <c r="BI101" s="316">
        <f t="shared" si="207"/>
        <v>-14.034329831125181</v>
      </c>
      <c r="BJ101" s="1183"/>
      <c r="BL101" s="151">
        <f>BL81-BL91</f>
        <v>240.95000000000013</v>
      </c>
      <c r="BM101" s="316">
        <f t="shared" si="208"/>
        <v>11.084986123021135</v>
      </c>
      <c r="BN101" s="1183"/>
      <c r="BP101" s="151">
        <f>BP81-BP91</f>
        <v>303.42800000000011</v>
      </c>
      <c r="BQ101" s="316">
        <f t="shared" ref="BQ101:BQ106" si="214">IF(BL101&lt;0,"       NM",(BP101/BL101-1)*100)</f>
        <v>25.929860967005581</v>
      </c>
      <c r="BR101" s="1183"/>
      <c r="BT101" s="151">
        <f>BT81-BT91</f>
        <v>347.49499999999989</v>
      </c>
      <c r="BU101" s="316">
        <f t="shared" ref="BU101:BU106" si="215">IF(BP101&lt;0,"       NM",(BT101/BP101-1)*100)</f>
        <v>14.523049949246536</v>
      </c>
      <c r="BV101" s="1183"/>
      <c r="BX101" s="151">
        <f>BX81-BX91</f>
        <v>352.76399999999984</v>
      </c>
      <c r="BY101" s="316">
        <f t="shared" ref="BY101:BY106" si="216">IF(BT101&lt;0,"       NM",(BX101/BT101-1)*100)</f>
        <v>1.5162808097958003</v>
      </c>
      <c r="BZ101" s="1183"/>
      <c r="CB101" s="151">
        <f>CB81-CB91</f>
        <v>297.4380000000001</v>
      </c>
      <c r="CC101" s="316">
        <f t="shared" si="209"/>
        <v>-15.683573153723106</v>
      </c>
      <c r="CF101" s="151">
        <f>CF81-CF91</f>
        <v>200.2000000000001</v>
      </c>
      <c r="CG101" s="316">
        <f t="shared" si="210"/>
        <v>-32.691855109300086</v>
      </c>
      <c r="CJ101" s="151">
        <f>CJ81-CJ91</f>
        <v>188.39999999999986</v>
      </c>
      <c r="CK101" s="316">
        <f t="shared" si="211"/>
        <v>-5.8941058941060049</v>
      </c>
      <c r="CN101" s="151">
        <f>CN81-CN91</f>
        <v>211.20000000000016</v>
      </c>
      <c r="CO101" s="316">
        <f t="shared" si="212"/>
        <v>12.101910828025652</v>
      </c>
      <c r="CR101" s="151">
        <f>CR81-CR91</f>
        <v>306.19999999999993</v>
      </c>
      <c r="CS101" s="316">
        <f t="shared" si="213"/>
        <v>44.981060606060467</v>
      </c>
      <c r="CT101" s="3"/>
    </row>
    <row r="102" spans="1:103" hidden="1" outlineLevel="1">
      <c r="A102" s="3" t="str">
        <f>$A$12</f>
        <v>3Q</v>
      </c>
      <c r="B102" s="3" t="str">
        <f>$B$12</f>
        <v>Mar</v>
      </c>
      <c r="D102" s="153"/>
      <c r="E102" s="22"/>
      <c r="H102" s="153"/>
      <c r="I102" s="22"/>
      <c r="L102" s="153"/>
      <c r="M102" s="22"/>
      <c r="P102" s="153"/>
      <c r="Q102" s="22"/>
      <c r="T102" s="153"/>
      <c r="U102" s="22"/>
      <c r="X102" s="153">
        <f>X82-X92</f>
        <v>3.0339999999999936</v>
      </c>
      <c r="Y102" s="22"/>
      <c r="AB102" s="153">
        <f>AB82-AB92</f>
        <v>7.9930000000000136</v>
      </c>
      <c r="AC102" s="22">
        <f t="shared" si="199"/>
        <v>163.44759393539982</v>
      </c>
      <c r="AF102" s="153">
        <f>AF82-AF92</f>
        <v>12.505999999999993</v>
      </c>
      <c r="AG102" s="22">
        <f t="shared" si="200"/>
        <v>56.461904166145025</v>
      </c>
      <c r="AJ102" s="153">
        <f>AJ82-AJ92</f>
        <v>33.446999999999989</v>
      </c>
      <c r="AK102" s="22">
        <f t="shared" si="201"/>
        <v>167.44762513993288</v>
      </c>
      <c r="AN102" s="153">
        <f>AN82-AN92</f>
        <v>63.523000000000003</v>
      </c>
      <c r="AO102" s="22">
        <f t="shared" si="202"/>
        <v>89.921368134660867</v>
      </c>
      <c r="AR102" s="151">
        <f>AR82-AR92</f>
        <v>85.113</v>
      </c>
      <c r="AS102" s="316">
        <f t="shared" si="203"/>
        <v>33.987689498291942</v>
      </c>
      <c r="AT102" s="1183"/>
      <c r="AV102" s="151">
        <f>AV82-AV92</f>
        <v>101.67200000000001</v>
      </c>
      <c r="AW102" s="316">
        <f t="shared" si="204"/>
        <v>19.455312349464847</v>
      </c>
      <c r="AX102" s="1183"/>
      <c r="AZ102" s="151">
        <f>AZ82-AZ92</f>
        <v>147.38999999999996</v>
      </c>
      <c r="BA102" s="316">
        <f t="shared" si="205"/>
        <v>44.966165709339776</v>
      </c>
      <c r="BB102" s="1183"/>
      <c r="BD102" s="151">
        <f>BD82-BD92</f>
        <v>162.41200000000003</v>
      </c>
      <c r="BE102" s="316">
        <f t="shared" si="206"/>
        <v>10.192007598887365</v>
      </c>
      <c r="BF102" s="1183"/>
      <c r="BH102" s="151">
        <f>BH82-BH92</f>
        <v>123.25899999999997</v>
      </c>
      <c r="BI102" s="316">
        <f t="shared" si="207"/>
        <v>-24.107208826934002</v>
      </c>
      <c r="BJ102" s="1183"/>
      <c r="BL102" s="151">
        <f>BL82-BL92</f>
        <v>157.63600000000008</v>
      </c>
      <c r="BM102" s="316">
        <f t="shared" si="208"/>
        <v>27.890052653356044</v>
      </c>
      <c r="BN102" s="1183"/>
      <c r="BP102" s="151">
        <f>BP82-BP92</f>
        <v>186.01499999999999</v>
      </c>
      <c r="BQ102" s="316">
        <f t="shared" si="214"/>
        <v>18.002867365322572</v>
      </c>
      <c r="BR102" s="1183"/>
      <c r="BT102" s="151">
        <f>BT82-BT92</f>
        <v>225.00200000000001</v>
      </c>
      <c r="BU102" s="316">
        <f t="shared" si="215"/>
        <v>20.959062441200981</v>
      </c>
      <c r="BV102" s="1183"/>
      <c r="BX102" s="151">
        <f>BX82-BX92</f>
        <v>238.93199999999996</v>
      </c>
      <c r="BY102" s="316">
        <f t="shared" si="216"/>
        <v>6.1910560795015002</v>
      </c>
      <c r="BZ102" s="1183"/>
      <c r="CB102" s="151">
        <f>CB82-CB92</f>
        <v>190.73999999999995</v>
      </c>
      <c r="CC102" s="316">
        <f t="shared" si="209"/>
        <v>-20.169755411581548</v>
      </c>
      <c r="CF102" s="151">
        <f>CF82-CF92</f>
        <v>100.20000000000002</v>
      </c>
      <c r="CG102" s="316">
        <f t="shared" si="210"/>
        <v>-47.46775715633845</v>
      </c>
      <c r="CJ102" s="151">
        <f>CJ82-CJ92</f>
        <v>124.09999999999972</v>
      </c>
      <c r="CK102" s="316">
        <f t="shared" si="211"/>
        <v>23.852295409181345</v>
      </c>
      <c r="CN102" s="151">
        <f>CN82-CN92</f>
        <v>130.30000000000001</v>
      </c>
      <c r="CO102" s="316">
        <f t="shared" si="212"/>
        <v>4.9959709911364225</v>
      </c>
      <c r="CR102" s="151">
        <f>CR82-CR92</f>
        <v>138.63907872126188</v>
      </c>
      <c r="CS102" s="316">
        <f t="shared" si="213"/>
        <v>6.399906923455001</v>
      </c>
      <c r="CT102" s="3"/>
    </row>
    <row r="103" spans="1:103" hidden="1" outlineLevel="1">
      <c r="A103" s="3" t="str">
        <f>$A$13</f>
        <v>4Q</v>
      </c>
      <c r="B103" s="3" t="str">
        <f>$B$13</f>
        <v>June</v>
      </c>
      <c r="D103" s="1274"/>
      <c r="E103" s="22"/>
      <c r="H103" s="1274"/>
      <c r="I103" s="22"/>
      <c r="L103" s="1274"/>
      <c r="M103" s="22"/>
      <c r="P103" s="1274"/>
      <c r="Q103" s="22"/>
      <c r="T103" s="1274"/>
      <c r="U103" s="22"/>
      <c r="X103" s="1274">
        <f>X83-X93</f>
        <v>5.2579999999999973</v>
      </c>
      <c r="Y103" s="22"/>
      <c r="AB103" s="1274">
        <f>AB83-AB93</f>
        <v>9.2419999999999831</v>
      </c>
      <c r="AC103" s="22">
        <f t="shared" si="199"/>
        <v>75.770254849752533</v>
      </c>
      <c r="AF103" s="1274">
        <f>AF83-AF93</f>
        <v>16.266999999999989</v>
      </c>
      <c r="AG103" s="22">
        <f t="shared" si="200"/>
        <v>76.0116857822984</v>
      </c>
      <c r="AJ103" s="1274">
        <f>AJ83-AJ93</f>
        <v>32.285999999999987</v>
      </c>
      <c r="AK103" s="22">
        <f t="shared" si="201"/>
        <v>98.47544107702717</v>
      </c>
      <c r="AN103" s="1274">
        <f>AN83-AN93</f>
        <v>70.520999999999958</v>
      </c>
      <c r="AO103" s="22">
        <f t="shared" si="202"/>
        <v>118.42594313324656</v>
      </c>
      <c r="AR103" s="1209">
        <f>AR83-AR93</f>
        <v>89.963000000000022</v>
      </c>
      <c r="AS103" s="316">
        <f t="shared" si="203"/>
        <v>27.569092894315283</v>
      </c>
      <c r="AT103" s="1183"/>
      <c r="AV103" s="1209">
        <f>AV83-AV93</f>
        <v>112.79499999999997</v>
      </c>
      <c r="AW103" s="316">
        <f t="shared" si="204"/>
        <v>25.37932261040643</v>
      </c>
      <c r="AX103" s="1183"/>
      <c r="AZ103" s="1209">
        <f>AZ83-AZ93</f>
        <v>159.40300000000002</v>
      </c>
      <c r="BA103" s="316">
        <f t="shared" si="205"/>
        <v>41.320980539917599</v>
      </c>
      <c r="BB103" s="1183"/>
      <c r="BD103" s="1209">
        <f>BD83-BD93</f>
        <v>172.48700000000002</v>
      </c>
      <c r="BE103" s="316">
        <f t="shared" si="206"/>
        <v>8.2081265722727892</v>
      </c>
      <c r="BF103" s="1183"/>
      <c r="BH103" s="1209">
        <f>BH83-BH93</f>
        <v>136.26599999999999</v>
      </c>
      <c r="BI103" s="316">
        <f t="shared" si="207"/>
        <v>-20.999263712627638</v>
      </c>
      <c r="BJ103" s="1183"/>
      <c r="BL103" s="1209">
        <f>BL83-BL93</f>
        <v>195.52700000000004</v>
      </c>
      <c r="BM103" s="316">
        <f t="shared" si="208"/>
        <v>43.489204937401894</v>
      </c>
      <c r="BN103" s="1183"/>
      <c r="BP103" s="1209">
        <f>BP83-BP93</f>
        <v>202.48099999999999</v>
      </c>
      <c r="BQ103" s="316">
        <f t="shared" si="214"/>
        <v>3.5565420632444278</v>
      </c>
      <c r="BR103" s="1183"/>
      <c r="BT103" s="1209">
        <f>BT83-BT93</f>
        <v>251.43000000000006</v>
      </c>
      <c r="BU103" s="316">
        <f t="shared" si="215"/>
        <v>24.174613914391998</v>
      </c>
      <c r="BV103" s="1183"/>
      <c r="BX103" s="1209">
        <f>BX83-BX93</f>
        <v>253.91100000000012</v>
      </c>
      <c r="BY103" s="316">
        <f t="shared" si="216"/>
        <v>0.98675575706959062</v>
      </c>
      <c r="BZ103" s="1183"/>
      <c r="CB103" s="1209">
        <f>CB83-CB93</f>
        <v>163.55599999999984</v>
      </c>
      <c r="CC103" s="316">
        <f t="shared" si="209"/>
        <v>-35.585303511860545</v>
      </c>
      <c r="CF103" s="1209">
        <f>CF83-CF93</f>
        <v>85.000000000000142</v>
      </c>
      <c r="CG103" s="316">
        <f t="shared" si="210"/>
        <v>-48.030032527085389</v>
      </c>
      <c r="CJ103" s="1209">
        <f>CJ83-CJ93</f>
        <v>126.09999999999984</v>
      </c>
      <c r="CK103" s="316">
        <f t="shared" si="211"/>
        <v>48.352941176470154</v>
      </c>
      <c r="CN103" s="1209">
        <f>CN83-CN93</f>
        <v>141.71999999999997</v>
      </c>
      <c r="CO103" s="316">
        <f t="shared" si="212"/>
        <v>12.386994448850231</v>
      </c>
      <c r="CR103" s="1209">
        <f>CR83-CR93</f>
        <v>163.3451898271542</v>
      </c>
      <c r="CS103" s="316">
        <f t="shared" si="213"/>
        <v>15.259095277416201</v>
      </c>
      <c r="CT103" s="3"/>
    </row>
    <row r="104" spans="1:103" hidden="1" outlineLevel="1">
      <c r="B104" s="3" t="str">
        <f>$B$14</f>
        <v>Year</v>
      </c>
      <c r="D104" s="1275">
        <f>D84-D94</f>
        <v>37.181000000000019</v>
      </c>
      <c r="E104" s="22"/>
      <c r="H104" s="1275">
        <f>H84-H94</f>
        <v>42.86</v>
      </c>
      <c r="I104" s="22">
        <f>IF(D104&lt;0,"       NM",(H104/D104-1)*100)</f>
        <v>15.273930233183552</v>
      </c>
      <c r="L104" s="1275">
        <f>L84-L94</f>
        <v>32.131999999999948</v>
      </c>
      <c r="M104" s="22">
        <f>IF(H104&lt;0,"       NM",(L104/H104-1)*100)</f>
        <v>-25.030331311246034</v>
      </c>
      <c r="P104" s="1210">
        <f>P84-P94</f>
        <v>20.596999999999976</v>
      </c>
      <c r="Q104" s="22">
        <f>IF(L104&lt;0,"       NM",(P104/L104-1)*100)</f>
        <v>-35.898792481015782</v>
      </c>
      <c r="T104" s="1210">
        <f>T84-T94</f>
        <v>16.715000000000025</v>
      </c>
      <c r="U104" s="22">
        <f>IF(P104&lt;0,"       NM",(T104/P104-1)*100)</f>
        <v>-18.847404961887438</v>
      </c>
      <c r="X104" s="1210">
        <f>SUM(X100:X103)</f>
        <v>38.602999999999973</v>
      </c>
      <c r="Y104" s="22"/>
      <c r="AB104" s="1210">
        <f>SUM(AB100:AB103)</f>
        <v>64.03000000000003</v>
      </c>
      <c r="AC104" s="22">
        <f t="shared" si="199"/>
        <v>65.867937725047469</v>
      </c>
      <c r="AF104" s="1210">
        <f>SUM(AF100:AF103)</f>
        <v>86.010999999999967</v>
      </c>
      <c r="AG104" s="22">
        <f t="shared" si="200"/>
        <v>34.329220677807172</v>
      </c>
      <c r="AJ104" s="1210">
        <f>SUM(AJ100:AJ103)</f>
        <v>154.23599999999999</v>
      </c>
      <c r="AK104" s="22">
        <f t="shared" si="201"/>
        <v>79.32124960760838</v>
      </c>
      <c r="AN104" s="1210">
        <f>SUM(AN100:AN103)</f>
        <v>279.79099999999994</v>
      </c>
      <c r="AO104" s="22">
        <f t="shared" si="202"/>
        <v>81.404471070307821</v>
      </c>
      <c r="AR104" s="1211">
        <f>SUM(AR100:AR103)</f>
        <v>372.25299999999999</v>
      </c>
      <c r="AS104" s="316">
        <f t="shared" si="203"/>
        <v>33.046809940276866</v>
      </c>
      <c r="AT104" s="1183"/>
      <c r="AV104" s="1211">
        <f>SUM(AV100:AV103)</f>
        <v>464.04399999999998</v>
      </c>
      <c r="AW104" s="316">
        <f t="shared" si="204"/>
        <v>24.658229752345861</v>
      </c>
      <c r="AX104" s="1183"/>
      <c r="AZ104" s="1211">
        <f>SUM(AZ100:AZ103)</f>
        <v>636.529</v>
      </c>
      <c r="BA104" s="316">
        <f t="shared" si="205"/>
        <v>37.169966641094376</v>
      </c>
      <c r="BB104" s="1183"/>
      <c r="BD104" s="1211">
        <f>SUM(BD100:BD103)</f>
        <v>742.00200000000018</v>
      </c>
      <c r="BE104" s="316">
        <f t="shared" si="206"/>
        <v>16.570022732664214</v>
      </c>
      <c r="BF104" s="1183"/>
      <c r="BH104" s="1211">
        <f>SUM(BH100:BH103)</f>
        <v>622.24199999999985</v>
      </c>
      <c r="BI104" s="316">
        <f t="shared" si="207"/>
        <v>-16.140118220705645</v>
      </c>
      <c r="BJ104" s="1183"/>
      <c r="BL104" s="1211">
        <f>SUM(BL100:BL103)</f>
        <v>734.94000000000028</v>
      </c>
      <c r="BM104" s="316">
        <f t="shared" si="208"/>
        <v>18.111602881194202</v>
      </c>
      <c r="BN104" s="1183"/>
      <c r="BP104" s="1211">
        <f>SUM(BP100:BP103)</f>
        <v>880.80000000000018</v>
      </c>
      <c r="BQ104" s="316">
        <f t="shared" si="214"/>
        <v>19.846518083108798</v>
      </c>
      <c r="BR104" s="1183"/>
      <c r="BT104" s="1211">
        <f>SUM(BT100:BT103)</f>
        <v>1038.9099999999999</v>
      </c>
      <c r="BU104" s="316">
        <f t="shared" si="215"/>
        <v>17.950726612170719</v>
      </c>
      <c r="BV104" s="1183"/>
      <c r="BX104" s="1211">
        <f>SUM(BX100:BX103)</f>
        <v>1066.9879999999998</v>
      </c>
      <c r="BY104" s="316">
        <f t="shared" si="216"/>
        <v>2.7026402672031269</v>
      </c>
      <c r="BZ104" s="1183"/>
      <c r="CB104" s="1211">
        <f>SUM(CB100:CB103)</f>
        <v>869.61699999999973</v>
      </c>
      <c r="CC104" s="316">
        <f t="shared" si="209"/>
        <v>-18.497958739929608</v>
      </c>
      <c r="CF104" s="1211">
        <f>SUM(CF100:CF103)</f>
        <v>531.20000000000016</v>
      </c>
      <c r="CG104" s="316">
        <f t="shared" si="210"/>
        <v>-38.915637573782448</v>
      </c>
      <c r="CJ104" s="1211">
        <f>SUM(CJ100:CJ103)</f>
        <v>551.69999999999936</v>
      </c>
      <c r="CK104" s="316">
        <f t="shared" si="211"/>
        <v>3.8591867469877972</v>
      </c>
      <c r="CN104" s="1211">
        <f>SUM(CN100:CN103)</f>
        <v>609.22000000000014</v>
      </c>
      <c r="CO104" s="316">
        <f t="shared" si="212"/>
        <v>10.425956135581082</v>
      </c>
      <c r="CR104" s="1211">
        <f>SUM(CR100:CR103)</f>
        <v>727.884268548416</v>
      </c>
      <c r="CS104" s="316">
        <f t="shared" si="213"/>
        <v>19.478065156826084</v>
      </c>
      <c r="CT104" s="3"/>
    </row>
    <row r="105" spans="1:103" hidden="1" outlineLevel="1">
      <c r="A105" s="3" t="str">
        <f>$A$15</f>
        <v>6 Mos</v>
      </c>
      <c r="D105" s="1212"/>
      <c r="E105" s="22"/>
      <c r="H105" s="1212"/>
      <c r="I105" s="22"/>
      <c r="L105" s="1212"/>
      <c r="M105" s="22"/>
      <c r="P105" s="1212"/>
      <c r="Q105" s="22"/>
      <c r="T105" s="1212"/>
      <c r="U105" s="22"/>
      <c r="X105" s="1212">
        <f>SUM(X100:X101)</f>
        <v>30.310999999999982</v>
      </c>
      <c r="Y105" s="22"/>
      <c r="AB105" s="1212">
        <f>SUM(AB100:AB101)</f>
        <v>46.795000000000023</v>
      </c>
      <c r="AC105" s="22">
        <f t="shared" si="199"/>
        <v>54.382897298010782</v>
      </c>
      <c r="AF105" s="1212">
        <f>SUM(AF100:AF101)</f>
        <v>57.237999999999985</v>
      </c>
      <c r="AG105" s="22">
        <f t="shared" si="200"/>
        <v>22.31648680414564</v>
      </c>
      <c r="AJ105" s="1212">
        <f>SUM(AJ100:AJ101)</f>
        <v>88.503000000000029</v>
      </c>
      <c r="AK105" s="22">
        <f t="shared" si="201"/>
        <v>54.622803032950216</v>
      </c>
      <c r="AN105" s="1212">
        <f>SUM(AN100:AN101)</f>
        <v>145.74699999999999</v>
      </c>
      <c r="AO105" s="22">
        <f t="shared" si="202"/>
        <v>64.680293323390089</v>
      </c>
      <c r="AR105" s="1213">
        <f>SUM(AR100:AR101)</f>
        <v>197.17699999999999</v>
      </c>
      <c r="AS105" s="316">
        <f t="shared" si="203"/>
        <v>35.287175722313322</v>
      </c>
      <c r="AT105" s="1183"/>
      <c r="AV105" s="1213">
        <f>SUM(AV100:AV101)</f>
        <v>249.577</v>
      </c>
      <c r="AW105" s="316">
        <f t="shared" si="204"/>
        <v>26.57510764440072</v>
      </c>
      <c r="AX105" s="1183"/>
      <c r="AZ105" s="1213">
        <f>SUM(AZ100:AZ101)</f>
        <v>329.73599999999999</v>
      </c>
      <c r="BA105" s="316">
        <f t="shared" si="205"/>
        <v>32.117943560504372</v>
      </c>
      <c r="BB105" s="1183"/>
      <c r="BD105" s="1213">
        <f>SUM(BD100:BD101)</f>
        <v>407.10300000000007</v>
      </c>
      <c r="BE105" s="316">
        <f t="shared" si="206"/>
        <v>23.463316107431421</v>
      </c>
      <c r="BF105" s="1183"/>
      <c r="BH105" s="1213">
        <f>SUM(BH100:BH101)</f>
        <v>362.71699999999987</v>
      </c>
      <c r="BI105" s="316">
        <f t="shared" si="207"/>
        <v>-10.902891897136646</v>
      </c>
      <c r="BJ105" s="1183"/>
      <c r="BL105" s="1213">
        <f>SUM(BL100:BL101)</f>
        <v>381.77700000000016</v>
      </c>
      <c r="BM105" s="316">
        <f t="shared" si="208"/>
        <v>5.2547854112159786</v>
      </c>
      <c r="BN105" s="1183"/>
      <c r="BP105" s="1213">
        <f>SUM(BP100:BP101)</f>
        <v>492.30400000000014</v>
      </c>
      <c r="BQ105" s="316">
        <f t="shared" si="214"/>
        <v>28.95067015561439</v>
      </c>
      <c r="BR105" s="1183"/>
      <c r="BT105" s="1213">
        <f>SUM(BT100:BT101)</f>
        <v>562.47799999999984</v>
      </c>
      <c r="BU105" s="316">
        <f t="shared" si="215"/>
        <v>14.254200656504867</v>
      </c>
      <c r="BV105" s="1183"/>
      <c r="BX105" s="1213">
        <f>SUM(BX100:BX101)</f>
        <v>574.14499999999975</v>
      </c>
      <c r="BY105" s="316">
        <f t="shared" si="216"/>
        <v>2.0742144581654687</v>
      </c>
      <c r="BZ105" s="1183"/>
      <c r="CB105" s="1213">
        <f>SUM(CB100:CB101)</f>
        <v>515.32100000000003</v>
      </c>
      <c r="CC105" s="316">
        <f t="shared" si="209"/>
        <v>-10.245495475881484</v>
      </c>
      <c r="CF105" s="1213">
        <f>SUM(CF100:CF101)</f>
        <v>346.00000000000006</v>
      </c>
      <c r="CG105" s="316">
        <f t="shared" si="210"/>
        <v>-32.857384038298456</v>
      </c>
      <c r="CJ105" s="1213">
        <f>SUM(CJ100:CJ101)</f>
        <v>301.49999999999977</v>
      </c>
      <c r="CK105" s="316">
        <f t="shared" si="211"/>
        <v>-12.861271676300657</v>
      </c>
      <c r="CN105" s="1213">
        <f>SUM(CN100:CN101)</f>
        <v>337.20000000000016</v>
      </c>
      <c r="CO105" s="316">
        <f t="shared" si="212"/>
        <v>11.840796019900646</v>
      </c>
      <c r="CR105" s="1213">
        <f>SUM(CR100:CR101)</f>
        <v>425.9</v>
      </c>
      <c r="CS105" s="316">
        <f t="shared" si="213"/>
        <v>26.304863582443595</v>
      </c>
      <c r="CT105" s="3"/>
    </row>
    <row r="106" spans="1:103" hidden="1" outlineLevel="1">
      <c r="A106" s="3" t="str">
        <f>$A$16</f>
        <v>9 Mos</v>
      </c>
      <c r="D106" s="1212"/>
      <c r="E106" s="22"/>
      <c r="H106" s="1212"/>
      <c r="I106" s="22"/>
      <c r="L106" s="1212"/>
      <c r="M106" s="22"/>
      <c r="P106" s="1212"/>
      <c r="Q106" s="22"/>
      <c r="T106" s="1212"/>
      <c r="U106" s="22"/>
      <c r="X106" s="1212">
        <f>SUM(X100:X102)</f>
        <v>33.344999999999978</v>
      </c>
      <c r="Y106" s="22"/>
      <c r="AB106" s="1212">
        <f>SUM(AB100:AB102)</f>
        <v>54.788000000000039</v>
      </c>
      <c r="AC106" s="22">
        <f t="shared" si="199"/>
        <v>64.306492727545589</v>
      </c>
      <c r="AF106" s="1212">
        <f>SUM(AF100:AF102)</f>
        <v>69.743999999999971</v>
      </c>
      <c r="AG106" s="22">
        <f t="shared" si="200"/>
        <v>27.297948455866106</v>
      </c>
      <c r="AJ106" s="1212">
        <f>SUM(AJ100:AJ102)</f>
        <v>121.95000000000002</v>
      </c>
      <c r="AK106" s="22">
        <f t="shared" si="201"/>
        <v>74.853750860289153</v>
      </c>
      <c r="AN106" s="1212">
        <f>SUM(AN100:AN102)</f>
        <v>209.26999999999998</v>
      </c>
      <c r="AO106" s="22">
        <f t="shared" si="202"/>
        <v>71.603116031160269</v>
      </c>
      <c r="AR106" s="1213">
        <f>SUM(AR100:AR102)</f>
        <v>282.28999999999996</v>
      </c>
      <c r="AS106" s="316">
        <f t="shared" si="203"/>
        <v>34.89272232044727</v>
      </c>
      <c r="AT106" s="1183"/>
      <c r="AV106" s="1213">
        <f>SUM(AV100:AV102)</f>
        <v>351.24900000000002</v>
      </c>
      <c r="AW106" s="316">
        <f t="shared" si="204"/>
        <v>24.428424669665972</v>
      </c>
      <c r="AX106" s="1183"/>
      <c r="AZ106" s="1213">
        <f>SUM(AZ100:AZ102)</f>
        <v>477.12599999999998</v>
      </c>
      <c r="BA106" s="316">
        <f t="shared" si="205"/>
        <v>35.83697035436397</v>
      </c>
      <c r="BB106" s="1183"/>
      <c r="BD106" s="1213">
        <f>SUM(BD100:BD102)</f>
        <v>569.5150000000001</v>
      </c>
      <c r="BE106" s="316">
        <f t="shared" si="206"/>
        <v>19.363648176791905</v>
      </c>
      <c r="BF106" s="1183"/>
      <c r="BH106" s="1213">
        <f>SUM(BH100:BH102)</f>
        <v>485.97599999999983</v>
      </c>
      <c r="BI106" s="316">
        <f t="shared" si="207"/>
        <v>-14.668445958403243</v>
      </c>
      <c r="BJ106" s="1183"/>
      <c r="BL106" s="1213">
        <f>SUM(BL100:BL102)</f>
        <v>539.41300000000024</v>
      </c>
      <c r="BM106" s="316">
        <f t="shared" si="208"/>
        <v>10.995810492699309</v>
      </c>
      <c r="BN106" s="1183"/>
      <c r="BP106" s="1213">
        <f>SUM(BP100:BP102)</f>
        <v>678.31900000000019</v>
      </c>
      <c r="BQ106" s="316">
        <f t="shared" si="214"/>
        <v>25.751325978424667</v>
      </c>
      <c r="BR106" s="1183"/>
      <c r="BT106" s="1213">
        <f>SUM(BT100:BT102)</f>
        <v>787.47999999999979</v>
      </c>
      <c r="BU106" s="316">
        <f t="shared" si="215"/>
        <v>16.092870758448385</v>
      </c>
      <c r="BV106" s="1183"/>
      <c r="BX106" s="1213">
        <f>SUM(BX100:BX102)</f>
        <v>813.07699999999977</v>
      </c>
      <c r="BY106" s="316">
        <f t="shared" si="216"/>
        <v>3.2504952506730245</v>
      </c>
      <c r="BZ106" s="1183"/>
      <c r="CB106" s="1213">
        <f>SUM(CB100:CB102)</f>
        <v>706.06099999999992</v>
      </c>
      <c r="CC106" s="316">
        <f t="shared" si="209"/>
        <v>-13.161853059427319</v>
      </c>
      <c r="CF106" s="1213">
        <f>SUM(CF100:CF102)</f>
        <v>446.20000000000005</v>
      </c>
      <c r="CG106" s="316">
        <f t="shared" si="210"/>
        <v>-36.804327104881864</v>
      </c>
      <c r="CJ106" s="1213">
        <f>SUM(CJ100:CJ102)</f>
        <v>425.59999999999951</v>
      </c>
      <c r="CK106" s="316">
        <f t="shared" si="211"/>
        <v>-4.6167637830570429</v>
      </c>
      <c r="CN106" s="1213">
        <f>SUM(CN100:CN102)</f>
        <v>467.50000000000017</v>
      </c>
      <c r="CO106" s="316">
        <f t="shared" si="212"/>
        <v>9.8449248120302322</v>
      </c>
      <c r="CR106" s="1213">
        <f>SUM(CR100:CR102)</f>
        <v>564.53907872126183</v>
      </c>
      <c r="CS106" s="316">
        <f t="shared" si="213"/>
        <v>20.757022186366125</v>
      </c>
      <c r="CT106" s="3"/>
    </row>
    <row r="107" spans="1:103" hidden="1" outlineLevel="1">
      <c r="W107" s="127"/>
      <c r="AR107" s="61"/>
      <c r="AS107" s="61"/>
      <c r="AT107" s="1183"/>
      <c r="AV107" s="61"/>
      <c r="AW107" s="61"/>
      <c r="AX107" s="1183"/>
      <c r="AZ107" s="61"/>
      <c r="BA107" s="61"/>
      <c r="BB107" s="1183"/>
      <c r="BD107" s="61"/>
      <c r="BE107" s="61"/>
      <c r="BF107" s="1183"/>
      <c r="BH107" s="61"/>
      <c r="BI107" s="61"/>
      <c r="BJ107" s="1183"/>
      <c r="BL107" s="61"/>
      <c r="BM107" s="61"/>
      <c r="BN107" s="1183"/>
      <c r="BP107" s="61"/>
      <c r="BQ107" s="61"/>
      <c r="BR107" s="1183"/>
      <c r="BT107" s="61"/>
      <c r="BU107" s="61"/>
      <c r="BV107" s="1183"/>
      <c r="BX107" s="61"/>
      <c r="BY107" s="61"/>
      <c r="BZ107" s="1183"/>
      <c r="CR107" s="3"/>
      <c r="CS107" s="3"/>
      <c r="CT107" s="3"/>
    </row>
    <row r="108" spans="1:103" hidden="1" outlineLevel="1">
      <c r="W108" s="127"/>
      <c r="AR108" s="61"/>
      <c r="AS108" s="61"/>
      <c r="AT108" s="1183"/>
      <c r="AV108" s="61"/>
      <c r="AW108" s="61"/>
      <c r="AX108" s="1183"/>
      <c r="AZ108" s="61"/>
      <c r="BA108" s="61"/>
      <c r="BB108" s="1183"/>
      <c r="BD108" s="61"/>
      <c r="BE108" s="61"/>
      <c r="BF108" s="1183"/>
      <c r="BH108" s="61"/>
      <c r="BI108" s="61"/>
      <c r="BJ108" s="1183"/>
      <c r="BL108" s="61"/>
      <c r="BM108" s="61"/>
      <c r="BN108" s="1183"/>
      <c r="BP108" s="61"/>
      <c r="BQ108" s="61"/>
      <c r="BR108" s="1183"/>
      <c r="BT108" s="61"/>
      <c r="BU108" s="61"/>
      <c r="BV108" s="1183"/>
      <c r="BX108" s="61"/>
      <c r="BY108" s="61"/>
      <c r="BZ108" s="1183"/>
      <c r="CB108" s="302"/>
      <c r="CR108" s="3"/>
      <c r="CS108" s="3"/>
      <c r="CT108" s="3"/>
    </row>
    <row r="109" spans="1:103" collapsed="1">
      <c r="D109" s="1260"/>
      <c r="E109" s="127"/>
      <c r="F109" s="127"/>
      <c r="G109" s="127"/>
      <c r="H109" s="1260"/>
      <c r="I109" s="127"/>
      <c r="J109" s="127"/>
      <c r="K109" s="127"/>
      <c r="L109" s="1260"/>
      <c r="M109" s="127"/>
      <c r="N109" s="127"/>
      <c r="O109" s="127"/>
      <c r="P109" s="1260"/>
      <c r="Q109" s="127"/>
      <c r="R109" s="127"/>
      <c r="S109" s="127"/>
      <c r="U109" s="127"/>
      <c r="V109" s="127"/>
      <c r="Y109" s="127"/>
      <c r="Z109" s="127"/>
      <c r="AA109" s="127"/>
      <c r="AC109" s="127"/>
      <c r="AD109" s="127"/>
      <c r="AE109" s="127"/>
      <c r="AG109" s="127"/>
      <c r="AH109" s="127"/>
      <c r="AI109" s="127"/>
      <c r="AK109" s="127"/>
      <c r="AL109" s="127"/>
      <c r="AM109" s="127"/>
      <c r="AN109" s="1196"/>
      <c r="AO109" s="127"/>
      <c r="AP109" s="127"/>
      <c r="AQ109" s="127"/>
      <c r="AS109" s="1197"/>
      <c r="AT109" s="1198"/>
      <c r="AU109" s="127"/>
      <c r="AV109" s="1199"/>
      <c r="AW109" s="1197"/>
      <c r="AX109" s="1198"/>
      <c r="AY109" s="127"/>
      <c r="AZ109" s="1199"/>
      <c r="BA109" s="1197"/>
      <c r="BB109" s="1198"/>
      <c r="BC109" s="127"/>
      <c r="BD109" s="1199"/>
      <c r="BE109" s="1197"/>
      <c r="BF109" s="1198"/>
      <c r="BG109" s="127"/>
      <c r="BH109" s="1199"/>
      <c r="BI109" s="1197"/>
      <c r="BJ109" s="1198"/>
      <c r="BK109" s="127"/>
      <c r="BL109" s="1196" t="s">
        <v>754</v>
      </c>
      <c r="BM109" s="1197"/>
      <c r="BN109" s="1198"/>
      <c r="BO109" s="127"/>
      <c r="BQ109" s="1197"/>
      <c r="BR109" s="1198"/>
      <c r="BS109" s="127"/>
      <c r="BT109" s="1199"/>
      <c r="BU109" s="1197"/>
      <c r="BV109" s="1198"/>
      <c r="BW109" s="127"/>
      <c r="BX109" s="1196" t="s">
        <v>754</v>
      </c>
      <c r="BY109" s="1197"/>
      <c r="BZ109" s="1198"/>
      <c r="CA109" s="127"/>
      <c r="CB109" s="1230"/>
      <c r="CC109" s="127"/>
      <c r="CD109" s="127"/>
      <c r="CE109" s="127"/>
      <c r="CF109" s="127"/>
      <c r="CG109" s="127"/>
      <c r="CH109" s="127"/>
      <c r="CI109" s="127"/>
      <c r="CJ109" s="127"/>
      <c r="CK109" s="127"/>
      <c r="CL109" s="127"/>
      <c r="CM109" s="127"/>
      <c r="CN109" s="127"/>
      <c r="CO109" s="127"/>
      <c r="CP109" s="127"/>
      <c r="CQ109" s="127"/>
      <c r="CR109" s="127"/>
      <c r="CS109" s="127"/>
      <c r="CT109" s="127"/>
      <c r="CU109" s="1197"/>
    </row>
    <row r="110" spans="1:103">
      <c r="AR110" s="61"/>
      <c r="AS110" s="61"/>
      <c r="AT110" s="1183"/>
      <c r="AV110" s="61"/>
      <c r="AW110" s="61"/>
      <c r="AX110" s="1183"/>
      <c r="AZ110" s="61"/>
      <c r="BA110" s="61"/>
      <c r="BB110" s="1183"/>
      <c r="BD110" s="61"/>
      <c r="BE110" s="61"/>
      <c r="BF110" s="1183"/>
      <c r="BH110" s="61"/>
      <c r="BI110" s="61"/>
      <c r="BJ110" s="1183"/>
      <c r="BL110" s="61"/>
      <c r="BM110" s="61"/>
      <c r="BN110" s="1183"/>
      <c r="BP110" s="61"/>
      <c r="BQ110" s="61"/>
      <c r="BR110" s="1183"/>
      <c r="BT110" s="61"/>
      <c r="BU110" s="61"/>
      <c r="BV110" s="1183"/>
      <c r="BX110" s="61"/>
      <c r="BY110" s="61"/>
      <c r="BZ110" s="1183"/>
      <c r="CR110" s="3"/>
      <c r="CS110" s="3"/>
      <c r="CT110" s="3"/>
    </row>
    <row r="111" spans="1:103">
      <c r="A111" s="3" t="str">
        <f>$A$10</f>
        <v>1Q</v>
      </c>
      <c r="B111" s="3" t="str">
        <f>$B$10</f>
        <v>Sept</v>
      </c>
      <c r="D111" s="139"/>
      <c r="E111" s="22"/>
      <c r="H111" s="139"/>
      <c r="I111" s="22"/>
      <c r="L111" s="139"/>
      <c r="M111" s="22"/>
      <c r="P111" s="139"/>
      <c r="Q111" s="22"/>
      <c r="T111" s="139"/>
      <c r="U111" s="22"/>
      <c r="X111" s="1202"/>
      <c r="Y111" s="22"/>
      <c r="AB111" s="1202"/>
      <c r="AF111" s="1202">
        <v>-0.26800000000000002</v>
      </c>
      <c r="AJ111" s="1202">
        <v>1.3160000000000001</v>
      </c>
      <c r="AK111" s="22" t="str">
        <f t="shared" ref="AK111:AK117" si="217">IF(AF111&lt;0,"       NM",(AJ111/AF111-1)*100)</f>
        <v xml:space="preserve">       NM</v>
      </c>
      <c r="AN111" s="1202">
        <v>2.6930000000000001</v>
      </c>
      <c r="AO111" s="22">
        <f t="shared" ref="AO111:AO117" si="218">IF(AJ111&lt;0,"       NM",(AN111/AJ111-1)*100)</f>
        <v>104.63525835866263</v>
      </c>
      <c r="AR111" s="196">
        <v>2.9209999999999998</v>
      </c>
      <c r="AS111" s="316">
        <f>IF(AN111&lt;0,"       NM",(AR111/AN111-1)*100)</f>
        <v>8.4663943557370835</v>
      </c>
      <c r="AT111" s="61"/>
      <c r="AV111" s="196">
        <v>0</v>
      </c>
      <c r="AW111" s="316"/>
      <c r="AX111" s="61"/>
      <c r="AZ111" s="196">
        <v>0</v>
      </c>
      <c r="BA111" s="316"/>
      <c r="BB111" s="61"/>
      <c r="BD111" s="196">
        <v>0</v>
      </c>
      <c r="BE111" s="316"/>
      <c r="BF111" s="61"/>
      <c r="BH111" s="196">
        <v>0</v>
      </c>
      <c r="BI111" s="316"/>
      <c r="BJ111" s="61"/>
      <c r="BL111" s="196">
        <v>0</v>
      </c>
      <c r="BM111" s="316"/>
      <c r="BN111" s="61"/>
      <c r="BP111" s="196">
        <v>0</v>
      </c>
      <c r="BQ111" s="316"/>
      <c r="BR111" s="61"/>
      <c r="BT111" s="196">
        <v>0</v>
      </c>
      <c r="BU111" s="316"/>
      <c r="BV111" s="61"/>
      <c r="BX111" s="196">
        <v>0</v>
      </c>
      <c r="BY111" s="316"/>
      <c r="BZ111" s="61"/>
      <c r="CB111" s="196">
        <v>0</v>
      </c>
      <c r="CF111" s="196">
        <v>0</v>
      </c>
      <c r="CJ111" s="196">
        <v>0</v>
      </c>
      <c r="CN111" s="196">
        <v>0</v>
      </c>
      <c r="CR111" s="196">
        <v>0</v>
      </c>
      <c r="CS111" s="3"/>
      <c r="CT111" s="3"/>
    </row>
    <row r="112" spans="1:103">
      <c r="A112" s="3" t="str">
        <f>$A$11</f>
        <v>2Q</v>
      </c>
      <c r="B112" s="3" t="str">
        <f>$B$11</f>
        <v>Dec</v>
      </c>
      <c r="D112" s="153"/>
      <c r="E112" s="22"/>
      <c r="H112" s="153"/>
      <c r="I112" s="22"/>
      <c r="L112" s="153"/>
      <c r="M112" s="22"/>
      <c r="P112" s="153"/>
      <c r="Q112" s="22"/>
      <c r="T112" s="153"/>
      <c r="U112" s="22"/>
      <c r="X112" s="1205"/>
      <c r="Y112" s="22"/>
      <c r="AB112" s="1205"/>
      <c r="AF112" s="1205">
        <v>0.80200000000000005</v>
      </c>
      <c r="AJ112" s="1205">
        <v>2.2759999999999998</v>
      </c>
      <c r="AK112" s="22">
        <f t="shared" si="217"/>
        <v>183.79052369077306</v>
      </c>
      <c r="AN112" s="1205">
        <v>5.2869999999999999</v>
      </c>
      <c r="AO112" s="22">
        <f t="shared" si="218"/>
        <v>132.29349736379615</v>
      </c>
      <c r="AR112" s="162">
        <v>6.3719999999999999</v>
      </c>
      <c r="AS112" s="316">
        <f t="shared" ref="AS112:AS117" si="219">IF(AN112&lt;0,"       NM",(AR112/AN112-1)*100)</f>
        <v>20.522035180631736</v>
      </c>
      <c r="AT112" s="61"/>
      <c r="AV112" s="162">
        <v>0</v>
      </c>
      <c r="AW112" s="316"/>
      <c r="AX112" s="61"/>
      <c r="AZ112" s="162">
        <v>0</v>
      </c>
      <c r="BA112" s="316"/>
      <c r="BB112" s="61"/>
      <c r="BD112" s="162">
        <v>0</v>
      </c>
      <c r="BE112" s="316"/>
      <c r="BF112" s="61"/>
      <c r="BH112" s="162">
        <v>0</v>
      </c>
      <c r="BI112" s="316"/>
      <c r="BJ112" s="61"/>
      <c r="BL112" s="162">
        <v>0</v>
      </c>
      <c r="BM112" s="316"/>
      <c r="BN112" s="61"/>
      <c r="BP112" s="162">
        <v>0</v>
      </c>
      <c r="BQ112" s="316"/>
      <c r="BR112" s="61"/>
      <c r="BT112" s="162">
        <v>0</v>
      </c>
      <c r="BU112" s="316"/>
      <c r="BV112" s="61"/>
      <c r="BX112" s="162">
        <v>0</v>
      </c>
      <c r="BY112" s="316"/>
      <c r="BZ112" s="61"/>
      <c r="CB112" s="162">
        <v>0</v>
      </c>
      <c r="CF112" s="162">
        <v>0</v>
      </c>
      <c r="CJ112" s="162">
        <v>0</v>
      </c>
      <c r="CN112" s="162">
        <v>0</v>
      </c>
      <c r="CR112" s="162">
        <v>0</v>
      </c>
      <c r="CS112" s="3"/>
      <c r="CT112" s="3"/>
    </row>
    <row r="113" spans="1:103">
      <c r="A113" s="3" t="str">
        <f>$A$12</f>
        <v>3Q</v>
      </c>
      <c r="B113" s="3" t="str">
        <f>$B$12</f>
        <v>Mar</v>
      </c>
      <c r="D113" s="153"/>
      <c r="E113" s="22"/>
      <c r="H113" s="153"/>
      <c r="I113" s="22"/>
      <c r="L113" s="153"/>
      <c r="M113" s="22"/>
      <c r="P113" s="153"/>
      <c r="Q113" s="22"/>
      <c r="T113" s="153"/>
      <c r="U113" s="22"/>
      <c r="X113" s="1205"/>
      <c r="Y113" s="22"/>
      <c r="AB113" s="1205"/>
      <c r="AF113" s="1205">
        <v>0.68899999999999995</v>
      </c>
      <c r="AJ113" s="1205">
        <v>1.5940000000000001</v>
      </c>
      <c r="AK113" s="22">
        <f t="shared" si="217"/>
        <v>131.34978229317852</v>
      </c>
      <c r="AN113" s="1205">
        <v>5.2119999999999997</v>
      </c>
      <c r="AO113" s="22">
        <f t="shared" si="218"/>
        <v>226.97616060225846</v>
      </c>
      <c r="AR113" s="162">
        <v>4.2409999999999997</v>
      </c>
      <c r="AS113" s="316">
        <f t="shared" si="219"/>
        <v>-18.630084420567925</v>
      </c>
      <c r="AT113" s="61"/>
      <c r="AV113" s="162">
        <v>0</v>
      </c>
      <c r="AW113" s="316"/>
      <c r="AX113" s="61"/>
      <c r="AZ113" s="162">
        <v>0</v>
      </c>
      <c r="BA113" s="316"/>
      <c r="BB113" s="61"/>
      <c r="BD113" s="162">
        <v>0</v>
      </c>
      <c r="BE113" s="316"/>
      <c r="BF113" s="61"/>
      <c r="BH113" s="162">
        <v>0</v>
      </c>
      <c r="BI113" s="316"/>
      <c r="BJ113" s="61"/>
      <c r="BL113" s="162">
        <v>0</v>
      </c>
      <c r="BM113" s="316"/>
      <c r="BN113" s="61"/>
      <c r="BP113" s="162">
        <v>0</v>
      </c>
      <c r="BQ113" s="316"/>
      <c r="BR113" s="61"/>
      <c r="BT113" s="162">
        <v>0</v>
      </c>
      <c r="BU113" s="316"/>
      <c r="BV113" s="61"/>
      <c r="BX113" s="162">
        <v>0</v>
      </c>
      <c r="BY113" s="316"/>
      <c r="BZ113" s="61"/>
      <c r="CB113" s="162">
        <v>0</v>
      </c>
      <c r="CF113" s="162">
        <v>0</v>
      </c>
      <c r="CJ113" s="162">
        <v>0</v>
      </c>
      <c r="CN113" s="162">
        <v>0</v>
      </c>
      <c r="CR113" s="162">
        <v>0</v>
      </c>
      <c r="CS113" s="3"/>
      <c r="CT113" s="3"/>
    </row>
    <row r="114" spans="1:103">
      <c r="A114" s="3" t="str">
        <f>$A$13</f>
        <v>4Q</v>
      </c>
      <c r="B114" s="3" t="str">
        <f>$B$13</f>
        <v>June</v>
      </c>
      <c r="D114" s="1274"/>
      <c r="E114" s="22"/>
      <c r="H114" s="1274"/>
      <c r="I114" s="22"/>
      <c r="L114" s="1274"/>
      <c r="M114" s="22"/>
      <c r="P114" s="1274"/>
      <c r="Q114" s="22"/>
      <c r="T114" s="1274"/>
      <c r="U114" s="22"/>
      <c r="X114" s="1207"/>
      <c r="Y114" s="22"/>
      <c r="AB114" s="1207"/>
      <c r="AF114" s="1207">
        <v>-1.0389999999999999</v>
      </c>
      <c r="AJ114" s="1207">
        <v>2.4220000000000002</v>
      </c>
      <c r="AK114" s="22" t="str">
        <f t="shared" si="217"/>
        <v xml:space="preserve">       NM</v>
      </c>
      <c r="AN114" s="1207">
        <v>4.851</v>
      </c>
      <c r="AO114" s="22">
        <f t="shared" si="218"/>
        <v>100.28901734104045</v>
      </c>
      <c r="AR114" s="1208">
        <v>0.107</v>
      </c>
      <c r="AS114" s="316">
        <f t="shared" si="219"/>
        <v>-97.79426922284064</v>
      </c>
      <c r="AT114" s="61"/>
      <c r="AV114" s="1208">
        <v>0</v>
      </c>
      <c r="AW114" s="316"/>
      <c r="AX114" s="61"/>
      <c r="AZ114" s="1208">
        <v>0</v>
      </c>
      <c r="BA114" s="316"/>
      <c r="BB114" s="61"/>
      <c r="BD114" s="1208">
        <v>0</v>
      </c>
      <c r="BE114" s="316"/>
      <c r="BF114" s="61"/>
      <c r="BH114" s="1208">
        <v>0</v>
      </c>
      <c r="BI114" s="316"/>
      <c r="BJ114" s="61"/>
      <c r="BL114" s="1208">
        <v>0</v>
      </c>
      <c r="BM114" s="316"/>
      <c r="BN114" s="61"/>
      <c r="BP114" s="1208">
        <v>0</v>
      </c>
      <c r="BQ114" s="316"/>
      <c r="BR114" s="61"/>
      <c r="BT114" s="1208">
        <v>0</v>
      </c>
      <c r="BU114" s="316"/>
      <c r="BV114" s="61"/>
      <c r="BX114" s="1208">
        <v>0</v>
      </c>
      <c r="BY114" s="316"/>
      <c r="BZ114" s="61"/>
      <c r="CB114" s="1208">
        <v>0</v>
      </c>
      <c r="CF114" s="1208">
        <v>0</v>
      </c>
      <c r="CJ114" s="1208">
        <v>0</v>
      </c>
      <c r="CN114" s="1208">
        <v>0</v>
      </c>
      <c r="CR114" s="1208">
        <v>0</v>
      </c>
      <c r="CS114" s="3"/>
      <c r="CT114" s="3"/>
    </row>
    <row r="115" spans="1:103">
      <c r="B115" s="3" t="str">
        <f>$B$14</f>
        <v>Year</v>
      </c>
      <c r="D115" s="1210">
        <v>-0.21199999999999999</v>
      </c>
      <c r="E115" s="22"/>
      <c r="H115" s="1210">
        <f>SUM(H111:H114)</f>
        <v>0</v>
      </c>
      <c r="I115" s="22"/>
      <c r="L115" s="1210">
        <f>SUM(L111:L114)</f>
        <v>0</v>
      </c>
      <c r="M115" s="22"/>
      <c r="P115" s="1210">
        <f>SUM(P111:P114)</f>
        <v>0</v>
      </c>
      <c r="Q115" s="22"/>
      <c r="T115" s="1210">
        <f>SUM(T111:T114)</f>
        <v>0</v>
      </c>
      <c r="U115" s="22"/>
      <c r="X115" s="1210">
        <f>SUM(X111:X114)</f>
        <v>0</v>
      </c>
      <c r="Y115" s="22"/>
      <c r="AB115" s="1210">
        <f>SUM(AB111:AB114)</f>
        <v>0</v>
      </c>
      <c r="AF115" s="1210">
        <f>SUM(AF111:AF114)</f>
        <v>0.18399999999999994</v>
      </c>
      <c r="AJ115" s="1210">
        <f>SUM(AJ111:AJ114)</f>
        <v>7.6080000000000005</v>
      </c>
      <c r="AK115" s="22">
        <f t="shared" si="217"/>
        <v>4034.7826086956538</v>
      </c>
      <c r="AN115" s="1210">
        <f>SUM(AN111:AN114)</f>
        <v>18.042999999999999</v>
      </c>
      <c r="AO115" s="22">
        <f t="shared" si="218"/>
        <v>137.15825446898</v>
      </c>
      <c r="AR115" s="1211">
        <f>SUM(AR111:AR114)</f>
        <v>13.640999999999998</v>
      </c>
      <c r="AS115" s="316">
        <f t="shared" si="219"/>
        <v>-24.397273180734913</v>
      </c>
      <c r="AT115" s="61"/>
      <c r="AV115" s="1211">
        <f>SUM(AV111:AV114)</f>
        <v>0</v>
      </c>
      <c r="AW115" s="316"/>
      <c r="AX115" s="61"/>
      <c r="AZ115" s="1211">
        <f>SUM(AZ111:AZ114)</f>
        <v>0</v>
      </c>
      <c r="BA115" s="316"/>
      <c r="BB115" s="61"/>
      <c r="BD115" s="1211">
        <f>SUM(BD111:BD114)</f>
        <v>0</v>
      </c>
      <c r="BE115" s="316"/>
      <c r="BF115" s="61"/>
      <c r="BH115" s="1211">
        <f>SUM(BH111:BH114)</f>
        <v>0</v>
      </c>
      <c r="BI115" s="316"/>
      <c r="BJ115" s="61"/>
      <c r="BL115" s="1211">
        <f>SUM(BL111:BL114)</f>
        <v>0</v>
      </c>
      <c r="BM115" s="316"/>
      <c r="BN115" s="61"/>
      <c r="BP115" s="1211">
        <f>SUM(BP111:BP114)</f>
        <v>0</v>
      </c>
      <c r="BQ115" s="316"/>
      <c r="BR115" s="61"/>
      <c r="BT115" s="1211">
        <f>SUM(BT111:BT114)</f>
        <v>0</v>
      </c>
      <c r="BU115" s="316"/>
      <c r="BV115" s="61"/>
      <c r="BX115" s="1211">
        <f>SUM(BX111:BX114)</f>
        <v>0</v>
      </c>
      <c r="BY115" s="316"/>
      <c r="BZ115" s="61"/>
      <c r="CB115" s="1211">
        <f>SUM(CB111:CB114)</f>
        <v>0</v>
      </c>
      <c r="CF115" s="1211">
        <f>SUM(CF111:CF114)</f>
        <v>0</v>
      </c>
      <c r="CJ115" s="1211">
        <f>SUM(CJ111:CJ114)</f>
        <v>0</v>
      </c>
      <c r="CN115" s="1211">
        <f>SUM(CN111:CN114)</f>
        <v>0</v>
      </c>
      <c r="CR115" s="1211">
        <f>SUM(CR111:CR114)</f>
        <v>0</v>
      </c>
      <c r="CS115" s="3"/>
      <c r="CT115" s="3"/>
    </row>
    <row r="116" spans="1:103" hidden="1" outlineLevel="1">
      <c r="A116" s="3" t="str">
        <f>$A$15</f>
        <v>6 Mos</v>
      </c>
      <c r="D116" s="1212">
        <f>SUM(D111:D112)</f>
        <v>0</v>
      </c>
      <c r="E116" s="22"/>
      <c r="H116" s="1212">
        <f>SUM(H111:H112)</f>
        <v>0</v>
      </c>
      <c r="I116" s="22"/>
      <c r="L116" s="1212">
        <f>SUM(L111:L112)</f>
        <v>0</v>
      </c>
      <c r="M116" s="22"/>
      <c r="P116" s="1212">
        <f>SUM(P111:P112)</f>
        <v>0</v>
      </c>
      <c r="Q116" s="22"/>
      <c r="T116" s="1212">
        <f>SUM(T111:T112)</f>
        <v>0</v>
      </c>
      <c r="U116" s="22"/>
      <c r="X116" s="1212">
        <f>SUM(X111:X112)</f>
        <v>0</v>
      </c>
      <c r="Y116" s="22"/>
      <c r="AB116" s="1212">
        <f>SUM(AB111:AB112)</f>
        <v>0</v>
      </c>
      <c r="AC116" s="22" t="e">
        <f>IF(X116&lt;0,"       NM",(AB116/X116-1)*100)</f>
        <v>#DIV/0!</v>
      </c>
      <c r="AF116" s="1212">
        <f>SUM(AF111:AF112)</f>
        <v>0.53400000000000003</v>
      </c>
      <c r="AG116" s="22" t="e">
        <f>IF(AB116&lt;0,"       NM",(AF116/AB116-1)*100)</f>
        <v>#DIV/0!</v>
      </c>
      <c r="AJ116" s="1212">
        <f>SUM(AJ111:AJ112)</f>
        <v>3.5919999999999996</v>
      </c>
      <c r="AK116" s="22">
        <f t="shared" si="217"/>
        <v>572.6591760299624</v>
      </c>
      <c r="AN116" s="1212">
        <f>SUM(AN111:AN112)</f>
        <v>7.98</v>
      </c>
      <c r="AO116" s="22">
        <f t="shared" si="218"/>
        <v>122.16035634743881</v>
      </c>
      <c r="AR116" s="1213">
        <f>SUM(AR111:AR112)</f>
        <v>9.2929999999999993</v>
      </c>
      <c r="AS116" s="316">
        <f t="shared" si="219"/>
        <v>16.453634085213011</v>
      </c>
      <c r="AT116" s="61"/>
      <c r="AV116" s="1213">
        <f>SUM(AV111:AV112)</f>
        <v>0</v>
      </c>
      <c r="AW116" s="316"/>
      <c r="AX116" s="61"/>
      <c r="AZ116" s="1213">
        <f>SUM(AZ111:AZ112)</f>
        <v>0</v>
      </c>
      <c r="BA116" s="316"/>
      <c r="BB116" s="61"/>
      <c r="BD116" s="1213">
        <f>SUM(BD111:BD112)</f>
        <v>0</v>
      </c>
      <c r="BE116" s="316"/>
      <c r="BF116" s="61"/>
      <c r="BH116" s="1213">
        <f>SUM(BH111:BH112)</f>
        <v>0</v>
      </c>
      <c r="BI116" s="316"/>
      <c r="BJ116" s="61"/>
      <c r="BL116" s="1213">
        <f>SUM(BL111:BL112)</f>
        <v>0</v>
      </c>
      <c r="BM116" s="316"/>
      <c r="BN116" s="61"/>
      <c r="BP116" s="1213">
        <f>SUM(BP111:BP112)</f>
        <v>0</v>
      </c>
      <c r="BQ116" s="316"/>
      <c r="BR116" s="61"/>
      <c r="BT116" s="1213">
        <f>SUM(BT111:BT112)</f>
        <v>0</v>
      </c>
      <c r="BU116" s="316"/>
      <c r="BV116" s="61"/>
      <c r="BX116" s="1213">
        <f>SUM(BX111:BX112)</f>
        <v>0</v>
      </c>
      <c r="BY116" s="316"/>
      <c r="BZ116" s="61"/>
      <c r="CB116" s="1213">
        <f>SUM(CB111:CB112)</f>
        <v>0</v>
      </c>
      <c r="CF116" s="1213">
        <f>SUM(CF111:CF112)</f>
        <v>0</v>
      </c>
      <c r="CJ116" s="1213">
        <f>SUM(CJ111:CJ112)</f>
        <v>0</v>
      </c>
      <c r="CN116" s="1213">
        <f>SUM(CN111:CN112)</f>
        <v>0</v>
      </c>
      <c r="CR116" s="1213">
        <f>SUM(CR111:CR112)</f>
        <v>0</v>
      </c>
      <c r="CS116" s="3"/>
      <c r="CT116" s="3"/>
    </row>
    <row r="117" spans="1:103" hidden="1" outlineLevel="1">
      <c r="A117" s="3" t="str">
        <f>$A$16</f>
        <v>9 Mos</v>
      </c>
      <c r="D117" s="1212">
        <f>SUM(D111:D113)</f>
        <v>0</v>
      </c>
      <c r="E117" s="22"/>
      <c r="H117" s="1212">
        <f>SUM(H111:H113)</f>
        <v>0</v>
      </c>
      <c r="I117" s="22"/>
      <c r="L117" s="1212">
        <f>SUM(L111:L113)</f>
        <v>0</v>
      </c>
      <c r="M117" s="22"/>
      <c r="P117" s="1212">
        <f>SUM(P111:P113)</f>
        <v>0</v>
      </c>
      <c r="Q117" s="22"/>
      <c r="T117" s="1212">
        <f>SUM(T111:T113)</f>
        <v>0</v>
      </c>
      <c r="U117" s="22"/>
      <c r="X117" s="1212">
        <f>SUM(X111:X113)</f>
        <v>0</v>
      </c>
      <c r="Y117" s="22"/>
      <c r="AB117" s="1212">
        <f>SUM(AB111:AB113)</f>
        <v>0</v>
      </c>
      <c r="AC117" s="22" t="e">
        <f>IF(X117&lt;0,"       NM",(AB117/X117-1)*100)</f>
        <v>#DIV/0!</v>
      </c>
      <c r="AF117" s="1212">
        <f>SUM(AF111:AF113)</f>
        <v>1.2229999999999999</v>
      </c>
      <c r="AG117" s="22" t="e">
        <f>IF(AB117&lt;0,"       NM",(AF117/AB117-1)*100)</f>
        <v>#DIV/0!</v>
      </c>
      <c r="AJ117" s="1212">
        <f>SUM(AJ111:AJ113)</f>
        <v>5.1859999999999999</v>
      </c>
      <c r="AK117" s="22">
        <f t="shared" si="217"/>
        <v>324.03924775143099</v>
      </c>
      <c r="AN117" s="1212">
        <f>SUM(AN111:AN113)</f>
        <v>13.192</v>
      </c>
      <c r="AO117" s="22">
        <f t="shared" si="218"/>
        <v>154.37716930196683</v>
      </c>
      <c r="AR117" s="1213">
        <f>SUM(AR111:AR113)</f>
        <v>13.533999999999999</v>
      </c>
      <c r="AS117" s="316">
        <f t="shared" si="219"/>
        <v>2.5924802910854972</v>
      </c>
      <c r="AT117" s="61"/>
      <c r="AV117" s="1213">
        <f>SUM(AV111:AV113)</f>
        <v>0</v>
      </c>
      <c r="AW117" s="316"/>
      <c r="AX117" s="61"/>
      <c r="AZ117" s="1213">
        <f>SUM(AZ111:AZ113)</f>
        <v>0</v>
      </c>
      <c r="BA117" s="316"/>
      <c r="BB117" s="61"/>
      <c r="BD117" s="1213">
        <f>SUM(BD111:BD113)</f>
        <v>0</v>
      </c>
      <c r="BE117" s="316"/>
      <c r="BF117" s="61"/>
      <c r="BH117" s="1213">
        <f>SUM(BH111:BH113)</f>
        <v>0</v>
      </c>
      <c r="BI117" s="316"/>
      <c r="BJ117" s="61"/>
      <c r="BL117" s="1213">
        <f>SUM(BL111:BL113)</f>
        <v>0</v>
      </c>
      <c r="BM117" s="316"/>
      <c r="BN117" s="61"/>
      <c r="BP117" s="1213">
        <f>SUM(BP111:BP113)</f>
        <v>0</v>
      </c>
      <c r="BQ117" s="316"/>
      <c r="BR117" s="61"/>
      <c r="BT117" s="1213">
        <f>SUM(BT111:BT113)</f>
        <v>0</v>
      </c>
      <c r="BU117" s="316"/>
      <c r="BV117" s="61"/>
      <c r="BX117" s="1213">
        <f>SUM(BX111:BX113)</f>
        <v>0</v>
      </c>
      <c r="BY117" s="316"/>
      <c r="BZ117" s="61"/>
      <c r="CB117" s="1213">
        <f>SUM(CB111:CB113)</f>
        <v>0</v>
      </c>
      <c r="CF117" s="1213">
        <f>SUM(CF111:CF113)</f>
        <v>0</v>
      </c>
      <c r="CJ117" s="1213">
        <f>SUM(CJ111:CJ113)</f>
        <v>0</v>
      </c>
      <c r="CN117" s="1213">
        <f>SUM(CN111:CN113)</f>
        <v>0</v>
      </c>
      <c r="CR117" s="1213">
        <f>SUM(CR111:CR113)</f>
        <v>0</v>
      </c>
      <c r="CS117" s="3"/>
      <c r="CT117" s="3"/>
    </row>
    <row r="118" spans="1:103" collapsed="1">
      <c r="CR118" s="3"/>
      <c r="CS118" s="3"/>
      <c r="CT118" s="3"/>
    </row>
    <row r="119" spans="1:103">
      <c r="C119" s="1260"/>
      <c r="D119" s="127"/>
      <c r="E119" s="127"/>
      <c r="F119" s="127"/>
      <c r="G119" s="127"/>
      <c r="H119" s="127"/>
      <c r="I119" s="127"/>
      <c r="J119" s="127"/>
      <c r="K119" s="1260"/>
      <c r="L119" s="127"/>
      <c r="M119" s="127"/>
      <c r="N119" s="127"/>
      <c r="O119" s="1273"/>
      <c r="P119" s="1197"/>
      <c r="Q119" s="1197"/>
      <c r="R119" s="127"/>
      <c r="S119" s="1273"/>
      <c r="T119" s="1197"/>
      <c r="U119" s="1197"/>
      <c r="V119" s="127"/>
      <c r="W119" s="1273"/>
      <c r="X119" s="1197"/>
      <c r="Y119" s="1197"/>
      <c r="Z119" s="127"/>
      <c r="AA119" s="1273"/>
      <c r="AB119" s="1197"/>
      <c r="AC119" s="1197"/>
      <c r="AD119" s="127"/>
      <c r="AE119" s="1273"/>
      <c r="AG119" s="127"/>
      <c r="AH119" s="127"/>
      <c r="AI119" s="127"/>
      <c r="AK119" s="127"/>
      <c r="AL119" s="127"/>
      <c r="AM119" s="127"/>
      <c r="AN119" s="1260"/>
      <c r="AO119" s="127"/>
      <c r="AP119" s="127"/>
      <c r="AQ119" s="127"/>
      <c r="AS119" s="1197"/>
      <c r="AT119" s="1197"/>
      <c r="AU119" s="127"/>
      <c r="AV119" s="1273"/>
      <c r="AW119" s="1197"/>
      <c r="AX119" s="1197"/>
      <c r="AY119" s="127"/>
      <c r="AZ119" s="1273"/>
      <c r="BA119" s="1197"/>
      <c r="BB119" s="1197"/>
      <c r="BC119" s="127"/>
      <c r="BD119" s="1273"/>
      <c r="BE119" s="1197"/>
      <c r="BF119" s="1197"/>
      <c r="BG119" s="127"/>
      <c r="BH119" s="1273"/>
      <c r="BI119" s="1197"/>
      <c r="BJ119" s="1197"/>
      <c r="BK119" s="127"/>
      <c r="BL119" s="1260" t="s">
        <v>755</v>
      </c>
      <c r="BM119" s="1197"/>
      <c r="BN119" s="1197"/>
      <c r="BO119" s="127"/>
      <c r="BP119" s="1260" t="s">
        <v>755</v>
      </c>
      <c r="BQ119" s="1197"/>
      <c r="BR119" s="1197"/>
      <c r="BS119" s="127"/>
      <c r="BT119" s="1273"/>
      <c r="BU119" s="1197"/>
      <c r="BV119" s="1197"/>
      <c r="BW119" s="127"/>
      <c r="BX119" s="1260" t="s">
        <v>755</v>
      </c>
      <c r="BY119" s="1197"/>
      <c r="BZ119" s="1197"/>
      <c r="CA119" s="127"/>
      <c r="CB119" s="127"/>
      <c r="CC119" s="127"/>
      <c r="CD119" s="127"/>
      <c r="CE119" s="127"/>
      <c r="CF119" s="127"/>
      <c r="CG119" s="127"/>
      <c r="CH119" s="127"/>
      <c r="CI119" s="127"/>
      <c r="CJ119" s="127"/>
      <c r="CK119" s="127"/>
      <c r="CL119" s="127"/>
      <c r="CM119" s="127"/>
      <c r="CN119" s="127"/>
      <c r="CO119" s="127"/>
      <c r="CP119" s="127"/>
      <c r="CQ119" s="127"/>
      <c r="CR119" s="127"/>
      <c r="CS119" s="127"/>
      <c r="CT119" s="127"/>
      <c r="CU119" s="1197"/>
    </row>
    <row r="120" spans="1:103">
      <c r="AR120" s="61"/>
      <c r="AS120" s="61"/>
      <c r="AT120" s="1183"/>
      <c r="AV120" s="61"/>
      <c r="AW120" s="61"/>
      <c r="AX120" s="1183"/>
      <c r="AZ120" s="61"/>
      <c r="BA120" s="61"/>
      <c r="BB120" s="1183"/>
      <c r="BD120" s="61"/>
      <c r="BE120" s="61"/>
      <c r="BF120" s="1183"/>
      <c r="BH120" s="61"/>
      <c r="BI120" s="61"/>
      <c r="BJ120" s="1183"/>
      <c r="BL120" s="61"/>
      <c r="BM120" s="61"/>
      <c r="BN120" s="1183"/>
      <c r="BQ120" s="61"/>
      <c r="BR120" s="1183"/>
      <c r="BT120" s="61"/>
      <c r="BU120" s="61"/>
      <c r="BV120" s="1183"/>
      <c r="BX120" s="61"/>
      <c r="BY120" s="61"/>
      <c r="BZ120" s="1183"/>
      <c r="CR120" s="3"/>
      <c r="CS120" s="3"/>
      <c r="CT120" s="3"/>
    </row>
    <row r="121" spans="1:103">
      <c r="A121" s="3" t="str">
        <f>$A$10</f>
        <v>1Q</v>
      </c>
      <c r="B121" s="3" t="str">
        <f>$B$10</f>
        <v>Sept</v>
      </c>
      <c r="D121" s="139"/>
      <c r="E121" s="22"/>
      <c r="H121" s="139"/>
      <c r="I121" s="22"/>
      <c r="L121" s="139"/>
      <c r="M121" s="22"/>
      <c r="P121" s="139"/>
      <c r="Q121" s="22"/>
      <c r="T121" s="139"/>
      <c r="U121" s="22"/>
      <c r="X121" s="132">
        <f>+X100+-X111</f>
        <v>2.0489999999999995</v>
      </c>
      <c r="Y121" s="22"/>
      <c r="AB121" s="132">
        <f>+AB100+-AB111</f>
        <v>7.5910000000000197</v>
      </c>
      <c r="AC121" s="22">
        <f t="shared" ref="AC121:AC127" si="220">IF(X121&lt;0,"       NM",(AB121/X121-1)*100)</f>
        <v>270.47340165934708</v>
      </c>
      <c r="AF121" s="132">
        <f>+AF100+-AF111</f>
        <v>12.538</v>
      </c>
      <c r="AG121" s="22">
        <f t="shared" ref="AG121:AG127" si="221">IF(AB121&lt;0,"       NM",(AF121/AB121-1)*100)</f>
        <v>65.169279409826999</v>
      </c>
      <c r="AJ121" s="132">
        <f>+AJ100+-AJ111</f>
        <v>22.47999999999999</v>
      </c>
      <c r="AK121" s="22">
        <f t="shared" ref="AK121:AK127" si="222">IF(AF121&lt;0,"       NM",(AJ121/AF121-1)*100)</f>
        <v>79.29494337214858</v>
      </c>
      <c r="AN121" s="132">
        <f>+AN100+-AN111</f>
        <v>42.328999999999994</v>
      </c>
      <c r="AO121" s="22">
        <f t="shared" ref="AO121:AO127" si="223">IF(AJ121&lt;0,"       NM",(AN121/AJ121-1)*100)</f>
        <v>88.296263345195783</v>
      </c>
      <c r="AR121" s="132">
        <f>+AR100+-AR111</f>
        <v>60.980999999999995</v>
      </c>
      <c r="AS121" s="316">
        <f>IF(AN121&lt;0,"       NM",(AR121/AN121-1)*100)</f>
        <v>44.064353044012393</v>
      </c>
      <c r="AT121" s="61"/>
      <c r="AV121" s="139">
        <f>+AV100+-AV111</f>
        <v>87.887000000000029</v>
      </c>
      <c r="AW121" s="316">
        <f>IF(AR121&lt;0,"       NM",(AV121/AR121-1)*100)</f>
        <v>44.12193962053761</v>
      </c>
      <c r="AX121" s="61"/>
      <c r="AZ121" s="132">
        <f>+AZ100+-AZ111</f>
        <v>115.23900000000005</v>
      </c>
      <c r="BA121" s="316">
        <f t="shared" ref="BA121:BA127" si="224">IF(AV121&lt;0,"       NM",(AZ121/AV121-1)*100)</f>
        <v>31.121781378360858</v>
      </c>
      <c r="BB121" s="61"/>
      <c r="BD121" s="132">
        <f>+BD100+-BD111</f>
        <v>154.786</v>
      </c>
      <c r="BE121" s="316">
        <f>IF(AZ121&lt;0,"       NM",(BD121/AZ121-1)*100)</f>
        <v>34.317375194161649</v>
      </c>
      <c r="BF121" s="61"/>
      <c r="BH121" s="132">
        <f>+BH100+-BH111</f>
        <v>145.81099999999998</v>
      </c>
      <c r="BI121" s="316">
        <f>IF(BD121&lt;0,"       NM",(BH121/BD121-1)*100)</f>
        <v>-5.7983280141615019</v>
      </c>
      <c r="BJ121" s="61"/>
      <c r="BL121" s="132">
        <f>+BL100+-BL111</f>
        <v>140.827</v>
      </c>
      <c r="BM121" s="316">
        <f t="shared" ref="BM121:BM127" si="225">IF(BH121&lt;0,"       NM",(BL121/BH121-1)*100)</f>
        <v>-3.4181234611929012</v>
      </c>
      <c r="BN121" s="61"/>
      <c r="BP121" s="132">
        <f>+BP100+-BP111</f>
        <v>188.87600000000003</v>
      </c>
      <c r="BQ121" s="316">
        <f t="shared" ref="BQ121:BQ127" si="226">IF(BL121&lt;0,"       NM",(BP121/BL121-1)*100)</f>
        <v>34.119167489188882</v>
      </c>
      <c r="BR121" s="61"/>
      <c r="BT121" s="132">
        <f>+BT100+-BT111</f>
        <v>214.98299999999989</v>
      </c>
      <c r="BU121" s="316">
        <f t="shared" ref="BU121:BU127" si="227">IF(BP121&lt;0,"       NM",(BT121/BP121-1)*100)</f>
        <v>13.822296109616804</v>
      </c>
      <c r="BV121" s="61"/>
      <c r="BX121" s="132">
        <f>+BX100+-BX111</f>
        <v>221.38099999999986</v>
      </c>
      <c r="BY121" s="316">
        <f t="shared" ref="BY121:BY127" si="228">IF(BT121&lt;0,"       NM",(BX121/BT121-1)*100)</f>
        <v>2.97604926901196</v>
      </c>
      <c r="BZ121" s="61"/>
      <c r="CB121" s="132">
        <f>+CB100+-CB111</f>
        <v>217.88299999999992</v>
      </c>
      <c r="CC121" s="316">
        <f t="shared" ref="CC121:CC127" si="229">IF(BX121&lt;0,"       NM",(CB121/BX121-1)*100)</f>
        <v>-1.5800813981326045</v>
      </c>
      <c r="CF121" s="132">
        <f>+CF100+-CF111</f>
        <v>145.79999999999995</v>
      </c>
      <c r="CG121" s="316">
        <f t="shared" ref="CG121:CG127" si="230">IF(CB121&lt;0,"       NM",(CF121/CB121-1)*100)</f>
        <v>-33.083352074278395</v>
      </c>
      <c r="CJ121" s="132">
        <f>+CJ100+-CJ111</f>
        <v>113.09999999999989</v>
      </c>
      <c r="CK121" s="316">
        <f t="shared" ref="CK121:CK127" si="231">IF(CF121&lt;0,"       NM",(CJ121/CF121-1)*100)</f>
        <v>-22.427983539094697</v>
      </c>
      <c r="CN121" s="132">
        <f>+CN100+-CN111</f>
        <v>125.99999999999997</v>
      </c>
      <c r="CO121" s="316">
        <f t="shared" ref="CO121:CO127" si="232">IF(CJ121&lt;0,"       NM",(CN121/CJ121-1)*100)</f>
        <v>11.405835543766663</v>
      </c>
      <c r="CR121" s="132">
        <f>+CR100+-CR111</f>
        <v>119.70000000000007</v>
      </c>
      <c r="CS121" s="316">
        <f t="shared" ref="CS121:CS127" si="233">IF(CN121&lt;0,"       NM",(CR121/CN121-1)*100)</f>
        <v>-4.9999999999999156</v>
      </c>
      <c r="CT121" s="3"/>
    </row>
    <row r="122" spans="1:103">
      <c r="A122" s="3" t="str">
        <f>$A$11</f>
        <v>2Q</v>
      </c>
      <c r="B122" s="3" t="str">
        <f>$B$11</f>
        <v>Dec</v>
      </c>
      <c r="D122" s="153"/>
      <c r="E122" s="22"/>
      <c r="H122" s="153"/>
      <c r="I122" s="22"/>
      <c r="L122" s="153"/>
      <c r="M122" s="22"/>
      <c r="P122" s="153"/>
      <c r="Q122" s="22"/>
      <c r="T122" s="153"/>
      <c r="U122" s="22"/>
      <c r="X122" s="151">
        <f>+X101+-X112</f>
        <v>28.261999999999983</v>
      </c>
      <c r="Y122" s="22"/>
      <c r="AB122" s="151">
        <f>+AB101+-AB112</f>
        <v>39.204000000000001</v>
      </c>
      <c r="AC122" s="22">
        <f t="shared" si="220"/>
        <v>38.716297501946158</v>
      </c>
      <c r="AF122" s="151">
        <f>+AF101+-AF112</f>
        <v>44.16599999999999</v>
      </c>
      <c r="AG122" s="22">
        <f t="shared" si="221"/>
        <v>12.656871747780807</v>
      </c>
      <c r="AJ122" s="151">
        <f>+AJ101+-AJ112</f>
        <v>62.43100000000004</v>
      </c>
      <c r="AK122" s="22">
        <f t="shared" si="222"/>
        <v>41.355341212697681</v>
      </c>
      <c r="AN122" s="151">
        <f>+AN101+-AN112</f>
        <v>95.437999999999988</v>
      </c>
      <c r="AO122" s="22">
        <f t="shared" si="223"/>
        <v>52.869568003075273</v>
      </c>
      <c r="AR122" s="151">
        <f>+AR101+-AR112</f>
        <v>126.90300000000001</v>
      </c>
      <c r="AS122" s="316">
        <f t="shared" ref="AS122:AS127" si="234">IF(AN122&lt;0,"       NM",(AR122/AN122-1)*100)</f>
        <v>32.969047968314527</v>
      </c>
      <c r="AT122" s="61"/>
      <c r="AV122" s="153">
        <f>+AV101+-AV112</f>
        <v>161.68999999999997</v>
      </c>
      <c r="AW122" s="316">
        <f t="shared" ref="AW122:AW127" si="235">IF(AR122&lt;0,"       NM",(AV122/AR122-1)*100)</f>
        <v>27.412275517521234</v>
      </c>
      <c r="AX122" s="61"/>
      <c r="AZ122" s="151">
        <f>+AZ101+-AZ112</f>
        <v>214.49699999999996</v>
      </c>
      <c r="BA122" s="316">
        <f t="shared" si="224"/>
        <v>32.659409982064446</v>
      </c>
      <c r="BB122" s="61"/>
      <c r="BD122" s="151">
        <f>+BD101+-BD112</f>
        <v>252.31700000000004</v>
      </c>
      <c r="BE122" s="316">
        <f t="shared" ref="BE122:BE127" si="236">IF(AZ122&lt;0,"       NM",(BD122/AZ122-1)*100)</f>
        <v>17.63194823237626</v>
      </c>
      <c r="BF122" s="61"/>
      <c r="BH122" s="151">
        <f>+BH101+-BH112</f>
        <v>216.90599999999992</v>
      </c>
      <c r="BI122" s="316">
        <f t="shared" ref="BI122:BI127" si="237">IF(BD122&lt;0,"       NM",(BH122/BD122-1)*100)</f>
        <v>-14.034329831125181</v>
      </c>
      <c r="BJ122" s="61"/>
      <c r="BL122" s="151">
        <f>+BL101+-BL112</f>
        <v>240.95000000000013</v>
      </c>
      <c r="BM122" s="316">
        <f t="shared" si="225"/>
        <v>11.084986123021135</v>
      </c>
      <c r="BN122" s="61"/>
      <c r="BP122" s="151">
        <f>+BP101+-BP112</f>
        <v>303.42800000000011</v>
      </c>
      <c r="BQ122" s="316">
        <f t="shared" si="226"/>
        <v>25.929860967005581</v>
      </c>
      <c r="BR122" s="61"/>
      <c r="BT122" s="151">
        <f>+BT101+-BT112</f>
        <v>347.49499999999989</v>
      </c>
      <c r="BU122" s="316">
        <f t="shared" si="227"/>
        <v>14.523049949246536</v>
      </c>
      <c r="BV122" s="61"/>
      <c r="BX122" s="151">
        <f>+BX101+-BX112</f>
        <v>352.76399999999984</v>
      </c>
      <c r="BY122" s="316">
        <f t="shared" si="228"/>
        <v>1.5162808097958003</v>
      </c>
      <c r="BZ122" s="61"/>
      <c r="CB122" s="151">
        <f>+CB101+-CB112</f>
        <v>297.4380000000001</v>
      </c>
      <c r="CC122" s="316">
        <f t="shared" si="229"/>
        <v>-15.683573153723106</v>
      </c>
      <c r="CF122" s="151">
        <f>+CF101+-CF112</f>
        <v>200.2000000000001</v>
      </c>
      <c r="CG122" s="316">
        <f t="shared" si="230"/>
        <v>-32.691855109300086</v>
      </c>
      <c r="CJ122" s="151">
        <f>+CJ101+-CJ112</f>
        <v>188.39999999999986</v>
      </c>
      <c r="CK122" s="316">
        <f t="shared" si="231"/>
        <v>-5.8941058941060049</v>
      </c>
      <c r="CN122" s="151">
        <f>+CN101+-CN112</f>
        <v>211.20000000000016</v>
      </c>
      <c r="CO122" s="316">
        <f t="shared" si="232"/>
        <v>12.101910828025652</v>
      </c>
      <c r="CR122" s="151">
        <f>+CR101+-CR112</f>
        <v>306.19999999999993</v>
      </c>
      <c r="CS122" s="316">
        <f t="shared" si="233"/>
        <v>44.981060606060467</v>
      </c>
      <c r="CT122" s="3"/>
    </row>
    <row r="123" spans="1:103">
      <c r="A123" s="3" t="str">
        <f>$A$12</f>
        <v>3Q</v>
      </c>
      <c r="B123" s="3" t="str">
        <f>$B$12</f>
        <v>Mar</v>
      </c>
      <c r="D123" s="153"/>
      <c r="E123" s="22"/>
      <c r="H123" s="153"/>
      <c r="I123" s="22"/>
      <c r="L123" s="153"/>
      <c r="M123" s="22"/>
      <c r="P123" s="153"/>
      <c r="Q123" s="22"/>
      <c r="T123" s="153"/>
      <c r="U123" s="22"/>
      <c r="X123" s="151">
        <f>+X102+-X113</f>
        <v>3.0339999999999936</v>
      </c>
      <c r="Y123" s="22"/>
      <c r="AB123" s="151">
        <f>+AB102+-AB113</f>
        <v>7.9930000000000136</v>
      </c>
      <c r="AC123" s="22">
        <f t="shared" si="220"/>
        <v>163.44759393539982</v>
      </c>
      <c r="AF123" s="151">
        <f>+AF102+-AF113</f>
        <v>11.816999999999993</v>
      </c>
      <c r="AG123" s="22">
        <f t="shared" si="221"/>
        <v>47.841861628924967</v>
      </c>
      <c r="AJ123" s="151">
        <f>+AJ102+-AJ113</f>
        <v>31.852999999999987</v>
      </c>
      <c r="AK123" s="22">
        <f t="shared" si="222"/>
        <v>169.55233984936959</v>
      </c>
      <c r="AN123" s="151">
        <f>+AN102+-AN113</f>
        <v>58.311000000000007</v>
      </c>
      <c r="AO123" s="22">
        <f t="shared" si="223"/>
        <v>83.062819828587678</v>
      </c>
      <c r="AR123" s="151">
        <f>+AR102+-AR113</f>
        <v>80.872</v>
      </c>
      <c r="AS123" s="316">
        <f t="shared" si="234"/>
        <v>38.690813054140705</v>
      </c>
      <c r="AT123" s="61"/>
      <c r="AV123" s="151">
        <f>+AV102+-AV113</f>
        <v>101.67200000000001</v>
      </c>
      <c r="AW123" s="316">
        <f t="shared" si="235"/>
        <v>25.719655752299953</v>
      </c>
      <c r="AX123" s="61"/>
      <c r="AZ123" s="151">
        <f>+AZ102+-AZ113</f>
        <v>147.38999999999996</v>
      </c>
      <c r="BA123" s="316">
        <f t="shared" si="224"/>
        <v>44.966165709339776</v>
      </c>
      <c r="BB123" s="61"/>
      <c r="BD123" s="151">
        <f>+BD102+-BD113</f>
        <v>162.41200000000003</v>
      </c>
      <c r="BE123" s="316">
        <f t="shared" si="236"/>
        <v>10.192007598887365</v>
      </c>
      <c r="BF123" s="61"/>
      <c r="BH123" s="151">
        <f>+BH102+-BH113</f>
        <v>123.25899999999997</v>
      </c>
      <c r="BI123" s="316">
        <f t="shared" si="237"/>
        <v>-24.107208826934002</v>
      </c>
      <c r="BJ123" s="61"/>
      <c r="BL123" s="151">
        <f>+BL102+-BL113</f>
        <v>157.63600000000008</v>
      </c>
      <c r="BM123" s="316">
        <f t="shared" si="225"/>
        <v>27.890052653356044</v>
      </c>
      <c r="BN123" s="61"/>
      <c r="BP123" s="151">
        <f>+BP102+-BP113</f>
        <v>186.01499999999999</v>
      </c>
      <c r="BQ123" s="316">
        <f t="shared" si="226"/>
        <v>18.002867365322572</v>
      </c>
      <c r="BR123" s="61"/>
      <c r="BT123" s="151">
        <f>+BT102+-BT113</f>
        <v>225.00200000000001</v>
      </c>
      <c r="BU123" s="316">
        <f t="shared" si="227"/>
        <v>20.959062441200981</v>
      </c>
      <c r="BV123" s="61"/>
      <c r="BX123" s="151">
        <f>+BX102+-BX113</f>
        <v>238.93199999999996</v>
      </c>
      <c r="BY123" s="316">
        <f t="shared" si="228"/>
        <v>6.1910560795015002</v>
      </c>
      <c r="BZ123" s="61"/>
      <c r="CB123" s="151">
        <f>+CB102+-CB113</f>
        <v>190.73999999999995</v>
      </c>
      <c r="CC123" s="316">
        <f t="shared" si="229"/>
        <v>-20.169755411581548</v>
      </c>
      <c r="CF123" s="151">
        <f>+CF102+-CF113</f>
        <v>100.20000000000002</v>
      </c>
      <c r="CG123" s="316">
        <f t="shared" si="230"/>
        <v>-47.46775715633845</v>
      </c>
      <c r="CJ123" s="151">
        <f>+CJ102+-CJ113</f>
        <v>124.09999999999972</v>
      </c>
      <c r="CK123" s="316">
        <f t="shared" si="231"/>
        <v>23.852295409181345</v>
      </c>
      <c r="CN123" s="151">
        <f>+CN102+-CN113</f>
        <v>130.30000000000001</v>
      </c>
      <c r="CO123" s="316">
        <f t="shared" si="232"/>
        <v>4.9959709911364225</v>
      </c>
      <c r="CR123" s="151">
        <f>+CR102+-CR113</f>
        <v>138.63907872126188</v>
      </c>
      <c r="CS123" s="316">
        <f t="shared" si="233"/>
        <v>6.399906923455001</v>
      </c>
      <c r="CT123" s="3"/>
    </row>
    <row r="124" spans="1:103">
      <c r="A124" s="3" t="str">
        <f>$A$13</f>
        <v>4Q</v>
      </c>
      <c r="B124" s="3" t="str">
        <f>$B$13</f>
        <v>June</v>
      </c>
      <c r="D124" s="1274"/>
      <c r="E124" s="22"/>
      <c r="H124" s="1274"/>
      <c r="I124" s="22"/>
      <c r="L124" s="1274"/>
      <c r="M124" s="22"/>
      <c r="P124" s="1274"/>
      <c r="Q124" s="22"/>
      <c r="T124" s="1274"/>
      <c r="U124" s="22"/>
      <c r="X124" s="1209">
        <f>+X103+-X114</f>
        <v>5.2579999999999973</v>
      </c>
      <c r="Y124" s="22"/>
      <c r="AB124" s="1209">
        <f>+AB103+-AB114</f>
        <v>9.2419999999999831</v>
      </c>
      <c r="AC124" s="22">
        <f t="shared" si="220"/>
        <v>75.770254849752533</v>
      </c>
      <c r="AF124" s="1209">
        <f>+AF103+-AF114</f>
        <v>17.30599999999999</v>
      </c>
      <c r="AG124" s="22">
        <f t="shared" si="221"/>
        <v>87.253841159922345</v>
      </c>
      <c r="AJ124" s="1209">
        <f>+AJ103+-AJ114</f>
        <v>29.863999999999987</v>
      </c>
      <c r="AK124" s="22">
        <f t="shared" si="222"/>
        <v>72.564428521899941</v>
      </c>
      <c r="AN124" s="1209">
        <f>+AN103+-AN114</f>
        <v>65.669999999999959</v>
      </c>
      <c r="AO124" s="22">
        <f t="shared" si="223"/>
        <v>119.89686579158851</v>
      </c>
      <c r="AR124" s="1209">
        <f>+AR103+-AR114</f>
        <v>89.856000000000023</v>
      </c>
      <c r="AS124" s="316">
        <f t="shared" si="234"/>
        <v>36.829602558245902</v>
      </c>
      <c r="AT124" s="61"/>
      <c r="AV124" s="1274">
        <f>+AV103+-AV114</f>
        <v>112.79499999999997</v>
      </c>
      <c r="AW124" s="316">
        <f t="shared" si="235"/>
        <v>25.528623575498521</v>
      </c>
      <c r="AX124" s="61"/>
      <c r="AZ124" s="1209">
        <f>+AZ103+-AZ114</f>
        <v>159.40300000000002</v>
      </c>
      <c r="BA124" s="316">
        <f t="shared" si="224"/>
        <v>41.320980539917599</v>
      </c>
      <c r="BB124" s="61"/>
      <c r="BD124" s="1209">
        <f>+BD103+-BD114</f>
        <v>172.48700000000002</v>
      </c>
      <c r="BE124" s="316">
        <f t="shared" si="236"/>
        <v>8.2081265722727892</v>
      </c>
      <c r="BF124" s="61"/>
      <c r="BH124" s="1209">
        <f>+BH103+-BH114</f>
        <v>136.26599999999999</v>
      </c>
      <c r="BI124" s="316">
        <f t="shared" si="237"/>
        <v>-20.999263712627638</v>
      </c>
      <c r="BJ124" s="61"/>
      <c r="BL124" s="1209">
        <f>+BL103+-BL114</f>
        <v>195.52700000000004</v>
      </c>
      <c r="BM124" s="316">
        <f t="shared" si="225"/>
        <v>43.489204937401894</v>
      </c>
      <c r="BN124" s="61"/>
      <c r="BP124" s="1209">
        <f>+BP103+-BP114</f>
        <v>202.48099999999999</v>
      </c>
      <c r="BQ124" s="316">
        <f t="shared" si="226"/>
        <v>3.5565420632444278</v>
      </c>
      <c r="BR124" s="61"/>
      <c r="BT124" s="1209">
        <f>+BT103+-BT114</f>
        <v>251.43000000000006</v>
      </c>
      <c r="BU124" s="316">
        <f t="shared" si="227"/>
        <v>24.174613914391998</v>
      </c>
      <c r="BV124" s="61"/>
      <c r="BX124" s="1209">
        <f>+BX103+-BX114</f>
        <v>253.91100000000012</v>
      </c>
      <c r="BY124" s="316">
        <f t="shared" si="228"/>
        <v>0.98675575706959062</v>
      </c>
      <c r="BZ124" s="61"/>
      <c r="CB124" s="1209">
        <f>+CB103+-CB114</f>
        <v>163.55599999999984</v>
      </c>
      <c r="CC124" s="316">
        <f t="shared" si="229"/>
        <v>-35.585303511860545</v>
      </c>
      <c r="CF124" s="1209">
        <f>+CF103+-CF114</f>
        <v>85.000000000000142</v>
      </c>
      <c r="CG124" s="316">
        <f t="shared" si="230"/>
        <v>-48.030032527085389</v>
      </c>
      <c r="CJ124" s="1209">
        <f>+CJ103+-CJ114</f>
        <v>126.09999999999984</v>
      </c>
      <c r="CK124" s="316">
        <f t="shared" si="231"/>
        <v>48.352941176470154</v>
      </c>
      <c r="CN124" s="1209">
        <f>+CN103+-CN114</f>
        <v>141.71999999999997</v>
      </c>
      <c r="CO124" s="316">
        <f t="shared" si="232"/>
        <v>12.386994448850231</v>
      </c>
      <c r="CR124" s="1209">
        <f>+CR103+-CR114</f>
        <v>163.3451898271542</v>
      </c>
      <c r="CS124" s="316">
        <f t="shared" si="233"/>
        <v>15.259095277416201</v>
      </c>
      <c r="CT124" s="3"/>
    </row>
    <row r="125" spans="1:103">
      <c r="B125" s="3" t="str">
        <f>$B$14</f>
        <v>Year</v>
      </c>
      <c r="D125" s="1210">
        <f>D84-D94+D115</f>
        <v>36.969000000000015</v>
      </c>
      <c r="H125" s="1210">
        <f>H84-H94</f>
        <v>42.86</v>
      </c>
      <c r="I125" s="22">
        <f>IF(D125&lt;0,"       NM",(H125/D125-1)*100)</f>
        <v>15.934972544564307</v>
      </c>
      <c r="L125" s="1210">
        <f>L84-L94</f>
        <v>32.131999999999948</v>
      </c>
      <c r="M125" s="22">
        <f>IF(H125&lt;0,"       NM",(L125/H125-1)*100)</f>
        <v>-25.030331311246034</v>
      </c>
      <c r="P125" s="1210">
        <f>P84-P94</f>
        <v>20.596999999999976</v>
      </c>
      <c r="Q125" s="22">
        <f>IF(L125&lt;0,"       NM",(P125/L125-1)*100)</f>
        <v>-35.898792481015782</v>
      </c>
      <c r="T125" s="1210">
        <f>T84-T94</f>
        <v>16.715000000000025</v>
      </c>
      <c r="U125" s="22">
        <f>IF(P125&lt;0,"       NM",(T125/P125-1)*100)</f>
        <v>-18.847404961887438</v>
      </c>
      <c r="X125" s="1210">
        <f>SUM(X121:X124)</f>
        <v>38.602999999999973</v>
      </c>
      <c r="Y125" s="22">
        <f>IF(T125&lt;0,"       NM",(X125/T125-1)*100)</f>
        <v>130.94825007478264</v>
      </c>
      <c r="AB125" s="1210">
        <f>SUM(AB121:AB124)</f>
        <v>64.03000000000003</v>
      </c>
      <c r="AC125" s="22">
        <f t="shared" si="220"/>
        <v>65.867937725047469</v>
      </c>
      <c r="AF125" s="1210">
        <f>SUM(AF121:AF124)</f>
        <v>85.82699999999997</v>
      </c>
      <c r="AG125" s="22">
        <f t="shared" si="221"/>
        <v>34.041855380290386</v>
      </c>
      <c r="AJ125" s="1210">
        <f>SUM(AJ121:AJ124)</f>
        <v>146.62799999999999</v>
      </c>
      <c r="AK125" s="22">
        <f t="shared" si="222"/>
        <v>70.841343633122491</v>
      </c>
      <c r="AN125" s="1210">
        <f>SUM(AN121:AN124)</f>
        <v>261.74799999999993</v>
      </c>
      <c r="AO125" s="22">
        <f t="shared" si="223"/>
        <v>78.511607605641458</v>
      </c>
      <c r="AR125" s="1211">
        <f>SUM(AR121:AR124)</f>
        <v>358.61200000000008</v>
      </c>
      <c r="AS125" s="316">
        <f t="shared" si="234"/>
        <v>37.006586487766938</v>
      </c>
      <c r="AT125" s="61"/>
      <c r="AV125" s="1211">
        <f>SUM(AV121:AV124)</f>
        <v>464.04399999999998</v>
      </c>
      <c r="AW125" s="316">
        <f t="shared" si="235"/>
        <v>29.40002007740954</v>
      </c>
      <c r="AX125" s="61"/>
      <c r="AZ125" s="1211">
        <f>SUM(AZ121:AZ124)</f>
        <v>636.529</v>
      </c>
      <c r="BA125" s="316">
        <f t="shared" si="224"/>
        <v>37.169966641094376</v>
      </c>
      <c r="BB125" s="61"/>
      <c r="BD125" s="1211">
        <f>SUM(BD121:BD124)</f>
        <v>742.00200000000018</v>
      </c>
      <c r="BE125" s="316">
        <f t="shared" si="236"/>
        <v>16.570022732664214</v>
      </c>
      <c r="BF125" s="61"/>
      <c r="BH125" s="1211">
        <f>SUM(BH121:BH124)</f>
        <v>622.24199999999985</v>
      </c>
      <c r="BI125" s="316">
        <f t="shared" si="237"/>
        <v>-16.140118220705645</v>
      </c>
      <c r="BJ125" s="61"/>
      <c r="BL125" s="1211">
        <f>SUM(BL121:BL124)</f>
        <v>734.94000000000028</v>
      </c>
      <c r="BM125" s="316">
        <f t="shared" si="225"/>
        <v>18.111602881194202</v>
      </c>
      <c r="BN125" s="61"/>
      <c r="BP125" s="1211">
        <f>SUM(BP121:BP124)</f>
        <v>880.80000000000018</v>
      </c>
      <c r="BQ125" s="316">
        <f t="shared" si="226"/>
        <v>19.846518083108798</v>
      </c>
      <c r="BR125" s="61"/>
      <c r="BT125" s="1211">
        <f>SUM(BT121:BT124)</f>
        <v>1038.9099999999999</v>
      </c>
      <c r="BU125" s="316">
        <f t="shared" si="227"/>
        <v>17.950726612170719</v>
      </c>
      <c r="BV125" s="61"/>
      <c r="BX125" s="1211">
        <f>SUM(BX121:BX124)</f>
        <v>1066.9879999999998</v>
      </c>
      <c r="BY125" s="316">
        <f t="shared" si="228"/>
        <v>2.7026402672031269</v>
      </c>
      <c r="BZ125" s="61"/>
      <c r="CB125" s="1211">
        <f>SUM(CB121:CB124)</f>
        <v>869.61699999999973</v>
      </c>
      <c r="CC125" s="316">
        <f t="shared" si="229"/>
        <v>-18.497958739929608</v>
      </c>
      <c r="CF125" s="1211">
        <f>SUM(CF121:CF124)</f>
        <v>531.20000000000016</v>
      </c>
      <c r="CG125" s="316">
        <f t="shared" si="230"/>
        <v>-38.915637573782448</v>
      </c>
      <c r="CJ125" s="1211">
        <f>SUM(CJ121:CJ124)</f>
        <v>551.69999999999936</v>
      </c>
      <c r="CK125" s="316">
        <f t="shared" si="231"/>
        <v>3.8591867469877972</v>
      </c>
      <c r="CN125" s="1211">
        <f>SUM(CN121:CN124)</f>
        <v>609.22000000000014</v>
      </c>
      <c r="CO125" s="316">
        <f t="shared" si="232"/>
        <v>10.425956135581082</v>
      </c>
      <c r="CR125" s="1211">
        <f>SUM(CR121:CR124)</f>
        <v>727.884268548416</v>
      </c>
      <c r="CS125" s="316">
        <f t="shared" si="233"/>
        <v>19.478065156826084</v>
      </c>
      <c r="CT125" s="3"/>
      <c r="CV125" s="154"/>
      <c r="CW125" s="154"/>
      <c r="CX125" s="154"/>
      <c r="CY125" s="154"/>
    </row>
    <row r="126" spans="1:103" hidden="1" outlineLevel="1">
      <c r="A126" s="3" t="str">
        <f>$A$15</f>
        <v>6 Mos</v>
      </c>
      <c r="D126" s="1212">
        <f>SUM(D121:D122)</f>
        <v>0</v>
      </c>
      <c r="E126" s="22"/>
      <c r="H126" s="1212">
        <f>SUM(H121:H122)</f>
        <v>0</v>
      </c>
      <c r="I126" s="22"/>
      <c r="L126" s="1212">
        <f>SUM(L121:L122)</f>
        <v>0</v>
      </c>
      <c r="M126" s="22"/>
      <c r="P126" s="1212">
        <f>SUM(P121:P122)</f>
        <v>0</v>
      </c>
      <c r="Q126" s="22"/>
      <c r="T126" s="1212">
        <f>SUM(T121:T122)</f>
        <v>0</v>
      </c>
      <c r="U126" s="22"/>
      <c r="X126" s="1212">
        <f>SUM(X121:X122)</f>
        <v>30.310999999999982</v>
      </c>
      <c r="Y126" s="22"/>
      <c r="AB126" s="1212">
        <f>SUM(AB121:AB122)</f>
        <v>46.795000000000023</v>
      </c>
      <c r="AC126" s="22">
        <f t="shared" si="220"/>
        <v>54.382897298010782</v>
      </c>
      <c r="AF126" s="1212">
        <f>SUM(AF121:AF122)</f>
        <v>56.703999999999994</v>
      </c>
      <c r="AG126" s="22">
        <f t="shared" si="221"/>
        <v>21.17533924564583</v>
      </c>
      <c r="AJ126" s="1212">
        <f>SUM(AJ121:AJ122)</f>
        <v>84.91100000000003</v>
      </c>
      <c r="AK126" s="22">
        <f t="shared" si="222"/>
        <v>49.744286117381556</v>
      </c>
      <c r="AN126" s="1212">
        <f>SUM(AN121:AN122)</f>
        <v>137.767</v>
      </c>
      <c r="AO126" s="22">
        <f t="shared" si="223"/>
        <v>62.248707470174594</v>
      </c>
      <c r="AR126" s="1213">
        <f>SUM(AR121:AR122)</f>
        <v>187.88400000000001</v>
      </c>
      <c r="AS126" s="316">
        <f t="shared" si="234"/>
        <v>36.37808764072674</v>
      </c>
      <c r="AT126" s="61"/>
      <c r="AV126" s="1213">
        <f>SUM(AV121:AV122)</f>
        <v>249.577</v>
      </c>
      <c r="AW126" s="316">
        <f t="shared" si="235"/>
        <v>32.835685848715144</v>
      </c>
      <c r="AX126" s="61"/>
      <c r="AZ126" s="1213">
        <f>SUM(AZ121:AZ122)</f>
        <v>329.73599999999999</v>
      </c>
      <c r="BA126" s="316">
        <f t="shared" si="224"/>
        <v>32.117943560504372</v>
      </c>
      <c r="BB126" s="61"/>
      <c r="BD126" s="1213">
        <f>SUM(BD121:BD122)</f>
        <v>407.10300000000007</v>
      </c>
      <c r="BE126" s="316">
        <f t="shared" si="236"/>
        <v>23.463316107431421</v>
      </c>
      <c r="BF126" s="61"/>
      <c r="BH126" s="1213">
        <f>SUM(BH121:BH122)</f>
        <v>362.71699999999987</v>
      </c>
      <c r="BI126" s="316">
        <f t="shared" si="237"/>
        <v>-10.902891897136646</v>
      </c>
      <c r="BJ126" s="61"/>
      <c r="BL126" s="1213">
        <f>SUM(BL121:BL122)</f>
        <v>381.77700000000016</v>
      </c>
      <c r="BM126" s="316">
        <f t="shared" si="225"/>
        <v>5.2547854112159786</v>
      </c>
      <c r="BN126" s="61"/>
      <c r="BP126" s="1213">
        <f>SUM(BP121:BP122)</f>
        <v>492.30400000000014</v>
      </c>
      <c r="BQ126" s="316">
        <f t="shared" si="226"/>
        <v>28.95067015561439</v>
      </c>
      <c r="BR126" s="61"/>
      <c r="BT126" s="1213">
        <f>SUM(BT121:BT122)</f>
        <v>562.47799999999984</v>
      </c>
      <c r="BU126" s="316">
        <f t="shared" si="227"/>
        <v>14.254200656504867</v>
      </c>
      <c r="BV126" s="61"/>
      <c r="BX126" s="1213">
        <f>SUM(BX121:BX122)</f>
        <v>574.14499999999975</v>
      </c>
      <c r="BY126" s="316">
        <f t="shared" si="228"/>
        <v>2.0742144581654687</v>
      </c>
      <c r="BZ126" s="61"/>
      <c r="CB126" s="1213">
        <f>SUM(CB121:CB122)</f>
        <v>515.32100000000003</v>
      </c>
      <c r="CC126" s="316">
        <f t="shared" si="229"/>
        <v>-10.245495475881484</v>
      </c>
      <c r="CF126" s="1213">
        <f>SUM(CF121:CF122)</f>
        <v>346.00000000000006</v>
      </c>
      <c r="CG126" s="316">
        <f t="shared" si="230"/>
        <v>-32.857384038298456</v>
      </c>
      <c r="CJ126" s="1213">
        <f>SUM(CJ121:CJ122)</f>
        <v>301.49999999999977</v>
      </c>
      <c r="CK126" s="316">
        <f t="shared" si="231"/>
        <v>-12.861271676300657</v>
      </c>
      <c r="CN126" s="1213">
        <f>SUM(CN121:CN122)</f>
        <v>337.20000000000016</v>
      </c>
      <c r="CO126" s="316">
        <f t="shared" si="232"/>
        <v>11.840796019900646</v>
      </c>
      <c r="CR126" s="1213">
        <f>SUM(CR121:CR122)</f>
        <v>425.9</v>
      </c>
      <c r="CS126" s="316">
        <f t="shared" si="233"/>
        <v>26.304863582443595</v>
      </c>
      <c r="CT126" s="3"/>
      <c r="CV126" s="154"/>
      <c r="CW126" s="154"/>
      <c r="CX126" s="154"/>
      <c r="CY126" s="154"/>
    </row>
    <row r="127" spans="1:103" hidden="1" outlineLevel="1">
      <c r="A127" s="3" t="str">
        <f>$A$16</f>
        <v>9 Mos</v>
      </c>
      <c r="D127" s="1212">
        <f>SUM(D121:D123)</f>
        <v>0</v>
      </c>
      <c r="E127" s="22"/>
      <c r="H127" s="1212">
        <f>SUM(H121:H123)</f>
        <v>0</v>
      </c>
      <c r="I127" s="22"/>
      <c r="L127" s="1212">
        <f>SUM(L121:L123)</f>
        <v>0</v>
      </c>
      <c r="M127" s="22"/>
      <c r="P127" s="1212">
        <f>SUM(P121:P123)</f>
        <v>0</v>
      </c>
      <c r="Q127" s="22"/>
      <c r="T127" s="1212">
        <f>SUM(T121:T123)</f>
        <v>0</v>
      </c>
      <c r="U127" s="22"/>
      <c r="X127" s="1212">
        <f>SUM(X121:X123)</f>
        <v>33.344999999999978</v>
      </c>
      <c r="Y127" s="22"/>
      <c r="AB127" s="1212">
        <f>SUM(AB121:AB123)</f>
        <v>54.788000000000039</v>
      </c>
      <c r="AC127" s="22">
        <f t="shared" si="220"/>
        <v>64.306492727545589</v>
      </c>
      <c r="AF127" s="1212">
        <f>SUM(AF121:AF123)</f>
        <v>68.520999999999987</v>
      </c>
      <c r="AG127" s="22">
        <f t="shared" si="221"/>
        <v>25.065707819230365</v>
      </c>
      <c r="AJ127" s="1212">
        <f>SUM(AJ121:AJ123)</f>
        <v>116.76400000000001</v>
      </c>
      <c r="AK127" s="22">
        <f t="shared" si="222"/>
        <v>70.406152858247893</v>
      </c>
      <c r="AN127" s="1212">
        <f>SUM(AN121:AN123)</f>
        <v>196.078</v>
      </c>
      <c r="AO127" s="22">
        <f t="shared" si="223"/>
        <v>67.926758247405019</v>
      </c>
      <c r="AR127" s="1213">
        <f>SUM(AR121:AR123)</f>
        <v>268.75600000000003</v>
      </c>
      <c r="AS127" s="316">
        <f t="shared" si="234"/>
        <v>37.065861544895419</v>
      </c>
      <c r="AT127" s="61"/>
      <c r="AV127" s="1213">
        <f>SUM(AV121:AV123)</f>
        <v>351.24900000000002</v>
      </c>
      <c r="AW127" s="316">
        <f t="shared" si="235"/>
        <v>30.69438449746238</v>
      </c>
      <c r="AX127" s="61"/>
      <c r="AZ127" s="1213">
        <f>SUM(AZ121:AZ123)</f>
        <v>477.12599999999998</v>
      </c>
      <c r="BA127" s="316">
        <f t="shared" si="224"/>
        <v>35.83697035436397</v>
      </c>
      <c r="BB127" s="61"/>
      <c r="BD127" s="1213">
        <f>SUM(BD121:BD123)</f>
        <v>569.5150000000001</v>
      </c>
      <c r="BE127" s="316">
        <f t="shared" si="236"/>
        <v>19.363648176791905</v>
      </c>
      <c r="BF127" s="61"/>
      <c r="BH127" s="1213">
        <f>SUM(BH121:BH123)</f>
        <v>485.97599999999983</v>
      </c>
      <c r="BI127" s="316">
        <f t="shared" si="237"/>
        <v>-14.668445958403243</v>
      </c>
      <c r="BJ127" s="61"/>
      <c r="BL127" s="1213">
        <f>SUM(BL121:BL123)</f>
        <v>539.41300000000024</v>
      </c>
      <c r="BM127" s="316">
        <f t="shared" si="225"/>
        <v>10.995810492699309</v>
      </c>
      <c r="BN127" s="61"/>
      <c r="BP127" s="1213">
        <f>SUM(BP121:BP123)</f>
        <v>678.31900000000019</v>
      </c>
      <c r="BQ127" s="316">
        <f t="shared" si="226"/>
        <v>25.751325978424667</v>
      </c>
      <c r="BR127" s="61"/>
      <c r="BT127" s="1213">
        <f>SUM(BT121:BT123)</f>
        <v>787.47999999999979</v>
      </c>
      <c r="BU127" s="316">
        <f t="shared" si="227"/>
        <v>16.092870758448385</v>
      </c>
      <c r="BV127" s="61"/>
      <c r="BX127" s="1213">
        <f>SUM(BX121:BX123)</f>
        <v>813.07699999999977</v>
      </c>
      <c r="BY127" s="316">
        <f t="shared" si="228"/>
        <v>3.2504952506730245</v>
      </c>
      <c r="BZ127" s="61"/>
      <c r="CB127" s="1213">
        <f>SUM(CB121:CB123)</f>
        <v>706.06099999999992</v>
      </c>
      <c r="CC127" s="316">
        <f t="shared" si="229"/>
        <v>-13.161853059427319</v>
      </c>
      <c r="CF127" s="1213">
        <f>SUM(CF121:CF123)</f>
        <v>446.20000000000005</v>
      </c>
      <c r="CG127" s="316">
        <f t="shared" si="230"/>
        <v>-36.804327104881864</v>
      </c>
      <c r="CJ127" s="1213">
        <f>SUM(CJ121:CJ123)</f>
        <v>425.59999999999951</v>
      </c>
      <c r="CK127" s="316">
        <f t="shared" si="231"/>
        <v>-4.6167637830570429</v>
      </c>
      <c r="CN127" s="1213">
        <f>SUM(CN121:CN123)</f>
        <v>467.50000000000017</v>
      </c>
      <c r="CO127" s="316">
        <f t="shared" si="232"/>
        <v>9.8449248120302322</v>
      </c>
      <c r="CR127" s="1213">
        <f>SUM(CR121:CR123)</f>
        <v>564.53907872126183</v>
      </c>
      <c r="CS127" s="316">
        <f t="shared" si="233"/>
        <v>20.757022186366125</v>
      </c>
      <c r="CT127" s="3"/>
      <c r="CV127" s="154"/>
      <c r="CW127" s="154"/>
      <c r="CX127" s="154"/>
      <c r="CY127" s="154"/>
    </row>
    <row r="128" spans="1:103" hidden="1" outlineLevel="1">
      <c r="W128" s="127"/>
      <c r="AR128" s="61"/>
      <c r="AS128" s="61"/>
      <c r="AT128" s="1183"/>
      <c r="AV128" s="61"/>
      <c r="AW128" s="61"/>
      <c r="AX128" s="1183"/>
      <c r="AZ128" s="61"/>
      <c r="BA128" s="61"/>
      <c r="BB128" s="1183"/>
      <c r="BD128" s="61"/>
      <c r="BE128" s="61"/>
      <c r="BF128" s="1183"/>
      <c r="BH128" s="61"/>
      <c r="BI128" s="61"/>
      <c r="BJ128" s="1183"/>
      <c r="BL128" s="61"/>
      <c r="BM128" s="61"/>
      <c r="BN128" s="1183"/>
      <c r="BP128" s="61"/>
      <c r="BQ128" s="61"/>
      <c r="BR128" s="1183"/>
      <c r="BT128" s="61"/>
      <c r="BU128" s="61"/>
      <c r="BV128" s="1183"/>
      <c r="BX128" s="61"/>
      <c r="BY128" s="61"/>
      <c r="BZ128" s="1183"/>
      <c r="CR128" s="3"/>
      <c r="CS128" s="3"/>
      <c r="CT128" s="3"/>
      <c r="CV128" s="154"/>
      <c r="CW128" s="154"/>
      <c r="CX128" s="154"/>
      <c r="CY128" s="154"/>
    </row>
    <row r="129" spans="1:103" hidden="1" outlineLevel="1">
      <c r="D129" s="1260"/>
      <c r="E129" s="127"/>
      <c r="F129" s="127"/>
      <c r="G129" s="127"/>
      <c r="H129" s="1260"/>
      <c r="I129" s="127"/>
      <c r="J129" s="127"/>
      <c r="K129" s="127"/>
      <c r="L129" s="1260"/>
      <c r="M129" s="127"/>
      <c r="N129" s="127"/>
      <c r="O129" s="127"/>
      <c r="P129" s="1260"/>
      <c r="Q129" s="127"/>
      <c r="R129" s="127"/>
      <c r="S129" s="127"/>
      <c r="T129" s="1260"/>
      <c r="U129" s="127"/>
      <c r="V129" s="127"/>
      <c r="X129" s="1260"/>
      <c r="Y129" s="127"/>
      <c r="Z129" s="127"/>
      <c r="AA129" s="127"/>
      <c r="AB129" s="1260"/>
      <c r="AC129" s="127"/>
      <c r="AD129" s="127"/>
      <c r="AE129" s="127"/>
      <c r="AF129" s="1260"/>
      <c r="AG129" s="127"/>
      <c r="AH129" s="127"/>
      <c r="AI129" s="127"/>
      <c r="AJ129" s="1260"/>
      <c r="AK129" s="127"/>
      <c r="AL129" s="127"/>
      <c r="AM129" s="127"/>
      <c r="AN129" s="1260"/>
      <c r="AO129" s="127"/>
      <c r="AP129" s="127"/>
      <c r="AQ129" s="127"/>
      <c r="AR129" s="1273"/>
      <c r="AS129" s="1197"/>
      <c r="AT129" s="1198"/>
      <c r="AU129" s="127"/>
      <c r="AV129" s="1273"/>
      <c r="AW129" s="1197"/>
      <c r="AX129" s="1198"/>
      <c r="AY129" s="127"/>
      <c r="AZ129" s="1273"/>
      <c r="BA129" s="1197"/>
      <c r="BB129" s="1198"/>
      <c r="BC129" s="127"/>
      <c r="BD129" s="1273"/>
      <c r="BE129" s="1197"/>
      <c r="BF129" s="1198"/>
      <c r="BG129" s="127"/>
      <c r="BH129" s="1273"/>
      <c r="BI129" s="1197"/>
      <c r="BJ129" s="1198"/>
      <c r="BK129" s="127"/>
      <c r="BL129" s="1273"/>
      <c r="BM129" s="1197"/>
      <c r="BN129" s="1198"/>
      <c r="BO129" s="127"/>
      <c r="BP129" s="1273"/>
      <c r="BQ129" s="1197"/>
      <c r="BR129" s="1198"/>
      <c r="BS129" s="127"/>
      <c r="BT129" s="1273"/>
      <c r="BU129" s="1197"/>
      <c r="BV129" s="1198"/>
      <c r="BW129" s="127"/>
      <c r="BX129" s="1273"/>
      <c r="BY129" s="1197"/>
      <c r="BZ129" s="1198"/>
      <c r="CA129" s="127"/>
      <c r="CB129" s="127"/>
      <c r="CC129" s="127"/>
      <c r="CD129" s="127"/>
      <c r="CE129" s="127"/>
      <c r="CF129" s="127"/>
      <c r="CG129" s="127"/>
      <c r="CH129" s="127"/>
      <c r="CI129" s="127"/>
      <c r="CJ129" s="127"/>
      <c r="CK129" s="127"/>
      <c r="CL129" s="127"/>
      <c r="CM129" s="127"/>
      <c r="CN129" s="127"/>
      <c r="CO129" s="127"/>
      <c r="CP129" s="127"/>
      <c r="CQ129" s="127"/>
      <c r="CR129" s="127"/>
      <c r="CS129" s="127"/>
      <c r="CT129" s="127"/>
      <c r="CU129" s="1197"/>
      <c r="CV129" s="1276"/>
      <c r="CW129" s="1276"/>
      <c r="CX129" s="1276"/>
      <c r="CY129" s="1276"/>
    </row>
    <row r="130" spans="1:103" hidden="1" outlineLevel="1">
      <c r="AR130" s="61"/>
      <c r="AS130" s="61"/>
      <c r="AT130" s="1183"/>
      <c r="AV130" s="61"/>
      <c r="AW130" s="61"/>
      <c r="AX130" s="1183"/>
      <c r="AZ130" s="61"/>
      <c r="BA130" s="61"/>
      <c r="BB130" s="1183"/>
      <c r="BD130" s="61"/>
      <c r="BE130" s="61"/>
      <c r="BF130" s="1183"/>
      <c r="BH130" s="61"/>
      <c r="BI130" s="61"/>
      <c r="BJ130" s="1183"/>
      <c r="BL130" s="61"/>
      <c r="BM130" s="61"/>
      <c r="BN130" s="1183"/>
      <c r="BP130" s="61"/>
      <c r="BQ130" s="61"/>
      <c r="BR130" s="1183"/>
      <c r="BT130" s="61"/>
      <c r="BU130" s="61"/>
      <c r="BV130" s="1183"/>
      <c r="BX130" s="61"/>
      <c r="BY130" s="61"/>
      <c r="BZ130" s="1183"/>
      <c r="CR130" s="3"/>
      <c r="CS130" s="3"/>
      <c r="CT130" s="3"/>
      <c r="CV130" s="1277"/>
      <c r="CW130" s="1277"/>
      <c r="CX130" s="1277"/>
      <c r="CY130" s="1278"/>
    </row>
    <row r="131" spans="1:103" hidden="1" outlineLevel="1">
      <c r="A131" s="3" t="str">
        <f>$A$10</f>
        <v>1Q</v>
      </c>
      <c r="B131" s="3" t="str">
        <f>$B$10</f>
        <v>Sept</v>
      </c>
      <c r="D131" s="1279"/>
      <c r="E131" s="22"/>
      <c r="H131" s="1279"/>
      <c r="I131" s="22"/>
      <c r="L131" s="1279"/>
      <c r="M131" s="22"/>
      <c r="P131" s="1279"/>
      <c r="Q131" s="22"/>
      <c r="T131" s="1279"/>
      <c r="U131" s="22"/>
      <c r="X131" s="1279">
        <f>X100/X161</f>
        <v>7.3178571428571407E-3</v>
      </c>
      <c r="Y131" s="22"/>
      <c r="AB131" s="1279">
        <f>AB100/AB161</f>
        <v>2.7090589847541893E-2</v>
      </c>
      <c r="AC131" s="22">
        <f t="shared" ref="AC131:AC137" si="238">IF(X131&lt;0,"       NM",(AB131/X131-1)*100)</f>
        <v>270.1983971357605</v>
      </c>
      <c r="AF131" s="1279">
        <f>AF100/AF161</f>
        <v>3.4007760532150773E-2</v>
      </c>
      <c r="AG131" s="22">
        <f t="shared" ref="AG131:AG137" si="239">IF(AB131&lt;0,"       NM",(AF131/AB131-1)*100)</f>
        <v>25.533481269831128</v>
      </c>
      <c r="AJ131" s="1279">
        <f>AJ100/AJ161</f>
        <v>6.4668666840594802E-2</v>
      </c>
      <c r="AK131" s="22">
        <f>IF(AF131&lt;0,"       NM",(AJ131/AF131-1)*100)</f>
        <v>90.158557425318705</v>
      </c>
      <c r="AN131" s="1279">
        <f>AN100/AN161</f>
        <v>0.11788394367377288</v>
      </c>
      <c r="AO131" s="22">
        <f t="shared" ref="AO131:AO137" si="240">IF(AJ131&lt;0,"       NM",(AN131/AJ131-1)*100)</f>
        <v>82.289119960291131</v>
      </c>
      <c r="AR131" s="1280">
        <f>AR100/AR161</f>
        <v>0.16406498721411478</v>
      </c>
      <c r="AS131" s="316">
        <f t="shared" ref="AS131:AS137" si="241">IF(AN131&lt;0,"       NM",(AR131/AN131-1)*100)</f>
        <v>39.175007300520413</v>
      </c>
      <c r="AT131" s="1183"/>
      <c r="AV131" s="1280">
        <f>AV100/AV161</f>
        <v>0.22536746227934321</v>
      </c>
      <c r="AW131" s="316">
        <f t="shared" ref="AW131:AW137" si="242">IF(AR131&lt;0,"       NM",(AV131/AR131-1)*100)</f>
        <v>37.364751679299488</v>
      </c>
      <c r="AX131" s="1183"/>
      <c r="AZ131" s="1280">
        <f>AZ100/AZ161</f>
        <v>0.3083961335074612</v>
      </c>
      <c r="BA131" s="316">
        <f t="shared" ref="BA131:BA137" si="243">IF(AV131&lt;0,"       NM",(AZ131/AV131-1)*100)</f>
        <v>36.841463443025276</v>
      </c>
      <c r="BB131" s="1183"/>
      <c r="BD131" s="1280">
        <f>BD100/BD161</f>
        <v>0.40809945028145062</v>
      </c>
      <c r="BE131" s="316">
        <f t="shared" ref="BE131:BE137" si="244">IF(AZ131&lt;0,"       NM",(BD131/AZ131-1)*100)</f>
        <v>32.329626068926466</v>
      </c>
      <c r="BF131" s="1183"/>
      <c r="BH131" s="1280">
        <f>BH100/BH161</f>
        <v>0.43652981980282785</v>
      </c>
      <c r="BI131" s="316">
        <f t="shared" ref="BI131:BI137" si="245">IF(BD131&lt;0,"       NM",(BH131/BD131-1)*100)</f>
        <v>6.9665297274401849</v>
      </c>
      <c r="BJ131" s="1183"/>
      <c r="BL131" s="1280">
        <f>BL100/BL161</f>
        <v>0.43855628046027123</v>
      </c>
      <c r="BM131" s="316">
        <f t="shared" ref="BM131:BM137" si="246">IF(BI131&lt;0,"       NM",(BL131/BI131-1)*100)</f>
        <v>-93.704810032850943</v>
      </c>
      <c r="BN131" s="1183"/>
      <c r="BP131" s="1280">
        <f>BP100/BP161</f>
        <v>0.6269763551082328</v>
      </c>
      <c r="BQ131" s="316">
        <f>IF(BL131&lt;0,"       NM",(BP131/BL131-1)*100)</f>
        <v>42.963715956869187</v>
      </c>
      <c r="BR131" s="1183"/>
      <c r="BT131" s="1280">
        <f>BT100/BT161</f>
        <v>0.72612710593512264</v>
      </c>
      <c r="BU131" s="316">
        <f>IF(BP131&lt;0,"       NM",(BT131/BP131-1)*100)</f>
        <v>15.814113246706697</v>
      </c>
      <c r="BV131" s="1183"/>
      <c r="BX131" s="1280">
        <f>BX100/BX161</f>
        <v>0.76735979923534681</v>
      </c>
      <c r="BY131" s="316">
        <f>IF(BT131&lt;0,"       NM",(BX131/BT131-1)*100)</f>
        <v>5.6784401743443791</v>
      </c>
      <c r="BZ131" s="1183"/>
      <c r="CB131" s="1280">
        <f>CB100/CB161</f>
        <v>0.76581034961495587</v>
      </c>
      <c r="CC131" s="316">
        <f t="shared" ref="CC131:CC137" si="247">IF(BX131&lt;0,"       NM",(CB131/BX131-1)*100)</f>
        <v>-0.20191957174912067</v>
      </c>
      <c r="CF131" s="1280">
        <f>CF100/CF161</f>
        <v>0.52749638205499261</v>
      </c>
      <c r="CG131" s="316">
        <f t="shared" ref="CG131:CG137" si="248">IF(CB131&lt;0,"       NM",(CF131/CB131-1)*100)</f>
        <v>-31.119188671161979</v>
      </c>
      <c r="CJ131" s="1280">
        <f>CJ100/CJ161</f>
        <v>0.40639597556593565</v>
      </c>
      <c r="CK131" s="316">
        <f t="shared" ref="CK131:CK137" si="249">IF(CF131&lt;0,"       NM",(CJ131/CF131-1)*100)</f>
        <v>-22.957580489420682</v>
      </c>
      <c r="CN131" s="1280">
        <f>CN100/CN161</f>
        <v>0.44696700957786445</v>
      </c>
      <c r="CO131" s="316">
        <f t="shared" ref="CO131:CO137" si="250">IF(CJ131&lt;0,"       NM",(CN131/CJ131-1)*100)</f>
        <v>9.9831288819803632</v>
      </c>
      <c r="CR131" s="1280">
        <f>CR100/CR161</f>
        <v>0.41750959190791798</v>
      </c>
      <c r="CS131" s="316">
        <f t="shared" ref="CS131:CS137" si="251">IF(CN131&lt;0,"       NM",(CR131/CN131-1)*100)</f>
        <v>-6.5905127310777019</v>
      </c>
      <c r="CT131" s="3"/>
      <c r="CV131" s="1277"/>
      <c r="CW131" s="1277"/>
      <c r="CX131" s="1277"/>
      <c r="CY131" s="1278"/>
    </row>
    <row r="132" spans="1:103" hidden="1" outlineLevel="1">
      <c r="A132" s="3" t="str">
        <f>$A$11</f>
        <v>2Q</v>
      </c>
      <c r="B132" s="3" t="str">
        <f>$B$11</f>
        <v>Dec</v>
      </c>
      <c r="D132" s="1281"/>
      <c r="E132" s="22"/>
      <c r="H132" s="1281"/>
      <c r="I132" s="22"/>
      <c r="L132" s="1281"/>
      <c r="M132" s="22"/>
      <c r="P132" s="1281"/>
      <c r="Q132" s="22"/>
      <c r="T132" s="1281"/>
      <c r="U132" s="22"/>
      <c r="X132" s="1281">
        <f>X101/X162</f>
        <v>0.10086078912807621</v>
      </c>
      <c r="Y132" s="22"/>
      <c r="AB132" s="1281">
        <f>AB101/AB162</f>
        <v>0.11009143396311191</v>
      </c>
      <c r="AC132" s="22">
        <f t="shared" si="238"/>
        <v>9.1518665626483919</v>
      </c>
      <c r="AF132" s="1281">
        <f>AF101/AF162</f>
        <v>0.12573115766163753</v>
      </c>
      <c r="AG132" s="22">
        <f t="shared" si="239"/>
        <v>14.2061222526777</v>
      </c>
      <c r="AJ132" s="1281">
        <f>AJ101/AJ162</f>
        <v>0.17596717085189365</v>
      </c>
      <c r="AK132" s="22">
        <f t="shared" ref="AK132:AK137" si="252">IF(AF132&lt;0,"       NM",(AJ132/AF132-1)*100)</f>
        <v>39.955102716423866</v>
      </c>
      <c r="AN132" s="1281">
        <f>AN101/AN162</f>
        <v>0.26232449846472777</v>
      </c>
      <c r="AO132" s="22">
        <f t="shared" si="240"/>
        <v>49.075817491842578</v>
      </c>
      <c r="AR132" s="1282">
        <f>AR101/AR162</f>
        <v>0.34128185233270086</v>
      </c>
      <c r="AS132" s="316">
        <f t="shared" si="241"/>
        <v>30.099115534414999</v>
      </c>
      <c r="AT132" s="1183"/>
      <c r="AV132" s="1282">
        <f>AV101/AV162</f>
        <v>0.41393169832573851</v>
      </c>
      <c r="AW132" s="316">
        <f t="shared" si="242"/>
        <v>21.287345194732033</v>
      </c>
      <c r="AX132" s="1183"/>
      <c r="AZ132" s="1282">
        <f>AZ101/AZ162</f>
        <v>0.57123644459594769</v>
      </c>
      <c r="BA132" s="316">
        <f t="shared" si="243"/>
        <v>38.002585186510672</v>
      </c>
      <c r="BB132" s="1183"/>
      <c r="BD132" s="1282">
        <f>BD101/BD162</f>
        <v>0.68832061630961705</v>
      </c>
      <c r="BE132" s="316">
        <f t="shared" si="244"/>
        <v>20.496621464074561</v>
      </c>
      <c r="BF132" s="1183"/>
      <c r="BH132" s="1282">
        <f>BH101/BH162</f>
        <v>0.66705825911528782</v>
      </c>
      <c r="BI132" s="316">
        <f t="shared" si="245"/>
        <v>-3.0890193741872629</v>
      </c>
      <c r="BJ132" s="1183"/>
      <c r="BL132" s="1282">
        <f>BL101/BL162</f>
        <v>0.74973318273326717</v>
      </c>
      <c r="BM132" s="316" t="str">
        <f t="shared" si="246"/>
        <v xml:space="preserve">       NM</v>
      </c>
      <c r="BN132" s="1183"/>
      <c r="BP132" s="1282">
        <f>BP101/BP162</f>
        <v>0.99597249347622763</v>
      </c>
      <c r="BQ132" s="316">
        <f t="shared" ref="BQ132:BQ137" si="253">IF(BL132&lt;0,"       NM",(BP132/BL132-1)*100)</f>
        <v>32.843592415805503</v>
      </c>
      <c r="BR132" s="1183"/>
      <c r="BT132" s="1282">
        <f>BT101/BT162</f>
        <v>1.1759201919400082</v>
      </c>
      <c r="BU132" s="316">
        <f t="shared" ref="BU132:BU137" si="254">IF(BP132&lt;0,"       NM",(BT132/BP132-1)*100)</f>
        <v>18.067536969390787</v>
      </c>
      <c r="BV132" s="1183"/>
      <c r="BX132" s="1282">
        <f>BX101/BX162</f>
        <v>1.2324795701253912</v>
      </c>
      <c r="BY132" s="316">
        <f t="shared" ref="BY132:BY137" si="255">IF(BT132&lt;0,"       NM",(BX132/BT132-1)*100)</f>
        <v>4.8097973462019272</v>
      </c>
      <c r="BZ132" s="1183"/>
      <c r="CB132" s="1282">
        <f>CB101/CB162</f>
        <v>1.0564905126911852</v>
      </c>
      <c r="CC132" s="316">
        <f t="shared" si="247"/>
        <v>-14.27926772176037</v>
      </c>
      <c r="CF132" s="1282">
        <f>CF101/CF162</f>
        <v>0.72405063291139282</v>
      </c>
      <c r="CG132" s="316">
        <f t="shared" si="248"/>
        <v>-31.466433042827092</v>
      </c>
      <c r="CJ132" s="1282">
        <f>CJ101/CJ162</f>
        <v>0.67672413793103403</v>
      </c>
      <c r="CK132" s="316">
        <f t="shared" si="249"/>
        <v>-6.5363515794551468</v>
      </c>
      <c r="CN132" s="1282">
        <f>CN101/CN162</f>
        <v>0.74946770759403891</v>
      </c>
      <c r="CO132" s="316">
        <f t="shared" si="250"/>
        <v>10.749368255934488</v>
      </c>
      <c r="CR132" s="1282">
        <f>CR101/CR162</f>
        <v>1.0691340782122905</v>
      </c>
      <c r="CS132" s="316">
        <f t="shared" si="251"/>
        <v>42.652454185711754</v>
      </c>
      <c r="CT132" s="3"/>
      <c r="CV132" s="1277"/>
      <c r="CW132" s="1277"/>
      <c r="CX132" s="1277"/>
      <c r="CY132" s="1278"/>
    </row>
    <row r="133" spans="1:103" hidden="1" outlineLevel="1">
      <c r="A133" s="3" t="str">
        <f>$A$12</f>
        <v>3Q</v>
      </c>
      <c r="B133" s="3" t="str">
        <f>$B$12</f>
        <v>Mar</v>
      </c>
      <c r="D133" s="1281"/>
      <c r="E133" s="22"/>
      <c r="H133" s="1281"/>
      <c r="I133" s="22"/>
      <c r="L133" s="1281"/>
      <c r="M133" s="22"/>
      <c r="P133" s="1281"/>
      <c r="Q133" s="22"/>
      <c r="T133" s="1281"/>
      <c r="U133" s="22"/>
      <c r="X133" s="1281">
        <f>X102/X163</f>
        <v>1.0827670873065699E-2</v>
      </c>
      <c r="Y133" s="22"/>
      <c r="AB133" s="1281">
        <f>AB102/AB163</f>
        <v>2.2014432081084098E-2</v>
      </c>
      <c r="AC133" s="22">
        <f t="shared" si="238"/>
        <v>103.31641346659283</v>
      </c>
      <c r="AF133" s="1281">
        <f>AF102/AF163</f>
        <v>3.4114964100997298E-2</v>
      </c>
      <c r="AG133" s="22">
        <f t="shared" si="239"/>
        <v>54.966360137496274</v>
      </c>
      <c r="AJ133" s="1281">
        <f>AJ102/AJ163</f>
        <v>8.9674087896531723E-2</v>
      </c>
      <c r="AK133" s="22">
        <f t="shared" si="252"/>
        <v>162.85851461268354</v>
      </c>
      <c r="AN133" s="1281">
        <f>AN102/AN163</f>
        <v>0.16408318459261403</v>
      </c>
      <c r="AO133" s="22">
        <f t="shared" si="240"/>
        <v>82.977255126294054</v>
      </c>
      <c r="AR133" s="1282">
        <f>AR102/AR163</f>
        <v>0.21734178734400897</v>
      </c>
      <c r="AS133" s="316">
        <f t="shared" si="241"/>
        <v>32.458294177813208</v>
      </c>
      <c r="AT133" s="1183"/>
      <c r="AV133" s="1282">
        <f>AV102/AV163</f>
        <v>0.25972977598843289</v>
      </c>
      <c r="AW133" s="316">
        <f t="shared" si="242"/>
        <v>19.502917116132899</v>
      </c>
      <c r="AX133" s="1183"/>
      <c r="AZ133" s="1282">
        <f>AZ102/AZ163</f>
        <v>0.38859550369243495</v>
      </c>
      <c r="BA133" s="316">
        <f t="shared" si="243"/>
        <v>49.615307761148308</v>
      </c>
      <c r="BB133" s="1183"/>
      <c r="BD133" s="1282">
        <f>BD102/BD163</f>
        <v>0.46193183595805387</v>
      </c>
      <c r="BE133" s="316">
        <f t="shared" si="244"/>
        <v>18.872151522283964</v>
      </c>
      <c r="BF133" s="1183"/>
      <c r="BH133" s="1282">
        <f>BH102/BH163</f>
        <v>0.38356023712094089</v>
      </c>
      <c r="BI133" s="316">
        <f t="shared" si="245"/>
        <v>-16.966052723897896</v>
      </c>
      <c r="BJ133" s="1183"/>
      <c r="BL133" s="1282">
        <f>BL102/BL163</f>
        <v>0.50208943814498697</v>
      </c>
      <c r="BM133" s="316" t="str">
        <f t="shared" si="246"/>
        <v xml:space="preserve">       NM</v>
      </c>
      <c r="BN133" s="1183"/>
      <c r="BP133" s="1282">
        <f>BP102/BP163</f>
        <v>0.61671971354684696</v>
      </c>
      <c r="BQ133" s="316">
        <f t="shared" si="253"/>
        <v>22.830648624151806</v>
      </c>
      <c r="BR133" s="1183"/>
      <c r="BT133" s="1282">
        <f>BT102/BT163</f>
        <v>0.76662714312971902</v>
      </c>
      <c r="BU133" s="316">
        <f t="shared" si="254"/>
        <v>24.307221950265244</v>
      </c>
      <c r="BV133" s="1183"/>
      <c r="BX133" s="1282">
        <f>BX102/BX163</f>
        <v>0.83946539996627112</v>
      </c>
      <c r="BY133" s="316">
        <f t="shared" si="255"/>
        <v>9.5011320026047397</v>
      </c>
      <c r="BZ133" s="1183"/>
      <c r="CB133" s="1282">
        <f>CB102/CB163</f>
        <v>0.68426905829596396</v>
      </c>
      <c r="CC133" s="316">
        <f t="shared" si="247"/>
        <v>-18.487520948039403</v>
      </c>
      <c r="CF133" s="1282">
        <f>CF102/CF163</f>
        <v>0.36121124729632309</v>
      </c>
      <c r="CG133" s="316">
        <f t="shared" si="248"/>
        <v>-47.212102766147588</v>
      </c>
      <c r="CJ133" s="1282">
        <f>CJ102/CJ163</f>
        <v>0.4440071556350616</v>
      </c>
      <c r="CK133" s="316">
        <f t="shared" si="249"/>
        <v>22.921741490185688</v>
      </c>
      <c r="CN133" s="1282">
        <f>CN102/CN163</f>
        <v>0.46058677978084134</v>
      </c>
      <c r="CO133" s="316">
        <f t="shared" si="250"/>
        <v>3.7340894026957727</v>
      </c>
      <c r="CR133" s="1282">
        <f>CR102/CR163</f>
        <v>0.47747641828526799</v>
      </c>
      <c r="CS133" s="316">
        <f t="shared" si="251"/>
        <v>3.6669829108996854</v>
      </c>
      <c r="CT133" s="3"/>
      <c r="CV133" s="1277"/>
      <c r="CW133" s="1277"/>
      <c r="CX133" s="1277"/>
      <c r="CY133" s="1278"/>
    </row>
    <row r="134" spans="1:103" hidden="1" outlineLevel="1">
      <c r="A134" s="3" t="str">
        <f>$A$13</f>
        <v>4Q</v>
      </c>
      <c r="B134" s="3" t="str">
        <f>$B$13</f>
        <v>June</v>
      </c>
      <c r="D134" s="1283"/>
      <c r="E134" s="22"/>
      <c r="H134" s="1283"/>
      <c r="I134" s="22"/>
      <c r="L134" s="1283"/>
      <c r="M134" s="22"/>
      <c r="P134" s="1283"/>
      <c r="Q134" s="22"/>
      <c r="T134" s="1283"/>
      <c r="U134" s="22"/>
      <c r="X134" s="1283">
        <f>X103/X164</f>
        <v>1.8764631987666293E-2</v>
      </c>
      <c r="Y134" s="22"/>
      <c r="AB134" s="1283">
        <f>AB103/AB164</f>
        <v>2.5314444736611399E-2</v>
      </c>
      <c r="AC134" s="22">
        <f t="shared" si="238"/>
        <v>34.905095678136398</v>
      </c>
      <c r="AF134" s="1283">
        <f>AF103/AF164</f>
        <v>4.4000064916798275E-2</v>
      </c>
      <c r="AG134" s="22">
        <f t="shared" si="239"/>
        <v>73.81406297710538</v>
      </c>
      <c r="AJ134" s="1283">
        <f>AJ103/AJ164</f>
        <v>8.5617455502047191E-2</v>
      </c>
      <c r="AK134" s="22">
        <f t="shared" si="252"/>
        <v>94.584839054090338</v>
      </c>
      <c r="AN134" s="1283">
        <f>AN103/AN164</f>
        <v>0.18109657919267808</v>
      </c>
      <c r="AO134" s="22">
        <f t="shared" si="240"/>
        <v>111.51829160392168</v>
      </c>
      <c r="AR134" s="1284">
        <f>AR103/AR164</f>
        <v>0.2311900907151852</v>
      </c>
      <c r="AS134" s="316">
        <f t="shared" si="241"/>
        <v>27.661213561195996</v>
      </c>
      <c r="AT134" s="1183"/>
      <c r="AV134" s="1284">
        <f>AV103/AV164</f>
        <v>0.2935634403620776</v>
      </c>
      <c r="AW134" s="316">
        <f t="shared" si="242"/>
        <v>26.9792487445897</v>
      </c>
      <c r="AX134" s="1183"/>
      <c r="AZ134" s="1284">
        <f>AZ103/AZ164</f>
        <v>0.4189721969605375</v>
      </c>
      <c r="BA134" s="316">
        <f t="shared" si="243"/>
        <v>42.719473665992695</v>
      </c>
      <c r="BB134" s="1183"/>
      <c r="BD134" s="1284">
        <f>BD103/BD164</f>
        <v>0.50201548943650709</v>
      </c>
      <c r="BE134" s="316">
        <f t="shared" si="244"/>
        <v>19.820716763167788</v>
      </c>
      <c r="BF134" s="1183"/>
      <c r="BH134" s="1284">
        <f>BH103/BH164</f>
        <v>0.42515100838658143</v>
      </c>
      <c r="BI134" s="316">
        <f t="shared" si="245"/>
        <v>-15.311177178258594</v>
      </c>
      <c r="BJ134" s="1183"/>
      <c r="BL134" s="1284">
        <f>BL103/BL164</f>
        <v>0.63569684536330517</v>
      </c>
      <c r="BM134" s="316" t="str">
        <f t="shared" si="246"/>
        <v xml:space="preserve">       NM</v>
      </c>
      <c r="BN134" s="1183"/>
      <c r="BP134" s="1284">
        <f>BP103/BP164</f>
        <v>0.67782419774907776</v>
      </c>
      <c r="BQ134" s="316">
        <f t="shared" si="253"/>
        <v>6.6269563382364227</v>
      </c>
      <c r="BR134" s="1183"/>
      <c r="BT134" s="1284">
        <f>BT103/BT164</f>
        <v>0.86171678467876278</v>
      </c>
      <c r="BU134" s="316">
        <f t="shared" si="254"/>
        <v>27.129835072332398</v>
      </c>
      <c r="BV134" s="1183"/>
      <c r="BX134" s="1284">
        <f>BX103/BX164</f>
        <v>0.88992594202238251</v>
      </c>
      <c r="BY134" s="316">
        <f t="shared" si="255"/>
        <v>3.2735996147662094</v>
      </c>
      <c r="BZ134" s="1183"/>
      <c r="CB134" s="1284">
        <f>CB103/CB164</f>
        <v>0.59171948713495925</v>
      </c>
      <c r="CC134" s="316">
        <f t="shared" si="247"/>
        <v>-33.509131581189834</v>
      </c>
      <c r="CF134" s="1284">
        <f>CF103/CF164</f>
        <v>0.30520646319569172</v>
      </c>
      <c r="CG134" s="316">
        <f t="shared" si="248"/>
        <v>-48.420413754925008</v>
      </c>
      <c r="CJ134" s="1284">
        <f>CJ103/CJ164</f>
        <v>0.4485948061188183</v>
      </c>
      <c r="CK134" s="316">
        <f t="shared" si="249"/>
        <v>46.980768828341994</v>
      </c>
      <c r="CN134" s="1284">
        <f>CN103/CN164</f>
        <v>0.49778714436248672</v>
      </c>
      <c r="CO134" s="316">
        <f t="shared" si="250"/>
        <v>10.965873338854259</v>
      </c>
      <c r="CR134" s="1284">
        <f>CR103/CR164</f>
        <v>0.55708599632202804</v>
      </c>
      <c r="CS134" s="316">
        <f t="shared" si="251"/>
        <v>11.912491640475164</v>
      </c>
      <c r="CT134" s="3"/>
      <c r="CV134" s="1277"/>
      <c r="CW134" s="1277"/>
      <c r="CX134" s="1277"/>
      <c r="CY134" s="1278"/>
    </row>
    <row r="135" spans="1:103" hidden="1" outlineLevel="1">
      <c r="B135" s="3" t="str">
        <f>$B$14</f>
        <v>Year</v>
      </c>
      <c r="D135" s="1279">
        <f>D104/D165</f>
        <v>0.13269071546850916</v>
      </c>
      <c r="E135" s="22"/>
      <c r="H135" s="1279">
        <f>H104/H165</f>
        <v>0.15295780277508136</v>
      </c>
      <c r="I135" s="22">
        <f>IF(D135&lt;0,"       NM",(H135/D135-1)*100)</f>
        <v>15.273930233183574</v>
      </c>
      <c r="L135" s="1279">
        <f>L104/L165</f>
        <v>0.1146719579740762</v>
      </c>
      <c r="M135" s="22">
        <f>IF(H135&lt;0,"       NM",(L135/H135-1)*100)</f>
        <v>-25.030331311246044</v>
      </c>
      <c r="P135" s="1279">
        <f>P104/P165</f>
        <v>7.3506109747044968E-2</v>
      </c>
      <c r="Q135" s="22">
        <f>IF(L135&lt;0,"       NM",(P135/L135-1)*100)</f>
        <v>-35.898792481015775</v>
      </c>
      <c r="T135" s="1279">
        <f>T104/T165</f>
        <v>5.9652115571289979E-2</v>
      </c>
      <c r="U135" s="22">
        <f>IF(P135&lt;0,"       NM",(T135/P135-1)*100)</f>
        <v>-18.847404961887449</v>
      </c>
      <c r="X135" s="1279">
        <f>X104/X165</f>
        <v>0.13776551704448114</v>
      </c>
      <c r="Y135" s="22">
        <f>IF(T135&lt;0,"       NM",(X135/T135-1)*100)</f>
        <v>130.94825007478264</v>
      </c>
      <c r="AB135" s="1279">
        <f>AB104/AB165</f>
        <v>0.1898602808615619</v>
      </c>
      <c r="AC135" s="22">
        <f t="shared" si="238"/>
        <v>37.814080718225455</v>
      </c>
      <c r="AF135" s="1279">
        <f>AF104/AF165</f>
        <v>0.23641866039229475</v>
      </c>
      <c r="AG135" s="22">
        <f t="shared" si="239"/>
        <v>24.522443198470391</v>
      </c>
      <c r="AJ135" s="1279">
        <f>AJ104/AJ165</f>
        <v>0.41496540071673782</v>
      </c>
      <c r="AK135" s="22">
        <f t="shared" si="252"/>
        <v>75.521424589825742</v>
      </c>
      <c r="AN135" s="1279">
        <f>AN104/AN165</f>
        <v>0.72567810809268629</v>
      </c>
      <c r="AO135" s="22">
        <f t="shared" si="240"/>
        <v>74.87677450680907</v>
      </c>
      <c r="AR135" s="1280">
        <f>AR104/AR165</f>
        <v>0.95402764287233688</v>
      </c>
      <c r="AS135" s="316">
        <f t="shared" si="241"/>
        <v>31.467055741811766</v>
      </c>
      <c r="AT135" s="1183"/>
      <c r="AV135" s="1280">
        <f>AV104/AV165</f>
        <v>1.1944658232409684</v>
      </c>
      <c r="AW135" s="316">
        <f t="shared" si="242"/>
        <v>25.202433301065863</v>
      </c>
      <c r="AX135" s="1183"/>
      <c r="AZ135" s="1280">
        <f>AZ104/AZ165</f>
        <v>1.6868129829656875</v>
      </c>
      <c r="BA135" s="316">
        <f t="shared" si="243"/>
        <v>41.219024449676041</v>
      </c>
      <c r="BB135" s="1183"/>
      <c r="BD135" s="1280">
        <f>BD104/BD165</f>
        <v>2.0592176104259412</v>
      </c>
      <c r="BE135" s="316">
        <f t="shared" si="244"/>
        <v>22.077410550012889</v>
      </c>
      <c r="BF135" s="1183"/>
      <c r="BH135" s="1280">
        <f>BH104/BH165</f>
        <v>1.9130338539865244</v>
      </c>
      <c r="BI135" s="316">
        <f t="shared" si="245"/>
        <v>-7.0989950600305551</v>
      </c>
      <c r="BJ135" s="1183"/>
      <c r="BL135" s="1280">
        <f>BL104/BL165</f>
        <v>2.3256950954680855</v>
      </c>
      <c r="BM135" s="316" t="str">
        <f t="shared" si="246"/>
        <v xml:space="preserve">       NM</v>
      </c>
      <c r="BN135" s="1183"/>
      <c r="BP135" s="1280">
        <f>BP104/BP165</f>
        <v>2.9207972503121256</v>
      </c>
      <c r="BQ135" s="316">
        <f t="shared" si="253"/>
        <v>25.588141627149351</v>
      </c>
      <c r="BR135" s="1183"/>
      <c r="BT135" s="1280">
        <f>BT104/BT165</f>
        <v>3.5311522019355035</v>
      </c>
      <c r="BU135" s="316">
        <f t="shared" si="254"/>
        <v>20.896861346954275</v>
      </c>
      <c r="BV135" s="1183"/>
      <c r="BX135" s="1280">
        <f>BX104/BX165</f>
        <v>3.7285729137272949</v>
      </c>
      <c r="BY135" s="316">
        <f t="shared" si="255"/>
        <v>5.5908298623769559</v>
      </c>
      <c r="BZ135" s="1183"/>
      <c r="CB135" s="1280">
        <f>CB104/CB165</f>
        <v>3.1024371100735362</v>
      </c>
      <c r="CC135" s="316">
        <f t="shared" si="247"/>
        <v>-16.792907585327001</v>
      </c>
      <c r="CF135" s="1280">
        <f>CF104/CF165</f>
        <v>1.9163059163059171</v>
      </c>
      <c r="CG135" s="316">
        <f t="shared" si="248"/>
        <v>-38.232239741984799</v>
      </c>
      <c r="CJ135" s="1280">
        <f>CJ104/CJ165</f>
        <v>1.9752953813104166</v>
      </c>
      <c r="CK135" s="316">
        <f t="shared" si="249"/>
        <v>3.0782906060329962</v>
      </c>
      <c r="CN135" s="1280">
        <f>CN104/CN165</f>
        <v>2.1542432814710049</v>
      </c>
      <c r="CO135" s="316">
        <f t="shared" si="250"/>
        <v>9.0592982626159788</v>
      </c>
      <c r="CR135" s="1280">
        <f>CR104/CR165</f>
        <v>2.5171683804568299</v>
      </c>
      <c r="CS135" s="316">
        <f t="shared" si="251"/>
        <v>16.846987622400977</v>
      </c>
      <c r="CT135" s="3"/>
      <c r="CV135" s="154"/>
      <c r="CW135" s="154"/>
      <c r="CX135" s="154"/>
      <c r="CY135" s="154"/>
    </row>
    <row r="136" spans="1:103" hidden="1" outlineLevel="1">
      <c r="A136" s="3" t="str">
        <f>$A$15</f>
        <v>6 Mos</v>
      </c>
      <c r="D136" s="1281"/>
      <c r="E136" s="22"/>
      <c r="H136" s="1281"/>
      <c r="I136" s="22"/>
      <c r="L136" s="1281"/>
      <c r="M136" s="22"/>
      <c r="P136" s="1281"/>
      <c r="Q136" s="22"/>
      <c r="T136" s="1281"/>
      <c r="U136" s="22"/>
      <c r="X136" s="1281">
        <f>SUM(X131:X132)</f>
        <v>0.10817864627093335</v>
      </c>
      <c r="Y136" s="22"/>
      <c r="AB136" s="1281">
        <f>SUM(AB131:AB132)</f>
        <v>0.13718202381065381</v>
      </c>
      <c r="AC136" s="22">
        <f t="shared" si="238"/>
        <v>26.810630877263453</v>
      </c>
      <c r="AF136" s="1281">
        <f>SUM(AF131:AF132)</f>
        <v>0.1597389181937883</v>
      </c>
      <c r="AG136" s="22">
        <f t="shared" si="239"/>
        <v>16.443039515344047</v>
      </c>
      <c r="AJ136" s="1281">
        <f>SUM(AJ131:AJ132)</f>
        <v>0.24063583769248845</v>
      </c>
      <c r="AK136" s="22">
        <f t="shared" si="252"/>
        <v>50.64321232009317</v>
      </c>
      <c r="AN136" s="1281">
        <f>SUM(AN131:AN132)</f>
        <v>0.38020844213850064</v>
      </c>
      <c r="AO136" s="22">
        <f t="shared" si="240"/>
        <v>58.001586872680932</v>
      </c>
      <c r="AR136" s="1282">
        <f>SUM(AR131:AR132)</f>
        <v>0.5053468395468157</v>
      </c>
      <c r="AS136" s="316">
        <f t="shared" si="241"/>
        <v>32.913103324184</v>
      </c>
      <c r="AT136" s="1183"/>
      <c r="AV136" s="1282">
        <f>SUM(AV131:AV132)</f>
        <v>0.63929916060508174</v>
      </c>
      <c r="AW136" s="316">
        <f t="shared" si="242"/>
        <v>26.507006787336728</v>
      </c>
      <c r="AX136" s="1183"/>
      <c r="AZ136" s="1282">
        <f>SUM(AZ131:AZ132)</f>
        <v>0.87963257810340889</v>
      </c>
      <c r="BA136" s="316">
        <f t="shared" si="243"/>
        <v>37.593263421597058</v>
      </c>
      <c r="BB136" s="1183"/>
      <c r="BD136" s="1282">
        <f>SUM(BD131:BD132)</f>
        <v>1.0964200665910677</v>
      </c>
      <c r="BE136" s="316">
        <f t="shared" si="244"/>
        <v>24.645231871138517</v>
      </c>
      <c r="BF136" s="1183"/>
      <c r="BH136" s="1282">
        <f>SUM(BH131:BH132)</f>
        <v>1.1035880789181156</v>
      </c>
      <c r="BI136" s="316">
        <f t="shared" si="245"/>
        <v>0.65376515310726635</v>
      </c>
      <c r="BJ136" s="1183"/>
      <c r="BL136" s="1282">
        <f>SUM(BL131:BL132)</f>
        <v>1.1882894631935383</v>
      </c>
      <c r="BM136" s="316">
        <f t="shared" si="246"/>
        <v>81.760905662491012</v>
      </c>
      <c r="BN136" s="1183"/>
      <c r="BP136" s="1282">
        <f>SUM(BP131:BP132)</f>
        <v>1.6229488485844605</v>
      </c>
      <c r="BQ136" s="316">
        <f t="shared" si="253"/>
        <v>36.578577766966916</v>
      </c>
      <c r="BR136" s="1183"/>
      <c r="BT136" s="1282">
        <f>SUM(BT131:BT132)</f>
        <v>1.9020472978751308</v>
      </c>
      <c r="BU136" s="316">
        <f t="shared" si="254"/>
        <v>17.196996044213009</v>
      </c>
      <c r="BV136" s="1183"/>
      <c r="BX136" s="1282">
        <f>SUM(BX131:BX132)</f>
        <v>1.9998393693607381</v>
      </c>
      <c r="BY136" s="316">
        <f t="shared" si="255"/>
        <v>5.14141113077764</v>
      </c>
      <c r="BZ136" s="1183"/>
      <c r="CB136" s="1282">
        <f>SUM(CB131:CB132)</f>
        <v>1.822300862306141</v>
      </c>
      <c r="CC136" s="316">
        <f t="shared" si="247"/>
        <v>-8.8776383630925544</v>
      </c>
      <c r="CF136" s="1282">
        <f>SUM(CF131:CF132)</f>
        <v>1.2515470149663854</v>
      </c>
      <c r="CG136" s="316">
        <f t="shared" si="248"/>
        <v>-31.320505803715669</v>
      </c>
      <c r="CJ136" s="1282">
        <f>SUM(CJ131:CJ132)</f>
        <v>1.0831201134969697</v>
      </c>
      <c r="CK136" s="316">
        <f t="shared" si="249"/>
        <v>-13.457496958189729</v>
      </c>
      <c r="CN136" s="1282">
        <f>SUM(CN131:CN132)</f>
        <v>1.1964347171719034</v>
      </c>
      <c r="CO136" s="316">
        <f t="shared" si="250"/>
        <v>10.461868657307583</v>
      </c>
      <c r="CR136" s="1282">
        <f>SUM(CR131:CR132)</f>
        <v>1.4866436701202084</v>
      </c>
      <c r="CS136" s="316">
        <f t="shared" si="251"/>
        <v>24.256146096653918</v>
      </c>
      <c r="CT136" s="3"/>
      <c r="CV136" s="154"/>
      <c r="CW136" s="154"/>
      <c r="CX136" s="154"/>
      <c r="CY136" s="154"/>
    </row>
    <row r="137" spans="1:103" hidden="1" outlineLevel="1">
      <c r="A137" s="3" t="str">
        <f>$A$16</f>
        <v>9 Mos</v>
      </c>
      <c r="D137" s="1281"/>
      <c r="E137" s="22"/>
      <c r="H137" s="1281"/>
      <c r="I137" s="22"/>
      <c r="L137" s="1281"/>
      <c r="M137" s="22"/>
      <c r="P137" s="1281"/>
      <c r="Q137" s="22"/>
      <c r="T137" s="1281"/>
      <c r="U137" s="22"/>
      <c r="X137" s="1281">
        <f>SUM(X131:X133)</f>
        <v>0.11900631714399905</v>
      </c>
      <c r="Y137" s="22"/>
      <c r="AB137" s="1281">
        <f>SUM(AB131:AB133)</f>
        <v>0.15919645589173792</v>
      </c>
      <c r="AC137" s="22">
        <f t="shared" si="238"/>
        <v>33.771433073681557</v>
      </c>
      <c r="AF137" s="1281">
        <f>SUM(AF131:AF133)</f>
        <v>0.19385388229478559</v>
      </c>
      <c r="AG137" s="22">
        <f t="shared" si="239"/>
        <v>21.770224851372678</v>
      </c>
      <c r="AJ137" s="1281">
        <f>SUM(AJ131:AJ133)</f>
        <v>0.33030992558902017</v>
      </c>
      <c r="AK137" s="22">
        <f t="shared" si="252"/>
        <v>70.391184163509052</v>
      </c>
      <c r="AN137" s="1281">
        <f>SUM(AN131:AN133)</f>
        <v>0.54429162673111464</v>
      </c>
      <c r="AO137" s="22">
        <f t="shared" si="240"/>
        <v>64.782098436949724</v>
      </c>
      <c r="AR137" s="1282">
        <f>SUM(AR131:AR133)</f>
        <v>0.72268862689082469</v>
      </c>
      <c r="AS137" s="316">
        <f t="shared" si="241"/>
        <v>32.775995697585827</v>
      </c>
      <c r="AT137" s="1183"/>
      <c r="AV137" s="1282">
        <f>SUM(AV131:AV133)</f>
        <v>0.89902893659351468</v>
      </c>
      <c r="AW137" s="316">
        <f t="shared" si="242"/>
        <v>24.400592888993877</v>
      </c>
      <c r="AX137" s="1183"/>
      <c r="AZ137" s="1282">
        <f>SUM(AZ131:AZ133)</f>
        <v>1.2682280817958438</v>
      </c>
      <c r="BA137" s="316">
        <f t="shared" si="243"/>
        <v>41.066436259688288</v>
      </c>
      <c r="BB137" s="1183"/>
      <c r="BD137" s="1282">
        <f>SUM(BD131:BD133)</f>
        <v>1.5583519025491217</v>
      </c>
      <c r="BE137" s="316">
        <f t="shared" si="244"/>
        <v>22.876312622131433</v>
      </c>
      <c r="BF137" s="1183"/>
      <c r="BH137" s="1282">
        <f>SUM(BH131:BH133)</f>
        <v>1.4871483160390566</v>
      </c>
      <c r="BI137" s="316">
        <f t="shared" si="245"/>
        <v>-4.5691596611517333</v>
      </c>
      <c r="BJ137" s="1183"/>
      <c r="BL137" s="1282">
        <f>SUM(BL131:BL133)</f>
        <v>1.6903789013385253</v>
      </c>
      <c r="BM137" s="316" t="str">
        <f t="shared" si="246"/>
        <v xml:space="preserve">       NM</v>
      </c>
      <c r="BN137" s="1183"/>
      <c r="BP137" s="1282">
        <f>SUM(BP131:BP133)</f>
        <v>2.2396685621313077</v>
      </c>
      <c r="BQ137" s="316">
        <f t="shared" si="253"/>
        <v>32.495061335528263</v>
      </c>
      <c r="BR137" s="1183"/>
      <c r="BT137" s="1282">
        <f>SUM(BT131:BT133)</f>
        <v>2.6686744410048497</v>
      </c>
      <c r="BU137" s="316">
        <f t="shared" si="254"/>
        <v>19.154882384261906</v>
      </c>
      <c r="BV137" s="1183"/>
      <c r="BX137" s="1282">
        <f>SUM(BX131:BX133)</f>
        <v>2.8393047693270095</v>
      </c>
      <c r="BY137" s="316">
        <f t="shared" si="255"/>
        <v>6.3938233041985981</v>
      </c>
      <c r="BZ137" s="1183"/>
      <c r="CB137" s="1282">
        <f>SUM(CB131:CB133)</f>
        <v>2.506569920602105</v>
      </c>
      <c r="CC137" s="316">
        <f t="shared" si="247"/>
        <v>-11.718884577641564</v>
      </c>
      <c r="CF137" s="1282">
        <f>SUM(CF131:CF133)</f>
        <v>1.6127582622627086</v>
      </c>
      <c r="CG137" s="316">
        <f t="shared" si="248"/>
        <v>-35.658756254630767</v>
      </c>
      <c r="CJ137" s="1282">
        <f>SUM(CJ131:CJ133)</f>
        <v>1.5271272691320312</v>
      </c>
      <c r="CK137" s="316">
        <f t="shared" si="249"/>
        <v>-5.3095987870207306</v>
      </c>
      <c r="CN137" s="1282">
        <f>SUM(CN131:CN133)</f>
        <v>1.6570214969527448</v>
      </c>
      <c r="CO137" s="316">
        <f t="shared" si="250"/>
        <v>8.5057892977407956</v>
      </c>
      <c r="CR137" s="1282">
        <f>SUM(CR131:CR133)</f>
        <v>1.9641200884054764</v>
      </c>
      <c r="CS137" s="316">
        <f t="shared" si="251"/>
        <v>18.533168822340841</v>
      </c>
      <c r="CT137" s="3"/>
      <c r="CV137" s="154"/>
      <c r="CW137" s="154"/>
      <c r="CX137" s="154"/>
      <c r="CY137" s="154"/>
    </row>
    <row r="138" spans="1:103" collapsed="1">
      <c r="W138" s="127"/>
      <c r="AR138" s="61"/>
      <c r="AS138" s="61"/>
      <c r="AT138" s="1183"/>
      <c r="AV138" s="61"/>
      <c r="AW138" s="61"/>
      <c r="AX138" s="1183"/>
      <c r="AZ138" s="61"/>
      <c r="BA138" s="61"/>
      <c r="BB138" s="1183"/>
      <c r="BD138" s="61"/>
      <c r="BE138" s="61"/>
      <c r="BF138" s="1183"/>
      <c r="BH138" s="61"/>
      <c r="BI138" s="61"/>
      <c r="BJ138" s="1183"/>
      <c r="BL138" s="61"/>
      <c r="BM138" s="61"/>
      <c r="BN138" s="1183"/>
      <c r="BP138" s="61"/>
      <c r="BQ138" s="61"/>
      <c r="BR138" s="1183"/>
      <c r="BT138" s="61"/>
      <c r="BU138" s="61"/>
      <c r="BV138" s="1183"/>
      <c r="BX138" s="1200"/>
      <c r="BY138" s="61"/>
      <c r="BZ138" s="1183"/>
      <c r="CB138" s="302"/>
      <c r="CF138" s="654"/>
      <c r="CJ138" s="654"/>
      <c r="CN138" s="654"/>
      <c r="CR138" s="654"/>
      <c r="CS138" s="3"/>
      <c r="CT138" s="3"/>
      <c r="CV138" s="154"/>
      <c r="CW138" s="154"/>
      <c r="CX138" s="154"/>
      <c r="CY138" s="154"/>
    </row>
    <row r="139" spans="1:103" ht="11.25" customHeight="1">
      <c r="D139" s="1260"/>
      <c r="E139" s="127"/>
      <c r="F139" s="127"/>
      <c r="G139" s="127"/>
      <c r="H139" s="1260"/>
      <c r="I139" s="127"/>
      <c r="J139" s="127"/>
      <c r="K139" s="127"/>
      <c r="L139" s="1260"/>
      <c r="M139" s="127"/>
      <c r="N139" s="127"/>
      <c r="O139" s="127"/>
      <c r="P139" s="1260"/>
      <c r="Q139" s="127"/>
      <c r="R139" s="127"/>
      <c r="S139" s="127"/>
      <c r="U139" s="127"/>
      <c r="V139" s="127"/>
      <c r="Y139" s="127"/>
      <c r="Z139" s="127"/>
      <c r="AA139" s="127"/>
      <c r="AC139" s="127"/>
      <c r="AD139" s="127"/>
      <c r="AE139" s="127"/>
      <c r="AG139" s="127"/>
      <c r="AH139" s="127"/>
      <c r="AI139" s="127"/>
      <c r="AK139" s="127"/>
      <c r="AL139" s="127"/>
      <c r="AM139" s="127"/>
      <c r="AN139" s="1260"/>
      <c r="AO139" s="127"/>
      <c r="AP139" s="127"/>
      <c r="AQ139" s="127"/>
      <c r="AS139" s="1197"/>
      <c r="AT139" s="1198"/>
      <c r="AU139" s="127"/>
      <c r="AV139" s="1199"/>
      <c r="AW139" s="1197"/>
      <c r="AX139" s="1198"/>
      <c r="AY139" s="127"/>
      <c r="AZ139" s="1199"/>
      <c r="BA139" s="1197"/>
      <c r="BB139" s="1198"/>
      <c r="BC139" s="127"/>
      <c r="BD139" s="1199"/>
      <c r="BE139" s="1197"/>
      <c r="BF139" s="1198"/>
      <c r="BG139" s="127"/>
      <c r="BH139" s="1199"/>
      <c r="BI139" s="1197"/>
      <c r="BJ139" s="1198"/>
      <c r="BK139" s="127"/>
      <c r="BL139" s="1260" t="s">
        <v>756</v>
      </c>
      <c r="BM139" s="1197"/>
      <c r="BN139" s="1198"/>
      <c r="BO139" s="127"/>
      <c r="BQ139" s="1197"/>
      <c r="BR139" s="1198"/>
      <c r="BS139" s="127"/>
      <c r="BW139" s="216"/>
      <c r="BX139" s="1199"/>
      <c r="BY139" s="1260" t="s">
        <v>756</v>
      </c>
      <c r="BZ139" s="1198"/>
      <c r="CA139" s="127"/>
      <c r="CB139" s="1230"/>
      <c r="CC139" s="127"/>
      <c r="CD139" s="127"/>
      <c r="CE139" s="127"/>
      <c r="CF139" s="127"/>
      <c r="CG139" s="127"/>
      <c r="CH139" s="127"/>
      <c r="CI139" s="127"/>
      <c r="CJ139" s="127"/>
      <c r="CK139" s="127"/>
      <c r="CL139" s="127"/>
      <c r="CM139" s="127"/>
      <c r="CN139" s="127"/>
      <c r="CO139" s="127"/>
      <c r="CP139" s="127"/>
      <c r="CQ139" s="127"/>
      <c r="CR139" s="127"/>
      <c r="CS139" s="127"/>
      <c r="CT139" s="127"/>
      <c r="CU139" s="1197"/>
      <c r="CV139" s="1285"/>
      <c r="CW139" s="1285"/>
      <c r="CX139" s="1285"/>
      <c r="CY139" s="1285"/>
    </row>
    <row r="140" spans="1:103">
      <c r="AR140" s="61"/>
      <c r="AS140" s="61"/>
      <c r="AT140" s="1286"/>
      <c r="AV140" s="61"/>
      <c r="AW140" s="61"/>
      <c r="AX140" s="1287"/>
      <c r="AY140" s="1287"/>
      <c r="AZ140" s="61"/>
      <c r="BA140" s="61"/>
      <c r="BB140" s="1287"/>
      <c r="BC140" s="1287"/>
      <c r="BD140" s="1228"/>
      <c r="BE140" s="1066"/>
      <c r="BF140" s="1288" t="s">
        <v>119</v>
      </c>
      <c r="BG140" s="1287"/>
      <c r="BH140" s="1200"/>
      <c r="BI140" s="1200"/>
      <c r="BJ140" s="1287"/>
      <c r="BK140" s="1287"/>
      <c r="BL140" s="61"/>
      <c r="BM140" s="61"/>
      <c r="BN140" s="1287"/>
      <c r="BO140" s="1287"/>
      <c r="BP140" s="1200"/>
      <c r="BQ140" s="61"/>
      <c r="BR140" s="1289"/>
      <c r="BS140" s="1287"/>
      <c r="BT140" s="61"/>
      <c r="BU140" s="61"/>
      <c r="BV140" s="1287"/>
      <c r="BW140" s="1287"/>
      <c r="BX140" s="61"/>
      <c r="BY140" s="61"/>
      <c r="BZ140" s="1287"/>
      <c r="CA140" s="1287"/>
      <c r="CB140" s="1287"/>
      <c r="CC140" s="1287"/>
      <c r="CD140" s="1287"/>
      <c r="CE140" s="1287"/>
      <c r="CF140" s="1287"/>
      <c r="CG140" s="1287"/>
      <c r="CH140" s="1287"/>
      <c r="CI140" s="1287"/>
      <c r="CJ140" s="1630"/>
      <c r="CK140" s="1287"/>
      <c r="CL140" s="1287"/>
      <c r="CM140" s="1287"/>
      <c r="CN140" s="1630"/>
      <c r="CO140" s="1287"/>
      <c r="CP140" s="1287"/>
      <c r="CQ140" s="1287"/>
      <c r="CR140" s="1630"/>
      <c r="CS140" s="1287"/>
      <c r="CT140" s="1287"/>
      <c r="CU140" s="1290"/>
      <c r="CV140" s="1276"/>
      <c r="CW140" s="1276">
        <v>0.66</v>
      </c>
      <c r="CX140" s="1276">
        <v>2</v>
      </c>
      <c r="CY140" s="1276"/>
    </row>
    <row r="141" spans="1:103">
      <c r="A141" s="3" t="str">
        <f>$A$10</f>
        <v>1Q</v>
      </c>
      <c r="B141" s="3" t="str">
        <f>$B$10</f>
        <v>Sept</v>
      </c>
      <c r="D141" s="1279"/>
      <c r="E141" s="22"/>
      <c r="H141" s="1279"/>
      <c r="I141" s="22"/>
      <c r="L141" s="1279"/>
      <c r="M141" s="22"/>
      <c r="P141" s="1279"/>
      <c r="Q141" s="22"/>
      <c r="T141" s="1280"/>
      <c r="U141" s="22"/>
      <c r="X141" s="1280">
        <f>X121/X161</f>
        <v>7.3178571428571407E-3</v>
      </c>
      <c r="Y141" s="22"/>
      <c r="AB141" s="1280">
        <f>AB121/AB161</f>
        <v>2.7090589847541893E-2</v>
      </c>
      <c r="AC141" s="22">
        <f t="shared" ref="AC141:AC147" si="256">IF(X141&lt;0,"       NM",(AB141/X141-1)*100)</f>
        <v>270.1983971357605</v>
      </c>
      <c r="AF141" s="1280">
        <f>AF121/AF161</f>
        <v>3.4750554323725057E-2</v>
      </c>
      <c r="AG141" s="22">
        <f t="shared" ref="AG141:AG147" si="257">IF(AB141&lt;0,"       NM",(AF141/AB141-1)*100)</f>
        <v>28.275369858283849</v>
      </c>
      <c r="AH141" s="1291"/>
      <c r="AJ141" s="1280">
        <f>AJ121/AJ161</f>
        <v>6.109226889294718E-2</v>
      </c>
      <c r="AK141" s="22">
        <f t="shared" ref="AK141:AK147" si="258">IF(AF141&lt;0,"       NM",(AJ141/AF141-1)*100)</f>
        <v>75.802285983213764</v>
      </c>
      <c r="AL141" s="1030"/>
      <c r="AN141" s="1280">
        <f>AN121/AN161</f>
        <v>0.1108326918343728</v>
      </c>
      <c r="AO141" s="22">
        <f t="shared" ref="AO141:AO147" si="259">IF(AJ141&lt;0,"       NM",(AN141/AJ141-1)*100)</f>
        <v>81.418522904406217</v>
      </c>
      <c r="AR141" s="1280">
        <f>AR121/AR161</f>
        <v>0.15656547502901214</v>
      </c>
      <c r="AS141" s="316">
        <f>IF(AN141&lt;0,"       NM",(AR141/AN141-1)*100)</f>
        <v>41.262900357037168</v>
      </c>
      <c r="AT141" s="1183"/>
      <c r="AV141" s="1280">
        <f>AV121/AV161</f>
        <v>0.22536746227934321</v>
      </c>
      <c r="AW141" s="316">
        <f>IF(AR141&lt;0,"       NM",(AV141/AR141-1)*100)</f>
        <v>43.944546035824182</v>
      </c>
      <c r="AX141" s="1292"/>
      <c r="AY141" s="1293"/>
      <c r="AZ141" s="1280">
        <f>AZ121/AZ161</f>
        <v>0.3083961335074612</v>
      </c>
      <c r="BA141" s="316">
        <f t="shared" ref="BA141:BA147" si="260">IF(AV141&lt;0,"       NM",(AZ141/AV141-1)*100)</f>
        <v>36.841463443025276</v>
      </c>
      <c r="BB141" s="1294"/>
      <c r="BC141" s="1293"/>
      <c r="BD141" s="1280">
        <f>BD121/BD161</f>
        <v>0.40809945028145062</v>
      </c>
      <c r="BE141" s="316">
        <f>IF(AZ141&lt;0,"       NM",(BD141/AZ141-1)*100)</f>
        <v>32.329626068926466</v>
      </c>
      <c r="BF141" s="1294"/>
      <c r="BG141" s="1293"/>
      <c r="BH141" s="1280">
        <f>BH121/BH161</f>
        <v>0.43652981980282785</v>
      </c>
      <c r="BI141" s="316">
        <f>IF(BD141&lt;0,"       NM",(BH141/BD141-1)*100)</f>
        <v>6.9665297274401849</v>
      </c>
      <c r="BJ141" s="1292"/>
      <c r="BK141" s="1293"/>
      <c r="BL141" s="1280">
        <f>BL121/BL161</f>
        <v>0.43855628046027123</v>
      </c>
      <c r="BM141" s="316">
        <f>IF(BH141&lt;0,"       NM",(BL141/BH141-1)*100)</f>
        <v>0.46422044165475018</v>
      </c>
      <c r="BN141" s="1292"/>
      <c r="BO141" s="1293"/>
      <c r="BP141" s="1280">
        <f>BP121/BP161</f>
        <v>0.6269763551082328</v>
      </c>
      <c r="BQ141" s="316">
        <f t="shared" ref="BQ141:BQ147" si="261">IF(BL141&lt;0,"       NM",(BP141/BL141-1)*100)</f>
        <v>42.963715956869187</v>
      </c>
      <c r="BR141" s="1294"/>
      <c r="BS141" s="1293"/>
      <c r="BT141" s="1280">
        <f>BT121/BT161</f>
        <v>0.72612710593512264</v>
      </c>
      <c r="BU141" s="316">
        <f t="shared" ref="BU141:BU147" si="262">IF(BP141&lt;0,"       NM",(BT141/BP141-1)*100)</f>
        <v>15.814113246706697</v>
      </c>
      <c r="BV141" s="1294"/>
      <c r="BW141" s="1293"/>
      <c r="BX141" s="1280">
        <f>BX121/BX161</f>
        <v>0.76735979923534681</v>
      </c>
      <c r="BY141" s="316">
        <f t="shared" ref="BY141:BY147" si="263">IF(BT141&lt;0,"       NM",(BX141/BT141-1)*100)</f>
        <v>5.6784401743443791</v>
      </c>
      <c r="BZ141" s="1294"/>
      <c r="CA141" s="1293"/>
      <c r="CB141" s="1280">
        <f>CB121/CB161</f>
        <v>0.76581034961495587</v>
      </c>
      <c r="CC141" s="316">
        <f t="shared" ref="CC141:CC147" si="264">IF(BX141&lt;0,"       NM",(CB141/BX141-1)*100)</f>
        <v>-0.20191957174912067</v>
      </c>
      <c r="CD141" s="1295"/>
      <c r="CE141" s="1293"/>
      <c r="CF141" s="1280">
        <f>CF121/CF161</f>
        <v>0.52749638205499261</v>
      </c>
      <c r="CG141" s="316">
        <f t="shared" ref="CG141:CG147" si="265">IF(CB141&lt;0,"       NM",(CF141/CB141-1)*100)</f>
        <v>-31.119188671161979</v>
      </c>
      <c r="CH141" s="1295"/>
      <c r="CI141" s="1293"/>
      <c r="CJ141" s="1280">
        <f>CJ121/CJ161</f>
        <v>0.40639597556593565</v>
      </c>
      <c r="CK141" s="316">
        <f t="shared" ref="CK141:CK147" si="266">IF(CF141&lt;0,"       NM",(CJ141/CF141-1)*100)</f>
        <v>-22.957580489420682</v>
      </c>
      <c r="CL141" s="1296"/>
      <c r="CM141" s="1293"/>
      <c r="CN141" s="1280">
        <f>CN121/CN161</f>
        <v>0.44696700957786445</v>
      </c>
      <c r="CO141" s="316">
        <f t="shared" ref="CO141:CO147" si="267">IF(CJ141&lt;0,"       NM",(CN141/CJ141-1)*100)</f>
        <v>9.9831288819803632</v>
      </c>
      <c r="CP141" s="1296"/>
      <c r="CQ141" s="1296"/>
      <c r="CR141" s="1280">
        <f>CR121/CR161</f>
        <v>0.41750959190791798</v>
      </c>
      <c r="CS141" s="316">
        <f t="shared" ref="CS141:CS147" si="268">IF(CN141&lt;0,"       NM",(CR141/CN141-1)*100)</f>
        <v>-6.5905127310777019</v>
      </c>
      <c r="CT141" s="1296"/>
      <c r="CU141" s="1297"/>
      <c r="CV141" s="1276"/>
      <c r="CW141" s="1276">
        <v>0.33</v>
      </c>
      <c r="CX141" s="1276">
        <v>10</v>
      </c>
      <c r="CY141" s="1276"/>
    </row>
    <row r="142" spans="1:103">
      <c r="A142" s="3" t="str">
        <f>$A$11</f>
        <v>2Q</v>
      </c>
      <c r="B142" s="3" t="str">
        <f>$B$11</f>
        <v>Dec</v>
      </c>
      <c r="D142" s="1281"/>
      <c r="E142" s="22"/>
      <c r="H142" s="1281"/>
      <c r="I142" s="22"/>
      <c r="L142" s="1281"/>
      <c r="M142" s="22"/>
      <c r="P142" s="1281"/>
      <c r="Q142" s="22"/>
      <c r="T142" s="1282"/>
      <c r="U142" s="22"/>
      <c r="X142" s="1282">
        <f>X122/X162</f>
        <v>0.10086078912807621</v>
      </c>
      <c r="Y142" s="22"/>
      <c r="AB142" s="1282">
        <f>AB122/AB162</f>
        <v>0.11009143396311191</v>
      </c>
      <c r="AC142" s="22">
        <f t="shared" si="256"/>
        <v>9.1518665626483919</v>
      </c>
      <c r="AF142" s="1282">
        <f>AF122/AF162</f>
        <v>0.12348875443168217</v>
      </c>
      <c r="AG142" s="22">
        <f t="shared" si="257"/>
        <v>12.169266932302158</v>
      </c>
      <c r="AJ142" s="1282">
        <f>AJ122/AJ162</f>
        <v>0.16977771251108187</v>
      </c>
      <c r="AK142" s="22">
        <f t="shared" si="258"/>
        <v>37.484350937403121</v>
      </c>
      <c r="AN142" s="1282">
        <f>AN122/AN162</f>
        <v>0.24855522943138933</v>
      </c>
      <c r="AO142" s="316">
        <f t="shared" si="259"/>
        <v>46.400387751228209</v>
      </c>
      <c r="AP142" s="1291"/>
      <c r="AR142" s="1282">
        <f>AR122/AR162</f>
        <v>0.3249648539229168</v>
      </c>
      <c r="AS142" s="316">
        <f t="shared" ref="AS142:AS147" si="269">IF(AN142&lt;0,"       NM",(AR142/AN142-1)*100)</f>
        <v>30.741507497680477</v>
      </c>
      <c r="AT142" s="1183"/>
      <c r="AV142" s="1282">
        <f>AV122/AV162</f>
        <v>0.41393169832573851</v>
      </c>
      <c r="AW142" s="316">
        <f t="shared" ref="AW142:AW147" si="270">IF(AR142&lt;0,"       NM",(AV142/AR142-1)*100)</f>
        <v>27.377374300275893</v>
      </c>
      <c r="AX142" s="1298"/>
      <c r="AY142" s="1299"/>
      <c r="AZ142" s="1282">
        <f>AZ122/AZ162</f>
        <v>0.57123644459594769</v>
      </c>
      <c r="BA142" s="316">
        <f t="shared" si="260"/>
        <v>38.002585186510672</v>
      </c>
      <c r="BB142" s="1300"/>
      <c r="BC142" s="1299"/>
      <c r="BD142" s="1282">
        <f>BD122/BD162</f>
        <v>0.68832061630961705</v>
      </c>
      <c r="BE142" s="316">
        <f t="shared" ref="BE142:BE147" si="271">IF(AZ142&lt;0,"       NM",(BD142/AZ142-1)*100)</f>
        <v>20.496621464074561</v>
      </c>
      <c r="BF142" s="1300"/>
      <c r="BG142" s="1299"/>
      <c r="BH142" s="1282">
        <f>BH122/BH162</f>
        <v>0.66705825911528782</v>
      </c>
      <c r="BI142" s="316">
        <f t="shared" ref="BI142:BI147" si="272">IF(BD142&lt;0,"       NM",(BH142/BD142-1)*100)</f>
        <v>-3.0890193741872629</v>
      </c>
      <c r="BJ142" s="1298"/>
      <c r="BK142" s="1299"/>
      <c r="BL142" s="1282">
        <f>BL122/BL162</f>
        <v>0.74973318273326717</v>
      </c>
      <c r="BM142" s="316">
        <f>IF(BH142&lt;0,"       NM",(BL142/BH142-1)*100)</f>
        <v>12.393958471877742</v>
      </c>
      <c r="BN142" s="1298"/>
      <c r="BO142" s="1299"/>
      <c r="BP142" s="1282">
        <f>BP122/BP162</f>
        <v>0.99597249347622763</v>
      </c>
      <c r="BQ142" s="316">
        <f t="shared" si="261"/>
        <v>32.843592415805503</v>
      </c>
      <c r="BR142" s="1300"/>
      <c r="BS142" s="1299"/>
      <c r="BT142" s="1282">
        <f>BT122/BT162</f>
        <v>1.1759201919400082</v>
      </c>
      <c r="BU142" s="316">
        <f t="shared" si="262"/>
        <v>18.067536969390787</v>
      </c>
      <c r="BV142" s="1300"/>
      <c r="BW142" s="1299"/>
      <c r="BX142" s="1282">
        <f>BX122/BX162</f>
        <v>1.2324795701253912</v>
      </c>
      <c r="BY142" s="316">
        <f t="shared" si="263"/>
        <v>4.8097973462019272</v>
      </c>
      <c r="BZ142" s="1300"/>
      <c r="CA142" s="1299"/>
      <c r="CB142" s="1282">
        <f>CB122/CB162</f>
        <v>1.0564905126911852</v>
      </c>
      <c r="CC142" s="316">
        <f t="shared" si="264"/>
        <v>-14.27926772176037</v>
      </c>
      <c r="CD142" s="1300"/>
      <c r="CE142" s="1299"/>
      <c r="CF142" s="1301">
        <f>CF122/CF162</f>
        <v>0.72405063291139282</v>
      </c>
      <c r="CG142" s="316">
        <f>IF(CB142&lt;0,"       NM",(CF142/CB142-1)*100)</f>
        <v>-31.466433042827092</v>
      </c>
      <c r="CH142" s="1300"/>
      <c r="CI142" s="1299"/>
      <c r="CJ142" s="1301">
        <f>CJ122/CJ162</f>
        <v>0.67672413793103403</v>
      </c>
      <c r="CK142" s="316">
        <f t="shared" si="266"/>
        <v>-6.5363515794551468</v>
      </c>
      <c r="CL142" s="1300"/>
      <c r="CM142" s="1299"/>
      <c r="CN142" s="1301">
        <f>CN122/CN162</f>
        <v>0.74946770759403891</v>
      </c>
      <c r="CO142" s="316">
        <f t="shared" si="267"/>
        <v>10.749368255934488</v>
      </c>
      <c r="CP142" s="1300"/>
      <c r="CQ142" s="1300"/>
      <c r="CR142" s="1301">
        <f>CR122/CR162</f>
        <v>1.0691340782122905</v>
      </c>
      <c r="CS142" s="316">
        <f t="shared" si="268"/>
        <v>42.652454185711754</v>
      </c>
      <c r="CT142" s="1300"/>
      <c r="CU142" s="1302"/>
      <c r="CV142" s="1276"/>
      <c r="CW142" s="1276"/>
      <c r="CX142" s="1276">
        <f>SUMPRODUCT(CX140:CX141,CW140:CW141)</f>
        <v>4.62</v>
      </c>
      <c r="CY142" s="1276"/>
    </row>
    <row r="143" spans="1:103">
      <c r="A143" s="3" t="str">
        <f>$A$12</f>
        <v>3Q</v>
      </c>
      <c r="B143" s="3" t="str">
        <f>$B$12</f>
        <v>Mar</v>
      </c>
      <c r="D143" s="1281"/>
      <c r="E143" s="22"/>
      <c r="H143" s="1281"/>
      <c r="I143" s="22"/>
      <c r="L143" s="1281"/>
      <c r="M143" s="22"/>
      <c r="P143" s="1281"/>
      <c r="Q143" s="22"/>
      <c r="T143" s="1282"/>
      <c r="U143" s="22"/>
      <c r="X143" s="1282">
        <f>X123/X163</f>
        <v>1.0827670873065699E-2</v>
      </c>
      <c r="Y143" s="22"/>
      <c r="AB143" s="1282">
        <f>AB123/AB163</f>
        <v>2.2014432081084098E-2</v>
      </c>
      <c r="AC143" s="22">
        <f t="shared" si="256"/>
        <v>103.31641346659283</v>
      </c>
      <c r="AF143" s="1282">
        <f>AF123/AF163</f>
        <v>3.2235449446784345E-2</v>
      </c>
      <c r="AG143" s="22">
        <f t="shared" si="257"/>
        <v>46.428712437613399</v>
      </c>
      <c r="AJ143" s="1282">
        <f>AJ123/AJ163</f>
        <v>8.5400446131737529E-2</v>
      </c>
      <c r="AK143" s="22">
        <f t="shared" si="258"/>
        <v>164.92711470556731</v>
      </c>
      <c r="AN143" s="1282">
        <f>AN123/AN163</f>
        <v>0.15062031983344484</v>
      </c>
      <c r="AO143" s="22">
        <f t="shared" si="259"/>
        <v>76.369476572874163</v>
      </c>
      <c r="AP143" s="1214"/>
      <c r="AR143" s="1282">
        <f>AR123/AR163</f>
        <v>0.20651210774011836</v>
      </c>
      <c r="AS143" s="316">
        <f t="shared" si="269"/>
        <v>37.107734181203675</v>
      </c>
      <c r="AT143" s="1303"/>
      <c r="AV143" s="1282">
        <f>AV123/AV163</f>
        <v>0.25972977598843289</v>
      </c>
      <c r="AW143" s="316">
        <f t="shared" si="270"/>
        <v>25.769756955502764</v>
      </c>
      <c r="AX143" s="1298"/>
      <c r="AY143" s="1299"/>
      <c r="AZ143" s="1304">
        <f>AZ123/AZ163</f>
        <v>0.38859550369243495</v>
      </c>
      <c r="BA143" s="316">
        <f t="shared" si="260"/>
        <v>49.615307761148308</v>
      </c>
      <c r="BB143" s="1300"/>
      <c r="BC143" s="1299"/>
      <c r="BD143" s="1282">
        <f>BD123/BD163</f>
        <v>0.46193183595805387</v>
      </c>
      <c r="BE143" s="316">
        <f t="shared" si="271"/>
        <v>18.872151522283964</v>
      </c>
      <c r="BF143" s="1300"/>
      <c r="BG143" s="1299"/>
      <c r="BH143" s="1282">
        <f>BH123/BH163</f>
        <v>0.38356023712094089</v>
      </c>
      <c r="BI143" s="316">
        <f t="shared" si="272"/>
        <v>-16.966052723897896</v>
      </c>
      <c r="BJ143" s="1298"/>
      <c r="BK143" s="1299"/>
      <c r="BL143" s="1282">
        <f>BL123/BL163</f>
        <v>0.50208943814498697</v>
      </c>
      <c r="BM143" s="316">
        <f>IF(BH143&lt;0,"       NM",(BL143/BH143-1)*100)</f>
        <v>30.902369315897694</v>
      </c>
      <c r="BN143" s="1298"/>
      <c r="BO143" s="1299"/>
      <c r="BP143" s="1282">
        <f>BP123/BP163</f>
        <v>0.61671971354684696</v>
      </c>
      <c r="BQ143" s="316">
        <f t="shared" si="261"/>
        <v>22.830648624151806</v>
      </c>
      <c r="BR143" s="1300"/>
      <c r="BS143" s="1299"/>
      <c r="BT143" s="1282">
        <f>BT123/BT163</f>
        <v>0.76662714312971902</v>
      </c>
      <c r="BU143" s="316">
        <f t="shared" si="262"/>
        <v>24.307221950265244</v>
      </c>
      <c r="BV143" s="1300"/>
      <c r="BW143" s="1299"/>
      <c r="BX143" s="1282">
        <f>BX123/BX163</f>
        <v>0.83946539996627112</v>
      </c>
      <c r="BY143" s="316">
        <f t="shared" si="263"/>
        <v>9.5011320026047397</v>
      </c>
      <c r="BZ143" s="1300"/>
      <c r="CA143" s="1299"/>
      <c r="CB143" s="1282">
        <f>CB123/CB163</f>
        <v>0.68426905829596396</v>
      </c>
      <c r="CC143" s="316">
        <f t="shared" si="264"/>
        <v>-18.487520948039403</v>
      </c>
      <c r="CD143" s="1300"/>
      <c r="CE143" s="1299"/>
      <c r="CF143" s="1282">
        <f>CF123/CF163</f>
        <v>0.36121124729632309</v>
      </c>
      <c r="CG143" s="316">
        <f>IF(CB143&lt;0,"       NM",(CF143/CB143-1)*100)</f>
        <v>-47.212102766147588</v>
      </c>
      <c r="CH143" s="1300"/>
      <c r="CI143" s="1299"/>
      <c r="CJ143" s="1282">
        <f>CJ123/CJ163</f>
        <v>0.4440071556350616</v>
      </c>
      <c r="CK143" s="316">
        <f t="shared" si="266"/>
        <v>22.921741490185688</v>
      </c>
      <c r="CL143" s="1300"/>
      <c r="CM143" s="1299"/>
      <c r="CN143" s="1282">
        <f>CN123/CN163</f>
        <v>0.46058677978084134</v>
      </c>
      <c r="CO143" s="316">
        <f t="shared" si="267"/>
        <v>3.7340894026957727</v>
      </c>
      <c r="CP143" s="1300"/>
      <c r="CQ143" s="1300"/>
      <c r="CR143" s="1282">
        <f>CR123/CR163</f>
        <v>0.47747641828526799</v>
      </c>
      <c r="CS143" s="316">
        <f t="shared" si="268"/>
        <v>3.6669829108996854</v>
      </c>
      <c r="CT143" s="1300"/>
      <c r="CU143" s="1302"/>
      <c r="CV143" s="1276"/>
      <c r="CW143" s="1276"/>
      <c r="CX143" s="1276"/>
      <c r="CY143" s="1276"/>
    </row>
    <row r="144" spans="1:103">
      <c r="A144" s="3" t="str">
        <f>$A$13</f>
        <v>4Q</v>
      </c>
      <c r="B144" s="3" t="str">
        <f>$B$13</f>
        <v>June</v>
      </c>
      <c r="D144" s="1283"/>
      <c r="E144" s="22"/>
      <c r="H144" s="1283"/>
      <c r="I144" s="22"/>
      <c r="L144" s="1283"/>
      <c r="M144" s="22"/>
      <c r="P144" s="1283"/>
      <c r="Q144" s="22"/>
      <c r="T144" s="1284"/>
      <c r="U144" s="22"/>
      <c r="X144" s="1305">
        <f>X124/X164</f>
        <v>1.8764631987666293E-2</v>
      </c>
      <c r="Y144" s="22"/>
      <c r="AB144" s="1305">
        <f>AB124/AB164</f>
        <v>2.5314444736611399E-2</v>
      </c>
      <c r="AC144" s="22">
        <f t="shared" si="256"/>
        <v>34.905095678136398</v>
      </c>
      <c r="AF144" s="1305">
        <f>AF124/AF164</f>
        <v>4.6810421310020965E-2</v>
      </c>
      <c r="AG144" s="22">
        <f t="shared" si="257"/>
        <v>84.915852577720912</v>
      </c>
      <c r="AJ144" s="1305">
        <f>AJ124/AJ164</f>
        <v>7.9194687824850923E-2</v>
      </c>
      <c r="AK144" s="22">
        <f t="shared" si="258"/>
        <v>69.181745450125391</v>
      </c>
      <c r="AN144" s="1305">
        <f>AN124/AN164</f>
        <v>0.16863930397446389</v>
      </c>
      <c r="AO144" s="22">
        <f t="shared" si="259"/>
        <v>112.94269679732945</v>
      </c>
      <c r="AR144" s="1305">
        <f>AR124/AR164</f>
        <v>0.23091511834091441</v>
      </c>
      <c r="AS144" s="316">
        <f t="shared" si="269"/>
        <v>36.928410458738959</v>
      </c>
      <c r="AT144" s="1306"/>
      <c r="AV144" s="1305">
        <f>AV124/AV164</f>
        <v>0.2935634403620776</v>
      </c>
      <c r="AW144" s="316">
        <f t="shared" si="270"/>
        <v>27.130454892378065</v>
      </c>
      <c r="AX144" s="1298"/>
      <c r="AY144" s="1307"/>
      <c r="AZ144" s="1284">
        <f>AZ124/AZ164</f>
        <v>0.4189721969605375</v>
      </c>
      <c r="BA144" s="316">
        <f t="shared" si="260"/>
        <v>42.719473665992695</v>
      </c>
      <c r="BB144" s="1300"/>
      <c r="BC144" s="1307"/>
      <c r="BD144" s="1305">
        <f>BD124/BD164</f>
        <v>0.50201548943650709</v>
      </c>
      <c r="BE144" s="316">
        <f t="shared" si="271"/>
        <v>19.820716763167788</v>
      </c>
      <c r="BF144" s="1300"/>
      <c r="BG144" s="1307"/>
      <c r="BH144" s="1305">
        <f>BH124/BH164</f>
        <v>0.42515100838658143</v>
      </c>
      <c r="BI144" s="316">
        <f t="shared" si="272"/>
        <v>-15.311177178258594</v>
      </c>
      <c r="BJ144" s="1300"/>
      <c r="BK144" s="1307"/>
      <c r="BL144" s="1305">
        <f>BL124/BL164</f>
        <v>0.63569684536330517</v>
      </c>
      <c r="BM144" s="316">
        <f>IF(BH144&lt;0,"       NM",(BL144/BH144-1)*100)</f>
        <v>49.522600869684076</v>
      </c>
      <c r="BN144" s="1300"/>
      <c r="BO144" s="1307"/>
      <c r="BP144" s="1305">
        <f>BP124/BP164</f>
        <v>0.67782419774907776</v>
      </c>
      <c r="BQ144" s="316">
        <f t="shared" si="261"/>
        <v>6.6269563382364227</v>
      </c>
      <c r="BR144" s="1300"/>
      <c r="BS144" s="1307"/>
      <c r="BT144" s="1305">
        <f>BT124/BT164</f>
        <v>0.86171678467876278</v>
      </c>
      <c r="BU144" s="316">
        <f t="shared" si="262"/>
        <v>27.129835072332398</v>
      </c>
      <c r="BV144" s="1300"/>
      <c r="BW144" s="1307"/>
      <c r="BX144" s="1305">
        <f>BX124/BX164</f>
        <v>0.88992594202238251</v>
      </c>
      <c r="BY144" s="316">
        <f t="shared" si="263"/>
        <v>3.2735996147662094</v>
      </c>
      <c r="BZ144" s="1300"/>
      <c r="CA144" s="1307"/>
      <c r="CB144" s="1305">
        <f>CB124/CB164</f>
        <v>0.59171948713495925</v>
      </c>
      <c r="CC144" s="316">
        <f t="shared" si="264"/>
        <v>-33.509131581189834</v>
      </c>
      <c r="CD144" s="1300"/>
      <c r="CE144" s="1307"/>
      <c r="CF144" s="1305">
        <f>CF124/CF164</f>
        <v>0.30520646319569172</v>
      </c>
      <c r="CG144" s="316">
        <f>IF(CB144&lt;0,"       NM",(CF144/CB144-1)*100)</f>
        <v>-48.420413754925008</v>
      </c>
      <c r="CH144" s="1300"/>
      <c r="CI144" s="1307"/>
      <c r="CJ144" s="1305">
        <f>CJ124/CJ164</f>
        <v>0.4485948061188183</v>
      </c>
      <c r="CK144" s="316">
        <f t="shared" si="266"/>
        <v>46.980768828341994</v>
      </c>
      <c r="CL144" s="1300"/>
      <c r="CM144" s="1307"/>
      <c r="CN144" s="1305">
        <f>CN124/CN164</f>
        <v>0.49778714436248672</v>
      </c>
      <c r="CO144" s="316">
        <f t="shared" si="267"/>
        <v>10.965873338854259</v>
      </c>
      <c r="CP144" s="1300"/>
      <c r="CQ144" s="1300"/>
      <c r="CR144" s="1305">
        <f>CR124/CR164</f>
        <v>0.55708599632202804</v>
      </c>
      <c r="CS144" s="316">
        <f t="shared" si="268"/>
        <v>11.912491640475164</v>
      </c>
      <c r="CT144" s="1300"/>
      <c r="CU144" s="1680"/>
      <c r="CV144" s="1276"/>
      <c r="CW144" s="1276"/>
      <c r="CX144" s="1276"/>
      <c r="CY144" s="1276"/>
    </row>
    <row r="145" spans="1:103">
      <c r="B145" s="3" t="str">
        <f>$B$14</f>
        <v>Year</v>
      </c>
      <c r="D145" s="1279"/>
      <c r="E145" s="22"/>
      <c r="H145" s="1279"/>
      <c r="I145" s="22"/>
      <c r="L145" s="1279"/>
      <c r="M145" s="22"/>
      <c r="P145" s="1279"/>
      <c r="Q145" s="22"/>
      <c r="T145" s="1280"/>
      <c r="U145" s="22"/>
      <c r="X145" s="1308">
        <f>X125/X165</f>
        <v>0.13776551704448114</v>
      </c>
      <c r="Y145" s="22"/>
      <c r="AB145" s="1308">
        <f>AB125/AB165</f>
        <v>0.1898602808615619</v>
      </c>
      <c r="AC145" s="22">
        <f t="shared" si="256"/>
        <v>37.814080718225455</v>
      </c>
      <c r="AF145" s="1308">
        <f>AF125/AF165</f>
        <v>0.23591289911161925</v>
      </c>
      <c r="AG145" s="22">
        <f t="shared" si="257"/>
        <v>24.256057160073929</v>
      </c>
      <c r="AJ145" s="1308">
        <f>AJ125/AJ165</f>
        <v>0.39449640016788451</v>
      </c>
      <c r="AK145" s="22">
        <f t="shared" si="258"/>
        <v>67.221208188889008</v>
      </c>
      <c r="AN145" s="1308">
        <f>AN125/AN165</f>
        <v>0.67888099844900107</v>
      </c>
      <c r="AO145" s="22">
        <f t="shared" si="259"/>
        <v>72.088008448262642</v>
      </c>
      <c r="AR145" s="1308">
        <f>AR125/AR165</f>
        <v>0.91906784113421403</v>
      </c>
      <c r="AS145" s="316">
        <f t="shared" si="269"/>
        <v>35.379815200889929</v>
      </c>
      <c r="AT145" s="1303"/>
      <c r="AV145" s="1308">
        <f>AV125/AV165</f>
        <v>1.1944658232409684</v>
      </c>
      <c r="AW145" s="316">
        <f t="shared" si="270"/>
        <v>29.964924217877975</v>
      </c>
      <c r="AX145" s="1298"/>
      <c r="AY145" s="1309"/>
      <c r="AZ145" s="1308">
        <f>AZ125/AZ165</f>
        <v>1.6868129829656875</v>
      </c>
      <c r="BA145" s="316">
        <f t="shared" si="260"/>
        <v>41.219024449676041</v>
      </c>
      <c r="BB145" s="1294"/>
      <c r="BC145" s="1309"/>
      <c r="BD145" s="1308">
        <f>BD125/BD165</f>
        <v>2.0592176104259412</v>
      </c>
      <c r="BE145" s="316">
        <f t="shared" si="271"/>
        <v>22.077410550012889</v>
      </c>
      <c r="BF145" s="1294"/>
      <c r="BG145" s="1309"/>
      <c r="BH145" s="1308">
        <f>BH125/BH165</f>
        <v>1.9130338539865244</v>
      </c>
      <c r="BI145" s="316">
        <f t="shared" si="272"/>
        <v>-7.0989950600305551</v>
      </c>
      <c r="BJ145" s="1292"/>
      <c r="BK145" s="1309"/>
      <c r="BL145" s="1308">
        <f>BL125/BL165</f>
        <v>2.3256950954680855</v>
      </c>
      <c r="BM145" s="316">
        <f>IF(BH145&lt;0,"       NM",(BL145/BH145-1)*100)</f>
        <v>21.57103705308856</v>
      </c>
      <c r="BN145" s="1292"/>
      <c r="BO145" s="1309"/>
      <c r="BP145" s="1308">
        <f>BP125/BP165</f>
        <v>2.9207972503121256</v>
      </c>
      <c r="BQ145" s="316">
        <f t="shared" si="261"/>
        <v>25.588141627149351</v>
      </c>
      <c r="BR145" s="1294"/>
      <c r="BS145" s="1309"/>
      <c r="BT145" s="1308">
        <f>BT125/BT165</f>
        <v>3.5311522019355035</v>
      </c>
      <c r="BU145" s="316">
        <f t="shared" si="262"/>
        <v>20.896861346954275</v>
      </c>
      <c r="BV145" s="1294"/>
      <c r="BW145" s="1309"/>
      <c r="BX145" s="1308">
        <f>BX125/BX165</f>
        <v>3.7285729137272949</v>
      </c>
      <c r="BY145" s="316">
        <f t="shared" si="263"/>
        <v>5.5908298623769559</v>
      </c>
      <c r="BZ145" s="1294"/>
      <c r="CA145" s="1309"/>
      <c r="CB145" s="1308">
        <f>CB125/CB165</f>
        <v>3.1024371100735362</v>
      </c>
      <c r="CC145" s="316">
        <f t="shared" si="264"/>
        <v>-16.792907585327001</v>
      </c>
      <c r="CD145" s="1294"/>
      <c r="CE145" s="1309"/>
      <c r="CF145" s="1308">
        <f>CF125/CF165</f>
        <v>1.9163059163059171</v>
      </c>
      <c r="CG145" s="316">
        <f>IF(CB145&lt;0,"       NM",(CF145/CB145-1)*100)</f>
        <v>-38.232239741984799</v>
      </c>
      <c r="CH145" s="1294"/>
      <c r="CI145" s="1309"/>
      <c r="CJ145" s="1308">
        <f>CJ125/CJ165</f>
        <v>1.9752953813104166</v>
      </c>
      <c r="CK145" s="316">
        <f t="shared" si="266"/>
        <v>3.0782906060329962</v>
      </c>
      <c r="CL145" s="1294"/>
      <c r="CM145" s="1309"/>
      <c r="CN145" s="1308">
        <f>CN125/CN165</f>
        <v>2.1542432814710049</v>
      </c>
      <c r="CO145" s="316">
        <f t="shared" si="267"/>
        <v>9.0592982626159788</v>
      </c>
      <c r="CP145" s="1294"/>
      <c r="CQ145" s="1294"/>
      <c r="CR145" s="1308">
        <f>CR125/CR165</f>
        <v>2.5171683804568299</v>
      </c>
      <c r="CS145" s="316">
        <f t="shared" si="268"/>
        <v>16.846987622400977</v>
      </c>
      <c r="CT145" s="1294"/>
      <c r="CU145" s="1310"/>
      <c r="CV145" s="1276"/>
      <c r="CW145" s="1276"/>
      <c r="CX145" s="1276">
        <v>60</v>
      </c>
      <c r="CY145" s="1276"/>
    </row>
    <row r="146" spans="1:103" hidden="1" outlineLevel="1">
      <c r="A146" s="3" t="str">
        <f>$A$15</f>
        <v>6 Mos</v>
      </c>
      <c r="D146" s="1281"/>
      <c r="E146" s="22"/>
      <c r="H146" s="1281"/>
      <c r="I146" s="22"/>
      <c r="L146" s="1281"/>
      <c r="M146" s="22"/>
      <c r="P146" s="1281"/>
      <c r="Q146" s="22"/>
      <c r="T146" s="1282"/>
      <c r="U146" s="22"/>
      <c r="X146" s="1282">
        <f>SUM(X141:X142)</f>
        <v>0.10817864627093335</v>
      </c>
      <c r="Y146" s="22"/>
      <c r="AB146" s="1282">
        <f>SUM(AB141:AB142)</f>
        <v>0.13718202381065381</v>
      </c>
      <c r="AC146" s="22">
        <f t="shared" si="256"/>
        <v>26.810630877263453</v>
      </c>
      <c r="AF146" s="1282">
        <f>SUM(AF141:AF142)</f>
        <v>0.15823930875540723</v>
      </c>
      <c r="AG146" s="22">
        <f t="shared" si="257"/>
        <v>15.349886493741959</v>
      </c>
      <c r="AJ146" s="1282">
        <f>SUM(AJ141:AJ142)</f>
        <v>0.23086998140402903</v>
      </c>
      <c r="AK146" s="22">
        <f t="shared" si="258"/>
        <v>45.899260569248355</v>
      </c>
      <c r="AN146" s="1282">
        <f>SUM(AN141:AN142)</f>
        <v>0.35938792126576213</v>
      </c>
      <c r="AO146" s="22">
        <f t="shared" si="259"/>
        <v>55.666803921477801</v>
      </c>
      <c r="AR146" s="1282">
        <f>SUM(AR141:AR142)</f>
        <v>0.48153032895192893</v>
      </c>
      <c r="AS146" s="316">
        <f t="shared" si="269"/>
        <v>33.986230604518354</v>
      </c>
      <c r="AT146" s="1183"/>
      <c r="AV146" s="1282">
        <f>SUM(AV141:AV142)</f>
        <v>0.63929916060508174</v>
      </c>
      <c r="AW146" s="316">
        <f t="shared" si="270"/>
        <v>32.764048735319193</v>
      </c>
      <c r="AX146" s="1287"/>
      <c r="AY146" s="1287"/>
      <c r="AZ146" s="1282">
        <f>SUM(AZ141:AZ142)</f>
        <v>0.87963257810340889</v>
      </c>
      <c r="BA146" s="316">
        <f t="shared" si="260"/>
        <v>37.593263421597058</v>
      </c>
      <c r="BB146" s="1287"/>
      <c r="BC146" s="1287"/>
      <c r="BD146" s="1282">
        <f>SUM(BD141:BD142)</f>
        <v>1.0964200665910677</v>
      </c>
      <c r="BE146" s="316">
        <f t="shared" si="271"/>
        <v>24.645231871138517</v>
      </c>
      <c r="BF146" s="1287"/>
      <c r="BG146" s="1287"/>
      <c r="BH146" s="1282">
        <f>SUM(BH141:BH142)</f>
        <v>1.1035880789181156</v>
      </c>
      <c r="BI146" s="316">
        <f t="shared" si="272"/>
        <v>0.65376515310726635</v>
      </c>
      <c r="BJ146" s="1287"/>
      <c r="BK146" s="1287"/>
      <c r="BL146" s="1282">
        <f>SUM(BL141:BL142)</f>
        <v>1.1882894631935383</v>
      </c>
      <c r="BM146" s="316">
        <f>IF(BI146&lt;0,"       NM",(BL146/BI146-1)*100)</f>
        <v>81.760905662491012</v>
      </c>
      <c r="BN146" s="1287"/>
      <c r="BO146" s="1287"/>
      <c r="BP146" s="1282">
        <f>SUM(BP141:BP142)</f>
        <v>1.6229488485844605</v>
      </c>
      <c r="BQ146" s="316">
        <f t="shared" si="261"/>
        <v>36.578577766966916</v>
      </c>
      <c r="BR146" s="1287"/>
      <c r="BS146" s="1287"/>
      <c r="BT146" s="1282">
        <f>SUM(BT141:BT142)</f>
        <v>1.9020472978751308</v>
      </c>
      <c r="BU146" s="316">
        <f t="shared" si="262"/>
        <v>17.196996044213009</v>
      </c>
      <c r="BV146" s="1287"/>
      <c r="BW146" s="1287"/>
      <c r="BX146" s="1282">
        <f>SUM(BX141:BX142)</f>
        <v>1.9998393693607381</v>
      </c>
      <c r="BY146" s="316">
        <f t="shared" si="263"/>
        <v>5.14141113077764</v>
      </c>
      <c r="BZ146" s="1287"/>
      <c r="CA146" s="1287"/>
      <c r="CB146" s="1282">
        <f>SUM(CB141:CB142)</f>
        <v>1.822300862306141</v>
      </c>
      <c r="CC146" s="316">
        <f t="shared" si="264"/>
        <v>-8.8776383630925544</v>
      </c>
      <c r="CD146" s="1287"/>
      <c r="CE146" s="1287"/>
      <c r="CF146" s="1282">
        <f>SUM(CF141:CF142)</f>
        <v>1.2515470149663854</v>
      </c>
      <c r="CG146" s="316">
        <f t="shared" si="265"/>
        <v>-31.320505803715669</v>
      </c>
      <c r="CH146" s="1287"/>
      <c r="CI146" s="1287"/>
      <c r="CJ146" s="1282">
        <f>SUM(CJ141:CJ142)</f>
        <v>1.0831201134969697</v>
      </c>
      <c r="CK146" s="316">
        <f t="shared" si="266"/>
        <v>-13.457496958189729</v>
      </c>
      <c r="CL146" s="1287"/>
      <c r="CM146" s="1287"/>
      <c r="CN146" s="1282">
        <f>SUM(CN141:CN142)</f>
        <v>1.1964347171719034</v>
      </c>
      <c r="CO146" s="316">
        <f t="shared" si="267"/>
        <v>10.461868657307583</v>
      </c>
      <c r="CP146" s="1287"/>
      <c r="CQ146" s="1287"/>
      <c r="CR146" s="1282">
        <f>SUM(CR141:CR142)</f>
        <v>1.4866436701202084</v>
      </c>
      <c r="CS146" s="316">
        <f t="shared" si="268"/>
        <v>24.256146096653918</v>
      </c>
      <c r="CT146" s="1287"/>
      <c r="CU146" s="1290"/>
      <c r="CV146" s="1276"/>
      <c r="CW146" s="1276"/>
      <c r="CX146" s="1276"/>
      <c r="CY146" s="1276"/>
    </row>
    <row r="147" spans="1:103" hidden="1" outlineLevel="1">
      <c r="A147" s="3" t="str">
        <f>$A$16</f>
        <v>9 Mos</v>
      </c>
      <c r="D147" s="1281"/>
      <c r="E147" s="22"/>
      <c r="H147" s="1281"/>
      <c r="I147" s="22"/>
      <c r="L147" s="1281"/>
      <c r="M147" s="22"/>
      <c r="P147" s="1281"/>
      <c r="Q147" s="22"/>
      <c r="T147" s="1282"/>
      <c r="U147" s="22"/>
      <c r="X147" s="1282">
        <f>SUM(X141:X143)</f>
        <v>0.11900631714399905</v>
      </c>
      <c r="Y147" s="22"/>
      <c r="AB147" s="1282">
        <f>SUM(AB141:AB143)</f>
        <v>0.15919645589173792</v>
      </c>
      <c r="AC147" s="22">
        <f t="shared" si="256"/>
        <v>33.771433073681557</v>
      </c>
      <c r="AF147" s="1282">
        <f>SUM(AF141:AF143)</f>
        <v>0.19047475820219156</v>
      </c>
      <c r="AG147" s="22">
        <f t="shared" si="257"/>
        <v>19.647612213003374</v>
      </c>
      <c r="AJ147" s="1282">
        <f>SUM(AJ141:AJ143)</f>
        <v>0.31627042753576656</v>
      </c>
      <c r="AK147" s="22">
        <f t="shared" si="258"/>
        <v>66.043223008080247</v>
      </c>
      <c r="AN147" s="1282">
        <f>SUM(AN141:AN143)</f>
        <v>0.51000824109920695</v>
      </c>
      <c r="AO147" s="22">
        <f t="shared" si="259"/>
        <v>61.257011941633664</v>
      </c>
      <c r="AR147" s="1282">
        <f>SUM(AR141:AR143)</f>
        <v>0.68804243669204723</v>
      </c>
      <c r="AS147" s="316">
        <f t="shared" si="269"/>
        <v>34.908101721871802</v>
      </c>
      <c r="AT147" s="1183"/>
      <c r="AV147" s="1282">
        <f>SUM(AV141:AV143)</f>
        <v>0.89902893659351468</v>
      </c>
      <c r="AW147" s="316">
        <f t="shared" si="270"/>
        <v>30.664750987721479</v>
      </c>
      <c r="AX147" s="1286"/>
      <c r="AZ147" s="1282">
        <f>SUM(AZ141:AZ143)</f>
        <v>1.2682280817958438</v>
      </c>
      <c r="BA147" s="316">
        <f t="shared" si="260"/>
        <v>41.066436259688288</v>
      </c>
      <c r="BB147" s="1286"/>
      <c r="BD147" s="1282">
        <f>SUM(BD141:BD143)</f>
        <v>1.5583519025491217</v>
      </c>
      <c r="BE147" s="316">
        <f t="shared" si="271"/>
        <v>22.876312622131433</v>
      </c>
      <c r="BF147" s="1286"/>
      <c r="BH147" s="1282">
        <f>SUM(BH141:BH143)</f>
        <v>1.4871483160390566</v>
      </c>
      <c r="BI147" s="316">
        <f t="shared" si="272"/>
        <v>-4.5691596611517333</v>
      </c>
      <c r="BJ147" s="1286"/>
      <c r="BL147" s="1282">
        <f>SUM(BL141:BL143)</f>
        <v>1.6903789013385253</v>
      </c>
      <c r="BM147" s="316" t="str">
        <f>IF(BI147&lt;0,"       NM",(BL147/BI147-1)*100)</f>
        <v xml:space="preserve">       NM</v>
      </c>
      <c r="BN147" s="1286"/>
      <c r="BP147" s="1282">
        <f>SUM(BP141:BP143)</f>
        <v>2.2396685621313077</v>
      </c>
      <c r="BQ147" s="316">
        <f t="shared" si="261"/>
        <v>32.495061335528263</v>
      </c>
      <c r="BR147" s="1286"/>
      <c r="BT147" s="1282">
        <f>SUM(BT141:BT143)</f>
        <v>2.6686744410048497</v>
      </c>
      <c r="BU147" s="316">
        <f t="shared" si="262"/>
        <v>19.154882384261906</v>
      </c>
      <c r="BV147" s="1286"/>
      <c r="BX147" s="1282">
        <f>SUM(BX141:BX143)</f>
        <v>2.8393047693270095</v>
      </c>
      <c r="BY147" s="316">
        <f t="shared" si="263"/>
        <v>6.3938233041985981</v>
      </c>
      <c r="BZ147" s="1286"/>
      <c r="CB147" s="1282">
        <f>SUM(CB141:CB143)</f>
        <v>2.506569920602105</v>
      </c>
      <c r="CC147" s="316">
        <f t="shared" si="264"/>
        <v>-11.718884577641564</v>
      </c>
      <c r="CF147" s="1282">
        <f>SUM(CF141:CF143)</f>
        <v>1.6127582622627086</v>
      </c>
      <c r="CG147" s="316">
        <f t="shared" si="265"/>
        <v>-35.658756254630767</v>
      </c>
      <c r="CJ147" s="1282">
        <f>SUM(CJ141:CJ143)</f>
        <v>1.5271272691320312</v>
      </c>
      <c r="CK147" s="316">
        <f t="shared" si="266"/>
        <v>-5.3095987870207306</v>
      </c>
      <c r="CN147" s="1282">
        <f>SUM(CN141:CN143)</f>
        <v>1.6570214969527448</v>
      </c>
      <c r="CO147" s="316">
        <f t="shared" si="267"/>
        <v>8.5057892977407956</v>
      </c>
      <c r="CR147" s="1282">
        <f>SUM(CR141:CR143)</f>
        <v>1.9641200884054764</v>
      </c>
      <c r="CS147" s="316">
        <f t="shared" si="268"/>
        <v>18.533168822340841</v>
      </c>
      <c r="CT147" s="3"/>
      <c r="CV147" s="1276"/>
      <c r="CW147" s="1276"/>
      <c r="CX147" s="1276"/>
      <c r="CY147" s="1276"/>
    </row>
    <row r="148" spans="1:103" collapsed="1">
      <c r="W148" s="127"/>
      <c r="AR148" s="61"/>
      <c r="AS148" s="61"/>
      <c r="AT148" s="1183"/>
      <c r="AV148" s="61"/>
      <c r="AW148" s="61"/>
      <c r="AZ148" s="654"/>
      <c r="BD148" s="654"/>
      <c r="BE148" s="1219"/>
      <c r="BH148" s="1200"/>
      <c r="BI148" s="1222"/>
      <c r="BJ148" s="179"/>
      <c r="BL148" s="1311"/>
      <c r="BM148" s="1312"/>
      <c r="BN148" s="1313"/>
      <c r="BP148" s="1313"/>
      <c r="BQ148" s="1057"/>
      <c r="BR148" s="1183"/>
      <c r="BV148" s="1314"/>
      <c r="BX148" s="654"/>
      <c r="BY148" s="1200"/>
      <c r="BZ148" s="1314"/>
      <c r="CB148" s="654"/>
      <c r="CC148" s="1214"/>
      <c r="CF148" s="654"/>
      <c r="CJ148" s="654"/>
      <c r="CN148" s="2"/>
      <c r="CR148" s="2"/>
      <c r="CS148" s="3"/>
      <c r="CT148" s="3"/>
      <c r="CV148" s="1276"/>
      <c r="CW148" s="1276"/>
      <c r="CX148" s="1276">
        <f>CX145*CY148</f>
        <v>16.8</v>
      </c>
      <c r="CY148" s="1647">
        <v>0.28000000000000003</v>
      </c>
    </row>
    <row r="149" spans="1:103" hidden="1" outlineLevel="1" collapsed="1">
      <c r="D149" s="1260"/>
      <c r="E149" s="127"/>
      <c r="F149" s="127"/>
      <c r="G149" s="127"/>
      <c r="H149" s="1260"/>
      <c r="I149" s="127"/>
      <c r="J149" s="127"/>
      <c r="K149" s="127"/>
      <c r="L149" s="1260"/>
      <c r="M149" s="127"/>
      <c r="N149" s="127"/>
      <c r="O149" s="127"/>
      <c r="P149" s="1260"/>
      <c r="Q149" s="127"/>
      <c r="R149" s="127"/>
      <c r="S149" s="127"/>
      <c r="U149" s="127"/>
      <c r="V149" s="127"/>
      <c r="Y149" s="127"/>
      <c r="Z149" s="127"/>
      <c r="AA149" s="127"/>
      <c r="AC149" s="127"/>
      <c r="AD149" s="127"/>
      <c r="AE149" s="127"/>
      <c r="AF149" s="1260"/>
      <c r="AG149" s="127"/>
      <c r="AH149" s="127"/>
      <c r="AI149" s="127"/>
      <c r="AJ149" s="1260" t="s">
        <v>757</v>
      </c>
      <c r="AK149" s="127"/>
      <c r="AL149" s="127"/>
      <c r="AM149" s="127"/>
      <c r="AN149" s="1260"/>
      <c r="AO149" s="127"/>
      <c r="AP149" s="127"/>
      <c r="AQ149" s="127"/>
      <c r="AR149" s="1273"/>
      <c r="AS149" s="1197"/>
      <c r="AT149" s="1198"/>
      <c r="AU149" s="127"/>
      <c r="AV149" s="1273"/>
      <c r="AW149" s="1197"/>
      <c r="AX149" s="1198"/>
      <c r="AY149" s="127"/>
      <c r="AZ149" s="1273"/>
      <c r="BA149" s="1197"/>
      <c r="BB149" s="1198"/>
      <c r="BC149" s="127"/>
      <c r="BD149" s="1273"/>
      <c r="BE149" s="1197"/>
      <c r="BF149" s="1198"/>
      <c r="BG149" s="127"/>
      <c r="BH149" s="1273"/>
      <c r="BI149" s="1197"/>
      <c r="BJ149" s="1198"/>
      <c r="BK149" s="127"/>
      <c r="BL149" s="1273"/>
      <c r="BM149" s="1197"/>
      <c r="BN149" s="1198"/>
      <c r="BO149" s="127"/>
      <c r="BP149" s="1273"/>
      <c r="BQ149" s="1197"/>
      <c r="BR149" s="1198"/>
      <c r="BS149" s="127"/>
      <c r="BT149" s="1273"/>
      <c r="BU149" s="1197"/>
      <c r="BV149" s="1198"/>
      <c r="BW149" s="127"/>
      <c r="BX149" s="1273"/>
      <c r="BY149" s="1197"/>
      <c r="BZ149" s="1198"/>
      <c r="CA149" s="127"/>
      <c r="CB149" s="127"/>
      <c r="CC149" s="127"/>
      <c r="CD149" s="127"/>
      <c r="CE149" s="127"/>
      <c r="CF149" s="127"/>
      <c r="CG149" s="127"/>
      <c r="CH149" s="127"/>
      <c r="CI149" s="127"/>
      <c r="CJ149" s="127"/>
      <c r="CK149" s="127"/>
      <c r="CL149" s="127"/>
      <c r="CM149" s="127"/>
      <c r="CN149" s="127"/>
      <c r="CO149" s="127"/>
      <c r="CP149" s="127"/>
      <c r="CQ149" s="127"/>
      <c r="CR149" s="127"/>
      <c r="CS149" s="127"/>
      <c r="CT149" s="127"/>
      <c r="CU149" s="1197"/>
      <c r="CV149" s="1276"/>
      <c r="CW149" s="1276"/>
      <c r="CX149" s="1276"/>
      <c r="CY149" s="1276"/>
    </row>
    <row r="150" spans="1:103" hidden="1" outlineLevel="1">
      <c r="D150" s="56"/>
      <c r="E150" s="56"/>
      <c r="F150" s="56"/>
      <c r="G150" s="56"/>
      <c r="H150" s="56"/>
      <c r="I150" s="56"/>
      <c r="J150" s="56"/>
      <c r="K150" s="56"/>
      <c r="L150" s="56"/>
      <c r="M150" s="56"/>
      <c r="N150" s="56"/>
      <c r="O150" s="56"/>
      <c r="P150" s="56"/>
      <c r="Q150" s="56"/>
      <c r="R150" s="56"/>
      <c r="AR150" s="61"/>
      <c r="AS150" s="61"/>
      <c r="AT150" s="1183" t="s">
        <v>370</v>
      </c>
      <c r="AV150" s="61"/>
      <c r="AW150" s="61"/>
      <c r="AX150" s="1183"/>
      <c r="AZ150" s="61"/>
      <c r="BA150" s="61"/>
      <c r="BB150" s="1183"/>
      <c r="BD150" s="61"/>
      <c r="BE150" s="61"/>
      <c r="BF150" s="1183"/>
      <c r="BH150" s="61"/>
      <c r="BI150" s="61"/>
      <c r="BJ150" s="1183"/>
      <c r="BL150" s="61"/>
      <c r="BM150" s="61"/>
      <c r="BN150" s="1183"/>
      <c r="BP150" s="61"/>
      <c r="BQ150" s="61"/>
      <c r="BR150" s="1183"/>
      <c r="BT150" s="61"/>
      <c r="BU150" s="61"/>
      <c r="BV150" s="1183"/>
      <c r="BX150" s="61"/>
      <c r="BY150" s="61"/>
      <c r="BZ150" s="1183"/>
      <c r="CR150" s="3"/>
      <c r="CS150" s="3"/>
      <c r="CT150" s="3"/>
      <c r="CV150" s="1276"/>
      <c r="CW150" s="1276"/>
      <c r="CX150" s="1276"/>
      <c r="CY150" s="1276"/>
    </row>
    <row r="151" spans="1:103" hidden="1" outlineLevel="1">
      <c r="A151" s="3" t="str">
        <f>$A$10</f>
        <v>1Q</v>
      </c>
      <c r="B151" s="3" t="str">
        <f>$B$10</f>
        <v>Sept</v>
      </c>
      <c r="D151" s="1315"/>
      <c r="E151" s="26"/>
      <c r="F151" s="56"/>
      <c r="G151" s="56"/>
      <c r="H151" s="1315"/>
      <c r="I151" s="26"/>
      <c r="J151" s="56"/>
      <c r="K151" s="56"/>
      <c r="L151" s="1315"/>
      <c r="M151" s="26"/>
      <c r="N151" s="56"/>
      <c r="O151" s="56"/>
      <c r="P151" s="1315"/>
      <c r="Q151" s="26"/>
      <c r="R151" s="56"/>
      <c r="T151" s="1280"/>
      <c r="U151" s="22"/>
      <c r="X151" s="1282">
        <f>X121/X161</f>
        <v>7.3178571428571407E-3</v>
      </c>
      <c r="Y151" s="22"/>
      <c r="AB151" s="1282">
        <f>AB121/AB161</f>
        <v>2.7090589847541893E-2</v>
      </c>
      <c r="AC151" s="22">
        <f t="shared" ref="AC151:AC157" si="273">IF(X151&lt;0,"       NM",(AB151/X151-1)*100)</f>
        <v>270.1983971357605</v>
      </c>
      <c r="AF151" s="1282">
        <f>AF121/AF161</f>
        <v>3.4750554323725057E-2</v>
      </c>
      <c r="AG151" s="22">
        <f t="shared" ref="AG151:AG157" si="274">IF(AB151&lt;0,"       NM",(AF151/AB151-1)*100)</f>
        <v>28.275369858283849</v>
      </c>
      <c r="AH151" s="1291"/>
      <c r="AJ151" s="1282">
        <f>AJ121/AJ161</f>
        <v>6.109226889294718E-2</v>
      </c>
      <c r="AK151" s="22">
        <f>IF(AF151&lt;0,"       NM",(AJ151/AF151-1)*100)</f>
        <v>75.802285983213764</v>
      </c>
      <c r="AL151" s="1030"/>
      <c r="AN151" s="1282">
        <f>AN121/AN161</f>
        <v>0.1108326918343728</v>
      </c>
      <c r="AO151" s="22">
        <f t="shared" ref="AO151:AO157" si="275">IF(AJ151&lt;0,"       NM",(AN151/AJ151-1)*100)</f>
        <v>81.418522904406217</v>
      </c>
      <c r="AR151" s="1282">
        <f>AR121/AR161</f>
        <v>0.15656547502901214</v>
      </c>
      <c r="AS151" s="316">
        <f>IF(AN151&lt;0,"       NM",(AR151/AN151-1)*100)</f>
        <v>41.262900357037168</v>
      </c>
      <c r="AT151" s="1183"/>
      <c r="AV151" s="1282">
        <f>AV121/AV161</f>
        <v>0.22536746227934321</v>
      </c>
      <c r="AW151" s="316">
        <f>IF(AR151&lt;0,"       NM",(AV151/AR151-1)*100)</f>
        <v>43.944546035824182</v>
      </c>
      <c r="AX151" s="1286"/>
      <c r="AY151" s="61"/>
      <c r="AZ151" s="1282">
        <f>AZ121/AZ161</f>
        <v>0.3083961335074612</v>
      </c>
      <c r="BA151" s="316">
        <f t="shared" ref="BA151:BA157" si="276">IF(AV151&lt;0,"       NM",(AZ151/AV151-1)*100)</f>
        <v>36.841463443025276</v>
      </c>
      <c r="BB151" s="1286"/>
      <c r="BC151" s="61"/>
      <c r="BD151" s="1282">
        <f>BD121/BD161</f>
        <v>0.40809945028145062</v>
      </c>
      <c r="BE151" s="316">
        <f>IF(AZ151&lt;0,"       NM",(BD151/AZ151-1)*100)</f>
        <v>32.329626068926466</v>
      </c>
      <c r="BF151" s="1286"/>
      <c r="BG151" s="61"/>
      <c r="BH151" s="1282">
        <f>BH121/BH161</f>
        <v>0.43652981980282785</v>
      </c>
      <c r="BI151" s="316">
        <f>IF(BD151&lt;0,"       NM",(BH151/BD151-1)*100)</f>
        <v>6.9665297274401849</v>
      </c>
      <c r="BJ151" s="1286"/>
      <c r="BK151" s="61"/>
      <c r="BL151" s="1282">
        <f>BL121/BL161</f>
        <v>0.43855628046027123</v>
      </c>
      <c r="BM151" s="316">
        <f t="shared" ref="BM151:BM157" si="277">IF(BI151&lt;0,"       NM",(BL151/BI151-1)*100)</f>
        <v>-93.704810032850943</v>
      </c>
      <c r="BN151" s="1286"/>
      <c r="BO151" s="61"/>
      <c r="BP151" s="1282">
        <f>BP121/BP161</f>
        <v>0.6269763551082328</v>
      </c>
      <c r="BQ151" s="316">
        <f>IF(BL151&lt;0,"       NM",(BP151/BL151-1)*100)</f>
        <v>42.963715956869187</v>
      </c>
      <c r="BR151" s="1286"/>
      <c r="BS151" s="61"/>
      <c r="BT151" s="1282">
        <f>BT121/BT161</f>
        <v>0.72612710593512264</v>
      </c>
      <c r="BU151" s="316">
        <f>IF(BP151&lt;0,"       NM",(BT151/BP151-1)*100)</f>
        <v>15.814113246706697</v>
      </c>
      <c r="BV151" s="1286"/>
      <c r="BW151" s="61"/>
      <c r="BX151" s="1282">
        <f>BX121/BX161</f>
        <v>0.76735979923534681</v>
      </c>
      <c r="BY151" s="316">
        <f>IF(BT151&lt;0,"       NM",(BX151/BT151-1)*100)</f>
        <v>5.6784401743443791</v>
      </c>
      <c r="BZ151" s="1286"/>
      <c r="CA151" s="61"/>
      <c r="CB151" s="1282"/>
      <c r="CC151" s="316">
        <f t="shared" ref="CC151:CC157" si="278">IF(BX151&lt;0,"       NM",(CB151/BX151-1)*100)</f>
        <v>-100</v>
      </c>
      <c r="CD151" s="61"/>
      <c r="CE151" s="61"/>
      <c r="CF151" s="1282">
        <f>CF121/CF161</f>
        <v>0.52749638205499261</v>
      </c>
      <c r="CG151" s="316" t="e">
        <f t="shared" ref="CG151:CG157" si="279">IF(CB151&lt;0,"       NM",(CF151/CB151-1)*100)</f>
        <v>#DIV/0!</v>
      </c>
      <c r="CH151" s="61"/>
      <c r="CI151" s="61"/>
      <c r="CJ151" s="1282">
        <f>CJ121/CJ161</f>
        <v>0.40639597556593565</v>
      </c>
      <c r="CK151" s="316">
        <f t="shared" ref="CK151:CK157" si="280">IF(CF151&lt;0,"       NM",(CJ151/CF151-1)*100)</f>
        <v>-22.957580489420682</v>
      </c>
      <c r="CL151" s="61"/>
      <c r="CM151" s="61"/>
      <c r="CN151" s="1282"/>
      <c r="CO151" s="316"/>
      <c r="CP151" s="61"/>
      <c r="CQ151" s="61"/>
      <c r="CR151" s="1282"/>
      <c r="CS151" s="316"/>
      <c r="CV151" s="1276"/>
      <c r="CW151" s="1276"/>
      <c r="CX151" s="1276"/>
      <c r="CY151" s="1276"/>
    </row>
    <row r="152" spans="1:103" hidden="1" outlineLevel="1">
      <c r="A152" s="3" t="str">
        <f>$A$11</f>
        <v>2Q</v>
      </c>
      <c r="B152" s="3" t="str">
        <f>$B$11</f>
        <v>Dec</v>
      </c>
      <c r="D152" s="1316"/>
      <c r="E152" s="26"/>
      <c r="F152" s="56"/>
      <c r="G152" s="56"/>
      <c r="H152" s="1316"/>
      <c r="I152" s="26"/>
      <c r="J152" s="56"/>
      <c r="K152" s="56"/>
      <c r="L152" s="1316"/>
      <c r="M152" s="26"/>
      <c r="N152" s="56"/>
      <c r="O152" s="56"/>
      <c r="P152" s="1316"/>
      <c r="Q152" s="26"/>
      <c r="R152" s="56"/>
      <c r="T152" s="1282"/>
      <c r="U152" s="22"/>
      <c r="X152" s="1282">
        <f>X122/X162</f>
        <v>0.10086078912807621</v>
      </c>
      <c r="Y152" s="22"/>
      <c r="AB152" s="1282">
        <f>AB122/AB162</f>
        <v>0.11009143396311191</v>
      </c>
      <c r="AC152" s="22">
        <f t="shared" si="273"/>
        <v>9.1518665626483919</v>
      </c>
      <c r="AF152" s="1282">
        <f>AF122/AF162</f>
        <v>0.12348875443168217</v>
      </c>
      <c r="AG152" s="22">
        <f t="shared" si="274"/>
        <v>12.169266932302158</v>
      </c>
      <c r="AJ152" s="1282">
        <f>AJ122/AJ162</f>
        <v>0.16977771251108187</v>
      </c>
      <c r="AK152" s="22">
        <f t="shared" ref="AK152:AK157" si="281">IF(AF152&lt;0,"       NM",(AJ152/AF152-1)*100)</f>
        <v>37.484350937403121</v>
      </c>
      <c r="AN152" s="1282">
        <f>AN122/AN162</f>
        <v>0.24855522943138933</v>
      </c>
      <c r="AO152" s="316">
        <f t="shared" si="275"/>
        <v>46.400387751228209</v>
      </c>
      <c r="AP152" s="1291"/>
      <c r="AR152" s="1282">
        <f>AR122/AR162</f>
        <v>0.3249648539229168</v>
      </c>
      <c r="AS152" s="316">
        <f t="shared" ref="AS152:AS157" si="282">IF(AN152&lt;0,"       NM",(AR152/AN152-1)*100)</f>
        <v>30.741507497680477</v>
      </c>
      <c r="AT152" s="1183"/>
      <c r="AV152" s="1282">
        <f>AV122/AV162</f>
        <v>0.41393169832573851</v>
      </c>
      <c r="AW152" s="316">
        <f t="shared" ref="AW152:AW157" si="283">IF(AR152&lt;0,"       NM",(AV152/AR152-1)*100)</f>
        <v>27.377374300275893</v>
      </c>
      <c r="AX152" s="1286"/>
      <c r="AY152" s="1304"/>
      <c r="AZ152" s="1282">
        <f>AZ122/AZ162</f>
        <v>0.57123644459594769</v>
      </c>
      <c r="BA152" s="316">
        <f t="shared" si="276"/>
        <v>38.002585186510672</v>
      </c>
      <c r="BB152" s="1286"/>
      <c r="BC152" s="1304"/>
      <c r="BD152" s="1282">
        <f>BD122/BD162</f>
        <v>0.68832061630961705</v>
      </c>
      <c r="BE152" s="316">
        <f t="shared" ref="BE152:BE157" si="284">IF(AZ152&lt;0,"       NM",(BD152/AZ152-1)*100)</f>
        <v>20.496621464074561</v>
      </c>
      <c r="BF152" s="1286"/>
      <c r="BG152" s="1304"/>
      <c r="BH152" s="1282">
        <f>BH122/BH162</f>
        <v>0.66705825911528782</v>
      </c>
      <c r="BI152" s="316">
        <f t="shared" ref="BI152:BI157" si="285">IF(BD152&lt;0,"       NM",(BH152/BD152-1)*100)</f>
        <v>-3.0890193741872629</v>
      </c>
      <c r="BJ152" s="1286"/>
      <c r="BK152" s="1304"/>
      <c r="BL152" s="1282">
        <f>BL122/BL162</f>
        <v>0.74973318273326717</v>
      </c>
      <c r="BM152" s="316" t="str">
        <f t="shared" si="277"/>
        <v xml:space="preserve">       NM</v>
      </c>
      <c r="BN152" s="1286"/>
      <c r="BO152" s="1304"/>
      <c r="BP152" s="1282">
        <f>BP122/BP162</f>
        <v>0.99597249347622763</v>
      </c>
      <c r="BQ152" s="316">
        <f t="shared" ref="BQ152:BQ157" si="286">IF(BL152&lt;0,"       NM",(BP152/BL152-1)*100)</f>
        <v>32.843592415805503</v>
      </c>
      <c r="BR152" s="1286"/>
      <c r="BS152" s="1304"/>
      <c r="BT152" s="1282">
        <f>BT122/BT162</f>
        <v>1.1759201919400082</v>
      </c>
      <c r="BU152" s="316">
        <f t="shared" ref="BU152:BU157" si="287">IF(BP152&lt;0,"       NM",(BT152/BP152-1)*100)</f>
        <v>18.067536969390787</v>
      </c>
      <c r="BV152" s="1286"/>
      <c r="BW152" s="1304"/>
      <c r="BX152" s="1282">
        <f>BX122/BX162</f>
        <v>1.2324795701253912</v>
      </c>
      <c r="BY152" s="316">
        <f t="shared" ref="BY152:BY157" si="288">IF(BT152&lt;0,"       NM",(BX152/BT152-1)*100)</f>
        <v>4.8097973462019272</v>
      </c>
      <c r="BZ152" s="1286"/>
      <c r="CA152" s="1304"/>
      <c r="CB152" s="1282"/>
      <c r="CC152" s="316">
        <f t="shared" si="278"/>
        <v>-100</v>
      </c>
      <c r="CD152" s="1304"/>
      <c r="CE152" s="1304"/>
      <c r="CF152" s="1282">
        <f>CF122/CF162</f>
        <v>0.72405063291139282</v>
      </c>
      <c r="CG152" s="316" t="e">
        <f t="shared" si="279"/>
        <v>#DIV/0!</v>
      </c>
      <c r="CH152" s="1304"/>
      <c r="CI152" s="1304"/>
      <c r="CJ152" s="1282">
        <f>CJ122/CJ162</f>
        <v>0.67672413793103403</v>
      </c>
      <c r="CK152" s="316">
        <f t="shared" si="280"/>
        <v>-6.5363515794551468</v>
      </c>
      <c r="CL152" s="1304"/>
      <c r="CM152" s="1304"/>
      <c r="CN152" s="1282"/>
      <c r="CO152" s="316"/>
      <c r="CP152" s="1304"/>
      <c r="CQ152" s="1304"/>
      <c r="CR152" s="1282"/>
      <c r="CS152" s="316"/>
      <c r="CT152" s="1304"/>
      <c r="CU152" s="1304"/>
      <c r="CV152" s="1276"/>
      <c r="CW152" s="1276"/>
      <c r="CX152" s="1276"/>
      <c r="CY152" s="1276"/>
    </row>
    <row r="153" spans="1:103" hidden="1" outlineLevel="1">
      <c r="A153" s="3" t="str">
        <f>$A$12</f>
        <v>3Q</v>
      </c>
      <c r="B153" s="3" t="str">
        <f>$B$12</f>
        <v>Mar</v>
      </c>
      <c r="D153" s="1316"/>
      <c r="E153" s="26"/>
      <c r="F153" s="56"/>
      <c r="G153" s="56"/>
      <c r="H153" s="1316"/>
      <c r="I153" s="26"/>
      <c r="J153" s="56"/>
      <c r="K153" s="56"/>
      <c r="L153" s="1316"/>
      <c r="M153" s="26"/>
      <c r="N153" s="56"/>
      <c r="O153" s="56"/>
      <c r="P153" s="1316"/>
      <c r="Q153" s="26"/>
      <c r="R153" s="56"/>
      <c r="T153" s="1282"/>
      <c r="U153" s="22"/>
      <c r="X153" s="1282">
        <f>X123/X163</f>
        <v>1.0827670873065699E-2</v>
      </c>
      <c r="Y153" s="22"/>
      <c r="AB153" s="1282">
        <f>AB123/AB163</f>
        <v>2.2014432081084098E-2</v>
      </c>
      <c r="AC153" s="22">
        <f t="shared" si="273"/>
        <v>103.31641346659283</v>
      </c>
      <c r="AF153" s="1282">
        <f>AF123/AF163</f>
        <v>3.2235449446784345E-2</v>
      </c>
      <c r="AG153" s="22">
        <f t="shared" si="274"/>
        <v>46.428712437613399</v>
      </c>
      <c r="AJ153" s="1282">
        <f>AJ123/AJ163</f>
        <v>8.5400446131737529E-2</v>
      </c>
      <c r="AK153" s="22">
        <f t="shared" si="281"/>
        <v>164.92711470556731</v>
      </c>
      <c r="AN153" s="1282">
        <f>AN123/AN163</f>
        <v>0.15062031983344484</v>
      </c>
      <c r="AO153" s="22">
        <f t="shared" si="275"/>
        <v>76.369476572874163</v>
      </c>
      <c r="AP153" s="1214"/>
      <c r="AR153" s="1282">
        <f>AR123/AR163</f>
        <v>0.20651210774011836</v>
      </c>
      <c r="AS153" s="316">
        <f t="shared" si="282"/>
        <v>37.107734181203675</v>
      </c>
      <c r="AT153" s="1317"/>
      <c r="AV153" s="1282">
        <f>AV123/AV163</f>
        <v>0.25972977598843289</v>
      </c>
      <c r="AW153" s="316">
        <f t="shared" si="283"/>
        <v>25.769756955502764</v>
      </c>
      <c r="AX153" s="1286"/>
      <c r="AY153" s="1304"/>
      <c r="AZ153" s="1282">
        <f>AZ123/AZ163</f>
        <v>0.38859550369243495</v>
      </c>
      <c r="BA153" s="316">
        <f t="shared" si="276"/>
        <v>49.615307761148308</v>
      </c>
      <c r="BB153" s="1286"/>
      <c r="BC153" s="1304"/>
      <c r="BD153" s="1282">
        <f>BD123/BD163</f>
        <v>0.46193183595805387</v>
      </c>
      <c r="BE153" s="316">
        <f t="shared" si="284"/>
        <v>18.872151522283964</v>
      </c>
      <c r="BF153" s="1286"/>
      <c r="BG153" s="1304"/>
      <c r="BH153" s="1282">
        <f>BH123/BH163</f>
        <v>0.38356023712094089</v>
      </c>
      <c r="BI153" s="316">
        <f t="shared" si="285"/>
        <v>-16.966052723897896</v>
      </c>
      <c r="BJ153" s="1286"/>
      <c r="BK153" s="1304"/>
      <c r="BL153" s="1282">
        <f>BL123/BL163</f>
        <v>0.50208943814498697</v>
      </c>
      <c r="BM153" s="316" t="str">
        <f t="shared" si="277"/>
        <v xml:space="preserve">       NM</v>
      </c>
      <c r="BN153" s="1286"/>
      <c r="BO153" s="1304"/>
      <c r="BP153" s="1282">
        <f>BP123/BP163</f>
        <v>0.61671971354684696</v>
      </c>
      <c r="BQ153" s="316">
        <f t="shared" si="286"/>
        <v>22.830648624151806</v>
      </c>
      <c r="BR153" s="1286"/>
      <c r="BS153" s="1304"/>
      <c r="BT153" s="1282">
        <f>BT123/BT163</f>
        <v>0.76662714312971902</v>
      </c>
      <c r="BU153" s="316">
        <f t="shared" si="287"/>
        <v>24.307221950265244</v>
      </c>
      <c r="BV153" s="1286"/>
      <c r="BW153" s="1304"/>
      <c r="BX153" s="1282">
        <f>BX123/BX163</f>
        <v>0.83946539996627112</v>
      </c>
      <c r="BY153" s="316">
        <f t="shared" si="288"/>
        <v>9.5011320026047397</v>
      </c>
      <c r="BZ153" s="1286"/>
      <c r="CA153" s="1304"/>
      <c r="CB153" s="1282"/>
      <c r="CC153" s="316">
        <f t="shared" si="278"/>
        <v>-100</v>
      </c>
      <c r="CD153" s="1304"/>
      <c r="CE153" s="1304"/>
      <c r="CF153" s="1282">
        <f>CF123/CF163</f>
        <v>0.36121124729632309</v>
      </c>
      <c r="CG153" s="316" t="e">
        <f t="shared" si="279"/>
        <v>#DIV/0!</v>
      </c>
      <c r="CH153" s="1304"/>
      <c r="CI153" s="1304"/>
      <c r="CJ153" s="1282">
        <f>CJ123/CJ163</f>
        <v>0.4440071556350616</v>
      </c>
      <c r="CK153" s="316">
        <f t="shared" si="280"/>
        <v>22.921741490185688</v>
      </c>
      <c r="CL153" s="1304"/>
      <c r="CM153" s="1304"/>
      <c r="CN153" s="1282"/>
      <c r="CO153" s="316"/>
      <c r="CP153" s="1304"/>
      <c r="CQ153" s="1304"/>
      <c r="CR153" s="1282"/>
      <c r="CS153" s="316"/>
      <c r="CT153" s="1304"/>
      <c r="CU153" s="1304"/>
      <c r="CV153" s="1276"/>
      <c r="CW153" s="1276"/>
      <c r="CX153" s="1276"/>
      <c r="CY153" s="1276"/>
    </row>
    <row r="154" spans="1:103" hidden="1" outlineLevel="1">
      <c r="A154" s="3" t="str">
        <f>$A$13</f>
        <v>4Q</v>
      </c>
      <c r="B154" s="3" t="str">
        <f>$B$13</f>
        <v>June</v>
      </c>
      <c r="D154" s="1318"/>
      <c r="E154" s="26"/>
      <c r="F154" s="56"/>
      <c r="G154" s="56"/>
      <c r="H154" s="1318"/>
      <c r="I154" s="26"/>
      <c r="J154" s="56"/>
      <c r="K154" s="56"/>
      <c r="L154" s="1318"/>
      <c r="M154" s="26"/>
      <c r="N154" s="56"/>
      <c r="O154" s="56"/>
      <c r="P154" s="1318"/>
      <c r="Q154" s="26"/>
      <c r="R154" s="56"/>
      <c r="T154" s="1284"/>
      <c r="U154" s="22"/>
      <c r="X154" s="1305">
        <f>X124/X164</f>
        <v>1.8764631987666293E-2</v>
      </c>
      <c r="Y154" s="22"/>
      <c r="AB154" s="1305">
        <f>AB124/AB164</f>
        <v>2.5314444736611399E-2</v>
      </c>
      <c r="AC154" s="22">
        <f t="shared" si="273"/>
        <v>34.905095678136398</v>
      </c>
      <c r="AF154" s="1305">
        <f>AF124/AF164</f>
        <v>4.6810421310020965E-2</v>
      </c>
      <c r="AG154" s="22">
        <f t="shared" si="274"/>
        <v>84.915852577720912</v>
      </c>
      <c r="AJ154" s="1305">
        <f>AJ124/AJ164</f>
        <v>7.9194687824850923E-2</v>
      </c>
      <c r="AK154" s="22">
        <f t="shared" si="281"/>
        <v>69.181745450125391</v>
      </c>
      <c r="AN154" s="1305">
        <f>AN124/AN164</f>
        <v>0.16863930397446389</v>
      </c>
      <c r="AO154" s="22">
        <f t="shared" si="275"/>
        <v>112.94269679732945</v>
      </c>
      <c r="AR154" s="1305">
        <f>AR124/AR164</f>
        <v>0.23091511834091441</v>
      </c>
      <c r="AS154" s="316">
        <f t="shared" si="282"/>
        <v>36.928410458738959</v>
      </c>
      <c r="AT154" s="1319"/>
      <c r="AV154" s="1305">
        <f>AV124/AV164</f>
        <v>0.2935634403620776</v>
      </c>
      <c r="AW154" s="316">
        <f t="shared" si="283"/>
        <v>27.130454892378065</v>
      </c>
      <c r="AX154" s="1320"/>
      <c r="AZ154" s="1305">
        <f>AZ124/AZ164</f>
        <v>0.4189721969605375</v>
      </c>
      <c r="BA154" s="316">
        <f t="shared" si="276"/>
        <v>42.719473665992695</v>
      </c>
      <c r="BB154" s="1320"/>
      <c r="BD154" s="1305">
        <f>BD124/BD164</f>
        <v>0.50201548943650709</v>
      </c>
      <c r="BE154" s="316">
        <f t="shared" si="284"/>
        <v>19.820716763167788</v>
      </c>
      <c r="BF154" s="1320"/>
      <c r="BH154" s="1305">
        <f>BH124/BH164</f>
        <v>0.42515100838658143</v>
      </c>
      <c r="BI154" s="316">
        <f t="shared" si="285"/>
        <v>-15.311177178258594</v>
      </c>
      <c r="BJ154" s="1320"/>
      <c r="BL154" s="1305">
        <f>BL124/BL164</f>
        <v>0.63569684536330517</v>
      </c>
      <c r="BM154" s="316" t="str">
        <f t="shared" si="277"/>
        <v xml:space="preserve">       NM</v>
      </c>
      <c r="BN154" s="1320"/>
      <c r="BP154" s="1305">
        <f>BP124/BP164</f>
        <v>0.67782419774907776</v>
      </c>
      <c r="BQ154" s="316">
        <f t="shared" si="286"/>
        <v>6.6269563382364227</v>
      </c>
      <c r="BR154" s="1320"/>
      <c r="BT154" s="1305">
        <f>BT124/BT164</f>
        <v>0.86171678467876278</v>
      </c>
      <c r="BU154" s="316">
        <f t="shared" si="287"/>
        <v>27.129835072332398</v>
      </c>
      <c r="BV154" s="1320"/>
      <c r="BX154" s="1305">
        <f>BX124/BX164</f>
        <v>0.88992594202238251</v>
      </c>
      <c r="BY154" s="316">
        <f t="shared" si="288"/>
        <v>3.2735996147662094</v>
      </c>
      <c r="BZ154" s="1320"/>
      <c r="CB154" s="1305"/>
      <c r="CC154" s="316">
        <f t="shared" si="278"/>
        <v>-100</v>
      </c>
      <c r="CF154" s="1305">
        <f>CF124/CF164</f>
        <v>0.30520646319569172</v>
      </c>
      <c r="CG154" s="316" t="e">
        <f t="shared" si="279"/>
        <v>#DIV/0!</v>
      </c>
      <c r="CJ154" s="1305">
        <f>CJ124/CJ164</f>
        <v>0.4485948061188183</v>
      </c>
      <c r="CK154" s="316">
        <f t="shared" si="280"/>
        <v>46.980768828341994</v>
      </c>
      <c r="CN154" s="1305"/>
      <c r="CO154" s="316"/>
      <c r="CR154" s="1305"/>
      <c r="CS154" s="316"/>
      <c r="CT154" s="3"/>
      <c r="CV154" s="1276"/>
      <c r="CW154" s="1276"/>
      <c r="CX154" s="1276"/>
      <c r="CY154" s="1276"/>
    </row>
    <row r="155" spans="1:103" hidden="1" outlineLevel="1">
      <c r="B155" s="3" t="str">
        <f>$B$14</f>
        <v>Year</v>
      </c>
      <c r="D155" s="1315"/>
      <c r="E155" s="26"/>
      <c r="F155" s="56"/>
      <c r="G155" s="56"/>
      <c r="H155" s="1315"/>
      <c r="I155" s="26"/>
      <c r="J155" s="56"/>
      <c r="K155" s="56"/>
      <c r="L155" s="1315"/>
      <c r="M155" s="26"/>
      <c r="N155" s="56"/>
      <c r="O155" s="56"/>
      <c r="P155" s="1315"/>
      <c r="Q155" s="26"/>
      <c r="R155" s="56"/>
      <c r="T155" s="1280"/>
      <c r="U155" s="22"/>
      <c r="X155" s="1282">
        <f>X115/X165</f>
        <v>0</v>
      </c>
      <c r="Y155" s="22"/>
      <c r="AB155" s="1280">
        <f>AB125/AB165</f>
        <v>0.1898602808615619</v>
      </c>
      <c r="AC155" s="22" t="e">
        <f t="shared" si="273"/>
        <v>#DIV/0!</v>
      </c>
      <c r="AF155" s="1280">
        <f>AF125/AF165</f>
        <v>0.23591289911161925</v>
      </c>
      <c r="AG155" s="22">
        <f t="shared" si="274"/>
        <v>24.256057160073929</v>
      </c>
      <c r="AJ155" s="1280">
        <f>AJ125/AJ165</f>
        <v>0.39449640016788451</v>
      </c>
      <c r="AK155" s="22">
        <f t="shared" si="281"/>
        <v>67.221208188889008</v>
      </c>
      <c r="AN155" s="1280">
        <f>AN125/AN165</f>
        <v>0.67888099844900107</v>
      </c>
      <c r="AO155" s="22">
        <f t="shared" si="275"/>
        <v>72.088008448262642</v>
      </c>
      <c r="AR155" s="1280">
        <f>AR125/AR165</f>
        <v>0.91906784113421403</v>
      </c>
      <c r="AS155" s="316">
        <f t="shared" si="282"/>
        <v>35.379815200889929</v>
      </c>
      <c r="AT155" s="1321"/>
      <c r="AV155" s="1280">
        <f>AV125/AV165</f>
        <v>1.1944658232409684</v>
      </c>
      <c r="AW155" s="316">
        <f t="shared" si="283"/>
        <v>29.964924217877975</v>
      </c>
      <c r="AX155" s="1322"/>
      <c r="AZ155" s="1280">
        <f>AZ125/AZ165</f>
        <v>1.6868129829656875</v>
      </c>
      <c r="BA155" s="316">
        <f t="shared" si="276"/>
        <v>41.219024449676041</v>
      </c>
      <c r="BB155" s="1322"/>
      <c r="BD155" s="1280">
        <f>BD125/BD165</f>
        <v>2.0592176104259412</v>
      </c>
      <c r="BE155" s="316">
        <f t="shared" si="284"/>
        <v>22.077410550012889</v>
      </c>
      <c r="BF155" s="1322"/>
      <c r="BH155" s="1280">
        <f>BH125/BH165</f>
        <v>1.9130338539865244</v>
      </c>
      <c r="BI155" s="316">
        <f t="shared" si="285"/>
        <v>-7.0989950600305551</v>
      </c>
      <c r="BJ155" s="1322"/>
      <c r="BL155" s="1280">
        <f>BL125/BL165</f>
        <v>2.3256950954680855</v>
      </c>
      <c r="BM155" s="316" t="str">
        <f t="shared" si="277"/>
        <v xml:space="preserve">       NM</v>
      </c>
      <c r="BN155" s="1322"/>
      <c r="BP155" s="1280">
        <f>BP125/BP165</f>
        <v>2.9207972503121256</v>
      </c>
      <c r="BQ155" s="316">
        <f t="shared" si="286"/>
        <v>25.588141627149351</v>
      </c>
      <c r="BR155" s="1322"/>
      <c r="BT155" s="1280">
        <f>BT125/BT165</f>
        <v>3.5311522019355035</v>
      </c>
      <c r="BU155" s="316">
        <f t="shared" si="287"/>
        <v>20.896861346954275</v>
      </c>
      <c r="BV155" s="1322"/>
      <c r="BX155" s="1280">
        <f>BX125/BX165</f>
        <v>3.7285729137272949</v>
      </c>
      <c r="BY155" s="316">
        <f t="shared" si="288"/>
        <v>5.5908298623769559</v>
      </c>
      <c r="BZ155" s="1322"/>
      <c r="CB155" s="1280"/>
      <c r="CC155" s="316">
        <f t="shared" si="278"/>
        <v>-100</v>
      </c>
      <c r="CF155" s="1280">
        <f>CF125/CF165</f>
        <v>1.9163059163059171</v>
      </c>
      <c r="CG155" s="316" t="e">
        <f t="shared" si="279"/>
        <v>#DIV/0!</v>
      </c>
      <c r="CJ155" s="1280">
        <f>CJ125/CJ165</f>
        <v>1.9752953813104166</v>
      </c>
      <c r="CK155" s="316">
        <f t="shared" si="280"/>
        <v>3.0782906060329962</v>
      </c>
      <c r="CN155" s="1280"/>
      <c r="CO155" s="316"/>
      <c r="CR155" s="1280"/>
      <c r="CS155" s="316"/>
      <c r="CT155" s="3"/>
      <c r="CV155" s="1276"/>
      <c r="CW155" s="1276"/>
      <c r="CX155" s="1276"/>
      <c r="CY155" s="1276"/>
    </row>
    <row r="156" spans="1:103" hidden="1" outlineLevel="2">
      <c r="A156" s="3" t="str">
        <f>$A$15</f>
        <v>6 Mos</v>
      </c>
      <c r="D156" s="1316"/>
      <c r="E156" s="26"/>
      <c r="F156" s="56"/>
      <c r="G156" s="56"/>
      <c r="H156" s="1316"/>
      <c r="I156" s="26"/>
      <c r="J156" s="56"/>
      <c r="K156" s="56"/>
      <c r="L156" s="1316"/>
      <c r="M156" s="26"/>
      <c r="N156" s="56"/>
      <c r="O156" s="56"/>
      <c r="P156" s="1316"/>
      <c r="Q156" s="26"/>
      <c r="R156" s="56"/>
      <c r="T156" s="1282"/>
      <c r="U156" s="22"/>
      <c r="X156" s="1282">
        <f>SUM(X151:X152)</f>
        <v>0.10817864627093335</v>
      </c>
      <c r="Y156" s="22"/>
      <c r="AB156" s="1282">
        <f>SUM(AB151:AB152)</f>
        <v>0.13718202381065381</v>
      </c>
      <c r="AC156" s="22">
        <f t="shared" si="273"/>
        <v>26.810630877263453</v>
      </c>
      <c r="AF156" s="1282">
        <f>SUM(AF151:AF152)</f>
        <v>0.15823930875540723</v>
      </c>
      <c r="AG156" s="22">
        <f t="shared" si="274"/>
        <v>15.349886493741959</v>
      </c>
      <c r="AJ156" s="1282">
        <f>SUM(AJ151:AJ152)</f>
        <v>0.23086998140402903</v>
      </c>
      <c r="AK156" s="22">
        <f t="shared" si="281"/>
        <v>45.899260569248355</v>
      </c>
      <c r="AN156" s="1282">
        <f>SUM(AN151:AN152)</f>
        <v>0.35938792126576213</v>
      </c>
      <c r="AO156" s="22">
        <f t="shared" si="275"/>
        <v>55.666803921477801</v>
      </c>
      <c r="AR156" s="1282">
        <f>SUM(AR151:AR152)</f>
        <v>0.48153032895192893</v>
      </c>
      <c r="AS156" s="316">
        <f t="shared" si="282"/>
        <v>33.986230604518354</v>
      </c>
      <c r="AT156" s="1183"/>
      <c r="AV156" s="1282">
        <f>SUM(AV151:AV152)</f>
        <v>0.63929916060508174</v>
      </c>
      <c r="AW156" s="316">
        <f t="shared" si="283"/>
        <v>32.764048735319193</v>
      </c>
      <c r="AX156" s="1183"/>
      <c r="AZ156" s="1282">
        <f>SUM(AZ151:AZ152)</f>
        <v>0.87963257810340889</v>
      </c>
      <c r="BA156" s="316">
        <f t="shared" si="276"/>
        <v>37.593263421597058</v>
      </c>
      <c r="BB156" s="1183"/>
      <c r="BD156" s="1282">
        <f>SUM(BD151:BD152)</f>
        <v>1.0964200665910677</v>
      </c>
      <c r="BE156" s="316">
        <f t="shared" si="284"/>
        <v>24.645231871138517</v>
      </c>
      <c r="BF156" s="1183"/>
      <c r="BH156" s="1282">
        <f>SUM(BH151:BH152)</f>
        <v>1.1035880789181156</v>
      </c>
      <c r="BI156" s="316">
        <f t="shared" si="285"/>
        <v>0.65376515310726635</v>
      </c>
      <c r="BJ156" s="1183"/>
      <c r="BL156" s="1282">
        <f>SUM(BL151:BL152)</f>
        <v>1.1882894631935383</v>
      </c>
      <c r="BM156" s="316">
        <f t="shared" si="277"/>
        <v>81.760905662491012</v>
      </c>
      <c r="BN156" s="1183"/>
      <c r="BP156" s="1282">
        <f>SUM(BP151:BP152)</f>
        <v>1.6229488485844605</v>
      </c>
      <c r="BQ156" s="316">
        <f t="shared" si="286"/>
        <v>36.578577766966916</v>
      </c>
      <c r="BR156" s="1183"/>
      <c r="BT156" s="1282">
        <f>SUM(BT151:BT152)</f>
        <v>1.9020472978751308</v>
      </c>
      <c r="BU156" s="316">
        <f t="shared" si="287"/>
        <v>17.196996044213009</v>
      </c>
      <c r="BV156" s="1183"/>
      <c r="BX156" s="1282">
        <f>SUM(BX151:BX152)</f>
        <v>1.9998393693607381</v>
      </c>
      <c r="BY156" s="316">
        <f t="shared" si="288"/>
        <v>5.14141113077764</v>
      </c>
      <c r="BZ156" s="1183"/>
      <c r="CB156" s="1282"/>
      <c r="CC156" s="316">
        <f t="shared" si="278"/>
        <v>-100</v>
      </c>
      <c r="CF156" s="1282">
        <f>SUM(CF151:CF152)</f>
        <v>1.2515470149663854</v>
      </c>
      <c r="CG156" s="316" t="e">
        <f t="shared" si="279"/>
        <v>#DIV/0!</v>
      </c>
      <c r="CJ156" s="1282">
        <f>SUM(CJ151:CJ152)</f>
        <v>1.0831201134969697</v>
      </c>
      <c r="CK156" s="316">
        <f t="shared" si="280"/>
        <v>-13.457496958189729</v>
      </c>
      <c r="CN156" s="1282"/>
      <c r="CO156" s="316"/>
      <c r="CR156" s="1282"/>
      <c r="CS156" s="316"/>
      <c r="CT156" s="3"/>
      <c r="CV156" s="1276"/>
      <c r="CW156" s="1276"/>
      <c r="CX156" s="1276"/>
      <c r="CY156" s="1276"/>
    </row>
    <row r="157" spans="1:103" hidden="1" outlineLevel="2">
      <c r="A157" s="3" t="str">
        <f>$A$16</f>
        <v>9 Mos</v>
      </c>
      <c r="D157" s="1316"/>
      <c r="E157" s="26"/>
      <c r="F157" s="56"/>
      <c r="G157" s="56"/>
      <c r="H157" s="1316"/>
      <c r="I157" s="26"/>
      <c r="J157" s="56"/>
      <c r="K157" s="56"/>
      <c r="L157" s="1316"/>
      <c r="M157" s="26"/>
      <c r="N157" s="56"/>
      <c r="O157" s="56"/>
      <c r="P157" s="1316"/>
      <c r="Q157" s="26"/>
      <c r="R157" s="56"/>
      <c r="T157" s="1282"/>
      <c r="U157" s="22"/>
      <c r="X157" s="1282">
        <f>SUM(X151:X153)</f>
        <v>0.11900631714399905</v>
      </c>
      <c r="Y157" s="22"/>
      <c r="AB157" s="1282">
        <f>SUM(AB151:AB153)</f>
        <v>0.15919645589173792</v>
      </c>
      <c r="AC157" s="22">
        <f t="shared" si="273"/>
        <v>33.771433073681557</v>
      </c>
      <c r="AF157" s="1282">
        <f>SUM(AF151:AF153)</f>
        <v>0.19047475820219156</v>
      </c>
      <c r="AG157" s="22">
        <f t="shared" si="274"/>
        <v>19.647612213003374</v>
      </c>
      <c r="AJ157" s="1282">
        <f>SUM(AJ151:AJ153)</f>
        <v>0.31627042753576656</v>
      </c>
      <c r="AK157" s="22">
        <f t="shared" si="281"/>
        <v>66.043223008080247</v>
      </c>
      <c r="AN157" s="1282">
        <f>SUM(AN151:AN153)</f>
        <v>0.51000824109920695</v>
      </c>
      <c r="AO157" s="22">
        <f t="shared" si="275"/>
        <v>61.257011941633664</v>
      </c>
      <c r="AR157" s="1282">
        <f>SUM(AR151:AR153)</f>
        <v>0.68804243669204723</v>
      </c>
      <c r="AS157" s="316">
        <f t="shared" si="282"/>
        <v>34.908101721871802</v>
      </c>
      <c r="AT157" s="1183"/>
      <c r="AV157" s="1282">
        <f>SUM(AV151:AV153)</f>
        <v>0.89902893659351468</v>
      </c>
      <c r="AW157" s="316">
        <f t="shared" si="283"/>
        <v>30.664750987721479</v>
      </c>
      <c r="AX157" s="1183"/>
      <c r="AZ157" s="1282">
        <f>SUM(AZ151:AZ153)</f>
        <v>1.2682280817958438</v>
      </c>
      <c r="BA157" s="316">
        <f t="shared" si="276"/>
        <v>41.066436259688288</v>
      </c>
      <c r="BB157" s="1183"/>
      <c r="BD157" s="1282">
        <f>SUM(BD151:BD153)</f>
        <v>1.5583519025491217</v>
      </c>
      <c r="BE157" s="316">
        <f t="shared" si="284"/>
        <v>22.876312622131433</v>
      </c>
      <c r="BF157" s="1183"/>
      <c r="BH157" s="1282">
        <f>SUM(BH151:BH153)</f>
        <v>1.4871483160390566</v>
      </c>
      <c r="BI157" s="316">
        <f t="shared" si="285"/>
        <v>-4.5691596611517333</v>
      </c>
      <c r="BJ157" s="1183"/>
      <c r="BL157" s="1282">
        <f>SUM(BL151:BL153)</f>
        <v>1.6903789013385253</v>
      </c>
      <c r="BM157" s="316" t="str">
        <f t="shared" si="277"/>
        <v xml:space="preserve">       NM</v>
      </c>
      <c r="BN157" s="1183"/>
      <c r="BP157" s="1282">
        <f>SUM(BP151:BP153)</f>
        <v>2.2396685621313077</v>
      </c>
      <c r="BQ157" s="316">
        <f t="shared" si="286"/>
        <v>32.495061335528263</v>
      </c>
      <c r="BR157" s="1183"/>
      <c r="BT157" s="1282">
        <f>SUM(BT151:BT153)</f>
        <v>2.6686744410048497</v>
      </c>
      <c r="BU157" s="316">
        <f t="shared" si="287"/>
        <v>19.154882384261906</v>
      </c>
      <c r="BV157" s="1183"/>
      <c r="BX157" s="1282">
        <f>SUM(BX151:BX153)</f>
        <v>2.8393047693270095</v>
      </c>
      <c r="BY157" s="316">
        <f t="shared" si="288"/>
        <v>6.3938233041985981</v>
      </c>
      <c r="BZ157" s="1183"/>
      <c r="CB157" s="1282"/>
      <c r="CC157" s="316">
        <f t="shared" si="278"/>
        <v>-100</v>
      </c>
      <c r="CF157" s="1282">
        <f>SUM(CF151:CF153)</f>
        <v>1.6127582622627086</v>
      </c>
      <c r="CG157" s="316" t="e">
        <f t="shared" si="279"/>
        <v>#DIV/0!</v>
      </c>
      <c r="CJ157" s="1282">
        <f>SUM(CJ151:CJ153)</f>
        <v>1.5271272691320312</v>
      </c>
      <c r="CK157" s="316">
        <f t="shared" si="280"/>
        <v>-5.3095987870207306</v>
      </c>
      <c r="CN157" s="1282"/>
      <c r="CO157" s="316"/>
      <c r="CR157" s="1282"/>
      <c r="CS157" s="316"/>
      <c r="CT157" s="3"/>
      <c r="CV157" s="1276"/>
      <c r="CW157" s="1276"/>
      <c r="CX157" s="1276"/>
      <c r="CY157" s="1276"/>
    </row>
    <row r="158" spans="1:103" hidden="1" outlineLevel="1" collapsed="1">
      <c r="D158" s="56"/>
      <c r="E158" s="56"/>
      <c r="F158" s="56"/>
      <c r="G158" s="56"/>
      <c r="H158" s="56"/>
      <c r="I158" s="56"/>
      <c r="J158" s="56"/>
      <c r="K158" s="56"/>
      <c r="L158" s="56"/>
      <c r="M158" s="56"/>
      <c r="N158" s="56"/>
      <c r="O158" s="56"/>
      <c r="P158" s="56"/>
      <c r="Q158" s="56"/>
      <c r="R158" s="56"/>
      <c r="W158" s="127"/>
      <c r="AR158" s="61"/>
      <c r="AS158" s="61"/>
      <c r="AT158" s="1183"/>
      <c r="AV158" s="61"/>
      <c r="AW158" s="61"/>
      <c r="AX158" s="1183"/>
      <c r="AZ158" s="61"/>
      <c r="BA158" s="61"/>
      <c r="BB158" s="1183"/>
      <c r="BD158" s="61"/>
      <c r="BE158" s="61"/>
      <c r="BF158" s="1183"/>
      <c r="BH158" s="61"/>
      <c r="BI158" s="61"/>
      <c r="BJ158" s="1183"/>
      <c r="BL158" s="61"/>
      <c r="BM158" s="61"/>
      <c r="BN158" s="1183"/>
      <c r="BP158" s="61"/>
      <c r="BQ158" s="61"/>
      <c r="BR158" s="1183"/>
      <c r="BT158" s="61"/>
      <c r="BU158" s="61"/>
      <c r="BV158" s="1183"/>
      <c r="BX158" s="61"/>
      <c r="BY158" s="61"/>
      <c r="BZ158" s="1183"/>
      <c r="CR158" s="3"/>
      <c r="CS158" s="3"/>
      <c r="CT158" s="3"/>
      <c r="CV158" s="1276"/>
      <c r="CW158" s="1276"/>
      <c r="CX158" s="1276"/>
      <c r="CY158" s="1276"/>
    </row>
    <row r="159" spans="1:103" collapsed="1">
      <c r="D159" s="1196"/>
      <c r="E159" s="127"/>
      <c r="F159" s="127"/>
      <c r="G159" s="127"/>
      <c r="H159" s="1196"/>
      <c r="I159" s="127"/>
      <c r="J159" s="127"/>
      <c r="K159" s="127"/>
      <c r="L159" s="1196"/>
      <c r="M159" s="127"/>
      <c r="N159" s="127"/>
      <c r="O159" s="127"/>
      <c r="P159" s="1196"/>
      <c r="Q159" s="127"/>
      <c r="R159" s="127"/>
      <c r="S159" s="127"/>
      <c r="U159" s="127"/>
      <c r="V159" s="127"/>
      <c r="Y159" s="127"/>
      <c r="Z159" s="127"/>
      <c r="AA159" s="127"/>
      <c r="AC159" s="127"/>
      <c r="AD159" s="127"/>
      <c r="AE159" s="127"/>
      <c r="AG159" s="127"/>
      <c r="AH159" s="127"/>
      <c r="AI159" s="127"/>
      <c r="AK159" s="127"/>
      <c r="AL159" s="127"/>
      <c r="AM159" s="127"/>
      <c r="AN159" s="1196"/>
      <c r="AO159" s="127"/>
      <c r="AP159" s="127"/>
      <c r="AQ159" s="127"/>
      <c r="AS159" s="1197"/>
      <c r="AT159" s="1198"/>
      <c r="AU159" s="127"/>
      <c r="AV159" s="1199"/>
      <c r="AW159" s="1197"/>
      <c r="AX159" s="1198"/>
      <c r="AY159" s="127"/>
      <c r="AZ159" s="1199"/>
      <c r="BA159" s="1197"/>
      <c r="BB159" s="1198"/>
      <c r="BC159" s="127"/>
      <c r="BD159" s="1323"/>
      <c r="BE159" s="1197"/>
      <c r="BF159" s="1198"/>
      <c r="BG159" s="127"/>
      <c r="BH159" s="1199"/>
      <c r="BI159" s="1197"/>
      <c r="BJ159" s="1198"/>
      <c r="BK159" s="127"/>
      <c r="BL159" s="1196" t="s">
        <v>758</v>
      </c>
      <c r="BM159" s="1197"/>
      <c r="BN159" s="1198"/>
      <c r="BO159" s="127"/>
      <c r="BP159" s="1324"/>
      <c r="BQ159" s="1197"/>
      <c r="BR159" s="1198"/>
      <c r="BS159" s="127"/>
      <c r="BT159" s="1324"/>
      <c r="BU159" s="1197"/>
      <c r="BV159" s="1198"/>
      <c r="BW159" s="127"/>
      <c r="BX159" s="1568"/>
      <c r="BY159" s="1197"/>
      <c r="BZ159" s="1198"/>
      <c r="CA159" s="127"/>
      <c r="CB159" s="127"/>
      <c r="CC159" s="127"/>
      <c r="CD159" s="1568" t="s">
        <v>758</v>
      </c>
      <c r="CE159" s="127"/>
      <c r="CF159" s="127"/>
      <c r="CG159" s="127"/>
      <c r="CH159" s="127"/>
      <c r="CI159" s="127"/>
      <c r="CJ159" s="127"/>
      <c r="CK159" s="127"/>
      <c r="CL159" s="127"/>
      <c r="CM159" s="127"/>
      <c r="CN159" s="127"/>
      <c r="CO159" s="127"/>
      <c r="CP159" s="127"/>
      <c r="CQ159" s="127"/>
      <c r="CR159" s="127"/>
      <c r="CS159" s="127"/>
      <c r="CT159" s="127"/>
      <c r="CU159" s="1197"/>
      <c r="CV159" s="1276"/>
      <c r="CW159" s="1276"/>
      <c r="CX159" s="1276">
        <f>CX145-CX148</f>
        <v>43.2</v>
      </c>
      <c r="CY159" s="1276"/>
    </row>
    <row r="160" spans="1:103">
      <c r="AR160" s="61"/>
      <c r="AS160" s="61"/>
      <c r="AT160" s="1183"/>
      <c r="AV160" s="61"/>
      <c r="AW160" s="61"/>
      <c r="AX160" s="1183"/>
      <c r="AZ160" s="61"/>
      <c r="BA160" s="61"/>
      <c r="BB160" s="1183"/>
      <c r="BD160" s="61"/>
      <c r="BE160" s="61"/>
      <c r="BF160" s="1183"/>
      <c r="BH160" s="61"/>
      <c r="BI160" s="61"/>
      <c r="BJ160" s="1183"/>
      <c r="BL160" s="1200"/>
      <c r="BM160" s="61"/>
      <c r="BN160" s="1183"/>
      <c r="BP160" s="1200"/>
      <c r="BQ160" s="61"/>
      <c r="BR160" s="151"/>
      <c r="BT160" s="1200"/>
      <c r="BU160" s="151"/>
      <c r="BV160" s="1183"/>
      <c r="BX160" s="1200"/>
      <c r="BY160" s="61"/>
      <c r="BZ160" s="1183"/>
      <c r="CR160" s="3"/>
      <c r="CS160" s="3"/>
      <c r="CT160" s="3"/>
      <c r="CV160" s="1325"/>
      <c r="CW160" s="154"/>
      <c r="CX160" s="154"/>
      <c r="CY160" s="154"/>
    </row>
    <row r="161" spans="1:103">
      <c r="A161" s="3" t="str">
        <f>$A$10</f>
        <v>1Q</v>
      </c>
      <c r="B161" s="3" t="str">
        <f>$B$10</f>
        <v>Sept</v>
      </c>
      <c r="D161" s="1205"/>
      <c r="E161" s="980"/>
      <c r="F161" s="980"/>
      <c r="H161" s="1205"/>
      <c r="I161" s="980"/>
      <c r="J161" s="980"/>
      <c r="L161" s="1205"/>
      <c r="M161" s="980"/>
      <c r="N161" s="980"/>
      <c r="P161" s="1205"/>
      <c r="Q161" s="980"/>
      <c r="R161" s="980"/>
      <c r="S161" s="980"/>
      <c r="T161" s="1205"/>
      <c r="X161" s="1205">
        <f>35*8</f>
        <v>280</v>
      </c>
      <c r="AB161" s="1205">
        <f>35.026*8</f>
        <v>280.20800000000003</v>
      </c>
      <c r="AF161" s="1205">
        <f>90.2*4</f>
        <v>360.8</v>
      </c>
      <c r="AJ161" s="1205">
        <f>183.984*2</f>
        <v>367.96800000000002</v>
      </c>
      <c r="AN161" s="1205">
        <f>190.959*2</f>
        <v>381.91800000000001</v>
      </c>
      <c r="AR161" s="162">
        <v>389.49200000000002</v>
      </c>
      <c r="AS161" s="956"/>
      <c r="AT161" s="1183"/>
      <c r="AV161" s="162">
        <v>389.97199999999998</v>
      </c>
      <c r="AW161" s="956"/>
      <c r="AX161" s="1183"/>
      <c r="AZ161" s="162">
        <v>373.67200000000003</v>
      </c>
      <c r="BA161" s="956"/>
      <c r="BB161" s="1183"/>
      <c r="BD161" s="162">
        <v>379.28500000000003</v>
      </c>
      <c r="BE161" s="1326"/>
      <c r="BF161" s="61"/>
      <c r="BH161" s="162">
        <v>334.02300000000002</v>
      </c>
      <c r="BI161" s="1326"/>
      <c r="BJ161" s="151"/>
      <c r="BL161" s="162">
        <v>321.11500000000001</v>
      </c>
      <c r="BM161" s="1327"/>
      <c r="BN161" s="151"/>
      <c r="BP161" s="162">
        <v>301.24900000000002</v>
      </c>
      <c r="BQ161" s="1328"/>
      <c r="BR161" s="151"/>
      <c r="BT161" s="162">
        <v>296.06799999999998</v>
      </c>
      <c r="BU161" s="1057"/>
      <c r="BV161" s="61"/>
      <c r="BX161" s="162">
        <v>288.49700000000001</v>
      </c>
      <c r="BY161" s="1327"/>
      <c r="BZ161" s="153"/>
      <c r="CB161" s="1329">
        <v>284.51299999999998</v>
      </c>
      <c r="CC161" s="153"/>
      <c r="CF161" s="1329">
        <v>276.39999999999998</v>
      </c>
      <c r="CJ161" s="1623">
        <v>278.3</v>
      </c>
      <c r="CN161" s="1623">
        <v>281.89999999999998</v>
      </c>
      <c r="CR161" s="2136">
        <v>286.7</v>
      </c>
      <c r="CS161" s="3"/>
      <c r="CT161" s="3"/>
      <c r="CV161" s="1301"/>
      <c r="CW161" s="154"/>
      <c r="CX161" s="154"/>
      <c r="CY161" s="154"/>
    </row>
    <row r="162" spans="1:103">
      <c r="A162" s="3" t="str">
        <f>$A$11</f>
        <v>2Q</v>
      </c>
      <c r="B162" s="3" t="str">
        <f>$B$11</f>
        <v>Dec</v>
      </c>
      <c r="D162" s="1205"/>
      <c r="E162" s="980"/>
      <c r="F162" s="980"/>
      <c r="H162" s="1205"/>
      <c r="I162" s="980"/>
      <c r="J162" s="980"/>
      <c r="L162" s="1205"/>
      <c r="M162" s="980"/>
      <c r="N162" s="980"/>
      <c r="P162" s="1205"/>
      <c r="Q162" s="980"/>
      <c r="R162" s="980"/>
      <c r="S162" s="980"/>
      <c r="T162" s="1205"/>
      <c r="X162" s="1205">
        <f>35.026*8</f>
        <v>280.20800000000003</v>
      </c>
      <c r="AB162" s="1205">
        <f>44.513*8</f>
        <v>356.10399999999998</v>
      </c>
      <c r="AF162" s="1205">
        <f>89.413*4</f>
        <v>357.65199999999999</v>
      </c>
      <c r="AJ162" s="1205">
        <f>183.861*2</f>
        <v>367.72199999999998</v>
      </c>
      <c r="AN162" s="1205">
        <v>383.971</v>
      </c>
      <c r="AR162" s="162">
        <v>390.51299999999998</v>
      </c>
      <c r="AS162" s="1326"/>
      <c r="AT162" s="1183"/>
      <c r="AV162" s="162">
        <v>390.62</v>
      </c>
      <c r="AW162" s="1326"/>
      <c r="AX162" s="1183"/>
      <c r="AZ162" s="162">
        <v>375.49599999999998</v>
      </c>
      <c r="BA162" s="1326"/>
      <c r="BB162" s="1183"/>
      <c r="BD162" s="162">
        <v>366.56900000000002</v>
      </c>
      <c r="BE162" s="1326"/>
      <c r="BF162" s="61"/>
      <c r="BH162" s="162">
        <v>325.16800000000001</v>
      </c>
      <c r="BI162" s="1326"/>
      <c r="BJ162" s="151"/>
      <c r="BL162" s="162">
        <v>321.38099999999997</v>
      </c>
      <c r="BM162" s="1327"/>
      <c r="BN162" s="1058"/>
      <c r="BP162" s="162">
        <v>304.65499999999997</v>
      </c>
      <c r="BQ162" s="1330"/>
      <c r="BR162" s="151"/>
      <c r="BT162" s="162">
        <v>295.50900000000001</v>
      </c>
      <c r="BU162" s="151"/>
      <c r="BV162" s="61"/>
      <c r="BX162" s="162">
        <v>286.22300000000001</v>
      </c>
      <c r="BY162" s="1182"/>
      <c r="BZ162" s="153"/>
      <c r="CB162" s="162">
        <v>281.53399999999999</v>
      </c>
      <c r="CC162" s="153"/>
      <c r="CF162" s="162">
        <v>276.5</v>
      </c>
      <c r="CJ162" s="162">
        <v>278.39999999999998</v>
      </c>
      <c r="CN162" s="1623">
        <v>281.8</v>
      </c>
      <c r="CR162" s="2136">
        <v>286.39999999999998</v>
      </c>
      <c r="CS162" s="3"/>
      <c r="CT162" s="3"/>
      <c r="CV162" s="1301"/>
      <c r="CW162" s="154"/>
      <c r="CX162" s="154"/>
      <c r="CY162" s="154"/>
    </row>
    <row r="163" spans="1:103">
      <c r="A163" s="3" t="str">
        <f>$A$12</f>
        <v>3Q</v>
      </c>
      <c r="B163" s="3" t="str">
        <f>$B$12</f>
        <v>Mar</v>
      </c>
      <c r="D163" s="1205"/>
      <c r="E163" s="980"/>
      <c r="F163" s="980"/>
      <c r="H163" s="1205"/>
      <c r="I163" s="980"/>
      <c r="J163" s="980"/>
      <c r="L163" s="1205"/>
      <c r="M163" s="980"/>
      <c r="N163" s="980"/>
      <c r="P163" s="1205"/>
      <c r="Q163" s="980"/>
      <c r="R163" s="980"/>
      <c r="S163" s="980"/>
      <c r="T163" s="1205"/>
      <c r="X163" s="1205">
        <f>35.026*8</f>
        <v>280.20800000000003</v>
      </c>
      <c r="AB163" s="1205">
        <f>45.385*8</f>
        <v>363.08</v>
      </c>
      <c r="AF163" s="1205">
        <f>91.646*4</f>
        <v>366.584</v>
      </c>
      <c r="AJ163" s="1205">
        <f>186.492*2</f>
        <v>372.98399999999998</v>
      </c>
      <c r="AN163" s="1205">
        <v>387.13900000000001</v>
      </c>
      <c r="AR163" s="162">
        <v>391.60899999999998</v>
      </c>
      <c r="AS163" s="956"/>
      <c r="AT163" s="1183"/>
      <c r="AV163" s="162">
        <v>391.45299999999997</v>
      </c>
      <c r="AW163" s="956"/>
      <c r="AX163" s="1183"/>
      <c r="AZ163" s="162">
        <v>379.28899999999999</v>
      </c>
      <c r="BA163" s="956"/>
      <c r="BB163" s="1317"/>
      <c r="BD163" s="162">
        <v>351.59300000000002</v>
      </c>
      <c r="BE163" s="1326"/>
      <c r="BF163" s="151"/>
      <c r="BH163" s="162">
        <v>321.35500000000002</v>
      </c>
      <c r="BI163" s="1326"/>
      <c r="BJ163" s="151"/>
      <c r="BL163" s="162">
        <v>313.95999999999998</v>
      </c>
      <c r="BM163" s="1327"/>
      <c r="BN163" s="1058"/>
      <c r="BP163" s="162">
        <v>301.62</v>
      </c>
      <c r="BQ163" s="1182"/>
      <c r="BR163" s="151"/>
      <c r="BT163" s="162">
        <v>293.49599999999998</v>
      </c>
      <c r="BU163" s="151"/>
      <c r="BV163" s="61"/>
      <c r="BX163" s="162">
        <v>284.62400000000002</v>
      </c>
      <c r="BY163" s="1182"/>
      <c r="BZ163" s="153"/>
      <c r="CB163" s="1329">
        <v>278.75</v>
      </c>
      <c r="CC163" s="153"/>
      <c r="CF163" s="1329">
        <v>277.39999999999998</v>
      </c>
      <c r="CJ163" s="162">
        <v>279.5</v>
      </c>
      <c r="CN163" s="1623">
        <v>282.89999999999998</v>
      </c>
      <c r="CR163" s="1886">
        <f>CR199*(CN163/CN199)+0.5</f>
        <v>290.35795991590112</v>
      </c>
      <c r="CS163" s="3"/>
      <c r="CT163" s="3"/>
      <c r="CV163" s="1301"/>
      <c r="CW163" s="154"/>
      <c r="CX163" s="154"/>
      <c r="CY163" s="154"/>
    </row>
    <row r="164" spans="1:103">
      <c r="A164" s="3" t="str">
        <f>$A$13</f>
        <v>4Q</v>
      </c>
      <c r="B164" s="3" t="str">
        <f>$B$13</f>
        <v>June</v>
      </c>
      <c r="D164" s="1207"/>
      <c r="E164" s="980"/>
      <c r="F164" s="980"/>
      <c r="H164" s="1207"/>
      <c r="I164" s="980"/>
      <c r="J164" s="980"/>
      <c r="L164" s="1207"/>
      <c r="M164" s="980"/>
      <c r="N164" s="980"/>
      <c r="P164" s="1207"/>
      <c r="Q164" s="980"/>
      <c r="R164" s="980"/>
      <c r="S164" s="980"/>
      <c r="T164" s="1207"/>
      <c r="X164" s="1207">
        <f>35.026*8</f>
        <v>280.20800000000003</v>
      </c>
      <c r="AB164" s="1207">
        <f>45.636*8</f>
        <v>365.08800000000002</v>
      </c>
      <c r="AF164" s="1207">
        <f>92.426*4</f>
        <v>369.70400000000001</v>
      </c>
      <c r="AJ164" s="1207">
        <f>188.548*2</f>
        <v>377.096</v>
      </c>
      <c r="AN164" s="1207">
        <v>389.411</v>
      </c>
      <c r="AO164" s="2"/>
      <c r="AR164" s="1208">
        <v>389.13</v>
      </c>
      <c r="AS164" s="956"/>
      <c r="AT164" s="1183"/>
      <c r="AV164" s="1208">
        <v>384.22699999999998</v>
      </c>
      <c r="AW164" s="956"/>
      <c r="AX164" s="1183"/>
      <c r="AZ164" s="1208">
        <v>380.46199999999999</v>
      </c>
      <c r="BA164" s="956"/>
      <c r="BB164" s="1183"/>
      <c r="BD164" s="1208">
        <v>343.589</v>
      </c>
      <c r="BE164" s="1332"/>
      <c r="BF164" s="1333"/>
      <c r="BH164" s="1208">
        <v>320.512</v>
      </c>
      <c r="BI164" s="1326"/>
      <c r="BJ164" s="151"/>
      <c r="BL164" s="1208">
        <v>307.57900000000001</v>
      </c>
      <c r="BM164" s="1334">
        <v>40330</v>
      </c>
      <c r="BN164" s="1183"/>
      <c r="BP164" s="1208">
        <v>298.72199999999998</v>
      </c>
      <c r="BQ164" s="1334">
        <v>40695</v>
      </c>
      <c r="BR164" s="1333"/>
      <c r="BT164" s="1208">
        <v>291.77800000000002</v>
      </c>
      <c r="BU164" s="1334">
        <v>41061</v>
      </c>
      <c r="BV164" s="1183"/>
      <c r="BX164" s="1208">
        <v>285.31700000000001</v>
      </c>
      <c r="BY164" s="1334">
        <v>41426</v>
      </c>
      <c r="BZ164" s="153"/>
      <c r="CB164" s="1208">
        <v>276.40800000000002</v>
      </c>
      <c r="CC164" s="1334">
        <v>41791</v>
      </c>
      <c r="CF164" s="1570">
        <v>278.5</v>
      </c>
      <c r="CG164" s="1334">
        <v>42169</v>
      </c>
      <c r="CJ164" s="1570">
        <v>281.10000000000002</v>
      </c>
      <c r="CK164" s="1334">
        <v>42169</v>
      </c>
      <c r="CN164" s="2042">
        <v>284.7</v>
      </c>
      <c r="CO164" s="1334">
        <v>42169</v>
      </c>
      <c r="CR164" s="1367">
        <f>CR200*(CN164/CN200)+0.5</f>
        <v>293.21359880805761</v>
      </c>
      <c r="CS164" s="1334">
        <v>42169</v>
      </c>
      <c r="CT164" s="3"/>
      <c r="CV164" s="1325"/>
      <c r="CW164" s="154"/>
      <c r="CX164" s="154"/>
      <c r="CY164" s="154"/>
    </row>
    <row r="165" spans="1:103">
      <c r="B165" s="3" t="str">
        <f>$B$14</f>
        <v>Year</v>
      </c>
      <c r="D165" s="153">
        <f>35.026*8</f>
        <v>280.20800000000003</v>
      </c>
      <c r="H165" s="153">
        <f>35.026*8</f>
        <v>280.20800000000003</v>
      </c>
      <c r="L165" s="153">
        <f>35.026*8</f>
        <v>280.20800000000003</v>
      </c>
      <c r="P165" s="153">
        <f>35.026*8</f>
        <v>280.20800000000003</v>
      </c>
      <c r="T165" s="153">
        <f>35.026*8</f>
        <v>280.20800000000003</v>
      </c>
      <c r="X165" s="1205">
        <f>35.026*8</f>
        <v>280.20800000000003</v>
      </c>
      <c r="AB165" s="1205">
        <f>42.156*8</f>
        <v>337.24799999999999</v>
      </c>
      <c r="AF165" s="162">
        <v>363.80799999999999</v>
      </c>
      <c r="AG165" s="22"/>
      <c r="AJ165" s="162">
        <v>371.68400000000003</v>
      </c>
      <c r="AN165" s="162">
        <v>385.55799999999999</v>
      </c>
      <c r="AR165" s="162">
        <v>390.19099999999997</v>
      </c>
      <c r="AS165" s="151"/>
      <c r="AT165" s="1183"/>
      <c r="AV165" s="162">
        <v>388.495</v>
      </c>
      <c r="AW165" s="151"/>
      <c r="AX165" s="1183"/>
      <c r="AZ165" s="162">
        <v>377.35599999999999</v>
      </c>
      <c r="BA165" s="151"/>
      <c r="BB165" s="1183"/>
      <c r="BD165" s="162">
        <v>360.33199999999999</v>
      </c>
      <c r="BE165" s="151"/>
      <c r="BF165" s="1183"/>
      <c r="BH165" s="151">
        <f>+(BH161+BH162+BH163+BH164)/4</f>
        <v>325.2645</v>
      </c>
      <c r="BI165" s="1057"/>
      <c r="BJ165" s="1183"/>
      <c r="BL165" s="151">
        <f>+(BL161+BL162+BL163+BL164)/4</f>
        <v>316.00874999999996</v>
      </c>
      <c r="BM165" s="151"/>
      <c r="BN165" s="1183"/>
      <c r="BP165" s="151">
        <f>+(BP161+BP162+BP163+BP164)/4</f>
        <v>301.56150000000002</v>
      </c>
      <c r="BQ165" s="151"/>
      <c r="BR165" s="1183"/>
      <c r="BT165" s="151">
        <f>+(BT161+BT162+BT163+BT164)/4</f>
        <v>294.21275000000003</v>
      </c>
      <c r="BU165" s="151"/>
      <c r="BV165" s="1183"/>
      <c r="BX165" s="151">
        <f>+(BX161+BX162+BX163+BX164)/4</f>
        <v>286.16525000000001</v>
      </c>
      <c r="BY165" s="151"/>
      <c r="BZ165" s="1183"/>
      <c r="CB165" s="151">
        <f>+(CB161+CB162+CB163+CB164)/4</f>
        <v>280.30124999999998</v>
      </c>
      <c r="CF165" s="1573">
        <v>277.2</v>
      </c>
      <c r="CJ165" s="1573">
        <v>279.3</v>
      </c>
      <c r="CN165" s="2045">
        <v>282.8</v>
      </c>
      <c r="CR165" s="151">
        <f>+(CR161+CR162+CR163+CR164)/4</f>
        <v>289.16788968098967</v>
      </c>
      <c r="CS165" s="3"/>
      <c r="CT165" s="3"/>
      <c r="CV165" s="1335"/>
      <c r="CW165" s="154"/>
      <c r="CX165" s="154"/>
      <c r="CY165" s="154"/>
    </row>
    <row r="166" spans="1:103">
      <c r="A166" s="3" t="str">
        <f>$A$15</f>
        <v>6 Mos</v>
      </c>
      <c r="D166" s="1212"/>
      <c r="H166" s="1212"/>
      <c r="L166" s="1212"/>
      <c r="P166" s="1212"/>
      <c r="T166" s="1212"/>
      <c r="X166" s="1212">
        <f>(X161+X162)/2</f>
        <v>280.10400000000004</v>
      </c>
      <c r="AB166" s="1212">
        <f>(AB161+AB162)/2</f>
        <v>318.15600000000001</v>
      </c>
      <c r="AF166" s="1212">
        <f>(AF161+AF162)/2</f>
        <v>359.226</v>
      </c>
      <c r="AJ166" s="1212">
        <f>(AJ161+AJ162)/2</f>
        <v>367.84500000000003</v>
      </c>
      <c r="AN166" s="1212">
        <f>(AN161+AN162)/2</f>
        <v>382.94450000000001</v>
      </c>
      <c r="AR166" s="1213">
        <f>(AR161+AR162)/2</f>
        <v>390.0025</v>
      </c>
      <c r="AS166" s="61"/>
      <c r="AT166" s="1183"/>
      <c r="AV166" s="1213">
        <f>(AV161+AV162)/2</f>
        <v>390.29599999999999</v>
      </c>
      <c r="AW166" s="61"/>
      <c r="AX166" s="1183"/>
      <c r="AZ166" s="1213">
        <f>(AZ161+AZ162)/2</f>
        <v>374.584</v>
      </c>
      <c r="BA166" s="61"/>
      <c r="BB166" s="1183"/>
      <c r="BD166" s="1213">
        <f>(BD161+BD162)/2</f>
        <v>372.92700000000002</v>
      </c>
      <c r="BE166" s="61"/>
      <c r="BF166" s="1183"/>
      <c r="BH166" s="1213">
        <f>(BH161+BH162)/2</f>
        <v>329.59550000000002</v>
      </c>
      <c r="BI166" s="61"/>
      <c r="BJ166" s="1183"/>
      <c r="BL166" s="1213">
        <f>(BL161+BL162)/2</f>
        <v>321.24799999999999</v>
      </c>
      <c r="BM166" s="61"/>
      <c r="BN166" s="1183"/>
      <c r="BP166" s="1213">
        <f>(BP161+BP162)/2</f>
        <v>302.952</v>
      </c>
      <c r="BQ166" s="61"/>
      <c r="BR166" s="1183"/>
      <c r="BT166" s="1213">
        <f>(BT161+BT162)/2</f>
        <v>295.7885</v>
      </c>
      <c r="BU166" s="61"/>
      <c r="BV166" s="1183"/>
      <c r="BX166" s="1213">
        <f>(BX161+BX162)/2</f>
        <v>287.36</v>
      </c>
      <c r="BY166" s="61"/>
      <c r="BZ166" s="1183"/>
      <c r="CB166" s="1213">
        <f>(CB161+CB162)/2</f>
        <v>283.02350000000001</v>
      </c>
      <c r="CF166" s="1213">
        <f>(CF161+CF162)/2</f>
        <v>276.45</v>
      </c>
      <c r="CJ166" s="1213">
        <f>(CJ161+CJ162)/2</f>
        <v>278.35000000000002</v>
      </c>
      <c r="CN166" s="1213">
        <f>(CN161+CN162)/2</f>
        <v>281.85000000000002</v>
      </c>
      <c r="CR166" s="1213">
        <f>(CR161+CR162)/2</f>
        <v>286.54999999999995</v>
      </c>
      <c r="CS166" s="3"/>
      <c r="CT166" s="3"/>
      <c r="CV166" s="154"/>
      <c r="CW166" s="154"/>
      <c r="CX166" s="154"/>
      <c r="CY166" s="154"/>
    </row>
    <row r="167" spans="1:103">
      <c r="A167" s="3" t="str">
        <f>$A$16</f>
        <v>9 Mos</v>
      </c>
      <c r="D167" s="1212"/>
      <c r="H167" s="1212"/>
      <c r="L167" s="1212"/>
      <c r="P167" s="1212"/>
      <c r="T167" s="1212"/>
      <c r="X167" s="1212">
        <f>(X161+X162+X163)/3</f>
        <v>280.13866666666672</v>
      </c>
      <c r="AB167" s="1212">
        <f>(AB161+AB162+AB163)/3</f>
        <v>333.13066666666668</v>
      </c>
      <c r="AF167" s="1212">
        <f>(AF161+AF162+AF163)/3</f>
        <v>361.67866666666669</v>
      </c>
      <c r="AJ167" s="1212">
        <f>(AJ161+AJ162+AJ163)/3</f>
        <v>369.55799999999999</v>
      </c>
      <c r="AN167" s="1212">
        <f>(AN161+AN162+AN163)/3</f>
        <v>384.34266666666667</v>
      </c>
      <c r="AR167" s="1213">
        <f>(AR161+AR162+AR163)/3</f>
        <v>390.53800000000001</v>
      </c>
      <c r="AS167" s="61"/>
      <c r="AT167" s="1183"/>
      <c r="AV167" s="1213">
        <f>(AV161+AV162+AV163)/3</f>
        <v>390.68166666666667</v>
      </c>
      <c r="AW167" s="61"/>
      <c r="AX167" s="1183"/>
      <c r="AZ167" s="1213">
        <f>(AZ161+AZ162+AZ163)/3</f>
        <v>376.15233333333327</v>
      </c>
      <c r="BA167" s="61"/>
      <c r="BB167" s="1183"/>
      <c r="BD167" s="1213">
        <f>(BD161+BD162+BD163)/3</f>
        <v>365.81566666666669</v>
      </c>
      <c r="BE167" s="61"/>
      <c r="BF167" s="1183"/>
      <c r="BH167" s="1213">
        <f>(BH161+BH162+BH163)/3</f>
        <v>326.8486666666667</v>
      </c>
      <c r="BI167" s="61"/>
      <c r="BJ167" s="1183"/>
      <c r="BL167" s="1213">
        <f>(BL161+BL162+BL163)/3</f>
        <v>318.81866666666662</v>
      </c>
      <c r="BM167" s="61"/>
      <c r="BN167" s="1183"/>
      <c r="BP167" s="1213">
        <f>(BP161+BP162+BP163)/3</f>
        <v>302.50799999999998</v>
      </c>
      <c r="BQ167" s="61"/>
      <c r="BR167" s="1183"/>
      <c r="BT167" s="1213">
        <f>(BT161+BT162+BT163)/3</f>
        <v>295.02433333333335</v>
      </c>
      <c r="BU167" s="61"/>
      <c r="BV167" s="1183"/>
      <c r="BX167" s="1213">
        <f>(BX161+BX162+BX163)/3</f>
        <v>286.44800000000004</v>
      </c>
      <c r="BY167" s="61"/>
      <c r="BZ167" s="1183"/>
      <c r="CB167" s="1213">
        <f>(CB161+CB162+CB163)/3</f>
        <v>281.59899999999999</v>
      </c>
      <c r="CF167" s="1213">
        <f>(CF161+CF162+CF163)/3</f>
        <v>276.76666666666665</v>
      </c>
      <c r="CJ167" s="1213">
        <f>(CJ161+CJ162+CJ163)/3</f>
        <v>278.73333333333335</v>
      </c>
      <c r="CN167" s="1213">
        <f>(CN161+CN162+CN163)/3</f>
        <v>282.2</v>
      </c>
      <c r="CR167" s="1213">
        <f>(CR161+CR162+CR163)/3</f>
        <v>287.81931997196699</v>
      </c>
      <c r="CS167" s="3"/>
      <c r="CT167" s="3"/>
    </row>
    <row r="168" spans="1:103">
      <c r="D168" s="1212"/>
      <c r="H168" s="1212"/>
      <c r="L168" s="1212"/>
      <c r="P168" s="1212"/>
      <c r="T168" s="1212"/>
      <c r="X168" s="1212"/>
      <c r="AB168" s="1212"/>
      <c r="AF168" s="1212"/>
      <c r="AJ168" s="1212"/>
      <c r="AN168" s="1212"/>
      <c r="AR168" s="1213"/>
      <c r="AS168" s="61"/>
      <c r="AT168" s="1183"/>
      <c r="AV168" s="1213"/>
      <c r="AW168" s="61"/>
      <c r="AX168" s="1183"/>
      <c r="AZ168" s="1213"/>
      <c r="BA168" s="61"/>
      <c r="BB168" s="1183"/>
      <c r="BD168" s="1213"/>
      <c r="BE168" s="61"/>
      <c r="BF168" s="1183"/>
      <c r="BH168" s="1213"/>
      <c r="BI168" s="61"/>
      <c r="BJ168" s="1183"/>
      <c r="BL168" s="1213"/>
      <c r="BM168" s="61"/>
      <c r="BN168" s="1183"/>
      <c r="BP168" s="1213"/>
      <c r="BQ168" s="61"/>
      <c r="BR168" s="1183"/>
      <c r="BT168" s="1213"/>
      <c r="BU168" s="61"/>
      <c r="BV168" s="1183"/>
      <c r="BX168" s="1213"/>
      <c r="BY168" s="61"/>
      <c r="BZ168" s="1183"/>
      <c r="CR168" s="3"/>
      <c r="CS168" s="3"/>
      <c r="CT168" s="3"/>
    </row>
    <row r="169" spans="1:103" collapsed="1">
      <c r="D169" s="1196"/>
      <c r="E169" s="127"/>
      <c r="F169" s="127"/>
      <c r="G169" s="127"/>
      <c r="H169" s="1196"/>
      <c r="I169" s="127"/>
      <c r="J169" s="127"/>
      <c r="K169" s="127"/>
      <c r="L169" s="1196"/>
      <c r="M169" s="127"/>
      <c r="N169" s="127"/>
      <c r="O169" s="127"/>
      <c r="P169" s="1196"/>
      <c r="Q169" s="127"/>
      <c r="R169" s="127"/>
      <c r="S169" s="127"/>
      <c r="U169" s="127"/>
      <c r="V169" s="127"/>
      <c r="Y169" s="127"/>
      <c r="Z169" s="127"/>
      <c r="AA169" s="127"/>
      <c r="AC169" s="127"/>
      <c r="AD169" s="127"/>
      <c r="AE169" s="127"/>
      <c r="AG169" s="127"/>
      <c r="AH169" s="127"/>
      <c r="AI169" s="127"/>
      <c r="AK169" s="127"/>
      <c r="AL169" s="127"/>
      <c r="AM169" s="127"/>
      <c r="AN169" s="1196"/>
      <c r="AO169" s="127"/>
      <c r="AP169" s="127"/>
      <c r="AQ169" s="127"/>
      <c r="AS169" s="1197"/>
      <c r="AT169" s="1198"/>
      <c r="AU169" s="127"/>
      <c r="AV169" s="1199"/>
      <c r="AW169" s="1197"/>
      <c r="AX169" s="1198"/>
      <c r="AY169" s="127"/>
      <c r="AZ169" s="1199"/>
      <c r="BA169" s="1197"/>
      <c r="BB169" s="1198"/>
      <c r="BC169" s="127"/>
      <c r="BD169" s="1323"/>
      <c r="BE169" s="1197"/>
      <c r="BF169" s="1198"/>
      <c r="BG169" s="127"/>
      <c r="BH169" s="1199"/>
      <c r="BI169" s="1197"/>
      <c r="BJ169" s="1198"/>
      <c r="BK169" s="127"/>
      <c r="BM169" s="1197"/>
      <c r="BN169" s="1198"/>
      <c r="BO169" s="127"/>
      <c r="BP169" s="1324"/>
      <c r="BQ169" s="1197"/>
      <c r="BR169" s="1198"/>
      <c r="BS169" s="127"/>
      <c r="BT169" s="1324"/>
      <c r="BU169" s="1197"/>
      <c r="BV169" s="1198"/>
      <c r="BW169" s="127"/>
      <c r="BY169" s="1197"/>
      <c r="BZ169" s="1569"/>
      <c r="CA169" s="127"/>
      <c r="CB169" s="127"/>
      <c r="CC169" s="127"/>
      <c r="CD169" s="127"/>
      <c r="CE169" s="127"/>
      <c r="CF169" s="1196" t="s">
        <v>346</v>
      </c>
      <c r="CG169" s="127"/>
      <c r="CI169" s="127"/>
      <c r="CJ169" s="127"/>
      <c r="CK169" s="127"/>
      <c r="CL169" s="127"/>
      <c r="CM169" s="127"/>
      <c r="CN169" s="127"/>
      <c r="CO169" s="127"/>
      <c r="CP169" s="127"/>
      <c r="CQ169" s="127"/>
      <c r="CR169" s="127"/>
      <c r="CS169" s="127"/>
      <c r="CT169" s="127"/>
      <c r="CU169" s="1197"/>
    </row>
    <row r="170" spans="1:103">
      <c r="D170" s="1212"/>
      <c r="H170" s="1212"/>
      <c r="L170" s="1212"/>
      <c r="P170" s="1212"/>
      <c r="T170" s="1212"/>
      <c r="X170" s="1212"/>
      <c r="AB170" s="1212"/>
      <c r="AF170" s="1212"/>
      <c r="AJ170" s="1212"/>
      <c r="AN170" s="1212"/>
      <c r="AR170" s="1213"/>
      <c r="AS170" s="61"/>
      <c r="AT170" s="1183"/>
      <c r="AV170" s="1213"/>
      <c r="AW170" s="61"/>
      <c r="AX170" s="1183"/>
      <c r="AZ170" s="1213"/>
      <c r="BA170" s="61"/>
      <c r="BB170" s="1183"/>
      <c r="BD170" s="1213"/>
      <c r="BE170" s="61"/>
      <c r="BF170" s="1183"/>
      <c r="BH170" s="1213"/>
      <c r="BI170" s="61"/>
      <c r="BJ170" s="1183"/>
      <c r="BL170" s="1213"/>
      <c r="BM170" s="61"/>
      <c r="BN170" s="1183"/>
      <c r="BP170" s="1213"/>
      <c r="BQ170" s="61"/>
      <c r="BR170" s="1183"/>
      <c r="BT170" s="1213"/>
      <c r="BU170" s="61"/>
      <c r="BV170" s="1183"/>
      <c r="BX170" s="1213"/>
      <c r="BY170" s="61"/>
      <c r="BZ170" s="1183"/>
      <c r="CR170" s="3"/>
      <c r="CS170" s="3"/>
      <c r="CT170" s="3"/>
    </row>
    <row r="171" spans="1:103">
      <c r="D171" s="1212"/>
      <c r="H171" s="1212"/>
      <c r="L171" s="1212"/>
      <c r="P171" s="1212"/>
      <c r="T171" s="1212"/>
      <c r="X171" s="1212"/>
      <c r="AB171" s="1212"/>
      <c r="AF171" s="1212"/>
      <c r="AJ171" s="1212"/>
      <c r="AN171" s="1212"/>
      <c r="AR171" s="1213"/>
      <c r="AS171" s="61"/>
      <c r="AT171" s="1183"/>
      <c r="AV171" s="1213"/>
      <c r="AW171" s="61"/>
      <c r="AX171" s="1183"/>
      <c r="AZ171" s="1213"/>
      <c r="BA171" s="61"/>
      <c r="BB171" s="1183"/>
      <c r="BD171" s="1213"/>
      <c r="BE171" s="61"/>
      <c r="BF171" s="1183"/>
      <c r="BH171" s="133"/>
      <c r="BI171" s="1263"/>
      <c r="BJ171" s="1183"/>
      <c r="BL171" s="133">
        <v>7.4999999999999997E-2</v>
      </c>
      <c r="BM171" s="1263"/>
      <c r="BN171" s="1183"/>
      <c r="BP171" s="133">
        <v>0.15</v>
      </c>
      <c r="BQ171" s="1263"/>
      <c r="BR171" s="1183"/>
      <c r="BT171" s="133">
        <v>0.22500000000000001</v>
      </c>
      <c r="BU171" s="1263"/>
      <c r="BV171" s="1183"/>
      <c r="BX171" s="133">
        <v>0.22500000000000001</v>
      </c>
      <c r="BY171" s="1263"/>
      <c r="BZ171" s="1183"/>
      <c r="CB171" s="133">
        <v>0.33750000000000002</v>
      </c>
      <c r="CF171" s="133">
        <v>0.33750000000000002</v>
      </c>
      <c r="CJ171" s="133">
        <v>0.33750000000000002</v>
      </c>
      <c r="CN171" s="133">
        <v>0.33750000000000002</v>
      </c>
      <c r="CR171" s="133">
        <v>0.33750000000000002</v>
      </c>
      <c r="CS171" s="3"/>
      <c r="CT171" s="3"/>
    </row>
    <row r="172" spans="1:103">
      <c r="D172" s="1212"/>
      <c r="H172" s="1212"/>
      <c r="L172" s="1212"/>
      <c r="P172" s="1212"/>
      <c r="T172" s="1212"/>
      <c r="X172" s="1212"/>
      <c r="AB172" s="1212"/>
      <c r="AF172" s="1212"/>
      <c r="AJ172" s="1212"/>
      <c r="AN172" s="1212"/>
      <c r="AR172" s="1213"/>
      <c r="AS172" s="61"/>
      <c r="AT172" s="1183"/>
      <c r="AV172" s="1213"/>
      <c r="AW172" s="61"/>
      <c r="AX172" s="1183"/>
      <c r="AZ172" s="1213"/>
      <c r="BA172" s="61"/>
      <c r="BB172" s="1183"/>
      <c r="BD172" s="1213"/>
      <c r="BE172" s="61"/>
      <c r="BF172" s="1183"/>
      <c r="BH172" s="133"/>
      <c r="BI172" s="1263"/>
      <c r="BJ172" s="1183"/>
      <c r="BL172" s="133">
        <v>7.4999999999999997E-2</v>
      </c>
      <c r="BM172" s="1263"/>
      <c r="BN172" s="1183"/>
      <c r="BP172" s="133">
        <v>0.15</v>
      </c>
      <c r="BQ172" s="1263"/>
      <c r="BR172" s="1183"/>
      <c r="BT172" s="133">
        <v>0.22500000000000001</v>
      </c>
      <c r="BU172" s="1263"/>
      <c r="BV172" s="1183"/>
      <c r="BX172" s="133">
        <v>0.22500000000000001</v>
      </c>
      <c r="BY172" s="1263"/>
      <c r="BZ172" s="1183"/>
      <c r="CB172" s="133">
        <f>CB171</f>
        <v>0.33750000000000002</v>
      </c>
      <c r="CF172" s="133">
        <v>0.33750000000000002</v>
      </c>
      <c r="CJ172" s="133">
        <v>0.33750000000000002</v>
      </c>
      <c r="CN172" s="133">
        <v>0.33750000000000002</v>
      </c>
      <c r="CR172" s="133">
        <v>0.33750000000000002</v>
      </c>
      <c r="CS172" s="3"/>
      <c r="CT172" s="3"/>
    </row>
    <row r="173" spans="1:103">
      <c r="D173" s="1212"/>
      <c r="H173" s="1212"/>
      <c r="L173" s="1212"/>
      <c r="P173" s="1212"/>
      <c r="T173" s="1212"/>
      <c r="X173" s="1212"/>
      <c r="AB173" s="1212"/>
      <c r="AF173" s="1212"/>
      <c r="AJ173" s="1212"/>
      <c r="AN173" s="1212"/>
      <c r="AR173" s="1213"/>
      <c r="AS173" s="61"/>
      <c r="AT173" s="1183"/>
      <c r="AV173" s="1213"/>
      <c r="AW173" s="61"/>
      <c r="AX173" s="1183"/>
      <c r="AZ173" s="1213"/>
      <c r="BA173" s="61"/>
      <c r="BB173" s="1183"/>
      <c r="BD173" s="1213"/>
      <c r="BE173" s="61"/>
      <c r="BF173" s="1183"/>
      <c r="BH173" s="133"/>
      <c r="BI173" s="1263"/>
      <c r="BJ173" s="1183"/>
      <c r="BL173" s="133">
        <v>7.4999999999999997E-2</v>
      </c>
      <c r="BM173" s="1263"/>
      <c r="BN173" s="1183"/>
      <c r="BP173" s="133">
        <v>0.15</v>
      </c>
      <c r="BQ173" s="1263"/>
      <c r="BR173" s="1183"/>
      <c r="BT173" s="133">
        <v>0.22500000000000001</v>
      </c>
      <c r="BU173" s="1263"/>
      <c r="BV173" s="1183"/>
      <c r="BX173" s="133">
        <v>0.33750000000000002</v>
      </c>
      <c r="BY173" s="1263"/>
      <c r="BZ173" s="1183"/>
      <c r="CB173" s="133">
        <f>CB172</f>
        <v>0.33750000000000002</v>
      </c>
      <c r="CF173" s="133">
        <f>CF172</f>
        <v>0.33750000000000002</v>
      </c>
      <c r="CJ173" s="133">
        <f>CJ172</f>
        <v>0.33750000000000002</v>
      </c>
      <c r="CN173" s="133">
        <f>CN172</f>
        <v>0.33750000000000002</v>
      </c>
      <c r="CR173" s="133">
        <f>CR172</f>
        <v>0.33750000000000002</v>
      </c>
      <c r="CS173" s="3"/>
      <c r="CT173" s="3"/>
    </row>
    <row r="174" spans="1:103">
      <c r="D174" s="1212"/>
      <c r="H174" s="1212"/>
      <c r="L174" s="1212"/>
      <c r="P174" s="1212"/>
      <c r="T174" s="1212"/>
      <c r="X174" s="1212"/>
      <c r="AB174" s="1212"/>
      <c r="AF174" s="1212"/>
      <c r="AJ174" s="1212"/>
      <c r="AN174" s="1212"/>
      <c r="AR174" s="1213"/>
      <c r="AS174" s="61"/>
      <c r="AT174" s="1183"/>
      <c r="AV174" s="1213"/>
      <c r="AW174" s="61"/>
      <c r="AX174" s="1183"/>
      <c r="AZ174" s="1213"/>
      <c r="BA174" s="61"/>
      <c r="BB174" s="1183"/>
      <c r="BD174" s="1213"/>
      <c r="BE174" s="61"/>
      <c r="BF174" s="1183"/>
      <c r="BH174" s="137">
        <v>7.4999999999999997E-2</v>
      </c>
      <c r="BI174" s="1263"/>
      <c r="BJ174" s="1183"/>
      <c r="BL174" s="137">
        <v>7.4999999999999997E-2</v>
      </c>
      <c r="BM174" s="1263"/>
      <c r="BN174" s="1183"/>
      <c r="BP174" s="137">
        <v>0.15</v>
      </c>
      <c r="BQ174" s="1263"/>
      <c r="BR174" s="1183"/>
      <c r="BT174" s="137">
        <v>0.22500000000000001</v>
      </c>
      <c r="BU174" s="1263"/>
      <c r="BV174" s="1183"/>
      <c r="BX174" s="137">
        <v>0.33750000000000002</v>
      </c>
      <c r="BY174" s="1263"/>
      <c r="BZ174" s="1183"/>
      <c r="CB174" s="137">
        <f>CB173</f>
        <v>0.33750000000000002</v>
      </c>
      <c r="CF174" s="137">
        <f>CF173</f>
        <v>0.33750000000000002</v>
      </c>
      <c r="CJ174" s="137">
        <f>CJ173</f>
        <v>0.33750000000000002</v>
      </c>
      <c r="CN174" s="137">
        <f>CN173</f>
        <v>0.33750000000000002</v>
      </c>
      <c r="CR174" s="137">
        <f>CR173</f>
        <v>0.33750000000000002</v>
      </c>
      <c r="CS174" s="3"/>
      <c r="CT174" s="3"/>
    </row>
    <row r="175" spans="1:103">
      <c r="D175" s="1212"/>
      <c r="H175" s="1212"/>
      <c r="L175" s="1212"/>
      <c r="P175" s="1212"/>
      <c r="T175" s="1212"/>
      <c r="X175" s="1212"/>
      <c r="AB175" s="1212"/>
      <c r="AF175" s="1212"/>
      <c r="AJ175" s="1212"/>
      <c r="AN175" s="1212"/>
      <c r="AR175" s="1213"/>
      <c r="AS175" s="61"/>
      <c r="AT175" s="1183"/>
      <c r="AV175" s="1213"/>
      <c r="AW175" s="61"/>
      <c r="AX175" s="1183"/>
      <c r="AZ175" s="1213"/>
      <c r="BA175" s="61"/>
      <c r="BB175" s="1183"/>
      <c r="BD175" s="1213"/>
      <c r="BE175" s="61"/>
      <c r="BF175" s="1183"/>
      <c r="BH175" s="152">
        <f>BH174+BH173</f>
        <v>7.4999999999999997E-2</v>
      </c>
      <c r="BI175" s="1263"/>
      <c r="BJ175" s="1183"/>
      <c r="BL175" s="152">
        <f>SUM(BL171:BL174)</f>
        <v>0.3</v>
      </c>
      <c r="BM175" s="1263"/>
      <c r="BN175" s="1183"/>
      <c r="BP175" s="152">
        <f>SUM(BP171:BP174)</f>
        <v>0.6</v>
      </c>
      <c r="BQ175" s="1263"/>
      <c r="BR175" s="1183"/>
      <c r="BT175" s="152">
        <f>SUM(BT171:BT174)</f>
        <v>0.9</v>
      </c>
      <c r="BU175" s="1263"/>
      <c r="BV175" s="1183"/>
      <c r="BX175" s="152">
        <f>SUM(BX171:BX174)</f>
        <v>1.125</v>
      </c>
      <c r="BY175" s="1263"/>
      <c r="BZ175" s="1183"/>
      <c r="CB175" s="152">
        <f>SUM(CB171:CB174)</f>
        <v>1.35</v>
      </c>
      <c r="CF175" s="152">
        <f>SUM(CF171:CF174)</f>
        <v>1.35</v>
      </c>
      <c r="CJ175" s="152">
        <f>SUM(CJ171:CJ174)</f>
        <v>1.35</v>
      </c>
      <c r="CN175" s="152">
        <f>SUM(CN171:CN174)</f>
        <v>1.35</v>
      </c>
      <c r="CR175" s="152">
        <f>SUM(CR171:CR174)</f>
        <v>1.35</v>
      </c>
      <c r="CS175" s="3"/>
      <c r="CT175" s="3"/>
      <c r="CY175" s="981"/>
    </row>
    <row r="176" spans="1:103" hidden="1" outlineLevel="1">
      <c r="AR176" s="61"/>
      <c r="AS176" s="61"/>
      <c r="AT176" s="1183"/>
      <c r="AV176" s="61"/>
      <c r="AW176" s="61"/>
      <c r="AX176" s="1183"/>
      <c r="AZ176" s="61"/>
      <c r="BA176" s="61"/>
      <c r="BB176" s="1183"/>
      <c r="BD176" s="61"/>
      <c r="BE176" s="61"/>
      <c r="BF176" s="1183"/>
      <c r="BH176" s="61"/>
      <c r="BI176" s="61"/>
      <c r="BJ176" s="1183"/>
      <c r="BL176" s="61"/>
      <c r="BM176" s="61"/>
      <c r="BN176" s="1183"/>
      <c r="BP176" s="61"/>
      <c r="BQ176" s="61"/>
      <c r="BR176" s="1183"/>
      <c r="BT176" s="61"/>
      <c r="BU176" s="61"/>
      <c r="BV176" s="1183"/>
      <c r="BX176" s="61"/>
      <c r="BY176" s="61"/>
      <c r="BZ176" s="1183"/>
      <c r="CR176" s="3"/>
      <c r="CS176" s="3"/>
      <c r="CT176" s="3"/>
    </row>
    <row r="177" spans="1:99" hidden="1" outlineLevel="1">
      <c r="A177" s="3" t="str">
        <f>$A$10</f>
        <v>1Q</v>
      </c>
      <c r="B177" s="3" t="str">
        <f>$B$10</f>
        <v>Sept</v>
      </c>
      <c r="D177" s="1205"/>
      <c r="E177" s="980"/>
      <c r="F177" s="980"/>
      <c r="H177" s="1205"/>
      <c r="I177" s="980"/>
      <c r="J177" s="980"/>
      <c r="L177" s="1205"/>
      <c r="M177" s="980"/>
      <c r="N177" s="980"/>
      <c r="P177" s="1205"/>
      <c r="Q177" s="980"/>
      <c r="R177" s="980"/>
      <c r="S177" s="980"/>
      <c r="T177" s="1205"/>
      <c r="X177" s="1205"/>
      <c r="AB177" s="1205"/>
      <c r="AF177" s="1205"/>
      <c r="AJ177" s="1205">
        <f>88.737051*4</f>
        <v>354.94820399999998</v>
      </c>
      <c r="AK177" s="167"/>
      <c r="AL177" s="167"/>
      <c r="AM177" s="167"/>
      <c r="AN177" s="1205">
        <f>+AJ180+AN161-AJ164</f>
        <v>372.2249119999999</v>
      </c>
      <c r="AO177" s="167"/>
      <c r="AP177" s="167"/>
      <c r="AQ177" s="167"/>
      <c r="AR177" s="1205">
        <f>+AN180+AR161-AN164</f>
        <v>379.79891200000003</v>
      </c>
      <c r="AS177" s="1336"/>
      <c r="AT177" s="1337"/>
      <c r="AU177" s="167"/>
      <c r="AV177" s="1205">
        <f>+AR180+AV161-AR164</f>
        <v>380.2789120000001</v>
      </c>
      <c r="AW177" s="1336"/>
      <c r="AX177" s="1337"/>
      <c r="AY177" s="167"/>
      <c r="AZ177" s="1205">
        <f>+AV180+AZ161-AV164</f>
        <v>363.97891200000015</v>
      </c>
      <c r="BA177" s="1336"/>
      <c r="BB177" s="1337"/>
      <c r="BC177" s="167"/>
      <c r="BD177" s="1205">
        <f>+AZ180+BD161-AZ164</f>
        <v>369.59191200000009</v>
      </c>
      <c r="BE177" s="956"/>
      <c r="BF177" s="61"/>
      <c r="BH177" s="1205">
        <f>+BD180+BH161-BD164</f>
        <v>324.32991200000009</v>
      </c>
      <c r="BI177" s="956"/>
      <c r="BJ177" s="61"/>
      <c r="BL177" s="1205">
        <f>+BI180+BL161-BI164</f>
        <v>321.11500000000001</v>
      </c>
      <c r="BM177" s="956"/>
      <c r="BN177" s="61"/>
      <c r="BP177" s="1205">
        <f>+BN180+BP161-BN164</f>
        <v>301.24900000000002</v>
      </c>
      <c r="BQ177" s="956"/>
      <c r="BR177" s="61"/>
      <c r="BT177" s="1205">
        <f>+BR180+BT161-BR164</f>
        <v>296.06799999999998</v>
      </c>
      <c r="BU177" s="956"/>
      <c r="BV177" s="61"/>
      <c r="BX177" s="1205">
        <f>+BV180+BX161-BV164</f>
        <v>288.49700000000001</v>
      </c>
      <c r="BY177" s="956"/>
      <c r="BZ177" s="61"/>
      <c r="CB177" s="1205">
        <f>+BX180+CB161-BX164</f>
        <v>284.51299999999992</v>
      </c>
      <c r="CF177" s="1205">
        <f>+CB180+CF161-CB164</f>
        <v>276.39999999999986</v>
      </c>
      <c r="CJ177" s="1205">
        <f>+CF180+CJ161-CF164</f>
        <v>278.29999999999995</v>
      </c>
      <c r="CN177" s="1205">
        <f>+CJ180+CN161-CJ164</f>
        <v>281.89999999999986</v>
      </c>
      <c r="CR177" s="1205">
        <f>+CN180+CR161-CN164</f>
        <v>286.69999999999987</v>
      </c>
      <c r="CS177" s="3"/>
      <c r="CT177" s="3"/>
    </row>
    <row r="178" spans="1:99" hidden="1" outlineLevel="1">
      <c r="A178" s="3" t="str">
        <f>$A$11</f>
        <v>2Q</v>
      </c>
      <c r="B178" s="3" t="str">
        <f>$B$11</f>
        <v>Dec</v>
      </c>
      <c r="D178" s="1205"/>
      <c r="E178" s="980"/>
      <c r="F178" s="980"/>
      <c r="H178" s="1205"/>
      <c r="I178" s="980"/>
      <c r="J178" s="980"/>
      <c r="L178" s="1205"/>
      <c r="M178" s="980"/>
      <c r="N178" s="980"/>
      <c r="P178" s="1205"/>
      <c r="Q178" s="980"/>
      <c r="R178" s="980"/>
      <c r="S178" s="980"/>
      <c r="T178" s="1205"/>
      <c r="X178" s="1205"/>
      <c r="AB178" s="1205"/>
      <c r="AF178" s="1205"/>
      <c r="AJ178" s="1205">
        <f>90.091911*4</f>
        <v>360.36764399999998</v>
      </c>
      <c r="AK178" s="167"/>
      <c r="AL178" s="167"/>
      <c r="AM178" s="167"/>
      <c r="AN178" s="1248">
        <f>+AN177+AN162-AN161</f>
        <v>374.2779119999999</v>
      </c>
      <c r="AO178" s="167"/>
      <c r="AP178" s="167"/>
      <c r="AQ178" s="167"/>
      <c r="AR178" s="1248">
        <f>+AR177+AR162-AR161</f>
        <v>380.81991199999999</v>
      </c>
      <c r="AS178" s="1336"/>
      <c r="AT178" s="1337"/>
      <c r="AU178" s="167"/>
      <c r="AV178" s="1248">
        <f>+AV177+AV162-AV161</f>
        <v>380.92691200000013</v>
      </c>
      <c r="AW178" s="1336"/>
      <c r="AX178" s="1337"/>
      <c r="AY178" s="167"/>
      <c r="AZ178" s="1248">
        <f>+AZ177+AZ162-AZ161</f>
        <v>365.80291200000011</v>
      </c>
      <c r="BA178" s="1336"/>
      <c r="BB178" s="1337"/>
      <c r="BC178" s="167"/>
      <c r="BD178" s="1248">
        <f>+BD177+BD162-BD161</f>
        <v>356.87591200000003</v>
      </c>
      <c r="BE178" s="1326"/>
      <c r="BF178" s="61"/>
      <c r="BH178" s="1248">
        <f>+BH177+BH162-BH161</f>
        <v>315.47491200000002</v>
      </c>
      <c r="BI178" s="1326"/>
      <c r="BJ178" s="61"/>
      <c r="BL178" s="1248">
        <f>+BL177+BL162-BL161</f>
        <v>321.38099999999997</v>
      </c>
      <c r="BM178" s="1326"/>
      <c r="BN178" s="61"/>
      <c r="BP178" s="1248">
        <f>+BP177+BP162-BP161</f>
        <v>304.65499999999997</v>
      </c>
      <c r="BQ178" s="1326"/>
      <c r="BR178" s="61"/>
      <c r="BT178" s="1248">
        <f>+BT177+BT162-BT161</f>
        <v>295.50900000000001</v>
      </c>
      <c r="BU178" s="1326"/>
      <c r="BV178" s="61"/>
      <c r="BX178" s="1248">
        <f>+BX177+BX162-BX161</f>
        <v>286.22300000000001</v>
      </c>
      <c r="BY178" s="1326"/>
      <c r="BZ178" s="61"/>
      <c r="CB178" s="1248">
        <f>+CB177+CB162-CB161</f>
        <v>281.53399999999993</v>
      </c>
      <c r="CF178" s="1248">
        <f>+CF177+CF162-CF161</f>
        <v>276.49999999999989</v>
      </c>
      <c r="CJ178" s="1248">
        <f>+CJ177+CJ162-CJ161</f>
        <v>278.39999999999992</v>
      </c>
      <c r="CN178" s="1248">
        <f>+CN177+CN162-CN161</f>
        <v>281.79999999999984</v>
      </c>
      <c r="CR178" s="1248">
        <f>+CR177+CR162-CR161</f>
        <v>286.39999999999992</v>
      </c>
      <c r="CS178" s="3"/>
      <c r="CT178" s="3"/>
    </row>
    <row r="179" spans="1:99" hidden="1" outlineLevel="1">
      <c r="A179" s="3" t="str">
        <f>$A$12</f>
        <v>3Q</v>
      </c>
      <c r="B179" s="3" t="str">
        <f>$B$12</f>
        <v>Mar</v>
      </c>
      <c r="D179" s="1205"/>
      <c r="E179" s="980"/>
      <c r="F179" s="980"/>
      <c r="H179" s="1205"/>
      <c r="I179" s="980"/>
      <c r="J179" s="980"/>
      <c r="L179" s="1205"/>
      <c r="M179" s="980"/>
      <c r="N179" s="980"/>
      <c r="P179" s="1205"/>
      <c r="Q179" s="980"/>
      <c r="R179" s="980"/>
      <c r="S179" s="980"/>
      <c r="T179" s="1205"/>
      <c r="X179" s="1205"/>
      <c r="AB179" s="1205"/>
      <c r="AF179" s="1205"/>
      <c r="AJ179" s="1205">
        <f>90.822728*4</f>
        <v>363.29091199999999</v>
      </c>
      <c r="AK179" s="167"/>
      <c r="AL179" s="167"/>
      <c r="AM179" s="167"/>
      <c r="AN179" s="1248">
        <f>+AN178+AN163-AN162</f>
        <v>377.44591199999991</v>
      </c>
      <c r="AO179" s="167"/>
      <c r="AP179" s="167"/>
      <c r="AQ179" s="167"/>
      <c r="AR179" s="1248">
        <f>+AR178+AR163-AR162</f>
        <v>381.91591199999999</v>
      </c>
      <c r="AS179" s="1336"/>
      <c r="AT179" s="1337"/>
      <c r="AU179" s="167"/>
      <c r="AV179" s="1248">
        <f>+AV178+AV163-AV162</f>
        <v>381.7599120000001</v>
      </c>
      <c r="AW179" s="1336"/>
      <c r="AX179" s="1337"/>
      <c r="AY179" s="167"/>
      <c r="AZ179" s="1248">
        <f>+AZ178+AZ163-AZ162</f>
        <v>369.59591200000011</v>
      </c>
      <c r="BA179" s="1336"/>
      <c r="BB179" s="1337"/>
      <c r="BC179" s="167"/>
      <c r="BD179" s="1248">
        <f>+BD178+BD163-BD162</f>
        <v>341.89991200000003</v>
      </c>
      <c r="BE179" s="956"/>
      <c r="BF179" s="61"/>
      <c r="BH179" s="1248">
        <f>+BH178+BH163-BH162</f>
        <v>311.66191200000003</v>
      </c>
      <c r="BI179" s="956"/>
      <c r="BJ179" s="61"/>
      <c r="BL179" s="1248">
        <f>+BL178+BL163-BL162</f>
        <v>313.95999999999992</v>
      </c>
      <c r="BM179" s="956"/>
      <c r="BN179" s="61"/>
      <c r="BP179" s="1248">
        <f>+BP178+BP163-BP162</f>
        <v>301.62</v>
      </c>
      <c r="BQ179" s="956"/>
      <c r="BR179" s="61"/>
      <c r="BT179" s="1248">
        <f>+BT178+BT163-BT162</f>
        <v>293.49599999999998</v>
      </c>
      <c r="BU179" s="956"/>
      <c r="BV179" s="61"/>
      <c r="BX179" s="1248">
        <f>+BX178+BX163-BX162</f>
        <v>284.62399999999997</v>
      </c>
      <c r="BY179" s="956"/>
      <c r="BZ179" s="61"/>
      <c r="CB179" s="1248">
        <f>+CB178+CB163-CB162</f>
        <v>278.74999999999989</v>
      </c>
      <c r="CF179" s="1248">
        <f>+CF178+CF163-CF162</f>
        <v>277.39999999999986</v>
      </c>
      <c r="CJ179" s="1248">
        <f>+CJ178+CJ163-CJ162</f>
        <v>279.49999999999989</v>
      </c>
      <c r="CN179" s="1248">
        <f>+CN178+CN163-CN162</f>
        <v>282.89999999999981</v>
      </c>
      <c r="CR179" s="1248">
        <f>+CR178+CR163-CR162</f>
        <v>290.35795991590101</v>
      </c>
      <c r="CS179" s="3"/>
      <c r="CT179" s="3"/>
    </row>
    <row r="180" spans="1:99" hidden="1" outlineLevel="1">
      <c r="A180" s="3" t="str">
        <f>$A$13</f>
        <v>4Q</v>
      </c>
      <c r="B180" s="3" t="str">
        <f>$B$13</f>
        <v>June</v>
      </c>
      <c r="D180" s="1207"/>
      <c r="E180" s="980"/>
      <c r="F180" s="980"/>
      <c r="H180" s="1207"/>
      <c r="I180" s="980"/>
      <c r="J180" s="980"/>
      <c r="L180" s="1207"/>
      <c r="M180" s="980"/>
      <c r="N180" s="980"/>
      <c r="P180" s="1207"/>
      <c r="Q180" s="980"/>
      <c r="R180" s="980"/>
      <c r="S180" s="980"/>
      <c r="T180" s="1207"/>
      <c r="X180" s="1207"/>
      <c r="AB180" s="1207"/>
      <c r="AF180" s="1207"/>
      <c r="AJ180" s="1207">
        <f>+AJ179+AJ164-AJ163</f>
        <v>367.40291199999996</v>
      </c>
      <c r="AK180" s="167"/>
      <c r="AL180" s="167"/>
      <c r="AM180" s="167"/>
      <c r="AN180" s="1207">
        <f>+AN179+AN164-AN163</f>
        <v>379.71791199999996</v>
      </c>
      <c r="AO180" s="167"/>
      <c r="AP180" s="167"/>
      <c r="AQ180" s="167"/>
      <c r="AR180" s="1207">
        <f>+AR179+AR164-AR163</f>
        <v>379.43691200000006</v>
      </c>
      <c r="AS180" s="1336"/>
      <c r="AT180" s="1337"/>
      <c r="AU180" s="167"/>
      <c r="AV180" s="1207">
        <f>+AV179+AV164-AV163</f>
        <v>374.5339120000001</v>
      </c>
      <c r="AW180" s="1336"/>
      <c r="AX180" s="1337"/>
      <c r="AY180" s="167"/>
      <c r="AZ180" s="1207">
        <f>+AZ179+AZ164-AZ163</f>
        <v>370.76891200000011</v>
      </c>
      <c r="BA180" s="1336"/>
      <c r="BB180" s="1337"/>
      <c r="BC180" s="167"/>
      <c r="BD180" s="1207">
        <f>+BD179+BD164-BD163</f>
        <v>333.89591200000001</v>
      </c>
      <c r="BE180" s="956"/>
      <c r="BF180" s="1183"/>
      <c r="BH180" s="1207">
        <f>+BH179+BH164-BH163</f>
        <v>310.81891199999995</v>
      </c>
      <c r="BI180" s="956"/>
      <c r="BJ180" s="1183"/>
      <c r="BL180" s="1207">
        <f>+BL179+BL164-BL163</f>
        <v>307.57900000000001</v>
      </c>
      <c r="BM180" s="956"/>
      <c r="BN180" s="1183"/>
      <c r="BP180" s="1207">
        <f>+BP179+BP164-BP163</f>
        <v>298.72199999999998</v>
      </c>
      <c r="BQ180" s="956"/>
      <c r="BR180" s="1183"/>
      <c r="BT180" s="1207">
        <f>+BT179+BT164-BT163</f>
        <v>291.77800000000002</v>
      </c>
      <c r="BU180" s="956"/>
      <c r="BV180" s="1183"/>
      <c r="BX180" s="1207">
        <f>+BX179+BX164-BX163</f>
        <v>285.31700000000001</v>
      </c>
      <c r="BY180" s="956"/>
      <c r="BZ180" s="1183"/>
      <c r="CB180" s="1207">
        <f>+CB179+CB164-CB163</f>
        <v>276.4079999999999</v>
      </c>
      <c r="CF180" s="1207">
        <f>+CF179+CF164-CF163</f>
        <v>278.49999999999989</v>
      </c>
      <c r="CJ180" s="1207">
        <f>+CJ179+CJ164-CJ163</f>
        <v>281.09999999999991</v>
      </c>
      <c r="CN180" s="1207">
        <f>+CN179+CN164-CN163</f>
        <v>284.69999999999982</v>
      </c>
      <c r="CR180" s="1207">
        <f>+CR179+CR164-CR163</f>
        <v>293.21359880805744</v>
      </c>
      <c r="CS180" s="3"/>
      <c r="CT180" s="3"/>
    </row>
    <row r="181" spans="1:99" hidden="1" outlineLevel="1">
      <c r="B181" s="3" t="str">
        <f>$B$14</f>
        <v>Year</v>
      </c>
      <c r="D181" s="153"/>
      <c r="H181" s="153"/>
      <c r="L181" s="153"/>
      <c r="P181" s="153"/>
      <c r="T181" s="153"/>
      <c r="X181" s="1205"/>
      <c r="AB181" s="1205"/>
      <c r="AF181" s="162"/>
      <c r="AG181" s="22"/>
      <c r="AJ181" s="153">
        <f>(AJ177+AJ178+AJ179+AJ180)/4</f>
        <v>361.50241799999998</v>
      </c>
      <c r="AN181" s="153">
        <f>(AN177+AN178+AN179+AN180)/4</f>
        <v>375.91666199999997</v>
      </c>
      <c r="AR181" s="153">
        <f>(AR177+AR178+AR179+AR180)/4</f>
        <v>380.49291200000005</v>
      </c>
      <c r="AS181" s="151"/>
      <c r="AT181" s="1183"/>
      <c r="AV181" s="153">
        <f>(AV177+AV178+AV179+AV180)/4</f>
        <v>379.37491200000011</v>
      </c>
      <c r="AW181" s="151"/>
      <c r="AX181" s="1183"/>
      <c r="AZ181" s="153">
        <f>(AZ177+AZ178+AZ179+AZ180)/4</f>
        <v>367.53666200000009</v>
      </c>
      <c r="BA181" s="151"/>
      <c r="BB181" s="1183"/>
      <c r="BD181" s="153">
        <f>(BD177+BD178+BD179+BD180)/4</f>
        <v>350.56591200000003</v>
      </c>
      <c r="BE181" s="151"/>
      <c r="BF181" s="1183"/>
      <c r="BH181" s="153">
        <f>(BH177+BH178+BH179+BH180)/4</f>
        <v>315.57141200000001</v>
      </c>
      <c r="BI181" s="151"/>
      <c r="BJ181" s="1183"/>
      <c r="BL181" s="153">
        <f>(BL177+BL178+BL179+BL180)/4</f>
        <v>316.00874999999996</v>
      </c>
      <c r="BM181" s="151"/>
      <c r="BN181" s="1183"/>
      <c r="BP181" s="153">
        <f>(BP177+BP178+BP179+BP180)/4</f>
        <v>301.56150000000002</v>
      </c>
      <c r="BQ181" s="151"/>
      <c r="BR181" s="1183"/>
      <c r="BT181" s="153">
        <f>(BT177+BT178+BT179+BT180)/4</f>
        <v>294.21275000000003</v>
      </c>
      <c r="BU181" s="151"/>
      <c r="BV181" s="1183"/>
      <c r="BX181" s="153">
        <f>(BX177+BX178+BX179+BX180)/4</f>
        <v>286.16525000000001</v>
      </c>
      <c r="BY181" s="151"/>
      <c r="BZ181" s="1183"/>
      <c r="CB181" s="153">
        <f>(CB177+CB178+CB179+CB180)/4</f>
        <v>280.30124999999987</v>
      </c>
      <c r="CF181" s="153">
        <f>(CF177+CF178+CF179+CF180)/4</f>
        <v>277.19999999999987</v>
      </c>
      <c r="CJ181" s="153">
        <f>(CJ177+CJ178+CJ179+CJ180)/4</f>
        <v>279.32499999999993</v>
      </c>
      <c r="CN181" s="153">
        <f>(CN177+CN178+CN179+CN180)/4</f>
        <v>282.82499999999982</v>
      </c>
      <c r="CR181" s="153">
        <f>(CR177+CR178+CR179+CR180)/4</f>
        <v>289.16788968098956</v>
      </c>
      <c r="CS181" s="3"/>
      <c r="CT181" s="3"/>
    </row>
    <row r="182" spans="1:99" hidden="1" outlineLevel="1">
      <c r="A182" s="3" t="str">
        <f>$A$15</f>
        <v>6 Mos</v>
      </c>
      <c r="D182" s="1212"/>
      <c r="H182" s="1212"/>
      <c r="L182" s="1212"/>
      <c r="P182" s="1212"/>
      <c r="T182" s="1212"/>
      <c r="X182" s="1212"/>
      <c r="AB182" s="1212"/>
      <c r="AF182" s="1212"/>
      <c r="AJ182" s="1212">
        <f>(AJ177+AJ178)/2</f>
        <v>357.65792399999998</v>
      </c>
      <c r="AN182" s="1212">
        <f>(AN177+AN178)/2</f>
        <v>373.2514119999999</v>
      </c>
      <c r="AR182" s="1213">
        <f>(AR177+AR178)/2</f>
        <v>380.30941200000001</v>
      </c>
      <c r="AS182" s="61"/>
      <c r="AT182" s="1183"/>
      <c r="AV182" s="1213">
        <f>(AV177+AV178)/2</f>
        <v>380.60291200000012</v>
      </c>
      <c r="AW182" s="61"/>
      <c r="AX182" s="1183"/>
      <c r="AZ182" s="1213">
        <f>(AZ177+AZ178)/2</f>
        <v>364.89091200000013</v>
      </c>
      <c r="BA182" s="61"/>
      <c r="BB182" s="1183"/>
      <c r="BD182" s="1213">
        <f>(BD177+BD178)/2</f>
        <v>363.23391200000003</v>
      </c>
      <c r="BE182" s="61"/>
      <c r="BF182" s="1183"/>
      <c r="BH182" s="1213">
        <f>(BH177+BH178)/2</f>
        <v>319.90241200000003</v>
      </c>
      <c r="BI182" s="61"/>
      <c r="BJ182" s="1183"/>
      <c r="BL182" s="1213">
        <f>(BL177+BL178)/2</f>
        <v>321.24799999999999</v>
      </c>
      <c r="BM182" s="61"/>
      <c r="BN182" s="1183"/>
      <c r="BP182" s="1213">
        <f>(BP177+BP178)/2</f>
        <v>302.952</v>
      </c>
      <c r="BQ182" s="61"/>
      <c r="BR182" s="1183"/>
      <c r="BT182" s="1213">
        <f>(BT177+BT178)/2</f>
        <v>295.7885</v>
      </c>
      <c r="BU182" s="61"/>
      <c r="BV182" s="1183"/>
      <c r="BX182" s="1213">
        <f>(BX177+BX178)/2</f>
        <v>287.36</v>
      </c>
      <c r="BY182" s="61"/>
      <c r="BZ182" s="1183"/>
      <c r="CB182" s="1213">
        <f>(CB177+CB178)/2</f>
        <v>283.0234999999999</v>
      </c>
      <c r="CF182" s="1213">
        <f>(CF177+CF178)/2</f>
        <v>276.44999999999987</v>
      </c>
      <c r="CJ182" s="1213">
        <f>(CJ177+CJ178)/2</f>
        <v>278.34999999999991</v>
      </c>
      <c r="CN182" s="1213">
        <f>(CN177+CN178)/2</f>
        <v>281.84999999999985</v>
      </c>
      <c r="CR182" s="1213">
        <f>(CR177+CR178)/2</f>
        <v>286.5499999999999</v>
      </c>
      <c r="CS182" s="3"/>
      <c r="CT182" s="3"/>
    </row>
    <row r="183" spans="1:99" hidden="1" outlineLevel="1">
      <c r="A183" s="3" t="str">
        <f>$A$16</f>
        <v>9 Mos</v>
      </c>
      <c r="D183" s="1212"/>
      <c r="H183" s="1212"/>
      <c r="L183" s="1212"/>
      <c r="P183" s="1212"/>
      <c r="T183" s="1212"/>
      <c r="X183" s="1212"/>
      <c r="AB183" s="1212"/>
      <c r="AF183" s="1212"/>
      <c r="AJ183" s="1212">
        <f>(AJ177+AJ178+AJ179)/3</f>
        <v>359.53558666666663</v>
      </c>
      <c r="AN183" s="1212">
        <f>(AN177+AN178+AN179)/3</f>
        <v>374.64957866666663</v>
      </c>
      <c r="AR183" s="1213">
        <f>(AR177+AR178+AR179)/3</f>
        <v>380.84491200000002</v>
      </c>
      <c r="AS183" s="61"/>
      <c r="AT183" s="1183"/>
      <c r="AV183" s="1213">
        <f>(AV177+AV178+AV179)/3</f>
        <v>380.9885786666668</v>
      </c>
      <c r="AW183" s="61"/>
      <c r="AX183" s="1183"/>
      <c r="AZ183" s="1213">
        <f>(AZ177+AZ178+AZ179)/3</f>
        <v>366.45924533333346</v>
      </c>
      <c r="BA183" s="61"/>
      <c r="BB183" s="1183"/>
      <c r="BD183" s="1213">
        <f>(BD177+BD178+BD179)/3</f>
        <v>356.1225786666667</v>
      </c>
      <c r="BE183" s="61"/>
      <c r="BF183" s="1183"/>
      <c r="BH183" s="1213">
        <f>(BH177+BH178+BH179)/3</f>
        <v>317.15557866666671</v>
      </c>
      <c r="BI183" s="61"/>
      <c r="BJ183" s="1183"/>
      <c r="BL183" s="1213">
        <f>(BL177+BL178+BL179)/3</f>
        <v>318.81866666666662</v>
      </c>
      <c r="BM183" s="61"/>
      <c r="BN183" s="1183"/>
      <c r="BP183" s="1213">
        <f>(BP177+BP178+BP179)/3</f>
        <v>302.50799999999998</v>
      </c>
      <c r="BQ183" s="61"/>
      <c r="BR183" s="1183"/>
      <c r="BT183" s="1213">
        <f>(BT177+BT178+BT179)/3</f>
        <v>295.02433333333335</v>
      </c>
      <c r="BU183" s="61"/>
      <c r="BV183" s="1183"/>
      <c r="BX183" s="1213">
        <f>(BX177+BX178+BX179)/3</f>
        <v>286.44800000000004</v>
      </c>
      <c r="BY183" s="61"/>
      <c r="BZ183" s="1183"/>
      <c r="CB183" s="1213">
        <f>(CB177+CB178+CB179)/3</f>
        <v>281.59899999999988</v>
      </c>
      <c r="CF183" s="1213">
        <f>(CF177+CF178+CF179)/3</f>
        <v>276.76666666666654</v>
      </c>
      <c r="CJ183" s="1213">
        <f>(CJ177+CJ178+CJ179)/3</f>
        <v>278.73333333333323</v>
      </c>
      <c r="CN183" s="1213">
        <f>(CN177+CN178+CN179)/3</f>
        <v>282.19999999999982</v>
      </c>
      <c r="CR183" s="1213">
        <f>(CR177+CR178+CR179)/3</f>
        <v>287.81931997196693</v>
      </c>
      <c r="CS183" s="3"/>
      <c r="CT183" s="3"/>
    </row>
    <row r="184" spans="1:99" hidden="1" outlineLevel="1">
      <c r="W184" s="127"/>
      <c r="AR184" s="61"/>
      <c r="AS184" s="61"/>
      <c r="AT184" s="1183"/>
      <c r="AV184" s="61"/>
      <c r="AW184" s="61"/>
      <c r="AX184" s="1183"/>
      <c r="AZ184" s="61"/>
      <c r="BA184" s="61"/>
      <c r="BB184" s="1183"/>
      <c r="BD184" s="61"/>
      <c r="BE184" s="61"/>
      <c r="BF184" s="1183"/>
      <c r="BH184" s="61"/>
      <c r="BI184" s="61"/>
      <c r="BJ184" s="1183"/>
      <c r="BL184" s="61"/>
      <c r="BM184" s="61"/>
      <c r="BN184" s="1183"/>
      <c r="BP184" s="61"/>
      <c r="BQ184" s="61"/>
      <c r="BR184" s="1183"/>
      <c r="BT184" s="61"/>
      <c r="BU184" s="61"/>
      <c r="BV184" s="1183"/>
      <c r="BX184" s="61"/>
      <c r="BY184" s="61"/>
      <c r="BZ184" s="1183"/>
      <c r="CB184" s="61"/>
      <c r="CF184" s="61"/>
      <c r="CJ184" s="61"/>
      <c r="CN184" s="61"/>
      <c r="CS184" s="3"/>
      <c r="CT184" s="3"/>
    </row>
    <row r="185" spans="1:99" hidden="1" outlineLevel="1">
      <c r="D185" s="1196"/>
      <c r="E185" s="127"/>
      <c r="F185" s="127"/>
      <c r="G185" s="127"/>
      <c r="H185" s="1196"/>
      <c r="I185" s="127"/>
      <c r="J185" s="127"/>
      <c r="K185" s="127"/>
      <c r="L185" s="1196"/>
      <c r="M185" s="127"/>
      <c r="N185" s="127"/>
      <c r="O185" s="127"/>
      <c r="P185" s="1196"/>
      <c r="Q185" s="127"/>
      <c r="R185" s="127"/>
      <c r="S185" s="127"/>
      <c r="T185" s="1196"/>
      <c r="U185" s="127"/>
      <c r="V185" s="127"/>
      <c r="Y185" s="127"/>
      <c r="Z185" s="127"/>
      <c r="AA185" s="127"/>
      <c r="AC185" s="127"/>
      <c r="AD185" s="127"/>
      <c r="AE185" s="127" t="s">
        <v>359</v>
      </c>
      <c r="AF185" s="1196"/>
      <c r="AG185" s="127"/>
      <c r="AH185" s="127"/>
      <c r="AI185" s="127"/>
      <c r="AJ185" s="1196"/>
      <c r="AK185" s="127"/>
      <c r="AL185" s="127"/>
      <c r="AM185" s="127"/>
      <c r="AN185" s="1196"/>
      <c r="AO185" s="127"/>
      <c r="AP185" s="127"/>
      <c r="AQ185" s="127"/>
      <c r="AR185" s="1199"/>
      <c r="AS185" s="1197"/>
      <c r="AT185" s="1198"/>
      <c r="AU185" s="127"/>
      <c r="AV185" s="1199"/>
      <c r="AW185" s="1197"/>
      <c r="AX185" s="1198"/>
      <c r="AY185" s="127"/>
      <c r="AZ185" s="1199"/>
      <c r="BA185" s="1197"/>
      <c r="BB185" s="1198"/>
      <c r="BC185" s="127"/>
      <c r="BD185" s="1199"/>
      <c r="BE185" s="1197"/>
      <c r="BF185" s="1198"/>
      <c r="BG185" s="127"/>
      <c r="BH185" s="1199"/>
      <c r="BI185" s="1197"/>
      <c r="BJ185" s="1198"/>
      <c r="BK185" s="127"/>
      <c r="BL185" s="1199"/>
      <c r="BM185" s="1197"/>
      <c r="BN185" s="1198"/>
      <c r="BO185" s="127"/>
      <c r="BP185" s="1199"/>
      <c r="BQ185" s="1197"/>
      <c r="BR185" s="1198"/>
      <c r="BS185" s="127"/>
      <c r="BT185" s="1199"/>
      <c r="BU185" s="1197"/>
      <c r="BV185" s="1198"/>
      <c r="BW185" s="127"/>
      <c r="BY185" s="1568" t="s">
        <v>424</v>
      </c>
      <c r="CA185" s="127"/>
      <c r="CB185" s="1199"/>
      <c r="CC185" s="127"/>
      <c r="CD185" s="127"/>
      <c r="CE185" s="127"/>
      <c r="CF185" s="1199"/>
      <c r="CG185" s="127"/>
      <c r="CH185" s="127"/>
      <c r="CI185" s="127"/>
      <c r="CJ185" s="1199"/>
      <c r="CK185" s="127"/>
      <c r="CL185" s="127"/>
      <c r="CM185" s="127"/>
      <c r="CN185" s="1199"/>
      <c r="CO185" s="127"/>
      <c r="CP185" s="127"/>
      <c r="CQ185" s="127"/>
      <c r="CR185" s="1199"/>
      <c r="CS185" s="127"/>
      <c r="CT185" s="127"/>
      <c r="CU185" s="1197"/>
    </row>
    <row r="186" spans="1:99" hidden="1" outlineLevel="1">
      <c r="AR186" s="61"/>
      <c r="AS186" s="61"/>
      <c r="AT186" s="1183"/>
      <c r="AV186" s="61"/>
      <c r="AW186" s="61"/>
      <c r="AX186" s="1183"/>
      <c r="AZ186" s="61"/>
      <c r="BA186" s="61"/>
      <c r="BB186" s="1183"/>
      <c r="BD186" s="61"/>
      <c r="BE186" s="61"/>
      <c r="BF186" s="1183"/>
      <c r="BH186" s="61"/>
      <c r="BI186" s="61"/>
      <c r="BJ186" s="1183"/>
      <c r="BL186" s="61"/>
      <c r="BM186" s="61"/>
      <c r="BN186" s="1183"/>
      <c r="BP186" s="61"/>
      <c r="BQ186" s="61"/>
      <c r="BR186" s="1183"/>
      <c r="BT186" s="61"/>
      <c r="BU186" s="61"/>
      <c r="BV186" s="1183"/>
      <c r="BY186" s="61"/>
      <c r="BZ186" s="1183"/>
      <c r="CB186" s="61"/>
      <c r="CF186" s="61"/>
      <c r="CJ186" s="61"/>
      <c r="CN186" s="61"/>
      <c r="CS186" s="3"/>
      <c r="CT186" s="3"/>
    </row>
    <row r="187" spans="1:99" hidden="1" outlineLevel="1">
      <c r="A187" s="3" t="str">
        <f>$A$10</f>
        <v>1Q</v>
      </c>
      <c r="B187" s="3" t="str">
        <f>$B$10</f>
        <v>Sept</v>
      </c>
      <c r="D187" s="1205"/>
      <c r="E187" s="980"/>
      <c r="F187" s="980"/>
      <c r="H187" s="1205"/>
      <c r="I187" s="980"/>
      <c r="J187" s="980"/>
      <c r="L187" s="1205"/>
      <c r="M187" s="980"/>
      <c r="N187" s="980"/>
      <c r="P187" s="1205"/>
      <c r="Q187" s="980"/>
      <c r="R187" s="980"/>
      <c r="S187" s="980"/>
      <c r="T187" s="1205"/>
      <c r="X187" s="1338" t="s">
        <v>646</v>
      </c>
      <c r="Y187" s="167"/>
      <c r="Z187" s="167"/>
      <c r="AA187" s="167"/>
      <c r="AB187" s="1205">
        <v>43.513333000000003</v>
      </c>
      <c r="AC187" s="167"/>
      <c r="AD187" s="167"/>
      <c r="AE187" s="167"/>
      <c r="AF187" s="1205">
        <v>43.439791999999997</v>
      </c>
      <c r="AG187" s="167"/>
      <c r="AH187" s="167"/>
      <c r="AI187" s="167"/>
      <c r="AJ187" s="1205">
        <f>+AJ177-AJ164+AJ200</f>
        <v>341.596204</v>
      </c>
      <c r="AK187" s="167"/>
      <c r="AL187" s="167"/>
      <c r="AM187" s="167"/>
      <c r="AN187" s="1205">
        <f>+AN177-AN164+AN200</f>
        <v>359.84891199999993</v>
      </c>
      <c r="AO187" s="167"/>
      <c r="AP187" s="167"/>
      <c r="AQ187" s="167"/>
      <c r="AR187" s="1205">
        <f>+AR177-AR164+AR200</f>
        <v>368.30091200000004</v>
      </c>
      <c r="AS187" s="1336"/>
      <c r="AT187" s="1337"/>
      <c r="AU187" s="167"/>
      <c r="AV187" s="1205">
        <f>+AV177-AV164+AV200</f>
        <v>372.75791200000015</v>
      </c>
      <c r="AW187" s="1336"/>
      <c r="AX187" s="1337"/>
      <c r="AY187" s="167"/>
      <c r="AZ187" s="1205">
        <f>+AZ177-AZ164+AZ200</f>
        <v>355.08191200000016</v>
      </c>
      <c r="BA187" s="1336"/>
      <c r="BB187" s="1337"/>
      <c r="BC187" s="167"/>
      <c r="BD187" s="1205">
        <f>+BD177-BD164+BD200</f>
        <v>366.15991200000008</v>
      </c>
      <c r="BE187" s="1336"/>
      <c r="BF187" s="1337"/>
      <c r="BG187" s="167"/>
      <c r="BH187" s="1205">
        <f>+BH177-BH164+BH200</f>
        <v>321.5699120000001</v>
      </c>
      <c r="BI187" s="1336"/>
      <c r="BJ187" s="1337"/>
      <c r="BK187" s="167"/>
      <c r="BL187" s="1205">
        <f>+BL177-BL164+BL200</f>
        <v>316.404</v>
      </c>
      <c r="BM187" s="1336"/>
      <c r="BN187" s="1337"/>
      <c r="BO187" s="167"/>
      <c r="BP187" s="1205">
        <f>+BP177-BP164+BP200</f>
        <v>293.83500000000004</v>
      </c>
      <c r="BQ187" s="1336"/>
      <c r="BR187" s="1337"/>
      <c r="BS187" s="167"/>
      <c r="BT187" s="1205">
        <f>+BT177-BT164+BT200</f>
        <v>290.14099999999996</v>
      </c>
      <c r="BU187" s="1336"/>
      <c r="BV187" s="1337"/>
      <c r="BW187" s="167"/>
      <c r="BX187" s="1205">
        <f>+BX177-BX164+BX200</f>
        <v>282.56999999999988</v>
      </c>
      <c r="BY187" s="1336"/>
      <c r="BZ187" s="1337"/>
      <c r="CA187" s="167"/>
      <c r="CB187" s="1205">
        <f>+CB177-CB164+CB200</f>
        <v>282.27736499999992</v>
      </c>
      <c r="CC187" s="167"/>
      <c r="CD187" s="167"/>
      <c r="CE187" s="167"/>
      <c r="CF187" s="1205">
        <f>+CF177-CF164+CF200</f>
        <v>274.29999999999984</v>
      </c>
      <c r="CG187" s="167"/>
      <c r="CH187" s="167"/>
      <c r="CI187" s="167"/>
      <c r="CJ187" s="1205">
        <f>+CJ177-CJ164+CJ200</f>
        <v>275.39999999999992</v>
      </c>
      <c r="CK187" s="167"/>
      <c r="CL187" s="167"/>
      <c r="CM187" s="167"/>
      <c r="CN187" s="1205">
        <f>+CN177-CN164+CN200</f>
        <v>278.69999999999987</v>
      </c>
      <c r="CO187" s="167"/>
      <c r="CP187" s="167"/>
      <c r="CQ187" s="167"/>
      <c r="CR187" s="1205">
        <f>+CR177-CR164+CR200</f>
        <v>282.90992793752787</v>
      </c>
      <c r="CS187" s="167"/>
      <c r="CT187" s="167"/>
      <c r="CU187" s="1336"/>
    </row>
    <row r="188" spans="1:99" hidden="1" outlineLevel="1">
      <c r="A188" s="3" t="str">
        <f>$A$11</f>
        <v>2Q</v>
      </c>
      <c r="B188" s="3" t="str">
        <f>$B$11</f>
        <v>Dec</v>
      </c>
      <c r="D188" s="1205"/>
      <c r="E188" s="980"/>
      <c r="F188" s="980"/>
      <c r="H188" s="1205"/>
      <c r="I188" s="980"/>
      <c r="J188" s="980"/>
      <c r="L188" s="1205"/>
      <c r="M188" s="980"/>
      <c r="N188" s="980"/>
      <c r="P188" s="1205"/>
      <c r="Q188" s="980"/>
      <c r="R188" s="980"/>
      <c r="S188" s="980"/>
      <c r="T188" s="1205"/>
      <c r="X188" s="1338" t="s">
        <v>646</v>
      </c>
      <c r="Y188" s="167"/>
      <c r="Z188" s="167"/>
      <c r="AA188" s="167"/>
      <c r="AB188" s="1205">
        <v>43.513333000000003</v>
      </c>
      <c r="AC188" s="167"/>
      <c r="AD188" s="167"/>
      <c r="AE188" s="167"/>
      <c r="AF188" s="1205">
        <v>44.128833</v>
      </c>
      <c r="AG188" s="167"/>
      <c r="AH188" s="167"/>
      <c r="AI188" s="167"/>
      <c r="AJ188" s="1205">
        <f>+AJ178-AJ165+AJ201</f>
        <v>347.55764399999998</v>
      </c>
      <c r="AK188" s="167"/>
      <c r="AL188" s="167"/>
      <c r="AM188" s="167"/>
      <c r="AN188" s="1205">
        <f>+AN178-AN165+AN201</f>
        <v>360.89141199999995</v>
      </c>
      <c r="AO188" s="167"/>
      <c r="AP188" s="167"/>
      <c r="AQ188" s="167"/>
      <c r="AR188" s="1205">
        <f>+AR178-AR165+AR201</f>
        <v>369.29441200000002</v>
      </c>
      <c r="AS188" s="1336"/>
      <c r="AT188" s="1337"/>
      <c r="AU188" s="167"/>
      <c r="AV188" s="1205">
        <f>+AV178-AV165+AV201</f>
        <v>372.06691200000012</v>
      </c>
      <c r="AW188" s="1336"/>
      <c r="AX188" s="1337"/>
      <c r="AY188" s="167"/>
      <c r="AZ188" s="1205">
        <f>+AZ178-AZ165+AZ201</f>
        <v>358.10791200000011</v>
      </c>
      <c r="BA188" s="1336"/>
      <c r="BB188" s="1337"/>
      <c r="BC188" s="167"/>
      <c r="BD188" s="1205">
        <f>+BD178-BD165+BD201</f>
        <v>352.27491200000003</v>
      </c>
      <c r="BE188" s="1336"/>
      <c r="BF188" s="1337"/>
      <c r="BG188" s="167"/>
      <c r="BH188" s="1205">
        <f>+BH178-BH165+BH201</f>
        <v>313.56916200000001</v>
      </c>
      <c r="BI188" s="1336"/>
      <c r="BJ188" s="1337"/>
      <c r="BK188" s="167"/>
      <c r="BL188" s="1205">
        <f>+BL178-BL165+BL201</f>
        <v>317.33750000000003</v>
      </c>
      <c r="BM188" s="1336"/>
      <c r="BN188" s="1337"/>
      <c r="BO188" s="167"/>
      <c r="BP188" s="1205">
        <f>+BP178-BP165+BP201</f>
        <v>297.85824999999994</v>
      </c>
      <c r="BQ188" s="1336"/>
      <c r="BR188" s="1337"/>
      <c r="BS188" s="167"/>
      <c r="BT188" s="1205">
        <f>+BT178-BT165+BT201</f>
        <v>289.54875000000004</v>
      </c>
      <c r="BU188" s="1336"/>
      <c r="BV188" s="1337"/>
      <c r="BW188" s="167"/>
      <c r="BX188" s="1205">
        <f>+BX178-BX165+BX201</f>
        <v>280.29599999999988</v>
      </c>
      <c r="BY188" s="1336"/>
      <c r="BZ188" s="1337"/>
      <c r="CA188" s="167"/>
      <c r="CB188" s="1205">
        <f>+CB178-CB165+CB201</f>
        <v>278.22034124999988</v>
      </c>
      <c r="CC188" s="167"/>
      <c r="CD188" s="167"/>
      <c r="CE188" s="167"/>
      <c r="CF188" s="1205">
        <f>+CF178-CF165+CF201</f>
        <v>274.99999999999989</v>
      </c>
      <c r="CG188" s="167"/>
      <c r="CH188" s="167"/>
      <c r="CI188" s="167"/>
      <c r="CJ188" s="1205">
        <f>+CJ178-CJ165+CJ201</f>
        <v>276.69999999999993</v>
      </c>
      <c r="CK188" s="167"/>
      <c r="CL188" s="167"/>
      <c r="CM188" s="167"/>
      <c r="CN188" s="1205">
        <f>+CN178-CN165+CN201</f>
        <v>279.59999999999985</v>
      </c>
      <c r="CO188" s="167"/>
      <c r="CP188" s="167"/>
      <c r="CQ188" s="167"/>
      <c r="CR188" s="1205">
        <f>+CR178-CR165+CR201</f>
        <v>283.91456954551359</v>
      </c>
      <c r="CS188" s="167"/>
      <c r="CT188" s="167"/>
      <c r="CU188" s="1336"/>
    </row>
    <row r="189" spans="1:99" hidden="1" outlineLevel="1">
      <c r="A189" s="3" t="str">
        <f>$A$12</f>
        <v>3Q</v>
      </c>
      <c r="B189" s="3" t="str">
        <f>$B$12</f>
        <v>Mar</v>
      </c>
      <c r="D189" s="1205"/>
      <c r="E189" s="980"/>
      <c r="F189" s="980"/>
      <c r="H189" s="1205"/>
      <c r="I189" s="980"/>
      <c r="J189" s="980"/>
      <c r="L189" s="1205"/>
      <c r="M189" s="980"/>
      <c r="N189" s="980"/>
      <c r="P189" s="1205"/>
      <c r="Q189" s="980"/>
      <c r="R189" s="980"/>
      <c r="S189" s="980"/>
      <c r="T189" s="1205"/>
      <c r="X189" s="1338" t="s">
        <v>646</v>
      </c>
      <c r="Y189" s="167"/>
      <c r="Z189" s="167"/>
      <c r="AA189" s="167"/>
      <c r="AB189" s="1205">
        <v>43.513333000000003</v>
      </c>
      <c r="AC189" s="167"/>
      <c r="AD189" s="167"/>
      <c r="AE189" s="167"/>
      <c r="AF189" s="1205">
        <v>44.352421999999997</v>
      </c>
      <c r="AG189" s="167"/>
      <c r="AH189" s="167"/>
      <c r="AI189" s="167"/>
      <c r="AJ189" s="1205">
        <f>+AJ179-AJ166+AJ202</f>
        <v>350.85991199999995</v>
      </c>
      <c r="AK189" s="167"/>
      <c r="AL189" s="167"/>
      <c r="AM189" s="167"/>
      <c r="AN189" s="1205">
        <f>+AN179-AN166+AN202</f>
        <v>363.32091199999991</v>
      </c>
      <c r="AO189" s="167"/>
      <c r="AP189" s="167"/>
      <c r="AQ189" s="167"/>
      <c r="AR189" s="1205">
        <f>+AR179-AR166+AR202</f>
        <v>370.58091200000001</v>
      </c>
      <c r="AS189" s="1336"/>
      <c r="AT189" s="1337"/>
      <c r="AU189" s="167"/>
      <c r="AV189" s="1205">
        <f>+AV179-AV166+AV202</f>
        <v>371.65791200000007</v>
      </c>
      <c r="AW189" s="1336"/>
      <c r="AX189" s="1337"/>
      <c r="AY189" s="167"/>
      <c r="AZ189" s="1205">
        <f>+AZ179-AZ166+AZ202</f>
        <v>363.16641200000009</v>
      </c>
      <c r="BA189" s="1336"/>
      <c r="BB189" s="1337"/>
      <c r="BC189" s="167"/>
      <c r="BD189" s="1205">
        <f>+BD179-BD166+BD202</f>
        <v>336.14941199999998</v>
      </c>
      <c r="BE189" s="1336"/>
      <c r="BF189" s="1337"/>
      <c r="BG189" s="167"/>
      <c r="BH189" s="1205">
        <f>+BH179-BH166+BH202</f>
        <v>309.826412</v>
      </c>
      <c r="BI189" s="1336"/>
      <c r="BJ189" s="1337"/>
      <c r="BK189" s="167"/>
      <c r="BL189" s="1205">
        <f>+BL179-BL166+BL202</f>
        <v>310.58399999999995</v>
      </c>
      <c r="BM189" s="1336"/>
      <c r="BN189" s="1337"/>
      <c r="BO189" s="167"/>
      <c r="BP189" s="1205">
        <f>+BP179-BP166+BP202</f>
        <v>295.44049999999999</v>
      </c>
      <c r="BQ189" s="1336"/>
      <c r="BR189" s="1337"/>
      <c r="BS189" s="167"/>
      <c r="BT189" s="1205">
        <f>+BT179-BT166+BT202</f>
        <v>287.5025</v>
      </c>
      <c r="BU189" s="1336"/>
      <c r="BV189" s="1337"/>
      <c r="BW189" s="167"/>
      <c r="BX189" s="1205">
        <f>+BX179-BX166+BX202</f>
        <v>278.69699999999983</v>
      </c>
      <c r="BY189" s="1336"/>
      <c r="BZ189" s="1337"/>
      <c r="CA189" s="167"/>
      <c r="CB189" s="1205">
        <f>+CB179-CB166+CB202</f>
        <v>274.56199999999978</v>
      </c>
      <c r="CC189" s="167"/>
      <c r="CD189" s="167"/>
      <c r="CE189" s="167"/>
      <c r="CF189" s="1205">
        <f>+CF179-CF166+CF202</f>
        <v>276.19999999999987</v>
      </c>
      <c r="CG189" s="167"/>
      <c r="CH189" s="167"/>
      <c r="CI189" s="167"/>
      <c r="CJ189" s="1205">
        <f>+CJ179-CJ166+CJ202</f>
        <v>278.49999999999989</v>
      </c>
      <c r="CK189" s="167"/>
      <c r="CL189" s="167"/>
      <c r="CM189" s="167"/>
      <c r="CN189" s="1205">
        <f>+CN179-CN166+CN202</f>
        <v>281.04999999999978</v>
      </c>
      <c r="CO189" s="167"/>
      <c r="CP189" s="167"/>
      <c r="CQ189" s="167"/>
      <c r="CR189" s="1205">
        <f>+CR179-CR166+CR202</f>
        <v>288.60795991590101</v>
      </c>
      <c r="CS189" s="167"/>
      <c r="CT189" s="167"/>
      <c r="CU189" s="1336"/>
    </row>
    <row r="190" spans="1:99" hidden="1" outlineLevel="1">
      <c r="A190" s="3" t="str">
        <f>$A$13</f>
        <v>4Q</v>
      </c>
      <c r="B190" s="3" t="str">
        <f>$B$13</f>
        <v>June</v>
      </c>
      <c r="D190" s="1207"/>
      <c r="E190" s="980"/>
      <c r="F190" s="980"/>
      <c r="H190" s="1207"/>
      <c r="I190" s="980"/>
      <c r="J190" s="980"/>
      <c r="L190" s="1207"/>
      <c r="M190" s="980"/>
      <c r="N190" s="980"/>
      <c r="P190" s="1207"/>
      <c r="Q190" s="980"/>
      <c r="R190" s="980"/>
      <c r="S190" s="980"/>
      <c r="T190" s="1207"/>
      <c r="X190" s="1339" t="s">
        <v>646</v>
      </c>
      <c r="Y190" s="167"/>
      <c r="Z190" s="167"/>
      <c r="AA190" s="167"/>
      <c r="AB190" s="1207">
        <v>87.371983999999998</v>
      </c>
      <c r="AC190" s="167"/>
      <c r="AD190" s="167"/>
      <c r="AE190" s="167"/>
      <c r="AF190" s="1207">
        <v>89.453721999999999</v>
      </c>
      <c r="AG190" s="167"/>
      <c r="AH190" s="167"/>
      <c r="AI190" s="167"/>
      <c r="AJ190" s="1207">
        <f>+AJ180-AJ167+AJ203</f>
        <v>355.0955786666666</v>
      </c>
      <c r="AK190" s="167"/>
      <c r="AL190" s="167"/>
      <c r="AM190" s="167"/>
      <c r="AN190" s="1207">
        <f>+AN180-AN167+AN203</f>
        <v>365.92557866666664</v>
      </c>
      <c r="AO190" s="167"/>
      <c r="AP190" s="167"/>
      <c r="AQ190" s="167"/>
      <c r="AR190" s="1207">
        <f>+AR180-AR167+AR203</f>
        <v>367.90891200000004</v>
      </c>
      <c r="AS190" s="1336"/>
      <c r="AT190" s="1337"/>
      <c r="AU190" s="167"/>
      <c r="AV190" s="1207">
        <f>+AV180-AV167+AV203</f>
        <v>365.22791200000006</v>
      </c>
      <c r="AW190" s="1336"/>
      <c r="AX190" s="1337"/>
      <c r="AY190" s="167"/>
      <c r="AZ190" s="1207">
        <f>+AZ180-AZ167+AZ203</f>
        <v>363.47424533333344</v>
      </c>
      <c r="BA190" s="1336"/>
      <c r="BB190" s="1337"/>
      <c r="BC190" s="167"/>
      <c r="BD190" s="1207">
        <f>+BD180-BD167+BD203</f>
        <v>328.90624533333335</v>
      </c>
      <c r="BE190" s="1336"/>
      <c r="BF190" s="1337"/>
      <c r="BG190" s="167"/>
      <c r="BH190" s="1207">
        <f>+BH180-BH167+BH203</f>
        <v>309.19791199999992</v>
      </c>
      <c r="BI190" s="1336"/>
      <c r="BJ190" s="1337"/>
      <c r="BK190" s="167"/>
      <c r="BL190" s="1207">
        <f>+BL180-BL167+BL203</f>
        <v>303.7580000000001</v>
      </c>
      <c r="BM190" s="1336"/>
      <c r="BN190" s="1337"/>
      <c r="BO190" s="167"/>
      <c r="BP190" s="1207">
        <f>+BP180-BP167+BP203</f>
        <v>292.13099999999997</v>
      </c>
      <c r="BQ190" s="1336"/>
      <c r="BR190" s="1337"/>
      <c r="BS190" s="167"/>
      <c r="BT190" s="1207">
        <f>+BT180-BT167+BT203</f>
        <v>285.80666666666673</v>
      </c>
      <c r="BU190" s="1336"/>
      <c r="BV190" s="1337"/>
      <c r="BW190" s="167"/>
      <c r="BX190" s="1207">
        <f>+BX180-BX167+BX203</f>
        <v>279.38999999999987</v>
      </c>
      <c r="BY190" s="1336"/>
      <c r="BZ190" s="1337"/>
      <c r="CA190" s="167"/>
      <c r="CB190" s="1207">
        <f>+CB180-CB167+CB203</f>
        <v>272.73499999999984</v>
      </c>
      <c r="CC190" s="167"/>
      <c r="CD190" s="167"/>
      <c r="CE190" s="167"/>
      <c r="CF190" s="1207">
        <f>+CF180-CF167+CF203</f>
        <v>277.19999999999987</v>
      </c>
      <c r="CG190" s="167"/>
      <c r="CH190" s="167"/>
      <c r="CI190" s="167"/>
      <c r="CJ190" s="1207">
        <f>+CJ180-CJ167+CJ203</f>
        <v>279.86666666666656</v>
      </c>
      <c r="CK190" s="167"/>
      <c r="CL190" s="167"/>
      <c r="CM190" s="167"/>
      <c r="CN190" s="1207">
        <f>+CN180-CN167+CN203</f>
        <v>282.76666666666648</v>
      </c>
      <c r="CO190" s="167"/>
      <c r="CP190" s="167"/>
      <c r="CQ190" s="167"/>
      <c r="CR190" s="1207">
        <f>+CR180-CR167+CR203</f>
        <v>291.16304888956637</v>
      </c>
      <c r="CS190" s="167"/>
      <c r="CT190" s="167"/>
      <c r="CU190" s="1336"/>
    </row>
    <row r="191" spans="1:99" hidden="1" outlineLevel="1">
      <c r="B191" s="3" t="str">
        <f>$B$14</f>
        <v>Year</v>
      </c>
      <c r="D191" s="1205"/>
      <c r="H191" s="1205"/>
      <c r="L191" s="1205">
        <v>35.026000000000003</v>
      </c>
      <c r="P191" s="1205">
        <v>35.026000000000003</v>
      </c>
      <c r="T191" s="1205">
        <v>35.026000000000003</v>
      </c>
      <c r="X191" s="1340" t="str">
        <f>IF(ISERROR((X187+X188+X189+X190)/3),"NM",(X187+X188+X189+X190)/3)</f>
        <v>NM</v>
      </c>
      <c r="AB191" s="153">
        <f>(AB187+AB188+AB189+AB190)/4</f>
        <v>54.477995750000005</v>
      </c>
      <c r="AF191" s="153">
        <f>(AF187+AF188+AF189+AF190)/4</f>
        <v>55.343692249999997</v>
      </c>
      <c r="AG191" s="22"/>
      <c r="AJ191" s="153">
        <f>(AJ187+AJ188+AJ189+AJ190)/4</f>
        <v>348.7773346666666</v>
      </c>
      <c r="AN191" s="153">
        <f>(AN187+AN188+AN189+AN190)/4</f>
        <v>362.49670366666658</v>
      </c>
      <c r="AR191" s="151">
        <f>+(AR187+AR188+AR189+AR190)/4</f>
        <v>369.02128700000009</v>
      </c>
      <c r="AS191" s="61"/>
      <c r="AT191" s="1183"/>
      <c r="AV191" s="151">
        <f>+(AV187+AV188+AV189+AV190)/4</f>
        <v>370.42766200000011</v>
      </c>
      <c r="AW191" s="61"/>
      <c r="AX191" s="1183"/>
      <c r="AZ191" s="151">
        <f>+(AZ187+AZ188+AZ189+AZ190)/4</f>
        <v>359.95762033333347</v>
      </c>
      <c r="BA191" s="61"/>
      <c r="BB191" s="1183"/>
      <c r="BD191" s="151">
        <f>+(BD187+BD188+BD189+BD190)/4</f>
        <v>345.87262033333337</v>
      </c>
      <c r="BE191" s="61"/>
      <c r="BF191" s="1183"/>
      <c r="BH191" s="151">
        <f>+(BH187+BH188+BH189+BH190)/4</f>
        <v>313.54084950000004</v>
      </c>
      <c r="BI191" s="61"/>
      <c r="BJ191" s="1183"/>
      <c r="BL191" s="151">
        <f>+(BL187+BL188+BL189+BL190)/4</f>
        <v>312.02087500000005</v>
      </c>
      <c r="BM191" s="61"/>
      <c r="BN191" s="1183"/>
      <c r="BP191" s="151">
        <f>+(BP187+BP188+BP189+BP190)/4</f>
        <v>294.81618749999996</v>
      </c>
      <c r="BQ191" s="61"/>
      <c r="BR191" s="1183"/>
      <c r="BT191" s="151">
        <f>+(BT187+BT188+BT189+BT190)/4</f>
        <v>288.24972916666673</v>
      </c>
      <c r="BU191" s="61"/>
      <c r="BV191" s="1183"/>
      <c r="BX191" s="151">
        <f>+(BX187+BX188+BX189+BX190)/4</f>
        <v>280.23824999999988</v>
      </c>
      <c r="BY191" s="61"/>
      <c r="BZ191" s="1183"/>
      <c r="CB191" s="151">
        <f>+(CB187+CB188+CB189+CB190)/4</f>
        <v>276.94867656249983</v>
      </c>
      <c r="CF191" s="151">
        <f>+(CF187+CF188+CF189+CF190)/4</f>
        <v>275.67499999999984</v>
      </c>
      <c r="CJ191" s="151">
        <f>+(CJ187+CJ188+CJ189+CJ190)/4</f>
        <v>277.61666666666656</v>
      </c>
      <c r="CN191" s="151">
        <f>+(CN187+CN188+CN189+CN190)/4</f>
        <v>280.52916666666647</v>
      </c>
      <c r="CR191" s="151">
        <f>+(CR187+CR188+CR189+CR190)/4</f>
        <v>286.64887657212722</v>
      </c>
      <c r="CS191" s="3"/>
      <c r="CT191" s="3"/>
    </row>
    <row r="192" spans="1:99" hidden="1" outlineLevel="1">
      <c r="A192" s="3" t="str">
        <f>$A$15</f>
        <v>6 Mos</v>
      </c>
      <c r="D192" s="1212"/>
      <c r="H192" s="1212"/>
      <c r="L192" s="1212"/>
      <c r="P192" s="1212"/>
      <c r="T192" s="1212">
        <f>(T187+T188)/2</f>
        <v>0</v>
      </c>
      <c r="X192" s="1341" t="str">
        <f>IF(ISERROR((X187+X188)/2),"NM",(X187+X188)/2)</f>
        <v>NM</v>
      </c>
      <c r="AB192" s="1212">
        <f>(AB187+AB188)/2</f>
        <v>43.513333000000003</v>
      </c>
      <c r="AF192" s="1212">
        <f>(AF187+AF188)/2</f>
        <v>43.784312499999999</v>
      </c>
      <c r="AJ192" s="1212">
        <f>(AJ187+AJ188)/2</f>
        <v>344.57692399999996</v>
      </c>
      <c r="AN192" s="1212">
        <f>(AN187+AN188)/2</f>
        <v>360.37016199999994</v>
      </c>
      <c r="AR192" s="1213">
        <f>(AR187+AR188)/2</f>
        <v>368.79766200000006</v>
      </c>
      <c r="AS192" s="61"/>
      <c r="AT192" s="1183"/>
      <c r="AV192" s="1213">
        <f>(AV187+AV188)/2</f>
        <v>372.41241200000013</v>
      </c>
      <c r="AW192" s="61"/>
      <c r="AX192" s="1183"/>
      <c r="AZ192" s="1213">
        <f>(AZ187+AZ188)/2</f>
        <v>356.59491200000014</v>
      </c>
      <c r="BA192" s="61"/>
      <c r="BB192" s="1183"/>
      <c r="BD192" s="1213">
        <f>(BD187+BD188)/2</f>
        <v>359.21741200000008</v>
      </c>
      <c r="BE192" s="61"/>
      <c r="BF192" s="1183"/>
      <c r="BH192" s="1213">
        <f>(BH187+BH188)/2</f>
        <v>317.56953700000008</v>
      </c>
      <c r="BI192" s="61"/>
      <c r="BJ192" s="1183"/>
      <c r="BL192" s="1213">
        <f>(BL187+BL188)/2</f>
        <v>316.87075000000004</v>
      </c>
      <c r="BM192" s="61"/>
      <c r="BN192" s="1183"/>
      <c r="BP192" s="1213">
        <f>(BP187+BP188)/2</f>
        <v>295.84662500000002</v>
      </c>
      <c r="BQ192" s="61"/>
      <c r="BR192" s="1183"/>
      <c r="BT192" s="1213">
        <f>(BT187+BT188)/2</f>
        <v>289.844875</v>
      </c>
      <c r="BU192" s="61"/>
      <c r="BV192" s="1183"/>
      <c r="BX192" s="1213">
        <f>(BX187+BX188)/2</f>
        <v>281.43299999999988</v>
      </c>
      <c r="BY192" s="61"/>
      <c r="BZ192" s="1183"/>
      <c r="CB192" s="1213">
        <f>(CB187+CB188)/2</f>
        <v>280.24885312499987</v>
      </c>
      <c r="CF192" s="1213">
        <f>(CF187+CF188)/2</f>
        <v>274.64999999999986</v>
      </c>
      <c r="CJ192" s="1213">
        <f>(CJ187+CJ188)/2</f>
        <v>276.04999999999995</v>
      </c>
      <c r="CN192" s="1213">
        <f>(CN187+CN188)/2</f>
        <v>279.14999999999986</v>
      </c>
      <c r="CR192" s="1213">
        <f>(CR187+CR188)/2</f>
        <v>283.41224874152073</v>
      </c>
      <c r="CS192" s="3"/>
      <c r="CT192" s="3"/>
    </row>
    <row r="193" spans="1:99" hidden="1" outlineLevel="1">
      <c r="A193" s="3" t="str">
        <f>$A$16</f>
        <v>9 Mos</v>
      </c>
      <c r="D193" s="1212"/>
      <c r="H193" s="1212"/>
      <c r="L193" s="1212"/>
      <c r="P193" s="1212"/>
      <c r="T193" s="1212">
        <f>(T187+T188+T189)/3</f>
        <v>0</v>
      </c>
      <c r="X193" s="1341" t="str">
        <f>IF(ISERROR((X187+X188+X189)/3),"NM",(X187+X188+X189)/3)</f>
        <v>NM</v>
      </c>
      <c r="AB193" s="1212">
        <f>(AB187+AB188+AB189)/3</f>
        <v>43.51333300000001</v>
      </c>
      <c r="AF193" s="1212">
        <f>(AF187+AF188+AF189)/3</f>
        <v>43.973682333333329</v>
      </c>
      <c r="AJ193" s="1212">
        <f>(AJ187+AJ188+AJ189)/3</f>
        <v>346.67125333333325</v>
      </c>
      <c r="AN193" s="1212">
        <f>(AN187+AN188+AN189)/3</f>
        <v>361.35374533333328</v>
      </c>
      <c r="AR193" s="1213">
        <f>(AR187+AR188+AR189)/3</f>
        <v>369.39207866666675</v>
      </c>
      <c r="AS193" s="61"/>
      <c r="AT193" s="1183"/>
      <c r="AV193" s="1213">
        <f>(AV187+AV188+AV189)/3</f>
        <v>372.16091200000011</v>
      </c>
      <c r="AW193" s="61"/>
      <c r="AX193" s="1183"/>
      <c r="AZ193" s="1213">
        <f>(AZ187+AZ188+AZ189)/3</f>
        <v>358.78541200000012</v>
      </c>
      <c r="BA193" s="61"/>
      <c r="BB193" s="1183"/>
      <c r="BD193" s="1213">
        <f>(BD187+BD188+BD189)/3</f>
        <v>351.52807866666672</v>
      </c>
      <c r="BE193" s="61"/>
      <c r="BF193" s="1183"/>
      <c r="BH193" s="1213">
        <f>(BH187+BH188+BH189)/3</f>
        <v>314.98849533333339</v>
      </c>
      <c r="BI193" s="61"/>
      <c r="BJ193" s="1183"/>
      <c r="BL193" s="1213">
        <f>(BL187+BL188+BL189)/3</f>
        <v>314.77516666666668</v>
      </c>
      <c r="BM193" s="61"/>
      <c r="BN193" s="1183"/>
      <c r="BP193" s="1213">
        <f>(BP187+BP188+BP189)/3</f>
        <v>295.71125000000001</v>
      </c>
      <c r="BQ193" s="61"/>
      <c r="BR193" s="1183"/>
      <c r="BT193" s="1213">
        <f>(BT187+BT188+BT189)/3</f>
        <v>289.06408333333337</v>
      </c>
      <c r="BU193" s="61"/>
      <c r="BV193" s="1183"/>
      <c r="BX193" s="1213">
        <f>(BX187+BX188+BX189)/3</f>
        <v>280.5209999999999</v>
      </c>
      <c r="BY193" s="61"/>
      <c r="BZ193" s="1183"/>
      <c r="CB193" s="1213">
        <f>(CB187+CB188+CB189)/3</f>
        <v>278.35323541666651</v>
      </c>
      <c r="CF193" s="1213">
        <f>(CF187+CF188+CF189)/3</f>
        <v>275.16666666666652</v>
      </c>
      <c r="CJ193" s="1213">
        <f>(CJ187+CJ188+CJ189)/3</f>
        <v>276.86666666666662</v>
      </c>
      <c r="CN193" s="1213">
        <f>(CN187+CN188+CN189)/3</f>
        <v>279.78333333333313</v>
      </c>
      <c r="CR193" s="1213">
        <f>(CR187+CR188+CR189)/3</f>
        <v>285.14415246631415</v>
      </c>
      <c r="CS193" s="3"/>
      <c r="CT193" s="3"/>
    </row>
    <row r="194" spans="1:99" collapsed="1">
      <c r="D194" s="1212"/>
      <c r="H194" s="1212"/>
      <c r="L194" s="1212"/>
      <c r="P194" s="1212"/>
      <c r="T194" s="1212"/>
      <c r="W194" s="127"/>
      <c r="X194" s="1212"/>
      <c r="AB194" s="1212"/>
      <c r="AF194" s="1212"/>
      <c r="AJ194" s="1212"/>
      <c r="AN194" s="1212"/>
      <c r="AR194" s="1213"/>
      <c r="AS194" s="61"/>
      <c r="AT194" s="1183"/>
      <c r="AV194" s="1213"/>
      <c r="AW194" s="61"/>
      <c r="AX194" s="1183"/>
      <c r="AZ194" s="1213"/>
      <c r="BA194" s="61"/>
      <c r="BB194" s="1183"/>
      <c r="BD194" s="1342"/>
      <c r="BE194" s="61"/>
      <c r="BF194" s="1183"/>
      <c r="BH194" s="1343"/>
      <c r="BI194" s="61"/>
      <c r="BJ194" s="1183"/>
      <c r="BL194" s="1343"/>
      <c r="BM194" s="61"/>
      <c r="BN194" s="1183"/>
      <c r="BP194" s="1343"/>
      <c r="BQ194" s="61"/>
      <c r="BR194" s="1183"/>
      <c r="BT194" s="1343"/>
      <c r="BU194" s="61"/>
      <c r="BV194" s="1183"/>
      <c r="BX194" s="1343"/>
      <c r="BZ194" s="1183"/>
      <c r="CR194" s="3"/>
      <c r="CS194" s="3"/>
      <c r="CT194" s="3"/>
    </row>
    <row r="195" spans="1:99" outlineLevel="1">
      <c r="D195" s="1196"/>
      <c r="E195" s="127"/>
      <c r="F195" s="127"/>
      <c r="G195" s="127"/>
      <c r="H195" s="1196"/>
      <c r="I195" s="127"/>
      <c r="J195" s="127"/>
      <c r="K195" s="127"/>
      <c r="L195" s="1196"/>
      <c r="M195" s="127"/>
      <c r="N195" s="127"/>
      <c r="O195" s="127"/>
      <c r="P195" s="1196"/>
      <c r="Q195" s="127"/>
      <c r="R195" s="127"/>
      <c r="S195" s="127"/>
      <c r="T195" s="1196"/>
      <c r="U195" s="127"/>
      <c r="V195" s="127"/>
      <c r="Y195" s="127"/>
      <c r="Z195" s="127"/>
      <c r="AA195" s="127"/>
      <c r="AC195" s="127"/>
      <c r="AD195" s="127"/>
      <c r="AE195" s="127"/>
      <c r="AF195" s="1196"/>
      <c r="AG195" s="127"/>
      <c r="AH195" s="127"/>
      <c r="AI195" s="127"/>
      <c r="AK195" s="127"/>
      <c r="AL195" s="127"/>
      <c r="AM195" s="127"/>
      <c r="AN195" s="1196" t="s">
        <v>291</v>
      </c>
      <c r="AO195" s="127"/>
      <c r="AP195" s="127"/>
      <c r="AQ195" s="127"/>
      <c r="AS195" s="1197"/>
      <c r="AT195" s="1198"/>
      <c r="AU195" s="127"/>
      <c r="AV195" s="1199"/>
      <c r="AW195" s="1197"/>
      <c r="AX195" s="1198"/>
      <c r="AY195" s="127"/>
      <c r="AZ195" s="1199"/>
      <c r="BA195" s="1197"/>
      <c r="BB195" s="1198"/>
      <c r="BC195" s="127"/>
      <c r="BD195" s="1199"/>
      <c r="BE195" s="1197"/>
      <c r="BF195" s="1198"/>
      <c r="BG195" s="127"/>
      <c r="BH195" s="1199"/>
      <c r="BI195" s="1197"/>
      <c r="BJ195" s="1198"/>
      <c r="BK195" s="127"/>
      <c r="BM195" s="1197"/>
      <c r="BN195" s="1198"/>
      <c r="BO195" s="127"/>
      <c r="BP195" s="1199"/>
      <c r="BQ195" s="1197"/>
      <c r="BR195" s="1198"/>
      <c r="BT195" s="1199"/>
      <c r="BU195" s="1197"/>
      <c r="BV195" s="1198"/>
      <c r="BX195" s="1199"/>
      <c r="BZ195" s="1198"/>
      <c r="CC195" s="1196" t="s">
        <v>291</v>
      </c>
      <c r="CE195" s="127"/>
      <c r="CF195" s="127"/>
      <c r="CG195" s="127"/>
      <c r="CH195" s="127"/>
      <c r="CI195" s="127"/>
      <c r="CJ195" s="127"/>
      <c r="CK195" s="127"/>
      <c r="CL195" s="127"/>
      <c r="CM195" s="127"/>
      <c r="CN195" s="127"/>
      <c r="CO195" s="127"/>
      <c r="CP195" s="127"/>
      <c r="CQ195" s="127"/>
      <c r="CR195" s="127"/>
      <c r="CS195" s="127"/>
      <c r="CT195" s="127"/>
      <c r="CU195" s="1197"/>
    </row>
    <row r="196" spans="1:99" outlineLevel="1">
      <c r="AR196" s="61"/>
      <c r="AS196" s="61"/>
      <c r="AT196" s="1183"/>
      <c r="AV196" s="61"/>
      <c r="AW196" s="61"/>
      <c r="AX196" s="1183"/>
      <c r="AZ196" s="61"/>
      <c r="BA196" s="61"/>
      <c r="BB196" s="1183"/>
      <c r="BD196" s="61"/>
      <c r="BE196" s="61"/>
      <c r="BF196" s="1183"/>
      <c r="BH196" s="61"/>
      <c r="BI196" s="61"/>
      <c r="BJ196" s="1183"/>
      <c r="BL196" s="61"/>
      <c r="BM196" s="61"/>
      <c r="BN196" s="1183"/>
      <c r="BP196" s="61"/>
      <c r="BQ196" s="61"/>
      <c r="BR196" s="1183"/>
      <c r="BT196" s="61"/>
      <c r="BU196" s="61"/>
      <c r="BV196" s="1183"/>
      <c r="BX196" s="61"/>
      <c r="BY196" s="61"/>
      <c r="BZ196" s="1183"/>
      <c r="CR196" s="3"/>
      <c r="CS196" s="3"/>
      <c r="CT196" s="3"/>
    </row>
    <row r="197" spans="1:99" outlineLevel="1">
      <c r="A197" s="3" t="str">
        <f>$A$10</f>
        <v>1Q</v>
      </c>
      <c r="B197" s="3" t="str">
        <f>$B$10</f>
        <v>Sept</v>
      </c>
      <c r="D197" s="1205"/>
      <c r="E197" s="980"/>
      <c r="F197" s="980"/>
      <c r="H197" s="1205"/>
      <c r="I197" s="980"/>
      <c r="J197" s="980"/>
      <c r="L197" s="1205"/>
      <c r="M197" s="980"/>
      <c r="N197" s="980"/>
      <c r="P197" s="1205"/>
      <c r="Q197" s="980"/>
      <c r="R197" s="980"/>
      <c r="S197" s="980"/>
      <c r="T197" s="1338" t="s">
        <v>646</v>
      </c>
      <c r="X197" s="1338" t="s">
        <v>646</v>
      </c>
      <c r="Y197" s="691"/>
      <c r="Z197" s="691"/>
      <c r="AA197" s="691"/>
      <c r="AB197" s="162">
        <v>35.026000000000003</v>
      </c>
      <c r="AC197" s="691"/>
      <c r="AD197" s="691"/>
      <c r="AE197" s="691"/>
      <c r="AF197" s="162">
        <v>87.313999999999993</v>
      </c>
      <c r="AG197" s="691"/>
      <c r="AH197" s="691"/>
      <c r="AI197" s="691"/>
      <c r="AJ197" s="162">
        <f>177.458*2</f>
        <v>354.916</v>
      </c>
      <c r="AK197" s="691"/>
      <c r="AL197" s="691"/>
      <c r="AM197" s="691"/>
      <c r="AN197" s="162">
        <f>183.588*2</f>
        <v>367.17599999999999</v>
      </c>
      <c r="AO197" s="691"/>
      <c r="AP197" s="691"/>
      <c r="AQ197" s="691"/>
      <c r="AR197" s="162">
        <v>377.98099999999999</v>
      </c>
      <c r="AS197" s="184"/>
      <c r="AT197" s="184"/>
      <c r="AU197" s="691"/>
      <c r="AV197" s="162">
        <v>379.55099999999999</v>
      </c>
      <c r="AW197" s="184"/>
      <c r="AX197" s="184"/>
      <c r="AY197" s="691"/>
      <c r="AZ197" s="162">
        <v>368.17099999999999</v>
      </c>
      <c r="BA197" s="184"/>
      <c r="BB197" s="184"/>
      <c r="BC197" s="691"/>
      <c r="BD197" s="162">
        <v>372.18599999999998</v>
      </c>
      <c r="BE197" s="184"/>
      <c r="BF197" s="184"/>
      <c r="BG197" s="691"/>
      <c r="BH197" s="162">
        <v>331.86500000000001</v>
      </c>
      <c r="BI197" s="184"/>
      <c r="BJ197" s="184"/>
      <c r="BK197" s="691"/>
      <c r="BL197" s="162">
        <v>318.286</v>
      </c>
      <c r="BM197" s="184"/>
      <c r="BN197" s="184"/>
      <c r="BO197" s="691"/>
      <c r="BP197" s="162">
        <v>296.30399999999997</v>
      </c>
      <c r="BQ197" s="184"/>
      <c r="BR197" s="184"/>
      <c r="BS197" s="691"/>
      <c r="BT197" s="162">
        <v>289.77800000000002</v>
      </c>
      <c r="BU197" s="184"/>
      <c r="BV197" s="184"/>
      <c r="BW197" s="691"/>
      <c r="BX197" s="162">
        <f>+BT200+BX161-BT164</f>
        <v>282.56999999999994</v>
      </c>
      <c r="BY197" s="184"/>
      <c r="BZ197" s="184"/>
      <c r="CA197" s="691"/>
      <c r="CB197" s="162">
        <f>+BX200+CB161-BX164</f>
        <v>278.58599999999979</v>
      </c>
      <c r="CC197" s="691"/>
      <c r="CD197" s="691"/>
      <c r="CE197" s="691"/>
      <c r="CF197" s="162">
        <v>275</v>
      </c>
      <c r="CG197" s="691"/>
      <c r="CH197" s="691"/>
      <c r="CI197" s="691"/>
      <c r="CJ197" s="1573">
        <v>277.10000000000002</v>
      </c>
      <c r="CK197" s="691"/>
      <c r="CL197" s="691"/>
      <c r="CM197" s="691"/>
      <c r="CN197" s="1573">
        <v>279.5</v>
      </c>
      <c r="CO197" s="691"/>
      <c r="CP197" s="691"/>
      <c r="CQ197" s="691"/>
      <c r="CR197" s="2045">
        <v>283.2</v>
      </c>
      <c r="CS197" s="691"/>
      <c r="CT197" s="691"/>
      <c r="CU197" s="184"/>
    </row>
    <row r="198" spans="1:99" outlineLevel="1">
      <c r="A198" s="3" t="str">
        <f>$A$11</f>
        <v>2Q</v>
      </c>
      <c r="B198" s="3" t="str">
        <f>$B$11</f>
        <v>Dec</v>
      </c>
      <c r="D198" s="1205"/>
      <c r="E198" s="980"/>
      <c r="F198" s="980"/>
      <c r="H198" s="1205"/>
      <c r="I198" s="980"/>
      <c r="J198" s="980"/>
      <c r="L198" s="1205"/>
      <c r="M198" s="980"/>
      <c r="N198" s="980"/>
      <c r="P198" s="1205"/>
      <c r="Q198" s="980"/>
      <c r="R198" s="980"/>
      <c r="S198" s="980"/>
      <c r="T198" s="1338" t="s">
        <v>646</v>
      </c>
      <c r="X198" s="162">
        <v>35.026000000000003</v>
      </c>
      <c r="Y198" s="691"/>
      <c r="Z198" s="691"/>
      <c r="AA198" s="691"/>
      <c r="AB198" s="162">
        <v>45.512999999999998</v>
      </c>
      <c r="AC198" s="691"/>
      <c r="AD198" s="691"/>
      <c r="AE198" s="691"/>
      <c r="AF198" s="162">
        <v>87.38</v>
      </c>
      <c r="AG198" s="691"/>
      <c r="AH198" s="691"/>
      <c r="AI198" s="691"/>
      <c r="AJ198" s="162">
        <f>177.956*2</f>
        <v>355.91199999999998</v>
      </c>
      <c r="AK198" s="691"/>
      <c r="AL198" s="691"/>
      <c r="AM198" s="691"/>
      <c r="AN198" s="162">
        <v>370.46300000000002</v>
      </c>
      <c r="AO198" s="691"/>
      <c r="AP198" s="691"/>
      <c r="AQ198" s="691"/>
      <c r="AR198" s="162">
        <v>379.35399999999998</v>
      </c>
      <c r="AS198" s="184"/>
      <c r="AT198" s="184"/>
      <c r="AU198" s="691"/>
      <c r="AV198" s="162">
        <v>380.83699999999999</v>
      </c>
      <c r="AW198" s="184"/>
      <c r="AX198" s="184"/>
      <c r="AY198" s="691"/>
      <c r="AZ198" s="162">
        <v>368.13799999999998</v>
      </c>
      <c r="BA198" s="184"/>
      <c r="BB198" s="184"/>
      <c r="BC198" s="691"/>
      <c r="BD198" s="162">
        <v>362.16699999999997</v>
      </c>
      <c r="BE198" s="184"/>
      <c r="BF198" s="184"/>
      <c r="BG198" s="691"/>
      <c r="BH198" s="162">
        <v>323.65499999999997</v>
      </c>
      <c r="BI198" s="184"/>
      <c r="BJ198" s="184"/>
      <c r="BK198" s="691"/>
      <c r="BL198" s="162">
        <v>317.45800000000003</v>
      </c>
      <c r="BM198" s="184"/>
      <c r="BN198" s="184"/>
      <c r="BO198" s="691"/>
      <c r="BP198" s="162">
        <v>297.24099999999999</v>
      </c>
      <c r="BQ198" s="184"/>
      <c r="BR198" s="184"/>
      <c r="BS198" s="691"/>
      <c r="BT198" s="162">
        <v>289.81200000000001</v>
      </c>
      <c r="BU198" s="184"/>
      <c r="BV198" s="184"/>
      <c r="BW198" s="691"/>
      <c r="BX198" s="162">
        <f>+BX197+BX162-BX161</f>
        <v>280.29599999999988</v>
      </c>
      <c r="BY198" s="184"/>
      <c r="BZ198" s="184"/>
      <c r="CA198" s="691"/>
      <c r="CB198" s="162">
        <v>279.08499999999998</v>
      </c>
      <c r="CC198" s="691"/>
      <c r="CD198" s="691"/>
      <c r="CE198" s="691"/>
      <c r="CF198" s="162">
        <v>275.5</v>
      </c>
      <c r="CG198" s="691"/>
      <c r="CH198" s="691"/>
      <c r="CI198" s="691"/>
      <c r="CJ198" s="162">
        <v>277.60000000000002</v>
      </c>
      <c r="CK198" s="691"/>
      <c r="CL198" s="691"/>
      <c r="CM198" s="691"/>
      <c r="CN198" s="1573">
        <v>280.5</v>
      </c>
      <c r="CO198" s="691"/>
      <c r="CP198" s="691"/>
      <c r="CQ198" s="691"/>
      <c r="CR198" s="2045">
        <v>286.39999999999998</v>
      </c>
      <c r="CS198" s="691"/>
      <c r="CT198" s="691"/>
      <c r="CU198" s="184"/>
    </row>
    <row r="199" spans="1:99" outlineLevel="1">
      <c r="A199" s="3" t="str">
        <f>$A$12</f>
        <v>3Q</v>
      </c>
      <c r="B199" s="3" t="str">
        <f>$B$12</f>
        <v>Mar</v>
      </c>
      <c r="D199" s="1205"/>
      <c r="E199" s="980"/>
      <c r="F199" s="980"/>
      <c r="H199" s="1205"/>
      <c r="I199" s="980"/>
      <c r="J199" s="980"/>
      <c r="L199" s="1205"/>
      <c r="M199" s="980"/>
      <c r="N199" s="980"/>
      <c r="P199" s="1205"/>
      <c r="Q199" s="980"/>
      <c r="R199" s="980"/>
      <c r="S199" s="980"/>
      <c r="T199" s="1338" t="s">
        <v>646</v>
      </c>
      <c r="X199" s="162">
        <v>35.026000000000003</v>
      </c>
      <c r="Y199" s="691"/>
      <c r="Z199" s="691"/>
      <c r="AA199" s="691"/>
      <c r="AB199" s="162">
        <v>43.512999999999998</v>
      </c>
      <c r="AC199" s="691"/>
      <c r="AD199" s="691"/>
      <c r="AE199" s="691"/>
      <c r="AF199" s="162">
        <v>88.424000000000007</v>
      </c>
      <c r="AG199" s="691"/>
      <c r="AH199" s="691"/>
      <c r="AI199" s="691"/>
      <c r="AJ199" s="162">
        <f>180.462*2</f>
        <v>360.92399999999998</v>
      </c>
      <c r="AK199" s="691"/>
      <c r="AL199" s="691"/>
      <c r="AM199" s="691"/>
      <c r="AN199" s="162">
        <v>374.012</v>
      </c>
      <c r="AO199" s="691"/>
      <c r="AP199" s="691"/>
      <c r="AQ199" s="691"/>
      <c r="AR199" s="162">
        <v>379.69499999999999</v>
      </c>
      <c r="AS199" s="184"/>
      <c r="AT199" s="184"/>
      <c r="AU199" s="691"/>
      <c r="AV199" s="162">
        <v>383.73899999999998</v>
      </c>
      <c r="AW199" s="184"/>
      <c r="AX199" s="184"/>
      <c r="AY199" s="691"/>
      <c r="AZ199" s="162">
        <v>370.26400000000001</v>
      </c>
      <c r="BA199" s="184"/>
      <c r="BB199" s="184"/>
      <c r="BC199" s="691"/>
      <c r="BD199" s="162">
        <v>348.125</v>
      </c>
      <c r="BE199" s="184"/>
      <c r="BF199" s="184"/>
      <c r="BG199" s="691"/>
      <c r="BH199" s="162">
        <v>320.16300000000001</v>
      </c>
      <c r="BI199" s="184"/>
      <c r="BJ199" s="184"/>
      <c r="BK199" s="691"/>
      <c r="BL199" s="162">
        <v>309.24900000000002</v>
      </c>
      <c r="BM199" s="184"/>
      <c r="BN199" s="184"/>
      <c r="BO199" s="691"/>
      <c r="BP199" s="162">
        <f>+BP198+BP163-BP162</f>
        <v>294.20600000000002</v>
      </c>
      <c r="BQ199" s="184"/>
      <c r="BR199" s="184"/>
      <c r="BS199" s="691"/>
      <c r="BT199" s="162">
        <v>287.56900000000002</v>
      </c>
      <c r="BU199" s="184"/>
      <c r="BV199" s="184"/>
      <c r="BW199" s="691"/>
      <c r="BX199" s="162">
        <f>+BX198+BX163-BX162</f>
        <v>278.69699999999983</v>
      </c>
      <c r="BY199" s="184"/>
      <c r="BZ199" s="184"/>
      <c r="CA199" s="691"/>
      <c r="CB199" s="162">
        <v>276.10700000000003</v>
      </c>
      <c r="CC199" s="691"/>
      <c r="CD199" s="691"/>
      <c r="CE199" s="691"/>
      <c r="CF199" s="162">
        <v>275.89999999999998</v>
      </c>
      <c r="CG199" s="691"/>
      <c r="CH199" s="691"/>
      <c r="CI199" s="691"/>
      <c r="CJ199" s="162">
        <v>277.8</v>
      </c>
      <c r="CK199" s="691"/>
      <c r="CL199" s="691"/>
      <c r="CM199" s="691"/>
      <c r="CN199" s="1573">
        <v>280.8</v>
      </c>
      <c r="CO199" s="691"/>
      <c r="CP199" s="691"/>
      <c r="CQ199" s="691"/>
      <c r="CR199" s="1366">
        <f>CR198*(CN199/CN198)+1</f>
        <v>287.70631016042785</v>
      </c>
      <c r="CS199" s="691"/>
      <c r="CT199" s="691"/>
      <c r="CU199" s="184"/>
    </row>
    <row r="200" spans="1:99" outlineLevel="1">
      <c r="A200" s="3" t="str">
        <f>$A$13</f>
        <v>4Q</v>
      </c>
      <c r="B200" s="3" t="str">
        <f>$B$13</f>
        <v>June</v>
      </c>
      <c r="D200" s="1207"/>
      <c r="E200" s="980"/>
      <c r="F200" s="980"/>
      <c r="H200" s="1207"/>
      <c r="I200" s="980"/>
      <c r="J200" s="980"/>
      <c r="L200" s="1207"/>
      <c r="M200" s="980"/>
      <c r="N200" s="980"/>
      <c r="P200" s="1207"/>
      <c r="Q200" s="980"/>
      <c r="R200" s="980"/>
      <c r="S200" s="980"/>
      <c r="T200" s="1339" t="s">
        <v>646</v>
      </c>
      <c r="X200" s="162">
        <v>35.026000000000003</v>
      </c>
      <c r="Y200" s="691"/>
      <c r="Z200" s="691"/>
      <c r="AA200" s="691"/>
      <c r="AB200" s="162">
        <v>87.21</v>
      </c>
      <c r="AC200" s="691"/>
      <c r="AD200" s="691"/>
      <c r="AE200" s="691"/>
      <c r="AF200" s="162">
        <v>88.95</v>
      </c>
      <c r="AG200" s="691"/>
      <c r="AH200" s="691"/>
      <c r="AI200" s="691"/>
      <c r="AJ200" s="162">
        <f>181.872*2</f>
        <v>363.74400000000003</v>
      </c>
      <c r="AK200" s="691"/>
      <c r="AL200" s="691"/>
      <c r="AM200" s="691"/>
      <c r="AN200" s="162">
        <v>377.03500000000003</v>
      </c>
      <c r="AO200" s="691"/>
      <c r="AP200" s="691"/>
      <c r="AQ200" s="691"/>
      <c r="AR200" s="162">
        <v>377.63200000000001</v>
      </c>
      <c r="AS200" s="184"/>
      <c r="AT200" s="184"/>
      <c r="AU200" s="691"/>
      <c r="AV200" s="162">
        <v>376.70600000000002</v>
      </c>
      <c r="AW200" s="184"/>
      <c r="AX200" s="184"/>
      <c r="AY200" s="691"/>
      <c r="AZ200" s="162">
        <v>371.565</v>
      </c>
      <c r="BA200" s="184"/>
      <c r="BB200" s="184"/>
      <c r="BC200" s="691"/>
      <c r="BD200" s="162">
        <v>340.15699999999998</v>
      </c>
      <c r="BE200" s="184"/>
      <c r="BF200" s="184"/>
      <c r="BG200" s="691"/>
      <c r="BH200" s="162">
        <v>317.75200000000001</v>
      </c>
      <c r="BI200" s="184"/>
      <c r="BJ200" s="184"/>
      <c r="BK200" s="691"/>
      <c r="BL200" s="1331">
        <f>+BL199+BL164-BL163</f>
        <v>302.86799999999999</v>
      </c>
      <c r="BM200" s="184"/>
      <c r="BN200" s="184"/>
      <c r="BO200" s="691"/>
      <c r="BP200" s="162">
        <f>+BP199+BP164-BP163</f>
        <v>291.30799999999999</v>
      </c>
      <c r="BQ200" s="184"/>
      <c r="BR200" s="184"/>
      <c r="BS200" s="691"/>
      <c r="BT200" s="162">
        <f>+BT199+BT164-BT163</f>
        <v>285.851</v>
      </c>
      <c r="BU200" s="184"/>
      <c r="BV200" s="184"/>
      <c r="BW200" s="691"/>
      <c r="BX200" s="162">
        <f>+BX199+BX164-BX163</f>
        <v>279.38999999999987</v>
      </c>
      <c r="BY200" s="184"/>
      <c r="BZ200" s="184"/>
      <c r="CA200" s="691"/>
      <c r="CB200" s="162">
        <v>274.17236500000001</v>
      </c>
      <c r="CC200" s="691"/>
      <c r="CD200" s="691"/>
      <c r="CE200" s="691"/>
      <c r="CF200" s="1573">
        <v>276.39999999999998</v>
      </c>
      <c r="CG200" s="691"/>
      <c r="CH200" s="691"/>
      <c r="CI200" s="691"/>
      <c r="CJ200" s="1573">
        <v>278.2</v>
      </c>
      <c r="CK200" s="691"/>
      <c r="CL200" s="691"/>
      <c r="CM200" s="691"/>
      <c r="CN200" s="2045">
        <v>281.5</v>
      </c>
      <c r="CO200" s="691"/>
      <c r="CP200" s="691"/>
      <c r="CQ200" s="691"/>
      <c r="CR200" s="1366">
        <f>CR199*(CN200/CN199)+1</f>
        <v>289.4235267455856</v>
      </c>
      <c r="CS200" s="691"/>
      <c r="CT200" s="691"/>
      <c r="CU200" s="184"/>
    </row>
    <row r="201" spans="1:99" outlineLevel="1">
      <c r="B201" s="3" t="str">
        <f>$B$14</f>
        <v>Year</v>
      </c>
      <c r="D201" s="153"/>
      <c r="H201" s="153"/>
      <c r="L201" s="153"/>
      <c r="P201" s="153"/>
      <c r="T201" s="1340" t="str">
        <f>T200</f>
        <v>ND</v>
      </c>
      <c r="X201" s="1275">
        <f>SUM(X197:X200)/3</f>
        <v>35.026000000000003</v>
      </c>
      <c r="AB201" s="1275">
        <f>(AB197+AB198+AB199+AB200)/4</f>
        <v>52.8155</v>
      </c>
      <c r="AF201" s="1275">
        <f>(AF197+AF198+AF199+AF200)/4</f>
        <v>88.016999999999996</v>
      </c>
      <c r="AG201" s="22"/>
      <c r="AJ201" s="1275">
        <f>(AJ197+AJ198+AJ199+AJ200)/4</f>
        <v>358.87400000000002</v>
      </c>
      <c r="AN201" s="1275">
        <f>(AN197+AN198+AN199+AN200)/4</f>
        <v>372.17150000000004</v>
      </c>
      <c r="AR201" s="1344">
        <f>+(AR197+AR198+AR199+AR200)/4</f>
        <v>378.66550000000001</v>
      </c>
      <c r="AS201" s="61"/>
      <c r="AT201" s="1183"/>
      <c r="AV201" s="1345">
        <v>379.63499999999999</v>
      </c>
      <c r="AW201" s="61"/>
      <c r="AX201" s="1183"/>
      <c r="AZ201" s="1345">
        <v>369.661</v>
      </c>
      <c r="BA201" s="61"/>
      <c r="BB201" s="1183"/>
      <c r="BD201" s="1345">
        <v>355.73099999999999</v>
      </c>
      <c r="BE201" s="61"/>
      <c r="BF201" s="1183"/>
      <c r="BH201" s="1344">
        <f>+(BH197+BH198+BH199+BH200)/4</f>
        <v>323.35874999999999</v>
      </c>
      <c r="BI201" s="61"/>
      <c r="BJ201" s="1183"/>
      <c r="BL201" s="1344">
        <f>+(BL197+BL198+BL199+BL200)/4</f>
        <v>311.96525000000003</v>
      </c>
      <c r="BM201" s="61"/>
      <c r="BN201" s="1183"/>
      <c r="BP201" s="1344">
        <f>+(BP197+BP198+BP199+BP200)/4</f>
        <v>294.76474999999999</v>
      </c>
      <c r="BQ201" s="61"/>
      <c r="BR201" s="1183"/>
      <c r="BT201" s="1344">
        <f>+(BT197+BT198+BT199+BT200)/4</f>
        <v>288.25250000000005</v>
      </c>
      <c r="BU201" s="61"/>
      <c r="BV201" s="1183"/>
      <c r="BX201" s="1344">
        <f>+(BX197+BX198+BX199+BX200)/4</f>
        <v>280.23824999999988</v>
      </c>
      <c r="BY201" s="61"/>
      <c r="BZ201" s="1183"/>
      <c r="CB201" s="1344">
        <f>+(CB197+CB198+CB199+CB200)/4</f>
        <v>276.98759124999992</v>
      </c>
      <c r="CF201" s="1658">
        <v>275.7</v>
      </c>
      <c r="CJ201" s="1658">
        <v>277.60000000000002</v>
      </c>
      <c r="CN201" s="2060">
        <v>280.60000000000002</v>
      </c>
      <c r="CR201" s="1344">
        <f>+(CR197+CR198+CR199+CR200)/4</f>
        <v>286.68245922650334</v>
      </c>
      <c r="CS201" s="3"/>
      <c r="CT201" s="3"/>
    </row>
    <row r="202" spans="1:99" hidden="1" outlineLevel="2">
      <c r="A202" s="3" t="str">
        <f>$A$15</f>
        <v>6 Mos</v>
      </c>
      <c r="D202" s="1212"/>
      <c r="H202" s="1212"/>
      <c r="L202" s="1212"/>
      <c r="P202" s="1212"/>
      <c r="T202" s="1212"/>
      <c r="X202" s="1212">
        <f>SUM(X197:X198)/2</f>
        <v>17.513000000000002</v>
      </c>
      <c r="AB202" s="1212">
        <f>(AB197+AB198)/2</f>
        <v>40.269500000000001</v>
      </c>
      <c r="AF202" s="1212">
        <f>(AF197+AF198)/2</f>
        <v>87.346999999999994</v>
      </c>
      <c r="AJ202" s="1212">
        <f>(AJ197+AJ198)/2</f>
        <v>355.41399999999999</v>
      </c>
      <c r="AN202" s="1212">
        <f>(AN197+AN198)/2</f>
        <v>368.81950000000001</v>
      </c>
      <c r="AR202" s="1213">
        <f>(AR197+AR198)/2</f>
        <v>378.66750000000002</v>
      </c>
      <c r="AS202" s="61"/>
      <c r="AT202" s="1183"/>
      <c r="AV202" s="1213">
        <f>(AV197+AV198)/2</f>
        <v>380.19399999999996</v>
      </c>
      <c r="AW202" s="61"/>
      <c r="AX202" s="1183"/>
      <c r="AZ202" s="1213">
        <f>(AZ197+AZ198)/2</f>
        <v>368.15449999999998</v>
      </c>
      <c r="BA202" s="61"/>
      <c r="BB202" s="1183"/>
      <c r="BD202" s="1213">
        <f>(BD197+BD198)/2</f>
        <v>367.17649999999998</v>
      </c>
      <c r="BE202" s="61"/>
      <c r="BF202" s="1183"/>
      <c r="BH202" s="1213">
        <f>(BH197+BH198)/2</f>
        <v>327.76</v>
      </c>
      <c r="BI202" s="61"/>
      <c r="BJ202" s="1183"/>
      <c r="BL202" s="1213">
        <f>(BL197+BL198)/2</f>
        <v>317.87200000000001</v>
      </c>
      <c r="BM202" s="61"/>
      <c r="BN202" s="1183"/>
      <c r="BP202" s="1213">
        <f>(BP197+BP198)/2</f>
        <v>296.77249999999998</v>
      </c>
      <c r="BQ202" s="61"/>
      <c r="BR202" s="1183"/>
      <c r="BT202" s="1213">
        <f>(BT197+BT198)/2</f>
        <v>289.79500000000002</v>
      </c>
      <c r="BU202" s="61"/>
      <c r="BV202" s="1183"/>
      <c r="BX202" s="1213">
        <f>(BX197+BX198)/2</f>
        <v>281.43299999999988</v>
      </c>
      <c r="BY202" s="61"/>
      <c r="BZ202" s="1183"/>
      <c r="CB202" s="1213">
        <f>(CB197+CB198)/2</f>
        <v>278.83549999999991</v>
      </c>
      <c r="CF202" s="1213">
        <f>(CF197+CF198)/2</f>
        <v>275.25</v>
      </c>
      <c r="CJ202" s="1213">
        <f>(CJ197+CJ198)/2</f>
        <v>277.35000000000002</v>
      </c>
      <c r="CN202" s="1213">
        <f>(CN197+CN198)/2</f>
        <v>280</v>
      </c>
      <c r="CR202" s="1213">
        <f>(CR197+CR198)/2</f>
        <v>284.79999999999995</v>
      </c>
      <c r="CS202" s="3"/>
      <c r="CT202" s="3"/>
    </row>
    <row r="203" spans="1:99" hidden="1" outlineLevel="2">
      <c r="A203" s="3" t="str">
        <f>$A$16</f>
        <v>9 Mos</v>
      </c>
      <c r="D203" s="1212"/>
      <c r="H203" s="1212"/>
      <c r="L203" s="1212"/>
      <c r="P203" s="1212"/>
      <c r="T203" s="1212"/>
      <c r="X203" s="1212">
        <f>SUM(X197:X199)/3</f>
        <v>23.350666666666669</v>
      </c>
      <c r="AB203" s="1212">
        <f>(AB197+AB198+AB199)/3</f>
        <v>41.350666666666662</v>
      </c>
      <c r="AF203" s="1212">
        <f>(AF197+AF198+AF199)/3</f>
        <v>87.706000000000003</v>
      </c>
      <c r="AJ203" s="1212">
        <f>(AJ197+AJ198+AJ199)/3</f>
        <v>357.25066666666663</v>
      </c>
      <c r="AN203" s="1212">
        <f>(AN197+AN198+AN199)/3</f>
        <v>370.55033333333336</v>
      </c>
      <c r="AR203" s="1213">
        <f>(AR197+AR198+AR199)/3</f>
        <v>379.01</v>
      </c>
      <c r="AS203" s="61"/>
      <c r="AT203" s="1183"/>
      <c r="AV203" s="1213">
        <f>(AV197+AV198+AV199)/3</f>
        <v>381.37566666666663</v>
      </c>
      <c r="AW203" s="61"/>
      <c r="AX203" s="1183"/>
      <c r="AZ203" s="1213">
        <f>(AZ197+AZ198+AZ199)/3</f>
        <v>368.8576666666666</v>
      </c>
      <c r="BA203" s="61"/>
      <c r="BB203" s="1183"/>
      <c r="BD203" s="1213">
        <f>(BD197+BD198+BD199)/3</f>
        <v>360.82600000000002</v>
      </c>
      <c r="BE203" s="61"/>
      <c r="BF203" s="1183"/>
      <c r="BH203" s="1213">
        <f>(BH197+BH198+BH199)/3</f>
        <v>325.22766666666666</v>
      </c>
      <c r="BI203" s="61"/>
      <c r="BJ203" s="1183"/>
      <c r="BL203" s="1213">
        <f>(BL197+BL198+BL199)/3</f>
        <v>314.9976666666667</v>
      </c>
      <c r="BM203" s="61"/>
      <c r="BN203" s="1183"/>
      <c r="BP203" s="1213">
        <f>(BP197+BP198+BP199)/3</f>
        <v>295.91699999999997</v>
      </c>
      <c r="BQ203" s="61"/>
      <c r="BR203" s="1183"/>
      <c r="BT203" s="1213">
        <f>(BT197+BT198+BT199)/3</f>
        <v>289.05300000000005</v>
      </c>
      <c r="BU203" s="61"/>
      <c r="BV203" s="1183"/>
      <c r="BX203" s="1213">
        <f>(BX197+BX198+BX199)/3</f>
        <v>280.5209999999999</v>
      </c>
      <c r="BY203" s="61"/>
      <c r="BZ203" s="1183"/>
      <c r="CB203" s="1213">
        <f>(CB197+CB198+CB199)/3</f>
        <v>277.92599999999993</v>
      </c>
      <c r="CF203" s="1213">
        <f>(CF197+CF198+CF199)/3</f>
        <v>275.46666666666664</v>
      </c>
      <c r="CJ203" s="1213">
        <f>(CJ197+CJ198+CJ199)/3</f>
        <v>277.5</v>
      </c>
      <c r="CN203" s="1213">
        <f>(CN197+CN198+CN199)/3</f>
        <v>280.26666666666665</v>
      </c>
      <c r="CR203" s="1213">
        <f>(CR197+CR198+CR199)/3</f>
        <v>285.76877005347592</v>
      </c>
      <c r="CS203" s="3"/>
      <c r="CT203" s="3"/>
    </row>
    <row r="204" spans="1:99" outlineLevel="1" collapsed="1">
      <c r="W204" s="127"/>
      <c r="AR204" s="61"/>
      <c r="AS204" s="61"/>
      <c r="AT204" s="1183"/>
      <c r="AV204" s="61"/>
      <c r="AW204" s="61"/>
      <c r="AX204" s="1183"/>
      <c r="AZ204" s="61"/>
      <c r="BA204" s="61"/>
      <c r="BB204" s="1183"/>
      <c r="BD204" s="61"/>
      <c r="BE204" s="61"/>
      <c r="BF204" s="1183"/>
      <c r="BH204" s="61"/>
      <c r="BI204" s="61"/>
      <c r="BJ204" s="1183"/>
      <c r="BL204" s="61"/>
      <c r="BM204" s="61"/>
      <c r="BN204" s="1183"/>
      <c r="BP204" s="61"/>
      <c r="BQ204" s="61"/>
      <c r="BR204" s="1183"/>
      <c r="BT204" s="61"/>
      <c r="BU204" s="61"/>
      <c r="BV204" s="1183"/>
      <c r="BX204" s="61"/>
      <c r="BY204" s="61"/>
      <c r="BZ204" s="1183"/>
      <c r="CR204" s="3"/>
      <c r="CS204" s="3"/>
      <c r="CT204" s="3"/>
    </row>
    <row r="205" spans="1:99" outlineLevel="1">
      <c r="D205" s="1196"/>
      <c r="E205" s="127"/>
      <c r="F205" s="127"/>
      <c r="G205" s="127"/>
      <c r="H205" s="1196"/>
      <c r="I205" s="127"/>
      <c r="J205" s="127"/>
      <c r="K205" s="127"/>
      <c r="L205" s="1196"/>
      <c r="M205" s="127"/>
      <c r="N205" s="127"/>
      <c r="O205" s="127"/>
      <c r="P205" s="1196"/>
      <c r="Q205" s="127"/>
      <c r="R205" s="127"/>
      <c r="S205" s="127"/>
      <c r="U205" s="127"/>
      <c r="V205" s="127"/>
      <c r="Y205" s="127"/>
      <c r="Z205" s="127"/>
      <c r="AA205" s="127"/>
      <c r="AC205" s="127"/>
      <c r="AD205" s="127"/>
      <c r="AE205" s="127"/>
      <c r="AF205" s="1196"/>
      <c r="AG205" s="127"/>
      <c r="AH205" s="127"/>
      <c r="AI205" s="127"/>
      <c r="AK205" s="127"/>
      <c r="AL205" s="127"/>
      <c r="AM205" s="127"/>
      <c r="AN205" s="1196" t="s">
        <v>292</v>
      </c>
      <c r="AO205" s="127"/>
      <c r="AP205" s="127"/>
      <c r="AQ205" s="127"/>
      <c r="AR205" s="1196" t="s">
        <v>292</v>
      </c>
      <c r="AS205" s="1197"/>
      <c r="AT205" s="1198"/>
      <c r="AU205" s="127"/>
      <c r="AV205" s="1199"/>
      <c r="AW205" s="1197"/>
      <c r="AX205" s="1198"/>
      <c r="AY205" s="127"/>
      <c r="AZ205" s="1199"/>
      <c r="BA205" s="1197"/>
      <c r="BB205" s="1198"/>
      <c r="BC205" s="127"/>
      <c r="BD205" s="1199"/>
      <c r="BE205" s="1197"/>
      <c r="BF205" s="1198"/>
      <c r="BG205" s="127"/>
      <c r="BH205" s="1199"/>
      <c r="BI205" s="1197"/>
      <c r="BJ205" s="1198"/>
      <c r="BK205" s="127"/>
      <c r="BM205" s="1197"/>
      <c r="BN205" s="1198"/>
      <c r="BO205" s="127"/>
      <c r="BP205" s="1199"/>
      <c r="BQ205" s="1197"/>
      <c r="BR205" s="1198"/>
      <c r="BS205" s="127"/>
      <c r="BT205" s="1199"/>
      <c r="BU205" s="1197"/>
      <c r="BV205" s="1198"/>
      <c r="BW205" s="127"/>
      <c r="BX205" s="1199"/>
      <c r="BZ205" s="1198"/>
      <c r="CA205" s="127"/>
      <c r="CC205" s="1196" t="s">
        <v>292</v>
      </c>
      <c r="CD205" s="127"/>
      <c r="CE205" s="127"/>
      <c r="CG205" s="127"/>
      <c r="CH205" s="127"/>
      <c r="CI205" s="127"/>
      <c r="CJ205" s="127"/>
      <c r="CK205" s="127"/>
      <c r="CL205" s="127"/>
      <c r="CM205" s="127"/>
      <c r="CN205" s="127"/>
      <c r="CO205" s="127"/>
      <c r="CP205" s="127"/>
      <c r="CQ205" s="127"/>
      <c r="CR205" s="127"/>
      <c r="CS205" s="127"/>
      <c r="CT205" s="127"/>
      <c r="CU205" s="1197"/>
    </row>
    <row r="206" spans="1:99" outlineLevel="1">
      <c r="AR206" s="61"/>
      <c r="AS206" s="61"/>
      <c r="AT206" s="1183"/>
      <c r="AV206" s="61"/>
      <c r="AW206" s="61"/>
      <c r="AX206" s="1183"/>
      <c r="AZ206" s="61"/>
      <c r="BA206" s="61"/>
      <c r="BB206" s="1183"/>
      <c r="BD206" s="61"/>
      <c r="BE206" s="61"/>
      <c r="BF206" s="1183"/>
      <c r="BH206" s="61"/>
      <c r="BI206" s="61"/>
      <c r="BJ206" s="1183"/>
      <c r="BL206" s="61"/>
      <c r="BM206" s="61"/>
      <c r="BN206" s="1183"/>
      <c r="BP206" s="61"/>
      <c r="BQ206" s="61"/>
      <c r="BR206" s="1183"/>
      <c r="BT206" s="61"/>
      <c r="BU206" s="61"/>
      <c r="BV206" s="1183"/>
      <c r="BX206" s="61"/>
      <c r="BY206" s="61"/>
      <c r="BZ206" s="1183"/>
      <c r="CR206" s="3"/>
      <c r="CS206" s="3"/>
      <c r="CT206" s="3"/>
    </row>
    <row r="207" spans="1:99" outlineLevel="1">
      <c r="A207" s="3" t="str">
        <f>$A$10</f>
        <v>1Q</v>
      </c>
      <c r="B207" s="3" t="str">
        <f>$B$10</f>
        <v>Sept</v>
      </c>
      <c r="D207" s="1202"/>
      <c r="E207" s="1217"/>
      <c r="F207" s="691"/>
      <c r="H207" s="1202"/>
      <c r="I207" s="1217"/>
      <c r="J207" s="691"/>
      <c r="L207" s="1202"/>
      <c r="M207" s="1217"/>
      <c r="N207" s="691"/>
      <c r="P207" s="1202"/>
      <c r="Q207" s="1217"/>
      <c r="R207" s="691"/>
      <c r="S207" s="691"/>
      <c r="T207" s="1202"/>
      <c r="U207" s="1217"/>
      <c r="X207" s="1202">
        <f>5.059+0.324</f>
        <v>5.383</v>
      </c>
      <c r="Y207" s="1217"/>
      <c r="AB207" s="1202">
        <f>5.397+0.221</f>
        <v>5.6180000000000003</v>
      </c>
      <c r="AC207" s="22"/>
      <c r="AF207" s="1202">
        <v>5.9349999999999996</v>
      </c>
      <c r="AG207" s="22">
        <f t="shared" ref="AG207:AG213" si="289">IF(AB207&lt;0,"       NM",(AF207/AB207-1)*100)</f>
        <v>5.6425774296902764</v>
      </c>
      <c r="AJ207" s="1202">
        <v>6.48</v>
      </c>
      <c r="AK207" s="316">
        <f t="shared" ref="AK207:AK213" si="290">IF(AF207&lt;0,"       NM",(AJ207/AF207-1)*100)</f>
        <v>9.1828138163437387</v>
      </c>
      <c r="AN207" s="1202">
        <v>8.8450000000000006</v>
      </c>
      <c r="AO207" s="22">
        <f t="shared" ref="AO207:AO213" si="291">IF(AJ207&lt;0,"       NM",(AN207/AJ207-1)*100)</f>
        <v>36.496913580246911</v>
      </c>
      <c r="AR207" s="1202">
        <v>12.601000000000001</v>
      </c>
      <c r="AS207" s="22">
        <f>IF(AN207&lt;0,"       NM",(AR207/AN207-1)*100)</f>
        <v>42.464669304691924</v>
      </c>
      <c r="AT207" s="1183"/>
      <c r="AV207" s="1202">
        <v>13.989000000000001</v>
      </c>
      <c r="AW207" s="1346">
        <f>+AV207/AR207-1</f>
        <v>0.11014998809618293</v>
      </c>
      <c r="AX207" s="1183"/>
      <c r="AZ207" s="196">
        <v>18.832000000000001</v>
      </c>
      <c r="BA207" s="1201"/>
      <c r="BB207" s="1183"/>
      <c r="BD207" s="196">
        <v>24.728000000000002</v>
      </c>
      <c r="BE207" s="1061"/>
      <c r="BF207" s="1183"/>
      <c r="BH207" s="196">
        <v>30.690999999999999</v>
      </c>
      <c r="BI207" s="1201"/>
      <c r="BJ207" s="1183"/>
      <c r="BL207" s="196">
        <v>33.380000000000003</v>
      </c>
      <c r="BM207" s="1201"/>
      <c r="BN207" s="1183"/>
      <c r="BP207" s="196">
        <v>32.250999999999998</v>
      </c>
      <c r="BQ207" s="1201"/>
      <c r="BR207" s="1183"/>
      <c r="BT207" s="196">
        <v>32.054000000000002</v>
      </c>
      <c r="BU207" s="1201"/>
      <c r="BV207" s="1183"/>
      <c r="BX207" s="196">
        <v>36.103999999999999</v>
      </c>
      <c r="BY207" s="1201"/>
      <c r="BZ207" s="1183"/>
      <c r="CB207" s="196">
        <v>44.963999999999999</v>
      </c>
      <c r="CF207" s="196">
        <v>43.3</v>
      </c>
      <c r="CG207" s="1028"/>
      <c r="CJ207" s="196">
        <v>54.4</v>
      </c>
      <c r="CK207" s="1028"/>
      <c r="CN207" s="1573">
        <v>52.3</v>
      </c>
      <c r="CO207" s="1028"/>
      <c r="CR207" s="1366">
        <v>65</v>
      </c>
      <c r="CS207" s="1028"/>
      <c r="CT207" s="3"/>
    </row>
    <row r="208" spans="1:99" outlineLevel="1">
      <c r="A208" s="3" t="str">
        <f>$A$11</f>
        <v>2Q</v>
      </c>
      <c r="B208" s="3" t="str">
        <f>$B$11</f>
        <v>Dec</v>
      </c>
      <c r="D208" s="1205"/>
      <c r="E208" s="1217"/>
      <c r="H208" s="1205"/>
      <c r="I208" s="1217"/>
      <c r="L208" s="1205"/>
      <c r="M208" s="1217"/>
      <c r="P208" s="1205"/>
      <c r="Q208" s="1217"/>
      <c r="T208" s="1205"/>
      <c r="U208" s="1217"/>
      <c r="X208" s="1205">
        <f>10.262+0.448-X207</f>
        <v>5.3270000000000008</v>
      </c>
      <c r="Y208" s="1217"/>
      <c r="AB208" s="1205">
        <f>11.002+0.445-AB207</f>
        <v>5.8290000000000006</v>
      </c>
      <c r="AC208" s="316"/>
      <c r="AF208" s="1205">
        <f>12.297-AF207</f>
        <v>6.362000000000001</v>
      </c>
      <c r="AG208" s="316">
        <f t="shared" si="289"/>
        <v>9.1439354949391038</v>
      </c>
      <c r="AJ208" s="148">
        <f>13.507-AJ207</f>
        <v>7.0269999999999992</v>
      </c>
      <c r="AK208" s="316">
        <f t="shared" si="290"/>
        <v>10.45268783401443</v>
      </c>
      <c r="AN208" s="162">
        <f>18.523-AN207</f>
        <v>9.677999999999999</v>
      </c>
      <c r="AO208" s="22">
        <f t="shared" si="291"/>
        <v>37.725914330439721</v>
      </c>
      <c r="AP208" s="1217"/>
      <c r="AR208" s="1205">
        <f>25.806-AR207</f>
        <v>13.205</v>
      </c>
      <c r="AS208" s="22">
        <f t="shared" ref="AS208:AS213" si="292">IF(AN208&lt;0,"       NM",(AR208/AN208-1)*100)</f>
        <v>36.443480057863219</v>
      </c>
      <c r="AT208" s="1347"/>
      <c r="AV208" s="1205">
        <f>31.625-AV207</f>
        <v>17.635999999999999</v>
      </c>
      <c r="AW208" s="1346">
        <f>+AV208/AR208-1</f>
        <v>0.33555471412343807</v>
      </c>
      <c r="AX208" s="1347"/>
      <c r="AY208" s="1217"/>
      <c r="AZ208" s="162">
        <f>38.93-AZ207</f>
        <v>20.097999999999999</v>
      </c>
      <c r="BA208" s="1201"/>
      <c r="BB208" s="1347"/>
      <c r="BC208" s="1217"/>
      <c r="BD208" s="162">
        <f>49.139-BD207</f>
        <v>24.411000000000001</v>
      </c>
      <c r="BE208" s="1061"/>
      <c r="BF208" s="1347"/>
      <c r="BG208" s="1217"/>
      <c r="BH208" s="162">
        <f>61.092-BH207</f>
        <v>30.401</v>
      </c>
      <c r="BI208" s="1201"/>
      <c r="BJ208" s="1347"/>
      <c r="BK208" s="1217"/>
      <c r="BL208" s="162">
        <f>61.433-BL207</f>
        <v>28.052999999999997</v>
      </c>
      <c r="BM208" s="1201"/>
      <c r="BN208" s="1347"/>
      <c r="BO208" s="1217"/>
      <c r="BP208" s="162">
        <f>63.479-BP207</f>
        <v>31.228000000000002</v>
      </c>
      <c r="BQ208" s="1201"/>
      <c r="BR208" s="1347"/>
      <c r="BS208" s="1217"/>
      <c r="BT208" s="162">
        <f>65.082-BT207</f>
        <v>33.027999999999992</v>
      </c>
      <c r="BU208" s="1201"/>
      <c r="BV208" s="1347"/>
      <c r="BW208" s="1217"/>
      <c r="BX208" s="162">
        <f>76.881-BX207</f>
        <v>40.777000000000001</v>
      </c>
      <c r="BY208" s="1201"/>
      <c r="BZ208" s="1347"/>
      <c r="CA208" s="1217"/>
      <c r="CB208" s="162">
        <f>92.939-CB207</f>
        <v>47.974999999999994</v>
      </c>
      <c r="CC208" s="1217"/>
      <c r="CD208" s="1217"/>
      <c r="CE208" s="1217"/>
      <c r="CF208" s="162">
        <f>89.8-CF207</f>
        <v>46.5</v>
      </c>
      <c r="CG208" s="1028"/>
      <c r="CH208" s="1217"/>
      <c r="CI208" s="1217"/>
      <c r="CJ208" s="1573">
        <f>107.1-CJ207</f>
        <v>52.699999999999996</v>
      </c>
      <c r="CK208" s="1028"/>
      <c r="CL208" s="1217"/>
      <c r="CM208" s="1217"/>
      <c r="CN208" s="1573">
        <f>100.2-CN207</f>
        <v>47.900000000000006</v>
      </c>
      <c r="CO208" s="1028"/>
      <c r="CP208" s="1217"/>
      <c r="CQ208" s="1217"/>
      <c r="CR208" s="1366">
        <v>65</v>
      </c>
      <c r="CS208" s="1028"/>
      <c r="CT208" s="1217"/>
      <c r="CU208" s="1221"/>
    </row>
    <row r="209" spans="1:99" outlineLevel="1">
      <c r="A209" s="3" t="str">
        <f>$A$12</f>
        <v>3Q</v>
      </c>
      <c r="B209" s="3" t="str">
        <f>$B$12</f>
        <v>Mar</v>
      </c>
      <c r="D209" s="1205"/>
      <c r="E209" s="1217"/>
      <c r="H209" s="1205"/>
      <c r="I209" s="1217"/>
      <c r="L209" s="1205"/>
      <c r="M209" s="1217"/>
      <c r="P209" s="1205"/>
      <c r="Q209" s="1217"/>
      <c r="T209" s="1205"/>
      <c r="U209" s="1217"/>
      <c r="X209" s="1205">
        <f>15.741+0.672-X208-X207</f>
        <v>5.7029999999999985</v>
      </c>
      <c r="Y209" s="1217"/>
      <c r="AB209" s="1205">
        <f>16.321+0.671-AB208-AB207</f>
        <v>5.5449999999999999</v>
      </c>
      <c r="AC209" s="22"/>
      <c r="AF209" s="1205">
        <f>18.672-AF208-AF207</f>
        <v>6.3749999999999991</v>
      </c>
      <c r="AG209" s="22">
        <f t="shared" si="289"/>
        <v>14.96844003606852</v>
      </c>
      <c r="AH209" s="1217"/>
      <c r="AJ209" s="1205">
        <f>20.923-AJ208-AJ207</f>
        <v>7.4159999999999986</v>
      </c>
      <c r="AK209" s="316">
        <f t="shared" si="290"/>
        <v>16.329411764705881</v>
      </c>
      <c r="AN209" s="162">
        <f>31.781-AN208-AN207</f>
        <v>13.258000000000001</v>
      </c>
      <c r="AO209" s="22">
        <f t="shared" si="291"/>
        <v>78.775620280474683</v>
      </c>
      <c r="AR209" s="1205">
        <f>38.497-AR208-AR207</f>
        <v>12.691000000000001</v>
      </c>
      <c r="AS209" s="22">
        <f t="shared" si="292"/>
        <v>-4.2766631467793026</v>
      </c>
      <c r="AT209" s="1183"/>
      <c r="AV209" s="1205">
        <f>48.034-AV208-AV207</f>
        <v>16.408999999999999</v>
      </c>
      <c r="AW209" s="1346">
        <f>+AV209/AR209-1</f>
        <v>0.29296351745331317</v>
      </c>
      <c r="AX209" s="1183"/>
      <c r="AZ209" s="162">
        <f>59.555-AZ208-AZ207</f>
        <v>20.625</v>
      </c>
      <c r="BA209" s="1201"/>
      <c r="BB209" s="1183"/>
      <c r="BD209" s="162">
        <f>74.948-BD208-BD207</f>
        <v>25.80899999999999</v>
      </c>
      <c r="BE209" s="1061"/>
      <c r="BF209" s="1183"/>
      <c r="BH209" s="162">
        <f>91.823-BH208-BH207</f>
        <v>30.730999999999998</v>
      </c>
      <c r="BI209" s="1201"/>
      <c r="BJ209" s="1183"/>
      <c r="BL209" s="162">
        <v>32.578000000000003</v>
      </c>
      <c r="BM209" s="1201"/>
      <c r="BN209" s="1183"/>
      <c r="BP209" s="162">
        <f>93.849-BP208-BP207</f>
        <v>30.370000000000005</v>
      </c>
      <c r="BQ209" s="1201"/>
      <c r="BR209" s="1183"/>
      <c r="BT209" s="162">
        <f>98.733-BT208-BT207</f>
        <v>33.65100000000001</v>
      </c>
      <c r="BU209" s="1201"/>
      <c r="BV209" s="1183"/>
      <c r="BX209" s="162">
        <f>115.666-BX208-BX207</f>
        <v>38.784999999999997</v>
      </c>
      <c r="BY209" s="1201"/>
      <c r="BZ209" s="1183"/>
      <c r="CB209" s="162">
        <v>48</v>
      </c>
      <c r="CF209" s="1573">
        <f>137.2-CF208-CF207</f>
        <v>47.399999999999991</v>
      </c>
      <c r="CG209" s="1028"/>
      <c r="CJ209" s="1573">
        <f>156.6-CJ208-CJ207</f>
        <v>49.500000000000007</v>
      </c>
      <c r="CK209" s="1028"/>
      <c r="CN209" s="1942">
        <f>148.7-CN208-CN207</f>
        <v>48.499999999999986</v>
      </c>
      <c r="CO209" s="1028"/>
      <c r="CR209" s="1366">
        <v>65</v>
      </c>
      <c r="CS209" s="1028"/>
      <c r="CT209" s="3"/>
    </row>
    <row r="210" spans="1:99" outlineLevel="1">
      <c r="A210" s="3" t="str">
        <f>$A$13</f>
        <v>4Q</v>
      </c>
      <c r="B210" s="3" t="str">
        <f>$B$13</f>
        <v>June</v>
      </c>
      <c r="D210" s="1207"/>
      <c r="E210" s="1217"/>
      <c r="H210" s="1207"/>
      <c r="I210" s="1217"/>
      <c r="L210" s="1207"/>
      <c r="M210" s="1217"/>
      <c r="P210" s="1207"/>
      <c r="Q210" s="1217"/>
      <c r="T210" s="1207"/>
      <c r="U210" s="1217"/>
      <c r="X210" s="1266">
        <f>X211-SUM(X207:X209)</f>
        <v>6.2149999999999999</v>
      </c>
      <c r="Y210" s="1217"/>
      <c r="AB210" s="1266">
        <f>AB211-SUM(AB207:AB209)</f>
        <v>7.1389999999999993</v>
      </c>
      <c r="AC210" s="22"/>
      <c r="AF210" s="1266">
        <f>AF211-SUM(AF207:AF209)</f>
        <v>6.8219999999999992</v>
      </c>
      <c r="AG210" s="22">
        <f t="shared" si="289"/>
        <v>-4.4403978148200078</v>
      </c>
      <c r="AJ210" s="1266">
        <f>AJ211-SUM(AJ207:AJ209)</f>
        <v>9.3080000000000034</v>
      </c>
      <c r="AK210" s="316">
        <f t="shared" si="290"/>
        <v>36.440926414541266</v>
      </c>
      <c r="AN210" s="1348">
        <f>AN211-SUM(AN207:AN209)</f>
        <v>8.3190000000000026</v>
      </c>
      <c r="AO210" s="22">
        <f t="shared" si="291"/>
        <v>-10.62526858616245</v>
      </c>
      <c r="AR210" s="1266">
        <f>AR211-SUM(AR207:AR209)</f>
        <v>11.902999999999999</v>
      </c>
      <c r="AS210" s="22">
        <f t="shared" si="292"/>
        <v>43.082101214088176</v>
      </c>
      <c r="AT210" s="1183"/>
      <c r="AV210" s="1209">
        <f>AV211-SUM(AV207:AV209)</f>
        <v>17.080999999999996</v>
      </c>
      <c r="AW210" s="1346">
        <f>+AV210/AR210-1</f>
        <v>0.43501638242459872</v>
      </c>
      <c r="AX210" s="1183"/>
      <c r="AZ210" s="1348">
        <f>+AZ211-AZ207-AZ208-AZ209</f>
        <v>21.276999999999994</v>
      </c>
      <c r="BA210" s="1346"/>
      <c r="BB210" s="1183"/>
      <c r="BD210" s="1348">
        <f>+BD211-BD207-BD208-BD209</f>
        <v>25.756000000000007</v>
      </c>
      <c r="BE210" s="1061"/>
      <c r="BF210" s="1183"/>
      <c r="BH210" s="1348">
        <f>+BH211-BH207-BH208-BH209</f>
        <v>31.190999999999999</v>
      </c>
      <c r="BI210" s="1201"/>
      <c r="BJ210" s="1183"/>
      <c r="BL210" s="1348">
        <f>+BL211-BL207-BL208-BL209</f>
        <v>32.733000000000004</v>
      </c>
      <c r="BM210" s="1201"/>
      <c r="BN210" s="1183"/>
      <c r="BP210" s="1208">
        <v>31.256</v>
      </c>
      <c r="BQ210" s="1201"/>
      <c r="BR210" s="1183"/>
      <c r="BT210" s="1348">
        <f>+BT211-BT207-BT208-BT209</f>
        <v>34.175999999999988</v>
      </c>
      <c r="BU210" s="1201"/>
      <c r="BV210" s="1183"/>
      <c r="BX210" s="1348">
        <f>+BX211-BX207-BX208-BX209</f>
        <v>47.320999999999998</v>
      </c>
      <c r="BY210" s="1201"/>
      <c r="BZ210" s="1183"/>
      <c r="CB210" s="1208">
        <f>CB211-SUM(CB207:CB209)</f>
        <v>48.421000000000021</v>
      </c>
      <c r="CF210" s="1570">
        <f>CF211-SUM(CF207:CF209)</f>
        <v>54.600000000000023</v>
      </c>
      <c r="CG210" s="1028"/>
      <c r="CJ210" s="1570">
        <f>CJ211-SUM(CJ207:CJ209)</f>
        <v>54</v>
      </c>
      <c r="CK210" s="1028"/>
      <c r="CN210" s="1570">
        <f>CN211-SUM(CN207:CN209)</f>
        <v>64.100000000000023</v>
      </c>
      <c r="CO210" s="1028"/>
      <c r="CR210" s="1367">
        <f>CR211-SUM(CR207:CR209)</f>
        <v>82.49471312631681</v>
      </c>
      <c r="CS210" s="1028"/>
      <c r="CT210" s="3"/>
    </row>
    <row r="211" spans="1:99" outlineLevel="1">
      <c r="B211" s="3" t="str">
        <f>$B$14</f>
        <v>Year</v>
      </c>
      <c r="D211" s="1210"/>
      <c r="E211" s="1217"/>
      <c r="H211" s="1210"/>
      <c r="I211" s="1217"/>
      <c r="L211" s="1210"/>
      <c r="M211" s="1217"/>
      <c r="P211" s="1210"/>
      <c r="Q211" s="1217"/>
      <c r="T211" s="1210"/>
      <c r="U211" s="1217"/>
      <c r="X211" s="1210">
        <f>flow!N9</f>
        <v>22.628</v>
      </c>
      <c r="Y211" s="1217"/>
      <c r="AB211" s="1210">
        <f>flow!P9</f>
        <v>24.131</v>
      </c>
      <c r="AC211" s="22"/>
      <c r="AF211" s="1210">
        <f>flow!R9</f>
        <v>25.494</v>
      </c>
      <c r="AG211" s="22">
        <f t="shared" si="289"/>
        <v>5.6483361650988329</v>
      </c>
      <c r="AJ211" s="1210">
        <f>flow!T9</f>
        <v>30.231000000000002</v>
      </c>
      <c r="AK211" s="316">
        <f t="shared" si="290"/>
        <v>18.580842551188525</v>
      </c>
      <c r="AN211" s="1210">
        <f>flow!V9</f>
        <v>40.1</v>
      </c>
      <c r="AO211" s="22">
        <f t="shared" si="291"/>
        <v>32.645297873044221</v>
      </c>
      <c r="AR211" s="1210">
        <f>flow!X9</f>
        <v>50.4</v>
      </c>
      <c r="AS211" s="22">
        <f t="shared" si="292"/>
        <v>25.685785536159589</v>
      </c>
      <c r="AT211" s="1183"/>
      <c r="AV211" s="1210">
        <f>flow!Z9</f>
        <v>65.114999999999995</v>
      </c>
      <c r="AW211" s="22">
        <f>IF(AR211&lt;0,"       NM",(AV211/AR211-1)*100)</f>
        <v>29.196428571428569</v>
      </c>
      <c r="AX211" s="1097"/>
      <c r="AZ211" s="1210">
        <f>flow!AB9</f>
        <v>80.831999999999994</v>
      </c>
      <c r="BA211" s="22">
        <f>IF(AV211&lt;0,"       NM",(AZ211/AV211-1)*100)</f>
        <v>24.137295554019822</v>
      </c>
      <c r="BB211" s="1097"/>
      <c r="BD211" s="1210">
        <f>flow!AD9</f>
        <v>100.70399999999999</v>
      </c>
      <c r="BE211" s="22">
        <f>IF(AZ211&lt;0,"       NM",(BD211/AZ211-1)*100)</f>
        <v>24.584323040380053</v>
      </c>
      <c r="BF211" s="1097"/>
      <c r="BH211" s="1210">
        <f>flow!AF9</f>
        <v>123.014</v>
      </c>
      <c r="BI211" s="22">
        <f>IF(BD211&lt;0,"       NM",(BH211/BD211-1)*100)</f>
        <v>22.154035589450281</v>
      </c>
      <c r="BJ211" s="1097"/>
      <c r="BL211" s="1210">
        <f>flow!AH9</f>
        <v>126.744</v>
      </c>
      <c r="BM211" s="22">
        <f>IF(BH211&lt;0,"       NM",(BL211/BH211-1)*100)</f>
        <v>3.0321751995707746</v>
      </c>
      <c r="BN211" s="1097"/>
      <c r="BP211" s="1210">
        <f>flow!AJ9</f>
        <v>125.10599999999999</v>
      </c>
      <c r="BQ211" s="22">
        <f>IF(BL211&lt;0,"       NM",(BP211/BL211-1)*100)</f>
        <v>-1.2923688695322899</v>
      </c>
      <c r="BR211" s="1097"/>
      <c r="BT211" s="1210">
        <f>flow!AL9</f>
        <v>132.90899999999999</v>
      </c>
      <c r="BU211" s="22">
        <f>IF(BP211&lt;0,"       NM",(BT211/BP211-1)*100)</f>
        <v>6.237110929931422</v>
      </c>
      <c r="BV211" s="1097"/>
      <c r="BX211" s="1210">
        <f>flow!AN9</f>
        <v>162.98699999999999</v>
      </c>
      <c r="BY211" s="22">
        <f>IF(BT211&lt;0,"       NM",(BX211/BT211-1)*100)</f>
        <v>22.630521635103729</v>
      </c>
      <c r="BZ211" s="1097"/>
      <c r="CB211" s="1210">
        <f>flow!AP9</f>
        <v>189.36</v>
      </c>
      <c r="CC211" s="22">
        <f>IF(BX211&lt;0,"       NM",(CB211/BX211-1)*100)</f>
        <v>16.181045114027516</v>
      </c>
      <c r="CF211" s="1210">
        <f>flow!AR9</f>
        <v>191.8</v>
      </c>
      <c r="CG211" s="22">
        <f>IF(CB211&lt;0,"       NM",(CF211/CB211-1)*100)</f>
        <v>1.2885509083227609</v>
      </c>
      <c r="CJ211" s="1210">
        <f>flow!AT9</f>
        <v>210.6</v>
      </c>
      <c r="CK211" s="22"/>
      <c r="CN211" s="1210">
        <f>flow!AV9</f>
        <v>212.8</v>
      </c>
      <c r="CO211" s="22"/>
      <c r="CR211" s="1210">
        <f>flow!AX9</f>
        <v>277.49471312631681</v>
      </c>
      <c r="CS211" s="22"/>
      <c r="CT211" s="3"/>
    </row>
    <row r="212" spans="1:99" hidden="1" outlineLevel="2">
      <c r="A212" s="3" t="str">
        <f>$A$15</f>
        <v>6 Mos</v>
      </c>
      <c r="D212" s="1212"/>
      <c r="E212" s="1217"/>
      <c r="H212" s="1212"/>
      <c r="I212" s="1217"/>
      <c r="L212" s="1212"/>
      <c r="M212" s="1217"/>
      <c r="P212" s="1212"/>
      <c r="Q212" s="1217"/>
      <c r="T212" s="1212"/>
      <c r="U212" s="1217"/>
      <c r="X212" s="1212"/>
      <c r="Y212" s="1217"/>
      <c r="AB212" s="1212">
        <f>SUM(AB207:AB208)</f>
        <v>11.447000000000001</v>
      </c>
      <c r="AC212" s="22"/>
      <c r="AF212" s="1212">
        <f>SUM(AF207:AF208)</f>
        <v>12.297000000000001</v>
      </c>
      <c r="AG212" s="22">
        <f t="shared" si="289"/>
        <v>7.4255263387787096</v>
      </c>
      <c r="AJ212" s="1212">
        <f>SUM(AJ207:AJ208)</f>
        <v>13.507</v>
      </c>
      <c r="AK212" s="316">
        <f t="shared" si="290"/>
        <v>9.8397983247946463</v>
      </c>
      <c r="AN212" s="1212">
        <f>SUM(AN207:AN208)</f>
        <v>18.523</v>
      </c>
      <c r="AO212" s="22">
        <f t="shared" si="291"/>
        <v>37.13629969645369</v>
      </c>
      <c r="AR212" s="1212">
        <f>SUM(AR207:AR208)</f>
        <v>25.806000000000001</v>
      </c>
      <c r="AS212" s="22">
        <f>IF(AN212&lt;0,"       NM",(AR212/AN212-1)*100)</f>
        <v>39.318684878259468</v>
      </c>
      <c r="AT212" s="1183"/>
      <c r="AV212" s="1212">
        <f>SUM(AV207:AV208)</f>
        <v>31.625</v>
      </c>
      <c r="AW212" s="22">
        <f>IF(AR212&lt;0,"       NM",(AV212/AR212-1)*100)</f>
        <v>22.549019607843125</v>
      </c>
      <c r="AX212" s="1183"/>
      <c r="AZ212" s="1212">
        <f>SUM(AZ207:AZ208)</f>
        <v>38.93</v>
      </c>
      <c r="BA212" s="22">
        <f>IF(AV212&lt;0,"       NM",(AZ212/AV212-1)*100)</f>
        <v>23.098814229249022</v>
      </c>
      <c r="BB212" s="1183"/>
      <c r="BD212" s="1212">
        <f>SUM(BD207:BD208)</f>
        <v>49.139000000000003</v>
      </c>
      <c r="BE212" s="22">
        <f>IF(AZ212&lt;0,"       NM",(BD212/AZ212-1)*100)</f>
        <v>26.223991780118162</v>
      </c>
      <c r="BF212" s="1183"/>
      <c r="BH212" s="1212">
        <f>SUM(BH207:BH208)</f>
        <v>61.091999999999999</v>
      </c>
      <c r="BI212" s="22">
        <f>IF(BD212&lt;0,"       NM",(BH212/BD212-1)*100)</f>
        <v>24.324874336067069</v>
      </c>
      <c r="BJ212" s="1183"/>
      <c r="BL212" s="1212">
        <f>SUM(BL207:BL208)</f>
        <v>61.433</v>
      </c>
      <c r="BM212" s="22">
        <f>IF(BI212&lt;0,"       NM",(BL212/BI212-1)*100)</f>
        <v>152.55217828160301</v>
      </c>
      <c r="BN212" s="1183"/>
      <c r="BP212" s="1212">
        <f>SUM(BP207:BP208)</f>
        <v>63.478999999999999</v>
      </c>
      <c r="BQ212" s="22">
        <f>IF(BL212&lt;0,"       NM",(BP212/BL212-1)*100)</f>
        <v>3.3304575716634366</v>
      </c>
      <c r="BR212" s="1183"/>
      <c r="BT212" s="1212">
        <f>SUM(BT207:BT208)</f>
        <v>65.081999999999994</v>
      </c>
      <c r="BU212" s="22">
        <f>IF(BP212&lt;0,"       NM",(BT212/BP212-1)*100)</f>
        <v>2.5252445690700842</v>
      </c>
      <c r="BV212" s="1183"/>
      <c r="BX212" s="1212">
        <f>SUM(BX207:BX208)</f>
        <v>76.881</v>
      </c>
      <c r="BY212" s="22">
        <f>IF(BT212&lt;0,"       NM",(BX212/BT212-1)*100)</f>
        <v>18.129436710611245</v>
      </c>
      <c r="BZ212" s="1183"/>
      <c r="CB212" s="1212">
        <f>SUM(CB207:CB208)</f>
        <v>92.938999999999993</v>
      </c>
      <c r="CC212" s="22">
        <f>IF(BX212&lt;0,"       NM",(CB212/BX212-1)*100)</f>
        <v>20.886825093326046</v>
      </c>
      <c r="CF212" s="1212">
        <f>SUM(CF207:CF208)</f>
        <v>89.8</v>
      </c>
      <c r="CG212" s="22">
        <f>IF(CB212&lt;0,"       NM",(CF212/CB212-1)*100)</f>
        <v>-3.3774841562745461</v>
      </c>
      <c r="CJ212" s="1212">
        <f>SUM(CJ207:CJ208)</f>
        <v>107.1</v>
      </c>
      <c r="CK212" s="22"/>
      <c r="CN212" s="1212">
        <f>SUM(CN207:CN208)</f>
        <v>100.2</v>
      </c>
      <c r="CO212" s="22"/>
      <c r="CR212" s="1212">
        <f>SUM(CR207:CR208)</f>
        <v>130</v>
      </c>
      <c r="CS212" s="22"/>
      <c r="CT212" s="3"/>
    </row>
    <row r="213" spans="1:99" hidden="1" outlineLevel="2">
      <c r="A213" s="3" t="str">
        <f>$A$16</f>
        <v>9 Mos</v>
      </c>
      <c r="D213" s="1212"/>
      <c r="E213" s="1217"/>
      <c r="H213" s="1212"/>
      <c r="I213" s="1217"/>
      <c r="L213" s="1212"/>
      <c r="M213" s="1217"/>
      <c r="P213" s="1212"/>
      <c r="Q213" s="1217"/>
      <c r="T213" s="1212"/>
      <c r="U213" s="1217"/>
      <c r="X213" s="1212"/>
      <c r="Y213" s="1217"/>
      <c r="AB213" s="1212">
        <f>SUM(AB207:AB209)</f>
        <v>16.992000000000001</v>
      </c>
      <c r="AC213" s="22"/>
      <c r="AF213" s="1212">
        <f>SUM(AF207:AF209)</f>
        <v>18.672000000000001</v>
      </c>
      <c r="AG213" s="22">
        <f t="shared" si="289"/>
        <v>9.8870056497175174</v>
      </c>
      <c r="AJ213" s="1212">
        <f>SUM(AJ207:AJ209)</f>
        <v>20.922999999999998</v>
      </c>
      <c r="AK213" s="316">
        <f t="shared" si="290"/>
        <v>12.055484147386441</v>
      </c>
      <c r="AN213" s="1212">
        <f>SUM(AN207:AN209)</f>
        <v>31.780999999999999</v>
      </c>
      <c r="AO213" s="22">
        <f t="shared" si="291"/>
        <v>51.895043731778422</v>
      </c>
      <c r="AR213" s="1212">
        <f>SUM(AR207:AR209)</f>
        <v>38.497</v>
      </c>
      <c r="AS213" s="22">
        <f t="shared" si="292"/>
        <v>21.132122966552338</v>
      </c>
      <c r="AT213" s="1183"/>
      <c r="AV213" s="1212">
        <f>SUM(AV207:AV209)</f>
        <v>48.033999999999999</v>
      </c>
      <c r="AW213" s="22">
        <f>IF(AR213&lt;0,"       NM",(AV213/AR213-1)*100)</f>
        <v>24.773358963036074</v>
      </c>
      <c r="AX213" s="1183"/>
      <c r="AZ213" s="1212">
        <f>SUM(AZ207:AZ209)</f>
        <v>59.555</v>
      </c>
      <c r="BA213" s="22">
        <f>IF(AV213&lt;0,"       NM",(AZ213/AV213-1)*100)</f>
        <v>23.985093891826615</v>
      </c>
      <c r="BB213" s="1183"/>
      <c r="BD213" s="1212">
        <f>SUM(BD207:BD209)</f>
        <v>74.947999999999993</v>
      </c>
      <c r="BE213" s="22">
        <f>IF(AZ213&lt;0,"       NM",(BD213/AZ213-1)*100)</f>
        <v>25.846696331122487</v>
      </c>
      <c r="BF213" s="1183"/>
      <c r="BH213" s="1212">
        <f>SUM(BH207:BH209)</f>
        <v>91.822999999999993</v>
      </c>
      <c r="BI213" s="22">
        <f>IF(BD213&lt;0,"       NM",(BH213/BD213-1)*100)</f>
        <v>22.515610823504307</v>
      </c>
      <c r="BJ213" s="1183"/>
      <c r="BL213" s="1212">
        <f>SUM(BL207:BL209)</f>
        <v>94.010999999999996</v>
      </c>
      <c r="BM213" s="22">
        <f>IF(BI213&lt;0,"       NM",(BL213/BI213-1)*100)</f>
        <v>317.53697351111089</v>
      </c>
      <c r="BN213" s="1183"/>
      <c r="BP213" s="1212">
        <f>SUM(BP207:BP209)</f>
        <v>93.849000000000004</v>
      </c>
      <c r="BQ213" s="22">
        <f>IF(BL213&lt;0,"       NM",(BP213/BL213-1)*100)</f>
        <v>-0.17232026039505355</v>
      </c>
      <c r="BR213" s="1183"/>
      <c r="BT213" s="1212">
        <f>SUM(BT207:BT209)</f>
        <v>98.733000000000004</v>
      </c>
      <c r="BU213" s="22">
        <f>IF(BP213&lt;0,"       NM",(BT213/BP213-1)*100)</f>
        <v>5.204104465684245</v>
      </c>
      <c r="BV213" s="1183"/>
      <c r="BX213" s="1212">
        <f>SUM(BX207:BX209)</f>
        <v>115.666</v>
      </c>
      <c r="BY213" s="22">
        <f>IF(BT213&lt;0,"       NM",(BX213/BT213-1)*100)</f>
        <v>17.150294227867068</v>
      </c>
      <c r="BZ213" s="1183"/>
      <c r="CB213" s="1212">
        <f>SUM(CB207:CB209)</f>
        <v>140.93899999999999</v>
      </c>
      <c r="CC213" s="22">
        <f>IF(BX213&lt;0,"       NM",(CB213/BX213-1)*100)</f>
        <v>21.849981844275757</v>
      </c>
      <c r="CF213" s="1212">
        <f>SUM(CF207:CF209)</f>
        <v>137.19999999999999</v>
      </c>
      <c r="CG213" s="22">
        <f>IF(CB213&lt;0,"       NM",(CF213/CB213-1)*100)</f>
        <v>-2.6529207671403987</v>
      </c>
      <c r="CJ213" s="1212">
        <f>SUM(CJ207:CJ209)</f>
        <v>156.6</v>
      </c>
      <c r="CK213" s="22"/>
      <c r="CN213" s="1212">
        <f>SUM(CN207:CN209)</f>
        <v>148.69999999999999</v>
      </c>
      <c r="CO213" s="22"/>
      <c r="CR213" s="1212">
        <f>SUM(CR207:CR209)</f>
        <v>195</v>
      </c>
      <c r="CS213" s="22"/>
      <c r="CT213" s="3"/>
    </row>
    <row r="214" spans="1:99" outlineLevel="1" collapsed="1">
      <c r="D214" s="1212"/>
      <c r="E214" s="1217"/>
      <c r="H214" s="1212"/>
      <c r="I214" s="1217"/>
      <c r="L214" s="1212"/>
      <c r="M214" s="1217"/>
      <c r="P214" s="1212"/>
      <c r="Q214" s="1217"/>
      <c r="T214" s="1212"/>
      <c r="U214" s="1217"/>
      <c r="X214" s="1212"/>
      <c r="Y214" s="1217"/>
      <c r="AB214" s="1212"/>
      <c r="AC214" s="22"/>
      <c r="AF214" s="1212"/>
      <c r="AG214" s="22"/>
      <c r="AJ214" s="1212"/>
      <c r="AK214" s="316"/>
      <c r="AN214" s="1212"/>
      <c r="AO214" s="22"/>
      <c r="AR214" s="1212"/>
      <c r="AS214" s="22"/>
      <c r="AT214" s="1183"/>
      <c r="AV214" s="1212"/>
      <c r="AW214" s="22"/>
      <c r="AX214" s="1183"/>
      <c r="AZ214" s="1212"/>
      <c r="BA214" s="22"/>
      <c r="BB214" s="1183"/>
      <c r="BD214" s="1212"/>
      <c r="BE214" s="22"/>
      <c r="BF214" s="1183"/>
      <c r="BH214" s="1212"/>
      <c r="BI214" s="22"/>
      <c r="BJ214" s="1183"/>
      <c r="BL214" s="1212"/>
      <c r="BM214" s="22"/>
      <c r="BN214" s="1183"/>
      <c r="BP214" s="1212"/>
      <c r="BQ214" s="22"/>
      <c r="BR214" s="1183"/>
      <c r="BT214" s="1212"/>
      <c r="BU214" s="22"/>
      <c r="BV214" s="1183"/>
      <c r="BX214" s="1212"/>
      <c r="BY214" s="22"/>
      <c r="BZ214" s="1183"/>
      <c r="CN214" s="153"/>
      <c r="CR214" s="153"/>
      <c r="CS214" s="3"/>
      <c r="CT214" s="3"/>
    </row>
    <row r="215" spans="1:99">
      <c r="AK215" s="127"/>
      <c r="AL215" s="127"/>
      <c r="AM215" s="127"/>
      <c r="AN215" s="1196"/>
      <c r="AO215" s="127"/>
      <c r="AP215" s="127"/>
      <c r="AQ215" s="127"/>
      <c r="AR215" s="1196" t="s">
        <v>348</v>
      </c>
      <c r="AS215" s="1197"/>
      <c r="AT215" s="1198"/>
      <c r="AU215" s="127"/>
      <c r="AV215" s="1197"/>
      <c r="AW215" s="1197"/>
      <c r="AX215" s="1198"/>
      <c r="AY215" s="127"/>
      <c r="AZ215" s="1197"/>
      <c r="BA215" s="1197"/>
      <c r="BB215" s="1198"/>
      <c r="BC215" s="127"/>
      <c r="BD215" s="1197"/>
      <c r="BE215" s="1197"/>
      <c r="BF215" s="1198"/>
      <c r="BG215" s="127"/>
      <c r="BH215" s="1197"/>
      <c r="BI215" s="1197"/>
      <c r="BJ215" s="1198"/>
      <c r="BK215" s="127"/>
      <c r="BL215" s="1196" t="s">
        <v>348</v>
      </c>
      <c r="BM215" s="1197"/>
      <c r="BN215" s="1198"/>
      <c r="BO215" s="127"/>
      <c r="BP215" s="1197"/>
      <c r="BQ215" s="1197"/>
      <c r="BR215" s="1198"/>
      <c r="BS215" s="127"/>
      <c r="BT215" s="1197"/>
      <c r="BU215" s="1197"/>
      <c r="BV215" s="1198"/>
      <c r="BW215" s="127"/>
      <c r="BX215" s="1197"/>
      <c r="BY215" s="1197"/>
      <c r="BZ215" s="1198"/>
      <c r="CA215" s="127"/>
      <c r="CB215" s="127"/>
      <c r="CC215" s="127"/>
      <c r="CD215" s="127"/>
      <c r="CE215" s="127"/>
      <c r="CF215" s="127"/>
      <c r="CG215" s="127"/>
      <c r="CH215" s="127"/>
      <c r="CI215" s="127"/>
      <c r="CJ215" s="127"/>
      <c r="CK215" s="127"/>
      <c r="CL215" s="127"/>
      <c r="CM215" s="127"/>
      <c r="CN215" s="127"/>
      <c r="CO215" s="127"/>
      <c r="CP215" s="127"/>
      <c r="CQ215" s="127"/>
      <c r="CR215" s="127"/>
      <c r="CS215" s="127"/>
      <c r="CT215" s="127"/>
      <c r="CU215" s="1197"/>
    </row>
    <row r="216" spans="1:99">
      <c r="AR216" s="61"/>
      <c r="AS216" s="61"/>
      <c r="AT216" s="1183"/>
      <c r="AV216" s="1349">
        <v>5.7549999999999999</v>
      </c>
      <c r="AW216" s="61"/>
      <c r="AX216" s="1183"/>
      <c r="AZ216" s="1349">
        <v>10.377000000000001</v>
      </c>
      <c r="BA216" s="61"/>
      <c r="BB216" s="1183"/>
      <c r="BD216" s="184">
        <v>0.02</v>
      </c>
      <c r="BE216" s="61"/>
      <c r="BF216" s="1183"/>
      <c r="BH216" s="61"/>
      <c r="BI216" s="61"/>
      <c r="BJ216" s="1183"/>
      <c r="BL216" s="61"/>
      <c r="BM216" s="61"/>
      <c r="BN216" s="1183"/>
      <c r="BP216" s="61"/>
      <c r="BQ216" s="61"/>
      <c r="BR216" s="1183"/>
      <c r="BT216" s="61"/>
      <c r="BU216" s="61"/>
      <c r="BV216" s="1183"/>
      <c r="BX216" s="61"/>
      <c r="BY216" s="61"/>
      <c r="BZ216" s="1183"/>
      <c r="CR216" s="3"/>
      <c r="CS216" s="3"/>
      <c r="CT216" s="3"/>
    </row>
    <row r="217" spans="1:99">
      <c r="AR217" s="61"/>
      <c r="AS217" s="61"/>
      <c r="AT217" s="1183"/>
      <c r="AV217" s="1350">
        <v>12.661</v>
      </c>
      <c r="AW217" s="61"/>
      <c r="AX217" s="1183"/>
      <c r="AZ217" s="1351">
        <v>12.976000000000001</v>
      </c>
      <c r="BA217" s="61"/>
      <c r="BB217" s="1183"/>
      <c r="BD217" s="61"/>
      <c r="BE217" s="61"/>
      <c r="BF217" s="1183"/>
      <c r="BH217" s="61">
        <v>8.4</v>
      </c>
      <c r="BI217" s="61"/>
      <c r="BJ217" s="1183"/>
      <c r="BL217" s="61"/>
      <c r="BM217" s="61"/>
      <c r="BN217" s="1183"/>
      <c r="BP217" s="61"/>
      <c r="BQ217" s="61"/>
      <c r="BR217" s="1183"/>
      <c r="BT217" s="61"/>
      <c r="BU217" s="61"/>
      <c r="BV217" s="1183"/>
      <c r="BX217" s="61"/>
      <c r="BY217" s="61"/>
      <c r="BZ217" s="1183"/>
      <c r="CR217" s="3"/>
      <c r="CS217" s="3"/>
      <c r="CT217" s="3"/>
    </row>
    <row r="218" spans="1:99">
      <c r="AR218" s="61"/>
      <c r="AS218" s="61"/>
      <c r="AT218" s="1183"/>
      <c r="AV218" s="1350">
        <v>7.1740000000000004</v>
      </c>
      <c r="AW218" s="61"/>
      <c r="AX218" s="1183"/>
      <c r="AZ218" s="1351">
        <v>2.5739999999999998</v>
      </c>
      <c r="BA218" s="61"/>
      <c r="BB218" s="1183"/>
      <c r="BD218" s="162">
        <v>-4.0000000000000001E-3</v>
      </c>
      <c r="BE218" s="61"/>
      <c r="BF218" s="1183"/>
      <c r="BH218" s="61">
        <f>15-2.012-22.515</f>
        <v>-9.527000000000001</v>
      </c>
      <c r="BI218" s="61"/>
      <c r="BJ218" s="1183"/>
      <c r="BL218" s="61"/>
      <c r="BM218" s="61"/>
      <c r="BN218" s="1183"/>
      <c r="BP218" s="61"/>
      <c r="BQ218" s="61"/>
      <c r="BR218" s="1183"/>
      <c r="BT218" s="61"/>
      <c r="BU218" s="61"/>
      <c r="BV218" s="1183"/>
      <c r="BX218" s="61"/>
      <c r="BY218" s="61"/>
      <c r="BZ218" s="1183"/>
      <c r="CR218" s="3"/>
      <c r="CS218" s="3"/>
      <c r="CT218" s="3"/>
    </row>
    <row r="219" spans="1:99">
      <c r="AR219" s="61"/>
      <c r="AS219" s="1055"/>
      <c r="AT219" s="1183"/>
      <c r="AV219" s="1352">
        <v>4.8470000000000004</v>
      </c>
      <c r="AW219" s="61"/>
      <c r="AX219" s="1183"/>
      <c r="AZ219" s="1353">
        <v>25.927</v>
      </c>
      <c r="BA219" s="61"/>
      <c r="BB219" s="1183"/>
      <c r="BD219" s="61"/>
      <c r="BE219" s="61"/>
      <c r="BF219" s="1183"/>
      <c r="BH219" s="1055"/>
      <c r="BI219" s="61"/>
      <c r="BJ219" s="1183"/>
      <c r="BL219" s="61"/>
      <c r="BM219" s="61"/>
      <c r="BN219" s="1183"/>
      <c r="BP219" s="61"/>
      <c r="BQ219" s="61"/>
      <c r="BR219" s="1183"/>
      <c r="BT219" s="61"/>
      <c r="BU219" s="61"/>
      <c r="BV219" s="1183"/>
      <c r="BX219" s="61"/>
      <c r="BY219" s="61"/>
      <c r="BZ219" s="1183"/>
      <c r="CR219" s="3"/>
      <c r="CS219" s="3"/>
      <c r="CT219" s="3"/>
    </row>
    <row r="220" spans="1:99">
      <c r="AR220" s="61"/>
      <c r="AS220" s="1354">
        <v>21.965</v>
      </c>
      <c r="AT220" s="1183"/>
      <c r="AV220" s="1354">
        <f>SUM(AV216:AV219)</f>
        <v>30.437000000000001</v>
      </c>
      <c r="AW220" s="61"/>
      <c r="AX220" s="1183"/>
      <c r="AZ220" s="1354">
        <v>27.135999999999999</v>
      </c>
      <c r="BA220" s="61"/>
      <c r="BB220" s="1183"/>
      <c r="BD220" s="61"/>
      <c r="BE220" s="61"/>
      <c r="BF220" s="1183"/>
      <c r="BH220" s="61">
        <f>BH217+BH218</f>
        <v>-1.1270000000000007</v>
      </c>
      <c r="BI220" s="61"/>
      <c r="BJ220" s="1183"/>
      <c r="BL220" s="61"/>
      <c r="BM220" s="61"/>
      <c r="BN220" s="1183"/>
      <c r="BP220" s="61"/>
      <c r="BQ220" s="61"/>
      <c r="BR220" s="1183"/>
      <c r="BT220" s="61"/>
      <c r="BU220" s="61"/>
      <c r="BV220" s="1183"/>
      <c r="BX220" s="61"/>
      <c r="BY220" s="61"/>
      <c r="BZ220" s="1183"/>
      <c r="CR220" s="3"/>
      <c r="CS220" s="3"/>
      <c r="CT220" s="3"/>
    </row>
    <row r="221" spans="1:99">
      <c r="B221" s="3" t="s">
        <v>287</v>
      </c>
      <c r="D221" s="63"/>
      <c r="E221" s="63"/>
      <c r="F221" s="63"/>
      <c r="G221" s="63"/>
      <c r="H221" s="63"/>
      <c r="I221" s="63"/>
      <c r="J221" s="63"/>
      <c r="K221" s="63"/>
      <c r="L221" s="63"/>
      <c r="M221" s="63"/>
      <c r="N221" s="63"/>
      <c r="O221" s="63"/>
      <c r="P221" s="63"/>
      <c r="Q221" s="63"/>
      <c r="R221" s="63"/>
      <c r="S221" s="63"/>
      <c r="T221" s="63"/>
      <c r="U221" s="63"/>
      <c r="V221" s="63"/>
      <c r="W221" s="63"/>
      <c r="X221" s="1212"/>
      <c r="Y221" s="1217"/>
      <c r="AB221" s="1212"/>
      <c r="AC221" s="1217"/>
      <c r="AF221" s="1212"/>
      <c r="AG221" s="1217"/>
      <c r="AJ221" s="1212"/>
      <c r="AK221" s="1217"/>
      <c r="AN221" s="1212"/>
      <c r="AO221" s="1217"/>
      <c r="AR221" s="1213"/>
      <c r="AS221" s="1221"/>
      <c r="AT221" s="1183"/>
      <c r="AV221" s="1213"/>
      <c r="AW221" s="1221"/>
      <c r="AX221" s="1183"/>
      <c r="AZ221" s="1213"/>
      <c r="BA221" s="1221"/>
      <c r="BB221" s="1183"/>
      <c r="BD221" s="1213"/>
      <c r="BE221" s="1221"/>
      <c r="BF221" s="1183"/>
      <c r="BH221" s="1355"/>
      <c r="BI221" s="1221"/>
      <c r="BJ221" s="1183"/>
      <c r="BL221" s="1213"/>
      <c r="BM221" s="1221"/>
      <c r="BN221" s="1183"/>
      <c r="BP221" s="1213"/>
      <c r="BQ221" s="1221"/>
      <c r="BR221" s="1183"/>
      <c r="BT221" s="1213"/>
      <c r="BU221" s="1221"/>
      <c r="BV221" s="1183"/>
      <c r="BX221" s="1213"/>
      <c r="BY221" s="1221"/>
      <c r="BZ221" s="1183"/>
      <c r="CR221" s="3"/>
      <c r="CS221" s="3"/>
      <c r="CT221" s="3"/>
    </row>
    <row r="222" spans="1:99">
      <c r="A222" s="3" t="s">
        <v>281</v>
      </c>
      <c r="B222" s="61" t="s">
        <v>308</v>
      </c>
      <c r="C222" s="61"/>
      <c r="D222" s="63"/>
      <c r="E222" s="63"/>
      <c r="F222" s="63"/>
      <c r="G222" s="63"/>
      <c r="H222" s="63"/>
      <c r="I222" s="63"/>
      <c r="J222" s="63"/>
      <c r="K222" s="63"/>
      <c r="L222" s="63"/>
      <c r="M222" s="63"/>
      <c r="N222" s="63"/>
      <c r="O222" s="63"/>
      <c r="P222" s="63"/>
      <c r="Q222" s="63"/>
      <c r="R222" s="63"/>
      <c r="S222" s="63"/>
      <c r="T222" s="63"/>
      <c r="U222" s="63"/>
      <c r="V222" s="63"/>
      <c r="W222" s="63"/>
      <c r="AR222" s="61"/>
      <c r="AS222" s="61"/>
      <c r="AT222" s="1183"/>
      <c r="AV222" s="61"/>
      <c r="AW222" s="61"/>
      <c r="AX222" s="1183"/>
      <c r="AZ222" s="61"/>
      <c r="BA222" s="61"/>
      <c r="BB222" s="1183"/>
      <c r="BD222" s="61"/>
      <c r="BE222" s="61"/>
      <c r="BF222" s="1183"/>
      <c r="BH222" s="61"/>
      <c r="BI222" s="61"/>
      <c r="BJ222" s="1183"/>
      <c r="BL222" s="61"/>
      <c r="BM222" s="61"/>
      <c r="BN222" s="1183"/>
      <c r="BP222" s="61"/>
      <c r="BQ222" s="61"/>
      <c r="BR222" s="1183"/>
      <c r="BT222" s="61"/>
      <c r="BU222" s="61"/>
      <c r="BV222" s="1183"/>
      <c r="BX222" s="61"/>
      <c r="BY222" s="61"/>
      <c r="BZ222" s="1183"/>
      <c r="CR222" s="3"/>
      <c r="CS222" s="3"/>
      <c r="CT222" s="3"/>
    </row>
    <row r="223" spans="1:99" ht="14.25">
      <c r="A223" s="1356"/>
      <c r="D223" s="63"/>
      <c r="E223" s="63"/>
      <c r="F223" s="63"/>
      <c r="G223" s="63"/>
      <c r="H223" s="63"/>
      <c r="I223" s="63"/>
      <c r="J223" s="63"/>
      <c r="K223" s="63"/>
      <c r="L223" s="63"/>
      <c r="M223" s="63"/>
      <c r="N223" s="63"/>
      <c r="O223" s="63"/>
      <c r="P223" s="63"/>
      <c r="Q223" s="63"/>
      <c r="R223" s="63"/>
      <c r="S223" s="63"/>
      <c r="T223" s="63"/>
      <c r="U223" s="63"/>
      <c r="V223" s="63"/>
      <c r="AR223" s="61"/>
      <c r="AS223" s="61"/>
      <c r="AT223" s="1183"/>
      <c r="AV223" s="61"/>
      <c r="AW223" s="61"/>
      <c r="AX223" s="1183"/>
      <c r="AZ223" s="61"/>
      <c r="BA223" s="61"/>
      <c r="BB223" s="1183"/>
      <c r="BD223" s="61"/>
      <c r="BE223" s="61"/>
      <c r="BF223" s="1183"/>
      <c r="BH223" s="61"/>
      <c r="BI223" s="61"/>
      <c r="BJ223" s="1183"/>
      <c r="BL223" s="61"/>
      <c r="BM223" s="61"/>
      <c r="BN223" s="1183"/>
      <c r="BP223" s="61"/>
      <c r="BQ223" s="61"/>
      <c r="BR223" s="1183"/>
      <c r="BT223" s="61"/>
      <c r="BU223" s="61"/>
      <c r="BV223" s="1183"/>
      <c r="BX223" s="61"/>
      <c r="BY223" s="61"/>
      <c r="BZ223" s="1183"/>
      <c r="CR223" s="3"/>
      <c r="CS223" s="3"/>
      <c r="CT223" s="3"/>
    </row>
    <row r="224" spans="1:99">
      <c r="A224" s="168" t="s">
        <v>114</v>
      </c>
      <c r="AR224" s="61"/>
      <c r="AS224" s="61"/>
      <c r="AT224" s="1183"/>
      <c r="AV224" s="61"/>
      <c r="AW224" s="61"/>
      <c r="AX224" s="1183"/>
      <c r="AZ224" s="61"/>
      <c r="BA224" s="61"/>
      <c r="BB224" s="1183"/>
      <c r="BD224" s="61"/>
      <c r="BE224" s="61"/>
      <c r="BF224" s="1183"/>
      <c r="BH224" s="61"/>
      <c r="BI224" s="61"/>
      <c r="BJ224" s="1183"/>
      <c r="BL224" s="61"/>
      <c r="BM224" s="61"/>
      <c r="BN224" s="1183"/>
      <c r="BP224" s="61"/>
      <c r="BQ224" s="61"/>
      <c r="BR224" s="1183"/>
      <c r="BT224" s="61"/>
      <c r="BU224" s="61"/>
      <c r="BV224" s="1183"/>
      <c r="BX224" s="61"/>
      <c r="BY224" s="61"/>
      <c r="BZ224" s="1183"/>
      <c r="CR224" s="3"/>
      <c r="CS224" s="3"/>
      <c r="CT224" s="3"/>
    </row>
    <row r="225" spans="4:99">
      <c r="AR225" s="61"/>
      <c r="AS225" s="61"/>
      <c r="AT225" s="1183"/>
      <c r="AV225" s="61"/>
      <c r="AW225" s="61"/>
      <c r="AX225" s="1183"/>
      <c r="AZ225" s="61"/>
      <c r="BA225" s="61"/>
      <c r="BB225" s="1183"/>
      <c r="BD225" s="61"/>
      <c r="BE225" s="61"/>
      <c r="BF225" s="1183"/>
      <c r="BH225" s="61"/>
      <c r="BI225" s="61"/>
      <c r="BJ225" s="1183"/>
      <c r="BL225" s="61"/>
      <c r="BM225" s="61"/>
      <c r="BN225" s="1183"/>
      <c r="BP225" s="61"/>
      <c r="BQ225" s="61"/>
      <c r="BR225" s="1183"/>
      <c r="BT225" s="61"/>
      <c r="BU225" s="61"/>
      <c r="BV225" s="1183"/>
      <c r="BX225" s="61"/>
      <c r="BY225" s="61"/>
      <c r="BZ225" s="1183"/>
    </row>
    <row r="226" spans="4:99">
      <c r="AR226" s="61"/>
      <c r="AS226" s="61"/>
      <c r="AT226" s="1183"/>
      <c r="AV226" s="61"/>
      <c r="AW226" s="61"/>
      <c r="AX226" s="1183"/>
      <c r="AZ226" s="61"/>
      <c r="BA226" s="61"/>
      <c r="BB226" s="1183"/>
      <c r="BD226" s="61"/>
      <c r="BE226" s="61"/>
      <c r="BF226" s="1183"/>
      <c r="BH226" s="61"/>
      <c r="BI226" s="61"/>
      <c r="BJ226" s="1183"/>
      <c r="BL226" s="61"/>
      <c r="BM226" s="61"/>
      <c r="BN226" s="1183"/>
      <c r="BP226" s="61"/>
      <c r="BQ226" s="61"/>
      <c r="BR226" s="1183"/>
      <c r="BT226" s="61"/>
      <c r="BU226" s="61"/>
      <c r="BV226" s="1183"/>
      <c r="BX226" s="61"/>
      <c r="BY226" s="61"/>
      <c r="BZ226" s="1183"/>
    </row>
    <row r="227" spans="4:99">
      <c r="U227" s="127"/>
      <c r="V227" s="127"/>
      <c r="W227" s="127"/>
      <c r="X227" s="1196"/>
      <c r="AK227" s="1196" t="s">
        <v>294</v>
      </c>
      <c r="AR227" s="61"/>
      <c r="AS227" s="61"/>
      <c r="AT227" s="1183"/>
      <c r="AV227" s="61"/>
      <c r="AW227" s="61"/>
      <c r="AX227" s="1183"/>
      <c r="AZ227" s="61"/>
      <c r="BA227" s="61"/>
      <c r="BB227" s="1183"/>
      <c r="BD227" s="61"/>
      <c r="BE227" s="61"/>
      <c r="BF227" s="1183"/>
      <c r="BH227" s="61"/>
      <c r="BI227" s="61"/>
      <c r="BJ227" s="1183"/>
      <c r="BL227" s="61"/>
      <c r="BM227" s="61"/>
      <c r="BN227" s="1183"/>
      <c r="BP227" s="61"/>
      <c r="BQ227" s="61"/>
      <c r="BR227" s="1183"/>
      <c r="BT227" s="61"/>
      <c r="BU227" s="61"/>
      <c r="BV227" s="1183"/>
      <c r="BX227" s="61"/>
      <c r="BY227" s="61"/>
      <c r="BZ227" s="1183"/>
    </row>
    <row r="228" spans="4:99" hidden="1" outlineLevel="1">
      <c r="D228" s="1196"/>
      <c r="E228" s="127"/>
      <c r="F228" s="127"/>
      <c r="G228" s="127"/>
      <c r="H228" s="1196"/>
      <c r="I228" s="127"/>
      <c r="J228" s="127"/>
      <c r="K228" s="127"/>
      <c r="L228" s="1196"/>
      <c r="M228" s="127"/>
      <c r="N228" s="127"/>
      <c r="O228" s="127"/>
      <c r="P228" s="1196"/>
      <c r="Q228" s="127"/>
      <c r="R228" s="127"/>
      <c r="S228" s="127"/>
      <c r="T228" s="1357"/>
      <c r="U228" s="1217">
        <f t="shared" ref="U228:U234" si="293">+U30</f>
        <v>0</v>
      </c>
      <c r="V228" s="22" t="e">
        <f t="shared" ref="V228:V234" si="294">(T228/O230-1)*100</f>
        <v>#DIV/0!</v>
      </c>
      <c r="X228" s="1357" t="e">
        <f>+X30/CoachNAqtrSalesOld!N47</f>
        <v>#DIV/0!</v>
      </c>
      <c r="Y228" s="1217">
        <f>+Y30</f>
        <v>51.050562559305959</v>
      </c>
      <c r="Z228" s="22" t="e">
        <f>(X228/#REF!-1)*100</f>
        <v>#DIV/0!</v>
      </c>
      <c r="AB228" s="1357">
        <f>+AB30/CoachNAqtrSalesOld!N54</f>
        <v>0.38573372781065085</v>
      </c>
      <c r="AC228" s="1217">
        <f>+AC30</f>
        <v>49.575269021635798</v>
      </c>
      <c r="AD228" s="22" t="e">
        <f t="shared" ref="AD228:AD234" si="295">(AB228/X228-1)*100</f>
        <v>#DIV/0!</v>
      </c>
      <c r="AF228" s="1357">
        <f>+AF30/CoachNAqtrSalesOld!N61</f>
        <v>0.40261618798955612</v>
      </c>
      <c r="AG228" s="1217">
        <f>+AG30</f>
        <v>51.161232100436628</v>
      </c>
      <c r="AH228" s="22">
        <f t="shared" ref="AH228:AH234" si="296">(AF228/AB228-1)*100</f>
        <v>4.3767135103084831</v>
      </c>
      <c r="AJ228" s="1357">
        <f>+AJ30/CoachNAqtrSalesOld!N68</f>
        <v>0.43340740740740741</v>
      </c>
      <c r="AK228" s="1217">
        <f>+AK30</f>
        <v>48.558283322354264</v>
      </c>
      <c r="AL228" s="22">
        <f t="shared" ref="AL228:AL234" si="297">(AJ228/AF228-1)*100</f>
        <v>7.6477847479520689</v>
      </c>
      <c r="AN228" s="1357">
        <f>+AN30/CoachNAqtrSalesOld!N75</f>
        <v>0.49377494692144375</v>
      </c>
      <c r="AO228" s="1217">
        <f>+AO30</f>
        <v>45.005902273826806</v>
      </c>
      <c r="AP228" s="22">
        <f t="shared" ref="AP228:AP234" si="298">(AN228/AJ228-1)*100</f>
        <v>13.928589701580773</v>
      </c>
      <c r="AR228" s="1349">
        <f>+AR30/CoachNAqtrSalesOld!N82</f>
        <v>0.61810588235294117</v>
      </c>
      <c r="AS228" s="1221">
        <f>+AS30</f>
        <v>45.810239344309942</v>
      </c>
      <c r="AT228" s="22">
        <f t="shared" ref="AT228:AT234" si="299">(AR228/AN228-1)*100</f>
        <v>25.179676734647629</v>
      </c>
      <c r="AV228" s="1349">
        <f>+AV30/CoachNAqtrSalesOld!N89</f>
        <v>0.69588550983899822</v>
      </c>
      <c r="AW228" s="1221">
        <f>+AW30</f>
        <v>44.815668202764975</v>
      </c>
      <c r="AX228" s="316">
        <f t="shared" ref="AX228:AX234" si="300">(AV228/AR228-1)*100</f>
        <v>12.583544293410331</v>
      </c>
      <c r="AY228" s="22"/>
      <c r="AZ228" s="1349" t="e">
        <f>+AZ30/CoachNAqtrSalesOld!#REF!</f>
        <v>#REF!</v>
      </c>
      <c r="BA228" s="1221">
        <f>+BA30</f>
        <v>42.565557467497506</v>
      </c>
      <c r="BB228" s="316" t="e">
        <f t="shared" ref="BB228:BB234" si="301">(AZ228/AV228-1)*100</f>
        <v>#REF!</v>
      </c>
      <c r="BC228" s="22"/>
      <c r="BD228" s="1349" t="e">
        <f>+BD30/CoachNAqtrSalesOld!#REF!</f>
        <v>#REF!</v>
      </c>
      <c r="BE228" s="1221">
        <f>+BE30</f>
        <v>41.296817876870428</v>
      </c>
      <c r="BF228" s="316" t="e">
        <f t="shared" ref="BF228:BF234" si="302">(BD228/AZ228-1)*100</f>
        <v>#REF!</v>
      </c>
      <c r="BG228" s="22"/>
      <c r="BH228" s="1349" t="e">
        <f>+BH30/CoachNAqtrSalesOld!#REF!</f>
        <v>#REF!</v>
      </c>
      <c r="BI228" s="1221">
        <f>+BI30</f>
        <v>43.148769017539522</v>
      </c>
      <c r="BJ228" s="316" t="e">
        <f t="shared" ref="BJ228:BJ234" si="303">(BH228/BD228-1)*100</f>
        <v>#REF!</v>
      </c>
      <c r="BK228" s="22"/>
      <c r="BL228" s="1349" t="e">
        <f>+BL30/CoachNAqtrSalesOld!#REF!</f>
        <v>#REF!</v>
      </c>
      <c r="BM228" s="1221">
        <f>+BM30</f>
        <v>42.936053803532005</v>
      </c>
      <c r="BN228" s="316" t="e">
        <f t="shared" ref="BN228:BN234" si="304">(BL228/BI228-1)*100</f>
        <v>#REF!</v>
      </c>
      <c r="BO228" s="22"/>
      <c r="BP228" s="1349" t="e">
        <f>+BP30/CoachNAqtrSalesOld!#REF!</f>
        <v>#REF!</v>
      </c>
      <c r="BQ228" s="1221">
        <f>+BQ30</f>
        <v>42.83473497508416</v>
      </c>
      <c r="BR228" s="316" t="e">
        <f t="shared" ref="BR228:BR234" si="305">(BP228/BN228-1)*100</f>
        <v>#REF!</v>
      </c>
      <c r="BS228" s="22"/>
      <c r="BT228" s="1349" t="e">
        <f>+BT30/CoachNAqtrSalesOld!#REF!</f>
        <v>#REF!</v>
      </c>
      <c r="BU228" s="1221">
        <f>+BU30</f>
        <v>42.146256660817876</v>
      </c>
      <c r="BV228" s="316" t="e">
        <f t="shared" ref="BV228:BV234" si="306">(BT228/BR228-1)*100</f>
        <v>#REF!</v>
      </c>
      <c r="BW228" s="22"/>
      <c r="BX228" s="1349" t="e">
        <f>+BX30/CoachNAqtrSalesOld!#REF!</f>
        <v>#REF!</v>
      </c>
      <c r="BY228" s="1221">
        <f>+BY30</f>
        <v>44.211564127954539</v>
      </c>
      <c r="BZ228" s="316" t="e">
        <f t="shared" ref="BZ228:BZ234" si="307">(BX228/BV228-1)*100</f>
        <v>#REF!</v>
      </c>
      <c r="CA228" s="22"/>
      <c r="CB228" s="22"/>
      <c r="CC228" s="22"/>
      <c r="CD228" s="22"/>
      <c r="CE228" s="22"/>
      <c r="CF228" s="22"/>
      <c r="CG228" s="22"/>
      <c r="CH228" s="22"/>
      <c r="CI228" s="22"/>
      <c r="CJ228" s="22"/>
      <c r="CK228" s="22"/>
      <c r="CL228" s="22"/>
      <c r="CM228" s="22"/>
      <c r="CN228" s="22"/>
      <c r="CO228" s="22"/>
      <c r="CP228" s="22"/>
      <c r="CQ228" s="22"/>
      <c r="CR228" s="316"/>
      <c r="CS228" s="316"/>
      <c r="CT228" s="316"/>
      <c r="CU228" s="316"/>
    </row>
    <row r="229" spans="4:99" hidden="1" outlineLevel="1">
      <c r="T229" s="1104"/>
      <c r="U229" s="1217">
        <f t="shared" si="293"/>
        <v>0</v>
      </c>
      <c r="V229" s="22" t="e">
        <f t="shared" si="294"/>
        <v>#DIV/0!</v>
      </c>
      <c r="X229" s="1104" t="e">
        <f>+X31/CoachNAqtrSalesOld!N48</f>
        <v>#DIV/0!</v>
      </c>
      <c r="Y229" s="1217">
        <f t="shared" ref="Y229:Y234" si="308">+Y31</f>
        <v>41.037871919558235</v>
      </c>
      <c r="Z229" s="22" t="e">
        <f>(X229/#REF!-1)*100</f>
        <v>#DIV/0!</v>
      </c>
      <c r="AB229" s="1104">
        <f>+AB31/CoachNAqtrSalesOld!N55</f>
        <v>0.41994413407821229</v>
      </c>
      <c r="AC229" s="1217">
        <f t="shared" ref="AC229:AC234" si="309">+AC31</f>
        <v>35.620865477566959</v>
      </c>
      <c r="AD229" s="22" t="e">
        <f t="shared" si="295"/>
        <v>#DIV/0!</v>
      </c>
      <c r="AF229" s="1104">
        <f>+AF31/CoachNAqtrSalesOld!N62</f>
        <v>0.46068844221105532</v>
      </c>
      <c r="AG229" s="1217">
        <f t="shared" ref="AG229:AG234" si="310">+AG31</f>
        <v>38.88738069989396</v>
      </c>
      <c r="AH229" s="22">
        <f t="shared" si="296"/>
        <v>9.7023162907794447</v>
      </c>
      <c r="AJ229" s="1104">
        <f>+AJ31/CoachNAqtrSalesOld!N69</f>
        <v>0.51229596412556055</v>
      </c>
      <c r="AK229" s="1217">
        <f t="shared" ref="AK229:AK234" si="311">+AK31</f>
        <v>37.028681816266534</v>
      </c>
      <c r="AL229" s="22">
        <f t="shared" si="297"/>
        <v>11.20226104801263</v>
      </c>
      <c r="AN229" s="1104">
        <f>+AN31/CoachNAqtrSalesOld!N76</f>
        <v>0.60057796257796259</v>
      </c>
      <c r="AO229" s="1217">
        <f t="shared" ref="AO229:AO234" si="312">+AO31</f>
        <v>35.09949867926408</v>
      </c>
      <c r="AP229" s="22">
        <f t="shared" si="298"/>
        <v>17.232616423807045</v>
      </c>
      <c r="AR229" s="1350">
        <f>+AR31/CoachNAqtrSalesOld!N83</f>
        <v>0.72805323193916349</v>
      </c>
      <c r="AS229" s="1221">
        <f t="shared" ref="AS229:AS234" si="313">+AS31</f>
        <v>36.008417346956044</v>
      </c>
      <c r="AT229" s="22">
        <f t="shared" si="299"/>
        <v>21.225432384168275</v>
      </c>
      <c r="AV229" s="1350">
        <f>+AV31/CoachNAqtrSalesOld!N90</f>
        <v>0.80035026269702281</v>
      </c>
      <c r="AW229" s="1221">
        <f t="shared" ref="AW229:AW234" si="314">+AW31</f>
        <v>36.866731203614073</v>
      </c>
      <c r="AX229" s="316">
        <f t="shared" si="300"/>
        <v>9.9301847153808751</v>
      </c>
      <c r="AY229" s="22"/>
      <c r="AZ229" s="1350" t="e">
        <f>+AZ31/CoachNAqtrSalesOld!#REF!</f>
        <v>#REF!</v>
      </c>
      <c r="BA229" s="1221">
        <f t="shared" ref="BA229:BA234" si="315">+BA31</f>
        <v>34.828569407015614</v>
      </c>
      <c r="BB229" s="316" t="e">
        <f t="shared" si="301"/>
        <v>#REF!</v>
      </c>
      <c r="BC229" s="22"/>
      <c r="BD229" s="1350" t="e">
        <f>+BD31/CoachNAqtrSalesOld!#REF!</f>
        <v>#REF!</v>
      </c>
      <c r="BE229" s="1221">
        <f t="shared" ref="BE229:BE234" si="316">+BE31</f>
        <v>34.172105392851044</v>
      </c>
      <c r="BF229" s="316" t="e">
        <f t="shared" si="302"/>
        <v>#REF!</v>
      </c>
      <c r="BG229" s="22"/>
      <c r="BH229" s="1350" t="e">
        <f>+BH31/CoachNAqtrSalesOld!#REF!</f>
        <v>#REF!</v>
      </c>
      <c r="BI229" s="1221">
        <f t="shared" ref="BI229:BI234" si="317">+BI31</f>
        <v>35.789726906158357</v>
      </c>
      <c r="BJ229" s="316" t="e">
        <f t="shared" si="303"/>
        <v>#REF!</v>
      </c>
      <c r="BK229" s="22"/>
      <c r="BL229" s="1350" t="e">
        <f>+BL31/CoachNAqtrSalesOld!#REF!</f>
        <v>#REF!</v>
      </c>
      <c r="BM229" s="1221">
        <f t="shared" ref="BM229:BM234" si="318">+BM31</f>
        <v>36.62912380693048</v>
      </c>
      <c r="BN229" s="316" t="e">
        <f t="shared" si="304"/>
        <v>#REF!</v>
      </c>
      <c r="BO229" s="22"/>
      <c r="BP229" s="1350" t="e">
        <f>+BP31/CoachNAqtrSalesOld!#REF!</f>
        <v>#REF!</v>
      </c>
      <c r="BQ229" s="1221">
        <f t="shared" ref="BQ229:BQ234" si="319">+BQ31</f>
        <v>36.524848215479054</v>
      </c>
      <c r="BR229" s="316" t="e">
        <f t="shared" si="305"/>
        <v>#REF!</v>
      </c>
      <c r="BS229" s="22"/>
      <c r="BT229" s="1350" t="e">
        <f>+BT31/CoachNAqtrSalesOld!#REF!</f>
        <v>#REF!</v>
      </c>
      <c r="BU229" s="1221">
        <f t="shared" ref="BU229:BU234" si="320">+BU31</f>
        <v>36.17439421143424</v>
      </c>
      <c r="BV229" s="316" t="e">
        <f t="shared" si="306"/>
        <v>#REF!</v>
      </c>
      <c r="BW229" s="22"/>
      <c r="BX229" s="1350" t="e">
        <f>+BX31/CoachNAqtrSalesOld!#REF!</f>
        <v>#REF!</v>
      </c>
      <c r="BY229" s="1221">
        <f t="shared" ref="BY229:BY234" si="321">+BY31</f>
        <v>37.160171674733036</v>
      </c>
      <c r="BZ229" s="316" t="e">
        <f t="shared" si="307"/>
        <v>#REF!</v>
      </c>
      <c r="CA229" s="22"/>
      <c r="CB229" s="22"/>
      <c r="CC229" s="22"/>
      <c r="CD229" s="22"/>
      <c r="CE229" s="22"/>
      <c r="CF229" s="22"/>
      <c r="CG229" s="22"/>
      <c r="CH229" s="22"/>
      <c r="CI229" s="22"/>
      <c r="CJ229" s="22"/>
      <c r="CK229" s="22"/>
      <c r="CL229" s="22"/>
      <c r="CM229" s="22"/>
      <c r="CN229" s="22"/>
      <c r="CO229" s="22"/>
      <c r="CP229" s="22"/>
      <c r="CQ229" s="22"/>
      <c r="CR229" s="316"/>
      <c r="CS229" s="316"/>
      <c r="CT229" s="316"/>
      <c r="CU229" s="316"/>
    </row>
    <row r="230" spans="4:99" hidden="1" outlineLevel="1">
      <c r="T230" s="1104"/>
      <c r="U230" s="1217">
        <f t="shared" si="293"/>
        <v>0</v>
      </c>
      <c r="V230" s="22" t="e">
        <f t="shared" si="294"/>
        <v>#DIV/0!</v>
      </c>
      <c r="X230" s="1104" t="e">
        <f>+X32/CoachNAqtrSalesOld!N49</f>
        <v>#DIV/0!</v>
      </c>
      <c r="Y230" s="1217">
        <f t="shared" si="308"/>
        <v>57.153781979977744</v>
      </c>
      <c r="Z230" s="22" t="e">
        <f>(X230/#REF!-1)*100</f>
        <v>#DIV/0!</v>
      </c>
      <c r="AB230" s="1104">
        <f>+AB32/CoachNAqtrSalesOld!N56</f>
        <v>0.3792701949860724</v>
      </c>
      <c r="AC230" s="1217">
        <f t="shared" si="309"/>
        <v>54.153873076984262</v>
      </c>
      <c r="AD230" s="22" t="e">
        <f t="shared" si="295"/>
        <v>#DIV/0!</v>
      </c>
      <c r="AF230" s="1104">
        <f>+AF32/CoachNAqtrSalesOld!N63</f>
        <v>0.42728117359413204</v>
      </c>
      <c r="AG230" s="1217">
        <f t="shared" si="310"/>
        <v>54.080868472683839</v>
      </c>
      <c r="AH230" s="22">
        <f t="shared" si="296"/>
        <v>12.658779741398529</v>
      </c>
      <c r="AJ230" s="1104">
        <f>+AJ32/CoachNAqtrSalesOld!N70</f>
        <v>0.47476718403547674</v>
      </c>
      <c r="AK230" s="1217">
        <f t="shared" si="311"/>
        <v>48.576199205067248</v>
      </c>
      <c r="AL230" s="22">
        <f t="shared" si="297"/>
        <v>11.11352743251237</v>
      </c>
      <c r="AN230" s="1104">
        <f>+AN32/CoachNAqtrSalesOld!N77</f>
        <v>0.56233744855967072</v>
      </c>
      <c r="AO230" s="1217">
        <f t="shared" si="312"/>
        <v>43.647328258904473</v>
      </c>
      <c r="AP230" s="22">
        <f t="shared" si="298"/>
        <v>18.444885718480975</v>
      </c>
      <c r="AR230" s="1350">
        <f>+AR32/CoachNAqtrSalesOld!N84</f>
        <v>0.72307142857142848</v>
      </c>
      <c r="AS230" s="1221">
        <f t="shared" si="313"/>
        <v>46.241636393798125</v>
      </c>
      <c r="AT230" s="22">
        <f t="shared" si="299"/>
        <v>28.583189759716298</v>
      </c>
      <c r="AV230" s="1350">
        <f>+AV32/CoachNAqtrSalesOld!N91</f>
        <v>0.77131022530329285</v>
      </c>
      <c r="AW230" s="1221">
        <f t="shared" si="314"/>
        <v>46.386210231844537</v>
      </c>
      <c r="AX230" s="316">
        <f t="shared" si="300"/>
        <v>6.6713736466077478</v>
      </c>
      <c r="AY230" s="22"/>
      <c r="AZ230" s="1350" t="e">
        <f>+AZ32/CoachNAqtrSalesOld!N179</f>
        <v>#DIV/0!</v>
      </c>
      <c r="BA230" s="1221">
        <f t="shared" si="315"/>
        <v>41.545138916653208</v>
      </c>
      <c r="BB230" s="316" t="e">
        <f t="shared" si="301"/>
        <v>#DIV/0!</v>
      </c>
      <c r="BC230" s="22"/>
      <c r="BD230" s="1350" t="e">
        <f>+BD32/CoachNAqtrSalesOld!R179</f>
        <v>#DIV/0!</v>
      </c>
      <c r="BE230" s="1221">
        <f t="shared" si="316"/>
        <v>40.512704795828725</v>
      </c>
      <c r="BF230" s="316" t="e">
        <f t="shared" si="302"/>
        <v>#DIV/0!</v>
      </c>
      <c r="BG230" s="22"/>
      <c r="BH230" s="1350" t="e">
        <f>+BH32/CoachNAqtrSalesOld!W179</f>
        <v>#DIV/0!</v>
      </c>
      <c r="BI230" s="1221">
        <f t="shared" si="317"/>
        <v>44.096337671078295</v>
      </c>
      <c r="BJ230" s="316" t="e">
        <f t="shared" si="303"/>
        <v>#DIV/0!</v>
      </c>
      <c r="BK230" s="22"/>
      <c r="BL230" s="1350" t="e">
        <f>+BL32/CoachNAqtrSalesOld!Z179</f>
        <v>#DIV/0!</v>
      </c>
      <c r="BM230" s="1221">
        <f t="shared" si="318"/>
        <v>44.115405775344932</v>
      </c>
      <c r="BN230" s="316" t="e">
        <f t="shared" si="304"/>
        <v>#DIV/0!</v>
      </c>
      <c r="BO230" s="22"/>
      <c r="BP230" s="1350" t="e">
        <f>+BP32/CoachNAqtrSalesOld!AK179</f>
        <v>#DIV/0!</v>
      </c>
      <c r="BQ230" s="1221">
        <f t="shared" si="319"/>
        <v>43.350941300465124</v>
      </c>
      <c r="BR230" s="316" t="e">
        <f t="shared" si="305"/>
        <v>#DIV/0!</v>
      </c>
      <c r="BS230" s="22"/>
      <c r="BT230" s="1350" t="e">
        <f>+BT32/CoachNAqtrSalesOld!AO179</f>
        <v>#DIV/0!</v>
      </c>
      <c r="BU230" s="1221">
        <f t="shared" si="320"/>
        <v>43.334827197219788</v>
      </c>
      <c r="BV230" s="316" t="e">
        <f t="shared" si="306"/>
        <v>#DIV/0!</v>
      </c>
      <c r="BW230" s="22"/>
      <c r="BX230" s="1350" t="e">
        <f>+BX32/CoachNAqtrSalesOld!AS179</f>
        <v>#DIV/0!</v>
      </c>
      <c r="BY230" s="1221">
        <f t="shared" si="321"/>
        <v>44.771375017051518</v>
      </c>
      <c r="BZ230" s="316" t="e">
        <f t="shared" si="307"/>
        <v>#DIV/0!</v>
      </c>
      <c r="CA230" s="22"/>
      <c r="CB230" s="22"/>
      <c r="CC230" s="22"/>
      <c r="CD230" s="22"/>
      <c r="CE230" s="22"/>
      <c r="CF230" s="22"/>
      <c r="CG230" s="22"/>
      <c r="CH230" s="22"/>
      <c r="CI230" s="22"/>
      <c r="CJ230" s="22"/>
      <c r="CK230" s="22"/>
      <c r="CL230" s="22"/>
      <c r="CM230" s="22"/>
      <c r="CN230" s="22"/>
      <c r="CO230" s="22"/>
      <c r="CP230" s="22"/>
      <c r="CQ230" s="22"/>
      <c r="CR230" s="316"/>
      <c r="CS230" s="316"/>
      <c r="CT230" s="316"/>
      <c r="CU230" s="316"/>
    </row>
    <row r="231" spans="4:99" hidden="1" outlineLevel="1">
      <c r="T231" s="1358"/>
      <c r="U231" s="1217">
        <f t="shared" si="293"/>
        <v>0</v>
      </c>
      <c r="V231" s="22" t="e">
        <f t="shared" si="294"/>
        <v>#DIV/0!</v>
      </c>
      <c r="X231" s="1358" t="e">
        <f>+X33/CoachNAqtrSalesOld!N50</f>
        <v>#DIV/0!</v>
      </c>
      <c r="Y231" s="1217">
        <f t="shared" si="308"/>
        <v>55.163289121180746</v>
      </c>
      <c r="Z231" s="22" t="e">
        <f>(X231/#REF!-1)*100</f>
        <v>#DIV/0!</v>
      </c>
      <c r="AB231" s="1358">
        <f>+AB33/CoachNAqtrSalesOld!N57</f>
        <v>0.36471002710027101</v>
      </c>
      <c r="AC231" s="1217">
        <f t="shared" si="309"/>
        <v>50.878612367111778</v>
      </c>
      <c r="AD231" s="22" t="e">
        <f t="shared" si="295"/>
        <v>#DIV/0!</v>
      </c>
      <c r="AF231" s="1358">
        <f>+AF33/CoachNAqtrSalesOld!N64</f>
        <v>0.43259952038369304</v>
      </c>
      <c r="AG231" s="1217">
        <f t="shared" si="310"/>
        <v>52.629828451394566</v>
      </c>
      <c r="AH231" s="22">
        <f t="shared" si="296"/>
        <v>18.614649512983348</v>
      </c>
      <c r="AJ231" s="1358">
        <f>+AJ33/CoachNAqtrSalesOld!N71</f>
        <v>0.51968927789934349</v>
      </c>
      <c r="AK231" s="1217">
        <f t="shared" si="311"/>
        <v>51.291919348986681</v>
      </c>
      <c r="AL231" s="22">
        <f t="shared" si="297"/>
        <v>20.131727709361869</v>
      </c>
      <c r="AN231" s="1358">
        <f>+AN33/CoachNAqtrSalesOld!N78</f>
        <v>0.60018623481781386</v>
      </c>
      <c r="AO231" s="1217">
        <f t="shared" si="312"/>
        <v>43.840955802983935</v>
      </c>
      <c r="AP231" s="22">
        <f t="shared" si="298"/>
        <v>15.489439621277224</v>
      </c>
      <c r="AR231" s="1352">
        <f>+AR33/CoachNAqtrSalesOld!N85</f>
        <v>0.72745286506469509</v>
      </c>
      <c r="AS231" s="1221">
        <f t="shared" si="313"/>
        <v>47.001385372378543</v>
      </c>
      <c r="AT231" s="22">
        <f t="shared" si="299"/>
        <v>21.204523340245029</v>
      </c>
      <c r="AV231" s="1352">
        <f>+AV33/CoachNAqtrSalesOld!N92</f>
        <v>0.74527946127946132</v>
      </c>
      <c r="AW231" s="1221">
        <f t="shared" si="314"/>
        <v>44.130764614522718</v>
      </c>
      <c r="AX231" s="316">
        <f t="shared" si="300"/>
        <v>2.4505500041134498</v>
      </c>
      <c r="AY231" s="22"/>
      <c r="AZ231" s="1352" t="e">
        <f>+AZ33/CoachNAqtrSalesOld!N180</f>
        <v>#DIV/0!</v>
      </c>
      <c r="BA231" s="1221">
        <f t="shared" si="315"/>
        <v>40.463619927959037</v>
      </c>
      <c r="BB231" s="316" t="e">
        <f t="shared" si="301"/>
        <v>#DIV/0!</v>
      </c>
      <c r="BC231" s="22"/>
      <c r="BD231" s="1352" t="e">
        <f>+BD33/CoachNAqtrSalesOld!R180</f>
        <v>#DIV/0!</v>
      </c>
      <c r="BE231" s="1221">
        <f t="shared" si="316"/>
        <v>39.996928982725535</v>
      </c>
      <c r="BF231" s="316" t="e">
        <f t="shared" si="302"/>
        <v>#DIV/0!</v>
      </c>
      <c r="BG231" s="22"/>
      <c r="BH231" s="1352" t="e">
        <f>+BH33/CoachNAqtrSalesOld!W180</f>
        <v>#DIV/0!</v>
      </c>
      <c r="BI231" s="1221">
        <f t="shared" si="317"/>
        <v>42.12581517825916</v>
      </c>
      <c r="BJ231" s="316" t="e">
        <f t="shared" si="303"/>
        <v>#DIV/0!</v>
      </c>
      <c r="BK231" s="22"/>
      <c r="BL231" s="1352" t="e">
        <f>+BL33/CoachNAqtrSalesOld!Z180</f>
        <v>#DIV/0!</v>
      </c>
      <c r="BM231" s="1221">
        <f t="shared" si="318"/>
        <v>42.08558428237027</v>
      </c>
      <c r="BN231" s="316" t="e">
        <f t="shared" si="304"/>
        <v>#DIV/0!</v>
      </c>
      <c r="BO231" s="22"/>
      <c r="BP231" s="1352" t="e">
        <f>+BP33/CoachNAqtrSalesOld!AK180</f>
        <v>#DIV/0!</v>
      </c>
      <c r="BQ231" s="1221">
        <f t="shared" si="319"/>
        <v>41.529260668330629</v>
      </c>
      <c r="BR231" s="316" t="e">
        <f t="shared" si="305"/>
        <v>#DIV/0!</v>
      </c>
      <c r="BS231" s="22"/>
      <c r="BT231" s="1352" t="e">
        <f>+BT33/CoachNAqtrSalesOld!AO180</f>
        <v>#DIV/0!</v>
      </c>
      <c r="BU231" s="1221">
        <f t="shared" si="320"/>
        <v>40.476250247794518</v>
      </c>
      <c r="BV231" s="316" t="e">
        <f t="shared" si="306"/>
        <v>#DIV/0!</v>
      </c>
      <c r="BW231" s="22"/>
      <c r="BX231" s="1352" t="e">
        <f>+BX33/CoachNAqtrSalesOld!AS180</f>
        <v>#DIV/0!</v>
      </c>
      <c r="BY231" s="1221">
        <f t="shared" si="321"/>
        <v>42.631807951006294</v>
      </c>
      <c r="BZ231" s="316" t="e">
        <f t="shared" si="307"/>
        <v>#DIV/0!</v>
      </c>
      <c r="CA231" s="22"/>
      <c r="CB231" s="22"/>
      <c r="CC231" s="22"/>
      <c r="CD231" s="22"/>
      <c r="CE231" s="22"/>
      <c r="CF231" s="22"/>
      <c r="CG231" s="22"/>
      <c r="CH231" s="22"/>
      <c r="CI231" s="22"/>
      <c r="CJ231" s="22"/>
      <c r="CK231" s="22"/>
      <c r="CL231" s="22"/>
      <c r="CM231" s="22"/>
      <c r="CN231" s="22"/>
      <c r="CO231" s="22"/>
      <c r="CP231" s="22"/>
      <c r="CQ231" s="22"/>
      <c r="CR231" s="316"/>
      <c r="CS231" s="316"/>
      <c r="CT231" s="316"/>
      <c r="CU231" s="316"/>
    </row>
    <row r="232" spans="4:99" hidden="1" outlineLevel="1">
      <c r="T232" s="584">
        <f>SUM(T228:T231)</f>
        <v>0</v>
      </c>
      <c r="U232" s="1217">
        <f t="shared" si="293"/>
        <v>49.540667220288093</v>
      </c>
      <c r="V232" s="22" t="e">
        <f t="shared" si="294"/>
        <v>#DIV/0!</v>
      </c>
      <c r="X232" s="584" t="e">
        <f>SUM(X228:X231)</f>
        <v>#DIV/0!</v>
      </c>
      <c r="Y232" s="1217">
        <f t="shared" si="308"/>
        <v>49.700683890854371</v>
      </c>
      <c r="Z232" s="22" t="e">
        <f>(X232/#REF!-1)*100</f>
        <v>#DIV/0!</v>
      </c>
      <c r="AB232" s="584">
        <f>SUM(AB228:AB231)</f>
        <v>1.5496580839752065</v>
      </c>
      <c r="AC232" s="1217">
        <f t="shared" si="309"/>
        <v>45.916924649994748</v>
      </c>
      <c r="AD232" s="22" t="e">
        <f t="shared" si="295"/>
        <v>#DIV/0!</v>
      </c>
      <c r="AF232" s="584">
        <f>SUM(AF228:AF231)</f>
        <v>1.7231853241784365</v>
      </c>
      <c r="AG232" s="1217">
        <f t="shared" si="310"/>
        <v>48.144642154675473</v>
      </c>
      <c r="AH232" s="22">
        <f t="shared" si="296"/>
        <v>11.197775947975263</v>
      </c>
      <c r="AJ232" s="584">
        <f>SUM(AJ228:AJ231)</f>
        <v>1.9401598334677881</v>
      </c>
      <c r="AK232" s="1217">
        <f t="shared" si="311"/>
        <v>45.494667581454976</v>
      </c>
      <c r="AL232" s="22">
        <f t="shared" si="297"/>
        <v>12.591478481445328</v>
      </c>
      <c r="AN232" s="584">
        <f>SUM(AN228:AN231)</f>
        <v>2.2568765928768908</v>
      </c>
      <c r="AO232" s="1217">
        <f t="shared" si="312"/>
        <v>41.300016804102022</v>
      </c>
      <c r="AP232" s="22">
        <f t="shared" si="298"/>
        <v>16.324261225582216</v>
      </c>
      <c r="AR232" s="1354">
        <f>SUM(AR228:AR231)</f>
        <v>2.7966834079282283</v>
      </c>
      <c r="AS232" s="1221">
        <f t="shared" si="313"/>
        <v>43.159382211300944</v>
      </c>
      <c r="AT232" s="22">
        <f t="shared" si="299"/>
        <v>23.918313334236572</v>
      </c>
      <c r="AV232" s="1354">
        <f>SUM(AV228:AV231)</f>
        <v>3.0128254591187749</v>
      </c>
      <c r="AW232" s="1221">
        <f t="shared" si="314"/>
        <v>42.596178745815308</v>
      </c>
      <c r="AX232" s="316">
        <f t="shared" si="300"/>
        <v>7.7285133732982514</v>
      </c>
      <c r="AY232" s="22"/>
      <c r="AZ232" s="1354" t="e">
        <f>SUM(AZ228:AZ231)</f>
        <v>#REF!</v>
      </c>
      <c r="BA232" s="1221">
        <f t="shared" si="315"/>
        <v>39.410769023478295</v>
      </c>
      <c r="BB232" s="316" t="e">
        <f t="shared" si="301"/>
        <v>#REF!</v>
      </c>
      <c r="BC232" s="22"/>
      <c r="BD232" s="1354" t="e">
        <f>SUM(BD228:BD231)</f>
        <v>#REF!</v>
      </c>
      <c r="BE232" s="1221">
        <f t="shared" si="316"/>
        <v>38.603200433104448</v>
      </c>
      <c r="BF232" s="316" t="e">
        <f t="shared" si="302"/>
        <v>#REF!</v>
      </c>
      <c r="BG232" s="22"/>
      <c r="BH232" s="1354" t="e">
        <f>SUM(BH228:BH231)</f>
        <v>#REF!</v>
      </c>
      <c r="BI232" s="1221">
        <f t="shared" si="317"/>
        <v>40.932056903210309</v>
      </c>
      <c r="BJ232" s="316" t="e">
        <f t="shared" si="303"/>
        <v>#REF!</v>
      </c>
      <c r="BK232" s="22"/>
      <c r="BL232" s="1354" t="e">
        <f>SUM(BL228:BL231)</f>
        <v>#REF!</v>
      </c>
      <c r="BM232" s="1221">
        <f t="shared" si="318"/>
        <v>41.121665267782006</v>
      </c>
      <c r="BN232" s="316" t="e">
        <f t="shared" si="304"/>
        <v>#REF!</v>
      </c>
      <c r="BO232" s="22"/>
      <c r="BP232" s="1354" t="e">
        <f>SUM(BP228:BP231)</f>
        <v>#REF!</v>
      </c>
      <c r="BQ232" s="1221">
        <f t="shared" si="319"/>
        <v>40.710259715806664</v>
      </c>
      <c r="BR232" s="316" t="e">
        <f t="shared" si="305"/>
        <v>#REF!</v>
      </c>
      <c r="BS232" s="22"/>
      <c r="BT232" s="1354" t="e">
        <f>SUM(BT228:BT231)</f>
        <v>#REF!</v>
      </c>
      <c r="BU232" s="1221">
        <f t="shared" si="320"/>
        <v>40.201713980995891</v>
      </c>
      <c r="BV232" s="316" t="e">
        <f t="shared" si="306"/>
        <v>#REF!</v>
      </c>
      <c r="BW232" s="22"/>
      <c r="BX232" s="1354" t="e">
        <f>SUM(BX228:BX231)</f>
        <v>#REF!</v>
      </c>
      <c r="BY232" s="1221">
        <f t="shared" si="321"/>
        <v>41.872742784298353</v>
      </c>
      <c r="BZ232" s="316" t="e">
        <f t="shared" si="307"/>
        <v>#REF!</v>
      </c>
      <c r="CA232" s="22"/>
      <c r="CB232" s="22"/>
      <c r="CC232" s="22"/>
      <c r="CD232" s="22"/>
      <c r="CE232" s="22"/>
      <c r="CF232" s="22"/>
      <c r="CG232" s="22"/>
      <c r="CH232" s="22"/>
      <c r="CI232" s="22"/>
      <c r="CJ232" s="22"/>
      <c r="CK232" s="22"/>
      <c r="CL232" s="22"/>
      <c r="CM232" s="22"/>
      <c r="CN232" s="22"/>
      <c r="CO232" s="22"/>
      <c r="CP232" s="22"/>
      <c r="CQ232" s="22"/>
      <c r="CR232" s="316"/>
      <c r="CS232" s="316"/>
      <c r="CT232" s="316"/>
      <c r="CU232" s="316"/>
    </row>
    <row r="233" spans="4:99" hidden="1" outlineLevel="1">
      <c r="T233" s="1359">
        <f>SUM(T228:T229)</f>
        <v>0</v>
      </c>
      <c r="U233" s="1217">
        <f t="shared" si="293"/>
        <v>0</v>
      </c>
      <c r="V233" s="22" t="e">
        <f t="shared" si="294"/>
        <v>#DIV/0!</v>
      </c>
      <c r="X233" s="1359" t="e">
        <f>SUM(X228:X229)</f>
        <v>#DIV/0!</v>
      </c>
      <c r="Y233" s="1217">
        <f t="shared" si="308"/>
        <v>44.823808303434134</v>
      </c>
      <c r="Z233" s="22" t="e">
        <f>(X233/#REF!-1)*100</f>
        <v>#DIV/0!</v>
      </c>
      <c r="AB233" s="1359">
        <f>SUM(AB228:AB229)</f>
        <v>0.80567786188886314</v>
      </c>
      <c r="AC233" s="1217">
        <f t="shared" si="309"/>
        <v>40.977978121177259</v>
      </c>
      <c r="AD233" s="22" t="e">
        <f t="shared" si="295"/>
        <v>#DIV/0!</v>
      </c>
      <c r="AF233" s="1359">
        <f>SUM(AF228:AF229)</f>
        <v>0.86330463020061143</v>
      </c>
      <c r="AG233" s="1217">
        <f t="shared" si="310"/>
        <v>43.673729208284605</v>
      </c>
      <c r="AH233" s="22">
        <f t="shared" si="296"/>
        <v>7.1525818242846873</v>
      </c>
      <c r="AJ233" s="1359">
        <f>SUM(AJ228:AJ229)</f>
        <v>0.94570337153296791</v>
      </c>
      <c r="AK233" s="1217">
        <f t="shared" si="311"/>
        <v>41.462636192087196</v>
      </c>
      <c r="AL233" s="22">
        <f t="shared" si="297"/>
        <v>9.5445730799809336</v>
      </c>
      <c r="AN233" s="1359">
        <f>SUM(AN228:AN229)</f>
        <v>1.0943529094994062</v>
      </c>
      <c r="AO233" s="1217">
        <f t="shared" si="312"/>
        <v>38.92038669150665</v>
      </c>
      <c r="AP233" s="22">
        <f t="shared" si="298"/>
        <v>15.718410491175483</v>
      </c>
      <c r="AR233" s="1235">
        <f>SUM(AR228:AR229)</f>
        <v>1.3461591142921048</v>
      </c>
      <c r="AS233" s="1221">
        <f t="shared" si="313"/>
        <v>39.859035605327101</v>
      </c>
      <c r="AT233" s="22">
        <f t="shared" si="299"/>
        <v>23.009597964872519</v>
      </c>
      <c r="AV233" s="1235">
        <f>SUM(AV228:AV229)</f>
        <v>1.4962357725360209</v>
      </c>
      <c r="AW233" s="1221">
        <f t="shared" si="314"/>
        <v>40.140444107041183</v>
      </c>
      <c r="AX233" s="316">
        <f t="shared" si="300"/>
        <v>11.148508125864144</v>
      </c>
      <c r="AY233" s="22"/>
      <c r="AZ233" s="1235" t="e">
        <f>SUM(AZ228:AZ229)</f>
        <v>#REF!</v>
      </c>
      <c r="BA233" s="1221">
        <f t="shared" si="315"/>
        <v>37.896771893239375</v>
      </c>
      <c r="BB233" s="316" t="e">
        <f t="shared" si="301"/>
        <v>#REF!</v>
      </c>
      <c r="BC233" s="22"/>
      <c r="BD233" s="1235" t="e">
        <f>SUM(BD228:BD229)</f>
        <v>#REF!</v>
      </c>
      <c r="BE233" s="1221">
        <f t="shared" si="316"/>
        <v>37.08581736652696</v>
      </c>
      <c r="BF233" s="316" t="e">
        <f t="shared" si="302"/>
        <v>#REF!</v>
      </c>
      <c r="BG233" s="22"/>
      <c r="BH233" s="1235" t="e">
        <f>SUM(BH228:BH229)</f>
        <v>#REF!</v>
      </c>
      <c r="BI233" s="1221">
        <f t="shared" si="317"/>
        <v>39.022994713288597</v>
      </c>
      <c r="BJ233" s="316" t="e">
        <f t="shared" si="303"/>
        <v>#REF!</v>
      </c>
      <c r="BK233" s="22"/>
      <c r="BL233" s="1235" t="e">
        <f>SUM(BL228:BL229)</f>
        <v>#REF!</v>
      </c>
      <c r="BM233" s="1221">
        <f t="shared" si="318"/>
        <v>39.258459890869787</v>
      </c>
      <c r="BN233" s="316" t="e">
        <f t="shared" si="304"/>
        <v>#REF!</v>
      </c>
      <c r="BO233" s="22"/>
      <c r="BP233" s="1235" t="e">
        <f>SUM(BP228:BP229)</f>
        <v>#REF!</v>
      </c>
      <c r="BQ233" s="1221">
        <f t="shared" si="319"/>
        <v>39.168320216752157</v>
      </c>
      <c r="BR233" s="316" t="e">
        <f t="shared" si="305"/>
        <v>#REF!</v>
      </c>
      <c r="BS233" s="22"/>
      <c r="BT233" s="1235" t="e">
        <f>SUM(BT228:BT229)</f>
        <v>#REF!</v>
      </c>
      <c r="BU233" s="1221">
        <f t="shared" si="320"/>
        <v>38.684429981816784</v>
      </c>
      <c r="BV233" s="316" t="e">
        <f t="shared" si="306"/>
        <v>#REF!</v>
      </c>
      <c r="BW233" s="22"/>
      <c r="BX233" s="1235" t="e">
        <f>SUM(BX228:BX229)</f>
        <v>#REF!</v>
      </c>
      <c r="BY233" s="1221">
        <f t="shared" si="321"/>
        <v>40.232874718024377</v>
      </c>
      <c r="BZ233" s="316" t="e">
        <f t="shared" si="307"/>
        <v>#REF!</v>
      </c>
      <c r="CA233" s="22"/>
      <c r="CB233" s="22"/>
      <c r="CC233" s="22"/>
      <c r="CD233" s="22"/>
      <c r="CE233" s="22"/>
      <c r="CF233" s="22"/>
      <c r="CG233" s="22"/>
      <c r="CH233" s="22"/>
      <c r="CI233" s="22"/>
      <c r="CJ233" s="22"/>
      <c r="CK233" s="22"/>
      <c r="CL233" s="22"/>
      <c r="CM233" s="22"/>
      <c r="CN233" s="22"/>
      <c r="CO233" s="22"/>
      <c r="CP233" s="22"/>
      <c r="CQ233" s="22"/>
      <c r="CR233" s="316"/>
      <c r="CS233" s="316"/>
      <c r="CT233" s="316"/>
      <c r="CU233" s="316"/>
    </row>
    <row r="234" spans="4:99" hidden="1" outlineLevel="1">
      <c r="T234" s="1359">
        <f>SUM(T228:T230)</f>
        <v>0</v>
      </c>
      <c r="U234" s="1217">
        <f t="shared" si="293"/>
        <v>0</v>
      </c>
      <c r="V234" s="22" t="e">
        <f t="shared" si="294"/>
        <v>#DIV/0!</v>
      </c>
      <c r="X234" s="1359" t="e">
        <f>SUM(X228:X230)</f>
        <v>#DIV/0!</v>
      </c>
      <c r="Y234" s="1217">
        <f t="shared" si="308"/>
        <v>48.144801887499064</v>
      </c>
      <c r="Z234" s="22" t="e">
        <f>(X234/#REF!-1)*100</f>
        <v>#DIV/0!</v>
      </c>
      <c r="AB234" s="1359">
        <f>SUM(AB228:AB230)</f>
        <v>1.1849480568749355</v>
      </c>
      <c r="AC234" s="1217">
        <f t="shared" si="309"/>
        <v>44.515491086778695</v>
      </c>
      <c r="AD234" s="22" t="e">
        <f t="shared" si="295"/>
        <v>#DIV/0!</v>
      </c>
      <c r="AF234" s="1359">
        <f>SUM(AF228:AF230)</f>
        <v>1.2905858037947435</v>
      </c>
      <c r="AG234" s="1217">
        <f t="shared" si="310"/>
        <v>46.742016302235498</v>
      </c>
      <c r="AH234" s="22">
        <f t="shared" si="296"/>
        <v>8.9149685766316544</v>
      </c>
      <c r="AJ234" s="1359">
        <f>SUM(AJ228:AJ230)</f>
        <v>1.4204705555684447</v>
      </c>
      <c r="AK234" s="1217">
        <f t="shared" si="311"/>
        <v>43.634978038270219</v>
      </c>
      <c r="AL234" s="22">
        <f t="shared" si="297"/>
        <v>10.06401522407867</v>
      </c>
      <c r="AN234" s="1359">
        <f>SUM(AN228:AN230)</f>
        <v>1.6566903580590768</v>
      </c>
      <c r="AO234" s="1217">
        <f t="shared" si="312"/>
        <v>40.425917203225765</v>
      </c>
      <c r="AP234" s="22">
        <f t="shared" si="298"/>
        <v>16.629686660143506</v>
      </c>
      <c r="AR234" s="1235">
        <f>SUM(AR228:AR230)</f>
        <v>2.0692305428635334</v>
      </c>
      <c r="AS234" s="1221">
        <f t="shared" si="313"/>
        <v>41.914190141690071</v>
      </c>
      <c r="AT234" s="22">
        <f t="shared" si="299"/>
        <v>24.901465913508105</v>
      </c>
      <c r="AV234" s="1235">
        <f>SUM(AV228:AV230)</f>
        <v>2.2675459978393135</v>
      </c>
      <c r="AW234" s="1221">
        <f t="shared" si="314"/>
        <v>42.094256474328958</v>
      </c>
      <c r="AX234" s="316">
        <f t="shared" si="300"/>
        <v>9.5840193186660816</v>
      </c>
      <c r="AY234" s="22"/>
      <c r="AZ234" s="1235" t="e">
        <f>SUM(AZ228:AZ230)</f>
        <v>#REF!</v>
      </c>
      <c r="BA234" s="1221">
        <f t="shared" si="315"/>
        <v>39.060524086032586</v>
      </c>
      <c r="BB234" s="316" t="e">
        <f t="shared" si="301"/>
        <v>#REF!</v>
      </c>
      <c r="BC234" s="22"/>
      <c r="BD234" s="1235" t="e">
        <f>SUM(BD228:BD230)</f>
        <v>#REF!</v>
      </c>
      <c r="BE234" s="1221">
        <f t="shared" si="316"/>
        <v>38.149227031535176</v>
      </c>
      <c r="BF234" s="316" t="e">
        <f t="shared" si="302"/>
        <v>#REF!</v>
      </c>
      <c r="BG234" s="22"/>
      <c r="BH234" s="1235" t="e">
        <f>SUM(BH228:BH230)</f>
        <v>#REF!</v>
      </c>
      <c r="BI234" s="1221">
        <f t="shared" si="317"/>
        <v>40.553523347918478</v>
      </c>
      <c r="BJ234" s="316" t="e">
        <f t="shared" si="303"/>
        <v>#REF!</v>
      </c>
      <c r="BK234" s="22"/>
      <c r="BL234" s="1235" t="e">
        <f>SUM(BL228:BL230)</f>
        <v>#REF!</v>
      </c>
      <c r="BM234" s="1221">
        <f t="shared" si="318"/>
        <v>40.776843722373656</v>
      </c>
      <c r="BN234" s="316" t="e">
        <f t="shared" si="304"/>
        <v>#REF!</v>
      </c>
      <c r="BO234" s="22"/>
      <c r="BP234" s="1235" t="e">
        <f>SUM(BP228:BP230)</f>
        <v>#REF!</v>
      </c>
      <c r="BQ234" s="1221">
        <f t="shared" si="319"/>
        <v>40.440036433041492</v>
      </c>
      <c r="BR234" s="316" t="e">
        <f t="shared" si="305"/>
        <v>#REF!</v>
      </c>
      <c r="BS234" s="22"/>
      <c r="BT234" s="1235" t="e">
        <f>SUM(BT228:BT230)</f>
        <v>#REF!</v>
      </c>
      <c r="BU234" s="1221">
        <f t="shared" si="320"/>
        <v>40.113814094222569</v>
      </c>
      <c r="BV234" s="316" t="e">
        <f t="shared" si="306"/>
        <v>#REF!</v>
      </c>
      <c r="BW234" s="22"/>
      <c r="BX234" s="1235" t="e">
        <f>SUM(BX228:BX230)</f>
        <v>#REF!</v>
      </c>
      <c r="BY234" s="1221">
        <f t="shared" si="321"/>
        <v>41.631846947934207</v>
      </c>
      <c r="BZ234" s="316" t="e">
        <f t="shared" si="307"/>
        <v>#REF!</v>
      </c>
      <c r="CA234" s="22"/>
      <c r="CB234" s="22"/>
      <c r="CC234" s="22"/>
      <c r="CD234" s="22"/>
      <c r="CE234" s="22"/>
      <c r="CF234" s="22"/>
      <c r="CG234" s="22"/>
      <c r="CH234" s="22"/>
      <c r="CI234" s="22"/>
      <c r="CJ234" s="22"/>
      <c r="CK234" s="22"/>
      <c r="CL234" s="22"/>
      <c r="CM234" s="22"/>
      <c r="CN234" s="22"/>
      <c r="CO234" s="22"/>
      <c r="CP234" s="22"/>
      <c r="CQ234" s="22"/>
      <c r="CR234" s="316"/>
      <c r="CS234" s="316"/>
      <c r="CT234" s="316"/>
      <c r="CU234" s="316"/>
    </row>
    <row r="235" spans="4:99" collapsed="1"/>
  </sheetData>
  <dataConsolidate/>
  <mergeCells count="5">
    <mergeCell ref="CF6:CH6"/>
    <mergeCell ref="CJ6:CL6"/>
    <mergeCell ref="CN6:CP6"/>
    <mergeCell ref="CR4:CT4"/>
    <mergeCell ref="CR3:CT3"/>
  </mergeCells>
  <phoneticPr fontId="0" type="noConversion"/>
  <dataValidations disablePrompts="1" count="1">
    <dataValidation type="custom" allowBlank="1" showInputMessage="1" showErrorMessage="1" sqref="DJ140:DJ145 CV140:CX159 DF140:DH159 DB140:DD159">
      <formula1>-1</formula1>
    </dataValidation>
  </dataValidations>
  <printOptions horizontalCentered="1"/>
  <pageMargins left="0" right="0" top="0.4" bottom="0" header="0.5" footer="0.25"/>
  <pageSetup scale="52" fitToHeight="2" orientation="landscape" verticalDpi="300" r:id="rId1"/>
  <headerFooter alignWithMargins="0">
    <oddFooter>&amp;R&amp;8&amp;D
&amp;F/&amp;A</oddFooter>
  </headerFooter>
  <rowBreaks count="1" manualBreakCount="1">
    <brk id="118" max="98"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K115"/>
  <sheetViews>
    <sheetView view="pageBreakPreview" zoomScaleNormal="85" zoomScaleSheetLayoutView="100" workbookViewId="0">
      <selection activeCell="AF80" sqref="AF80"/>
    </sheetView>
  </sheetViews>
  <sheetFormatPr defaultRowHeight="12.75" outlineLevelRow="2" outlineLevelCol="1"/>
  <cols>
    <col min="1" max="1" width="26.42578125" customWidth="1"/>
    <col min="2" max="2" width="7.7109375" hidden="1" customWidth="1" outlineLevel="1"/>
    <col min="3" max="3" width="8.140625" hidden="1" customWidth="1" outlineLevel="1"/>
    <col min="4" max="4" width="7.7109375" hidden="1" customWidth="1" outlineLevel="1"/>
    <col min="5" max="5" width="8.140625" hidden="1" customWidth="1" outlineLevel="1"/>
    <col min="6" max="6" width="7.7109375" hidden="1" customWidth="1" outlineLevel="1"/>
    <col min="7" max="7" width="9.140625" hidden="1" customWidth="1" outlineLevel="1" collapsed="1"/>
    <col min="8" max="8" width="8.85546875" hidden="1" customWidth="1" outlineLevel="1" collapsed="1"/>
    <col min="9" max="18" width="8.85546875" hidden="1" customWidth="1" outlineLevel="1"/>
    <col min="19" max="19" width="8.85546875" customWidth="1" collapsed="1"/>
    <col min="20" max="27" width="8.85546875" customWidth="1"/>
    <col min="28" max="28" width="8.5703125" customWidth="1"/>
    <col min="29" max="29" width="8.5703125" style="535" customWidth="1"/>
    <col min="30" max="30" width="1.42578125" customWidth="1"/>
    <col min="31" max="31" width="1.140625" customWidth="1"/>
    <col min="32" max="32" width="6.7109375" customWidth="1"/>
    <col min="33" max="33" width="2.140625" customWidth="1"/>
    <col min="34" max="34" width="7" customWidth="1"/>
    <col min="35" max="35" width="2.140625" customWidth="1"/>
  </cols>
  <sheetData>
    <row r="1" spans="1:37">
      <c r="A1" s="93" t="s">
        <v>342</v>
      </c>
      <c r="B1" s="437"/>
      <c r="C1" s="437"/>
      <c r="D1" s="437"/>
      <c r="E1" s="437"/>
      <c r="F1" s="437"/>
      <c r="G1" s="437"/>
      <c r="H1" s="438"/>
      <c r="I1" s="437"/>
      <c r="J1" s="437"/>
      <c r="K1" s="437"/>
      <c r="L1" s="438"/>
      <c r="M1" s="437"/>
      <c r="N1" s="437"/>
      <c r="O1" s="437"/>
      <c r="P1" s="437"/>
      <c r="Q1" s="437"/>
      <c r="R1" s="437"/>
      <c r="S1" s="437"/>
      <c r="T1" s="437"/>
      <c r="U1" s="437"/>
      <c r="V1" s="437"/>
      <c r="W1" s="437"/>
      <c r="X1" s="437"/>
      <c r="Y1" s="437"/>
      <c r="Z1" s="437"/>
      <c r="AA1" s="437"/>
      <c r="AB1" s="437"/>
      <c r="AC1" s="437"/>
      <c r="AD1" s="437"/>
      <c r="AE1" s="439"/>
      <c r="AF1" s="437"/>
      <c r="AG1" s="437"/>
      <c r="AH1" s="437"/>
      <c r="AI1" s="437"/>
    </row>
    <row r="2" spans="1:37">
      <c r="A2" s="440" t="s">
        <v>303</v>
      </c>
      <c r="B2" s="441"/>
      <c r="C2" s="441"/>
      <c r="D2" s="441"/>
      <c r="E2" s="441"/>
      <c r="F2" s="441"/>
      <c r="G2" s="441"/>
      <c r="H2" s="442"/>
      <c r="I2" s="441"/>
      <c r="J2" s="441"/>
      <c r="K2" s="441"/>
      <c r="L2" s="442"/>
      <c r="M2" s="441"/>
      <c r="N2" s="441"/>
      <c r="O2" s="441"/>
      <c r="P2" s="441"/>
      <c r="Q2" s="441"/>
      <c r="R2" s="441"/>
      <c r="S2" s="441"/>
      <c r="T2" s="441"/>
      <c r="U2" s="441"/>
      <c r="V2" s="441"/>
      <c r="W2" s="441"/>
      <c r="X2" s="441"/>
      <c r="Y2" s="441"/>
      <c r="Z2" s="441"/>
      <c r="AA2" s="441"/>
      <c r="AB2" s="441"/>
      <c r="AC2" s="441"/>
      <c r="AD2" s="441"/>
      <c r="AE2" s="443"/>
      <c r="AF2" s="441"/>
      <c r="AG2" s="441"/>
      <c r="AH2" s="441"/>
      <c r="AI2" s="441"/>
    </row>
    <row r="3" spans="1:37">
      <c r="A3" s="6" t="s">
        <v>444</v>
      </c>
      <c r="B3" s="4"/>
      <c r="C3" s="4"/>
      <c r="D3" s="4"/>
      <c r="E3" s="4"/>
      <c r="F3" s="4"/>
      <c r="G3" s="4"/>
      <c r="H3" s="444"/>
      <c r="I3" s="4"/>
      <c r="J3" s="4"/>
      <c r="K3" s="4"/>
      <c r="L3" s="444"/>
      <c r="M3" s="4"/>
      <c r="N3" s="4"/>
      <c r="O3" s="4"/>
      <c r="P3" s="4"/>
      <c r="Q3" s="4"/>
      <c r="R3" s="4"/>
      <c r="S3" s="4"/>
      <c r="T3" s="4"/>
      <c r="U3" s="4"/>
      <c r="V3" s="4"/>
      <c r="W3" s="4"/>
      <c r="X3" s="4"/>
      <c r="Y3" s="4"/>
      <c r="Z3" s="4"/>
      <c r="AA3" s="4"/>
      <c r="AB3" s="4"/>
      <c r="AC3" s="65"/>
      <c r="AD3" s="4"/>
      <c r="AE3" s="4"/>
      <c r="AF3" s="4"/>
      <c r="AG3" s="4"/>
      <c r="AH3" s="4"/>
      <c r="AI3" s="4"/>
    </row>
    <row r="4" spans="1:37">
      <c r="A4" s="437"/>
      <c r="B4" s="445"/>
      <c r="C4" s="446"/>
      <c r="D4" s="445"/>
      <c r="E4" s="446"/>
      <c r="F4" s="447"/>
      <c r="G4" s="445"/>
      <c r="H4" s="448"/>
      <c r="I4" s="447"/>
      <c r="J4" s="449"/>
      <c r="K4" s="450"/>
      <c r="L4" s="451"/>
      <c r="M4" s="447"/>
      <c r="N4" s="447"/>
      <c r="O4" s="447"/>
      <c r="P4" s="447"/>
      <c r="Q4" s="593"/>
      <c r="R4" s="447"/>
      <c r="S4" s="447"/>
      <c r="T4" s="447"/>
      <c r="U4" s="447"/>
      <c r="V4" s="447"/>
      <c r="X4" s="1639"/>
      <c r="Y4" s="1639"/>
      <c r="Z4" s="1639"/>
      <c r="AA4" s="1639"/>
      <c r="AB4" s="1639"/>
      <c r="AC4" s="1639"/>
      <c r="AD4" s="447"/>
      <c r="AE4" s="452"/>
      <c r="AF4" s="2404" t="s">
        <v>427</v>
      </c>
      <c r="AG4" s="2404"/>
      <c r="AH4" s="2404"/>
      <c r="AI4" s="453"/>
    </row>
    <row r="5" spans="1:37">
      <c r="A5" s="454"/>
      <c r="B5" s="332">
        <v>1995</v>
      </c>
      <c r="C5" s="332">
        <f>B5+1</f>
        <v>1996</v>
      </c>
      <c r="D5" s="332">
        <v>1997</v>
      </c>
      <c r="E5" s="332">
        <f>D5+1</f>
        <v>1998</v>
      </c>
      <c r="F5" s="332">
        <f>E5+1</f>
        <v>1999</v>
      </c>
      <c r="G5" s="332">
        <v>2000</v>
      </c>
      <c r="H5" s="332">
        <f t="shared" ref="H5:N5" si="0">G5+1</f>
        <v>2001</v>
      </c>
      <c r="I5" s="332">
        <f t="shared" si="0"/>
        <v>2002</v>
      </c>
      <c r="J5" s="332">
        <f t="shared" si="0"/>
        <v>2003</v>
      </c>
      <c r="K5" s="332">
        <f t="shared" si="0"/>
        <v>2004</v>
      </c>
      <c r="L5" s="332">
        <f t="shared" si="0"/>
        <v>2005</v>
      </c>
      <c r="M5" s="333">
        <f t="shared" si="0"/>
        <v>2006</v>
      </c>
      <c r="N5" s="333">
        <f t="shared" si="0"/>
        <v>2007</v>
      </c>
      <c r="O5" s="333">
        <f t="shared" ref="O5:U5" si="1">N5+1</f>
        <v>2008</v>
      </c>
      <c r="P5" s="333">
        <f t="shared" si="1"/>
        <v>2009</v>
      </c>
      <c r="Q5" s="333">
        <f t="shared" si="1"/>
        <v>2010</v>
      </c>
      <c r="R5" s="333">
        <f t="shared" si="1"/>
        <v>2011</v>
      </c>
      <c r="S5" s="648">
        <f t="shared" si="1"/>
        <v>2012</v>
      </c>
      <c r="T5" s="648">
        <f t="shared" si="1"/>
        <v>2013</v>
      </c>
      <c r="U5" s="648">
        <f t="shared" si="1"/>
        <v>2014</v>
      </c>
      <c r="V5" s="648">
        <f t="shared" ref="V5:AC5" si="2">U5+1</f>
        <v>2015</v>
      </c>
      <c r="W5" s="648">
        <f t="shared" si="2"/>
        <v>2016</v>
      </c>
      <c r="X5" s="648">
        <f t="shared" si="2"/>
        <v>2017</v>
      </c>
      <c r="Y5" s="334">
        <f t="shared" si="2"/>
        <v>2018</v>
      </c>
      <c r="Z5" s="334">
        <f>Y5+1</f>
        <v>2019</v>
      </c>
      <c r="AA5" s="334">
        <f t="shared" si="2"/>
        <v>2020</v>
      </c>
      <c r="AB5" s="334">
        <f t="shared" si="2"/>
        <v>2021</v>
      </c>
      <c r="AC5" s="334">
        <f t="shared" si="2"/>
        <v>2022</v>
      </c>
      <c r="AD5" s="340"/>
      <c r="AE5" s="455"/>
      <c r="AF5" s="456" t="str">
        <f>yrSales!AF6</f>
        <v>10-15E</v>
      </c>
      <c r="AG5" s="457"/>
      <c r="AH5" s="458" t="str">
        <f>yrSales!AH6</f>
        <v>15-20E</v>
      </c>
      <c r="AI5" s="459"/>
    </row>
    <row r="6" spans="1:37">
      <c r="A6" s="437"/>
      <c r="B6" s="437"/>
      <c r="C6" s="437"/>
      <c r="D6" s="437"/>
      <c r="E6" s="437"/>
      <c r="F6" s="437"/>
      <c r="G6" s="437"/>
      <c r="H6" s="438"/>
      <c r="I6" s="437"/>
      <c r="J6" s="437"/>
      <c r="K6" s="437"/>
      <c r="L6" s="438"/>
      <c r="M6" s="437"/>
      <c r="N6" s="437"/>
      <c r="O6" s="437"/>
      <c r="P6" s="460"/>
      <c r="Q6" s="532">
        <f>+'qtrP&amp;L'!BL17</f>
        <v>3537.636</v>
      </c>
      <c r="R6" s="581"/>
      <c r="S6" s="437"/>
      <c r="T6" s="437"/>
      <c r="U6" s="437"/>
      <c r="V6" s="437"/>
      <c r="W6" s="465"/>
      <c r="X6" s="437"/>
      <c r="Y6" s="437"/>
      <c r="Z6" s="437"/>
      <c r="AA6" s="437"/>
      <c r="AB6" s="437"/>
      <c r="AC6" s="437"/>
      <c r="AD6" s="437"/>
      <c r="AE6" s="461"/>
      <c r="AF6" s="437"/>
      <c r="AG6" s="437"/>
      <c r="AH6" s="437"/>
      <c r="AI6" s="462"/>
    </row>
    <row r="7" spans="1:37">
      <c r="A7" s="437" t="s">
        <v>445</v>
      </c>
      <c r="B7" s="463">
        <f>'qtrP&amp;L'!D14</f>
        <v>395.02100000000002</v>
      </c>
      <c r="C7" s="463">
        <f>'qtrP&amp;L'!H14</f>
        <v>512.64499999999998</v>
      </c>
      <c r="D7" s="463">
        <f>'qtrP&amp;L'!L14</f>
        <v>540.36599999999999</v>
      </c>
      <c r="E7" s="463">
        <f>'qtrP&amp;L'!P14</f>
        <v>513.91499999999996</v>
      </c>
      <c r="F7" s="463">
        <f>'qtrP&amp;L'!T14</f>
        <v>500.94400000000002</v>
      </c>
      <c r="G7" s="463">
        <f>'qtrP&amp;L'!X14</f>
        <v>548.91800000000001</v>
      </c>
      <c r="H7" s="438">
        <f>+yrSales!H25</f>
        <v>600.49099999999999</v>
      </c>
      <c r="I7" s="463">
        <f>+'qtrP&amp;L'!AF14</f>
        <v>719.40300000000002</v>
      </c>
      <c r="J7" s="463">
        <f>+'qtrP&amp;L'!AJ14</f>
        <v>953.226</v>
      </c>
      <c r="K7" s="463">
        <f>+'qtrP&amp;L'!AN14</f>
        <v>1321.1059999999998</v>
      </c>
      <c r="L7" s="463">
        <f>'qtrP&amp;L'!AR14</f>
        <v>1710.4230000000002</v>
      </c>
      <c r="M7" s="463">
        <f>'qtrP&amp;L'!AV14</f>
        <v>2035.0909999999999</v>
      </c>
      <c r="N7" s="463">
        <f>+'qtrP&amp;L'!AZ14</f>
        <v>2612.4559999999997</v>
      </c>
      <c r="O7" s="463">
        <f>+'qtrP&amp;L'!BD14</f>
        <v>3180.7570000000001</v>
      </c>
      <c r="P7" s="463">
        <f>+'qtrP&amp;L'!BH14</f>
        <v>3230.4679999999998</v>
      </c>
      <c r="Q7" s="463">
        <f>'qtrP&amp;L'!BL14</f>
        <v>3607.636</v>
      </c>
      <c r="R7" s="463">
        <f>'qtrP&amp;L'!$BP$14</f>
        <v>4158.5070000000005</v>
      </c>
      <c r="S7" s="463">
        <f>'qtrP&amp;L'!$BT$14</f>
        <v>4763.1799999999994</v>
      </c>
      <c r="T7" s="463">
        <f>'qtrP&amp;L'!$BX$14</f>
        <v>5075.3899999999994</v>
      </c>
      <c r="U7" s="463">
        <f>'qtrP&amp;L'!CB14</f>
        <v>4806.2260000000006</v>
      </c>
      <c r="V7" s="463">
        <f>'qtrP&amp;L'!CF14</f>
        <v>4191.6000000000004</v>
      </c>
      <c r="W7" s="463">
        <f>'qtrP&amp;L'!CJ14</f>
        <v>4491.7999999999993</v>
      </c>
      <c r="X7" s="463">
        <f>'qtrP&amp;L'!CN14</f>
        <v>4488.3</v>
      </c>
      <c r="Y7" s="463">
        <f>'qtrP&amp;L'!CR14</f>
        <v>5830.896633543296</v>
      </c>
      <c r="Z7" s="463">
        <f>yrSales!Z25</f>
        <v>6016.7445650539694</v>
      </c>
      <c r="AA7" s="463">
        <f>yrSales!AA25</f>
        <v>6189.4033278856969</v>
      </c>
      <c r="AB7" s="463">
        <f>yrSales!AB25</f>
        <v>6366.6876309344079</v>
      </c>
      <c r="AC7" s="463">
        <f>yrSales!AC25</f>
        <v>6549.1863844707495</v>
      </c>
      <c r="AD7" s="463"/>
      <c r="AE7" s="464"/>
      <c r="AF7" s="348">
        <f>((V7/Q7)^(1/5)-1)*100</f>
        <v>3.0460678041671629</v>
      </c>
      <c r="AG7" s="326" t="s">
        <v>428</v>
      </c>
      <c r="AH7" s="348">
        <f>((AA7/V7)^(1/5)-1)*100</f>
        <v>8.1069937175917595</v>
      </c>
      <c r="AI7" s="349" t="s">
        <v>428</v>
      </c>
      <c r="AK7" s="1638">
        <f>W7-80+100</f>
        <v>4511.7999999999993</v>
      </c>
    </row>
    <row r="8" spans="1:37">
      <c r="A8" s="437" t="s">
        <v>446</v>
      </c>
      <c r="B8" s="465"/>
      <c r="C8" s="465">
        <f>(C7-B7)/B7</f>
        <v>0.29776644785973394</v>
      </c>
      <c r="D8" s="465">
        <f>(D7-C7)/C7</f>
        <v>5.4074456982902405E-2</v>
      </c>
      <c r="E8" s="465">
        <f>(E7-D7)/D7</f>
        <v>-4.8950156005374175E-2</v>
      </c>
      <c r="F8" s="465">
        <f>(F7-E7)/E7</f>
        <v>-2.5239582421217415E-2</v>
      </c>
      <c r="G8" s="465">
        <f t="shared" ref="G8:V8" si="3">(G7-F7)/F7</f>
        <v>9.5767191542367985E-2</v>
      </c>
      <c r="H8" s="465">
        <f t="shared" si="3"/>
        <v>9.3953923901201955E-2</v>
      </c>
      <c r="I8" s="465">
        <f t="shared" si="3"/>
        <v>0.19802461652214612</v>
      </c>
      <c r="J8" s="466">
        <f t="shared" si="3"/>
        <v>0.32502366545594052</v>
      </c>
      <c r="K8" s="465">
        <f t="shared" si="3"/>
        <v>0.3859315629242171</v>
      </c>
      <c r="L8" s="465">
        <f t="shared" si="3"/>
        <v>0.29469020653906691</v>
      </c>
      <c r="M8" s="465">
        <f>(M7-L7)/L7</f>
        <v>0.18981737266161625</v>
      </c>
      <c r="N8" s="465">
        <f t="shared" si="3"/>
        <v>0.28370475816560525</v>
      </c>
      <c r="O8" s="465">
        <f t="shared" si="3"/>
        <v>0.21753514700343296</v>
      </c>
      <c r="P8" s="465">
        <f t="shared" si="3"/>
        <v>1.5628669527411175E-2</v>
      </c>
      <c r="Q8" s="465">
        <f t="shared" si="3"/>
        <v>0.11675336205156657</v>
      </c>
      <c r="R8" s="465">
        <f t="shared" si="3"/>
        <v>0.15269583738492479</v>
      </c>
      <c r="S8" s="465">
        <f t="shared" si="3"/>
        <v>0.14540627201060352</v>
      </c>
      <c r="T8" s="465">
        <f t="shared" si="3"/>
        <v>6.5546546634811215E-2</v>
      </c>
      <c r="U8" s="465">
        <f t="shared" si="3"/>
        <v>-5.3033165924194769E-2</v>
      </c>
      <c r="V8" s="465">
        <f t="shared" si="3"/>
        <v>-0.12788121074622794</v>
      </c>
      <c r="W8" s="465">
        <f t="shared" ref="W8:AC8" si="4">(W7-V7)/V7</f>
        <v>7.161942933485993E-2</v>
      </c>
      <c r="X8" s="465">
        <f t="shared" si="4"/>
        <v>-7.7919764904917652E-4</v>
      </c>
      <c r="Y8" s="465">
        <f t="shared" si="4"/>
        <v>0.2991325520894984</v>
      </c>
      <c r="Z8" s="465">
        <f>(Z7-Y7)/Y7</f>
        <v>3.1872959373271892E-2</v>
      </c>
      <c r="AA8" s="465">
        <f t="shared" si="4"/>
        <v>2.8696375750194198E-2</v>
      </c>
      <c r="AB8" s="465">
        <f t="shared" si="4"/>
        <v>2.8643197681103693E-2</v>
      </c>
      <c r="AC8" s="465">
        <f t="shared" si="4"/>
        <v>2.8664631298953355E-2</v>
      </c>
      <c r="AD8" s="465"/>
      <c r="AE8" s="467"/>
      <c r="AF8" s="348"/>
      <c r="AG8" s="323"/>
      <c r="AH8" s="348"/>
      <c r="AI8" s="357"/>
    </row>
    <row r="9" spans="1:37">
      <c r="A9" s="2369" t="s">
        <v>901</v>
      </c>
      <c r="B9" s="465"/>
      <c r="C9" s="465"/>
      <c r="D9" s="465"/>
      <c r="E9" s="465"/>
      <c r="F9" s="465"/>
      <c r="G9" s="465"/>
      <c r="H9" s="465"/>
      <c r="I9" s="465"/>
      <c r="J9" s="466"/>
      <c r="K9" s="465"/>
      <c r="L9" s="465"/>
      <c r="M9" s="465"/>
      <c r="N9" s="465"/>
      <c r="O9" s="465"/>
      <c r="P9" s="465"/>
      <c r="Q9" s="465"/>
      <c r="R9" s="465">
        <f>yrSales!R97</f>
        <v>0.106</v>
      </c>
      <c r="S9" s="465">
        <f>yrSales!S97</f>
        <v>6.6000000000000003E-2</v>
      </c>
      <c r="T9" s="465">
        <f>yrSales!T97</f>
        <v>3.0000000000000001E-3</v>
      </c>
      <c r="U9" s="465">
        <f>yrSales!U97</f>
        <v>-0.15</v>
      </c>
      <c r="V9" s="465">
        <f>yrSales!V97</f>
        <v>-0.22</v>
      </c>
      <c r="W9" s="465">
        <f>yrSales!W97</f>
        <v>-3.3000000000000002E-2</v>
      </c>
      <c r="X9" s="465">
        <f>yrSales!X97</f>
        <v>3.1E-2</v>
      </c>
      <c r="Y9" s="465">
        <f>yrSales!Y99</f>
        <v>1.2695740251674479E-2</v>
      </c>
      <c r="Z9" s="465">
        <f>yrSales!Z99</f>
        <v>1.43E-2</v>
      </c>
      <c r="AA9" s="465">
        <f>yrSales!AA99</f>
        <v>1.2149999999999999E-2</v>
      </c>
      <c r="AB9" s="465">
        <f>yrSales!AB99</f>
        <v>1.2149999999999999E-2</v>
      </c>
      <c r="AC9" s="465">
        <f>yrSales!AC99</f>
        <v>1.2149999999999999E-2</v>
      </c>
      <c r="AD9" s="465"/>
      <c r="AE9" s="467"/>
      <c r="AF9" s="348"/>
      <c r="AG9" s="323"/>
      <c r="AH9" s="348"/>
      <c r="AI9" s="357"/>
    </row>
    <row r="10" spans="1:37">
      <c r="A10" s="1644" t="s">
        <v>885</v>
      </c>
      <c r="B10" s="465"/>
      <c r="C10" s="465"/>
      <c r="D10" s="465"/>
      <c r="E10" s="465"/>
      <c r="F10" s="465"/>
      <c r="G10" s="465"/>
      <c r="H10" s="465"/>
      <c r="I10" s="465"/>
      <c r="J10" s="466"/>
      <c r="K10" s="465"/>
      <c r="L10" s="465"/>
      <c r="M10" s="465"/>
      <c r="N10" s="465"/>
      <c r="O10" s="465"/>
      <c r="P10" s="465"/>
      <c r="Q10" s="465"/>
      <c r="R10" s="465"/>
      <c r="S10" s="465">
        <f>yrSales!S249</f>
        <v>0.29499999999999998</v>
      </c>
      <c r="T10" s="465">
        <f>yrSales!T249</f>
        <v>0.28199999999999997</v>
      </c>
      <c r="U10" s="465">
        <f>yrSales!U249</f>
        <v>0.24399999999999999</v>
      </c>
      <c r="V10" s="465">
        <f>yrSales!V249</f>
        <v>0.16818824978383284</v>
      </c>
      <c r="W10" s="465">
        <f>yrSales!W249</f>
        <v>0.13022399145350455</v>
      </c>
      <c r="X10" s="465">
        <f>yrSales!X249</f>
        <v>4.3029905311251559E-2</v>
      </c>
      <c r="Y10" s="465">
        <f>yrSales!Y249</f>
        <v>-6.7685122354254224E-2</v>
      </c>
      <c r="Z10" s="465">
        <f>yrSales!Z249</f>
        <v>-0.01</v>
      </c>
      <c r="AA10" s="465">
        <f>yrSales!AA249</f>
        <v>0</v>
      </c>
      <c r="AB10" s="465">
        <f>yrSales!AB249</f>
        <v>0</v>
      </c>
      <c r="AC10" s="465">
        <f>yrSales!AC249</f>
        <v>0</v>
      </c>
      <c r="AD10" s="465"/>
      <c r="AE10" s="467"/>
      <c r="AF10" s="348"/>
      <c r="AG10" s="323"/>
      <c r="AH10" s="348"/>
      <c r="AI10" s="357"/>
    </row>
    <row r="11" spans="1:37">
      <c r="A11" s="437"/>
      <c r="B11" s="439"/>
      <c r="C11" s="439"/>
      <c r="D11" s="439"/>
      <c r="E11" s="439"/>
      <c r="F11" s="439"/>
      <c r="G11" s="439"/>
      <c r="H11" s="438"/>
      <c r="I11" s="439"/>
      <c r="J11" s="439"/>
      <c r="K11" s="439"/>
      <c r="L11" s="438"/>
      <c r="M11" s="439"/>
      <c r="N11" s="439"/>
      <c r="O11" s="439"/>
      <c r="P11" s="439"/>
      <c r="Q11" s="439"/>
      <c r="R11" s="489"/>
      <c r="S11" s="439"/>
      <c r="T11" s="471"/>
      <c r="U11" s="471"/>
      <c r="V11" s="471"/>
      <c r="W11" s="471"/>
      <c r="X11" s="471"/>
      <c r="Y11" s="471"/>
      <c r="Z11" s="471"/>
      <c r="AA11" s="471"/>
      <c r="AB11" s="471"/>
      <c r="AC11" s="471"/>
      <c r="AD11" s="439"/>
      <c r="AE11" s="467"/>
      <c r="AF11" s="348"/>
      <c r="AG11" s="326"/>
      <c r="AH11" s="348"/>
      <c r="AI11" s="349"/>
    </row>
    <row r="12" spans="1:37">
      <c r="A12" s="437" t="s">
        <v>447</v>
      </c>
      <c r="B12" s="463">
        <f>'qtrP&amp;L'!D24</f>
        <v>159.32499999999999</v>
      </c>
      <c r="C12" s="439">
        <f>'qtrP&amp;L'!H24</f>
        <v>211.977</v>
      </c>
      <c r="D12" s="439">
        <f>'qtrP&amp;L'!L24</f>
        <v>227.08600000000001</v>
      </c>
      <c r="E12" s="439">
        <f>'qtrP&amp;L'!P24</f>
        <v>235.512</v>
      </c>
      <c r="F12" s="439">
        <f>'qtrP&amp;L'!T24</f>
        <v>226.19</v>
      </c>
      <c r="G12" s="439">
        <f>'qtrP&amp;L'!X24</f>
        <v>220.08500000000001</v>
      </c>
      <c r="H12" s="438">
        <f>+'qtrP&amp;L'!AB24</f>
        <v>218.50700000000001</v>
      </c>
      <c r="I12" s="439">
        <f>+'qtrP&amp;L'!AF24</f>
        <v>236.041</v>
      </c>
      <c r="J12" s="439">
        <f>+'qtrP&amp;L'!AJ24</f>
        <v>275.79699999999997</v>
      </c>
      <c r="K12" s="439">
        <f>+'qtrP&amp;L'!AN24</f>
        <v>331.024</v>
      </c>
      <c r="L12" s="438">
        <f>'qtrP&amp;L'!AR24</f>
        <v>399.65200000000004</v>
      </c>
      <c r="M12" s="439">
        <f>'qtrP&amp;L'!AV24</f>
        <v>453.47299999999996</v>
      </c>
      <c r="N12" s="439">
        <f>+'qtrP&amp;L'!AZ24</f>
        <v>589.47</v>
      </c>
      <c r="O12" s="439">
        <f>+'qtrP&amp;L'!BD24</f>
        <v>773.654</v>
      </c>
      <c r="P12" s="439">
        <f>+'qtrP&amp;L'!BH24</f>
        <v>907.85799999999995</v>
      </c>
      <c r="Q12" s="439">
        <f>'qtrP&amp;L'!BL24</f>
        <v>973.94499999999994</v>
      </c>
      <c r="R12" s="439">
        <f>'qtrP&amp;L'!$BP$24</f>
        <v>1134.9659999999999</v>
      </c>
      <c r="S12" s="439">
        <f>'qtrP&amp;L'!$BT$24</f>
        <v>1297.1019999999999</v>
      </c>
      <c r="T12" s="439">
        <f>'qtrP&amp;L'!$BX$24</f>
        <v>1372.442</v>
      </c>
      <c r="U12" s="439">
        <f>'qtrP&amp;L'!CB24</f>
        <v>1427.0710000000001</v>
      </c>
      <c r="V12" s="439">
        <f>'qtrP&amp;L'!CF24</f>
        <v>1273.3</v>
      </c>
      <c r="W12" s="439">
        <f>'qtrP&amp;L'!CJ24</f>
        <v>1439.4</v>
      </c>
      <c r="X12" s="439">
        <f>'qtrP&amp;L'!CN24</f>
        <v>1404.28</v>
      </c>
      <c r="Y12" s="439">
        <f>'qtrP&amp;L'!CR24</f>
        <v>1903.4894232799102</v>
      </c>
      <c r="Z12" s="439">
        <f>+Z7*(1-Z13)</f>
        <v>1971.0855195116803</v>
      </c>
      <c r="AA12" s="439">
        <f>+AA7*(1-AA13)</f>
        <v>2018.3644252235254</v>
      </c>
      <c r="AB12" s="439">
        <f>+AB7*(1-AB13)</f>
        <v>2071.0834863429632</v>
      </c>
      <c r="AC12" s="439">
        <f>+AC7*(1-AC13)</f>
        <v>2116.6970394609466</v>
      </c>
      <c r="AD12" s="439"/>
      <c r="AE12" s="467"/>
      <c r="AF12" s="348">
        <f>((V12/Q12)^(1/5)-1)*100</f>
        <v>5.5065109448450889</v>
      </c>
      <c r="AG12" s="326" t="s">
        <v>428</v>
      </c>
      <c r="AH12" s="348">
        <f>((AA12/V12)^(1/5)-1)*100</f>
        <v>9.6512959166443757</v>
      </c>
      <c r="AI12" s="357" t="s">
        <v>428</v>
      </c>
    </row>
    <row r="13" spans="1:37">
      <c r="A13" s="437" t="s">
        <v>494</v>
      </c>
      <c r="B13" s="465">
        <f>(B7-B12)/B7</f>
        <v>0.59666701263983435</v>
      </c>
      <c r="C13" s="465">
        <f>(C7-C12)/C7</f>
        <v>0.58650333076495431</v>
      </c>
      <c r="D13" s="465">
        <f>(D7-D12)/D7</f>
        <v>0.57975520295503413</v>
      </c>
      <c r="E13" s="465">
        <f>(E7-E12)/E7</f>
        <v>0.54172966346574825</v>
      </c>
      <c r="F13" s="465">
        <f>(F7-F12)/F7</f>
        <v>0.5484724839503019</v>
      </c>
      <c r="G13" s="465">
        <f t="shared" ref="G13:Y13" si="5">(G7-G12)/G7</f>
        <v>0.59905668970593051</v>
      </c>
      <c r="H13" s="465">
        <f t="shared" si="5"/>
        <v>0.63611944225642014</v>
      </c>
      <c r="I13" s="465">
        <f t="shared" si="5"/>
        <v>0.67189322257482942</v>
      </c>
      <c r="J13" s="468">
        <f t="shared" si="5"/>
        <v>0.71066987262202252</v>
      </c>
      <c r="K13" s="465">
        <f t="shared" si="5"/>
        <v>0.74943418620458913</v>
      </c>
      <c r="L13" s="465">
        <f t="shared" si="5"/>
        <v>0.76634317943573027</v>
      </c>
      <c r="M13" s="465">
        <f t="shared" si="5"/>
        <v>0.77717310921231531</v>
      </c>
      <c r="N13" s="465">
        <f t="shared" si="5"/>
        <v>0.77436175001607677</v>
      </c>
      <c r="O13" s="465">
        <f t="shared" si="5"/>
        <v>0.75677047948019927</v>
      </c>
      <c r="P13" s="465">
        <f t="shared" si="5"/>
        <v>0.71897013064360948</v>
      </c>
      <c r="Q13" s="465">
        <f t="shared" si="5"/>
        <v>0.73003235359664886</v>
      </c>
      <c r="R13" s="465">
        <f t="shared" si="5"/>
        <v>0.72707368293476482</v>
      </c>
      <c r="S13" s="465">
        <f t="shared" si="5"/>
        <v>0.72768150689245414</v>
      </c>
      <c r="T13" s="465">
        <f t="shared" si="5"/>
        <v>0.72958885918126481</v>
      </c>
      <c r="U13" s="465">
        <f t="shared" si="5"/>
        <v>0.7030786733707487</v>
      </c>
      <c r="V13" s="465">
        <f t="shared" si="5"/>
        <v>0.69622578490313958</v>
      </c>
      <c r="W13" s="465">
        <f t="shared" si="5"/>
        <v>0.67954940113094964</v>
      </c>
      <c r="X13" s="465">
        <f t="shared" si="5"/>
        <v>0.68712430096027455</v>
      </c>
      <c r="Y13" s="465">
        <f t="shared" si="5"/>
        <v>0.67355116324138897</v>
      </c>
      <c r="Z13" s="469">
        <v>0.6724</v>
      </c>
      <c r="AA13" s="469">
        <v>0.67390000000000005</v>
      </c>
      <c r="AB13" s="469">
        <v>0.67469999999999997</v>
      </c>
      <c r="AC13" s="469">
        <v>0.67679999999999996</v>
      </c>
      <c r="AD13" s="469"/>
      <c r="AE13" s="467"/>
      <c r="AF13" s="348"/>
      <c r="AG13" s="323"/>
      <c r="AH13" s="348"/>
      <c r="AI13" s="357"/>
    </row>
    <row r="14" spans="1:37">
      <c r="A14" s="437"/>
      <c r="B14" s="439"/>
      <c r="C14" s="439"/>
      <c r="D14" s="439"/>
      <c r="E14" s="439"/>
      <c r="F14" s="439"/>
      <c r="G14" s="439"/>
      <c r="H14" s="438"/>
      <c r="I14" s="439"/>
      <c r="J14" s="439"/>
      <c r="K14" s="470"/>
      <c r="L14" s="438"/>
      <c r="M14" s="438"/>
      <c r="N14" s="438"/>
      <c r="O14" s="471">
        <f>N22-O22</f>
        <v>-8.8987509570662843E-4</v>
      </c>
      <c r="P14" s="471">
        <f>O22-P22</f>
        <v>-6.5304121655023264E-3</v>
      </c>
      <c r="Q14" s="471">
        <f>P22-Q22</f>
        <v>-3.4760897566729412E-3</v>
      </c>
      <c r="R14" s="489"/>
      <c r="S14" s="472"/>
      <c r="T14" s="439"/>
      <c r="U14" s="439"/>
      <c r="V14" s="439"/>
      <c r="W14" s="439"/>
      <c r="X14" s="439"/>
      <c r="Y14" s="439"/>
      <c r="Z14" s="439"/>
      <c r="AA14" s="439"/>
      <c r="AB14" s="439"/>
      <c r="AC14" s="439"/>
      <c r="AD14" s="439"/>
      <c r="AE14" s="467"/>
      <c r="AF14" s="348"/>
      <c r="AG14" s="326"/>
      <c r="AH14" s="348"/>
      <c r="AI14" s="349"/>
    </row>
    <row r="15" spans="1:37">
      <c r="A15" s="437" t="s">
        <v>448</v>
      </c>
      <c r="B15" s="439">
        <f>'qtrP&amp;L'!D34</f>
        <v>178.221</v>
      </c>
      <c r="C15" s="439">
        <f>'qtrP&amp;L'!H34</f>
        <v>238.62100000000001</v>
      </c>
      <c r="D15" s="439">
        <f>'qtrP&amp;L'!L34</f>
        <v>269.01100000000002</v>
      </c>
      <c r="E15" s="439">
        <f>'qtrP&amp;L'!P34</f>
        <v>253.39</v>
      </c>
      <c r="F15" s="439">
        <f>'qtrP&amp;L'!T34</f>
        <v>248.17099999999999</v>
      </c>
      <c r="G15" s="439">
        <f>'qtrP&amp;L'!X34</f>
        <v>272.81600000000003</v>
      </c>
      <c r="H15" s="439">
        <f>+'qtrP&amp;L'!AB34</f>
        <v>275.72699999999998</v>
      </c>
      <c r="I15" s="473">
        <v>362.21100000000001</v>
      </c>
      <c r="J15" s="473">
        <v>458.98</v>
      </c>
      <c r="K15" s="473">
        <v>584.77800000000002</v>
      </c>
      <c r="L15" s="439">
        <f>'qtrP&amp;L'!AR34</f>
        <v>738.20800000000008</v>
      </c>
      <c r="M15" s="439">
        <f>'qtrP&amp;L'!AV34</f>
        <v>866.87100000000009</v>
      </c>
      <c r="N15" s="439">
        <f>+'qtrP&amp;L'!AZ34</f>
        <v>1029.5889999999999</v>
      </c>
      <c r="O15" s="439">
        <f>+'qtrP&amp;L'!BD34</f>
        <v>1227.874</v>
      </c>
      <c r="P15" s="439">
        <f>+'qtrP&amp;L'!BH34</f>
        <v>1322.297</v>
      </c>
      <c r="Q15" s="439">
        <f>'qtrP&amp;L'!BL34</f>
        <v>1483.52</v>
      </c>
      <c r="R15" s="439">
        <f>'qtrP&amp;L'!$BP$34</f>
        <v>1692.9390000000003</v>
      </c>
      <c r="S15" s="439">
        <f>'qtrP&amp;L'!$BT$34</f>
        <v>1914.8799999999999</v>
      </c>
      <c r="T15" s="439">
        <f>'qtrP&amp;L'!$BX$34</f>
        <v>2125.2049999999999</v>
      </c>
      <c r="U15" s="439">
        <f>'qtrP&amp;L'!CB34</f>
        <v>2127.5739999999996</v>
      </c>
      <c r="V15" s="439">
        <f>'qtrP&amp;L'!CF34</f>
        <v>2129.8000000000002</v>
      </c>
      <c r="W15" s="439">
        <f>'qtrP&amp;L'!CJ34</f>
        <v>2275.8000000000002</v>
      </c>
      <c r="X15" s="439">
        <f>'qtrP&amp;L'!CN34</f>
        <v>2271.3999999999996</v>
      </c>
      <c r="Y15" s="439">
        <f>'qtrP&amp;L'!CR34</f>
        <v>2939.4871256357114</v>
      </c>
      <c r="Z15" s="439">
        <f>+Z7*Z16</f>
        <v>2984.3053042667689</v>
      </c>
      <c r="AA15" s="439">
        <f>+AA7*AA16</f>
        <v>3069.9440506313058</v>
      </c>
      <c r="AB15" s="439">
        <f>+AB7*AB16</f>
        <v>3154.0570523649058</v>
      </c>
      <c r="AC15" s="439">
        <f>+AC7*AC16</f>
        <v>3231.3685620978677</v>
      </c>
      <c r="AD15" s="439"/>
      <c r="AE15" s="467"/>
      <c r="AF15" s="348">
        <f>((V15/Q15)^(1/5)-1)*100</f>
        <v>7.5001532609645816</v>
      </c>
      <c r="AG15" s="326" t="s">
        <v>428</v>
      </c>
      <c r="AH15" s="348">
        <f>((AA15/V15)^(1/5)-1)*100</f>
        <v>7.5866358250876065</v>
      </c>
      <c r="AI15" s="384" t="s">
        <v>428</v>
      </c>
    </row>
    <row r="16" spans="1:37">
      <c r="A16" s="437" t="s">
        <v>449</v>
      </c>
      <c r="B16" s="465">
        <f>B15/B$7</f>
        <v>0.45116841889418535</v>
      </c>
      <c r="C16" s="465">
        <f>C15/C$7</f>
        <v>0.46547025719552521</v>
      </c>
      <c r="D16" s="465">
        <f>D15/D$7</f>
        <v>0.49783109966208094</v>
      </c>
      <c r="E16" s="465">
        <f>E15/E$7</f>
        <v>0.49305819055680417</v>
      </c>
      <c r="F16" s="465">
        <f>F15/F$7</f>
        <v>0.49540667220288093</v>
      </c>
      <c r="G16" s="465">
        <f t="shared" ref="G16:Y16" si="6">G15/G$7</f>
        <v>0.49700683890854375</v>
      </c>
      <c r="H16" s="465">
        <f t="shared" si="6"/>
        <v>0.4591692464999475</v>
      </c>
      <c r="I16" s="465">
        <f t="shared" si="6"/>
        <v>0.50348830905625919</v>
      </c>
      <c r="J16" s="468">
        <f t="shared" si="6"/>
        <v>0.48150176348525953</v>
      </c>
      <c r="K16" s="468">
        <f t="shared" si="6"/>
        <v>0.4426427553882884</v>
      </c>
      <c r="L16" s="468">
        <f t="shared" si="6"/>
        <v>0.43159382211300945</v>
      </c>
      <c r="M16" s="468">
        <f t="shared" si="6"/>
        <v>0.42596178745815305</v>
      </c>
      <c r="N16" s="468">
        <f t="shared" si="6"/>
        <v>0.39410769023478293</v>
      </c>
      <c r="O16" s="468">
        <f t="shared" si="6"/>
        <v>0.38603200433104445</v>
      </c>
      <c r="P16" s="468">
        <f t="shared" si="6"/>
        <v>0.40932056903210312</v>
      </c>
      <c r="Q16" s="468">
        <f t="shared" si="6"/>
        <v>0.41121665267782004</v>
      </c>
      <c r="R16" s="468">
        <f t="shared" si="6"/>
        <v>0.40710259715806663</v>
      </c>
      <c r="S16" s="468">
        <f t="shared" si="6"/>
        <v>0.4020171398099589</v>
      </c>
      <c r="T16" s="468">
        <f t="shared" si="6"/>
        <v>0.4187274278429835</v>
      </c>
      <c r="U16" s="468">
        <f t="shared" si="6"/>
        <v>0.44267040293153076</v>
      </c>
      <c r="V16" s="468">
        <f t="shared" si="6"/>
        <v>0.50811146101727267</v>
      </c>
      <c r="W16" s="468">
        <f t="shared" si="6"/>
        <v>0.50665657420187915</v>
      </c>
      <c r="X16" s="468">
        <f t="shared" si="6"/>
        <v>0.50607134104226537</v>
      </c>
      <c r="Y16" s="468">
        <f t="shared" si="6"/>
        <v>0.50412266078012358</v>
      </c>
      <c r="Z16" s="469">
        <v>0.496</v>
      </c>
      <c r="AA16" s="469">
        <v>0.496</v>
      </c>
      <c r="AB16" s="469">
        <v>0.49540000000000001</v>
      </c>
      <c r="AC16" s="469">
        <v>0.49340000000000001</v>
      </c>
      <c r="AD16" s="469"/>
      <c r="AE16" s="467"/>
      <c r="AF16" s="348"/>
      <c r="AG16" s="323"/>
      <c r="AH16" s="348"/>
      <c r="AI16" s="357"/>
    </row>
    <row r="17" spans="1:35">
      <c r="A17" s="717" t="s">
        <v>752</v>
      </c>
      <c r="B17" s="465"/>
      <c r="C17" s="465"/>
      <c r="D17" s="465"/>
      <c r="E17" s="465">
        <f>E15/D15-1</f>
        <v>-5.8068257431852399E-2</v>
      </c>
      <c r="F17" s="465">
        <f t="shared" ref="F17:AC17" si="7">F15/E15-1</f>
        <v>-2.0596708630964078E-2</v>
      </c>
      <c r="G17" s="465">
        <f t="shared" si="7"/>
        <v>9.9306526548226914E-2</v>
      </c>
      <c r="H17" s="465">
        <f t="shared" si="7"/>
        <v>1.0670195296463403E-2</v>
      </c>
      <c r="I17" s="465">
        <f t="shared" si="7"/>
        <v>0.31365807483489117</v>
      </c>
      <c r="J17" s="465">
        <f t="shared" si="7"/>
        <v>0.26716195808520449</v>
      </c>
      <c r="K17" s="465">
        <f t="shared" si="7"/>
        <v>0.27408165933156137</v>
      </c>
      <c r="L17" s="465">
        <f t="shared" si="7"/>
        <v>0.26237307149037759</v>
      </c>
      <c r="M17" s="465">
        <f t="shared" si="7"/>
        <v>0.17429098573843693</v>
      </c>
      <c r="N17" s="465">
        <f t="shared" si="7"/>
        <v>0.18770728285984872</v>
      </c>
      <c r="O17" s="465">
        <f t="shared" si="7"/>
        <v>0.19258655638317834</v>
      </c>
      <c r="P17" s="465">
        <f t="shared" si="7"/>
        <v>7.6899584159286771E-2</v>
      </c>
      <c r="Q17" s="465">
        <f t="shared" si="7"/>
        <v>0.12192646583936884</v>
      </c>
      <c r="R17" s="465">
        <f t="shared" si="7"/>
        <v>0.14116358390854211</v>
      </c>
      <c r="S17" s="465">
        <f t="shared" si="7"/>
        <v>0.13109804901416977</v>
      </c>
      <c r="T17" s="465">
        <f t="shared" si="7"/>
        <v>0.10983716995320858</v>
      </c>
      <c r="U17" s="465">
        <f t="shared" si="7"/>
        <v>1.1147159921041094E-3</v>
      </c>
      <c r="V17" s="465">
        <f t="shared" si="7"/>
        <v>1.0462620806610534E-3</v>
      </c>
      <c r="W17" s="465">
        <f t="shared" si="7"/>
        <v>6.855103765611803E-2</v>
      </c>
      <c r="X17" s="465">
        <f t="shared" si="7"/>
        <v>-1.9333860620444066E-3</v>
      </c>
      <c r="Y17" s="465">
        <f t="shared" si="7"/>
        <v>0.29413010726235456</v>
      </c>
      <c r="Z17" s="465">
        <f>Z15/Y15-1</f>
        <v>1.5246938229527052E-2</v>
      </c>
      <c r="AA17" s="465">
        <f t="shared" si="7"/>
        <v>2.8696375750194125E-2</v>
      </c>
      <c r="AB17" s="465">
        <f t="shared" si="7"/>
        <v>2.7398871232295896E-2</v>
      </c>
      <c r="AC17" s="465">
        <f t="shared" si="7"/>
        <v>2.451176641684194E-2</v>
      </c>
      <c r="AD17" s="465"/>
      <c r="AE17" s="467"/>
      <c r="AF17" s="348"/>
      <c r="AG17" s="323"/>
      <c r="AH17" s="348"/>
      <c r="AI17" s="357"/>
    </row>
    <row r="18" spans="1:35" hidden="1" outlineLevel="2">
      <c r="A18" s="474" t="s">
        <v>220</v>
      </c>
      <c r="B18" s="465"/>
      <c r="C18" s="465"/>
      <c r="D18" s="473">
        <v>28.393000000000001</v>
      </c>
      <c r="E18" s="473">
        <v>27.751000000000001</v>
      </c>
      <c r="F18" s="473">
        <v>28.353999999999999</v>
      </c>
      <c r="G18" s="473">
        <v>28.364000000000001</v>
      </c>
      <c r="H18" s="473">
        <v>31.831</v>
      </c>
      <c r="I18" s="473">
        <v>40.256999999999998</v>
      </c>
      <c r="J18" s="473">
        <v>51.982999999999997</v>
      </c>
      <c r="K18" s="473">
        <v>62.906999999999996</v>
      </c>
      <c r="L18" s="473">
        <v>85.384</v>
      </c>
      <c r="M18" s="473">
        <v>93.756</v>
      </c>
      <c r="N18" s="473">
        <f>107.458</f>
        <v>107.458</v>
      </c>
      <c r="O18" s="473">
        <f>132.969</f>
        <v>132.96899999999999</v>
      </c>
      <c r="P18" s="473">
        <v>151.267</v>
      </c>
      <c r="Q18" s="473">
        <v>181.369</v>
      </c>
      <c r="R18" s="473">
        <f>129.11+77.795</f>
        <v>206.90500000000003</v>
      </c>
      <c r="S18" s="473">
        <f>153.577+94.579</f>
        <v>248.15600000000001</v>
      </c>
      <c r="T18" s="473">
        <f>169.737+112.568</f>
        <v>282.30500000000001</v>
      </c>
      <c r="U18" s="473">
        <f>172.768+144.439</f>
        <v>317.20699999999999</v>
      </c>
      <c r="V18" s="1591">
        <v>356.6</v>
      </c>
      <c r="W18" s="1591">
        <v>364.7</v>
      </c>
      <c r="X18" s="439">
        <f>+(229.9*1.05)+130+5</f>
        <v>376.39499999999998</v>
      </c>
      <c r="Y18" s="439">
        <f>+Y19*Y7</f>
        <v>501.45711048472344</v>
      </c>
      <c r="Z18" s="439">
        <f>+Z19*Z7</f>
        <v>541.50701085485719</v>
      </c>
      <c r="AA18" s="439">
        <f>+AA19*AA7</f>
        <v>563.23570283759841</v>
      </c>
      <c r="AB18" s="439">
        <f>+AB19*AB7</f>
        <v>585.73526204596556</v>
      </c>
      <c r="AC18" s="439">
        <f>+AC19*AC7</f>
        <v>602.525147371309</v>
      </c>
      <c r="AD18" s="439"/>
      <c r="AE18" s="475"/>
      <c r="AF18" s="348"/>
      <c r="AG18" s="469"/>
      <c r="AH18" s="348"/>
      <c r="AI18" s="476"/>
    </row>
    <row r="19" spans="1:35" hidden="1" outlineLevel="1">
      <c r="A19" s="477" t="s">
        <v>221</v>
      </c>
      <c r="B19" s="465"/>
      <c r="C19" s="465"/>
      <c r="D19" s="465"/>
      <c r="E19" s="465"/>
      <c r="F19" s="465">
        <f t="shared" ref="F19:O19" si="8">+F18/F7</f>
        <v>5.6601137053243475E-2</v>
      </c>
      <c r="G19" s="465">
        <f t="shared" si="8"/>
        <v>5.1672563115073657E-2</v>
      </c>
      <c r="H19" s="465">
        <f t="shared" si="8"/>
        <v>5.3008288217475365E-2</v>
      </c>
      <c r="I19" s="465">
        <f t="shared" si="8"/>
        <v>5.5958899253964745E-2</v>
      </c>
      <c r="J19" s="465">
        <f t="shared" si="8"/>
        <v>5.4533762192806319E-2</v>
      </c>
      <c r="K19" s="465">
        <f t="shared" si="8"/>
        <v>4.7616920973790146E-2</v>
      </c>
      <c r="L19" s="465">
        <f t="shared" si="8"/>
        <v>4.9919815156835468E-2</v>
      </c>
      <c r="M19" s="465">
        <f t="shared" si="8"/>
        <v>4.6069684353181262E-2</v>
      </c>
      <c r="N19" s="465">
        <f t="shared" si="8"/>
        <v>4.1132941569159448E-2</v>
      </c>
      <c r="O19" s="465">
        <f t="shared" si="8"/>
        <v>4.1804199440573418E-2</v>
      </c>
      <c r="P19" s="465">
        <f t="shared" ref="P19:X19" si="9">P18/P7</f>
        <v>4.6825103978742399E-2</v>
      </c>
      <c r="Q19" s="465">
        <f t="shared" si="9"/>
        <v>5.0273641797564945E-2</v>
      </c>
      <c r="R19" s="465">
        <f t="shared" si="9"/>
        <v>4.9754635497788031E-2</v>
      </c>
      <c r="S19" s="465">
        <f t="shared" si="9"/>
        <v>5.2098807939233882E-2</v>
      </c>
      <c r="T19" s="465">
        <f t="shared" si="9"/>
        <v>5.5622326560126424E-2</v>
      </c>
      <c r="U19" s="465">
        <f t="shared" si="9"/>
        <v>6.5999185223499679E-2</v>
      </c>
      <c r="V19" s="465">
        <f t="shared" si="9"/>
        <v>8.5074911728218336E-2</v>
      </c>
      <c r="W19" s="465">
        <f t="shared" si="9"/>
        <v>8.1192395030945289E-2</v>
      </c>
      <c r="X19" s="465">
        <f t="shared" si="9"/>
        <v>8.3861372902880815E-2</v>
      </c>
      <c r="Y19" s="465">
        <v>8.5999999999999993E-2</v>
      </c>
      <c r="Z19" s="469">
        <v>0.09</v>
      </c>
      <c r="AA19" s="469">
        <v>9.0999999999999998E-2</v>
      </c>
      <c r="AB19" s="469">
        <v>9.1999999999999998E-2</v>
      </c>
      <c r="AC19" s="469">
        <v>9.1999999999999998E-2</v>
      </c>
      <c r="AD19" s="469"/>
      <c r="AE19" s="475"/>
      <c r="AF19" s="348"/>
      <c r="AG19" s="469"/>
      <c r="AH19" s="348"/>
      <c r="AI19" s="476"/>
    </row>
    <row r="20" spans="1:35" hidden="1" outlineLevel="2">
      <c r="A20" s="477" t="s">
        <v>222</v>
      </c>
      <c r="B20" s="465"/>
      <c r="C20" s="465"/>
      <c r="D20" s="465"/>
      <c r="E20" s="465"/>
      <c r="F20" s="465">
        <f t="shared" ref="F20:V20" si="10">+F13+F19</f>
        <v>0.60507362100354534</v>
      </c>
      <c r="G20" s="465">
        <f t="shared" si="10"/>
        <v>0.65072925282100413</v>
      </c>
      <c r="H20" s="465">
        <f t="shared" si="10"/>
        <v>0.68912773047389553</v>
      </c>
      <c r="I20" s="465">
        <f t="shared" si="10"/>
        <v>0.72785212182879411</v>
      </c>
      <c r="J20" s="465">
        <f t="shared" si="10"/>
        <v>0.76520363481482889</v>
      </c>
      <c r="K20" s="465">
        <f t="shared" si="10"/>
        <v>0.79705110717837924</v>
      </c>
      <c r="L20" s="465">
        <f t="shared" si="10"/>
        <v>0.81626299459256568</v>
      </c>
      <c r="M20" s="465">
        <f t="shared" si="10"/>
        <v>0.82324279356549657</v>
      </c>
      <c r="N20" s="465">
        <f t="shared" si="10"/>
        <v>0.81549469158523624</v>
      </c>
      <c r="O20" s="465">
        <f t="shared" si="10"/>
        <v>0.79857467892077272</v>
      </c>
      <c r="P20" s="465">
        <f t="shared" si="10"/>
        <v>0.76579523462235188</v>
      </c>
      <c r="Q20" s="465">
        <f t="shared" si="10"/>
        <v>0.78030599539421386</v>
      </c>
      <c r="R20" s="465">
        <f t="shared" si="10"/>
        <v>0.77682831843255284</v>
      </c>
      <c r="S20" s="465">
        <f t="shared" si="10"/>
        <v>0.77978031483168797</v>
      </c>
      <c r="T20" s="465">
        <f t="shared" si="10"/>
        <v>0.78521118574139126</v>
      </c>
      <c r="U20" s="465">
        <f t="shared" si="10"/>
        <v>0.76907785859424838</v>
      </c>
      <c r="V20" s="465">
        <f t="shared" si="10"/>
        <v>0.78130069663135793</v>
      </c>
      <c r="W20" s="465">
        <f t="shared" ref="W20:AB20" si="11">+W13+W19</f>
        <v>0.76074179616189497</v>
      </c>
      <c r="X20" s="465">
        <f t="shared" si="11"/>
        <v>0.77098567386315531</v>
      </c>
      <c r="Y20" s="465">
        <f t="shared" si="11"/>
        <v>0.75955116324138894</v>
      </c>
      <c r="Z20" s="465">
        <f t="shared" si="11"/>
        <v>0.76239999999999997</v>
      </c>
      <c r="AA20" s="465">
        <f t="shared" si="11"/>
        <v>0.76490000000000002</v>
      </c>
      <c r="AB20" s="465">
        <f t="shared" si="11"/>
        <v>0.76669999999999994</v>
      </c>
      <c r="AC20" s="465">
        <f>+AC13+AC19</f>
        <v>0.76879999999999993</v>
      </c>
      <c r="AD20" s="465"/>
      <c r="AE20" s="475"/>
      <c r="AF20" s="348"/>
      <c r="AG20" s="469"/>
      <c r="AH20" s="348"/>
      <c r="AI20" s="476"/>
    </row>
    <row r="21" spans="1:35" hidden="1" outlineLevel="1">
      <c r="A21" s="474" t="s">
        <v>344</v>
      </c>
      <c r="B21" s="465"/>
      <c r="C21" s="465"/>
      <c r="D21" s="465"/>
      <c r="E21" s="465"/>
      <c r="F21" s="465"/>
      <c r="G21" s="465"/>
      <c r="H21" s="438">
        <f>H18+9.5</f>
        <v>41.331000000000003</v>
      </c>
      <c r="I21" s="438">
        <f>I18+12.1</f>
        <v>52.356999999999999</v>
      </c>
      <c r="J21" s="438">
        <f>J18+15.6</f>
        <v>67.582999999999998</v>
      </c>
      <c r="K21" s="438">
        <f>K18+18.9</f>
        <v>81.806999999999988</v>
      </c>
      <c r="L21" s="438">
        <f>L18+25.6</f>
        <v>110.98400000000001</v>
      </c>
      <c r="M21" s="438">
        <f>M18+28.1</f>
        <v>121.85599999999999</v>
      </c>
      <c r="N21" s="438">
        <f>N18+32.2</f>
        <v>139.65800000000002</v>
      </c>
      <c r="O21" s="438">
        <f>O18+39.9</f>
        <v>172.869</v>
      </c>
      <c r="P21" s="438">
        <f>P18+45.4</f>
        <v>196.667</v>
      </c>
      <c r="Q21" s="438">
        <f>Q18+50.8</f>
        <v>232.16899999999998</v>
      </c>
      <c r="R21" s="438">
        <f>+R18*1.28</f>
        <v>264.83840000000004</v>
      </c>
      <c r="S21" s="701">
        <v>2.4141939999999997</v>
      </c>
      <c r="T21" s="701">
        <v>2.7031909999999999</v>
      </c>
      <c r="U21" s="701">
        <v>2.9617120000000003</v>
      </c>
      <c r="V21" s="701">
        <v>3.0396469999999995</v>
      </c>
      <c r="W21" s="701">
        <v>3.0962809999999998</v>
      </c>
      <c r="X21" s="701">
        <f>AVERAGE(V21:W21)</f>
        <v>3.0679639999999999</v>
      </c>
      <c r="Y21" s="701">
        <f>AVERAGE(U21:V21)</f>
        <v>3.0006794999999999</v>
      </c>
      <c r="Z21" s="465"/>
      <c r="AA21" s="465"/>
      <c r="AB21" s="465"/>
      <c r="AC21" s="465"/>
      <c r="AD21" s="465"/>
      <c r="AE21" s="475"/>
      <c r="AF21" s="348"/>
      <c r="AG21" s="469"/>
      <c r="AH21" s="348"/>
      <c r="AI21" s="476"/>
    </row>
    <row r="22" spans="1:35" hidden="1" outlineLevel="1">
      <c r="A22" s="474" t="s">
        <v>345</v>
      </c>
      <c r="B22" s="465"/>
      <c r="C22" s="465"/>
      <c r="D22" s="465"/>
      <c r="E22" s="465"/>
      <c r="F22" s="465"/>
      <c r="G22" s="465"/>
      <c r="H22" s="465">
        <f t="shared" ref="H22:R22" si="12">H21/H7</f>
        <v>6.8828675200794026E-2</v>
      </c>
      <c r="I22" s="465">
        <f t="shared" si="12"/>
        <v>7.2778400979701216E-2</v>
      </c>
      <c r="J22" s="465">
        <f t="shared" si="12"/>
        <v>7.0899241103368982E-2</v>
      </c>
      <c r="K22" s="465">
        <f t="shared" si="12"/>
        <v>6.1923115934678974E-2</v>
      </c>
      <c r="L22" s="465">
        <f t="shared" si="12"/>
        <v>6.4886873013283844E-2</v>
      </c>
      <c r="M22" s="465">
        <f t="shared" si="12"/>
        <v>5.987742071484764E-2</v>
      </c>
      <c r="N22" s="465">
        <f t="shared" si="12"/>
        <v>5.3458508009321511E-2</v>
      </c>
      <c r="O22" s="465">
        <f t="shared" si="12"/>
        <v>5.4348383105028139E-2</v>
      </c>
      <c r="P22" s="465">
        <f t="shared" si="12"/>
        <v>6.0878795270530466E-2</v>
      </c>
      <c r="Q22" s="465">
        <f t="shared" si="12"/>
        <v>6.4354885027203407E-2</v>
      </c>
      <c r="R22" s="465">
        <f t="shared" si="12"/>
        <v>6.3685933437168676E-2</v>
      </c>
      <c r="S22" s="1649">
        <f>S18/S21</f>
        <v>102.79041369500547</v>
      </c>
      <c r="T22" s="1649">
        <f>T18/T21</f>
        <v>104.43398191248788</v>
      </c>
      <c r="U22" s="1649">
        <f>U18/U21</f>
        <v>107.10258120978676</v>
      </c>
      <c r="V22" s="1649">
        <f>(V18-27.3)/V21</f>
        <v>108.33494810417133</v>
      </c>
      <c r="W22" s="1649">
        <f>(W18-5.3)/W21</f>
        <v>116.07473611083748</v>
      </c>
      <c r="X22" s="1649">
        <f>AVERAGE(V22:W22)</f>
        <v>112.2048421075044</v>
      </c>
      <c r="Y22" s="1649">
        <f>AVERAGE(U22:V22)</f>
        <v>107.71876465697905</v>
      </c>
      <c r="Z22" s="465">
        <f>X22/Y22-1</f>
        <v>4.1646202171096824E-2</v>
      </c>
      <c r="AA22" s="465"/>
      <c r="AB22" s="465"/>
      <c r="AC22" s="465"/>
      <c r="AD22" s="465"/>
      <c r="AE22" s="475"/>
      <c r="AF22" s="348"/>
      <c r="AG22" s="469"/>
      <c r="AH22" s="348"/>
      <c r="AI22" s="476"/>
    </row>
    <row r="23" spans="1:35" hidden="1" outlineLevel="2">
      <c r="A23" s="702" t="s">
        <v>376</v>
      </c>
      <c r="B23" s="465"/>
      <c r="C23" s="465"/>
      <c r="D23" s="465"/>
      <c r="E23" s="465"/>
      <c r="F23" s="465"/>
      <c r="G23" s="465"/>
      <c r="H23" s="478"/>
      <c r="I23" s="478"/>
      <c r="J23" s="478"/>
      <c r="K23" s="478"/>
      <c r="L23" s="469"/>
      <c r="M23" s="469"/>
      <c r="N23" s="469"/>
      <c r="O23" s="469"/>
      <c r="P23" s="469"/>
      <c r="Q23" s="469"/>
      <c r="R23" s="469"/>
      <c r="S23" s="700">
        <f t="shared" ref="S23:AC23" si="13">S18/R18-1</f>
        <v>0.19937169232256324</v>
      </c>
      <c r="T23" s="700">
        <f t="shared" si="13"/>
        <v>0.13761101887522376</v>
      </c>
      <c r="U23" s="700">
        <f t="shared" si="13"/>
        <v>0.12363224172437604</v>
      </c>
      <c r="V23" s="700">
        <f t="shared" si="13"/>
        <v>0.12418704505259992</v>
      </c>
      <c r="W23" s="700">
        <f t="shared" si="13"/>
        <v>2.2714526079640862E-2</v>
      </c>
      <c r="X23" s="700">
        <f t="shared" si="13"/>
        <v>3.2067452700849985E-2</v>
      </c>
      <c r="Y23" s="700">
        <f t="shared" si="13"/>
        <v>0.33226294314409976</v>
      </c>
      <c r="Z23" s="700">
        <f>Z18/Y18-1</f>
        <v>7.986705050691234E-2</v>
      </c>
      <c r="AA23" s="700">
        <f t="shared" si="13"/>
        <v>4.0126335480751951E-2</v>
      </c>
      <c r="AB23" s="700">
        <f t="shared" si="13"/>
        <v>3.9946969084192707E-2</v>
      </c>
      <c r="AC23" s="700">
        <f t="shared" si="13"/>
        <v>2.8664631298953358E-2</v>
      </c>
      <c r="AD23" s="700"/>
      <c r="AE23" s="467"/>
      <c r="AF23" s="348"/>
      <c r="AG23" s="323"/>
      <c r="AH23" s="348"/>
      <c r="AI23" s="357"/>
    </row>
    <row r="24" spans="1:35" hidden="1" outlineLevel="2">
      <c r="A24" s="702" t="s">
        <v>377</v>
      </c>
      <c r="B24" s="465"/>
      <c r="C24" s="465"/>
      <c r="D24" s="465"/>
      <c r="E24" s="465"/>
      <c r="F24" s="465"/>
      <c r="G24" s="465"/>
      <c r="H24" s="478"/>
      <c r="I24" s="478">
        <f>yrSales!I86</f>
        <v>0.15634734513734694</v>
      </c>
      <c r="J24" s="478">
        <f>yrSales!J86</f>
        <v>0.16647171980918007</v>
      </c>
      <c r="K24" s="478">
        <f>yrSales!K86</f>
        <v>0.14214386705676274</v>
      </c>
      <c r="L24" s="478">
        <f>yrSales!L86</f>
        <v>0.13938285136957651</v>
      </c>
      <c r="M24" s="478">
        <f>yrSales!M86</f>
        <v>0.15200767708356189</v>
      </c>
      <c r="N24" s="478">
        <f>yrSales!N86</f>
        <v>0.16420201991097749</v>
      </c>
      <c r="O24" s="478">
        <f>yrSales!O86</f>
        <v>0.18999233654161451</v>
      </c>
      <c r="P24" s="478">
        <f>yrSales!P86</f>
        <v>0.17822652557269425</v>
      </c>
      <c r="Q24" s="478">
        <f>yrSales!Q86</f>
        <v>0.12044156158549124</v>
      </c>
      <c r="R24" s="478">
        <f>yrSales!R86</f>
        <v>8.8051843193189594E-2</v>
      </c>
      <c r="S24" s="478">
        <f>yrSales!S86</f>
        <v>0.14569659197771379</v>
      </c>
      <c r="T24" s="478">
        <f>yrSales!T86</f>
        <v>0.15489478767964182</v>
      </c>
      <c r="U24" s="478">
        <f>yrSales!U86</f>
        <v>0.10699175457777765</v>
      </c>
      <c r="V24" s="478">
        <f>yrSales!V86</f>
        <v>5.939307345597955E-2</v>
      </c>
      <c r="W24" s="478">
        <f>yrSales!W86</f>
        <v>2.2423087837271538E-2</v>
      </c>
      <c r="X24" s="478">
        <f>yrSales!X86</f>
        <v>-1.1388823336910159E-2</v>
      </c>
      <c r="Y24" s="478">
        <f>yrSales!Y86</f>
        <v>-1.9248944164131809E-2</v>
      </c>
      <c r="Z24" s="478">
        <f>yrSales!Z86</f>
        <v>3.5298377182320095E-3</v>
      </c>
      <c r="AA24" s="478">
        <f>yrSales!AA86</f>
        <v>3.7686662037070828E-3</v>
      </c>
      <c r="AB24" s="478">
        <f>yrSales!AB86</f>
        <v>3.754516683570186E-3</v>
      </c>
      <c r="AC24" s="478">
        <f>yrSales!AC86</f>
        <v>3.7404730152303944E-3</v>
      </c>
      <c r="AD24" s="478"/>
      <c r="AE24" s="467"/>
      <c r="AF24" s="348"/>
      <c r="AG24" s="323"/>
      <c r="AH24" s="348"/>
      <c r="AI24" s="357"/>
    </row>
    <row r="25" spans="1:35" hidden="1" outlineLevel="2">
      <c r="A25" s="702"/>
      <c r="B25" s="465"/>
      <c r="C25" s="465"/>
      <c r="D25" s="465"/>
      <c r="E25" s="465"/>
      <c r="F25" s="465"/>
      <c r="G25" s="465"/>
      <c r="H25" s="478"/>
      <c r="I25" s="478"/>
      <c r="J25" s="478"/>
      <c r="K25" s="478"/>
      <c r="L25" s="478"/>
      <c r="M25" s="478"/>
      <c r="N25" s="478"/>
      <c r="O25" s="478"/>
      <c r="P25" s="478"/>
      <c r="Q25" s="478"/>
      <c r="R25" s="478"/>
      <c r="S25" s="478"/>
      <c r="T25" s="478"/>
      <c r="U25" s="478"/>
      <c r="V25" s="718"/>
      <c r="W25" s="718"/>
      <c r="X25" s="478"/>
      <c r="Y25" s="478"/>
      <c r="Z25" s="478"/>
      <c r="AA25" s="478"/>
      <c r="AB25" s="478"/>
      <c r="AC25" s="478"/>
      <c r="AD25" s="478"/>
      <c r="AE25" s="467"/>
      <c r="AF25" s="348"/>
      <c r="AG25" s="323"/>
      <c r="AH25" s="348"/>
      <c r="AI25" s="357"/>
    </row>
    <row r="26" spans="1:35" hidden="1" outlineLevel="2">
      <c r="A26" s="702" t="s">
        <v>747</v>
      </c>
      <c r="B26" s="465"/>
      <c r="C26" s="465"/>
      <c r="D26" s="465"/>
      <c r="E26" s="465"/>
      <c r="F26" s="465"/>
      <c r="G26" s="473">
        <v>155.4</v>
      </c>
      <c r="H26" s="473">
        <v>162.69999999999999</v>
      </c>
      <c r="I26" s="473">
        <v>229.3</v>
      </c>
      <c r="J26" s="473">
        <v>294.89999999999998</v>
      </c>
      <c r="K26" s="473">
        <v>386.2</v>
      </c>
      <c r="L26" s="473">
        <v>497.3</v>
      </c>
      <c r="M26" s="473">
        <v>576.6</v>
      </c>
      <c r="N26" s="473">
        <v>718</v>
      </c>
      <c r="O26" s="473">
        <v>865.2</v>
      </c>
      <c r="P26" s="473">
        <v>976.5</v>
      </c>
      <c r="Q26" s="473">
        <v>1052.1199999999999</v>
      </c>
      <c r="R26" s="473">
        <v>1183.5</v>
      </c>
      <c r="S26" s="473">
        <v>1360</v>
      </c>
      <c r="T26" s="473">
        <v>1510</v>
      </c>
      <c r="U26" s="473">
        <v>1550</v>
      </c>
      <c r="V26" s="473">
        <v>1530</v>
      </c>
      <c r="W26" s="473">
        <v>1570</v>
      </c>
      <c r="X26" s="465"/>
      <c r="Y26" s="478"/>
      <c r="Z26" s="478"/>
      <c r="AA26" s="478"/>
      <c r="AB26" s="478"/>
      <c r="AC26" s="478"/>
      <c r="AD26" s="478"/>
      <c r="AE26" s="467"/>
      <c r="AF26" s="348"/>
      <c r="AG26" s="323"/>
      <c r="AH26" s="348"/>
      <c r="AI26" s="357"/>
    </row>
    <row r="27" spans="1:35" hidden="1" outlineLevel="2">
      <c r="A27" s="702" t="s">
        <v>379</v>
      </c>
      <c r="B27" s="465"/>
      <c r="C27" s="465"/>
      <c r="D27" s="465"/>
      <c r="E27" s="465"/>
      <c r="F27" s="465"/>
      <c r="G27" s="465">
        <f>G26/G7</f>
        <v>0.28310239416452004</v>
      </c>
      <c r="H27" s="465">
        <f t="shared" ref="H27:U27" si="14">H26/H7</f>
        <v>0.27094494338799413</v>
      </c>
      <c r="I27" s="465">
        <f t="shared" si="14"/>
        <v>0.31873650791003094</v>
      </c>
      <c r="J27" s="465">
        <f t="shared" si="14"/>
        <v>0.30937049555929019</v>
      </c>
      <c r="K27" s="465">
        <f t="shared" si="14"/>
        <v>0.29233081978281839</v>
      </c>
      <c r="L27" s="465">
        <f t="shared" si="14"/>
        <v>0.29074679187546004</v>
      </c>
      <c r="M27" s="465">
        <f t="shared" si="14"/>
        <v>0.2833288535991757</v>
      </c>
      <c r="N27" s="465">
        <f t="shared" si="14"/>
        <v>0.27483716472162595</v>
      </c>
      <c r="O27" s="465">
        <f t="shared" si="14"/>
        <v>0.27201071946080763</v>
      </c>
      <c r="P27" s="465">
        <f t="shared" si="14"/>
        <v>0.30227818384209348</v>
      </c>
      <c r="Q27" s="465">
        <f t="shared" si="14"/>
        <v>0.29163696115683507</v>
      </c>
      <c r="R27" s="465">
        <f t="shared" si="14"/>
        <v>0.28459733264847215</v>
      </c>
      <c r="S27" s="465">
        <f t="shared" si="14"/>
        <v>0.28552353679684583</v>
      </c>
      <c r="T27" s="465">
        <f t="shared" si="14"/>
        <v>0.29751408266162799</v>
      </c>
      <c r="U27" s="465">
        <f t="shared" si="14"/>
        <v>0.32249835941963606</v>
      </c>
      <c r="V27" s="465">
        <f>V26/V7</f>
        <v>0.36501574577726881</v>
      </c>
      <c r="W27" s="465">
        <f>W26/W7</f>
        <v>0.34952580257357857</v>
      </c>
      <c r="X27" s="478"/>
      <c r="Y27" s="478"/>
      <c r="Z27" s="478"/>
      <c r="AA27" s="478"/>
      <c r="AB27" s="478"/>
      <c r="AC27" s="478"/>
      <c r="AD27" s="478"/>
      <c r="AE27" s="467"/>
      <c r="AF27" s="348"/>
      <c r="AG27" s="323"/>
      <c r="AH27" s="348"/>
      <c r="AI27" s="357"/>
    </row>
    <row r="28" spans="1:35" hidden="1" outlineLevel="2">
      <c r="A28" s="702" t="s">
        <v>748</v>
      </c>
      <c r="B28" s="465"/>
      <c r="C28" s="465"/>
      <c r="D28" s="465"/>
      <c r="E28" s="465"/>
      <c r="F28" s="465"/>
      <c r="G28" s="465"/>
      <c r="H28" s="718">
        <f t="shared" ref="H28:U28" si="15">H26-H21-H48</f>
        <v>97.237999999999985</v>
      </c>
      <c r="I28" s="718">
        <f t="shared" si="15"/>
        <v>151.44900000000001</v>
      </c>
      <c r="J28" s="718">
        <f t="shared" si="15"/>
        <v>197.08599999999998</v>
      </c>
      <c r="K28" s="718">
        <f t="shared" si="15"/>
        <v>264.29300000000001</v>
      </c>
      <c r="L28" s="718">
        <f t="shared" si="15"/>
        <v>335.91600000000005</v>
      </c>
      <c r="M28" s="718">
        <f t="shared" si="15"/>
        <v>389.62900000000002</v>
      </c>
      <c r="N28" s="718">
        <f t="shared" si="15"/>
        <v>497.51</v>
      </c>
      <c r="O28" s="718">
        <f t="shared" si="15"/>
        <v>591.62700000000007</v>
      </c>
      <c r="P28" s="718">
        <f t="shared" si="15"/>
        <v>656.81899999999996</v>
      </c>
      <c r="Q28" s="718">
        <f t="shared" si="15"/>
        <v>693.20699999999988</v>
      </c>
      <c r="R28" s="718">
        <f t="shared" si="15"/>
        <v>793.55559999999991</v>
      </c>
      <c r="S28" s="718">
        <f t="shared" si="15"/>
        <v>1224.6768059999999</v>
      </c>
      <c r="T28" s="718">
        <f t="shared" si="15"/>
        <v>1344.3098089999999</v>
      </c>
      <c r="U28" s="718">
        <f t="shared" si="15"/>
        <v>1357.6782880000001</v>
      </c>
      <c r="V28" s="718">
        <f>V26-V21-V48</f>
        <v>1335.160353</v>
      </c>
      <c r="W28" s="718">
        <f>W26-W21-W48</f>
        <v>1356.303719</v>
      </c>
      <c r="X28" s="478"/>
      <c r="Y28" s="478"/>
      <c r="Z28" s="478"/>
      <c r="AA28" s="478"/>
      <c r="AB28" s="478"/>
      <c r="AC28" s="478"/>
      <c r="AD28" s="478"/>
      <c r="AE28" s="467"/>
      <c r="AF28" s="348"/>
      <c r="AG28" s="323"/>
      <c r="AH28" s="348"/>
      <c r="AI28" s="357"/>
    </row>
    <row r="29" spans="1:35" hidden="1" outlineLevel="1">
      <c r="A29" s="702"/>
      <c r="B29" s="465"/>
      <c r="C29" s="465"/>
      <c r="D29" s="465"/>
      <c r="E29" s="465"/>
      <c r="F29" s="465"/>
      <c r="G29" s="465"/>
      <c r="H29" s="478"/>
      <c r="I29" s="478"/>
      <c r="J29" s="478"/>
      <c r="K29" s="478"/>
      <c r="L29" s="478"/>
      <c r="M29" s="478"/>
      <c r="N29" s="478"/>
      <c r="O29" s="478"/>
      <c r="P29" s="478"/>
      <c r="Q29" s="478"/>
      <c r="R29" s="478"/>
      <c r="S29" s="478"/>
      <c r="T29" s="465"/>
      <c r="U29" s="465"/>
      <c r="V29" s="465"/>
      <c r="W29" s="478"/>
      <c r="X29" s="478"/>
      <c r="Y29" s="478"/>
      <c r="Z29" s="478"/>
      <c r="AA29" s="478"/>
      <c r="AB29" s="478"/>
      <c r="AC29" s="478"/>
      <c r="AD29" s="478"/>
      <c r="AE29" s="467"/>
      <c r="AF29" s="348"/>
      <c r="AG29" s="323"/>
      <c r="AH29" s="348"/>
      <c r="AI29" s="357"/>
    </row>
    <row r="30" spans="1:35" hidden="1" outlineLevel="1">
      <c r="A30" s="702" t="s">
        <v>746</v>
      </c>
      <c r="B30" s="465"/>
      <c r="C30" s="465"/>
      <c r="D30" s="465"/>
      <c r="E30" s="465"/>
      <c r="F30" s="465"/>
      <c r="G30" s="473">
        <v>25.3</v>
      </c>
      <c r="H30" s="473">
        <v>25.8</v>
      </c>
      <c r="I30" s="473">
        <v>26.9</v>
      </c>
      <c r="J30" s="473">
        <v>29.7</v>
      </c>
      <c r="K30" s="473">
        <v>32.4</v>
      </c>
      <c r="L30" s="473">
        <v>36.9</v>
      </c>
      <c r="M30" s="473">
        <v>42.2</v>
      </c>
      <c r="N30" s="473">
        <v>53.2</v>
      </c>
      <c r="O30" s="473">
        <v>47.6</v>
      </c>
      <c r="P30" s="473">
        <v>52.2</v>
      </c>
      <c r="Q30" s="473">
        <v>48</v>
      </c>
      <c r="R30" s="473">
        <v>58.2</v>
      </c>
      <c r="S30" s="473">
        <v>68.900000000000006</v>
      </c>
      <c r="T30" s="473">
        <v>86.1</v>
      </c>
      <c r="U30" s="473">
        <v>87.2</v>
      </c>
      <c r="V30" s="473">
        <v>69.599999999999994</v>
      </c>
      <c r="W30" s="473">
        <f>'SG&amp;A breakout'!AD135</f>
        <v>67.7</v>
      </c>
      <c r="X30" s="465"/>
      <c r="Y30" s="465"/>
      <c r="Z30" s="465"/>
      <c r="AA30" s="465"/>
      <c r="AB30" s="465"/>
      <c r="AC30" s="465"/>
      <c r="AD30" s="465"/>
      <c r="AE30" s="467"/>
      <c r="AF30" s="348"/>
      <c r="AG30" s="323"/>
      <c r="AH30" s="348"/>
      <c r="AI30" s="357"/>
    </row>
    <row r="31" spans="1:35" hidden="1" outlineLevel="1">
      <c r="A31" s="702" t="s">
        <v>379</v>
      </c>
      <c r="B31" s="465"/>
      <c r="C31" s="465"/>
      <c r="D31" s="465"/>
      <c r="E31" s="465"/>
      <c r="F31" s="465"/>
      <c r="G31" s="465">
        <f t="shared" ref="G31:W31" si="16">G30/G7</f>
        <v>4.609067292382469E-2</v>
      </c>
      <c r="H31" s="465">
        <f t="shared" si="16"/>
        <v>4.2964840438907498E-2</v>
      </c>
      <c r="I31" s="465">
        <f t="shared" si="16"/>
        <v>3.7392115406802581E-2</v>
      </c>
      <c r="J31" s="465">
        <f t="shared" si="16"/>
        <v>3.1157354079725058E-2</v>
      </c>
      <c r="K31" s="465">
        <f t="shared" si="16"/>
        <v>2.4524905647237999E-2</v>
      </c>
      <c r="L31" s="465">
        <f t="shared" si="16"/>
        <v>2.1573610738396289E-2</v>
      </c>
      <c r="M31" s="465">
        <f t="shared" si="16"/>
        <v>2.0736173468410016E-2</v>
      </c>
      <c r="N31" s="465">
        <f t="shared" si="16"/>
        <v>2.0363979335919921E-2</v>
      </c>
      <c r="O31" s="465">
        <f t="shared" si="16"/>
        <v>1.4964991038296859E-2</v>
      </c>
      <c r="P31" s="465">
        <f t="shared" si="16"/>
        <v>1.6158649458840022E-2</v>
      </c>
      <c r="Q31" s="465">
        <f t="shared" si="16"/>
        <v>1.3305111713044221E-2</v>
      </c>
      <c r="R31" s="465">
        <f t="shared" si="16"/>
        <v>1.3995407486388743E-2</v>
      </c>
      <c r="S31" s="465">
        <f t="shared" si="16"/>
        <v>1.4465126239193148E-2</v>
      </c>
      <c r="T31" s="465">
        <f t="shared" si="16"/>
        <v>1.6964213587527265E-2</v>
      </c>
      <c r="U31" s="465">
        <f t="shared" si="16"/>
        <v>1.8143133510575657E-2</v>
      </c>
      <c r="V31" s="465">
        <f t="shared" si="16"/>
        <v>1.6604637847122815E-2</v>
      </c>
      <c r="W31" s="465">
        <f t="shared" si="16"/>
        <v>1.5071908811612274E-2</v>
      </c>
      <c r="X31" s="465"/>
      <c r="Y31" s="465"/>
      <c r="Z31" s="465"/>
      <c r="AA31" s="465"/>
      <c r="AB31" s="465"/>
      <c r="AC31" s="465"/>
      <c r="AD31" s="465"/>
      <c r="AE31" s="467"/>
      <c r="AF31" s="348"/>
      <c r="AG31" s="323"/>
      <c r="AH31" s="348"/>
      <c r="AI31" s="357"/>
    </row>
    <row r="32" spans="1:35" hidden="1" outlineLevel="1">
      <c r="A32" s="702" t="s">
        <v>737</v>
      </c>
      <c r="B32" s="465"/>
      <c r="C32" s="473"/>
      <c r="D32" s="473"/>
      <c r="E32" s="473"/>
      <c r="F32" s="473"/>
      <c r="G32" s="473">
        <v>9.67</v>
      </c>
      <c r="H32" s="473">
        <v>10.087</v>
      </c>
      <c r="I32" s="473">
        <v>10.694000000000001</v>
      </c>
      <c r="J32" s="473">
        <v>11.29</v>
      </c>
      <c r="K32" s="473">
        <v>13.08</v>
      </c>
      <c r="L32" s="473">
        <v>16.187999999999999</v>
      </c>
      <c r="M32" s="473">
        <v>19.927</v>
      </c>
      <c r="N32" s="473">
        <v>28.141999999999999</v>
      </c>
      <c r="O32" s="473">
        <v>28.433</v>
      </c>
      <c r="P32" s="473">
        <v>26.141999999999999</v>
      </c>
      <c r="Q32" s="473">
        <v>22.661000000000001</v>
      </c>
      <c r="R32" s="473">
        <v>31.521999999999998</v>
      </c>
      <c r="S32" s="473">
        <v>52.24</v>
      </c>
      <c r="T32" s="473">
        <v>66.828000000000003</v>
      </c>
      <c r="U32" s="473">
        <v>61.893000000000001</v>
      </c>
      <c r="V32" s="473">
        <v>41.2</v>
      </c>
      <c r="W32" s="473">
        <v>43.6</v>
      </c>
      <c r="X32" s="478"/>
      <c r="Y32" s="478"/>
      <c r="Z32" s="478"/>
      <c r="AA32" s="478"/>
      <c r="AB32" s="478"/>
      <c r="AC32" s="478"/>
      <c r="AD32" s="478"/>
      <c r="AE32" s="467"/>
      <c r="AF32" s="348"/>
      <c r="AG32" s="323"/>
      <c r="AH32" s="348"/>
      <c r="AI32" s="357"/>
    </row>
    <row r="33" spans="1:35" hidden="1" outlineLevel="1">
      <c r="A33" s="702" t="s">
        <v>379</v>
      </c>
      <c r="B33" s="465"/>
      <c r="C33" s="465"/>
      <c r="D33" s="465"/>
      <c r="E33" s="465"/>
      <c r="F33" s="465"/>
      <c r="G33" s="465">
        <f t="shared" ref="G33:W33" si="17">G32/G7</f>
        <v>1.7616474591833388E-2</v>
      </c>
      <c r="H33" s="465">
        <f t="shared" si="17"/>
        <v>1.6797920368498444E-2</v>
      </c>
      <c r="I33" s="465">
        <f t="shared" si="17"/>
        <v>1.4865103426035199E-2</v>
      </c>
      <c r="J33" s="465">
        <f t="shared" si="17"/>
        <v>1.1843990826939255E-2</v>
      </c>
      <c r="K33" s="465">
        <f t="shared" si="17"/>
        <v>9.9007952427738587E-3</v>
      </c>
      <c r="L33" s="465">
        <f t="shared" si="17"/>
        <v>9.4643254914135253E-3</v>
      </c>
      <c r="M33" s="465">
        <f t="shared" si="17"/>
        <v>9.7916997323461222E-3</v>
      </c>
      <c r="N33" s="465">
        <f t="shared" si="17"/>
        <v>1.0772238843448466E-2</v>
      </c>
      <c r="O33" s="465">
        <f t="shared" si="17"/>
        <v>8.9390670208381214E-3</v>
      </c>
      <c r="P33" s="465">
        <f t="shared" si="17"/>
        <v>8.0923259416282728E-3</v>
      </c>
      <c r="Q33" s="465">
        <f t="shared" si="17"/>
        <v>6.2813986776936483E-3</v>
      </c>
      <c r="R33" s="465">
        <f t="shared" si="17"/>
        <v>7.5801243090368722E-3</v>
      </c>
      <c r="S33" s="465">
        <f t="shared" si="17"/>
        <v>1.0967462913431784E-2</v>
      </c>
      <c r="T33" s="465">
        <f t="shared" si="17"/>
        <v>1.3167066964312104E-2</v>
      </c>
      <c r="U33" s="465">
        <f t="shared" si="17"/>
        <v>1.2877671586812604E-2</v>
      </c>
      <c r="V33" s="465">
        <f t="shared" si="17"/>
        <v>9.8291821738715531E-3</v>
      </c>
      <c r="W33" s="465">
        <f t="shared" si="17"/>
        <v>9.7065764281579793E-3</v>
      </c>
      <c r="X33" s="465"/>
      <c r="Y33" s="465"/>
      <c r="Z33" s="465"/>
      <c r="AA33" s="465"/>
      <c r="AB33" s="465"/>
      <c r="AC33" s="465"/>
      <c r="AD33" s="465"/>
      <c r="AE33" s="467"/>
      <c r="AF33" s="348"/>
      <c r="AG33" s="323"/>
      <c r="AH33" s="348"/>
      <c r="AI33" s="357"/>
    </row>
    <row r="34" spans="1:35" hidden="1" outlineLevel="1">
      <c r="A34" s="702"/>
      <c r="B34" s="465"/>
      <c r="C34" s="465"/>
      <c r="D34" s="465"/>
      <c r="E34" s="465"/>
      <c r="F34" s="465"/>
      <c r="G34" s="465"/>
      <c r="H34" s="478"/>
      <c r="I34" s="478"/>
      <c r="J34" s="478"/>
      <c r="K34" s="478"/>
      <c r="L34" s="478"/>
      <c r="M34" s="478"/>
      <c r="N34" s="478"/>
      <c r="O34" s="478"/>
      <c r="P34" s="478"/>
      <c r="Q34" s="478"/>
      <c r="R34" s="478"/>
      <c r="S34" s="478"/>
      <c r="T34" s="478"/>
      <c r="U34" s="478"/>
      <c r="V34" s="478"/>
      <c r="W34" s="478"/>
      <c r="X34" s="478"/>
      <c r="Y34" s="478"/>
      <c r="Z34" s="478"/>
      <c r="AA34" s="478"/>
      <c r="AB34" s="478"/>
      <c r="AC34" s="478"/>
      <c r="AD34" s="478"/>
      <c r="AE34" s="467"/>
      <c r="AF34" s="348"/>
      <c r="AG34" s="323"/>
      <c r="AH34" s="348"/>
      <c r="AI34" s="357"/>
    </row>
    <row r="35" spans="1:35" s="535" customFormat="1" hidden="1" outlineLevel="1">
      <c r="A35" s="702" t="s">
        <v>745</v>
      </c>
      <c r="B35" s="465"/>
      <c r="C35" s="465"/>
      <c r="D35" s="465"/>
      <c r="E35" s="465"/>
      <c r="F35" s="465"/>
      <c r="G35" s="473">
        <v>50.2</v>
      </c>
      <c r="H35" s="473">
        <v>52.2</v>
      </c>
      <c r="I35" s="473">
        <v>51.7</v>
      </c>
      <c r="J35" s="473">
        <v>57.3</v>
      </c>
      <c r="K35" s="473">
        <v>63.5</v>
      </c>
      <c r="L35" s="473">
        <v>78.8</v>
      </c>
      <c r="M35" s="473">
        <v>100.6</v>
      </c>
      <c r="N35" s="473">
        <v>119.8</v>
      </c>
      <c r="O35" s="473">
        <v>147.69999999999999</v>
      </c>
      <c r="P35" s="473">
        <v>163.6</v>
      </c>
      <c r="Q35" s="473">
        <v>179.4</v>
      </c>
      <c r="R35" s="473">
        <v>224.4</v>
      </c>
      <c r="S35" s="473">
        <v>245.2</v>
      </c>
      <c r="T35" s="473">
        <v>265.39999999999998</v>
      </c>
      <c r="U35" s="473">
        <v>242.3</v>
      </c>
      <c r="V35" s="473">
        <v>246.8</v>
      </c>
      <c r="W35" s="473">
        <f>'SG&amp;A breakout'!Z135</f>
        <v>285.7</v>
      </c>
      <c r="X35" s="469"/>
      <c r="Y35" s="469"/>
      <c r="Z35" s="469"/>
      <c r="AA35" s="469"/>
      <c r="AB35" s="469"/>
      <c r="AC35" s="469"/>
      <c r="AD35" s="469"/>
      <c r="AE35" s="467"/>
      <c r="AF35" s="711"/>
      <c r="AG35" s="712"/>
      <c r="AH35" s="711"/>
      <c r="AI35" s="713"/>
    </row>
    <row r="36" spans="1:35" s="535" customFormat="1" hidden="1" outlineLevel="1">
      <c r="A36" s="702" t="s">
        <v>379</v>
      </c>
      <c r="B36" s="465"/>
      <c r="C36" s="465"/>
      <c r="D36" s="465"/>
      <c r="E36" s="465"/>
      <c r="F36" s="465"/>
      <c r="G36" s="465">
        <f t="shared" ref="G36:W36" si="18">G35/G7</f>
        <v>9.145263955636361E-2</v>
      </c>
      <c r="H36" s="465">
        <f t="shared" si="18"/>
        <v>8.6928863213603547E-2</v>
      </c>
      <c r="I36" s="465">
        <f t="shared" si="18"/>
        <v>7.186514373723768E-2</v>
      </c>
      <c r="J36" s="465">
        <f t="shared" si="18"/>
        <v>6.0111662921489756E-2</v>
      </c>
      <c r="K36" s="465">
        <f t="shared" si="18"/>
        <v>4.806578730245719E-2</v>
      </c>
      <c r="L36" s="465">
        <f t="shared" si="18"/>
        <v>4.6070474964380145E-2</v>
      </c>
      <c r="M36" s="465">
        <f t="shared" si="18"/>
        <v>4.9432678931802067E-2</v>
      </c>
      <c r="N36" s="465">
        <f t="shared" si="18"/>
        <v>4.5857231662466282E-2</v>
      </c>
      <c r="O36" s="465">
        <f t="shared" si="18"/>
        <v>4.6435486898244657E-2</v>
      </c>
      <c r="P36" s="465">
        <f t="shared" si="18"/>
        <v>5.064281707789707E-2</v>
      </c>
      <c r="Q36" s="465">
        <f t="shared" si="18"/>
        <v>4.9727855027502779E-2</v>
      </c>
      <c r="R36" s="465">
        <f t="shared" si="18"/>
        <v>5.3961674225869997E-2</v>
      </c>
      <c r="S36" s="465">
        <f t="shared" si="18"/>
        <v>5.1478214134254852E-2</v>
      </c>
      <c r="T36" s="465">
        <f t="shared" si="18"/>
        <v>5.2291548038672891E-2</v>
      </c>
      <c r="U36" s="465">
        <f t="shared" si="18"/>
        <v>5.0413775798308275E-2</v>
      </c>
      <c r="V36" s="465">
        <f t="shared" si="18"/>
        <v>5.8879664090084931E-2</v>
      </c>
      <c r="W36" s="465">
        <f t="shared" si="18"/>
        <v>6.3604790952402165E-2</v>
      </c>
      <c r="X36" s="469"/>
      <c r="Y36" s="469"/>
      <c r="Z36" s="469"/>
      <c r="AA36" s="469"/>
      <c r="AB36" s="469"/>
      <c r="AC36" s="469"/>
      <c r="AD36" s="469"/>
      <c r="AE36" s="467"/>
      <c r="AF36" s="711"/>
      <c r="AG36" s="712"/>
      <c r="AH36" s="711"/>
      <c r="AI36" s="713"/>
    </row>
    <row r="37" spans="1:35" s="535" customFormat="1" hidden="1" outlineLevel="1">
      <c r="A37" s="702" t="s">
        <v>738</v>
      </c>
      <c r="B37" s="465"/>
      <c r="C37" s="465"/>
      <c r="D37" s="465"/>
      <c r="E37" s="465"/>
      <c r="F37" s="465"/>
      <c r="G37" s="473">
        <v>15.763999999999999</v>
      </c>
      <c r="H37" s="473">
        <v>16.445</v>
      </c>
      <c r="I37" s="473">
        <v>17.279</v>
      </c>
      <c r="J37" s="473">
        <v>19.885000000000002</v>
      </c>
      <c r="K37" s="473">
        <v>21.574000000000002</v>
      </c>
      <c r="L37" s="473">
        <v>28.111999999999998</v>
      </c>
      <c r="M37" s="473">
        <v>35.887</v>
      </c>
      <c r="N37" s="473">
        <v>47.286999999999999</v>
      </c>
      <c r="O37" s="473">
        <v>57.38</v>
      </c>
      <c r="P37" s="473">
        <v>50.078000000000003</v>
      </c>
      <c r="Q37" s="473">
        <v>61.241</v>
      </c>
      <c r="R37" s="473">
        <v>74.988</v>
      </c>
      <c r="S37" s="473">
        <v>89.159000000000006</v>
      </c>
      <c r="T37" s="473">
        <v>102.70099999999999</v>
      </c>
      <c r="U37" s="473">
        <v>130.12200000000001</v>
      </c>
      <c r="V37" s="1591">
        <v>160.9</v>
      </c>
      <c r="W37" s="1591">
        <v>202.2</v>
      </c>
      <c r="X37" s="439">
        <f t="shared" ref="X37:AC37" si="19">X7*X38</f>
        <v>206.46180000000001</v>
      </c>
      <c r="Y37" s="439">
        <f t="shared" si="19"/>
        <v>268.22124514299162</v>
      </c>
      <c r="Z37" s="439">
        <f t="shared" si="19"/>
        <v>270.75350542742859</v>
      </c>
      <c r="AA37" s="439">
        <f t="shared" si="19"/>
        <v>272.33374642697066</v>
      </c>
      <c r="AB37" s="439">
        <f t="shared" si="19"/>
        <v>273.76756813017954</v>
      </c>
      <c r="AC37" s="439">
        <f t="shared" si="19"/>
        <v>281.61501453224218</v>
      </c>
      <c r="AD37" s="439"/>
      <c r="AE37" s="467"/>
      <c r="AF37" s="711"/>
      <c r="AG37" s="712"/>
      <c r="AH37" s="711"/>
      <c r="AI37" s="713"/>
    </row>
    <row r="38" spans="1:35" s="535" customFormat="1" hidden="1" outlineLevel="1">
      <c r="A38" s="702" t="s">
        <v>379</v>
      </c>
      <c r="B38" s="465"/>
      <c r="C38" s="465"/>
      <c r="D38" s="465"/>
      <c r="E38" s="465"/>
      <c r="F38" s="465"/>
      <c r="G38" s="465">
        <f t="shared" ref="G38:W38" si="20">G37/G7</f>
        <v>2.871831493957203E-2</v>
      </c>
      <c r="H38" s="465">
        <f t="shared" si="20"/>
        <v>2.7385922520071077E-2</v>
      </c>
      <c r="I38" s="465">
        <f t="shared" si="20"/>
        <v>2.4018526472644679E-2</v>
      </c>
      <c r="J38" s="465">
        <f t="shared" si="20"/>
        <v>2.0860740265162724E-2</v>
      </c>
      <c r="K38" s="465">
        <f t="shared" si="20"/>
        <v>1.633025661831829E-2</v>
      </c>
      <c r="L38" s="465">
        <f t="shared" si="20"/>
        <v>1.6435700408612371E-2</v>
      </c>
      <c r="M38" s="465">
        <f t="shared" si="20"/>
        <v>1.7634100882958061E-2</v>
      </c>
      <c r="N38" s="465">
        <f t="shared" si="20"/>
        <v>1.8100591933414383E-2</v>
      </c>
      <c r="O38" s="465">
        <f t="shared" si="20"/>
        <v>1.8039730793644407E-2</v>
      </c>
      <c r="P38" s="465">
        <f t="shared" si="20"/>
        <v>1.550177868965116E-2</v>
      </c>
      <c r="Q38" s="465">
        <f t="shared" si="20"/>
        <v>1.6975382217052939E-2</v>
      </c>
      <c r="R38" s="465">
        <f t="shared" si="20"/>
        <v>1.8032433274730569E-2</v>
      </c>
      <c r="S38" s="465">
        <f t="shared" si="20"/>
        <v>1.8718377218580867E-2</v>
      </c>
      <c r="T38" s="465">
        <f t="shared" si="20"/>
        <v>2.0235095234060831E-2</v>
      </c>
      <c r="U38" s="465">
        <f t="shared" si="20"/>
        <v>2.7073633241549606E-2</v>
      </c>
      <c r="V38" s="465">
        <f t="shared" si="20"/>
        <v>3.8386296402328463E-2</v>
      </c>
      <c r="W38" s="465">
        <f t="shared" si="20"/>
        <v>4.5015361325081264E-2</v>
      </c>
      <c r="X38" s="469">
        <v>4.5999999999999999E-2</v>
      </c>
      <c r="Y38" s="469">
        <v>4.5999999999999999E-2</v>
      </c>
      <c r="Z38" s="469">
        <v>4.4999999999999998E-2</v>
      </c>
      <c r="AA38" s="469">
        <v>4.3999999999999997E-2</v>
      </c>
      <c r="AB38" s="469">
        <v>4.2999999999999997E-2</v>
      </c>
      <c r="AC38" s="469">
        <v>4.2999999999999997E-2</v>
      </c>
      <c r="AD38" s="469"/>
      <c r="AE38" s="467"/>
      <c r="AF38" s="711"/>
      <c r="AG38" s="712"/>
      <c r="AH38" s="711"/>
      <c r="AI38" s="713"/>
    </row>
    <row r="39" spans="1:35" s="535" customFormat="1" hidden="1" outlineLevel="1">
      <c r="A39" s="702"/>
      <c r="B39" s="465"/>
      <c r="C39" s="465"/>
      <c r="D39" s="465"/>
      <c r="E39" s="465"/>
      <c r="F39" s="465"/>
      <c r="G39" s="465"/>
      <c r="H39" s="465"/>
      <c r="I39" s="465"/>
      <c r="J39" s="465"/>
      <c r="K39" s="465"/>
      <c r="L39" s="465"/>
      <c r="M39" s="465"/>
      <c r="N39" s="465"/>
      <c r="O39" s="465"/>
      <c r="P39" s="465"/>
      <c r="Q39" s="465"/>
      <c r="R39" s="465"/>
      <c r="S39" s="465"/>
      <c r="T39" s="465"/>
      <c r="U39" s="465"/>
      <c r="V39" s="469"/>
      <c r="W39" s="469"/>
      <c r="X39" s="469"/>
      <c r="Y39" s="469"/>
      <c r="Z39" s="469"/>
      <c r="AA39" s="469"/>
      <c r="AB39" s="469"/>
      <c r="AC39" s="469"/>
      <c r="AD39" s="469"/>
      <c r="AE39" s="467"/>
      <c r="AF39" s="711"/>
      <c r="AG39" s="712"/>
      <c r="AH39" s="711"/>
      <c r="AI39" s="713"/>
    </row>
    <row r="40" spans="1:35" s="535" customFormat="1" hidden="1" outlineLevel="1">
      <c r="A40" s="702" t="s">
        <v>586</v>
      </c>
      <c r="B40" s="465"/>
      <c r="C40" s="465"/>
      <c r="D40" s="465"/>
      <c r="E40" s="465"/>
      <c r="F40" s="465"/>
      <c r="G40" s="473">
        <v>41.9</v>
      </c>
      <c r="H40" s="473">
        <v>35</v>
      </c>
      <c r="I40" s="473">
        <v>38.5</v>
      </c>
      <c r="J40" s="473">
        <v>51.8</v>
      </c>
      <c r="K40" s="473">
        <v>63.5</v>
      </c>
      <c r="L40" s="473">
        <v>125.2</v>
      </c>
      <c r="M40" s="473">
        <v>147.5</v>
      </c>
      <c r="N40" s="473">
        <v>138.6</v>
      </c>
      <c r="O40" s="473">
        <v>167.4</v>
      </c>
      <c r="P40" s="473">
        <v>130</v>
      </c>
      <c r="Q40" s="473">
        <v>204</v>
      </c>
      <c r="R40" s="473">
        <v>226.70000000000002</v>
      </c>
      <c r="S40" s="473">
        <v>282.2</v>
      </c>
      <c r="T40" s="473">
        <v>258.7</v>
      </c>
      <c r="U40" s="473">
        <v>251.2</v>
      </c>
      <c r="V40" s="473">
        <v>284.8</v>
      </c>
      <c r="W40" s="473">
        <f>'SG&amp;A breakout'!AH135</f>
        <v>347.9</v>
      </c>
      <c r="X40" s="469"/>
      <c r="Y40" s="469"/>
      <c r="Z40" s="469"/>
      <c r="AA40" s="469"/>
      <c r="AB40" s="469"/>
      <c r="AC40" s="469"/>
      <c r="AD40" s="469"/>
      <c r="AE40" s="467"/>
      <c r="AF40" s="711"/>
      <c r="AG40" s="712"/>
      <c r="AH40" s="711"/>
      <c r="AI40" s="713"/>
    </row>
    <row r="41" spans="1:35" s="535" customFormat="1" hidden="1" outlineLevel="1">
      <c r="A41" s="702" t="s">
        <v>379</v>
      </c>
      <c r="B41" s="465"/>
      <c r="C41" s="465"/>
      <c r="D41" s="465"/>
      <c r="E41" s="465"/>
      <c r="F41" s="465"/>
      <c r="G41" s="465">
        <f t="shared" ref="G41:W41" si="21">G40/G7</f>
        <v>7.6331984012183968E-2</v>
      </c>
      <c r="H41" s="465">
        <f t="shared" si="21"/>
        <v>5.828563625433187E-2</v>
      </c>
      <c r="I41" s="465">
        <f t="shared" si="21"/>
        <v>5.3516596400070615E-2</v>
      </c>
      <c r="J41" s="465">
        <f t="shared" si="21"/>
        <v>5.4341782536355486E-2</v>
      </c>
      <c r="K41" s="465">
        <f t="shared" si="21"/>
        <v>4.806578730245719E-2</v>
      </c>
      <c r="L41" s="465">
        <f t="shared" si="21"/>
        <v>7.3198267329192823E-2</v>
      </c>
      <c r="M41" s="465">
        <f t="shared" si="21"/>
        <v>7.2478331435793297E-2</v>
      </c>
      <c r="N41" s="465">
        <f t="shared" si="21"/>
        <v>5.3053525112001891E-2</v>
      </c>
      <c r="O41" s="465">
        <f t="shared" si="21"/>
        <v>5.2628981088464165E-2</v>
      </c>
      <c r="P41" s="465">
        <f t="shared" si="21"/>
        <v>4.024184731128741E-2</v>
      </c>
      <c r="Q41" s="465">
        <f t="shared" si="21"/>
        <v>5.6546724780437936E-2</v>
      </c>
      <c r="R41" s="465">
        <f t="shared" si="21"/>
        <v>5.4514757339593267E-2</v>
      </c>
      <c r="S41" s="465">
        <f t="shared" si="21"/>
        <v>5.9246133885345512E-2</v>
      </c>
      <c r="T41" s="465">
        <f t="shared" si="21"/>
        <v>5.0971452440108055E-2</v>
      </c>
      <c r="U41" s="465">
        <f t="shared" si="21"/>
        <v>5.2265540571750049E-2</v>
      </c>
      <c r="V41" s="465">
        <f t="shared" si="21"/>
        <v>6.794541463880141E-2</v>
      </c>
      <c r="W41" s="465">
        <f t="shared" si="21"/>
        <v>7.7452246315508261E-2</v>
      </c>
      <c r="X41" s="469"/>
      <c r="Y41" s="469"/>
      <c r="Z41" s="469"/>
      <c r="AA41" s="469"/>
      <c r="AB41" s="469"/>
      <c r="AC41" s="469"/>
      <c r="AD41" s="469"/>
      <c r="AE41" s="467"/>
      <c r="AF41" s="711"/>
      <c r="AG41" s="712"/>
      <c r="AH41" s="711"/>
      <c r="AI41" s="713"/>
    </row>
    <row r="42" spans="1:35" s="535" customFormat="1" hidden="1" outlineLevel="1">
      <c r="A42" s="702"/>
      <c r="B42" s="465"/>
      <c r="C42" s="465"/>
      <c r="D42" s="465"/>
      <c r="E42" s="465"/>
      <c r="F42" s="465"/>
      <c r="G42" s="465"/>
      <c r="H42" s="465"/>
      <c r="I42" s="465"/>
      <c r="J42" s="465"/>
      <c r="K42" s="465"/>
      <c r="L42" s="465"/>
      <c r="M42" s="465"/>
      <c r="N42" s="465"/>
      <c r="O42" s="465"/>
      <c r="P42" s="465"/>
      <c r="Q42" s="465"/>
      <c r="R42" s="465"/>
      <c r="S42" s="465"/>
      <c r="T42" s="465"/>
      <c r="U42" s="465"/>
      <c r="V42" s="469"/>
      <c r="W42" s="469"/>
      <c r="X42" s="469"/>
      <c r="Y42" s="469"/>
      <c r="Z42" s="469"/>
      <c r="AA42" s="469"/>
      <c r="AB42" s="469"/>
      <c r="AC42" s="469"/>
      <c r="AD42" s="469"/>
      <c r="AE42" s="467"/>
      <c r="AF42" s="711"/>
      <c r="AG42" s="712"/>
      <c r="AH42" s="711"/>
      <c r="AI42" s="713"/>
    </row>
    <row r="43" spans="1:35" s="535" customFormat="1" hidden="1" outlineLevel="1">
      <c r="A43" s="702"/>
      <c r="B43" s="465"/>
      <c r="C43" s="465"/>
      <c r="D43" s="465"/>
      <c r="E43" s="465"/>
      <c r="F43" s="465"/>
      <c r="G43" s="465"/>
      <c r="H43" s="465"/>
      <c r="I43" s="465"/>
      <c r="J43" s="465"/>
      <c r="K43" s="465"/>
      <c r="L43" s="465"/>
      <c r="M43" s="465"/>
      <c r="N43" s="465"/>
      <c r="O43" s="465"/>
      <c r="P43" s="465"/>
      <c r="Q43" s="465"/>
      <c r="R43" s="465"/>
      <c r="S43" s="465"/>
      <c r="T43" s="465"/>
      <c r="U43" s="465"/>
      <c r="V43" s="469"/>
      <c r="W43" s="469"/>
      <c r="X43" s="469"/>
      <c r="Y43" s="469"/>
      <c r="Z43" s="469"/>
      <c r="AA43" s="469"/>
      <c r="AB43" s="469"/>
      <c r="AC43" s="469"/>
      <c r="AD43" s="469"/>
      <c r="AE43" s="467"/>
      <c r="AF43" s="711"/>
      <c r="AG43" s="712"/>
      <c r="AH43" s="711"/>
      <c r="AI43" s="713"/>
    </row>
    <row r="44" spans="1:35" s="535" customFormat="1" hidden="1" outlineLevel="1">
      <c r="A44" s="717" t="s">
        <v>744</v>
      </c>
      <c r="B44" s="465"/>
      <c r="C44" s="465"/>
      <c r="D44" s="465"/>
      <c r="E44" s="465"/>
      <c r="F44" s="465"/>
      <c r="G44" s="465"/>
      <c r="H44" s="465"/>
      <c r="I44" s="465"/>
      <c r="J44" s="465"/>
      <c r="K44" s="465"/>
      <c r="L44" s="465"/>
      <c r="M44" s="465"/>
      <c r="N44" s="439">
        <f>N15-N21-N32-N37-N48</f>
        <v>733.66999999999985</v>
      </c>
      <c r="O44" s="439">
        <f>O15-O21-O32-O37-O48</f>
        <v>868.48800000000017</v>
      </c>
      <c r="P44" s="439">
        <f>P15-P21-P32-P37-P48</f>
        <v>926.39600000000007</v>
      </c>
      <c r="Q44" s="439">
        <f>Q15-Q21-Q32-Q37-Q48</f>
        <v>1040.7050000000002</v>
      </c>
      <c r="R44" s="439">
        <f>R15-R21-R32-R37-R48</f>
        <v>1196.4846000000002</v>
      </c>
      <c r="S44" s="439">
        <f>S15-S18-S32-S37-S48</f>
        <v>1392.4159999999997</v>
      </c>
      <c r="T44" s="439">
        <f>T15-T18-T32-T37-T48</f>
        <v>1510.3839999999998</v>
      </c>
      <c r="U44" s="439">
        <f>U15-U18-U32-U37-U48</f>
        <v>1428.9919999999997</v>
      </c>
      <c r="V44" s="439">
        <f>V15-V18-V32-V37-V48</f>
        <v>1379.3000000000002</v>
      </c>
      <c r="W44" s="469"/>
      <c r="X44" s="469"/>
      <c r="Y44" s="469"/>
      <c r="Z44" s="469"/>
      <c r="AA44" s="469"/>
      <c r="AB44" s="469"/>
      <c r="AC44" s="469"/>
      <c r="AD44" s="469"/>
      <c r="AE44" s="467"/>
      <c r="AF44" s="711"/>
      <c r="AG44" s="712"/>
      <c r="AH44" s="711"/>
      <c r="AI44" s="713"/>
    </row>
    <row r="45" spans="1:35" ht="14.25" hidden="1" outlineLevel="1">
      <c r="A45" s="437" t="s">
        <v>233</v>
      </c>
      <c r="B45" s="479"/>
      <c r="C45" s="480"/>
      <c r="D45" s="479"/>
      <c r="E45" s="480"/>
      <c r="F45" s="480"/>
      <c r="G45" s="479"/>
      <c r="H45" s="481"/>
      <c r="I45" s="482">
        <f>10.227/(1-I71)</f>
        <v>15.853712300749502</v>
      </c>
      <c r="J45" s="482">
        <f>15.947/(1-J71)</f>
        <v>25.312888776403032</v>
      </c>
      <c r="K45" s="482">
        <f>43.571</f>
        <v>43.570999999999998</v>
      </c>
      <c r="L45" s="482">
        <f>55.88</f>
        <v>55.88</v>
      </c>
      <c r="M45" s="482">
        <f>69.19</f>
        <v>69.19</v>
      </c>
      <c r="N45" s="482">
        <v>56.725999999999999</v>
      </c>
      <c r="O45" s="482">
        <v>66.978999999999999</v>
      </c>
      <c r="P45" s="482">
        <v>67.542000000000002</v>
      </c>
      <c r="Q45" s="482">
        <v>81.42</v>
      </c>
      <c r="R45" s="482">
        <v>95.83</v>
      </c>
      <c r="S45" s="482">
        <v>107.511</v>
      </c>
      <c r="T45" s="482">
        <v>120.46</v>
      </c>
      <c r="U45" s="482">
        <v>104.94</v>
      </c>
      <c r="V45" s="482"/>
      <c r="W45" s="482">
        <f t="shared" ref="W45:AC45" si="22">+V45</f>
        <v>0</v>
      </c>
      <c r="X45" s="482">
        <f t="shared" si="22"/>
        <v>0</v>
      </c>
      <c r="Y45" s="482">
        <f t="shared" si="22"/>
        <v>0</v>
      </c>
      <c r="Z45" s="482">
        <f>+Y45</f>
        <v>0</v>
      </c>
      <c r="AA45" s="482">
        <f t="shared" si="22"/>
        <v>0</v>
      </c>
      <c r="AB45" s="482">
        <f t="shared" si="22"/>
        <v>0</v>
      </c>
      <c r="AC45" s="482">
        <f t="shared" si="22"/>
        <v>0</v>
      </c>
      <c r="AD45" s="482"/>
      <c r="AE45" s="467"/>
      <c r="AF45" s="348"/>
      <c r="AG45" s="323"/>
      <c r="AH45" s="348"/>
      <c r="AI45" s="357"/>
    </row>
    <row r="46" spans="1:35" hidden="1" outlineLevel="1">
      <c r="A46" s="437" t="s">
        <v>441</v>
      </c>
      <c r="B46" s="479"/>
      <c r="C46" s="465"/>
      <c r="D46" s="465"/>
      <c r="E46" s="465"/>
      <c r="F46" s="465"/>
      <c r="G46" s="465"/>
      <c r="H46" s="484"/>
      <c r="I46" s="465">
        <f t="shared" ref="I46:U46" si="23">I45/I7</f>
        <v>2.2037317471221972E-2</v>
      </c>
      <c r="J46" s="465">
        <f t="shared" si="23"/>
        <v>2.6554970989464233E-2</v>
      </c>
      <c r="K46" s="465">
        <f t="shared" si="23"/>
        <v>3.2980699504808857E-2</v>
      </c>
      <c r="L46" s="465">
        <f t="shared" si="23"/>
        <v>3.2670280977278719E-2</v>
      </c>
      <c r="M46" s="465">
        <f t="shared" si="23"/>
        <v>3.3998479674864662E-2</v>
      </c>
      <c r="N46" s="465">
        <f t="shared" si="23"/>
        <v>2.171366713927431E-2</v>
      </c>
      <c r="O46" s="465">
        <f t="shared" si="23"/>
        <v>2.1057565856178261E-2</v>
      </c>
      <c r="P46" s="465">
        <f t="shared" si="23"/>
        <v>2.0907806546915184E-2</v>
      </c>
      <c r="Q46" s="465">
        <f t="shared" si="23"/>
        <v>2.2568795743251258E-2</v>
      </c>
      <c r="R46" s="465">
        <f t="shared" si="23"/>
        <v>2.3044328168739404E-2</v>
      </c>
      <c r="S46" s="465">
        <f t="shared" si="23"/>
        <v>2.2571265415121833E-2</v>
      </c>
      <c r="T46" s="465">
        <f t="shared" si="23"/>
        <v>2.373413668703292E-2</v>
      </c>
      <c r="U46" s="465">
        <f t="shared" si="23"/>
        <v>2.1834179249997813E-2</v>
      </c>
      <c r="V46" s="483"/>
      <c r="W46" s="483">
        <f t="shared" ref="W46:AB46" si="24">W45/W7</f>
        <v>0</v>
      </c>
      <c r="X46" s="483">
        <f t="shared" si="24"/>
        <v>0</v>
      </c>
      <c r="Y46" s="483">
        <f t="shared" si="24"/>
        <v>0</v>
      </c>
      <c r="Z46" s="483">
        <f t="shared" si="24"/>
        <v>0</v>
      </c>
      <c r="AA46" s="483">
        <f t="shared" si="24"/>
        <v>0</v>
      </c>
      <c r="AB46" s="483">
        <f t="shared" si="24"/>
        <v>0</v>
      </c>
      <c r="AC46" s="483">
        <f>AC45/AC7</f>
        <v>0</v>
      </c>
      <c r="AD46" s="483"/>
      <c r="AE46" s="467"/>
      <c r="AF46" s="348"/>
      <c r="AG46" s="323"/>
      <c r="AH46" s="348"/>
      <c r="AI46" s="357"/>
    </row>
    <row r="47" spans="1:35" collapsed="1">
      <c r="A47" s="437"/>
      <c r="B47" s="465"/>
      <c r="C47" s="465"/>
      <c r="D47" s="465"/>
      <c r="E47" s="465"/>
      <c r="F47" s="465"/>
      <c r="G47" s="465"/>
      <c r="H47" s="484"/>
      <c r="I47" s="465"/>
      <c r="J47" s="468"/>
      <c r="K47" s="469"/>
      <c r="L47" s="485"/>
      <c r="M47" s="469"/>
      <c r="N47" s="469"/>
      <c r="O47" s="469"/>
      <c r="P47" s="469"/>
      <c r="Q47" s="469"/>
      <c r="R47" s="469"/>
      <c r="S47" s="469"/>
      <c r="T47" s="469"/>
      <c r="U47" s="469"/>
      <c r="V47" s="1596"/>
      <c r="W47" s="1596"/>
      <c r="X47" s="439"/>
      <c r="Y47" s="1650"/>
      <c r="Z47" s="469"/>
      <c r="AA47" s="469"/>
      <c r="AB47" s="469"/>
      <c r="AC47" s="469"/>
      <c r="AD47" s="469"/>
      <c r="AE47" s="467"/>
      <c r="AF47" s="348"/>
      <c r="AG47" s="323"/>
      <c r="AH47" s="348"/>
      <c r="AI47" s="357"/>
    </row>
    <row r="48" spans="1:35" hidden="1" outlineLevel="1">
      <c r="A48" s="437" t="s">
        <v>313</v>
      </c>
      <c r="B48" s="473"/>
      <c r="C48" s="473"/>
      <c r="D48" s="473"/>
      <c r="E48" s="473"/>
      <c r="F48" s="439">
        <f>flow!L9</f>
        <v>22.256</v>
      </c>
      <c r="G48" s="439">
        <f>flow!N9</f>
        <v>22.628</v>
      </c>
      <c r="H48" s="438">
        <f>flow!P9</f>
        <v>24.131</v>
      </c>
      <c r="I48" s="439">
        <f>flow!R9</f>
        <v>25.494</v>
      </c>
      <c r="J48" s="439">
        <f>flow!T9</f>
        <v>30.231000000000002</v>
      </c>
      <c r="K48" s="439">
        <f>flow!V9</f>
        <v>40.1</v>
      </c>
      <c r="L48" s="438">
        <f>flow!X9</f>
        <v>50.4</v>
      </c>
      <c r="M48" s="438">
        <f>flow!Z9</f>
        <v>65.114999999999995</v>
      </c>
      <c r="N48" s="438">
        <f>flow!AB9</f>
        <v>80.831999999999994</v>
      </c>
      <c r="O48" s="438">
        <f>flow!AD9</f>
        <v>100.70399999999999</v>
      </c>
      <c r="P48" s="438">
        <f>flow!AF9</f>
        <v>123.014</v>
      </c>
      <c r="Q48" s="438">
        <f>flow!AH9</f>
        <v>126.744</v>
      </c>
      <c r="R48" s="438">
        <f>flow!AJ9</f>
        <v>125.10599999999999</v>
      </c>
      <c r="S48" s="438">
        <f>flow!AL9</f>
        <v>132.90899999999999</v>
      </c>
      <c r="T48" s="438">
        <f>flow!AN9</f>
        <v>162.98699999999999</v>
      </c>
      <c r="U48" s="438">
        <f>flow!AP9</f>
        <v>189.36</v>
      </c>
      <c r="V48" s="438">
        <f>flow!AR9</f>
        <v>191.8</v>
      </c>
      <c r="W48" s="438">
        <f>flow!AT9</f>
        <v>210.6</v>
      </c>
      <c r="X48" s="486">
        <f>+W48+3</f>
        <v>213.6</v>
      </c>
      <c r="Y48" s="486">
        <f>+X48*(1+Y8)</f>
        <v>277.49471312631681</v>
      </c>
      <c r="Z48" s="486">
        <f>+Y48*(1+Z8)</f>
        <v>286.33929084408965</v>
      </c>
      <c r="AA48" s="486">
        <f>+Z48*(1+AA8)</f>
        <v>294.55619072619578</v>
      </c>
      <c r="AB48" s="486">
        <f>+AA48*(1+AB8)</f>
        <v>302.99322192535908</v>
      </c>
      <c r="AC48" s="486">
        <f>+AB48*(1+AC8)</f>
        <v>311.67841091793144</v>
      </c>
      <c r="AD48" s="486"/>
      <c r="AE48" s="467"/>
      <c r="AF48" s="348"/>
      <c r="AG48" s="323"/>
      <c r="AH48" s="348"/>
      <c r="AI48" s="357"/>
    </row>
    <row r="49" spans="1:37" hidden="1" outlineLevel="1">
      <c r="A49" s="702" t="s">
        <v>739</v>
      </c>
      <c r="B49" s="473"/>
      <c r="C49" s="473"/>
      <c r="D49" s="473"/>
      <c r="E49" s="473"/>
      <c r="F49" s="439"/>
      <c r="G49" s="439"/>
      <c r="H49" s="438"/>
      <c r="I49" s="439"/>
      <c r="J49" s="439"/>
      <c r="K49" s="439"/>
      <c r="L49" s="438"/>
      <c r="M49" s="438"/>
      <c r="N49" s="438"/>
      <c r="O49" s="438"/>
      <c r="P49" s="438"/>
      <c r="Q49" s="438"/>
      <c r="R49" s="438"/>
      <c r="S49" s="438">
        <v>63.8</v>
      </c>
      <c r="T49" s="438">
        <v>72.278999999999996</v>
      </c>
      <c r="U49" s="438">
        <v>72.882999999999996</v>
      </c>
      <c r="V49" s="438">
        <v>61.8</v>
      </c>
      <c r="W49" s="438">
        <v>64</v>
      </c>
      <c r="X49" s="486">
        <f>X54*(yrSales!X62+yrSales!X63+yrSales!X64+yrSales!X65)</f>
        <v>61.930715935334874</v>
      </c>
      <c r="Y49" s="486">
        <f>Y54*(yrSales!Y62+yrSales!Y63+yrSales!Y64+yrSales!Y65)</f>
        <v>61.48729792147806</v>
      </c>
      <c r="Z49" s="486">
        <f>Z54*(yrSales!Z62+yrSales!Z63+yrSales!Z64+yrSales!Z65)</f>
        <v>59.270207852193991</v>
      </c>
      <c r="AA49" s="486">
        <f>AA54*(yrSales!AA62+yrSales!AA63+yrSales!AA64+yrSales!AA65)</f>
        <v>57.053117782909929</v>
      </c>
      <c r="AB49" s="486">
        <f>AB54*(yrSales!AB62+yrSales!AB63+yrSales!AB64+yrSales!AB65)</f>
        <v>54.836027713625867</v>
      </c>
      <c r="AC49" s="486">
        <f>AC54*(yrSales!AC62+yrSales!AC63+yrSales!AC64+yrSales!AC65)</f>
        <v>52.618937644341798</v>
      </c>
      <c r="AD49" s="486"/>
      <c r="AE49" s="467"/>
      <c r="AF49" s="348"/>
      <c r="AG49" s="323"/>
      <c r="AH49" s="348"/>
      <c r="AI49" s="357"/>
    </row>
    <row r="50" spans="1:37" hidden="1" outlineLevel="1">
      <c r="A50" s="702" t="s">
        <v>740</v>
      </c>
      <c r="B50" s="473"/>
      <c r="C50" s="473"/>
      <c r="D50" s="473"/>
      <c r="E50" s="473"/>
      <c r="F50" s="439"/>
      <c r="G50" s="439"/>
      <c r="H50" s="438"/>
      <c r="I50" s="439"/>
      <c r="J50" s="439"/>
      <c r="K50" s="439"/>
      <c r="L50" s="438"/>
      <c r="M50" s="438"/>
      <c r="N50" s="438"/>
      <c r="O50" s="438"/>
      <c r="P50" s="438"/>
      <c r="Q50" s="438"/>
      <c r="R50" s="438"/>
      <c r="S50" s="438">
        <v>38.360999999999997</v>
      </c>
      <c r="T50" s="438">
        <v>45.692999999999998</v>
      </c>
      <c r="U50" s="438">
        <v>58.837000000000003</v>
      </c>
      <c r="V50" s="438">
        <v>63.1</v>
      </c>
      <c r="W50" s="438">
        <v>70.599999999999994</v>
      </c>
      <c r="X50" s="486">
        <f>X55*(yrSales!X67+yrSales!X68+yrSales!X69+yrSales!X70+yrSales!X71+yrSales!X72+yrSales!X73+yrSales!X74)</f>
        <v>73.722692307692299</v>
      </c>
      <c r="Y50" s="486">
        <f>Y55*(yrSales!Y67+yrSales!Y68+yrSales!Y69+yrSales!Y70+yrSales!Y71+yrSales!Y72+yrSales!Y73+yrSales!Y74)</f>
        <v>74.808846153846147</v>
      </c>
      <c r="Z50" s="486">
        <f>Z55*(yrSales!Z67+yrSales!Z68+yrSales!Z69+yrSales!Z70+yrSales!Z71+yrSales!Z72+yrSales!Z73+yrSales!Z74)</f>
        <v>75.759230769230754</v>
      </c>
      <c r="AA50" s="486">
        <f>AA55*(yrSales!AA67+yrSales!AA68+yrSales!AA69+yrSales!AA70+yrSales!AA71+yrSales!AA72+yrSales!AA73+yrSales!AA74)</f>
        <v>76.709615384615375</v>
      </c>
      <c r="AB50" s="486">
        <f>AB55*(yrSales!AB67+yrSales!AB68+yrSales!AB69+yrSales!AB70+yrSales!AB71+yrSales!AB72+yrSales!AB73+yrSales!AB74)</f>
        <v>77.66</v>
      </c>
      <c r="AC50" s="486">
        <f>AC55*(yrSales!AC67+yrSales!AC68+yrSales!AC69+yrSales!AC70+yrSales!AC71+yrSales!AC72+yrSales!AC73+yrSales!AC74)</f>
        <v>78.610384615384604</v>
      </c>
      <c r="AD50" s="486"/>
      <c r="AE50" s="467"/>
      <c r="AF50" s="348"/>
      <c r="AG50" s="323"/>
      <c r="AH50" s="348"/>
      <c r="AI50" s="357"/>
    </row>
    <row r="51" spans="1:37" hidden="1" outlineLevel="1">
      <c r="A51" s="702" t="s">
        <v>741</v>
      </c>
      <c r="B51" s="473"/>
      <c r="C51" s="473"/>
      <c r="D51" s="473"/>
      <c r="E51" s="473"/>
      <c r="F51" s="439"/>
      <c r="G51" s="439"/>
      <c r="H51" s="438"/>
      <c r="I51" s="439"/>
      <c r="J51" s="439"/>
      <c r="K51" s="439"/>
      <c r="L51" s="438"/>
      <c r="M51" s="438"/>
      <c r="N51" s="438"/>
      <c r="O51" s="438"/>
      <c r="P51" s="438"/>
      <c r="Q51" s="438">
        <v>31.495999999999999</v>
      </c>
      <c r="R51" s="438">
        <v>31.5</v>
      </c>
      <c r="S51" s="438">
        <v>30.748000000000001</v>
      </c>
      <c r="T51" s="438">
        <v>45.015000000000001</v>
      </c>
      <c r="U51" s="438">
        <v>57.64</v>
      </c>
      <c r="V51" s="438">
        <f>110.5-48.8</f>
        <v>61.7</v>
      </c>
      <c r="W51" s="438">
        <f>64.9-8.5</f>
        <v>56.400000000000006</v>
      </c>
      <c r="X51" s="486">
        <f t="shared" ref="X51:AC51" si="25">X48-SUM(X49:X50)</f>
        <v>77.946591756972822</v>
      </c>
      <c r="Y51" s="486">
        <f t="shared" si="25"/>
        <v>141.1985690509926</v>
      </c>
      <c r="Z51" s="486">
        <f t="shared" si="25"/>
        <v>151.30985222266492</v>
      </c>
      <c r="AA51" s="486">
        <f t="shared" si="25"/>
        <v>160.79345755867047</v>
      </c>
      <c r="AB51" s="486">
        <f t="shared" si="25"/>
        <v>170.49719421173322</v>
      </c>
      <c r="AC51" s="486">
        <f t="shared" si="25"/>
        <v>180.44908865820503</v>
      </c>
      <c r="AD51" s="486"/>
      <c r="AE51" s="467"/>
      <c r="AF51" s="348"/>
      <c r="AG51" s="323"/>
      <c r="AH51" s="348"/>
      <c r="AI51" s="357"/>
    </row>
    <row r="52" spans="1:37" hidden="1" outlineLevel="1">
      <c r="A52" s="437" t="s">
        <v>441</v>
      </c>
      <c r="B52" s="439">
        <f>B48/B7*100</f>
        <v>0</v>
      </c>
      <c r="C52" s="439">
        <f>C48/C7*100</f>
        <v>0</v>
      </c>
      <c r="D52" s="439">
        <f>D48/D7*100</f>
        <v>0</v>
      </c>
      <c r="E52" s="439">
        <f>E48/E7*100</f>
        <v>0</v>
      </c>
      <c r="F52" s="439">
        <f>F48/F7*100</f>
        <v>4.4428119709987541</v>
      </c>
      <c r="G52" s="465">
        <f t="shared" ref="G52:AB52" si="26">G48/G7</f>
        <v>4.122291489803577E-2</v>
      </c>
      <c r="H52" s="465">
        <f t="shared" si="26"/>
        <v>4.0185448241522356E-2</v>
      </c>
      <c r="I52" s="465">
        <f t="shared" si="26"/>
        <v>3.5437717107101301E-2</v>
      </c>
      <c r="J52" s="465">
        <f t="shared" si="26"/>
        <v>3.1714409804180749E-2</v>
      </c>
      <c r="K52" s="465">
        <f t="shared" si="26"/>
        <v>3.0353355446118637E-2</v>
      </c>
      <c r="L52" s="465">
        <f t="shared" si="26"/>
        <v>2.9466395154882735E-2</v>
      </c>
      <c r="M52" s="465">
        <f t="shared" si="26"/>
        <v>3.1996112213163931E-2</v>
      </c>
      <c r="N52" s="465">
        <f t="shared" si="26"/>
        <v>3.0940999580471404E-2</v>
      </c>
      <c r="O52" s="465">
        <f t="shared" si="26"/>
        <v>3.1660387763038797E-2</v>
      </c>
      <c r="P52" s="465">
        <f t="shared" si="26"/>
        <v>3.8079312347313148E-2</v>
      </c>
      <c r="Q52" s="465">
        <f t="shared" si="26"/>
        <v>3.5132147478293262E-2</v>
      </c>
      <c r="R52" s="465">
        <f t="shared" si="26"/>
        <v>3.0084354793679553E-2</v>
      </c>
      <c r="S52" s="465">
        <f t="shared" si="26"/>
        <v>2.7903417464802929E-2</v>
      </c>
      <c r="T52" s="465">
        <f t="shared" si="26"/>
        <v>3.2113197212430972E-2</v>
      </c>
      <c r="U52" s="465">
        <f t="shared" si="26"/>
        <v>3.9398896348195024E-2</v>
      </c>
      <c r="V52" s="465">
        <f t="shared" si="26"/>
        <v>4.575818303273213E-2</v>
      </c>
      <c r="W52" s="465">
        <f t="shared" si="26"/>
        <v>4.6885435682799778E-2</v>
      </c>
      <c r="X52" s="465">
        <f t="shared" si="26"/>
        <v>4.7590401711115567E-2</v>
      </c>
      <c r="Y52" s="465">
        <f t="shared" si="26"/>
        <v>4.7590401711115553E-2</v>
      </c>
      <c r="Z52" s="465">
        <f t="shared" si="26"/>
        <v>4.7590401711115553E-2</v>
      </c>
      <c r="AA52" s="465">
        <f t="shared" si="26"/>
        <v>4.7590401711115553E-2</v>
      </c>
      <c r="AB52" s="465">
        <f t="shared" si="26"/>
        <v>4.7590401711115553E-2</v>
      </c>
      <c r="AC52" s="465">
        <f>AC48/AC7</f>
        <v>4.7590401711115553E-2</v>
      </c>
      <c r="AD52" s="465"/>
      <c r="AE52" s="467"/>
      <c r="AF52" s="348"/>
      <c r="AG52" s="323"/>
      <c r="AH52" s="348"/>
      <c r="AI52" s="357"/>
    </row>
    <row r="53" spans="1:37" hidden="1" outlineLevel="1">
      <c r="A53" s="702" t="s">
        <v>375</v>
      </c>
      <c r="B53" s="439"/>
      <c r="C53" s="439"/>
      <c r="D53" s="439"/>
      <c r="E53" s="439"/>
      <c r="F53" s="439">
        <f>F48/flow!L19</f>
        <v>2.0469051779637635</v>
      </c>
      <c r="G53" s="465">
        <f>G48/flow!N19</f>
        <v>0.86830391404451268</v>
      </c>
      <c r="H53" s="465">
        <f>H48/flow!P19</f>
        <v>0.75721727124388105</v>
      </c>
      <c r="I53" s="465">
        <f>I48/flow!R19</f>
        <v>0.59615564493499196</v>
      </c>
      <c r="J53" s="465">
        <f>J48/flow!T19</f>
        <v>0.52932833730214313</v>
      </c>
      <c r="K53" s="465">
        <f>K48/flow!V19</f>
        <v>0.54440054847337049</v>
      </c>
      <c r="L53" s="465">
        <f>L48/flow!X19</f>
        <v>0.53281461434370769</v>
      </c>
      <c r="M53" s="465">
        <f>M48/flow!Z19</f>
        <v>0.48638292150945645</v>
      </c>
      <c r="N53" s="465">
        <f>N48/flow!AB19</f>
        <v>0.57490753911806536</v>
      </c>
      <c r="O53" s="465">
        <f>O48/flow!AD19</f>
        <v>0.57637362637362632</v>
      </c>
      <c r="P53" s="465">
        <f>P48/flow!AF19</f>
        <v>0.51185666315758815</v>
      </c>
      <c r="Q53" s="465">
        <f>Q48/flow!AH19</f>
        <v>1.5625030820060162</v>
      </c>
      <c r="R53" s="465">
        <f>R48/flow!AJ19</f>
        <v>0.8467755035737492</v>
      </c>
      <c r="S53" s="465">
        <f>S48/flow!AL19</f>
        <v>0.72112050957902218</v>
      </c>
      <c r="T53" s="465">
        <f>T48/flow!AN19</f>
        <v>0.67530546543858994</v>
      </c>
      <c r="U53" s="465">
        <f>U48/flow!AP19</f>
        <v>0.86234613160159768</v>
      </c>
      <c r="V53" s="465">
        <f>V48/flow!AR19</f>
        <v>0.96236828901154037</v>
      </c>
      <c r="W53" s="465">
        <f>W48/flow!AT19</f>
        <v>0.53128153380423815</v>
      </c>
      <c r="X53" s="465">
        <f>X48/flow!AV19</f>
        <v>0.75450370893677143</v>
      </c>
      <c r="Y53" s="465">
        <f>Y48/flow!AX19</f>
        <v>0.85382988654251324</v>
      </c>
      <c r="Z53" s="465">
        <f>Z48/flow!AZ19</f>
        <v>0.88104397182796812</v>
      </c>
      <c r="AA53" s="465">
        <f>AA48/flow!BB19</f>
        <v>0.90632674069598707</v>
      </c>
      <c r="AB53" s="465">
        <f>AB48/flow!BD19</f>
        <v>0.9322868366934125</v>
      </c>
      <c r="AC53" s="465">
        <f>AC48/flow!BF19</f>
        <v>0.9590104951320968</v>
      </c>
      <c r="AD53" s="465"/>
      <c r="AE53" s="467"/>
      <c r="AF53" s="348"/>
      <c r="AG53" s="323"/>
      <c r="AH53" s="348"/>
      <c r="AI53" s="357"/>
    </row>
    <row r="54" spans="1:37" hidden="1" outlineLevel="1">
      <c r="A54" s="702" t="s">
        <v>742</v>
      </c>
      <c r="B54" s="439"/>
      <c r="C54" s="439"/>
      <c r="D54" s="439"/>
      <c r="E54" s="439"/>
      <c r="F54" s="439"/>
      <c r="G54" s="465"/>
      <c r="H54" s="465"/>
      <c r="I54" s="465"/>
      <c r="J54" s="465"/>
      <c r="K54" s="465"/>
      <c r="L54" s="465"/>
      <c r="M54" s="465"/>
      <c r="N54" s="465"/>
      <c r="O54" s="465"/>
      <c r="P54" s="465"/>
      <c r="Q54" s="465"/>
      <c r="R54" s="465"/>
      <c r="S54" s="715">
        <f>S49/(yrSales!S62+yrSales!S63+yrSales!S64+yrSales!S65)</f>
        <v>0.12198852772466538</v>
      </c>
      <c r="T54" s="715">
        <f>T49/(yrSales!T62+yrSales!T63+yrSales!T64+yrSales!T65)</f>
        <v>0.13286580882352941</v>
      </c>
      <c r="U54" s="715">
        <f>U49/(yrSales!U62+yrSales!U63+yrSales!U64+yrSales!U65)</f>
        <v>0.13521892393320964</v>
      </c>
      <c r="V54" s="715">
        <f>V49/(yrSales!V62+yrSales!V63+yrSales!V64+yrSales!V65)</f>
        <v>0.13376623376623376</v>
      </c>
      <c r="W54" s="715">
        <f>W49/(yrSales!W62+yrSales!W63+yrSales!W64+yrSales!W65)</f>
        <v>0.14780600461893764</v>
      </c>
      <c r="X54" s="716">
        <f t="shared" ref="X54:AC55" si="27">W54</f>
        <v>0.14780600461893764</v>
      </c>
      <c r="Y54" s="716">
        <f t="shared" si="27"/>
        <v>0.14780600461893764</v>
      </c>
      <c r="Z54" s="716">
        <f>Y54</f>
        <v>0.14780600461893764</v>
      </c>
      <c r="AA54" s="716">
        <f t="shared" si="27"/>
        <v>0.14780600461893764</v>
      </c>
      <c r="AB54" s="716">
        <f t="shared" si="27"/>
        <v>0.14780600461893764</v>
      </c>
      <c r="AC54" s="716">
        <f t="shared" si="27"/>
        <v>0.14780600461893764</v>
      </c>
      <c r="AD54" s="716"/>
      <c r="AE54" s="467"/>
      <c r="AF54" s="348"/>
      <c r="AG54" s="323"/>
      <c r="AH54" s="348"/>
      <c r="AI54" s="357"/>
    </row>
    <row r="55" spans="1:37" hidden="1" outlineLevel="1">
      <c r="A55" s="702" t="s">
        <v>743</v>
      </c>
      <c r="B55" s="439"/>
      <c r="C55" s="439"/>
      <c r="D55" s="439"/>
      <c r="E55" s="439"/>
      <c r="F55" s="439"/>
      <c r="G55" s="465"/>
      <c r="H55" s="465"/>
      <c r="I55" s="465"/>
      <c r="J55" s="465"/>
      <c r="K55" s="465"/>
      <c r="L55" s="465"/>
      <c r="M55" s="465"/>
      <c r="N55" s="465"/>
      <c r="O55" s="465"/>
      <c r="P55" s="465"/>
      <c r="Q55" s="465"/>
      <c r="R55" s="465"/>
      <c r="S55" s="715">
        <f>S50/(yrSales!S67+yrSales!S68+yrSales!S69+yrSales!S70+yrSales!S71+yrSales!S72+yrSales!S73+yrSales!S74)</f>
        <v>0.12414563106796116</v>
      </c>
      <c r="T55" s="715">
        <f>T50/(yrSales!T67+yrSales!T68+yrSales!T69+yrSales!T70+yrSales!T71+yrSales!T72+yrSales!T73+yrSales!T74)</f>
        <v>0.11171882640586797</v>
      </c>
      <c r="U55" s="715">
        <f>U50/(yrSales!U67+yrSales!U68+yrSales!U69+yrSales!U70+yrSales!U71+yrSales!U72+yrSales!U73+yrSales!U74)</f>
        <v>0.12386736842105264</v>
      </c>
      <c r="V55" s="715">
        <f>V50/(yrSales!V67+yrSales!V68+yrSales!V69+yrSales!V70+yrSales!V71+yrSales!V72+yrSales!V73+yrSales!V74)</f>
        <v>0.12544731610337972</v>
      </c>
      <c r="W55" s="715">
        <f>W50/(yrSales!W67+yrSales!W68+yrSales!W69+yrSales!W70+yrSales!W71+yrSales!W72+yrSales!W73+yrSales!W74)</f>
        <v>0.13576923076923075</v>
      </c>
      <c r="X55" s="716">
        <f t="shared" si="27"/>
        <v>0.13576923076923075</v>
      </c>
      <c r="Y55" s="716">
        <f t="shared" si="27"/>
        <v>0.13576923076923075</v>
      </c>
      <c r="Z55" s="716">
        <f>Y55</f>
        <v>0.13576923076923075</v>
      </c>
      <c r="AA55" s="716">
        <f t="shared" si="27"/>
        <v>0.13576923076923075</v>
      </c>
      <c r="AB55" s="716">
        <f t="shared" si="27"/>
        <v>0.13576923076923075</v>
      </c>
      <c r="AC55" s="716">
        <f>AB55</f>
        <v>0.13576923076923075</v>
      </c>
      <c r="AD55" s="716"/>
      <c r="AE55" s="467"/>
      <c r="AF55" s="348"/>
      <c r="AG55" s="323"/>
      <c r="AH55" s="348"/>
      <c r="AI55" s="357"/>
    </row>
    <row r="56" spans="1:37" hidden="1" outlineLevel="1">
      <c r="A56" s="702"/>
      <c r="B56" s="439"/>
      <c r="C56" s="439"/>
      <c r="D56" s="439"/>
      <c r="E56" s="439"/>
      <c r="F56" s="439"/>
      <c r="G56" s="465"/>
      <c r="H56" s="465"/>
      <c r="I56" s="465"/>
      <c r="J56" s="465"/>
      <c r="K56" s="465"/>
      <c r="L56" s="465"/>
      <c r="M56" s="465"/>
      <c r="N56" s="465"/>
      <c r="O56" s="465"/>
      <c r="P56" s="465"/>
      <c r="Q56" s="465"/>
      <c r="R56" s="465"/>
      <c r="S56" s="465"/>
      <c r="T56" s="465"/>
      <c r="U56" s="465"/>
      <c r="V56" s="465"/>
      <c r="W56" s="465"/>
      <c r="X56" s="465"/>
      <c r="Y56" s="465"/>
      <c r="Z56" s="465"/>
      <c r="AA56" s="465"/>
      <c r="AB56" s="465"/>
      <c r="AC56" s="465"/>
      <c r="AD56" s="465"/>
      <c r="AE56" s="467"/>
      <c r="AF56" s="348"/>
      <c r="AG56" s="323"/>
      <c r="AH56" s="348"/>
      <c r="AI56" s="357"/>
    </row>
    <row r="57" spans="1:37" hidden="1" outlineLevel="1">
      <c r="A57" s="437"/>
      <c r="B57" s="439"/>
      <c r="C57" s="439"/>
      <c r="D57" s="439"/>
      <c r="E57" s="439"/>
      <c r="F57" s="439"/>
      <c r="G57" s="439"/>
      <c r="H57" s="438"/>
      <c r="I57" s="439"/>
      <c r="J57" s="439"/>
      <c r="K57" s="439"/>
      <c r="L57" s="438"/>
      <c r="M57" s="439"/>
      <c r="N57" s="439"/>
      <c r="O57" s="439"/>
      <c r="P57" s="439"/>
      <c r="Q57" s="439"/>
      <c r="R57" s="489"/>
      <c r="S57" s="439"/>
      <c r="T57" s="439"/>
      <c r="U57" s="439"/>
      <c r="V57" s="439"/>
      <c r="W57" s="439"/>
      <c r="X57" s="439"/>
      <c r="Y57" s="439"/>
      <c r="Z57" s="439"/>
      <c r="AA57" s="439"/>
      <c r="AB57" s="439"/>
      <c r="AC57" s="439"/>
      <c r="AD57" s="439"/>
      <c r="AE57" s="467"/>
      <c r="AF57" s="348"/>
      <c r="AG57" s="323"/>
      <c r="AH57" s="348"/>
      <c r="AI57" s="357"/>
    </row>
    <row r="58" spans="1:37" hidden="1" outlineLevel="1">
      <c r="A58" s="437" t="s">
        <v>298</v>
      </c>
      <c r="B58" s="439"/>
      <c r="C58" s="439"/>
      <c r="D58" s="439"/>
      <c r="E58" s="439"/>
      <c r="F58" s="439">
        <f>'qtrP&amp;L'!T44</f>
        <v>7.1079999999999997</v>
      </c>
      <c r="G58" s="439"/>
      <c r="H58" s="438">
        <f>'qtrP&amp;L'!AB44</f>
        <v>4.569</v>
      </c>
      <c r="I58" s="439">
        <f>'qtrP&amp;L'!AF44</f>
        <v>3.3729999999999993</v>
      </c>
      <c r="J58" s="439">
        <v>0</v>
      </c>
      <c r="K58" s="439">
        <v>0</v>
      </c>
      <c r="L58" s="438">
        <v>0</v>
      </c>
      <c r="M58" s="439">
        <v>0</v>
      </c>
      <c r="N58" s="439">
        <v>0</v>
      </c>
      <c r="O58" s="439">
        <v>0</v>
      </c>
      <c r="P58" s="439">
        <v>0</v>
      </c>
      <c r="Q58" s="439">
        <v>0</v>
      </c>
      <c r="R58" s="439">
        <v>0</v>
      </c>
      <c r="S58" s="439">
        <v>0</v>
      </c>
      <c r="T58" s="439">
        <v>0</v>
      </c>
      <c r="U58" s="439">
        <v>0</v>
      </c>
      <c r="V58" s="439">
        <v>0</v>
      </c>
      <c r="W58" s="439">
        <v>0</v>
      </c>
      <c r="X58" s="439">
        <v>0</v>
      </c>
      <c r="Y58" s="439">
        <v>0</v>
      </c>
      <c r="Z58" s="439">
        <v>0</v>
      </c>
      <c r="AA58" s="439">
        <v>0</v>
      </c>
      <c r="AB58" s="439">
        <v>0</v>
      </c>
      <c r="AC58" s="439">
        <v>0</v>
      </c>
      <c r="AD58" s="439"/>
      <c r="AE58" s="467"/>
      <c r="AF58" s="348"/>
      <c r="AG58" s="323"/>
      <c r="AH58" s="348"/>
      <c r="AI58" s="357"/>
    </row>
    <row r="59" spans="1:37" hidden="1" outlineLevel="1">
      <c r="A59" s="437" t="s">
        <v>441</v>
      </c>
      <c r="B59" s="439"/>
      <c r="C59" s="439"/>
      <c r="D59" s="439"/>
      <c r="E59" s="439"/>
      <c r="F59" s="439">
        <f>F58/F7*100</f>
        <v>1.4189210770066114</v>
      </c>
      <c r="G59" s="439"/>
      <c r="H59" s="465">
        <f t="shared" ref="H59:AB59" si="28">H58/H7</f>
        <v>7.6087734870297803E-3</v>
      </c>
      <c r="I59" s="465">
        <f t="shared" si="28"/>
        <v>4.6886098612321592E-3</v>
      </c>
      <c r="J59" s="465">
        <f t="shared" si="28"/>
        <v>0</v>
      </c>
      <c r="K59" s="465">
        <f t="shared" si="28"/>
        <v>0</v>
      </c>
      <c r="L59" s="465">
        <f t="shared" si="28"/>
        <v>0</v>
      </c>
      <c r="M59" s="465">
        <f t="shared" si="28"/>
        <v>0</v>
      </c>
      <c r="N59" s="465">
        <f t="shared" si="28"/>
        <v>0</v>
      </c>
      <c r="O59" s="465">
        <f t="shared" si="28"/>
        <v>0</v>
      </c>
      <c r="P59" s="465">
        <f t="shared" si="28"/>
        <v>0</v>
      </c>
      <c r="Q59" s="465">
        <f t="shared" si="28"/>
        <v>0</v>
      </c>
      <c r="R59" s="465">
        <f t="shared" si="28"/>
        <v>0</v>
      </c>
      <c r="S59" s="465">
        <f t="shared" si="28"/>
        <v>0</v>
      </c>
      <c r="T59" s="465">
        <f t="shared" si="28"/>
        <v>0</v>
      </c>
      <c r="U59" s="465">
        <f t="shared" si="28"/>
        <v>0</v>
      </c>
      <c r="V59" s="465">
        <f t="shared" si="28"/>
        <v>0</v>
      </c>
      <c r="W59" s="465">
        <f t="shared" si="28"/>
        <v>0</v>
      </c>
      <c r="X59" s="465">
        <f t="shared" si="28"/>
        <v>0</v>
      </c>
      <c r="Y59" s="465">
        <f t="shared" si="28"/>
        <v>0</v>
      </c>
      <c r="Z59" s="465">
        <f t="shared" si="28"/>
        <v>0</v>
      </c>
      <c r="AA59" s="465">
        <f t="shared" si="28"/>
        <v>0</v>
      </c>
      <c r="AB59" s="465">
        <f t="shared" si="28"/>
        <v>0</v>
      </c>
      <c r="AC59" s="465">
        <f>AC58/AC7</f>
        <v>0</v>
      </c>
      <c r="AD59" s="465"/>
      <c r="AE59" s="467"/>
      <c r="AF59" s="348"/>
      <c r="AG59" s="323"/>
      <c r="AH59" s="348"/>
      <c r="AI59" s="357"/>
    </row>
    <row r="60" spans="1:37" hidden="1" outlineLevel="1">
      <c r="A60" s="437"/>
      <c r="B60" s="439"/>
      <c r="C60" s="439"/>
      <c r="D60" s="439"/>
      <c r="E60" s="439"/>
      <c r="F60" s="439"/>
      <c r="G60" s="439"/>
      <c r="H60" s="438"/>
      <c r="I60" s="439"/>
      <c r="J60" s="439"/>
      <c r="K60" s="439"/>
      <c r="L60" s="438"/>
      <c r="M60" s="439"/>
      <c r="N60" s="439"/>
      <c r="O60" s="439"/>
      <c r="P60" s="439"/>
      <c r="Q60" s="439"/>
      <c r="R60" s="439"/>
      <c r="S60" s="439"/>
      <c r="T60" s="439"/>
      <c r="U60" s="439"/>
      <c r="V60" s="439"/>
      <c r="W60" s="439"/>
      <c r="X60" s="439"/>
      <c r="Y60" s="439"/>
      <c r="Z60" s="439"/>
      <c r="AA60" s="439"/>
      <c r="AB60" s="439"/>
      <c r="AC60" s="439"/>
      <c r="AD60" s="439"/>
      <c r="AE60" s="467"/>
      <c r="AF60" s="348"/>
      <c r="AG60" s="323"/>
      <c r="AH60" s="348"/>
      <c r="AI60" s="357"/>
    </row>
    <row r="61" spans="1:37" collapsed="1">
      <c r="A61" s="437" t="s">
        <v>450</v>
      </c>
      <c r="B61" s="487">
        <f>B7-B12-B15</f>
        <v>57.475000000000023</v>
      </c>
      <c r="C61" s="439">
        <f>C7-C12-C15</f>
        <v>62.046999999999997</v>
      </c>
      <c r="D61" s="439">
        <f>D7-D12-D15</f>
        <v>44.268999999999949</v>
      </c>
      <c r="E61" s="439">
        <f>E7-E12-E15</f>
        <v>25.012999999999977</v>
      </c>
      <c r="F61" s="439">
        <f>F7-F12-F15-F58</f>
        <v>19.475000000000026</v>
      </c>
      <c r="G61" s="439">
        <f>G7-G12-G15</f>
        <v>56.016999999999939</v>
      </c>
      <c r="H61" s="438">
        <f>H7-H12-H15-H58</f>
        <v>101.688</v>
      </c>
      <c r="I61" s="439">
        <f>I7-I12-I15-I58</f>
        <v>117.77800000000001</v>
      </c>
      <c r="J61" s="439">
        <f t="shared" ref="J61:AB61" si="29">J7-J12-J15</f>
        <v>218.44900000000007</v>
      </c>
      <c r="K61" s="439">
        <f t="shared" si="29"/>
        <v>405.30399999999975</v>
      </c>
      <c r="L61" s="438">
        <f t="shared" si="29"/>
        <v>572.5630000000001</v>
      </c>
      <c r="M61" s="439">
        <f t="shared" si="29"/>
        <v>714.74699999999984</v>
      </c>
      <c r="N61" s="439">
        <f t="shared" si="29"/>
        <v>993.39699999999971</v>
      </c>
      <c r="O61" s="439">
        <f t="shared" si="29"/>
        <v>1179.229</v>
      </c>
      <c r="P61" s="439">
        <f t="shared" si="29"/>
        <v>1000.3129999999996</v>
      </c>
      <c r="Q61" s="439">
        <f t="shared" si="29"/>
        <v>1150.1709999999998</v>
      </c>
      <c r="R61" s="439">
        <f t="shared" si="29"/>
        <v>1330.6020000000003</v>
      </c>
      <c r="S61" s="439">
        <f t="shared" si="29"/>
        <v>1551.1979999999996</v>
      </c>
      <c r="T61" s="439">
        <f t="shared" si="29"/>
        <v>1577.7429999999995</v>
      </c>
      <c r="U61" s="439">
        <f t="shared" si="29"/>
        <v>1251.581000000001</v>
      </c>
      <c r="V61" s="439">
        <f t="shared" si="29"/>
        <v>788.5</v>
      </c>
      <c r="W61" s="439">
        <f t="shared" si="29"/>
        <v>776.599999999999</v>
      </c>
      <c r="X61" s="439">
        <f t="shared" si="29"/>
        <v>812.6200000000008</v>
      </c>
      <c r="Y61" s="439">
        <f t="shared" si="29"/>
        <v>987.92008462767444</v>
      </c>
      <c r="Z61" s="439">
        <f t="shared" si="29"/>
        <v>1061.3537412755204</v>
      </c>
      <c r="AA61" s="439">
        <f t="shared" si="29"/>
        <v>1101.0948520308657</v>
      </c>
      <c r="AB61" s="439">
        <f t="shared" si="29"/>
        <v>1141.5470922265395</v>
      </c>
      <c r="AC61" s="439">
        <f>AC7-AC12-AC15</f>
        <v>1201.1207829119348</v>
      </c>
      <c r="AD61" s="439"/>
      <c r="AE61" s="467"/>
      <c r="AF61" s="348">
        <f>((V61/Q61)^(1/5)-1)*100</f>
        <v>-7.2726482136350024</v>
      </c>
      <c r="AG61" s="326" t="s">
        <v>428</v>
      </c>
      <c r="AH61" s="348">
        <f>((AA61/V61)^(1/5)-1)*100</f>
        <v>6.9066219587062827</v>
      </c>
      <c r="AI61" s="349" t="s">
        <v>428</v>
      </c>
      <c r="AK61" s="1645">
        <f>W61+60-30</f>
        <v>806.599999999999</v>
      </c>
    </row>
    <row r="62" spans="1:37">
      <c r="A62" s="437" t="s">
        <v>310</v>
      </c>
      <c r="B62" s="465">
        <f>B61/B$7</f>
        <v>0.14549859374564902</v>
      </c>
      <c r="C62" s="465">
        <f>C61/C$7</f>
        <v>0.12103307356942913</v>
      </c>
      <c r="D62" s="465">
        <f>D61/D$7</f>
        <v>8.1924103292953201E-2</v>
      </c>
      <c r="E62" s="465">
        <f>E61/E$7</f>
        <v>4.8671472908944045E-2</v>
      </c>
      <c r="F62" s="465">
        <f>F61/F$7</f>
        <v>3.8876600977354805E-2</v>
      </c>
      <c r="G62" s="465">
        <f t="shared" ref="G62:V62" si="30">G61/G$7</f>
        <v>0.10204985079738675</v>
      </c>
      <c r="H62" s="465">
        <f t="shared" si="30"/>
        <v>0.16934142226944285</v>
      </c>
      <c r="I62" s="465">
        <f t="shared" si="30"/>
        <v>0.16371630365733811</v>
      </c>
      <c r="J62" s="465">
        <f t="shared" si="30"/>
        <v>0.22916810913676303</v>
      </c>
      <c r="K62" s="465">
        <f t="shared" si="30"/>
        <v>0.30679143081630073</v>
      </c>
      <c r="L62" s="465">
        <f t="shared" si="30"/>
        <v>0.33474935732272076</v>
      </c>
      <c r="M62" s="465">
        <f>M61/M$7</f>
        <v>0.35121132175416231</v>
      </c>
      <c r="N62" s="465">
        <f t="shared" si="30"/>
        <v>0.38025405978129384</v>
      </c>
      <c r="O62" s="465">
        <f t="shared" si="30"/>
        <v>0.37073847514915476</v>
      </c>
      <c r="P62" s="465">
        <f t="shared" si="30"/>
        <v>0.30964956161150636</v>
      </c>
      <c r="Q62" s="465">
        <f t="shared" si="30"/>
        <v>0.31881570091882877</v>
      </c>
      <c r="R62" s="465">
        <f t="shared" si="30"/>
        <v>0.31997108577669825</v>
      </c>
      <c r="S62" s="465">
        <f t="shared" si="30"/>
        <v>0.3256643670824953</v>
      </c>
      <c r="T62" s="465">
        <f t="shared" si="30"/>
        <v>0.31086143133828131</v>
      </c>
      <c r="U62" s="465">
        <f t="shared" si="30"/>
        <v>0.26040827043921799</v>
      </c>
      <c r="V62" s="465">
        <f t="shared" si="30"/>
        <v>0.18811432388586696</v>
      </c>
      <c r="W62" s="465">
        <f t="shared" ref="W62:AB62" si="31">W61/W$7</f>
        <v>0.17289282692907057</v>
      </c>
      <c r="X62" s="465">
        <f t="shared" si="31"/>
        <v>0.18105295991800921</v>
      </c>
      <c r="Y62" s="465">
        <f t="shared" si="31"/>
        <v>0.1694285024612654</v>
      </c>
      <c r="Z62" s="465">
        <f t="shared" si="31"/>
        <v>0.17640000000000003</v>
      </c>
      <c r="AA62" s="465">
        <f t="shared" si="31"/>
        <v>0.17790000000000003</v>
      </c>
      <c r="AB62" s="465">
        <f t="shared" si="31"/>
        <v>0.17930000000000001</v>
      </c>
      <c r="AC62" s="465">
        <f>AC61/AC$7</f>
        <v>0.1833999999999999</v>
      </c>
      <c r="AD62" s="465"/>
      <c r="AE62" s="467"/>
      <c r="AF62" s="348"/>
      <c r="AG62" s="323"/>
      <c r="AH62" s="348"/>
      <c r="AI62" s="357"/>
    </row>
    <row r="63" spans="1:37">
      <c r="A63" s="437"/>
      <c r="B63" s="439"/>
      <c r="C63" s="488"/>
      <c r="D63" s="439"/>
      <c r="E63" s="488"/>
      <c r="F63" s="439"/>
      <c r="G63" s="439"/>
      <c r="H63" s="438"/>
      <c r="I63" s="439"/>
      <c r="J63" s="439"/>
      <c r="K63" s="465"/>
      <c r="L63" s="438"/>
      <c r="M63" s="489"/>
      <c r="N63" s="489"/>
      <c r="O63" s="489"/>
      <c r="P63" s="489"/>
      <c r="Q63" s="471"/>
      <c r="R63" s="471"/>
      <c r="S63" s="471"/>
      <c r="T63" s="471"/>
      <c r="U63" s="471"/>
      <c r="V63" s="471"/>
      <c r="W63" s="471"/>
      <c r="X63" s="471"/>
      <c r="Y63" s="471"/>
      <c r="Z63" s="471"/>
      <c r="AA63" s="471"/>
      <c r="AB63" s="471"/>
      <c r="AC63" s="471"/>
      <c r="AD63" s="471"/>
      <c r="AE63" s="467"/>
      <c r="AF63" s="348"/>
      <c r="AG63" s="323"/>
      <c r="AH63" s="348"/>
      <c r="AI63" s="357"/>
      <c r="AK63" s="1592">
        <f>AK61/AK7</f>
        <v>0.17877565494924402</v>
      </c>
    </row>
    <row r="64" spans="1:37">
      <c r="A64" s="437" t="s">
        <v>113</v>
      </c>
      <c r="B64" s="439">
        <f>'qtrP&amp;L'!D74</f>
        <v>-0.33100000000000002</v>
      </c>
      <c r="C64" s="439">
        <f>'qtrP&amp;L'!H74</f>
        <v>-0.247</v>
      </c>
      <c r="D64" s="439">
        <f>'qtrP&amp;L'!L74</f>
        <v>-0.49199999999999999</v>
      </c>
      <c r="E64" s="439">
        <f>'qtrP&amp;L'!P74</f>
        <v>-0.23599999999999999</v>
      </c>
      <c r="F64" s="439">
        <f>'qtrP&amp;L'!T74</f>
        <v>-0.41399999999999998</v>
      </c>
      <c r="G64" s="439">
        <f>'qtrP&amp;L'!X74</f>
        <v>-0.38700000000000001</v>
      </c>
      <c r="H64" s="438">
        <f>'qtrP&amp;L'!AB74</f>
        <v>-2.258</v>
      </c>
      <c r="I64" s="439">
        <f>+'qtrP&amp;L'!AF74</f>
        <v>-0.29900000000000004</v>
      </c>
      <c r="J64" s="439">
        <f>+'qtrP&amp;L'!AJ74</f>
        <v>1.0589999999999999</v>
      </c>
      <c r="K64" s="439">
        <f>+'qtrP&amp;L'!AN74</f>
        <v>3.1920000000000002</v>
      </c>
      <c r="L64" s="438">
        <f>'qtrP&amp;L'!AR74</f>
        <v>15.76</v>
      </c>
      <c r="M64" s="439">
        <f>'qtrP&amp;L'!AV74</f>
        <v>32.622999999999998</v>
      </c>
      <c r="N64" s="439">
        <f>+'qtrP&amp;L'!AZ74</f>
        <v>41.272999999999996</v>
      </c>
      <c r="O64" s="439">
        <f>+'qtrP&amp;L'!BD74</f>
        <v>37.17</v>
      </c>
      <c r="P64" s="439">
        <f>+'qtrP&amp;L'!BH74</f>
        <v>3.1560000000000001</v>
      </c>
      <c r="Q64" s="439">
        <f>'qtrP&amp;L'!BL74</f>
        <v>1.7570000000000001</v>
      </c>
      <c r="R64" s="439">
        <f>'qtrP&amp;L'!$BP$74</f>
        <v>-3.7050000000000001</v>
      </c>
      <c r="S64" s="439">
        <f>'qtrP&amp;L'!$BT$74</f>
        <v>-6.3259999999999996</v>
      </c>
      <c r="T64" s="439">
        <f>'qtrP&amp;L'!$BX$74</f>
        <v>-4.0149999999999997</v>
      </c>
      <c r="U64" s="439">
        <f>'qtrP&amp;L'!CB74</f>
        <v>2.1810000000000005</v>
      </c>
      <c r="V64" s="439">
        <f>'qtrP&amp;L'!CF74</f>
        <v>-6.3999999999999995</v>
      </c>
      <c r="W64" s="439">
        <f>'qtrP&amp;L'!CJ74</f>
        <v>-26.9</v>
      </c>
      <c r="X64" s="439">
        <f>'qtrP&amp;L'!CN74</f>
        <v>-18.899999999999999</v>
      </c>
      <c r="Y64" s="439">
        <f>'qtrP&amp;L'!CR74</f>
        <v>-77.7</v>
      </c>
      <c r="Z64" s="1591">
        <f>Y64+33</f>
        <v>-44.7</v>
      </c>
      <c r="AA64" s="1591">
        <f>Z64</f>
        <v>-44.7</v>
      </c>
      <c r="AB64" s="1591">
        <f>AA64</f>
        <v>-44.7</v>
      </c>
      <c r="AC64" s="1591">
        <f>AB64</f>
        <v>-44.7</v>
      </c>
      <c r="AD64" s="439"/>
      <c r="AE64" s="467"/>
      <c r="AF64" s="348">
        <f>((V64/Q64)^(1/5)-1)*100</f>
        <v>-229.50354071834516</v>
      </c>
      <c r="AG64" s="326" t="s">
        <v>428</v>
      </c>
      <c r="AH64" s="348">
        <f>((AA64/V64)^(1/5)-1)*100</f>
        <v>47.511374526255153</v>
      </c>
      <c r="AI64" s="349" t="s">
        <v>428</v>
      </c>
    </row>
    <row r="65" spans="1:36">
      <c r="A65" s="437" t="s">
        <v>441</v>
      </c>
      <c r="B65" s="490">
        <f>(B64/B$7)</f>
        <v>-8.3793013535989232E-4</v>
      </c>
      <c r="C65" s="490">
        <f>(C64/C$7)</f>
        <v>-4.8181490114991858E-4</v>
      </c>
      <c r="D65" s="490">
        <f>(D64/D$7)</f>
        <v>-9.1049399851211963E-4</v>
      </c>
      <c r="E65" s="490">
        <f>(E64/E$7)</f>
        <v>-4.592199099072804E-4</v>
      </c>
      <c r="F65" s="490">
        <f>(F64/F$7)</f>
        <v>-8.2643968188060937E-4</v>
      </c>
      <c r="G65" s="490">
        <f t="shared" ref="G65:AA65" si="32">(G64/G$7)</f>
        <v>-7.0502333681897846E-4</v>
      </c>
      <c r="H65" s="465">
        <f t="shared" si="32"/>
        <v>-3.7602561903508961E-3</v>
      </c>
      <c r="I65" s="490">
        <f t="shared" si="32"/>
        <v>-4.156223980161329E-4</v>
      </c>
      <c r="J65" s="490">
        <f t="shared" si="32"/>
        <v>1.1109642414285803E-3</v>
      </c>
      <c r="K65" s="490">
        <f t="shared" si="32"/>
        <v>2.4161573711723363E-3</v>
      </c>
      <c r="L65" s="465">
        <f t="shared" si="32"/>
        <v>9.2140949928760305E-3</v>
      </c>
      <c r="M65" s="490">
        <f t="shared" si="32"/>
        <v>1.603024139952464E-2</v>
      </c>
      <c r="N65" s="490">
        <f t="shared" si="32"/>
        <v>1.5798543592695915E-2</v>
      </c>
      <c r="O65" s="490">
        <f t="shared" si="32"/>
        <v>1.1685897413728871E-2</v>
      </c>
      <c r="P65" s="490">
        <f t="shared" si="32"/>
        <v>9.7694823164940826E-4</v>
      </c>
      <c r="Q65" s="490">
        <f t="shared" si="32"/>
        <v>4.8702252666288956E-4</v>
      </c>
      <c r="R65" s="490">
        <f t="shared" si="32"/>
        <v>-8.9094475493247923E-4</v>
      </c>
      <c r="S65" s="490">
        <f t="shared" si="32"/>
        <v>-1.3281043336594461E-3</v>
      </c>
      <c r="T65" s="490">
        <f t="shared" si="32"/>
        <v>-7.9107221316982541E-4</v>
      </c>
      <c r="U65" s="490">
        <f t="shared" si="32"/>
        <v>4.5378640122208157E-4</v>
      </c>
      <c r="V65" s="490">
        <f t="shared" si="32"/>
        <v>-1.5268632503101438E-3</v>
      </c>
      <c r="W65" s="490">
        <f t="shared" si="32"/>
        <v>-5.9886905026937986E-3</v>
      </c>
      <c r="X65" s="490">
        <f t="shared" si="32"/>
        <v>-4.2109484660116294E-3</v>
      </c>
      <c r="Y65" s="490">
        <f t="shared" si="32"/>
        <v>-1.3325566355098217E-2</v>
      </c>
      <c r="Z65" s="490">
        <f t="shared" si="32"/>
        <v>-7.4292666934247771E-3</v>
      </c>
      <c r="AA65" s="490">
        <f t="shared" si="32"/>
        <v>-7.2220208688952162E-3</v>
      </c>
      <c r="AB65" s="490">
        <f>(AB64/AB$7)</f>
        <v>-7.0209192897751132E-3</v>
      </c>
      <c r="AC65" s="490">
        <f>(AC64/AC$7)</f>
        <v>-6.8252752900713606E-3</v>
      </c>
      <c r="AD65" s="491"/>
      <c r="AE65" s="467"/>
      <c r="AF65" s="348"/>
      <c r="AG65" s="323"/>
      <c r="AH65" s="348"/>
      <c r="AI65" s="357"/>
    </row>
    <row r="66" spans="1:36">
      <c r="A66" s="437"/>
      <c r="B66" s="439"/>
      <c r="C66" s="439"/>
      <c r="D66" s="439"/>
      <c r="E66" s="439"/>
      <c r="F66" s="439"/>
      <c r="G66" s="439"/>
      <c r="H66" s="438"/>
      <c r="I66" s="439"/>
      <c r="J66" s="439"/>
      <c r="K66" s="439"/>
      <c r="L66" s="438"/>
      <c r="M66" s="439"/>
      <c r="N66" s="439"/>
      <c r="O66" s="3"/>
      <c r="P66" s="439"/>
      <c r="Q66" s="439"/>
      <c r="R66" s="439"/>
      <c r="S66" s="439"/>
      <c r="T66" s="3"/>
      <c r="U66" s="3"/>
      <c r="V66" s="3"/>
      <c r="W66" s="3"/>
      <c r="X66" s="3"/>
      <c r="Y66" s="3"/>
      <c r="Z66" s="3"/>
      <c r="AA66" s="3"/>
      <c r="AB66" s="3"/>
      <c r="AC66" s="61"/>
      <c r="AD66" s="3"/>
      <c r="AE66" s="467"/>
      <c r="AF66" s="348"/>
      <c r="AG66" s="323"/>
      <c r="AH66" s="348"/>
      <c r="AI66" s="357"/>
    </row>
    <row r="67" spans="1:36">
      <c r="A67" s="437" t="s">
        <v>451</v>
      </c>
      <c r="B67" s="439">
        <f>B61+B64</f>
        <v>57.14400000000002</v>
      </c>
      <c r="C67" s="439">
        <f>C61+C64</f>
        <v>61.8</v>
      </c>
      <c r="D67" s="439">
        <f>D61+D64</f>
        <v>43.776999999999951</v>
      </c>
      <c r="E67" s="439">
        <f>E61+E64</f>
        <v>24.776999999999976</v>
      </c>
      <c r="F67" s="439">
        <f>F61+F64</f>
        <v>19.061000000000025</v>
      </c>
      <c r="G67" s="439">
        <f t="shared" ref="G67:L67" si="33">G61+G64</f>
        <v>55.629999999999939</v>
      </c>
      <c r="H67" s="438">
        <f t="shared" si="33"/>
        <v>99.43</v>
      </c>
      <c r="I67" s="439">
        <f t="shared" si="33"/>
        <v>117.479</v>
      </c>
      <c r="J67" s="439">
        <f>J61+J64</f>
        <v>219.50800000000007</v>
      </c>
      <c r="K67" s="439">
        <f t="shared" si="33"/>
        <v>408.49599999999975</v>
      </c>
      <c r="L67" s="438">
        <f t="shared" si="33"/>
        <v>588.32300000000009</v>
      </c>
      <c r="M67" s="439">
        <f t="shared" ref="M67:R67" si="34">M61+M64</f>
        <v>747.36999999999989</v>
      </c>
      <c r="N67" s="439">
        <f t="shared" si="34"/>
        <v>1034.6699999999996</v>
      </c>
      <c r="O67" s="439">
        <f t="shared" si="34"/>
        <v>1216.3990000000001</v>
      </c>
      <c r="P67" s="439">
        <f t="shared" si="34"/>
        <v>1003.4689999999996</v>
      </c>
      <c r="Q67" s="439">
        <f t="shared" si="34"/>
        <v>1151.9279999999999</v>
      </c>
      <c r="R67" s="439">
        <f t="shared" si="34"/>
        <v>1326.8970000000004</v>
      </c>
      <c r="S67" s="439">
        <f t="shared" ref="S67:Y67" si="35">S61+S64</f>
        <v>1544.8719999999996</v>
      </c>
      <c r="T67" s="439">
        <f t="shared" si="35"/>
        <v>1573.7279999999994</v>
      </c>
      <c r="U67" s="439">
        <f t="shared" si="35"/>
        <v>1253.7620000000011</v>
      </c>
      <c r="V67" s="439">
        <f t="shared" si="35"/>
        <v>782.1</v>
      </c>
      <c r="W67" s="439">
        <f t="shared" si="35"/>
        <v>749.69999999999902</v>
      </c>
      <c r="X67" s="439">
        <f t="shared" si="35"/>
        <v>793.72000000000082</v>
      </c>
      <c r="Y67" s="439">
        <f t="shared" si="35"/>
        <v>910.2200846276744</v>
      </c>
      <c r="Z67" s="439">
        <f>Z61+Z64</f>
        <v>1016.6537412755204</v>
      </c>
      <c r="AA67" s="439">
        <f>AA61+AA64</f>
        <v>1056.3948520308656</v>
      </c>
      <c r="AB67" s="439">
        <f>AB61+AB64</f>
        <v>1096.8470922265394</v>
      </c>
      <c r="AC67" s="439">
        <f>AC61+AC64</f>
        <v>1156.4207829119348</v>
      </c>
      <c r="AD67" s="439"/>
      <c r="AE67" s="467"/>
      <c r="AF67" s="348">
        <f>((V67/Q67)^(1/5)-1)*100</f>
        <v>-7.4519249246948194</v>
      </c>
      <c r="AG67" s="326" t="s">
        <v>428</v>
      </c>
      <c r="AH67" s="348">
        <f>((AA67/V67)^(1/5)-1)*100</f>
        <v>6.1971344138989526</v>
      </c>
      <c r="AI67" s="349" t="s">
        <v>428</v>
      </c>
    </row>
    <row r="68" spans="1:36">
      <c r="A68" s="437" t="s">
        <v>452</v>
      </c>
      <c r="B68" s="465">
        <f>B67/B$7</f>
        <v>0.14466066361028912</v>
      </c>
      <c r="C68" s="465">
        <f>C67/C$7</f>
        <v>0.12055125866827922</v>
      </c>
      <c r="D68" s="465">
        <f>D67/D$7</f>
        <v>8.1013609294441083E-2</v>
      </c>
      <c r="E68" s="465">
        <f>E67/E$7</f>
        <v>4.821225299903676E-2</v>
      </c>
      <c r="F68" s="465">
        <f>F67/F$7</f>
        <v>3.8050161295474193E-2</v>
      </c>
      <c r="G68" s="465">
        <f t="shared" ref="G68:V68" si="36">G67/G$7</f>
        <v>0.10134482746056776</v>
      </c>
      <c r="H68" s="465">
        <f t="shared" si="36"/>
        <v>0.16558116607909196</v>
      </c>
      <c r="I68" s="465">
        <f t="shared" si="36"/>
        <v>0.16330068125932196</v>
      </c>
      <c r="J68" s="465">
        <f t="shared" si="36"/>
        <v>0.23027907337819159</v>
      </c>
      <c r="K68" s="465">
        <f t="shared" si="36"/>
        <v>0.30920758818747307</v>
      </c>
      <c r="L68" s="465">
        <f t="shared" si="36"/>
        <v>0.34396345231559677</v>
      </c>
      <c r="M68" s="465">
        <f t="shared" si="36"/>
        <v>0.36724156315368695</v>
      </c>
      <c r="N68" s="465">
        <f t="shared" si="36"/>
        <v>0.39605260337398973</v>
      </c>
      <c r="O68" s="465">
        <f t="shared" si="36"/>
        <v>0.38242437256288364</v>
      </c>
      <c r="P68" s="465">
        <f t="shared" si="36"/>
        <v>0.31062650984315576</v>
      </c>
      <c r="Q68" s="465">
        <f t="shared" si="36"/>
        <v>0.31930272344549171</v>
      </c>
      <c r="R68" s="465">
        <f t="shared" si="36"/>
        <v>0.3190801410217658</v>
      </c>
      <c r="S68" s="465">
        <f t="shared" si="36"/>
        <v>0.32433626274883581</v>
      </c>
      <c r="T68" s="465">
        <f t="shared" si="36"/>
        <v>0.31007035912511149</v>
      </c>
      <c r="U68" s="465">
        <f t="shared" si="36"/>
        <v>0.26086205684044006</v>
      </c>
      <c r="V68" s="465">
        <f t="shared" si="36"/>
        <v>0.18658746063555681</v>
      </c>
      <c r="W68" s="465">
        <f t="shared" ref="W68:AB68" si="37">W67/W$7</f>
        <v>0.16690413642637678</v>
      </c>
      <c r="X68" s="465">
        <f t="shared" si="37"/>
        <v>0.1768420114519976</v>
      </c>
      <c r="Y68" s="465">
        <f t="shared" si="37"/>
        <v>0.15610293610616718</v>
      </c>
      <c r="Z68" s="465">
        <f t="shared" si="37"/>
        <v>0.16897073330657525</v>
      </c>
      <c r="AA68" s="465">
        <f t="shared" si="37"/>
        <v>0.1706779791311048</v>
      </c>
      <c r="AB68" s="465">
        <f t="shared" si="37"/>
        <v>0.17227908071022491</v>
      </c>
      <c r="AC68" s="465">
        <f>AC67/AC$7</f>
        <v>0.17657472470992855</v>
      </c>
      <c r="AD68" s="465"/>
      <c r="AE68" s="467"/>
      <c r="AF68" s="348"/>
      <c r="AG68" s="323"/>
      <c r="AH68" s="348"/>
      <c r="AI68" s="357"/>
    </row>
    <row r="69" spans="1:36">
      <c r="A69" s="437"/>
      <c r="B69" s="439"/>
      <c r="C69" s="439"/>
      <c r="D69" s="439"/>
      <c r="E69" s="439"/>
      <c r="F69" s="439"/>
      <c r="G69" s="439"/>
      <c r="H69" s="438"/>
      <c r="I69" s="439"/>
      <c r="J69" s="439"/>
      <c r="K69" s="439"/>
      <c r="L69" s="438"/>
      <c r="M69" s="439"/>
      <c r="N69" s="439"/>
      <c r="O69" s="439"/>
      <c r="P69" s="439"/>
      <c r="Q69" s="439"/>
      <c r="R69" s="439"/>
      <c r="S69" s="439"/>
      <c r="T69" s="439"/>
      <c r="U69" s="439"/>
      <c r="V69" s="439"/>
      <c r="W69" s="439"/>
      <c r="X69" s="439"/>
      <c r="Y69" s="439"/>
      <c r="Z69" s="439"/>
      <c r="AA69" s="439"/>
      <c r="AB69" s="439"/>
      <c r="AC69" s="439"/>
      <c r="AD69" s="439"/>
      <c r="AE69" s="467"/>
      <c r="AF69" s="348"/>
      <c r="AG69" s="323"/>
      <c r="AH69" s="348"/>
      <c r="AI69" s="357"/>
    </row>
    <row r="70" spans="1:36">
      <c r="A70" s="437" t="s">
        <v>112</v>
      </c>
      <c r="B70" s="439">
        <f>'qtrP&amp;L'!D94</f>
        <v>19.963000000000001</v>
      </c>
      <c r="C70" s="439">
        <f>'qtrP&amp;L'!H94</f>
        <v>18.940000000000001</v>
      </c>
      <c r="D70" s="439">
        <f>'qtrP&amp;L'!L94</f>
        <v>11.645</v>
      </c>
      <c r="E70" s="439">
        <f>'qtrP&amp;L'!P94</f>
        <v>4.18</v>
      </c>
      <c r="F70" s="439">
        <f>'qtrP&amp;L'!T94</f>
        <v>2.3460000000000001</v>
      </c>
      <c r="G70" s="439">
        <f>'qtrP&amp;L'!X94</f>
        <v>17.027000000000001</v>
      </c>
      <c r="H70" s="438">
        <f>'qtrP&amp;L'!AB94</f>
        <v>35.400000000000006</v>
      </c>
      <c r="I70" s="473">
        <v>41.695</v>
      </c>
      <c r="J70" s="473">
        <v>81.218999999999994</v>
      </c>
      <c r="K70" s="473">
        <v>152.50399999999999</v>
      </c>
      <c r="L70" s="438">
        <f>'qtrP&amp;L'!AR94</f>
        <v>216.07</v>
      </c>
      <c r="M70" s="439">
        <f>'qtrP&amp;L'!AV94</f>
        <v>283.32600000000002</v>
      </c>
      <c r="N70" s="492">
        <v>398.14100000000002</v>
      </c>
      <c r="O70" s="439">
        <f>+'qtrP&amp;L'!BD94</f>
        <v>474.39699999999999</v>
      </c>
      <c r="P70" s="439">
        <f>+'qtrP&amp;L'!BH94</f>
        <v>381.22699999999998</v>
      </c>
      <c r="Q70" s="439">
        <f>'qtrP&amp;L'!BL94</f>
        <v>416.988</v>
      </c>
      <c r="R70" s="439">
        <f>'qtrP&amp;L'!$BP$94</f>
        <v>446.09700000000004</v>
      </c>
      <c r="S70" s="439">
        <f>'qtrP&amp;L'!$BT$94</f>
        <v>505.96199999999999</v>
      </c>
      <c r="T70" s="439">
        <f>'qtrP&amp;L'!$BX$94</f>
        <v>506.74</v>
      </c>
      <c r="U70" s="439">
        <f>'qtrP&amp;L'!CB94</f>
        <v>384.14499999999998</v>
      </c>
      <c r="V70" s="439">
        <f>'qtrP&amp;L'!CF94</f>
        <v>250.89999999999998</v>
      </c>
      <c r="W70" s="439">
        <f>'qtrP&amp;L'!CJ94</f>
        <v>198</v>
      </c>
      <c r="X70" s="439">
        <f>'qtrP&amp;L'!CN94</f>
        <v>184.5</v>
      </c>
      <c r="Y70" s="439">
        <f>'qtrP&amp;L'!CR94</f>
        <v>182.33581607925814</v>
      </c>
      <c r="Z70" s="439">
        <f>+Z67*Z71</f>
        <v>218.58055437423687</v>
      </c>
      <c r="AA70" s="439">
        <f>+AA67*AA71</f>
        <v>227.12489318663611</v>
      </c>
      <c r="AB70" s="439">
        <f>+AB67*AB71</f>
        <v>235.82212482870597</v>
      </c>
      <c r="AC70" s="439">
        <f>+AC67*AC71</f>
        <v>248.63046832606597</v>
      </c>
      <c r="AD70" s="439"/>
      <c r="AE70" s="467"/>
      <c r="AF70" s="348">
        <f>((V70/Q70)^(1/5)-1)*100</f>
        <v>-9.6609704672827146</v>
      </c>
      <c r="AG70" s="326" t="s">
        <v>428</v>
      </c>
      <c r="AH70" s="348">
        <f>((AA70/V70)^(1/5)-1)*100</f>
        <v>-1.97139668950016</v>
      </c>
      <c r="AI70" s="357" t="s">
        <v>428</v>
      </c>
    </row>
    <row r="71" spans="1:36" ht="12.75" customHeight="1">
      <c r="A71" s="437" t="s">
        <v>453</v>
      </c>
      <c r="B71" s="493">
        <f>B70/B67</f>
        <v>0.3493455130897381</v>
      </c>
      <c r="C71" s="493">
        <f>C70/C67</f>
        <v>0.30647249190938514</v>
      </c>
      <c r="D71" s="493">
        <f>D70/D67</f>
        <v>0.26600726408844855</v>
      </c>
      <c r="E71" s="493">
        <f>E70/E67</f>
        <v>0.16870484723735737</v>
      </c>
      <c r="F71" s="493">
        <f>F70/F67</f>
        <v>0.12307853732752726</v>
      </c>
      <c r="G71" s="493">
        <f t="shared" ref="G71:Y71" si="38">G70/G67</f>
        <v>0.3060758583498116</v>
      </c>
      <c r="H71" s="493">
        <f t="shared" si="38"/>
        <v>0.35602936739414665</v>
      </c>
      <c r="I71" s="493">
        <f t="shared" si="38"/>
        <v>0.35491449535661695</v>
      </c>
      <c r="J71" s="493">
        <f t="shared" si="38"/>
        <v>0.37000473786832355</v>
      </c>
      <c r="K71" s="493">
        <f>K70/K67</f>
        <v>0.37333046100818634</v>
      </c>
      <c r="L71" s="493">
        <f t="shared" si="38"/>
        <v>0.36726424090168147</v>
      </c>
      <c r="M71" s="493">
        <f t="shared" si="38"/>
        <v>0.37909736810415195</v>
      </c>
      <c r="N71" s="493">
        <f t="shared" si="38"/>
        <v>0.38479998453613246</v>
      </c>
      <c r="O71" s="493">
        <f t="shared" si="38"/>
        <v>0.39000114271715114</v>
      </c>
      <c r="P71" s="493">
        <f t="shared" si="38"/>
        <v>0.37990909534823708</v>
      </c>
      <c r="Q71" s="493">
        <f t="shared" si="38"/>
        <v>0.36199137446090385</v>
      </c>
      <c r="R71" s="493">
        <f t="shared" si="38"/>
        <v>0.33619565045365229</v>
      </c>
      <c r="S71" s="493">
        <f t="shared" si="38"/>
        <v>0.32751062871228176</v>
      </c>
      <c r="T71" s="493">
        <f t="shared" si="38"/>
        <v>0.32199973565952961</v>
      </c>
      <c r="U71" s="493">
        <f t="shared" si="38"/>
        <v>0.30639387698781717</v>
      </c>
      <c r="V71" s="493">
        <f t="shared" si="38"/>
        <v>0.3208029663725866</v>
      </c>
      <c r="W71" s="493">
        <f t="shared" si="38"/>
        <v>0.26410564225690308</v>
      </c>
      <c r="X71" s="493">
        <f t="shared" si="38"/>
        <v>0.23244973038351033</v>
      </c>
      <c r="Y71" s="493">
        <f t="shared" si="38"/>
        <v>0.20032058087780233</v>
      </c>
      <c r="Z71" s="494">
        <v>0.215</v>
      </c>
      <c r="AA71" s="494">
        <f>Z71</f>
        <v>0.215</v>
      </c>
      <c r="AB71" s="494">
        <f>AA71</f>
        <v>0.215</v>
      </c>
      <c r="AC71" s="494">
        <f>AB71</f>
        <v>0.215</v>
      </c>
      <c r="AD71" s="494"/>
      <c r="AE71" s="467"/>
      <c r="AF71" s="348"/>
      <c r="AG71" s="323"/>
      <c r="AH71" s="348"/>
      <c r="AI71" s="357"/>
    </row>
    <row r="72" spans="1:36">
      <c r="A72" s="437"/>
      <c r="B72" s="439"/>
      <c r="C72" s="439"/>
      <c r="D72" s="439"/>
      <c r="E72" s="439"/>
      <c r="F72" s="439"/>
      <c r="G72" s="439"/>
      <c r="H72" s="438"/>
      <c r="I72" s="439"/>
      <c r="J72" s="439"/>
      <c r="K72" s="439"/>
      <c r="L72" s="438"/>
      <c r="M72" s="439"/>
      <c r="N72" s="439"/>
      <c r="O72" s="439"/>
      <c r="P72" s="439"/>
      <c r="Q72" s="439"/>
      <c r="R72" s="439"/>
      <c r="S72" s="439"/>
      <c r="T72" s="489"/>
      <c r="U72" s="439"/>
      <c r="V72" s="439"/>
      <c r="W72" s="439"/>
      <c r="X72" s="439"/>
      <c r="Y72" s="439"/>
      <c r="Z72" s="439"/>
      <c r="AA72" s="439"/>
      <c r="AB72" s="439"/>
      <c r="AC72" s="439"/>
      <c r="AD72" s="439"/>
      <c r="AE72" s="467"/>
      <c r="AF72" s="348"/>
      <c r="AG72" s="383"/>
      <c r="AH72" s="348"/>
      <c r="AI72" s="384"/>
    </row>
    <row r="73" spans="1:36">
      <c r="A73" s="437" t="s">
        <v>625</v>
      </c>
      <c r="B73" s="439">
        <v>0.21199999999999999</v>
      </c>
      <c r="C73" s="439"/>
      <c r="D73" s="439">
        <v>9.5000000000000001E-2</v>
      </c>
      <c r="E73" s="439">
        <v>-6.6000000000000003E-2</v>
      </c>
      <c r="F73" s="439"/>
      <c r="G73" s="439">
        <v>0</v>
      </c>
      <c r="H73" s="438">
        <v>0</v>
      </c>
      <c r="I73" s="439">
        <f>'qtrP&amp;L'!AF115</f>
        <v>0.18399999999999994</v>
      </c>
      <c r="J73" s="439">
        <f>'qtrP&amp;L'!AJ115</f>
        <v>7.6080000000000005</v>
      </c>
      <c r="K73" s="439">
        <f>'qtrP&amp;L'!AN115</f>
        <v>18.042999999999999</v>
      </c>
      <c r="L73" s="438">
        <f>'qtrP&amp;L'!AR115</f>
        <v>13.640999999999998</v>
      </c>
      <c r="M73" s="439">
        <f>+'qtrP&amp;L'!AV115</f>
        <v>0</v>
      </c>
      <c r="N73" s="439">
        <f>+'qtrP&amp;L'!AZ115</f>
        <v>0</v>
      </c>
      <c r="O73" s="439">
        <f>+'qtrP&amp;L'!BD115</f>
        <v>0</v>
      </c>
      <c r="P73" s="439">
        <f>+'qtrP&amp;L'!BH115</f>
        <v>0</v>
      </c>
      <c r="Q73" s="439">
        <f t="shared" ref="Q73:V73" si="39">+P73</f>
        <v>0</v>
      </c>
      <c r="R73" s="439">
        <f t="shared" si="39"/>
        <v>0</v>
      </c>
      <c r="S73" s="439">
        <f t="shared" si="39"/>
        <v>0</v>
      </c>
      <c r="T73" s="439">
        <f t="shared" si="39"/>
        <v>0</v>
      </c>
      <c r="U73" s="439">
        <f t="shared" si="39"/>
        <v>0</v>
      </c>
      <c r="V73" s="439">
        <f t="shared" si="39"/>
        <v>0</v>
      </c>
      <c r="W73" s="439">
        <f t="shared" ref="W73:AC73" si="40">+V73</f>
        <v>0</v>
      </c>
      <c r="X73" s="439">
        <f t="shared" si="40"/>
        <v>0</v>
      </c>
      <c r="Y73" s="439">
        <f t="shared" si="40"/>
        <v>0</v>
      </c>
      <c r="Z73" s="439">
        <f>+Y73</f>
        <v>0</v>
      </c>
      <c r="AA73" s="439">
        <f t="shared" si="40"/>
        <v>0</v>
      </c>
      <c r="AB73" s="439">
        <f t="shared" si="40"/>
        <v>0</v>
      </c>
      <c r="AC73" s="439">
        <f t="shared" si="40"/>
        <v>0</v>
      </c>
      <c r="AD73" s="439"/>
      <c r="AE73" s="467"/>
      <c r="AF73" s="348"/>
      <c r="AG73" s="383"/>
      <c r="AH73" s="348"/>
      <c r="AI73" s="384"/>
    </row>
    <row r="74" spans="1:36">
      <c r="A74" s="495" t="s">
        <v>454</v>
      </c>
      <c r="B74" s="439"/>
      <c r="C74" s="439"/>
      <c r="D74" s="439"/>
      <c r="E74" s="439"/>
      <c r="F74" s="465"/>
      <c r="G74" s="465">
        <f t="shared" ref="G74:V74" si="41">G73/G$7</f>
        <v>0</v>
      </c>
      <c r="H74" s="465">
        <f t="shared" si="41"/>
        <v>0</v>
      </c>
      <c r="I74" s="465">
        <f t="shared" si="41"/>
        <v>2.5576762954838934E-4</v>
      </c>
      <c r="J74" s="465">
        <f t="shared" si="41"/>
        <v>7.9813181763820976E-3</v>
      </c>
      <c r="K74" s="465">
        <f t="shared" si="41"/>
        <v>1.3657496067688742E-2</v>
      </c>
      <c r="L74" s="465">
        <f t="shared" si="41"/>
        <v>7.9752201648364152E-3</v>
      </c>
      <c r="M74" s="465">
        <f t="shared" si="41"/>
        <v>0</v>
      </c>
      <c r="N74" s="465">
        <f t="shared" si="41"/>
        <v>0</v>
      </c>
      <c r="O74" s="465">
        <f t="shared" si="41"/>
        <v>0</v>
      </c>
      <c r="P74" s="465">
        <f t="shared" si="41"/>
        <v>0</v>
      </c>
      <c r="Q74" s="465">
        <f t="shared" si="41"/>
        <v>0</v>
      </c>
      <c r="R74" s="465">
        <f t="shared" si="41"/>
        <v>0</v>
      </c>
      <c r="S74" s="465">
        <f t="shared" si="41"/>
        <v>0</v>
      </c>
      <c r="T74" s="465">
        <f t="shared" si="41"/>
        <v>0</v>
      </c>
      <c r="U74" s="465">
        <f t="shared" si="41"/>
        <v>0</v>
      </c>
      <c r="V74" s="465">
        <f t="shared" si="41"/>
        <v>0</v>
      </c>
      <c r="W74" s="465">
        <f t="shared" ref="W74:AB74" si="42">W73/W$7</f>
        <v>0</v>
      </c>
      <c r="X74" s="465">
        <f t="shared" si="42"/>
        <v>0</v>
      </c>
      <c r="Y74" s="465">
        <f t="shared" si="42"/>
        <v>0</v>
      </c>
      <c r="Z74" s="465">
        <f t="shared" si="42"/>
        <v>0</v>
      </c>
      <c r="AA74" s="465">
        <f t="shared" si="42"/>
        <v>0</v>
      </c>
      <c r="AB74" s="465">
        <f t="shared" si="42"/>
        <v>0</v>
      </c>
      <c r="AC74" s="465">
        <f>AC73/AC$7</f>
        <v>0</v>
      </c>
      <c r="AD74" s="465"/>
      <c r="AE74" s="467"/>
      <c r="AF74" s="348"/>
      <c r="AG74" s="383"/>
      <c r="AH74" s="348"/>
      <c r="AI74" s="384"/>
    </row>
    <row r="75" spans="1:36">
      <c r="A75" s="437"/>
      <c r="B75" s="439"/>
      <c r="C75" s="439"/>
      <c r="D75" s="439"/>
      <c r="E75" s="439"/>
      <c r="F75" s="439"/>
      <c r="G75" s="439"/>
      <c r="H75" s="438"/>
      <c r="I75" s="439"/>
      <c r="J75" s="439"/>
      <c r="K75" s="439"/>
      <c r="L75" s="438"/>
      <c r="M75" s="439"/>
      <c r="N75" s="439"/>
      <c r="O75" s="439"/>
      <c r="P75" s="439"/>
      <c r="Q75" s="439"/>
      <c r="R75" s="439"/>
      <c r="S75" s="439"/>
      <c r="T75" s="439"/>
      <c r="U75" s="439"/>
      <c r="V75" s="439"/>
      <c r="W75" s="439"/>
      <c r="X75" s="439"/>
      <c r="Y75" s="439"/>
      <c r="Z75" s="439"/>
      <c r="AA75" s="439"/>
      <c r="AB75" s="439"/>
      <c r="AC75" s="439"/>
      <c r="AD75" s="439"/>
      <c r="AE75" s="467"/>
      <c r="AF75" s="348"/>
      <c r="AG75" s="383"/>
      <c r="AH75" s="348"/>
      <c r="AI75" s="384"/>
    </row>
    <row r="76" spans="1:36">
      <c r="A76" s="437" t="s">
        <v>626</v>
      </c>
      <c r="B76" s="439">
        <f>B67-B70-B73</f>
        <v>36.969000000000015</v>
      </c>
      <c r="C76" s="439">
        <f>'qtrP&amp;L'!H125</f>
        <v>42.86</v>
      </c>
      <c r="D76" s="439">
        <f>D67-D70-D73</f>
        <v>32.036999999999949</v>
      </c>
      <c r="E76" s="439">
        <f t="shared" ref="E76:K76" si="43">E67-E70-E73</f>
        <v>20.662999999999975</v>
      </c>
      <c r="F76" s="439">
        <f t="shared" si="43"/>
        <v>16.715000000000025</v>
      </c>
      <c r="G76" s="439">
        <f t="shared" si="43"/>
        <v>38.602999999999938</v>
      </c>
      <c r="H76" s="438">
        <f t="shared" si="43"/>
        <v>64.03</v>
      </c>
      <c r="I76" s="439">
        <f t="shared" si="43"/>
        <v>75.599999999999994</v>
      </c>
      <c r="J76" s="439">
        <f>J67-J70-J73</f>
        <v>130.68100000000007</v>
      </c>
      <c r="K76" s="439">
        <f t="shared" si="43"/>
        <v>237.94899999999976</v>
      </c>
      <c r="L76" s="438">
        <f>L67-L70-L73</f>
        <v>358.61200000000008</v>
      </c>
      <c r="M76" s="439">
        <f t="shared" ref="M76:R76" si="44">M67-M70</f>
        <v>464.04399999999987</v>
      </c>
      <c r="N76" s="439">
        <f t="shared" si="44"/>
        <v>636.52899999999954</v>
      </c>
      <c r="O76" s="439">
        <f t="shared" si="44"/>
        <v>742.00200000000018</v>
      </c>
      <c r="P76" s="439">
        <f t="shared" si="44"/>
        <v>622.24199999999962</v>
      </c>
      <c r="Q76" s="439">
        <f t="shared" si="44"/>
        <v>734.93999999999983</v>
      </c>
      <c r="R76" s="439">
        <f t="shared" si="44"/>
        <v>880.80000000000041</v>
      </c>
      <c r="S76" s="439">
        <f t="shared" ref="S76:Y76" si="45">S67-S70</f>
        <v>1038.9099999999996</v>
      </c>
      <c r="T76" s="439">
        <f t="shared" si="45"/>
        <v>1066.9879999999994</v>
      </c>
      <c r="U76" s="439">
        <f>U67-U70</f>
        <v>869.6170000000011</v>
      </c>
      <c r="V76" s="439">
        <f t="shared" si="45"/>
        <v>531.20000000000005</v>
      </c>
      <c r="W76" s="439">
        <f t="shared" si="45"/>
        <v>551.69999999999902</v>
      </c>
      <c r="X76" s="439">
        <f t="shared" si="45"/>
        <v>609.22000000000082</v>
      </c>
      <c r="Y76" s="439">
        <f t="shared" si="45"/>
        <v>727.88426854841623</v>
      </c>
      <c r="Z76" s="439">
        <f>Z67-Z70</f>
        <v>798.07318690128352</v>
      </c>
      <c r="AA76" s="439">
        <f>AA67-AA70</f>
        <v>829.26995884422956</v>
      </c>
      <c r="AB76" s="439">
        <f>AB67-AB70</f>
        <v>861.02496739783351</v>
      </c>
      <c r="AC76" s="439">
        <f>AC67-AC70</f>
        <v>907.79031458586883</v>
      </c>
      <c r="AD76" s="439"/>
      <c r="AE76" s="467"/>
      <c r="AF76" s="348">
        <f>((V76/Q76)^(1/5)-1)*100</f>
        <v>-6.2866989284604546</v>
      </c>
      <c r="AG76" s="326" t="s">
        <v>428</v>
      </c>
      <c r="AH76" s="348">
        <f>((AA76/V76)^(1/5)-1)*100</f>
        <v>9.3169669054470319</v>
      </c>
      <c r="AI76" s="357" t="s">
        <v>428</v>
      </c>
    </row>
    <row r="77" spans="1:36">
      <c r="A77" s="495" t="s">
        <v>454</v>
      </c>
      <c r="B77" s="465">
        <f>B76/B$7</f>
        <v>9.3587429529063043E-2</v>
      </c>
      <c r="C77" s="465">
        <f>C76/C$7</f>
        <v>8.3605614021398822E-2</v>
      </c>
      <c r="D77" s="465">
        <f>D76/D$7</f>
        <v>5.9287593964090911E-2</v>
      </c>
      <c r="E77" s="465">
        <f>E76/E$7</f>
        <v>4.0207038128873406E-2</v>
      </c>
      <c r="F77" s="465">
        <f>F76/F$7</f>
        <v>3.3367003098150737E-2</v>
      </c>
      <c r="G77" s="465">
        <f t="shared" ref="G77:V77" si="46">G76/G$7</f>
        <v>7.0325622406260932E-2</v>
      </c>
      <c r="H77" s="465">
        <f t="shared" si="46"/>
        <v>0.10662940826756771</v>
      </c>
      <c r="I77" s="465">
        <f t="shared" si="46"/>
        <v>0.10508713474922955</v>
      </c>
      <c r="J77" s="465">
        <f t="shared" si="46"/>
        <v>0.13709340701995126</v>
      </c>
      <c r="K77" s="465">
        <f t="shared" si="46"/>
        <v>0.18011348067452559</v>
      </c>
      <c r="L77" s="465">
        <f>L76/L$7</f>
        <v>0.20966275593815098</v>
      </c>
      <c r="M77" s="465">
        <f t="shared" si="46"/>
        <v>0.22802125310366952</v>
      </c>
      <c r="N77" s="465">
        <f t="shared" si="46"/>
        <v>0.24365156772018345</v>
      </c>
      <c r="O77" s="465">
        <f t="shared" si="46"/>
        <v>0.23327843026046949</v>
      </c>
      <c r="P77" s="465">
        <f t="shared" si="46"/>
        <v>0.19261667349746217</v>
      </c>
      <c r="Q77" s="465">
        <f t="shared" si="46"/>
        <v>0.20371789171634827</v>
      </c>
      <c r="R77" s="465">
        <f t="shared" si="46"/>
        <v>0.21180678546411014</v>
      </c>
      <c r="S77" s="465">
        <f t="shared" si="46"/>
        <v>0.21811268942177281</v>
      </c>
      <c r="T77" s="465">
        <f t="shared" si="46"/>
        <v>0.21022778545097018</v>
      </c>
      <c r="U77" s="465">
        <f t="shared" si="46"/>
        <v>0.18093551988608131</v>
      </c>
      <c r="V77" s="465">
        <f t="shared" si="46"/>
        <v>0.12672964977574197</v>
      </c>
      <c r="W77" s="465">
        <f t="shared" ref="W77:AB77" si="47">W76/W$7</f>
        <v>0.12282381228015475</v>
      </c>
      <c r="X77" s="465">
        <f t="shared" si="47"/>
        <v>0.13573513356950312</v>
      </c>
      <c r="Y77" s="465">
        <f t="shared" si="47"/>
        <v>0.12483230526864929</v>
      </c>
      <c r="Z77" s="465">
        <f t="shared" si="47"/>
        <v>0.13264202564566158</v>
      </c>
      <c r="AA77" s="465">
        <f t="shared" si="47"/>
        <v>0.13398221361791729</v>
      </c>
      <c r="AB77" s="465">
        <f t="shared" si="47"/>
        <v>0.13523907835752655</v>
      </c>
      <c r="AC77" s="465">
        <f>AC76/AC$7</f>
        <v>0.13861115889729389</v>
      </c>
      <c r="AD77" s="465"/>
      <c r="AE77" s="467"/>
      <c r="AF77" s="348"/>
      <c r="AG77" s="323"/>
      <c r="AH77" s="348"/>
      <c r="AI77" s="357"/>
    </row>
    <row r="78" spans="1:36">
      <c r="A78" s="495"/>
      <c r="B78" s="439"/>
      <c r="C78" s="439"/>
      <c r="D78" s="439"/>
      <c r="E78" s="439"/>
      <c r="F78" s="439"/>
      <c r="G78" s="439"/>
      <c r="H78" s="438"/>
      <c r="I78" s="439"/>
      <c r="J78" s="439"/>
      <c r="K78" s="439"/>
      <c r="L78" s="438"/>
      <c r="M78" s="496"/>
      <c r="N78" s="496"/>
      <c r="O78" s="497"/>
      <c r="P78" s="488"/>
      <c r="Q78" s="488"/>
      <c r="R78" s="488"/>
      <c r="S78" s="488"/>
      <c r="T78" s="488"/>
      <c r="U78" s="488"/>
      <c r="V78" s="488"/>
      <c r="W78" s="488"/>
      <c r="X78" s="488"/>
      <c r="Y78" s="488"/>
      <c r="Z78" s="488"/>
      <c r="AA78" s="488"/>
      <c r="AB78" s="488"/>
      <c r="AC78" s="488"/>
      <c r="AD78" s="488"/>
      <c r="AE78" s="467"/>
      <c r="AF78" s="348"/>
      <c r="AG78" s="323"/>
      <c r="AH78" s="348"/>
      <c r="AI78" s="357"/>
    </row>
    <row r="79" spans="1:36">
      <c r="A79" s="437" t="s">
        <v>89</v>
      </c>
      <c r="B79" s="498" t="e">
        <f>B76/B88</f>
        <v>#DIV/0!</v>
      </c>
      <c r="C79" s="498" t="e">
        <f>C76/C88</f>
        <v>#DIV/0!</v>
      </c>
      <c r="D79" s="498">
        <f t="shared" ref="D79:Q79" si="48">D76/D88</f>
        <v>0.11433292411351548</v>
      </c>
      <c r="E79" s="498">
        <f t="shared" si="48"/>
        <v>7.3741649060697675E-2</v>
      </c>
      <c r="F79" s="498">
        <f t="shared" si="48"/>
        <v>5.9652115571289979E-2</v>
      </c>
      <c r="G79" s="498">
        <f t="shared" si="48"/>
        <v>0.13776551704448101</v>
      </c>
      <c r="H79" s="498">
        <f t="shared" si="48"/>
        <v>0.18986028086156181</v>
      </c>
      <c r="I79" s="498">
        <f t="shared" si="48"/>
        <v>0.20780191749494237</v>
      </c>
      <c r="J79" s="498">
        <f t="shared" si="48"/>
        <v>0.35159167464835739</v>
      </c>
      <c r="K79" s="498">
        <f t="shared" si="48"/>
        <v>0.61715487682786963</v>
      </c>
      <c r="L79" s="498">
        <f t="shared" si="48"/>
        <v>0.91906784113421403</v>
      </c>
      <c r="M79" s="498">
        <f>M76/M88</f>
        <v>1.1944658232409679</v>
      </c>
      <c r="N79" s="498">
        <f t="shared" si="48"/>
        <v>1.6868129829656864</v>
      </c>
      <c r="O79" s="498">
        <f t="shared" si="48"/>
        <v>2.0592176104259412</v>
      </c>
      <c r="P79" s="498">
        <f t="shared" si="48"/>
        <v>1.9130338539865237</v>
      </c>
      <c r="Q79" s="498">
        <f t="shared" si="48"/>
        <v>2.3256950954680842</v>
      </c>
      <c r="R79" s="498">
        <f t="shared" ref="R79:AA79" si="49">R76/R88</f>
        <v>2.9207972503121264</v>
      </c>
      <c r="S79" s="498">
        <f t="shared" si="49"/>
        <v>3.5311522019355026</v>
      </c>
      <c r="T79" s="498">
        <f t="shared" si="49"/>
        <v>3.7285729137272932</v>
      </c>
      <c r="U79" s="498">
        <f t="shared" si="49"/>
        <v>3.1024371100735411</v>
      </c>
      <c r="V79" s="498">
        <f t="shared" si="49"/>
        <v>1.9163059163059166</v>
      </c>
      <c r="W79" s="498">
        <f t="shared" si="49"/>
        <v>1.9752953813104153</v>
      </c>
      <c r="X79" s="498">
        <f t="shared" si="49"/>
        <v>2.1542432814710071</v>
      </c>
      <c r="Y79" s="498">
        <f t="shared" si="49"/>
        <v>2.5171683804568308</v>
      </c>
      <c r="Z79" s="498">
        <f t="shared" si="49"/>
        <v>2.7503842267960263</v>
      </c>
      <c r="AA79" s="498">
        <f t="shared" si="49"/>
        <v>2.8480817708051429</v>
      </c>
      <c r="AB79" s="498">
        <f>AB76/AB88</f>
        <v>2.9470212087233945</v>
      </c>
      <c r="AC79" s="498">
        <f>AC76/AC88</f>
        <v>3.0964861655677227</v>
      </c>
      <c r="AD79" s="498"/>
      <c r="AE79" s="499"/>
      <c r="AF79" s="348">
        <f>((V79/Q79)^(1/5)-1)*100</f>
        <v>-3.7983739700302888</v>
      </c>
      <c r="AG79" s="326" t="s">
        <v>428</v>
      </c>
      <c r="AH79" s="348">
        <f>((AA79/V79)^(1/5)-1)*100</f>
        <v>8.247412195123438</v>
      </c>
      <c r="AI79" s="349" t="s">
        <v>428</v>
      </c>
      <c r="AJ79" s="348"/>
    </row>
    <row r="80" spans="1:36">
      <c r="A80" s="437" t="s">
        <v>455</v>
      </c>
      <c r="B80" s="490" t="e">
        <f>B79/#REF!-1</f>
        <v>#DIV/0!</v>
      </c>
      <c r="C80" s="490" t="e">
        <f>C79/B79-1</f>
        <v>#DIV/0!</v>
      </c>
      <c r="D80" s="490" t="e">
        <f>D79/C79-1</f>
        <v>#DIV/0!</v>
      </c>
      <c r="E80" s="490">
        <f>E79/D79-1</f>
        <v>-0.35502700003121357</v>
      </c>
      <c r="F80" s="490">
        <f>F79/E79-1</f>
        <v>-0.19106615689880257</v>
      </c>
      <c r="G80" s="490">
        <f t="shared" ref="G80:V80" si="50">G79/F79-1</f>
        <v>1.3094825007478241</v>
      </c>
      <c r="H80" s="465">
        <f t="shared" si="50"/>
        <v>0.3781408071822554</v>
      </c>
      <c r="I80" s="490">
        <f t="shared" si="50"/>
        <v>9.449915775939921E-2</v>
      </c>
      <c r="J80" s="490">
        <f t="shared" si="50"/>
        <v>0.69195587262525948</v>
      </c>
      <c r="K80" s="490">
        <f t="shared" si="50"/>
        <v>0.75531709459592267</v>
      </c>
      <c r="L80" s="465">
        <f t="shared" si="50"/>
        <v>0.48920129394124645</v>
      </c>
      <c r="M80" s="490">
        <f t="shared" si="50"/>
        <v>0.29964924217877931</v>
      </c>
      <c r="N80" s="490">
        <f t="shared" si="50"/>
        <v>0.41219024449676001</v>
      </c>
      <c r="O80" s="490">
        <f t="shared" si="50"/>
        <v>0.22077410550012955</v>
      </c>
      <c r="P80" s="490">
        <f t="shared" si="50"/>
        <v>-7.0989950600305884E-2</v>
      </c>
      <c r="Q80" s="490">
        <f t="shared" si="50"/>
        <v>0.21571037053088515</v>
      </c>
      <c r="R80" s="490">
        <f t="shared" si="50"/>
        <v>0.25588141627149463</v>
      </c>
      <c r="S80" s="490">
        <f t="shared" si="50"/>
        <v>0.2089686134695421</v>
      </c>
      <c r="T80" s="490">
        <f t="shared" si="50"/>
        <v>5.5908298623769337E-2</v>
      </c>
      <c r="U80" s="490">
        <f t="shared" si="50"/>
        <v>-0.16792907585326822</v>
      </c>
      <c r="V80" s="490">
        <f t="shared" si="50"/>
        <v>-0.38232239741984908</v>
      </c>
      <c r="W80" s="490">
        <f t="shared" ref="W80:AC80" si="51">W79/V79-1</f>
        <v>3.0782906060329518E-2</v>
      </c>
      <c r="X80" s="490">
        <f t="shared" si="51"/>
        <v>9.0592982626161556E-2</v>
      </c>
      <c r="Y80" s="490">
        <f t="shared" si="51"/>
        <v>0.16846987622400911</v>
      </c>
      <c r="Z80" s="490">
        <f>Z79/Y79-1</f>
        <v>9.2650077821520238E-2</v>
      </c>
      <c r="AA80" s="490">
        <f t="shared" si="51"/>
        <v>3.552141662873276E-2</v>
      </c>
      <c r="AB80" s="490">
        <f t="shared" si="51"/>
        <v>3.4738973765588765E-2</v>
      </c>
      <c r="AC80" s="490">
        <f t="shared" si="51"/>
        <v>5.071729935363245E-2</v>
      </c>
      <c r="AD80" s="490"/>
      <c r="AE80" s="499"/>
      <c r="AF80" s="348"/>
      <c r="AG80" s="323"/>
      <c r="AH80" s="348"/>
      <c r="AI80" s="357"/>
    </row>
    <row r="81" spans="1:35">
      <c r="A81" s="495"/>
      <c r="B81" s="439"/>
      <c r="C81" s="439"/>
      <c r="D81" s="439"/>
      <c r="E81" s="439"/>
      <c r="F81" s="439"/>
      <c r="G81" s="439"/>
      <c r="H81" s="438"/>
      <c r="I81" s="439"/>
      <c r="J81" s="439"/>
      <c r="K81" s="439"/>
      <c r="L81" s="438"/>
      <c r="M81" s="439"/>
      <c r="N81" s="439"/>
      <c r="O81" s="439"/>
      <c r="P81" s="439"/>
      <c r="Q81" s="439"/>
      <c r="R81" s="439"/>
      <c r="S81" s="439"/>
      <c r="T81" s="471"/>
      <c r="U81" s="471"/>
      <c r="V81" s="471"/>
      <c r="W81" s="1649"/>
      <c r="X81" s="1649"/>
      <c r="Y81" s="1649"/>
      <c r="Z81" s="1649"/>
      <c r="AA81" s="1649"/>
      <c r="AB81" s="1649"/>
      <c r="AC81" s="1649"/>
      <c r="AD81" s="1649">
        <v>2.0511562156756984</v>
      </c>
      <c r="AE81" s="467"/>
      <c r="AF81" s="348"/>
      <c r="AG81" s="323"/>
      <c r="AH81" s="348"/>
      <c r="AI81" s="357"/>
    </row>
    <row r="82" spans="1:35" hidden="1" outlineLevel="1">
      <c r="A82" s="437" t="s">
        <v>627</v>
      </c>
      <c r="B82" s="498">
        <f>'qtrP&amp;L'!S145</f>
        <v>0</v>
      </c>
      <c r="C82" s="498" t="e">
        <f>C79</f>
        <v>#DIV/0!</v>
      </c>
      <c r="D82" s="498">
        <f>'qtrP&amp;L'!U145</f>
        <v>0</v>
      </c>
      <c r="E82" s="498">
        <f>E79</f>
        <v>7.3741649060697675E-2</v>
      </c>
      <c r="F82" s="498">
        <f>F79</f>
        <v>5.9652115571289979E-2</v>
      </c>
      <c r="G82" s="498">
        <f t="shared" ref="G82:P82" si="52">G79</f>
        <v>0.13776551704448101</v>
      </c>
      <c r="H82" s="498">
        <f t="shared" si="52"/>
        <v>0.18986028086156181</v>
      </c>
      <c r="I82" s="498">
        <f t="shared" si="52"/>
        <v>0.20780191749494237</v>
      </c>
      <c r="J82" s="498">
        <f>J79</f>
        <v>0.35159167464835739</v>
      </c>
      <c r="K82" s="498">
        <f t="shared" si="52"/>
        <v>0.61715487682786963</v>
      </c>
      <c r="L82" s="498">
        <f t="shared" si="52"/>
        <v>0.91906784113421403</v>
      </c>
      <c r="M82" s="498">
        <f>M79</f>
        <v>1.1944658232409679</v>
      </c>
      <c r="N82" s="498">
        <f t="shared" si="52"/>
        <v>1.6868129829656864</v>
      </c>
      <c r="O82" s="498">
        <f t="shared" si="52"/>
        <v>2.0592176104259412</v>
      </c>
      <c r="P82" s="498">
        <f t="shared" si="52"/>
        <v>1.9130338539865237</v>
      </c>
      <c r="Q82" s="498">
        <f t="shared" ref="Q82:V82" si="53">Q79</f>
        <v>2.3256950954680842</v>
      </c>
      <c r="R82" s="498">
        <f t="shared" si="53"/>
        <v>2.9207972503121264</v>
      </c>
      <c r="S82" s="498">
        <f t="shared" si="53"/>
        <v>3.5311522019355026</v>
      </c>
      <c r="T82" s="498">
        <f t="shared" si="53"/>
        <v>3.7285729137272932</v>
      </c>
      <c r="U82" s="498">
        <f t="shared" si="53"/>
        <v>3.1024371100735411</v>
      </c>
      <c r="V82" s="498">
        <f t="shared" si="53"/>
        <v>1.9163059163059166</v>
      </c>
      <c r="W82" s="498"/>
      <c r="X82" s="498"/>
      <c r="Y82" s="498"/>
      <c r="Z82" s="498"/>
      <c r="AA82" s="498"/>
      <c r="AB82" s="498"/>
      <c r="AC82" s="498"/>
      <c r="AD82" s="498"/>
      <c r="AE82" s="499"/>
      <c r="AF82" s="348">
        <f t="shared" ref="AF82:AF87" si="54">((S82/N82)^(1/5)-1)*100</f>
        <v>15.923077037955725</v>
      </c>
      <c r="AG82" s="326" t="s">
        <v>428</v>
      </c>
      <c r="AH82" s="348">
        <f t="shared" ref="AH82:AH87" si="55">((Y82/T82)^(1/5)-1)*100</f>
        <v>-100</v>
      </c>
      <c r="AI82" s="349" t="s">
        <v>428</v>
      </c>
    </row>
    <row r="83" spans="1:35" hidden="1" outlineLevel="1">
      <c r="A83" s="437" t="s">
        <v>455</v>
      </c>
      <c r="B83" s="490" t="e">
        <f>B82/#REF!-1</f>
        <v>#REF!</v>
      </c>
      <c r="C83" s="490" t="e">
        <f>C82/B82-1</f>
        <v>#DIV/0!</v>
      </c>
      <c r="D83" s="490" t="e">
        <f>D82/C82-1</f>
        <v>#DIV/0!</v>
      </c>
      <c r="E83" s="490" t="e">
        <f>E82/D82-1</f>
        <v>#DIV/0!</v>
      </c>
      <c r="F83" s="490">
        <f>F82/E82-1</f>
        <v>-0.19106615689880257</v>
      </c>
      <c r="G83" s="490">
        <f t="shared" ref="G83:V83" si="56">G82/F82-1</f>
        <v>1.3094825007478241</v>
      </c>
      <c r="H83" s="465">
        <f t="shared" si="56"/>
        <v>0.3781408071822554</v>
      </c>
      <c r="I83" s="490">
        <f t="shared" si="56"/>
        <v>9.449915775939921E-2</v>
      </c>
      <c r="J83" s="490">
        <f t="shared" si="56"/>
        <v>0.69195587262525948</v>
      </c>
      <c r="K83" s="490">
        <f t="shared" si="56"/>
        <v>0.75531709459592267</v>
      </c>
      <c r="L83" s="465">
        <f t="shared" si="56"/>
        <v>0.48920129394124645</v>
      </c>
      <c r="M83" s="490">
        <f>M82/L82-1</f>
        <v>0.29964924217877931</v>
      </c>
      <c r="N83" s="490">
        <f t="shared" si="56"/>
        <v>0.41219024449676001</v>
      </c>
      <c r="O83" s="490">
        <f t="shared" si="56"/>
        <v>0.22077410550012955</v>
      </c>
      <c r="P83" s="490">
        <f t="shared" si="56"/>
        <v>-7.0989950600305884E-2</v>
      </c>
      <c r="Q83" s="490">
        <f t="shared" si="56"/>
        <v>0.21571037053088515</v>
      </c>
      <c r="R83" s="490">
        <f t="shared" si="56"/>
        <v>0.25588141627149463</v>
      </c>
      <c r="S83" s="490">
        <f t="shared" si="56"/>
        <v>0.2089686134695421</v>
      </c>
      <c r="T83" s="490">
        <f t="shared" si="56"/>
        <v>5.5908298623769337E-2</v>
      </c>
      <c r="U83" s="490">
        <f t="shared" si="56"/>
        <v>-0.16792907585326822</v>
      </c>
      <c r="V83" s="490">
        <f t="shared" si="56"/>
        <v>-0.38232239741984908</v>
      </c>
      <c r="W83" s="490"/>
      <c r="X83" s="490"/>
      <c r="Y83" s="490"/>
      <c r="Z83" s="490"/>
      <c r="AA83" s="490"/>
      <c r="AB83" s="490"/>
      <c r="AC83" s="490"/>
      <c r="AD83" s="490"/>
      <c r="AE83" s="499"/>
      <c r="AF83" s="348">
        <f t="shared" si="54"/>
        <v>-12.703532429549336</v>
      </c>
      <c r="AG83" s="323"/>
      <c r="AH83" s="348">
        <f t="shared" si="55"/>
        <v>-100</v>
      </c>
      <c r="AI83" s="357"/>
    </row>
    <row r="84" spans="1:35" hidden="1" outlineLevel="1">
      <c r="A84" s="495"/>
      <c r="B84" s="487"/>
      <c r="C84" s="498"/>
      <c r="D84" s="487"/>
      <c r="E84" s="498"/>
      <c r="F84" s="498"/>
      <c r="G84" s="487"/>
      <c r="H84" s="438"/>
      <c r="I84" s="498"/>
      <c r="J84" s="498"/>
      <c r="K84" s="498"/>
      <c r="L84" s="500"/>
      <c r="M84" s="3"/>
      <c r="N84" s="439"/>
      <c r="O84" s="439"/>
      <c r="P84" s="439"/>
      <c r="Q84" s="439"/>
      <c r="R84" s="439"/>
      <c r="S84" s="439"/>
      <c r="T84" s="439"/>
      <c r="U84" s="439"/>
      <c r="V84" s="439"/>
      <c r="W84" s="439"/>
      <c r="X84" s="439"/>
      <c r="Y84" s="439"/>
      <c r="Z84" s="439"/>
      <c r="AA84" s="439"/>
      <c r="AB84" s="439"/>
      <c r="AC84" s="439"/>
      <c r="AD84" s="439"/>
      <c r="AE84" s="467"/>
      <c r="AF84" s="348" t="e">
        <f t="shared" si="54"/>
        <v>#DIV/0!</v>
      </c>
      <c r="AG84" s="323"/>
      <c r="AH84" s="348" t="e">
        <f t="shared" si="55"/>
        <v>#DIV/0!</v>
      </c>
      <c r="AI84" s="357"/>
    </row>
    <row r="85" spans="1:35" ht="14.25" hidden="1" outlineLevel="1">
      <c r="A85" s="437" t="s">
        <v>234</v>
      </c>
      <c r="B85" s="498">
        <f>'qtrP&amp;L'!S148</f>
        <v>0</v>
      </c>
      <c r="C85" s="498" t="e">
        <f>C82</f>
        <v>#DIV/0!</v>
      </c>
      <c r="D85" s="498">
        <f>'qtrP&amp;L'!U148</f>
        <v>0</v>
      </c>
      <c r="E85" s="498">
        <f>E82</f>
        <v>7.3741649060697675E-2</v>
      </c>
      <c r="F85" s="498">
        <f>F82</f>
        <v>5.9652115571289979E-2</v>
      </c>
      <c r="G85" s="498">
        <f t="shared" ref="G85:V85" si="57">(G76+(G45*(1-G71)))/G88</f>
        <v>0.13776551704448101</v>
      </c>
      <c r="H85" s="498">
        <f t="shared" si="57"/>
        <v>0.18986028086156181</v>
      </c>
      <c r="I85" s="498">
        <f t="shared" si="57"/>
        <v>0.23591289911161931</v>
      </c>
      <c r="J85" s="498">
        <f t="shared" si="57"/>
        <v>0.39449640016788473</v>
      </c>
      <c r="K85" s="498">
        <f t="shared" si="57"/>
        <v>0.68797332303677294</v>
      </c>
      <c r="L85" s="498">
        <f t="shared" si="57"/>
        <v>1.0096831403554007</v>
      </c>
      <c r="M85" s="498">
        <f t="shared" si="57"/>
        <v>1.3050470484842112</v>
      </c>
      <c r="N85" s="498">
        <f t="shared" si="57"/>
        <v>1.7792928589374566</v>
      </c>
      <c r="O85" s="498">
        <f t="shared" si="57"/>
        <v>2.1726050238722849</v>
      </c>
      <c r="P85" s="498">
        <f t="shared" si="57"/>
        <v>2.0417973061369716</v>
      </c>
      <c r="Q85" s="498">
        <f t="shared" si="57"/>
        <v>2.4900787155146595</v>
      </c>
      <c r="R85" s="498">
        <f t="shared" si="57"/>
        <v>3.1317405266157214</v>
      </c>
      <c r="S85" s="498">
        <f t="shared" si="57"/>
        <v>3.7768927580348346</v>
      </c>
      <c r="T85" s="498">
        <f t="shared" si="57"/>
        <v>4.0139741350232159</v>
      </c>
      <c r="U85" s="498">
        <f t="shared" si="57"/>
        <v>3.3621113946116887</v>
      </c>
      <c r="V85" s="498">
        <f t="shared" si="57"/>
        <v>1.9163059163059166</v>
      </c>
      <c r="W85" s="498"/>
      <c r="X85" s="498"/>
      <c r="Y85" s="498"/>
      <c r="Z85" s="498"/>
      <c r="AA85" s="498"/>
      <c r="AB85" s="498"/>
      <c r="AC85" s="498"/>
      <c r="AD85" s="498"/>
      <c r="AE85" s="499"/>
      <c r="AF85" s="348">
        <f t="shared" si="54"/>
        <v>16.245846284875466</v>
      </c>
      <c r="AG85" s="326" t="s">
        <v>428</v>
      </c>
      <c r="AH85" s="348">
        <f t="shared" si="55"/>
        <v>-100</v>
      </c>
      <c r="AI85" s="349" t="s">
        <v>428</v>
      </c>
    </row>
    <row r="86" spans="1:35" hidden="1" outlineLevel="1">
      <c r="A86" s="437" t="s">
        <v>455</v>
      </c>
      <c r="B86" s="490"/>
      <c r="C86" s="490" t="e">
        <f t="shared" ref="C86:H86" si="58">C85/B85-1</f>
        <v>#DIV/0!</v>
      </c>
      <c r="D86" s="490" t="e">
        <f t="shared" si="58"/>
        <v>#DIV/0!</v>
      </c>
      <c r="E86" s="490" t="e">
        <f t="shared" si="58"/>
        <v>#DIV/0!</v>
      </c>
      <c r="F86" s="490">
        <f t="shared" si="58"/>
        <v>-0.19106615689880257</v>
      </c>
      <c r="G86" s="490">
        <f t="shared" si="58"/>
        <v>1.3094825007478241</v>
      </c>
      <c r="H86" s="465">
        <f t="shared" si="58"/>
        <v>0.3781408071822554</v>
      </c>
      <c r="I86" s="490">
        <f t="shared" ref="I86:V86" si="59">I85/H85-1</f>
        <v>0.24256057160074018</v>
      </c>
      <c r="J86" s="490">
        <f t="shared" si="59"/>
        <v>0.67221208188889059</v>
      </c>
      <c r="K86" s="490">
        <f t="shared" si="59"/>
        <v>0.74392801238235395</v>
      </c>
      <c r="L86" s="465">
        <f t="shared" si="59"/>
        <v>0.46761961045026168</v>
      </c>
      <c r="M86" s="490">
        <f t="shared" si="59"/>
        <v>0.29253128662210259</v>
      </c>
      <c r="N86" s="490">
        <f t="shared" si="59"/>
        <v>0.36339365006347735</v>
      </c>
      <c r="O86" s="490">
        <f t="shared" si="59"/>
        <v>0.22104970688732117</v>
      </c>
      <c r="P86" s="490">
        <f t="shared" si="59"/>
        <v>-6.0207776516217226E-2</v>
      </c>
      <c r="Q86" s="490">
        <f t="shared" si="59"/>
        <v>0.21955235616694235</v>
      </c>
      <c r="R86" s="490">
        <f t="shared" si="59"/>
        <v>0.25768736028428751</v>
      </c>
      <c r="S86" s="490">
        <f t="shared" si="59"/>
        <v>0.20600436911556308</v>
      </c>
      <c r="T86" s="490">
        <f t="shared" si="59"/>
        <v>6.2771540569697803E-2</v>
      </c>
      <c r="U86" s="490">
        <f t="shared" si="59"/>
        <v>-0.16239834101665351</v>
      </c>
      <c r="V86" s="490">
        <f t="shared" si="59"/>
        <v>-0.4300290230189584</v>
      </c>
      <c r="W86" s="490"/>
      <c r="X86" s="490"/>
      <c r="Y86" s="490"/>
      <c r="Z86" s="490"/>
      <c r="AA86" s="490"/>
      <c r="AB86" s="490"/>
      <c r="AC86" s="490"/>
      <c r="AD86" s="490"/>
      <c r="AE86" s="499"/>
      <c r="AF86" s="348">
        <f t="shared" si="54"/>
        <v>-10.731174790441322</v>
      </c>
      <c r="AG86" s="323"/>
      <c r="AH86" s="348">
        <f t="shared" si="55"/>
        <v>-100</v>
      </c>
      <c r="AI86" s="357"/>
    </row>
    <row r="87" spans="1:35" hidden="1" outlineLevel="1">
      <c r="A87" s="495"/>
      <c r="B87" s="487"/>
      <c r="C87" s="498"/>
      <c r="D87" s="487"/>
      <c r="E87" s="498"/>
      <c r="F87" s="498"/>
      <c r="G87" s="487"/>
      <c r="H87" s="438"/>
      <c r="I87" s="498"/>
      <c r="J87" s="498"/>
      <c r="K87" s="498"/>
      <c r="L87" s="500"/>
      <c r="M87" s="3"/>
      <c r="N87" s="439"/>
      <c r="O87" s="439"/>
      <c r="P87" s="439"/>
      <c r="Q87" s="439"/>
      <c r="R87" s="439"/>
      <c r="S87" s="439"/>
      <c r="T87" s="439"/>
      <c r="U87" s="439"/>
      <c r="V87" s="439"/>
      <c r="W87" s="439"/>
      <c r="X87" s="439"/>
      <c r="Y87" s="439"/>
      <c r="Z87" s="439"/>
      <c r="AA87" s="439"/>
      <c r="AB87" s="439"/>
      <c r="AC87" s="439"/>
      <c r="AD87" s="439"/>
      <c r="AE87" s="467"/>
      <c r="AF87" s="348" t="e">
        <f t="shared" si="54"/>
        <v>#DIV/0!</v>
      </c>
      <c r="AG87" s="323"/>
      <c r="AH87" s="348" t="e">
        <f t="shared" si="55"/>
        <v>#DIV/0!</v>
      </c>
      <c r="AI87" s="357"/>
    </row>
    <row r="88" spans="1:35" collapsed="1">
      <c r="A88" s="437" t="s">
        <v>299</v>
      </c>
      <c r="B88" s="439">
        <f>'qtrP&amp;L'!J165</f>
        <v>0</v>
      </c>
      <c r="C88" s="439">
        <f>'qtrP&amp;L'!N165</f>
        <v>0</v>
      </c>
      <c r="D88" s="439">
        <f>'qtrP&amp;L'!L165</f>
        <v>280.20800000000003</v>
      </c>
      <c r="E88" s="439">
        <f>'qtrP&amp;L'!P165</f>
        <v>280.20800000000003</v>
      </c>
      <c r="F88" s="439">
        <f>'qtrP&amp;L'!T165</f>
        <v>280.20800000000003</v>
      </c>
      <c r="G88" s="439">
        <f>'qtrP&amp;L'!X165</f>
        <v>280.20800000000003</v>
      </c>
      <c r="H88" s="438">
        <f>+'qtrP&amp;L'!AB165</f>
        <v>337.24799999999999</v>
      </c>
      <c r="I88" s="439">
        <f>+'qtrP&amp;L'!AF165</f>
        <v>363.80799999999999</v>
      </c>
      <c r="J88" s="439">
        <f>+'qtrP&amp;L'!AJ165</f>
        <v>371.68400000000003</v>
      </c>
      <c r="K88" s="439">
        <f>+'qtrP&amp;L'!AN165</f>
        <v>385.55799999999999</v>
      </c>
      <c r="L88" s="438">
        <f>'qtrP&amp;L'!AR165</f>
        <v>390.19099999999997</v>
      </c>
      <c r="M88" s="439">
        <f>'qtrP&amp;L'!AV165</f>
        <v>388.495</v>
      </c>
      <c r="N88" s="439">
        <f>+'qtrP&amp;L'!AZ165</f>
        <v>377.35599999999999</v>
      </c>
      <c r="O88" s="439">
        <f>+'qtrP&amp;L'!BD165</f>
        <v>360.33199999999999</v>
      </c>
      <c r="P88" s="439">
        <f>+'qtrP&amp;L'!BH165</f>
        <v>325.2645</v>
      </c>
      <c r="Q88" s="439">
        <f>'qtrP&amp;L'!BL165</f>
        <v>316.00874999999996</v>
      </c>
      <c r="R88" s="439">
        <f>'qtrP&amp;L'!$BP$165</f>
        <v>301.56150000000002</v>
      </c>
      <c r="S88" s="439">
        <f>'qtrP&amp;L'!$BT$165</f>
        <v>294.21275000000003</v>
      </c>
      <c r="T88" s="439">
        <f>'qtrP&amp;L'!$BX$165</f>
        <v>286.16525000000001</v>
      </c>
      <c r="U88" s="439">
        <f>'qtrP&amp;L'!CB165</f>
        <v>280.30124999999998</v>
      </c>
      <c r="V88" s="439">
        <f>'qtrP&amp;L'!CF165</f>
        <v>277.2</v>
      </c>
      <c r="W88" s="439">
        <f>'qtrP&amp;L'!CJ165</f>
        <v>279.3</v>
      </c>
      <c r="X88" s="439">
        <f>'qtrP&amp;L'!CN165</f>
        <v>282.8</v>
      </c>
      <c r="Y88" s="439">
        <f>'qtrP&amp;L'!CR165</f>
        <v>289.16788968098967</v>
      </c>
      <c r="Z88" s="473">
        <f>Y88+1</f>
        <v>290.16788968098967</v>
      </c>
      <c r="AA88" s="473">
        <f>Z88+1</f>
        <v>291.16788968098967</v>
      </c>
      <c r="AB88" s="473">
        <f>AA88+1</f>
        <v>292.16788968098967</v>
      </c>
      <c r="AC88" s="473">
        <f>AB88+1</f>
        <v>293.16788968098967</v>
      </c>
      <c r="AD88" s="473"/>
      <c r="AE88" s="501"/>
      <c r="AF88" s="415">
        <f>((V88/Q88)^(1/5)-1)*100</f>
        <v>-2.5865726611055129</v>
      </c>
      <c r="AG88" s="502" t="s">
        <v>428</v>
      </c>
      <c r="AH88" s="415">
        <f>((AA88/V88)^(1/5)-1)*100</f>
        <v>0.98806492334027052</v>
      </c>
      <c r="AI88" s="503" t="s">
        <v>428</v>
      </c>
    </row>
    <row r="89" spans="1:35">
      <c r="A89" s="495"/>
      <c r="B89" s="439"/>
      <c r="C89" s="504"/>
      <c r="D89" s="439"/>
      <c r="E89" s="504"/>
      <c r="F89" s="478"/>
      <c r="G89" s="439"/>
      <c r="H89" s="438"/>
      <c r="I89" s="478"/>
      <c r="J89" s="478"/>
      <c r="K89" s="478"/>
      <c r="L89" s="438"/>
      <c r="M89" s="465"/>
      <c r="N89" s="465"/>
      <c r="O89" s="465"/>
      <c r="P89" s="465"/>
      <c r="Q89" s="465"/>
      <c r="R89" s="465"/>
      <c r="S89" s="465"/>
      <c r="T89" s="465"/>
      <c r="U89" s="465"/>
      <c r="V89" s="465"/>
      <c r="W89" s="465"/>
      <c r="X89" s="465"/>
      <c r="Y89" s="465"/>
      <c r="Z89" s="465"/>
      <c r="AA89" s="465"/>
      <c r="AB89" s="465"/>
      <c r="AC89" s="465"/>
      <c r="AD89" s="465"/>
      <c r="AE89" s="439"/>
      <c r="AF89" s="56"/>
      <c r="AG89" s="56"/>
      <c r="AH89" s="56"/>
      <c r="AI89" s="56"/>
    </row>
    <row r="90" spans="1:35" hidden="1" outlineLevel="1">
      <c r="A90" s="505" t="s">
        <v>425</v>
      </c>
      <c r="B90" s="506" t="e">
        <f>flow!#REF!</f>
        <v>#REF!</v>
      </c>
      <c r="C90" s="506">
        <f>flow!A9</f>
        <v>0</v>
      </c>
      <c r="D90" s="506">
        <f>flow!A9</f>
        <v>0</v>
      </c>
      <c r="E90" s="506">
        <f>flow!C9</f>
        <v>0</v>
      </c>
      <c r="F90" s="506">
        <f>flow!O9</f>
        <v>0</v>
      </c>
      <c r="G90" s="506">
        <f>flow!N9</f>
        <v>22.628</v>
      </c>
      <c r="H90" s="507">
        <f>flow!P9</f>
        <v>24.131</v>
      </c>
      <c r="I90" s="506">
        <f>flow!R9</f>
        <v>25.494</v>
      </c>
      <c r="J90" s="506">
        <f>flow!T9</f>
        <v>30.231000000000002</v>
      </c>
      <c r="K90" s="506">
        <f>flow!V9</f>
        <v>40.1</v>
      </c>
      <c r="L90" s="507">
        <f>flow!X9</f>
        <v>50.4</v>
      </c>
      <c r="M90" s="506">
        <f>flow!Z9</f>
        <v>65.114999999999995</v>
      </c>
      <c r="N90" s="506">
        <f>flow!AB9</f>
        <v>80.831999999999994</v>
      </c>
      <c r="O90" s="506">
        <f>flow!AD9</f>
        <v>100.70399999999999</v>
      </c>
      <c r="P90" s="506">
        <f t="shared" ref="P90:U90" si="60">O90*1.05</f>
        <v>105.7392</v>
      </c>
      <c r="Q90" s="506">
        <f t="shared" si="60"/>
        <v>111.02616</v>
      </c>
      <c r="R90" s="506">
        <f t="shared" si="60"/>
        <v>116.57746800000001</v>
      </c>
      <c r="S90" s="506">
        <f t="shared" si="60"/>
        <v>122.40634140000002</v>
      </c>
      <c r="T90" s="506">
        <f t="shared" si="60"/>
        <v>128.52665847000003</v>
      </c>
      <c r="U90" s="506">
        <f t="shared" si="60"/>
        <v>134.95299139350004</v>
      </c>
      <c r="V90" s="506">
        <f t="shared" ref="V90:AC90" si="61">U90*1.05</f>
        <v>141.70064096317506</v>
      </c>
      <c r="W90" s="506">
        <f t="shared" si="61"/>
        <v>148.78567301133381</v>
      </c>
      <c r="X90" s="506">
        <f t="shared" si="61"/>
        <v>156.22495666190051</v>
      </c>
      <c r="Y90" s="506">
        <f t="shared" si="61"/>
        <v>164.03620449499553</v>
      </c>
      <c r="Z90" s="506">
        <f>Y90*1.05</f>
        <v>172.23801471974531</v>
      </c>
      <c r="AA90" s="506">
        <f t="shared" si="61"/>
        <v>180.84991545573257</v>
      </c>
      <c r="AB90" s="506">
        <f t="shared" si="61"/>
        <v>189.89241122851919</v>
      </c>
      <c r="AC90" s="1949">
        <f t="shared" si="61"/>
        <v>199.38703178994515</v>
      </c>
      <c r="AD90" s="1949">
        <f>AA90*1.05</f>
        <v>189.89241122851919</v>
      </c>
      <c r="AE90" s="439">
        <f>flow!W9</f>
        <v>0</v>
      </c>
      <c r="AF90" s="154"/>
      <c r="AG90" s="154"/>
      <c r="AH90" s="154"/>
      <c r="AI90" s="154"/>
    </row>
    <row r="91" spans="1:35" hidden="1" outlineLevel="1">
      <c r="A91" s="505" t="s">
        <v>92</v>
      </c>
      <c r="B91" s="508" t="e">
        <f t="shared" ref="B91:AB91" si="62">B90/B7</f>
        <v>#REF!</v>
      </c>
      <c r="C91" s="508">
        <f t="shared" si="62"/>
        <v>0</v>
      </c>
      <c r="D91" s="508">
        <f t="shared" si="62"/>
        <v>0</v>
      </c>
      <c r="E91" s="508">
        <f t="shared" si="62"/>
        <v>0</v>
      </c>
      <c r="F91" s="508">
        <f t="shared" si="62"/>
        <v>0</v>
      </c>
      <c r="G91" s="508">
        <f t="shared" si="62"/>
        <v>4.122291489803577E-2</v>
      </c>
      <c r="H91" s="508">
        <f t="shared" si="62"/>
        <v>4.0185448241522356E-2</v>
      </c>
      <c r="I91" s="508">
        <f t="shared" si="62"/>
        <v>3.5437717107101301E-2</v>
      </c>
      <c r="J91" s="508">
        <f t="shared" si="62"/>
        <v>3.1714409804180749E-2</v>
      </c>
      <c r="K91" s="508">
        <f t="shared" si="62"/>
        <v>3.0353355446118637E-2</v>
      </c>
      <c r="L91" s="509">
        <f t="shared" si="62"/>
        <v>2.9466395154882735E-2</v>
      </c>
      <c r="M91" s="508">
        <f t="shared" si="62"/>
        <v>3.1996112213163931E-2</v>
      </c>
      <c r="N91" s="508">
        <f t="shared" si="62"/>
        <v>3.0940999580471404E-2</v>
      </c>
      <c r="O91" s="508">
        <f t="shared" si="62"/>
        <v>3.1660387763038797E-2</v>
      </c>
      <c r="P91" s="508">
        <f t="shared" si="62"/>
        <v>3.2731851855520626E-2</v>
      </c>
      <c r="Q91" s="508">
        <f t="shared" si="62"/>
        <v>3.077532212229837E-2</v>
      </c>
      <c r="R91" s="508">
        <f t="shared" si="62"/>
        <v>2.8033490865832376E-2</v>
      </c>
      <c r="S91" s="508">
        <f t="shared" si="62"/>
        <v>2.5698449649183955E-2</v>
      </c>
      <c r="T91" s="508">
        <f t="shared" si="62"/>
        <v>2.5323503902163192E-2</v>
      </c>
      <c r="U91" s="508">
        <f t="shared" si="62"/>
        <v>2.8078786014952277E-2</v>
      </c>
      <c r="V91" s="508">
        <f t="shared" si="62"/>
        <v>3.3805859567510033E-2</v>
      </c>
      <c r="W91" s="508">
        <f t="shared" si="62"/>
        <v>3.3123841892188838E-2</v>
      </c>
      <c r="X91" s="508">
        <f t="shared" si="62"/>
        <v>3.4807155640643565E-2</v>
      </c>
      <c r="Y91" s="508">
        <f t="shared" si="62"/>
        <v>2.8132243598925653E-2</v>
      </c>
      <c r="Z91" s="508">
        <f t="shared" si="62"/>
        <v>2.8626446221454369E-2</v>
      </c>
      <c r="AA91" s="508">
        <f t="shared" si="62"/>
        <v>2.9219281063965014E-2</v>
      </c>
      <c r="AB91" s="508">
        <f t="shared" si="62"/>
        <v>2.9825934965910933E-2</v>
      </c>
      <c r="AC91" s="1948">
        <f>AC90/AC7</f>
        <v>3.0444549915807282E-2</v>
      </c>
      <c r="AD91" s="1948"/>
      <c r="AE91" s="439"/>
      <c r="AF91" s="154"/>
      <c r="AG91" s="154"/>
      <c r="AH91" s="154"/>
      <c r="AI91" s="154"/>
    </row>
    <row r="92" spans="1:35" hidden="1" outlineLevel="1">
      <c r="A92" s="505" t="s">
        <v>224</v>
      </c>
      <c r="B92" s="508"/>
      <c r="C92" s="508"/>
      <c r="D92" s="508"/>
      <c r="E92" s="508"/>
      <c r="F92" s="508"/>
      <c r="G92" s="508"/>
      <c r="H92" s="508"/>
      <c r="I92" s="508"/>
      <c r="J92" s="510">
        <f>+'qtrP&amp;L'!AJ181</f>
        <v>361.50241799999998</v>
      </c>
      <c r="K92" s="510">
        <f>+'qtrP&amp;L'!AN181</f>
        <v>375.91666199999997</v>
      </c>
      <c r="L92" s="510">
        <f>+'qtrP&amp;L'!AR181</f>
        <v>380.49291200000005</v>
      </c>
      <c r="M92" s="510">
        <f>+'qtrP&amp;L'!AV181</f>
        <v>379.37491200000011</v>
      </c>
      <c r="N92" s="510">
        <f>+'qtrP&amp;L'!AZ181</f>
        <v>367.53666200000009</v>
      </c>
      <c r="O92" s="510">
        <f>+'qtrP&amp;L'!BD181</f>
        <v>350.56591200000003</v>
      </c>
      <c r="P92" s="510">
        <f t="shared" ref="P92:U92" si="63">+O92+P93-O93</f>
        <v>316.90559841825001</v>
      </c>
      <c r="Q92" s="510">
        <f t="shared" si="63"/>
        <v>308.02126256783907</v>
      </c>
      <c r="R92" s="510">
        <f t="shared" si="63"/>
        <v>294.15375090051367</v>
      </c>
      <c r="S92" s="510">
        <f t="shared" si="63"/>
        <v>287.09989107492333</v>
      </c>
      <c r="T92" s="510">
        <f t="shared" si="63"/>
        <v>279.37532064506286</v>
      </c>
      <c r="U92" s="510">
        <f t="shared" si="63"/>
        <v>273.74663086554102</v>
      </c>
      <c r="V92" s="510">
        <f t="shared" ref="V92:AC92" si="64">+U92+V93-U93</f>
        <v>270.76982762905703</v>
      </c>
      <c r="W92" s="510">
        <f t="shared" si="64"/>
        <v>272.78555896210543</v>
      </c>
      <c r="X92" s="510">
        <f t="shared" si="64"/>
        <v>276.14511118385275</v>
      </c>
      <c r="Y92" s="510">
        <f t="shared" si="64"/>
        <v>282.25747059117015</v>
      </c>
      <c r="Z92" s="510">
        <f>+Y92+Z93-Y93</f>
        <v>283.21734265452659</v>
      </c>
      <c r="AA92" s="510">
        <f t="shared" si="64"/>
        <v>284.17721471788298</v>
      </c>
      <c r="AB92" s="510">
        <f t="shared" si="64"/>
        <v>285.13708678123936</v>
      </c>
      <c r="AC92" s="1947">
        <f t="shared" si="64"/>
        <v>286.09695884459575</v>
      </c>
      <c r="AD92" s="1947">
        <f>+AA92+AD93-AA93</f>
        <v>4.6932916666668802</v>
      </c>
      <c r="AE92" s="439"/>
      <c r="AF92" s="154"/>
      <c r="AG92" s="154"/>
      <c r="AH92" s="154"/>
      <c r="AI92" s="154"/>
    </row>
    <row r="93" spans="1:35" hidden="1" outlineLevel="1">
      <c r="A93" s="505" t="s">
        <v>424</v>
      </c>
      <c r="B93" s="506">
        <f>'qtrP&amp;L'!J191</f>
        <v>0</v>
      </c>
      <c r="C93" s="506">
        <f>'qtrP&amp;L'!N191</f>
        <v>0</v>
      </c>
      <c r="D93" s="506">
        <f>'qtrP&amp;L'!L191</f>
        <v>35.026000000000003</v>
      </c>
      <c r="E93" s="506">
        <f>'qtrP&amp;L'!P191</f>
        <v>35.026000000000003</v>
      </c>
      <c r="F93" s="506">
        <f>'qtrP&amp;L'!T191</f>
        <v>35.026000000000003</v>
      </c>
      <c r="G93" s="506" t="str">
        <f>'qtrP&amp;L'!X191</f>
        <v>NM</v>
      </c>
      <c r="H93" s="507">
        <f>'qtrP&amp;L'!AB191</f>
        <v>54.477995750000005</v>
      </c>
      <c r="I93" s="506">
        <f>'qtrP&amp;L'!AF191</f>
        <v>55.343692249999997</v>
      </c>
      <c r="J93" s="506">
        <f>'qtrP&amp;L'!AJ191</f>
        <v>348.7773346666666</v>
      </c>
      <c r="K93" s="506">
        <f>'qtrP&amp;L'!AN191</f>
        <v>362.49670366666658</v>
      </c>
      <c r="L93" s="507">
        <f>+'qtrP&amp;L'!AR191</f>
        <v>369.02128700000009</v>
      </c>
      <c r="M93" s="506">
        <f>+'qtrP&amp;L'!AV191</f>
        <v>370.42766200000011</v>
      </c>
      <c r="N93" s="506">
        <f>+'qtrP&amp;L'!AZ191</f>
        <v>359.95762033333347</v>
      </c>
      <c r="O93" s="506">
        <f>+'qtrP&amp;L'!BD191</f>
        <v>345.87262033333337</v>
      </c>
      <c r="P93" s="511">
        <f t="shared" ref="P93:U93" si="65">P88/O88*O93</f>
        <v>312.2123067515833</v>
      </c>
      <c r="Q93" s="511">
        <f t="shared" si="65"/>
        <v>303.32797090117236</v>
      </c>
      <c r="R93" s="511">
        <f t="shared" si="65"/>
        <v>289.4604592338469</v>
      </c>
      <c r="S93" s="511">
        <f t="shared" si="65"/>
        <v>282.40659940825662</v>
      </c>
      <c r="T93" s="511">
        <f t="shared" si="65"/>
        <v>274.68202897839609</v>
      </c>
      <c r="U93" s="511">
        <f t="shared" si="65"/>
        <v>269.0533391988742</v>
      </c>
      <c r="V93" s="511">
        <f t="shared" ref="V93:AC93" si="66">V88/U88*U93</f>
        <v>266.07653596239021</v>
      </c>
      <c r="W93" s="511">
        <f t="shared" si="66"/>
        <v>268.0922672954386</v>
      </c>
      <c r="X93" s="511">
        <f t="shared" si="66"/>
        <v>271.45181951718592</v>
      </c>
      <c r="Y93" s="511">
        <f t="shared" si="66"/>
        <v>277.56417892450332</v>
      </c>
      <c r="Z93" s="511">
        <f>Z88/Y88*Y93</f>
        <v>278.52405098785971</v>
      </c>
      <c r="AA93" s="511">
        <f t="shared" si="66"/>
        <v>279.4839230512161</v>
      </c>
      <c r="AB93" s="511">
        <f t="shared" si="66"/>
        <v>280.44379511457248</v>
      </c>
      <c r="AC93" s="1946">
        <f t="shared" si="66"/>
        <v>281.40366717792887</v>
      </c>
      <c r="AD93" s="1946">
        <f>AD88/AA88*AA93</f>
        <v>0</v>
      </c>
      <c r="AE93" s="439"/>
      <c r="AF93" s="154"/>
      <c r="AG93" s="154"/>
      <c r="AH93" s="154"/>
      <c r="AI93" s="154"/>
    </row>
    <row r="94" spans="1:35" hidden="1" outlineLevel="1">
      <c r="A94" s="505" t="s">
        <v>426</v>
      </c>
      <c r="B94" s="506">
        <f>'qtrP&amp;L'!J201</f>
        <v>0</v>
      </c>
      <c r="C94" s="506">
        <f>'qtrP&amp;L'!N201</f>
        <v>0</v>
      </c>
      <c r="D94" s="506">
        <f>'qtrP&amp;L'!L201</f>
        <v>0</v>
      </c>
      <c r="E94" s="506">
        <f>'qtrP&amp;L'!P201</f>
        <v>0</v>
      </c>
      <c r="F94" s="506" t="str">
        <f>'qtrP&amp;L'!T201</f>
        <v>ND</v>
      </c>
      <c r="G94" s="507">
        <f>'qtrP&amp;L'!X201</f>
        <v>35.026000000000003</v>
      </c>
      <c r="H94" s="507">
        <f>'qtrP&amp;L'!AB201</f>
        <v>52.8155</v>
      </c>
      <c r="I94" s="506">
        <f>'qtrP&amp;L'!AF201</f>
        <v>88.016999999999996</v>
      </c>
      <c r="J94" s="506">
        <f>'qtrP&amp;L'!AJ201</f>
        <v>358.87400000000002</v>
      </c>
      <c r="K94" s="506">
        <f>'qtrP&amp;L'!AN201</f>
        <v>372.17150000000004</v>
      </c>
      <c r="L94" s="507">
        <f>+'qtrP&amp;L'!AR201</f>
        <v>378.66550000000001</v>
      </c>
      <c r="M94" s="506">
        <f>+'qtrP&amp;L'!AV201</f>
        <v>379.63499999999999</v>
      </c>
      <c r="N94" s="506">
        <f>+'qtrP&amp;L'!AZ201</f>
        <v>369.661</v>
      </c>
      <c r="O94" s="506">
        <f>+'qtrP&amp;L'!BD201</f>
        <v>355.73099999999999</v>
      </c>
      <c r="P94" s="511">
        <f t="shared" ref="P94:U94" si="67">P88/O88*O94</f>
        <v>321.11126918924771</v>
      </c>
      <c r="Q94" s="511">
        <f t="shared" si="67"/>
        <v>311.97370382383468</v>
      </c>
      <c r="R94" s="511">
        <f t="shared" si="67"/>
        <v>297.71092757928807</v>
      </c>
      <c r="S94" s="511">
        <f t="shared" si="67"/>
        <v>290.45601215060009</v>
      </c>
      <c r="T94" s="511">
        <f t="shared" si="67"/>
        <v>282.5112689068693</v>
      </c>
      <c r="U94" s="511">
        <f t="shared" si="67"/>
        <v>276.72214503222034</v>
      </c>
      <c r="V94" s="511">
        <f t="shared" ref="V94:AC94" si="68">V88/U88*U94</f>
        <v>273.66049421089446</v>
      </c>
      <c r="W94" s="511">
        <f t="shared" si="68"/>
        <v>275.73367977309817</v>
      </c>
      <c r="X94" s="511">
        <f t="shared" si="68"/>
        <v>279.18898904343774</v>
      </c>
      <c r="Y94" s="511">
        <f t="shared" si="68"/>
        <v>285.4755685426444</v>
      </c>
      <c r="Z94" s="511">
        <f>Z88/Y88*Y94</f>
        <v>286.46279976274144</v>
      </c>
      <c r="AA94" s="511">
        <f t="shared" si="68"/>
        <v>287.45003098283848</v>
      </c>
      <c r="AB94" s="511">
        <f t="shared" si="68"/>
        <v>288.43726220293553</v>
      </c>
      <c r="AC94" s="1946">
        <f t="shared" si="68"/>
        <v>289.42449342303252</v>
      </c>
      <c r="AD94" s="1946">
        <f>AD88/AA88*AA94</f>
        <v>0</v>
      </c>
      <c r="AE94" s="512"/>
      <c r="AF94" s="154"/>
      <c r="AG94" s="154"/>
      <c r="AH94" s="154"/>
      <c r="AI94" s="154"/>
    </row>
    <row r="95" spans="1:35" hidden="1" outlineLevel="1">
      <c r="A95" s="505" t="s">
        <v>223</v>
      </c>
      <c r="B95" s="506"/>
      <c r="C95" s="506"/>
      <c r="D95" s="506"/>
      <c r="E95" s="506"/>
      <c r="F95" s="506"/>
      <c r="G95" s="506"/>
      <c r="H95" s="507"/>
      <c r="I95" s="506"/>
      <c r="J95" s="513">
        <v>0</v>
      </c>
      <c r="K95" s="513">
        <v>0</v>
      </c>
      <c r="L95" s="513">
        <v>0</v>
      </c>
      <c r="M95" s="513">
        <v>0</v>
      </c>
      <c r="N95" s="514">
        <f t="shared" ref="N95:S95" si="69">+M95</f>
        <v>0</v>
      </c>
      <c r="O95" s="514">
        <f t="shared" si="69"/>
        <v>0</v>
      </c>
      <c r="P95" s="514">
        <f t="shared" si="69"/>
        <v>0</v>
      </c>
      <c r="Q95" s="514">
        <f t="shared" si="69"/>
        <v>0</v>
      </c>
      <c r="R95" s="514">
        <f t="shared" si="69"/>
        <v>0</v>
      </c>
      <c r="S95" s="514">
        <f t="shared" si="69"/>
        <v>0</v>
      </c>
      <c r="T95" s="514">
        <f>+S95</f>
        <v>0</v>
      </c>
      <c r="U95" s="514">
        <f>+T95</f>
        <v>0</v>
      </c>
      <c r="V95" s="514">
        <f t="shared" ref="V95:AC95" si="70">+U95</f>
        <v>0</v>
      </c>
      <c r="W95" s="514">
        <f t="shared" si="70"/>
        <v>0</v>
      </c>
      <c r="X95" s="514">
        <f t="shared" si="70"/>
        <v>0</v>
      </c>
      <c r="Y95" s="514">
        <f t="shared" si="70"/>
        <v>0</v>
      </c>
      <c r="Z95" s="514">
        <f>+Y95</f>
        <v>0</v>
      </c>
      <c r="AA95" s="514">
        <f t="shared" si="70"/>
        <v>0</v>
      </c>
      <c r="AB95" s="514">
        <f t="shared" si="70"/>
        <v>0</v>
      </c>
      <c r="AC95" s="1945">
        <f t="shared" si="70"/>
        <v>0</v>
      </c>
      <c r="AD95" s="1945">
        <f>+AA95</f>
        <v>0</v>
      </c>
      <c r="AE95" s="512"/>
      <c r="AF95" s="154"/>
      <c r="AG95" s="154"/>
      <c r="AH95" s="154"/>
      <c r="AI95" s="154"/>
    </row>
    <row r="96" spans="1:35" hidden="1" outlineLevel="1">
      <c r="A96" s="505"/>
      <c r="B96" s="506"/>
      <c r="C96" s="506"/>
      <c r="D96" s="506"/>
      <c r="E96" s="506"/>
      <c r="F96" s="506"/>
      <c r="G96" s="506"/>
      <c r="H96" s="507"/>
      <c r="I96" s="506"/>
      <c r="J96" s="513"/>
      <c r="K96" s="513"/>
      <c r="L96" s="513"/>
      <c r="M96" s="513"/>
      <c r="N96" s="514"/>
      <c r="O96" s="514"/>
      <c r="P96" s="514"/>
      <c r="Q96" s="514"/>
      <c r="R96" s="514"/>
      <c r="S96" s="514"/>
      <c r="T96" s="514"/>
      <c r="U96" s="514"/>
      <c r="V96" s="514"/>
      <c r="W96" s="514"/>
      <c r="X96" s="514"/>
      <c r="Y96" s="514"/>
      <c r="Z96" s="514"/>
      <c r="AA96" s="514"/>
      <c r="AB96" s="514"/>
      <c r="AC96" s="1945"/>
      <c r="AD96" s="1945"/>
      <c r="AE96" s="512"/>
      <c r="AF96" s="154"/>
      <c r="AG96" s="154"/>
      <c r="AH96" s="154"/>
      <c r="AI96" s="154"/>
    </row>
    <row r="97" spans="1:35" hidden="1" outlineLevel="1" collapsed="1">
      <c r="A97" s="298" t="s">
        <v>419</v>
      </c>
      <c r="B97" s="3"/>
      <c r="C97" s="3"/>
      <c r="D97" s="3"/>
      <c r="E97" s="3"/>
      <c r="F97" s="3"/>
      <c r="G97" s="295" t="s">
        <v>606</v>
      </c>
      <c r="H97" s="295" t="s">
        <v>606</v>
      </c>
      <c r="I97" s="295" t="s">
        <v>606</v>
      </c>
      <c r="J97" s="296">
        <v>0.35159167464835722</v>
      </c>
      <c r="K97" s="296">
        <v>0.61715487682787029</v>
      </c>
      <c r="L97" s="296">
        <v>0.9190678411342138</v>
      </c>
      <c r="M97" s="296">
        <v>1.1944658232409684</v>
      </c>
      <c r="N97" s="296">
        <v>1.6863916301847592</v>
      </c>
      <c r="O97" s="296">
        <v>2.0561349588656088</v>
      </c>
      <c r="P97" s="296">
        <v>2.3672632339646476</v>
      </c>
      <c r="Q97" s="297">
        <v>2.790523116596058</v>
      </c>
      <c r="R97" s="295" t="s">
        <v>606</v>
      </c>
      <c r="S97" s="295" t="s">
        <v>606</v>
      </c>
      <c r="T97" s="295" t="s">
        <v>606</v>
      </c>
      <c r="U97" s="295" t="s">
        <v>606</v>
      </c>
      <c r="V97" s="295"/>
      <c r="W97" s="295"/>
      <c r="X97" s="295"/>
      <c r="Y97" s="295"/>
      <c r="Z97" s="295"/>
      <c r="AA97" s="295"/>
      <c r="AB97" s="295"/>
      <c r="AC97" s="295"/>
      <c r="AD97" s="295"/>
      <c r="AE97" s="439"/>
      <c r="AF97" s="56"/>
      <c r="AG97" s="56"/>
      <c r="AH97" s="56"/>
      <c r="AI97" s="56"/>
    </row>
    <row r="98" spans="1:35" hidden="1" outlineLevel="1">
      <c r="A98" s="298" t="s">
        <v>421</v>
      </c>
      <c r="B98" s="3"/>
      <c r="C98" s="3"/>
      <c r="D98" s="3"/>
      <c r="E98" s="3"/>
      <c r="F98" s="3"/>
      <c r="G98" s="295" t="s">
        <v>606</v>
      </c>
      <c r="H98" s="295" t="s">
        <v>606</v>
      </c>
      <c r="I98" s="295" t="s">
        <v>606</v>
      </c>
      <c r="J98" s="296">
        <v>0.35159167464835722</v>
      </c>
      <c r="K98" s="296">
        <v>0.61715487682787029</v>
      </c>
      <c r="L98" s="296">
        <v>0.9190678411342138</v>
      </c>
      <c r="M98" s="296">
        <v>1.1944658232409684</v>
      </c>
      <c r="N98" s="296">
        <v>1.6863916301847592</v>
      </c>
      <c r="O98" s="296">
        <v>2.0430000000000001</v>
      </c>
      <c r="P98" s="296">
        <v>2.3610000000000002</v>
      </c>
      <c r="Q98" s="297">
        <v>2.7719999999999998</v>
      </c>
      <c r="R98" s="295" t="s">
        <v>606</v>
      </c>
      <c r="S98" s="295" t="s">
        <v>606</v>
      </c>
      <c r="T98" s="295" t="s">
        <v>606</v>
      </c>
      <c r="U98" s="295" t="s">
        <v>606</v>
      </c>
      <c r="V98" s="295"/>
      <c r="W98" s="295"/>
      <c r="X98" s="295"/>
      <c r="Y98" s="295"/>
      <c r="Z98" s="295"/>
      <c r="AA98" s="295"/>
      <c r="AB98" s="295"/>
      <c r="AC98" s="295"/>
      <c r="AD98" s="295"/>
      <c r="AE98" s="439"/>
      <c r="AF98" s="320"/>
      <c r="AG98" s="320"/>
      <c r="AH98" s="515"/>
      <c r="AI98" s="320"/>
    </row>
    <row r="99" spans="1:35" collapsed="1">
      <c r="A99" s="495"/>
      <c r="B99" s="439"/>
      <c r="C99" s="439"/>
      <c r="D99" s="439"/>
      <c r="E99" s="439"/>
      <c r="F99" s="439"/>
      <c r="G99" s="439"/>
      <c r="H99" s="438"/>
      <c r="I99" s="439"/>
      <c r="J99" s="439"/>
      <c r="K99" s="438"/>
      <c r="L99" s="438"/>
      <c r="M99" s="439"/>
      <c r="N99" s="439"/>
      <c r="O99" s="516"/>
      <c r="P99" s="439"/>
      <c r="Q99" s="439"/>
      <c r="R99" s="439"/>
      <c r="S99" s="478"/>
      <c r="T99" s="439"/>
      <c r="U99" s="439"/>
      <c r="V99" s="488"/>
      <c r="W99" s="478"/>
      <c r="X99" s="478"/>
      <c r="Y99" s="478"/>
      <c r="Z99" s="478"/>
      <c r="AA99" s="478"/>
      <c r="AB99" s="478"/>
      <c r="AC99" s="478"/>
      <c r="AD99" s="439"/>
      <c r="AE99" s="439"/>
      <c r="AF99" s="320"/>
      <c r="AG99" s="320"/>
      <c r="AH99" s="515"/>
      <c r="AI99" s="320"/>
    </row>
    <row r="100" spans="1:35">
      <c r="A100" s="517" t="s">
        <v>235</v>
      </c>
      <c r="B100" s="518"/>
      <c r="C100" s="518"/>
      <c r="D100" s="518"/>
      <c r="E100" s="518"/>
      <c r="F100" s="518"/>
      <c r="G100" s="518"/>
      <c r="H100" s="519"/>
      <c r="I100" s="518"/>
      <c r="J100" s="518"/>
      <c r="K100" s="519"/>
      <c r="L100" s="519"/>
      <c r="M100" s="518"/>
      <c r="N100" s="518"/>
      <c r="O100" s="518"/>
      <c r="P100" s="518"/>
      <c r="Q100" s="518"/>
      <c r="R100" s="518"/>
      <c r="S100" s="518"/>
      <c r="T100" s="518"/>
      <c r="U100" s="518"/>
      <c r="V100" s="488"/>
      <c r="W100" s="488"/>
      <c r="X100" s="488"/>
      <c r="Y100" s="518"/>
      <c r="Z100" s="518"/>
      <c r="AA100" s="518"/>
      <c r="AB100" s="518"/>
      <c r="AC100" s="518"/>
      <c r="AD100" s="518"/>
      <c r="AE100" s="518"/>
      <c r="AF100" s="520"/>
      <c r="AG100" s="520"/>
      <c r="AH100" s="520"/>
      <c r="AI100" s="520"/>
    </row>
    <row r="101" spans="1:35">
      <c r="A101" s="521" t="s">
        <v>301</v>
      </c>
      <c r="B101" s="518"/>
      <c r="C101" s="518"/>
      <c r="D101" s="518"/>
      <c r="E101" s="518"/>
      <c r="F101" s="518"/>
      <c r="G101" s="518"/>
      <c r="H101" s="519"/>
      <c r="I101" s="518"/>
      <c r="J101" s="518"/>
      <c r="K101" s="519"/>
      <c r="L101" s="519"/>
      <c r="M101" s="518"/>
      <c r="N101" s="518"/>
      <c r="O101" s="522"/>
      <c r="P101" s="518"/>
      <c r="Q101" s="518"/>
      <c r="R101" s="518"/>
      <c r="S101" s="518"/>
      <c r="T101" s="518"/>
      <c r="U101" s="518"/>
      <c r="V101" s="518"/>
      <c r="W101" s="1631"/>
      <c r="X101" s="1631"/>
      <c r="Y101" s="518"/>
      <c r="Z101" s="518"/>
      <c r="AA101" s="518"/>
      <c r="AB101" s="518"/>
      <c r="AC101" s="518"/>
      <c r="AD101" s="518"/>
      <c r="AE101" s="518"/>
      <c r="AF101" s="520"/>
      <c r="AG101" s="520"/>
      <c r="AH101" s="520"/>
      <c r="AI101" s="520"/>
    </row>
    <row r="102" spans="1:35">
      <c r="A102" s="523"/>
      <c r="B102" s="524"/>
      <c r="C102" s="524"/>
      <c r="D102" s="524"/>
      <c r="E102" s="524"/>
      <c r="F102" s="524"/>
      <c r="G102" s="524"/>
      <c r="H102" s="525"/>
      <c r="I102" s="524"/>
      <c r="J102" s="524"/>
      <c r="K102" s="524"/>
      <c r="L102" s="525"/>
      <c r="M102" s="524"/>
      <c r="N102" s="524"/>
      <c r="O102" s="524"/>
      <c r="P102" s="524"/>
      <c r="Q102" s="524"/>
      <c r="R102" s="524"/>
      <c r="S102" s="524"/>
      <c r="T102" s="524"/>
      <c r="U102" s="524"/>
      <c r="V102" s="524"/>
      <c r="W102" s="524"/>
      <c r="X102" s="524"/>
      <c r="Y102" s="524"/>
      <c r="Z102" s="524"/>
      <c r="AA102" s="524"/>
      <c r="AB102" s="524"/>
      <c r="AC102" s="524"/>
      <c r="AD102" s="524"/>
      <c r="AE102" s="524"/>
      <c r="AF102" s="526"/>
      <c r="AG102" s="526"/>
      <c r="AH102" s="527"/>
      <c r="AI102" s="526"/>
    </row>
    <row r="103" spans="1:35">
      <c r="A103" s="96" t="s">
        <v>114</v>
      </c>
      <c r="B103" s="528"/>
      <c r="C103" s="528"/>
      <c r="D103" s="528"/>
      <c r="E103" s="528"/>
      <c r="F103" s="528"/>
      <c r="G103" s="528"/>
      <c r="H103" s="525"/>
      <c r="I103" s="528"/>
      <c r="J103" s="528"/>
      <c r="K103" s="528"/>
      <c r="L103" s="525"/>
      <c r="M103" s="528"/>
      <c r="N103" s="528"/>
      <c r="O103" s="528"/>
      <c r="P103" s="528"/>
      <c r="Q103" s="528"/>
      <c r="R103" s="528"/>
      <c r="S103" s="528"/>
      <c r="T103" s="528"/>
      <c r="U103" s="528"/>
      <c r="V103" s="528"/>
      <c r="W103" s="528"/>
      <c r="X103" s="528"/>
      <c r="Y103" s="528"/>
      <c r="Z103" s="528"/>
      <c r="AA103" s="528"/>
      <c r="AB103" s="528"/>
      <c r="AC103" s="528"/>
      <c r="AD103" s="528"/>
      <c r="AE103" s="528"/>
      <c r="AF103" s="528"/>
      <c r="AG103" s="528"/>
      <c r="AH103" s="528"/>
      <c r="AI103" s="528"/>
    </row>
    <row r="104" spans="1:35">
      <c r="A104" s="3"/>
      <c r="B104" s="529"/>
      <c r="C104" s="529"/>
      <c r="D104" s="529"/>
      <c r="E104" s="529"/>
      <c r="F104" s="3"/>
      <c r="G104" s="529"/>
      <c r="H104" s="530"/>
      <c r="I104" s="3"/>
      <c r="J104" s="3"/>
      <c r="K104" s="3"/>
      <c r="L104" s="500"/>
      <c r="M104" s="3"/>
      <c r="N104" s="3"/>
      <c r="O104" s="3"/>
      <c r="P104" s="3"/>
      <c r="Q104" s="3"/>
      <c r="R104" s="3"/>
      <c r="S104" s="3"/>
      <c r="T104" s="3"/>
      <c r="U104" s="3"/>
      <c r="V104" s="3"/>
      <c r="W104" s="3"/>
      <c r="X104" s="3"/>
      <c r="Y104" s="3"/>
      <c r="Z104" s="3"/>
      <c r="AA104" s="3"/>
      <c r="AB104" s="3"/>
      <c r="AC104" s="61"/>
      <c r="AD104" s="3"/>
      <c r="AE104" s="3"/>
      <c r="AF104" s="3"/>
      <c r="AG104" s="3"/>
      <c r="AH104" s="3"/>
      <c r="AI104" s="3"/>
    </row>
    <row r="105" spans="1:35">
      <c r="A105" s="3" t="s">
        <v>604</v>
      </c>
      <c r="B105" s="531"/>
      <c r="C105" s="531"/>
      <c r="D105" s="531"/>
      <c r="E105" s="531"/>
      <c r="F105" s="3"/>
      <c r="G105" s="531"/>
      <c r="H105" s="438"/>
      <c r="I105" s="3"/>
      <c r="J105" s="3"/>
      <c r="K105" s="3"/>
      <c r="L105" s="500"/>
      <c r="M105" s="3"/>
      <c r="N105" s="145">
        <f t="shared" ref="N105:AB105" si="71">+N61+N18+N48</f>
        <v>1181.6869999999999</v>
      </c>
      <c r="O105" s="145">
        <f t="shared" si="71"/>
        <v>1412.902</v>
      </c>
      <c r="P105" s="145">
        <f t="shared" si="71"/>
        <v>1274.5939999999996</v>
      </c>
      <c r="Q105" s="145">
        <f t="shared" si="71"/>
        <v>1458.2839999999997</v>
      </c>
      <c r="R105" s="145">
        <f t="shared" si="71"/>
        <v>1662.6130000000003</v>
      </c>
      <c r="S105" s="145">
        <f t="shared" si="71"/>
        <v>1932.2629999999995</v>
      </c>
      <c r="T105" s="145">
        <f t="shared" si="71"/>
        <v>2023.0349999999996</v>
      </c>
      <c r="U105" s="145">
        <f t="shared" si="71"/>
        <v>1758.148000000001</v>
      </c>
      <c r="V105" s="145">
        <f t="shared" si="71"/>
        <v>1336.8999999999999</v>
      </c>
      <c r="W105" s="145">
        <f t="shared" si="71"/>
        <v>1351.899999999999</v>
      </c>
      <c r="X105" s="145">
        <f t="shared" si="71"/>
        <v>1402.6150000000007</v>
      </c>
      <c r="Y105" s="145">
        <f t="shared" si="71"/>
        <v>1766.8719082387147</v>
      </c>
      <c r="Z105" s="145">
        <f t="shared" si="71"/>
        <v>1889.2000429744671</v>
      </c>
      <c r="AA105" s="145">
        <f t="shared" si="71"/>
        <v>1958.8867455946599</v>
      </c>
      <c r="AB105" s="145">
        <f t="shared" si="71"/>
        <v>2030.2755761978642</v>
      </c>
      <c r="AC105" s="149">
        <f>+AC61+AC18+AC48</f>
        <v>2115.3243412011752</v>
      </c>
      <c r="AD105" s="3"/>
      <c r="AE105" s="3"/>
      <c r="AF105" s="3"/>
      <c r="AG105" s="3"/>
      <c r="AH105" s="3"/>
      <c r="AI105" s="3"/>
    </row>
    <row r="106" spans="1:35">
      <c r="A106" s="3"/>
      <c r="B106" s="531"/>
      <c r="C106" s="531"/>
      <c r="D106" s="531"/>
      <c r="E106" s="531"/>
      <c r="F106" s="3"/>
      <c r="G106" s="531"/>
      <c r="H106" s="438"/>
      <c r="I106" s="3"/>
      <c r="J106" s="3"/>
      <c r="K106" s="3"/>
      <c r="L106" s="500"/>
      <c r="M106" s="3"/>
      <c r="N106" s="3"/>
      <c r="O106" s="3"/>
      <c r="P106" s="3"/>
      <c r="Q106" s="3"/>
      <c r="R106" s="3"/>
      <c r="S106" s="3"/>
      <c r="T106" s="3"/>
      <c r="U106" s="3"/>
      <c r="V106" s="3"/>
      <c r="W106" s="3"/>
      <c r="X106" s="3"/>
      <c r="Y106" s="3"/>
      <c r="Z106" s="3"/>
      <c r="AA106" s="3"/>
      <c r="AB106" s="3"/>
      <c r="AC106" s="61"/>
      <c r="AD106" s="3"/>
      <c r="AE106" s="3"/>
      <c r="AF106" s="3"/>
      <c r="AG106" s="3"/>
      <c r="AH106" s="3"/>
      <c r="AI106" s="3"/>
    </row>
    <row r="107" spans="1:35">
      <c r="A107" s="3" t="s">
        <v>378</v>
      </c>
      <c r="B107" s="531"/>
      <c r="C107" s="531"/>
      <c r="D107" s="531"/>
      <c r="E107" s="531"/>
      <c r="F107" s="3"/>
      <c r="G107" s="531"/>
      <c r="H107" s="438"/>
      <c r="I107" s="145">
        <f t="shared" ref="I107:AB107" si="72">I15-I18-I37-I48</f>
        <v>279.18100000000004</v>
      </c>
      <c r="J107" s="145">
        <f t="shared" si="72"/>
        <v>356.88100000000003</v>
      </c>
      <c r="K107" s="145">
        <f t="shared" si="72"/>
        <v>460.19699999999995</v>
      </c>
      <c r="L107" s="145">
        <f t="shared" si="72"/>
        <v>574.31200000000013</v>
      </c>
      <c r="M107" s="145">
        <f t="shared" si="72"/>
        <v>672.11300000000006</v>
      </c>
      <c r="N107" s="145">
        <f t="shared" si="72"/>
        <v>794.01199999999994</v>
      </c>
      <c r="O107" s="145">
        <f t="shared" si="72"/>
        <v>936.82099999999991</v>
      </c>
      <c r="P107" s="145">
        <f t="shared" si="72"/>
        <v>997.93799999999999</v>
      </c>
      <c r="Q107" s="145">
        <f t="shared" si="72"/>
        <v>1114.1660000000002</v>
      </c>
      <c r="R107" s="145">
        <f t="shared" si="72"/>
        <v>1285.9400000000003</v>
      </c>
      <c r="S107" s="145">
        <f t="shared" si="72"/>
        <v>1444.6559999999999</v>
      </c>
      <c r="T107" s="145">
        <f t="shared" si="72"/>
        <v>1577.2119999999998</v>
      </c>
      <c r="U107" s="145">
        <f t="shared" si="72"/>
        <v>1490.8849999999998</v>
      </c>
      <c r="V107" s="145">
        <f t="shared" si="72"/>
        <v>1420.5000000000002</v>
      </c>
      <c r="W107" s="145">
        <f t="shared" si="72"/>
        <v>1498.3000000000002</v>
      </c>
      <c r="X107" s="145">
        <f t="shared" si="72"/>
        <v>1474.9431999999997</v>
      </c>
      <c r="Y107" s="145">
        <f t="shared" si="72"/>
        <v>1892.31405688168</v>
      </c>
      <c r="Z107" s="145">
        <f t="shared" si="72"/>
        <v>1885.7054971403936</v>
      </c>
      <c r="AA107" s="145">
        <f t="shared" si="72"/>
        <v>1939.8184106405411</v>
      </c>
      <c r="AB107" s="145">
        <f t="shared" si="72"/>
        <v>1991.5610002634016</v>
      </c>
      <c r="AC107" s="149">
        <f>AC15-AC18-AC37-AC48</f>
        <v>2035.5499892763853</v>
      </c>
      <c r="AD107" s="145"/>
      <c r="AE107" s="3"/>
      <c r="AF107" s="3"/>
      <c r="AG107" s="3"/>
      <c r="AH107" s="3"/>
      <c r="AI107" s="3"/>
    </row>
    <row r="108" spans="1:35">
      <c r="A108" s="3"/>
      <c r="B108" s="531"/>
      <c r="C108" s="531"/>
      <c r="D108" s="531"/>
      <c r="E108" s="531"/>
      <c r="F108" s="3"/>
      <c r="G108" s="531"/>
      <c r="H108" s="438"/>
      <c r="I108" s="3"/>
      <c r="J108" s="3"/>
      <c r="K108" s="3"/>
      <c r="L108" s="500"/>
      <c r="M108" s="3"/>
      <c r="N108" s="3"/>
      <c r="O108" s="3"/>
      <c r="P108" s="3"/>
      <c r="Q108" s="3"/>
      <c r="R108" s="3"/>
      <c r="S108" s="3"/>
      <c r="T108" s="3"/>
      <c r="U108" s="3"/>
      <c r="V108" s="3"/>
      <c r="W108" s="3"/>
      <c r="X108" s="3"/>
      <c r="Y108" s="3"/>
      <c r="Z108" s="3"/>
      <c r="AA108" s="3"/>
      <c r="AB108" s="3"/>
      <c r="AC108" s="61"/>
      <c r="AD108" s="3"/>
      <c r="AE108" s="3"/>
      <c r="AF108" s="3"/>
      <c r="AG108" s="3"/>
      <c r="AH108" s="3"/>
      <c r="AI108" s="3"/>
    </row>
    <row r="109" spans="1:35">
      <c r="A109" s="3"/>
      <c r="B109" s="531"/>
      <c r="C109" s="531"/>
      <c r="D109" s="531"/>
      <c r="E109" s="531"/>
      <c r="F109" s="3"/>
      <c r="G109" s="531"/>
      <c r="H109" s="438"/>
      <c r="I109" s="3"/>
      <c r="J109" s="3"/>
      <c r="K109" s="3"/>
      <c r="L109" s="500"/>
      <c r="M109" s="3"/>
      <c r="N109" s="3"/>
      <c r="O109" s="3"/>
      <c r="P109" s="3"/>
      <c r="Q109" s="3"/>
      <c r="R109" s="3"/>
      <c r="S109" s="3"/>
      <c r="T109" s="3"/>
      <c r="U109" s="3"/>
      <c r="V109" s="3"/>
      <c r="W109" s="3"/>
      <c r="X109" s="3"/>
      <c r="Y109" s="3"/>
      <c r="Z109" s="3"/>
      <c r="AA109" s="3"/>
      <c r="AB109" s="3"/>
      <c r="AC109" s="61"/>
      <c r="AD109" s="3"/>
      <c r="AE109" s="3"/>
      <c r="AF109" s="3"/>
      <c r="AG109" s="3"/>
      <c r="AH109" s="3"/>
      <c r="AI109" s="3"/>
    </row>
    <row r="110" spans="1:35">
      <c r="A110" s="3"/>
      <c r="B110" s="3"/>
      <c r="C110" s="3"/>
      <c r="D110" s="3"/>
      <c r="E110" s="3"/>
      <c r="F110" s="3"/>
      <c r="G110" s="3"/>
      <c r="H110" s="500"/>
      <c r="I110" s="3"/>
      <c r="J110" s="3"/>
      <c r="K110" s="3"/>
      <c r="L110" s="500"/>
      <c r="M110" s="3"/>
      <c r="N110" s="3"/>
      <c r="O110" s="3"/>
      <c r="P110" s="3"/>
      <c r="Q110" s="3"/>
      <c r="R110" s="3"/>
      <c r="S110" s="3"/>
      <c r="T110" s="3"/>
      <c r="U110" s="3"/>
      <c r="V110" s="3"/>
      <c r="W110" s="3"/>
      <c r="X110" s="3"/>
      <c r="Y110" s="3"/>
      <c r="Z110" s="3"/>
      <c r="AA110" s="3"/>
      <c r="AB110" s="3"/>
      <c r="AC110" s="61"/>
      <c r="AD110" s="3"/>
      <c r="AE110" s="3"/>
      <c r="AF110" s="3"/>
      <c r="AG110" s="3"/>
      <c r="AH110" s="3"/>
      <c r="AI110" s="3"/>
    </row>
    <row r="111" spans="1:35">
      <c r="A111" s="3"/>
      <c r="B111" s="3"/>
      <c r="C111" s="3"/>
      <c r="D111" s="3"/>
      <c r="E111" s="3"/>
      <c r="F111" s="3"/>
      <c r="G111" s="3"/>
      <c r="H111" s="500"/>
      <c r="I111" s="3"/>
      <c r="J111" s="3"/>
      <c r="K111" s="3"/>
      <c r="L111" s="500"/>
      <c r="M111" s="3"/>
      <c r="N111" s="3"/>
      <c r="O111" s="3"/>
      <c r="P111" s="3"/>
      <c r="Q111" s="3"/>
      <c r="R111" s="3"/>
      <c r="S111" s="3"/>
      <c r="T111" s="3"/>
      <c r="U111" s="3"/>
      <c r="V111" s="3"/>
      <c r="W111" s="3"/>
      <c r="X111" s="3"/>
      <c r="Y111" s="3"/>
      <c r="Z111" s="3"/>
      <c r="AA111" s="3"/>
      <c r="AB111" s="3"/>
      <c r="AC111" s="61"/>
      <c r="AD111" s="3"/>
      <c r="AE111" s="3"/>
      <c r="AF111" s="3"/>
      <c r="AG111" s="3"/>
      <c r="AH111" s="3"/>
      <c r="AI111" s="3"/>
    </row>
    <row r="112" spans="1:35">
      <c r="A112" s="298"/>
      <c r="B112" s="3"/>
      <c r="C112" s="3"/>
      <c r="D112" s="3"/>
      <c r="E112" s="3"/>
      <c r="F112" s="3"/>
      <c r="G112" s="295"/>
      <c r="H112" s="295"/>
      <c r="I112" s="295"/>
      <c r="J112" s="296"/>
      <c r="K112" s="296"/>
      <c r="L112" s="296"/>
      <c r="M112" s="296"/>
      <c r="N112" s="296"/>
      <c r="O112" s="296"/>
      <c r="P112" s="296"/>
      <c r="Q112" s="296"/>
      <c r="R112" s="296"/>
      <c r="S112" s="296"/>
      <c r="T112" s="296"/>
      <c r="U112" s="296"/>
      <c r="V112" s="296"/>
      <c r="W112" s="296"/>
      <c r="X112" s="296"/>
      <c r="Y112" s="296"/>
      <c r="Z112" s="296"/>
      <c r="AA112" s="296"/>
      <c r="AB112" s="296"/>
      <c r="AC112" s="296"/>
      <c r="AD112" s="296"/>
      <c r="AE112" s="297"/>
      <c r="AF112" s="3"/>
      <c r="AG112" s="3"/>
      <c r="AH112" s="3"/>
      <c r="AI112" s="3"/>
    </row>
    <row r="113" spans="1:35">
      <c r="A113" s="298"/>
      <c r="B113" s="3"/>
      <c r="C113" s="3"/>
      <c r="D113" s="3"/>
      <c r="E113" s="3"/>
      <c r="F113" s="3"/>
      <c r="G113" s="295"/>
      <c r="H113" s="295"/>
      <c r="I113" s="295"/>
      <c r="J113" s="296"/>
      <c r="K113" s="296"/>
      <c r="L113" s="296"/>
      <c r="M113" s="296"/>
      <c r="N113" s="296"/>
      <c r="O113" s="296"/>
      <c r="P113" s="296"/>
      <c r="Q113" s="296"/>
      <c r="R113" s="296"/>
      <c r="S113" s="296"/>
      <c r="T113" s="296"/>
      <c r="U113" s="296"/>
      <c r="V113" s="296"/>
      <c r="W113" s="296"/>
      <c r="X113" s="296"/>
      <c r="Y113" s="296"/>
      <c r="Z113" s="296"/>
      <c r="AA113" s="296"/>
      <c r="AB113" s="296"/>
      <c r="AC113" s="296"/>
      <c r="AD113" s="296"/>
      <c r="AE113" s="297"/>
      <c r="AF113" s="3"/>
      <c r="AG113" s="3"/>
      <c r="AH113" s="3"/>
      <c r="AI113" s="3"/>
    </row>
    <row r="114" spans="1:3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61"/>
      <c r="AD114" s="3"/>
      <c r="AE114" s="3"/>
      <c r="AF114" s="3"/>
      <c r="AG114" s="3"/>
      <c r="AH114" s="3"/>
      <c r="AI114" s="3"/>
    </row>
    <row r="115" spans="1:35">
      <c r="A115" s="3"/>
      <c r="B115" s="3"/>
      <c r="C115" s="3"/>
      <c r="D115" s="3"/>
      <c r="E115" s="3"/>
      <c r="F115" s="3"/>
      <c r="G115" s="3" t="s">
        <v>420</v>
      </c>
      <c r="H115" s="3"/>
      <c r="I115" s="3"/>
      <c r="J115" s="3"/>
      <c r="K115" s="3"/>
      <c r="L115" s="3"/>
      <c r="M115" s="3"/>
      <c r="N115" s="3"/>
      <c r="O115" s="3"/>
      <c r="P115" s="3"/>
      <c r="Q115" s="3"/>
      <c r="R115" s="3"/>
      <c r="S115" s="3"/>
      <c r="T115" s="3"/>
      <c r="U115" s="3"/>
      <c r="V115" s="3"/>
      <c r="W115" s="3"/>
      <c r="X115" s="3"/>
      <c r="Y115" s="3"/>
      <c r="Z115" s="3"/>
      <c r="AA115" s="3"/>
      <c r="AB115" s="3"/>
      <c r="AC115" s="61"/>
      <c r="AD115" s="3"/>
      <c r="AE115" s="3"/>
      <c r="AF115" s="3"/>
      <c r="AG115" s="3"/>
      <c r="AH115" s="3"/>
      <c r="AI115" s="3"/>
    </row>
  </sheetData>
  <mergeCells count="1">
    <mergeCell ref="AF4:AH4"/>
  </mergeCells>
  <phoneticPr fontId="0" type="noConversion"/>
  <dataValidations disablePrompts="1" count="1">
    <dataValidation type="custom" allowBlank="1" showInputMessage="1" showErrorMessage="1" sqref="A97:A98 A112:A113 G85:AD85 G97:AD98 G112:AE113">
      <formula1>-1</formula1>
    </dataValidation>
  </dataValidations>
  <printOptions horizontalCentered="1"/>
  <pageMargins left="0.25" right="0.25" top="0.5" bottom="0.25" header="0.5" footer="0.5"/>
  <pageSetup scale="83" orientation="landscape" r:id="rId1"/>
  <headerFooter alignWithMargins="0">
    <oddFooter>&amp;R&amp;8&amp;D
&amp;F/&amp;A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O183"/>
  <sheetViews>
    <sheetView view="pageBreakPreview" zoomScaleNormal="85" workbookViewId="0">
      <pane ySplit="49" topLeftCell="A153" activePane="bottomLeft" state="frozen"/>
      <selection pane="bottomLeft" activeCell="AB171" sqref="AB171"/>
    </sheetView>
  </sheetViews>
  <sheetFormatPr defaultRowHeight="12.75" outlineLevelRow="1" outlineLevelCol="1"/>
  <cols>
    <col min="1" max="1" width="2.85546875" customWidth="1"/>
    <col min="2" max="2" width="6.5703125" customWidth="1"/>
    <col min="3" max="3" width="2.7109375" customWidth="1"/>
    <col min="4" max="4" width="6.85546875" customWidth="1"/>
    <col min="5" max="5" width="1.28515625" customWidth="1"/>
    <col min="6" max="6" width="9" customWidth="1"/>
    <col min="7" max="7" width="1.28515625" customWidth="1"/>
    <col min="8" max="8" width="7.85546875" customWidth="1"/>
    <col min="9" max="9" width="1.28515625" customWidth="1"/>
    <col min="10" max="10" width="7.85546875" customWidth="1"/>
    <col min="11" max="11" width="1.28515625" customWidth="1"/>
    <col min="12" max="12" width="8.28515625" customWidth="1"/>
    <col min="13" max="13" width="1.7109375" customWidth="1"/>
    <col min="14" max="14" width="7.5703125" customWidth="1"/>
    <col min="15" max="15" width="1.7109375" customWidth="1"/>
    <col min="16" max="16" width="7.5703125" customWidth="1"/>
    <col min="17" max="17" width="1.7109375" customWidth="1"/>
    <col min="18" max="18" width="8.5703125" customWidth="1"/>
    <col min="19" max="19" width="1.7109375" customWidth="1"/>
    <col min="21" max="21" width="1.7109375" customWidth="1"/>
    <col min="22" max="22" width="7.7109375" customWidth="1"/>
    <col min="23" max="23" width="1.28515625" customWidth="1"/>
    <col min="24" max="24" width="8" customWidth="1"/>
    <col min="25" max="25" width="1.28515625" customWidth="1"/>
    <col min="26" max="26" width="7.28515625" customWidth="1"/>
    <col min="27" max="27" width="1.7109375" customWidth="1"/>
    <col min="28" max="28" width="7.7109375" customWidth="1"/>
    <col min="29" max="29" width="1.28515625" customWidth="1"/>
    <col min="30" max="30" width="8.140625" customWidth="1"/>
    <col min="31" max="31" width="1.28515625" customWidth="1"/>
    <col min="32" max="32" width="7.7109375" customWidth="1"/>
    <col min="33" max="33" width="1.7109375" customWidth="1"/>
    <col min="34" max="34" width="5.85546875" hidden="1" customWidth="1" outlineLevel="1"/>
    <col min="35" max="35" width="1.28515625" hidden="1" customWidth="1" outlineLevel="1"/>
    <col min="36" max="36" width="5.85546875" hidden="1" customWidth="1" outlineLevel="1"/>
    <col min="37" max="37" width="2.5703125" customWidth="1" collapsed="1"/>
    <col min="38" max="38" width="9.85546875" customWidth="1"/>
    <col min="39" max="39" width="2.42578125" customWidth="1"/>
  </cols>
  <sheetData>
    <row r="1" spans="1:41">
      <c r="A1" s="93" t="s">
        <v>342</v>
      </c>
      <c r="B1" s="41"/>
      <c r="C1" s="5"/>
      <c r="D1" s="5"/>
      <c r="E1" s="22"/>
      <c r="F1" s="5"/>
      <c r="G1" s="5"/>
      <c r="H1" s="5"/>
      <c r="I1" s="22"/>
      <c r="J1" s="25"/>
      <c r="K1" s="25"/>
      <c r="L1" s="25"/>
      <c r="M1" s="26"/>
      <c r="N1" s="25"/>
      <c r="O1" s="26"/>
      <c r="P1" s="25"/>
      <c r="Q1" s="25"/>
      <c r="R1" s="26"/>
      <c r="S1" s="25"/>
      <c r="T1" s="25"/>
      <c r="U1" s="26"/>
      <c r="V1" s="26"/>
      <c r="W1" s="25"/>
      <c r="X1" s="25"/>
      <c r="Y1" s="25"/>
      <c r="Z1" s="25"/>
      <c r="AA1" s="25"/>
      <c r="AB1" s="26"/>
      <c r="AC1" s="25"/>
      <c r="AD1" s="25"/>
      <c r="AE1" s="25"/>
      <c r="AF1" s="25"/>
      <c r="AG1" s="25"/>
      <c r="AH1" s="25"/>
      <c r="AI1" s="25"/>
      <c r="AJ1" s="25"/>
      <c r="AK1" s="25"/>
      <c r="AL1" s="25"/>
      <c r="AM1" s="25"/>
      <c r="AN1" s="25"/>
      <c r="AO1" s="5"/>
    </row>
    <row r="2" spans="1:41">
      <c r="A2" s="7" t="s">
        <v>791</v>
      </c>
      <c r="B2" s="42"/>
      <c r="C2" s="7"/>
      <c r="D2" s="7"/>
      <c r="E2" s="23"/>
      <c r="F2" s="7"/>
      <c r="G2" s="7"/>
      <c r="H2" s="7"/>
      <c r="I2" s="23"/>
      <c r="J2" s="7"/>
      <c r="K2" s="7"/>
      <c r="L2" s="7"/>
      <c r="M2" s="23"/>
      <c r="N2" s="7"/>
      <c r="O2" s="23"/>
      <c r="P2" s="7"/>
      <c r="Q2" s="7"/>
      <c r="R2" s="23"/>
      <c r="S2" s="7"/>
      <c r="T2" s="7"/>
      <c r="U2" s="23"/>
      <c r="V2" s="23"/>
      <c r="W2" s="7"/>
      <c r="X2" s="7"/>
      <c r="Y2" s="7"/>
      <c r="Z2" s="7"/>
      <c r="AA2" s="7"/>
      <c r="AB2" s="23"/>
      <c r="AC2" s="7"/>
      <c r="AD2" s="7"/>
      <c r="AE2" s="7"/>
      <c r="AF2" s="7"/>
      <c r="AG2" s="7"/>
      <c r="AH2" s="7"/>
      <c r="AI2" s="7"/>
      <c r="AJ2" s="7"/>
      <c r="AK2" s="25"/>
      <c r="AL2" s="25"/>
      <c r="AM2" s="25"/>
      <c r="AN2" s="25"/>
      <c r="AO2" s="5"/>
    </row>
    <row r="3" spans="1:41" ht="12.75" customHeight="1">
      <c r="A3" s="27" t="s">
        <v>153</v>
      </c>
      <c r="B3" s="28"/>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spans="1:41">
      <c r="A4" s="36"/>
      <c r="B4" s="36"/>
      <c r="C4" s="36"/>
      <c r="D4" s="36"/>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row>
    <row r="5" spans="1:41">
      <c r="A5" s="36"/>
      <c r="B5" s="36"/>
      <c r="C5" s="36"/>
      <c r="D5" s="35"/>
      <c r="E5" s="35"/>
      <c r="F5" s="35"/>
      <c r="G5" s="35" t="s">
        <v>496</v>
      </c>
      <c r="H5" s="35"/>
      <c r="I5" s="35"/>
      <c r="J5" s="35"/>
      <c r="K5" s="36"/>
      <c r="L5" s="35"/>
      <c r="M5" s="35"/>
      <c r="N5" s="35" t="s">
        <v>497</v>
      </c>
      <c r="O5" s="35"/>
      <c r="P5" s="35"/>
      <c r="Q5" s="36"/>
      <c r="R5" s="36"/>
      <c r="S5" s="36" t="s">
        <v>498</v>
      </c>
      <c r="T5" s="36"/>
      <c r="U5" s="36"/>
      <c r="V5" s="35"/>
      <c r="W5" s="35"/>
      <c r="X5" s="35" t="s">
        <v>499</v>
      </c>
      <c r="Y5" s="35"/>
      <c r="Z5" s="35"/>
      <c r="AA5" s="36"/>
      <c r="AB5" s="35"/>
      <c r="AC5" s="35"/>
      <c r="AD5" s="35" t="s">
        <v>150</v>
      </c>
      <c r="AE5" s="35"/>
      <c r="AF5" s="35"/>
      <c r="AG5" s="36"/>
      <c r="AH5" s="85"/>
      <c r="AI5" s="36" t="s">
        <v>169</v>
      </c>
      <c r="AJ5" s="85"/>
      <c r="AK5" s="36"/>
      <c r="AL5" s="37"/>
      <c r="AM5" s="103" t="s">
        <v>40</v>
      </c>
      <c r="AN5" s="36"/>
      <c r="AO5" s="36"/>
    </row>
    <row r="6" spans="1:41">
      <c r="A6" s="36"/>
      <c r="B6" s="36"/>
      <c r="C6" s="36"/>
      <c r="D6" s="37"/>
      <c r="E6" s="37"/>
      <c r="F6" s="37"/>
      <c r="G6" s="36"/>
      <c r="H6" s="35"/>
      <c r="I6" s="35" t="s">
        <v>500</v>
      </c>
      <c r="J6" s="35"/>
      <c r="K6" s="36"/>
      <c r="L6" s="36" t="s">
        <v>482</v>
      </c>
      <c r="M6" s="36"/>
      <c r="N6" s="76"/>
      <c r="O6" s="76" t="s">
        <v>501</v>
      </c>
      <c r="P6" s="76"/>
      <c r="Q6" s="36"/>
      <c r="R6" s="35"/>
      <c r="S6" s="35" t="s">
        <v>564</v>
      </c>
      <c r="T6" s="35"/>
      <c r="U6" s="36"/>
      <c r="V6" s="36" t="s">
        <v>502</v>
      </c>
      <c r="W6" s="36"/>
      <c r="X6" s="36" t="s">
        <v>500</v>
      </c>
      <c r="Y6" s="36"/>
      <c r="Z6" s="36" t="s">
        <v>503</v>
      </c>
      <c r="AA6" s="36"/>
      <c r="AB6" s="36" t="s">
        <v>151</v>
      </c>
      <c r="AC6" s="36"/>
      <c r="AD6" s="36" t="s">
        <v>500</v>
      </c>
      <c r="AE6" s="36"/>
      <c r="AF6" s="36" t="s">
        <v>503</v>
      </c>
      <c r="AG6" s="36"/>
      <c r="AH6" s="39"/>
      <c r="AI6" s="35" t="s">
        <v>168</v>
      </c>
      <c r="AJ6" s="39"/>
      <c r="AK6" s="36"/>
      <c r="AL6" s="35"/>
      <c r="AM6" s="104" t="s">
        <v>41</v>
      </c>
      <c r="AN6" s="36"/>
      <c r="AO6" s="36"/>
    </row>
    <row r="7" spans="1:41">
      <c r="A7" s="36"/>
      <c r="B7" s="36"/>
      <c r="C7" s="36"/>
      <c r="D7" s="36"/>
      <c r="E7" s="36"/>
      <c r="F7" s="36" t="s">
        <v>504</v>
      </c>
      <c r="G7" s="36"/>
      <c r="H7" s="36" t="s">
        <v>505</v>
      </c>
      <c r="I7" s="36"/>
      <c r="J7" s="36"/>
      <c r="K7" s="36"/>
      <c r="L7" s="36" t="s">
        <v>563</v>
      </c>
      <c r="M7" s="36"/>
      <c r="N7" s="36" t="s">
        <v>506</v>
      </c>
      <c r="O7" s="36"/>
      <c r="P7" s="36" t="s">
        <v>506</v>
      </c>
      <c r="Q7" s="36"/>
      <c r="R7" s="36"/>
      <c r="S7" s="36"/>
      <c r="T7" s="36" t="s">
        <v>507</v>
      </c>
      <c r="U7" s="36"/>
      <c r="V7" s="36" t="s">
        <v>508</v>
      </c>
      <c r="W7" s="36"/>
      <c r="X7" s="36" t="s">
        <v>509</v>
      </c>
      <c r="Y7" s="36"/>
      <c r="Z7" s="36" t="s">
        <v>428</v>
      </c>
      <c r="AA7" s="36"/>
      <c r="AB7" s="36" t="s">
        <v>505</v>
      </c>
      <c r="AC7" s="36"/>
      <c r="AD7" s="36" t="s">
        <v>509</v>
      </c>
      <c r="AE7" s="36"/>
      <c r="AF7" s="36" t="s">
        <v>428</v>
      </c>
      <c r="AG7" s="36"/>
      <c r="AH7" s="38"/>
      <c r="AI7" s="36"/>
      <c r="AJ7" s="36" t="s">
        <v>171</v>
      </c>
      <c r="AK7" s="36"/>
      <c r="AL7" s="36"/>
      <c r="AM7" s="105" t="s">
        <v>42</v>
      </c>
      <c r="AN7" s="36"/>
      <c r="AO7" s="36"/>
    </row>
    <row r="8" spans="1:41">
      <c r="A8" s="36"/>
      <c r="B8" s="36"/>
      <c r="C8" s="36"/>
      <c r="D8" s="35" t="s">
        <v>482</v>
      </c>
      <c r="E8" s="36"/>
      <c r="F8" s="35" t="s">
        <v>510</v>
      </c>
      <c r="G8" s="36"/>
      <c r="H8" s="35" t="s">
        <v>511</v>
      </c>
      <c r="I8" s="36"/>
      <c r="J8" s="35" t="s">
        <v>512</v>
      </c>
      <c r="K8" s="36"/>
      <c r="L8" s="35" t="s">
        <v>524</v>
      </c>
      <c r="M8" s="36"/>
      <c r="N8" s="35" t="s">
        <v>461</v>
      </c>
      <c r="O8" s="36"/>
      <c r="P8" s="35" t="s">
        <v>511</v>
      </c>
      <c r="Q8" s="36"/>
      <c r="R8" s="35" t="s">
        <v>565</v>
      </c>
      <c r="S8" s="36"/>
      <c r="T8" s="35" t="s">
        <v>566</v>
      </c>
      <c r="U8" s="36"/>
      <c r="V8" s="35" t="s">
        <v>567</v>
      </c>
      <c r="W8" s="36"/>
      <c r="X8" s="35" t="s">
        <v>525</v>
      </c>
      <c r="Y8" s="36"/>
      <c r="Z8" s="35" t="s">
        <v>526</v>
      </c>
      <c r="AA8" s="36"/>
      <c r="AB8" s="35" t="s">
        <v>511</v>
      </c>
      <c r="AC8" s="36"/>
      <c r="AD8" s="35" t="s">
        <v>152</v>
      </c>
      <c r="AE8" s="36"/>
      <c r="AF8" s="35" t="s">
        <v>526</v>
      </c>
      <c r="AG8" s="36"/>
      <c r="AH8" s="35" t="s">
        <v>170</v>
      </c>
      <c r="AI8" s="36"/>
      <c r="AJ8" s="35" t="s">
        <v>172</v>
      </c>
      <c r="AK8" s="36"/>
      <c r="AL8" s="35"/>
      <c r="AM8" s="104" t="s">
        <v>43</v>
      </c>
      <c r="AN8" s="36"/>
      <c r="AO8" s="36"/>
    </row>
    <row r="9" spans="1:41" hidden="1" outlineLevel="1">
      <c r="A9" s="4"/>
      <c r="B9" s="40">
        <f>CoachNAqtrSalesOld!B11</f>
        <v>1995</v>
      </c>
      <c r="C9" s="4"/>
      <c r="D9" s="4"/>
      <c r="E9" s="4"/>
      <c r="F9" s="4"/>
      <c r="G9" s="4"/>
      <c r="H9" s="4"/>
      <c r="I9" s="4"/>
      <c r="J9" s="4"/>
      <c r="K9" s="4"/>
      <c r="L9" s="4"/>
      <c r="M9" s="4"/>
      <c r="N9" s="4"/>
      <c r="O9" s="58"/>
      <c r="P9" s="4"/>
      <c r="Q9" s="58"/>
      <c r="R9" s="4"/>
      <c r="S9" s="4"/>
      <c r="T9" s="18"/>
      <c r="U9" s="4"/>
      <c r="V9" s="4"/>
      <c r="W9" s="4"/>
      <c r="X9" s="4"/>
      <c r="Y9" s="4"/>
      <c r="Z9" s="4"/>
      <c r="AA9" s="58"/>
      <c r="AB9" s="4"/>
      <c r="AC9" s="4"/>
      <c r="AD9" s="4"/>
      <c r="AE9" s="4"/>
      <c r="AF9" s="4"/>
      <c r="AG9" s="58"/>
      <c r="AH9" s="4"/>
      <c r="AI9" s="4"/>
      <c r="AJ9" s="4"/>
      <c r="AK9" s="4"/>
      <c r="AL9" s="4"/>
      <c r="AM9" s="4"/>
      <c r="AN9" s="4"/>
      <c r="AO9" s="4"/>
    </row>
    <row r="10" spans="1:41" hidden="1" outlineLevel="1">
      <c r="A10" s="4" t="s">
        <v>457</v>
      </c>
      <c r="B10" s="4" t="str">
        <f>CoachNAqtrSalesOld!B12</f>
        <v>Sept</v>
      </c>
      <c r="C10" s="4"/>
      <c r="D10" s="13"/>
      <c r="E10" s="4"/>
      <c r="F10" s="13"/>
      <c r="G10" s="4"/>
      <c r="H10" s="13"/>
      <c r="I10" s="4"/>
      <c r="J10" s="13"/>
      <c r="K10" s="4"/>
      <c r="L10" s="21"/>
      <c r="M10" s="4" t="s">
        <v>428</v>
      </c>
      <c r="N10" s="21"/>
      <c r="O10" s="58" t="s">
        <v>428</v>
      </c>
      <c r="P10" s="21"/>
      <c r="Q10" s="58" t="s">
        <v>428</v>
      </c>
      <c r="R10" s="18"/>
      <c r="S10" s="4" t="s">
        <v>527</v>
      </c>
      <c r="T10" s="18"/>
      <c r="U10" s="4"/>
      <c r="V10" s="4">
        <f>CoachNAqtrSalesOld!L12</f>
        <v>0</v>
      </c>
      <c r="W10" s="4"/>
      <c r="X10" s="15"/>
      <c r="Y10" s="4"/>
      <c r="Z10" s="78"/>
      <c r="AA10" s="58" t="s">
        <v>428</v>
      </c>
      <c r="AB10" s="80"/>
      <c r="AC10" s="4"/>
      <c r="AD10" s="82"/>
      <c r="AE10" s="4"/>
      <c r="AF10" s="78"/>
      <c r="AG10" s="58" t="s">
        <v>428</v>
      </c>
      <c r="AH10" s="43"/>
      <c r="AI10" s="4"/>
      <c r="AJ10" s="43"/>
      <c r="AK10" s="4"/>
      <c r="AL10" s="111"/>
      <c r="AM10" s="107" t="s">
        <v>527</v>
      </c>
      <c r="AN10" s="4"/>
      <c r="AO10" s="4"/>
    </row>
    <row r="11" spans="1:41" hidden="1" outlineLevel="1">
      <c r="A11" s="4" t="s">
        <v>458</v>
      </c>
      <c r="B11" s="4" t="str">
        <f>CoachNAqtrSalesOld!B13</f>
        <v>Dec</v>
      </c>
      <c r="C11" s="4"/>
      <c r="D11" s="14"/>
      <c r="E11" s="4"/>
      <c r="F11" s="14"/>
      <c r="G11" s="4"/>
      <c r="H11" s="14"/>
      <c r="I11" s="4"/>
      <c r="J11" s="14"/>
      <c r="K11" s="4"/>
      <c r="L11" s="21"/>
      <c r="M11" s="4"/>
      <c r="N11" s="21"/>
      <c r="O11" s="4"/>
      <c r="P11" s="21"/>
      <c r="Q11" s="4"/>
      <c r="R11" s="18"/>
      <c r="S11" s="4"/>
      <c r="T11" s="18"/>
      <c r="U11" s="4"/>
      <c r="V11" s="4">
        <f>CoachNAqtrSalesOld!L13</f>
        <v>0</v>
      </c>
      <c r="W11" s="4"/>
      <c r="X11" s="18"/>
      <c r="Y11" s="4"/>
      <c r="Z11" s="78"/>
      <c r="AA11" s="4"/>
      <c r="AB11" s="80"/>
      <c r="AC11" s="4"/>
      <c r="AD11" s="81"/>
      <c r="AE11" s="4"/>
      <c r="AF11" s="86"/>
      <c r="AG11" s="11"/>
      <c r="AH11" s="43"/>
      <c r="AI11" s="4"/>
      <c r="AJ11" s="43"/>
      <c r="AK11" s="4"/>
      <c r="AL11" s="111"/>
      <c r="AM11" s="107"/>
      <c r="AN11" s="4"/>
      <c r="AO11" s="4"/>
    </row>
    <row r="12" spans="1:41" hidden="1" outlineLevel="1">
      <c r="A12" s="4" t="s">
        <v>459</v>
      </c>
      <c r="B12" s="4" t="str">
        <f>CoachNAqtrSalesOld!B14</f>
        <v>Mar</v>
      </c>
      <c r="C12" s="4"/>
      <c r="D12" s="14"/>
      <c r="E12" s="4"/>
      <c r="F12" s="14"/>
      <c r="G12" s="4"/>
      <c r="H12" s="14"/>
      <c r="I12" s="4"/>
      <c r="J12" s="14"/>
      <c r="K12" s="4"/>
      <c r="L12" s="21"/>
      <c r="M12" s="4"/>
      <c r="N12" s="21"/>
      <c r="O12" s="4"/>
      <c r="P12" s="21"/>
      <c r="Q12" s="4"/>
      <c r="R12" s="18"/>
      <c r="S12" s="4"/>
      <c r="T12" s="18"/>
      <c r="U12" s="4"/>
      <c r="V12" s="4">
        <f>CoachNAqtrSalesOld!L14</f>
        <v>0</v>
      </c>
      <c r="W12" s="4"/>
      <c r="X12" s="18"/>
      <c r="Y12" s="4"/>
      <c r="Z12" s="78"/>
      <c r="AA12" s="4"/>
      <c r="AB12" s="83"/>
      <c r="AC12" s="4"/>
      <c r="AD12" s="81"/>
      <c r="AE12" s="4"/>
      <c r="AF12" s="87"/>
      <c r="AG12" s="11"/>
      <c r="AH12" s="43"/>
      <c r="AI12" s="4"/>
      <c r="AJ12" s="43"/>
      <c r="AK12" s="4"/>
      <c r="AL12" s="111"/>
      <c r="AM12" s="107"/>
      <c r="AN12" s="4"/>
      <c r="AO12" s="4"/>
    </row>
    <row r="13" spans="1:41" hidden="1" outlineLevel="1">
      <c r="A13" s="4" t="s">
        <v>460</v>
      </c>
      <c r="B13" s="4" t="str">
        <f>CoachNAqtrSalesOld!B15</f>
        <v>June</v>
      </c>
      <c r="C13" s="4"/>
      <c r="D13" s="17"/>
      <c r="E13" s="4"/>
      <c r="F13" s="17"/>
      <c r="G13" s="4"/>
      <c r="H13" s="14"/>
      <c r="I13" s="4"/>
      <c r="J13" s="17"/>
      <c r="K13" s="4"/>
      <c r="L13" s="44"/>
      <c r="M13" s="4"/>
      <c r="N13" s="78"/>
      <c r="O13" s="4"/>
      <c r="P13" s="21"/>
      <c r="Q13" s="4"/>
      <c r="R13" s="18"/>
      <c r="S13" s="4"/>
      <c r="T13" s="18"/>
      <c r="U13" s="4"/>
      <c r="V13" s="4">
        <f>CoachNAqtrSalesOld!L15</f>
        <v>0</v>
      </c>
      <c r="W13" s="4"/>
      <c r="X13" s="18"/>
      <c r="Y13" s="4"/>
      <c r="Z13" s="78"/>
      <c r="AA13" s="4"/>
      <c r="AB13" s="83"/>
      <c r="AC13" s="4"/>
      <c r="AD13" s="81"/>
      <c r="AE13" s="4"/>
      <c r="AF13" s="87"/>
      <c r="AG13" s="11"/>
      <c r="AH13" s="43"/>
      <c r="AI13" s="4"/>
      <c r="AJ13" s="43"/>
      <c r="AK13" s="4"/>
      <c r="AL13" s="111"/>
      <c r="AM13" s="108"/>
      <c r="AN13" s="4"/>
      <c r="AO13" s="4"/>
    </row>
    <row r="14" spans="1:41" hidden="1" outlineLevel="1">
      <c r="A14" s="4"/>
      <c r="B14" s="4" t="str">
        <f>CoachNAqtrSalesOld!B16</f>
        <v>Year</v>
      </c>
      <c r="C14" s="4"/>
      <c r="D14" s="13">
        <f>'qtrP&amp;L'!D14</f>
        <v>395.02100000000002</v>
      </c>
      <c r="E14" s="4"/>
      <c r="F14" s="13">
        <f>'qtrP&amp;L'!D24</f>
        <v>159.32499999999999</v>
      </c>
      <c r="G14" s="4"/>
      <c r="H14" s="4"/>
      <c r="I14" s="4"/>
      <c r="J14" s="13"/>
      <c r="K14" s="4"/>
      <c r="L14" s="21" t="e">
        <f>(D14/D7-1)*100</f>
        <v>#DIV/0!</v>
      </c>
      <c r="M14" s="4"/>
      <c r="N14" s="4"/>
      <c r="O14" s="4"/>
      <c r="P14" s="4"/>
      <c r="Q14" s="4"/>
      <c r="R14" s="79"/>
      <c r="S14" s="77" t="s">
        <v>527</v>
      </c>
      <c r="T14" s="18"/>
      <c r="U14" s="4"/>
      <c r="V14" s="4"/>
      <c r="W14" s="4"/>
      <c r="X14" s="4"/>
      <c r="Y14" s="4"/>
      <c r="Z14" s="4"/>
      <c r="AA14" s="4"/>
      <c r="AB14" s="4"/>
      <c r="AC14" s="4"/>
      <c r="AD14" s="4"/>
      <c r="AE14" s="4"/>
      <c r="AF14" s="4"/>
      <c r="AG14" s="4"/>
      <c r="AH14" s="4"/>
      <c r="AI14" s="4"/>
      <c r="AJ14" s="4"/>
      <c r="AK14" s="4"/>
      <c r="AL14" s="112"/>
      <c r="AM14" s="110" t="s">
        <v>527</v>
      </c>
      <c r="AN14" s="4"/>
      <c r="AO14" s="4"/>
    </row>
    <row r="15" spans="1:41" hidden="1" outlineLevel="1">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row>
    <row r="16" spans="1:41" hidden="1" outlineLevel="1">
      <c r="A16" s="4"/>
      <c r="B16" s="40">
        <v>1996</v>
      </c>
      <c r="C16" s="4"/>
      <c r="D16" s="4"/>
      <c r="E16" s="4"/>
      <c r="F16" s="4"/>
      <c r="G16" s="4"/>
      <c r="H16" s="4"/>
      <c r="I16" s="4"/>
      <c r="J16" s="4"/>
      <c r="K16" s="4"/>
      <c r="L16" s="4"/>
      <c r="M16" s="4"/>
      <c r="N16" s="4"/>
      <c r="O16" s="58"/>
      <c r="P16" s="4"/>
      <c r="Q16" s="58"/>
      <c r="R16" s="4"/>
      <c r="S16" s="4"/>
      <c r="T16" s="18"/>
      <c r="U16" s="4"/>
      <c r="V16" s="4"/>
      <c r="W16" s="4"/>
      <c r="X16" s="4"/>
      <c r="Y16" s="4"/>
      <c r="Z16" s="4"/>
      <c r="AA16" s="58"/>
      <c r="AB16" s="4"/>
      <c r="AC16" s="4"/>
      <c r="AD16" s="4"/>
      <c r="AE16" s="4"/>
      <c r="AF16" s="4"/>
      <c r="AG16" s="58"/>
      <c r="AH16" s="4"/>
      <c r="AI16" s="4"/>
      <c r="AJ16" s="4"/>
      <c r="AK16" s="4"/>
      <c r="AL16" s="4"/>
      <c r="AM16" s="4"/>
      <c r="AN16" s="4"/>
      <c r="AO16" s="4"/>
    </row>
    <row r="17" spans="1:41" hidden="1" outlineLevel="1">
      <c r="A17" s="4" t="s">
        <v>457</v>
      </c>
      <c r="B17" s="4" t="str">
        <f>CoachNAqtrSalesOld!B19</f>
        <v>Sept</v>
      </c>
      <c r="C17" s="4"/>
      <c r="D17" s="13"/>
      <c r="E17" s="4"/>
      <c r="F17" s="13"/>
      <c r="G17" s="4"/>
      <c r="H17" s="13"/>
      <c r="I17" s="4"/>
      <c r="J17" s="13"/>
      <c r="K17" s="4"/>
      <c r="L17" s="21"/>
      <c r="M17" s="4" t="s">
        <v>428</v>
      </c>
      <c r="N17" s="21"/>
      <c r="O17" s="58" t="s">
        <v>428</v>
      </c>
      <c r="P17" s="21"/>
      <c r="Q17" s="58" t="s">
        <v>428</v>
      </c>
      <c r="R17" s="18"/>
      <c r="S17" s="4" t="s">
        <v>527</v>
      </c>
      <c r="T17" s="18"/>
      <c r="U17" s="4"/>
      <c r="V17" s="4">
        <f>CoachNAqtrSalesOld!L19</f>
        <v>0</v>
      </c>
      <c r="W17" s="4"/>
      <c r="X17" s="15"/>
      <c r="Y17" s="4"/>
      <c r="Z17" s="78"/>
      <c r="AA17" s="58" t="s">
        <v>428</v>
      </c>
      <c r="AB17" s="80"/>
      <c r="AC17" s="4"/>
      <c r="AD17" s="82"/>
      <c r="AE17" s="4"/>
      <c r="AF17" s="78"/>
      <c r="AG17" s="58" t="s">
        <v>428</v>
      </c>
      <c r="AH17" s="43"/>
      <c r="AI17" s="4"/>
      <c r="AJ17" s="43"/>
      <c r="AK17" s="4"/>
      <c r="AL17" s="111"/>
      <c r="AM17" s="107" t="s">
        <v>527</v>
      </c>
      <c r="AN17" s="4"/>
      <c r="AO17" s="4"/>
    </row>
    <row r="18" spans="1:41" hidden="1" outlineLevel="1">
      <c r="A18" s="4" t="s">
        <v>458</v>
      </c>
      <c r="B18" s="4" t="str">
        <f>CoachNAqtrSalesOld!B20</f>
        <v>Dec</v>
      </c>
      <c r="C18" s="4"/>
      <c r="D18" s="14"/>
      <c r="E18" s="4"/>
      <c r="F18" s="14"/>
      <c r="G18" s="4"/>
      <c r="H18" s="14"/>
      <c r="I18" s="4"/>
      <c r="J18" s="14"/>
      <c r="K18" s="4"/>
      <c r="L18" s="21"/>
      <c r="M18" s="4"/>
      <c r="N18" s="21"/>
      <c r="O18" s="4"/>
      <c r="P18" s="21"/>
      <c r="Q18" s="4"/>
      <c r="R18" s="18"/>
      <c r="S18" s="4"/>
      <c r="T18" s="18"/>
      <c r="U18" s="4"/>
      <c r="V18" s="4">
        <f>CoachNAqtrSalesOld!L20</f>
        <v>0</v>
      </c>
      <c r="W18" s="4"/>
      <c r="X18" s="18"/>
      <c r="Y18" s="4"/>
      <c r="Z18" s="78"/>
      <c r="AA18" s="4"/>
      <c r="AB18" s="80"/>
      <c r="AC18" s="4"/>
      <c r="AD18" s="81"/>
      <c r="AE18" s="4"/>
      <c r="AF18" s="86"/>
      <c r="AG18" s="11"/>
      <c r="AH18" s="43"/>
      <c r="AI18" s="4"/>
      <c r="AJ18" s="43"/>
      <c r="AK18" s="4"/>
      <c r="AL18" s="111"/>
      <c r="AM18" s="107"/>
      <c r="AN18" s="4"/>
      <c r="AO18" s="4"/>
    </row>
    <row r="19" spans="1:41" hidden="1" outlineLevel="1">
      <c r="A19" s="4" t="s">
        <v>459</v>
      </c>
      <c r="B19" s="4" t="str">
        <f>CoachNAqtrSalesOld!B21</f>
        <v>Mar</v>
      </c>
      <c r="C19" s="4"/>
      <c r="D19" s="14"/>
      <c r="E19" s="4"/>
      <c r="F19" s="14"/>
      <c r="G19" s="4"/>
      <c r="H19" s="14"/>
      <c r="I19" s="4"/>
      <c r="J19" s="14"/>
      <c r="K19" s="4"/>
      <c r="L19" s="21"/>
      <c r="M19" s="4"/>
      <c r="N19" s="21"/>
      <c r="O19" s="4"/>
      <c r="P19" s="21"/>
      <c r="Q19" s="4"/>
      <c r="R19" s="18"/>
      <c r="S19" s="4"/>
      <c r="T19" s="18"/>
      <c r="U19" s="4"/>
      <c r="V19" s="4">
        <f>CoachNAqtrSalesOld!L21</f>
        <v>0</v>
      </c>
      <c r="W19" s="4"/>
      <c r="X19" s="18"/>
      <c r="Y19" s="4"/>
      <c r="Z19" s="78"/>
      <c r="AA19" s="4"/>
      <c r="AB19" s="83"/>
      <c r="AC19" s="4"/>
      <c r="AD19" s="81"/>
      <c r="AE19" s="4"/>
      <c r="AF19" s="87"/>
      <c r="AG19" s="11"/>
      <c r="AH19" s="43"/>
      <c r="AI19" s="4"/>
      <c r="AJ19" s="43"/>
      <c r="AK19" s="4"/>
      <c r="AL19" s="111"/>
      <c r="AM19" s="107"/>
      <c r="AN19" s="4"/>
      <c r="AO19" s="4"/>
    </row>
    <row r="20" spans="1:41" hidden="1" outlineLevel="1">
      <c r="A20" s="4" t="s">
        <v>460</v>
      </c>
      <c r="B20" s="4" t="str">
        <f>CoachNAqtrSalesOld!B22</f>
        <v>June</v>
      </c>
      <c r="C20" s="4"/>
      <c r="D20" s="17"/>
      <c r="E20" s="4"/>
      <c r="F20" s="17"/>
      <c r="G20" s="4"/>
      <c r="H20" s="14"/>
      <c r="I20" s="4"/>
      <c r="J20" s="17"/>
      <c r="K20" s="4"/>
      <c r="L20" s="44"/>
      <c r="M20" s="4"/>
      <c r="N20" s="78"/>
      <c r="O20" s="4"/>
      <c r="P20" s="21"/>
      <c r="Q20" s="4"/>
      <c r="R20" s="18"/>
      <c r="S20" s="4"/>
      <c r="T20" s="18"/>
      <c r="U20" s="4"/>
      <c r="V20" s="4">
        <f>CoachNAqtrSalesOld!L22</f>
        <v>0</v>
      </c>
      <c r="W20" s="4"/>
      <c r="X20" s="18"/>
      <c r="Y20" s="4"/>
      <c r="Z20" s="78"/>
      <c r="AA20" s="4"/>
      <c r="AB20" s="83"/>
      <c r="AC20" s="4"/>
      <c r="AD20" s="81"/>
      <c r="AE20" s="4"/>
      <c r="AF20" s="87"/>
      <c r="AG20" s="11"/>
      <c r="AH20" s="43"/>
      <c r="AI20" s="4"/>
      <c r="AJ20" s="43"/>
      <c r="AK20" s="4"/>
      <c r="AL20" s="111"/>
      <c r="AM20" s="108"/>
      <c r="AN20" s="4"/>
      <c r="AO20" s="4"/>
    </row>
    <row r="21" spans="1:41" hidden="1" outlineLevel="1">
      <c r="A21" s="4"/>
      <c r="B21" s="4" t="str">
        <f>CoachNAqtrSalesOld!B23</f>
        <v>Year</v>
      </c>
      <c r="C21" s="4"/>
      <c r="D21" s="13">
        <f>'qtrP&amp;L'!H14</f>
        <v>512.64499999999998</v>
      </c>
      <c r="E21" s="4"/>
      <c r="F21" s="13">
        <f>'qtrP&amp;L'!H24</f>
        <v>211.977</v>
      </c>
      <c r="G21" s="4"/>
      <c r="H21" s="4"/>
      <c r="I21" s="4"/>
      <c r="J21" s="13"/>
      <c r="K21" s="4"/>
      <c r="L21" s="21">
        <f>(D21/D14-1)*100</f>
        <v>29.776644785973396</v>
      </c>
      <c r="M21" s="4"/>
      <c r="N21" s="4"/>
      <c r="O21" s="4"/>
      <c r="P21" s="4"/>
      <c r="Q21" s="4"/>
      <c r="R21" s="79"/>
      <c r="S21" s="77" t="s">
        <v>527</v>
      </c>
      <c r="T21" s="18"/>
      <c r="U21" s="4"/>
      <c r="V21" s="4"/>
      <c r="W21" s="4"/>
      <c r="X21" s="4"/>
      <c r="Y21" s="4"/>
      <c r="Z21" s="4"/>
      <c r="AA21" s="4"/>
      <c r="AB21" s="4"/>
      <c r="AC21" s="4"/>
      <c r="AD21" s="4"/>
      <c r="AE21" s="4"/>
      <c r="AF21" s="4"/>
      <c r="AG21" s="4"/>
      <c r="AH21" s="4"/>
      <c r="AI21" s="4"/>
      <c r="AJ21" s="4"/>
      <c r="AK21" s="4"/>
      <c r="AL21" s="112"/>
      <c r="AM21" s="110" t="s">
        <v>527</v>
      </c>
      <c r="AN21" s="4"/>
      <c r="AO21" s="4"/>
    </row>
    <row r="22" spans="1:41" hidden="1" outlineLevel="1">
      <c r="A22" s="36"/>
      <c r="B22" s="36"/>
      <c r="C22" s="36"/>
      <c r="D22" s="37"/>
      <c r="E22" s="36"/>
      <c r="F22" s="37"/>
      <c r="G22" s="36"/>
      <c r="H22" s="37"/>
      <c r="I22" s="36"/>
      <c r="J22" s="37"/>
      <c r="K22" s="36"/>
      <c r="L22" s="37"/>
      <c r="M22" s="36"/>
      <c r="N22" s="37"/>
      <c r="O22" s="36"/>
      <c r="P22" s="37"/>
      <c r="Q22" s="36"/>
      <c r="R22" s="37"/>
      <c r="S22" s="36"/>
      <c r="T22" s="37"/>
      <c r="U22" s="36"/>
      <c r="V22" s="37"/>
      <c r="W22" s="36"/>
      <c r="X22" s="37"/>
      <c r="Y22" s="36"/>
      <c r="Z22" s="37"/>
      <c r="AA22" s="36"/>
      <c r="AB22" s="37"/>
      <c r="AC22" s="36"/>
      <c r="AD22" s="37"/>
      <c r="AE22" s="36"/>
      <c r="AF22" s="37"/>
      <c r="AG22" s="36"/>
      <c r="AH22" s="37"/>
      <c r="AI22" s="36"/>
      <c r="AJ22" s="37"/>
      <c r="AK22" s="36"/>
      <c r="AL22" s="37"/>
      <c r="AM22" s="103"/>
      <c r="AN22" s="36"/>
      <c r="AO22" s="36"/>
    </row>
    <row r="23" spans="1:41" hidden="1" outlineLevel="1">
      <c r="A23" s="4"/>
      <c r="B23" s="40">
        <f>CoachNAqtrSalesOld!B25</f>
        <v>1997</v>
      </c>
      <c r="C23" s="4"/>
      <c r="D23" s="4"/>
      <c r="E23" s="4"/>
      <c r="F23" s="4"/>
      <c r="G23" s="4"/>
      <c r="H23" s="4"/>
      <c r="I23" s="4"/>
      <c r="J23" s="4"/>
      <c r="K23" s="4"/>
      <c r="L23" s="4"/>
      <c r="M23" s="4"/>
      <c r="N23" s="4"/>
      <c r="O23" s="58"/>
      <c r="P23" s="4"/>
      <c r="Q23" s="58"/>
      <c r="R23" s="4"/>
      <c r="S23" s="4"/>
      <c r="T23" s="18"/>
      <c r="U23" s="4"/>
      <c r="V23" s="4"/>
      <c r="W23" s="4"/>
      <c r="X23" s="4"/>
      <c r="Y23" s="4"/>
      <c r="Z23" s="4"/>
      <c r="AA23" s="58"/>
      <c r="AB23" s="4"/>
      <c r="AC23" s="4"/>
      <c r="AD23" s="4"/>
      <c r="AE23" s="4"/>
      <c r="AF23" s="4"/>
      <c r="AG23" s="58"/>
      <c r="AH23" s="4"/>
      <c r="AI23" s="4"/>
      <c r="AJ23" s="4"/>
      <c r="AK23" s="4"/>
      <c r="AL23" s="4"/>
      <c r="AM23" s="4"/>
      <c r="AN23" s="4"/>
      <c r="AO23" s="4"/>
    </row>
    <row r="24" spans="1:41" hidden="1" outlineLevel="1">
      <c r="A24" s="4" t="s">
        <v>457</v>
      </c>
      <c r="B24" s="4" t="str">
        <f>CoachNAqtrSalesOld!B26</f>
        <v>Sept</v>
      </c>
      <c r="C24" s="4"/>
      <c r="D24" s="13"/>
      <c r="E24" s="4"/>
      <c r="F24" s="13"/>
      <c r="G24" s="4"/>
      <c r="H24" s="13"/>
      <c r="I24" s="4"/>
      <c r="J24" s="13"/>
      <c r="K24" s="4"/>
      <c r="L24" s="21"/>
      <c r="M24" s="4" t="s">
        <v>428</v>
      </c>
      <c r="N24" s="21"/>
      <c r="O24" s="58" t="s">
        <v>428</v>
      </c>
      <c r="P24" s="21"/>
      <c r="Q24" s="58" t="s">
        <v>428</v>
      </c>
      <c r="R24" s="18"/>
      <c r="S24" s="4" t="s">
        <v>527</v>
      </c>
      <c r="T24" s="18"/>
      <c r="U24" s="4"/>
      <c r="V24" s="4">
        <f>CoachNAqtrSalesOld!L26</f>
        <v>0</v>
      </c>
      <c r="W24" s="4"/>
      <c r="X24" s="15"/>
      <c r="Y24" s="4"/>
      <c r="Z24" s="78"/>
      <c r="AA24" s="58" t="s">
        <v>428</v>
      </c>
      <c r="AB24" s="80"/>
      <c r="AC24" s="4"/>
      <c r="AD24" s="82"/>
      <c r="AE24" s="4"/>
      <c r="AF24" s="78"/>
      <c r="AG24" s="58" t="s">
        <v>428</v>
      </c>
      <c r="AH24" s="43"/>
      <c r="AI24" s="4"/>
      <c r="AJ24" s="43"/>
      <c r="AK24" s="4"/>
      <c r="AL24" s="111"/>
      <c r="AM24" s="107" t="s">
        <v>527</v>
      </c>
      <c r="AN24" s="4"/>
      <c r="AO24" s="4"/>
    </row>
    <row r="25" spans="1:41" hidden="1" outlineLevel="1">
      <c r="A25" s="4" t="s">
        <v>458</v>
      </c>
      <c r="B25" s="4" t="str">
        <f>CoachNAqtrSalesOld!B27</f>
        <v>Dec</v>
      </c>
      <c r="C25" s="4"/>
      <c r="D25" s="14"/>
      <c r="E25" s="4"/>
      <c r="F25" s="14"/>
      <c r="G25" s="4"/>
      <c r="H25" s="14"/>
      <c r="I25" s="4"/>
      <c r="J25" s="14"/>
      <c r="K25" s="4"/>
      <c r="L25" s="21"/>
      <c r="M25" s="4"/>
      <c r="N25" s="21"/>
      <c r="O25" s="4"/>
      <c r="P25" s="21"/>
      <c r="Q25" s="4"/>
      <c r="R25" s="18"/>
      <c r="S25" s="4"/>
      <c r="T25" s="18"/>
      <c r="U25" s="4"/>
      <c r="V25" s="4">
        <f>CoachNAqtrSalesOld!L27</f>
        <v>0</v>
      </c>
      <c r="W25" s="4"/>
      <c r="X25" s="18"/>
      <c r="Y25" s="4"/>
      <c r="Z25" s="78"/>
      <c r="AA25" s="4"/>
      <c r="AB25" s="80"/>
      <c r="AC25" s="4"/>
      <c r="AD25" s="81"/>
      <c r="AE25" s="4"/>
      <c r="AF25" s="86"/>
      <c r="AG25" s="11"/>
      <c r="AH25" s="43"/>
      <c r="AI25" s="4"/>
      <c r="AJ25" s="43"/>
      <c r="AK25" s="4"/>
      <c r="AL25" s="111"/>
      <c r="AM25" s="107"/>
      <c r="AN25" s="4"/>
      <c r="AO25" s="4"/>
    </row>
    <row r="26" spans="1:41" hidden="1" outlineLevel="1">
      <c r="A26" s="4" t="s">
        <v>459</v>
      </c>
      <c r="B26" s="4" t="str">
        <f>CoachNAqtrSalesOld!B28</f>
        <v>Mar</v>
      </c>
      <c r="C26" s="4"/>
      <c r="D26" s="14"/>
      <c r="E26" s="4"/>
      <c r="F26" s="14"/>
      <c r="G26" s="4"/>
      <c r="H26" s="14"/>
      <c r="I26" s="4"/>
      <c r="J26" s="14"/>
      <c r="K26" s="4"/>
      <c r="L26" s="21"/>
      <c r="M26" s="4"/>
      <c r="N26" s="21"/>
      <c r="O26" s="4"/>
      <c r="P26" s="21"/>
      <c r="Q26" s="4"/>
      <c r="R26" s="18"/>
      <c r="S26" s="4"/>
      <c r="T26" s="18"/>
      <c r="U26" s="4"/>
      <c r="V26" s="4">
        <f>CoachNAqtrSalesOld!L28</f>
        <v>0</v>
      </c>
      <c r="W26" s="4"/>
      <c r="X26" s="18"/>
      <c r="Y26" s="4"/>
      <c r="Z26" s="78"/>
      <c r="AA26" s="4"/>
      <c r="AB26" s="83"/>
      <c r="AC26" s="4"/>
      <c r="AD26" s="81"/>
      <c r="AE26" s="4"/>
      <c r="AF26" s="87"/>
      <c r="AG26" s="11"/>
      <c r="AH26" s="43"/>
      <c r="AI26" s="4"/>
      <c r="AJ26" s="43"/>
      <c r="AK26" s="4"/>
      <c r="AL26" s="111"/>
      <c r="AM26" s="107"/>
      <c r="AN26" s="4"/>
      <c r="AO26" s="4"/>
    </row>
    <row r="27" spans="1:41" hidden="1" outlineLevel="1">
      <c r="A27" s="4" t="s">
        <v>460</v>
      </c>
      <c r="B27" s="4" t="str">
        <f>CoachNAqtrSalesOld!B29</f>
        <v>June</v>
      </c>
      <c r="C27" s="4"/>
      <c r="D27" s="17"/>
      <c r="E27" s="4"/>
      <c r="F27" s="17"/>
      <c r="G27" s="4"/>
      <c r="H27" s="14"/>
      <c r="I27" s="4"/>
      <c r="J27" s="17"/>
      <c r="K27" s="4"/>
      <c r="L27" s="44"/>
      <c r="M27" s="4"/>
      <c r="N27" s="78"/>
      <c r="O27" s="4"/>
      <c r="P27" s="21"/>
      <c r="Q27" s="4"/>
      <c r="R27" s="18"/>
      <c r="S27" s="4"/>
      <c r="T27" s="18"/>
      <c r="U27" s="4"/>
      <c r="V27" s="4">
        <f>CoachNAqtrSalesOld!L29</f>
        <v>0</v>
      </c>
      <c r="W27" s="4"/>
      <c r="X27" s="18"/>
      <c r="Y27" s="4"/>
      <c r="Z27" s="78"/>
      <c r="AA27" s="4"/>
      <c r="AB27" s="83"/>
      <c r="AC27" s="4"/>
      <c r="AD27" s="81"/>
      <c r="AE27" s="4"/>
      <c r="AF27" s="87"/>
      <c r="AG27" s="11"/>
      <c r="AH27" s="43"/>
      <c r="AI27" s="4"/>
      <c r="AJ27" s="43"/>
      <c r="AK27" s="4"/>
      <c r="AL27" s="111"/>
      <c r="AM27" s="108"/>
      <c r="AN27" s="4"/>
      <c r="AO27" s="4"/>
    </row>
    <row r="28" spans="1:41" hidden="1" outlineLevel="1">
      <c r="A28" s="4"/>
      <c r="B28" s="4" t="str">
        <f>CoachNAqtrSalesOld!B30</f>
        <v>Year</v>
      </c>
      <c r="C28" s="4"/>
      <c r="D28" s="13">
        <f>'qtrP&amp;L'!L14</f>
        <v>540.36599999999999</v>
      </c>
      <c r="E28" s="4"/>
      <c r="F28" s="13">
        <f>'qtrP&amp;L'!L24</f>
        <v>227.08600000000001</v>
      </c>
      <c r="G28" s="4"/>
      <c r="H28" s="4"/>
      <c r="I28" s="4"/>
      <c r="J28" s="13"/>
      <c r="K28" s="4"/>
      <c r="L28" s="21">
        <f>(D28/D21-1)*100</f>
        <v>5.4074456982902364</v>
      </c>
      <c r="M28" s="4"/>
      <c r="N28" s="4"/>
      <c r="O28" s="4"/>
      <c r="P28" s="4"/>
      <c r="Q28" s="4"/>
      <c r="R28" s="79"/>
      <c r="S28" s="77" t="s">
        <v>527</v>
      </c>
      <c r="T28" s="18"/>
      <c r="U28" s="4"/>
      <c r="V28" s="4"/>
      <c r="W28" s="4"/>
      <c r="X28" s="4"/>
      <c r="Y28" s="4"/>
      <c r="Z28" s="4"/>
      <c r="AA28" s="4"/>
      <c r="AB28" s="4"/>
      <c r="AC28" s="4"/>
      <c r="AD28" s="4"/>
      <c r="AE28" s="4"/>
      <c r="AF28" s="4"/>
      <c r="AG28" s="4"/>
      <c r="AH28" s="4"/>
      <c r="AI28" s="4"/>
      <c r="AJ28" s="4"/>
      <c r="AK28" s="4"/>
      <c r="AL28" s="112"/>
      <c r="AM28" s="110" t="s">
        <v>527</v>
      </c>
      <c r="AN28" s="4"/>
      <c r="AO28" s="4"/>
    </row>
    <row r="29" spans="1:41" hidden="1" outlineLevel="1">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row>
    <row r="30" spans="1:41" hidden="1" outlineLevel="1">
      <c r="A30" s="4"/>
      <c r="B30" s="40">
        <f>CoachNAqtrSalesOld!B32</f>
        <v>1998</v>
      </c>
      <c r="C30" s="4"/>
      <c r="D30" s="4"/>
      <c r="E30" s="4"/>
      <c r="F30" s="4"/>
      <c r="G30" s="4"/>
      <c r="H30" s="4"/>
      <c r="I30" s="4"/>
      <c r="J30" s="4"/>
      <c r="K30" s="4"/>
      <c r="L30" s="4"/>
      <c r="M30" s="4"/>
      <c r="N30" s="4"/>
      <c r="O30" s="58"/>
      <c r="P30" s="4"/>
      <c r="Q30" s="58"/>
      <c r="R30" s="4"/>
      <c r="S30" s="4"/>
      <c r="T30" s="18"/>
      <c r="U30" s="4"/>
      <c r="V30" s="4"/>
      <c r="W30" s="4"/>
      <c r="X30" s="4"/>
      <c r="Y30" s="4"/>
      <c r="Z30" s="4"/>
      <c r="AA30" s="58"/>
      <c r="AB30" s="4"/>
      <c r="AC30" s="4"/>
      <c r="AD30" s="4"/>
      <c r="AE30" s="4"/>
      <c r="AF30" s="4"/>
      <c r="AG30" s="58"/>
      <c r="AH30" s="4"/>
      <c r="AI30" s="4"/>
      <c r="AJ30" s="4"/>
      <c r="AK30" s="4"/>
      <c r="AL30" s="4"/>
      <c r="AM30" s="4"/>
      <c r="AN30" s="4"/>
      <c r="AO30" s="4"/>
    </row>
    <row r="31" spans="1:41" hidden="1" outlineLevel="1">
      <c r="A31" s="4" t="s">
        <v>457</v>
      </c>
      <c r="B31" s="4" t="str">
        <f>CoachNAqtrSalesOld!B33</f>
        <v>Sept</v>
      </c>
      <c r="C31" s="4"/>
      <c r="D31" s="13"/>
      <c r="E31" s="4"/>
      <c r="F31" s="13"/>
      <c r="G31" s="4"/>
      <c r="H31" s="13"/>
      <c r="I31" s="4"/>
      <c r="J31" s="13"/>
      <c r="K31" s="4"/>
      <c r="L31" s="21"/>
      <c r="M31" s="4" t="s">
        <v>428</v>
      </c>
      <c r="N31" s="21"/>
      <c r="O31" s="58" t="s">
        <v>428</v>
      </c>
      <c r="P31" s="21"/>
      <c r="Q31" s="58" t="s">
        <v>428</v>
      </c>
      <c r="R31" s="18"/>
      <c r="S31" s="4" t="s">
        <v>527</v>
      </c>
      <c r="T31" s="18"/>
      <c r="U31" s="4"/>
      <c r="V31" s="4">
        <f>CoachNAqtrSalesOld!L33</f>
        <v>0</v>
      </c>
      <c r="W31" s="4"/>
      <c r="X31" s="15"/>
      <c r="Y31" s="4"/>
      <c r="Z31" s="78"/>
      <c r="AA31" s="58" t="s">
        <v>428</v>
      </c>
      <c r="AB31" s="80"/>
      <c r="AC31" s="4"/>
      <c r="AD31" s="82"/>
      <c r="AE31" s="4"/>
      <c r="AF31" s="78"/>
      <c r="AG31" s="58" t="s">
        <v>428</v>
      </c>
      <c r="AH31" s="43"/>
      <c r="AI31" s="4"/>
      <c r="AJ31" s="43"/>
      <c r="AK31" s="4"/>
      <c r="AL31" s="111"/>
      <c r="AM31" s="107" t="s">
        <v>527</v>
      </c>
      <c r="AN31" s="4"/>
      <c r="AO31" s="4"/>
    </row>
    <row r="32" spans="1:41" hidden="1" outlineLevel="1">
      <c r="A32" s="4" t="s">
        <v>458</v>
      </c>
      <c r="B32" s="4" t="str">
        <f>CoachNAqtrSalesOld!B34</f>
        <v>Dec</v>
      </c>
      <c r="C32" s="4"/>
      <c r="D32" s="14"/>
      <c r="E32" s="4"/>
      <c r="F32" s="14"/>
      <c r="G32" s="4"/>
      <c r="H32" s="14"/>
      <c r="I32" s="4"/>
      <c r="J32" s="14"/>
      <c r="K32" s="4"/>
      <c r="L32" s="21"/>
      <c r="M32" s="4"/>
      <c r="N32" s="21"/>
      <c r="O32" s="4"/>
      <c r="P32" s="21"/>
      <c r="Q32" s="4"/>
      <c r="R32" s="18"/>
      <c r="S32" s="4"/>
      <c r="T32" s="18"/>
      <c r="U32" s="4"/>
      <c r="V32" s="4">
        <f>CoachNAqtrSalesOld!L34</f>
        <v>0</v>
      </c>
      <c r="W32" s="4"/>
      <c r="X32" s="18"/>
      <c r="Y32" s="4"/>
      <c r="Z32" s="78"/>
      <c r="AA32" s="4"/>
      <c r="AB32" s="80"/>
      <c r="AC32" s="4"/>
      <c r="AD32" s="81"/>
      <c r="AE32" s="4"/>
      <c r="AF32" s="86"/>
      <c r="AG32" s="11"/>
      <c r="AH32" s="43"/>
      <c r="AI32" s="4"/>
      <c r="AJ32" s="43"/>
      <c r="AK32" s="4"/>
      <c r="AL32" s="111"/>
      <c r="AM32" s="107"/>
      <c r="AN32" s="4"/>
      <c r="AO32" s="4"/>
    </row>
    <row r="33" spans="1:41" hidden="1" outlineLevel="1">
      <c r="A33" s="4" t="s">
        <v>459</v>
      </c>
      <c r="B33" s="4" t="str">
        <f>CoachNAqtrSalesOld!B35</f>
        <v>Mar</v>
      </c>
      <c r="C33" s="4"/>
      <c r="D33" s="14"/>
      <c r="E33" s="4"/>
      <c r="F33" s="14"/>
      <c r="G33" s="4"/>
      <c r="H33" s="14"/>
      <c r="I33" s="4"/>
      <c r="J33" s="14"/>
      <c r="K33" s="4"/>
      <c r="L33" s="21"/>
      <c r="M33" s="4"/>
      <c r="N33" s="21"/>
      <c r="O33" s="4"/>
      <c r="P33" s="21"/>
      <c r="Q33" s="4"/>
      <c r="R33" s="18"/>
      <c r="S33" s="4"/>
      <c r="T33" s="18"/>
      <c r="U33" s="4"/>
      <c r="V33" s="4">
        <f>CoachNAqtrSalesOld!L35</f>
        <v>0</v>
      </c>
      <c r="W33" s="4"/>
      <c r="X33" s="18"/>
      <c r="Y33" s="4"/>
      <c r="Z33" s="78"/>
      <c r="AA33" s="4"/>
      <c r="AB33" s="83"/>
      <c r="AC33" s="4"/>
      <c r="AD33" s="81"/>
      <c r="AE33" s="4"/>
      <c r="AF33" s="87"/>
      <c r="AG33" s="11"/>
      <c r="AH33" s="43"/>
      <c r="AI33" s="4"/>
      <c r="AJ33" s="43"/>
      <c r="AK33" s="4"/>
      <c r="AL33" s="111"/>
      <c r="AM33" s="107"/>
      <c r="AN33" s="4"/>
      <c r="AO33" s="4"/>
    </row>
    <row r="34" spans="1:41" hidden="1" outlineLevel="1">
      <c r="A34" s="4" t="s">
        <v>460</v>
      </c>
      <c r="B34" s="4" t="str">
        <f>CoachNAqtrSalesOld!B36</f>
        <v>June</v>
      </c>
      <c r="C34" s="4"/>
      <c r="D34" s="17"/>
      <c r="E34" s="4"/>
      <c r="F34" s="17"/>
      <c r="G34" s="4"/>
      <c r="H34" s="14"/>
      <c r="I34" s="4"/>
      <c r="J34" s="17"/>
      <c r="K34" s="4"/>
      <c r="L34" s="44"/>
      <c r="M34" s="4"/>
      <c r="N34" s="78"/>
      <c r="O34" s="4"/>
      <c r="P34" s="21"/>
      <c r="Q34" s="4"/>
      <c r="R34" s="18"/>
      <c r="S34" s="4"/>
      <c r="T34" s="18"/>
      <c r="U34" s="4"/>
      <c r="V34" s="4">
        <f>CoachNAqtrSalesOld!L36</f>
        <v>162</v>
      </c>
      <c r="W34" s="4"/>
      <c r="X34" s="18"/>
      <c r="Y34" s="4"/>
      <c r="Z34" s="78"/>
      <c r="AA34" s="4"/>
      <c r="AB34" s="83"/>
      <c r="AC34" s="4"/>
      <c r="AD34" s="81"/>
      <c r="AE34" s="4"/>
      <c r="AF34" s="87"/>
      <c r="AG34" s="11"/>
      <c r="AH34" s="43"/>
      <c r="AI34" s="4"/>
      <c r="AJ34" s="43"/>
      <c r="AK34" s="4"/>
      <c r="AL34" s="111"/>
      <c r="AM34" s="108"/>
      <c r="AN34" s="4"/>
      <c r="AO34" s="4"/>
    </row>
    <row r="35" spans="1:41" hidden="1" outlineLevel="1">
      <c r="A35" s="4"/>
      <c r="B35" s="4" t="str">
        <f>CoachNAqtrSalesOld!B37</f>
        <v>Year</v>
      </c>
      <c r="C35" s="4"/>
      <c r="D35" s="13">
        <f>'qtrP&amp;L'!P14</f>
        <v>513.91499999999996</v>
      </c>
      <c r="E35" s="4"/>
      <c r="F35" s="13">
        <f>'qtrP&amp;L'!P24</f>
        <v>235.512</v>
      </c>
      <c r="G35" s="4"/>
      <c r="H35" s="4"/>
      <c r="I35" s="4"/>
      <c r="J35" s="13"/>
      <c r="K35" s="4"/>
      <c r="L35" s="21">
        <f>(D35/D28-1)*100</f>
        <v>-4.8950156005374224</v>
      </c>
      <c r="M35" s="4"/>
      <c r="N35" s="4"/>
      <c r="O35" s="4"/>
      <c r="P35" s="4"/>
      <c r="Q35" s="4"/>
      <c r="R35" s="79"/>
      <c r="S35" s="77" t="s">
        <v>527</v>
      </c>
      <c r="T35" s="18"/>
      <c r="U35" s="4"/>
      <c r="V35" s="4"/>
      <c r="W35" s="4"/>
      <c r="X35" s="4"/>
      <c r="Y35" s="4"/>
      <c r="Z35" s="4"/>
      <c r="AA35" s="4"/>
      <c r="AB35" s="4"/>
      <c r="AC35" s="4"/>
      <c r="AD35" s="4"/>
      <c r="AE35" s="4"/>
      <c r="AF35" s="4"/>
      <c r="AG35" s="4"/>
      <c r="AH35" s="4"/>
      <c r="AI35" s="4"/>
      <c r="AJ35" s="4"/>
      <c r="AK35" s="4"/>
      <c r="AL35" s="112"/>
      <c r="AM35" s="110" t="s">
        <v>527</v>
      </c>
      <c r="AN35" s="4"/>
      <c r="AO35" s="4"/>
    </row>
    <row r="36" spans="1:41" hidden="1" outlineLevel="1">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row>
    <row r="37" spans="1:41" hidden="1" outlineLevel="1">
      <c r="A37" s="4"/>
      <c r="B37" s="40">
        <f>CoachNAqtrSalesOld!B39</f>
        <v>1999</v>
      </c>
      <c r="C37" s="4"/>
      <c r="D37" s="4"/>
      <c r="E37" s="4"/>
      <c r="F37" s="4"/>
      <c r="G37" s="4"/>
      <c r="H37" s="4"/>
      <c r="I37" s="4"/>
      <c r="J37" s="4"/>
      <c r="K37" s="4"/>
      <c r="L37" s="4"/>
      <c r="M37" s="4"/>
      <c r="N37" s="4"/>
      <c r="O37" s="58"/>
      <c r="P37" s="4"/>
      <c r="Q37" s="58"/>
      <c r="R37" s="4"/>
      <c r="S37" s="4"/>
      <c r="T37" s="18"/>
      <c r="U37" s="4"/>
      <c r="V37" s="4"/>
      <c r="W37" s="4"/>
      <c r="X37" s="4"/>
      <c r="Y37" s="4"/>
      <c r="Z37" s="4"/>
      <c r="AA37" s="58"/>
      <c r="AB37" s="4"/>
      <c r="AC37" s="4"/>
      <c r="AD37" s="4"/>
      <c r="AE37" s="4"/>
      <c r="AF37" s="4"/>
      <c r="AG37" s="58"/>
      <c r="AH37" s="4"/>
      <c r="AI37" s="4"/>
      <c r="AJ37" s="4"/>
      <c r="AK37" s="4"/>
      <c r="AL37" s="4"/>
      <c r="AM37" s="4"/>
      <c r="AN37" s="4"/>
      <c r="AO37" s="4"/>
    </row>
    <row r="38" spans="1:41" hidden="1" outlineLevel="1">
      <c r="A38" s="4" t="s">
        <v>457</v>
      </c>
      <c r="B38" s="4" t="str">
        <f>CoachNAqtrSalesOld!B40</f>
        <v>Sept</v>
      </c>
      <c r="C38" s="4"/>
      <c r="D38" s="13"/>
      <c r="E38" s="4"/>
      <c r="F38" s="13"/>
      <c r="G38" s="4"/>
      <c r="H38" s="13"/>
      <c r="I38" s="4"/>
      <c r="J38" s="13"/>
      <c r="K38" s="4"/>
      <c r="L38" s="21"/>
      <c r="M38" s="4" t="s">
        <v>428</v>
      </c>
      <c r="N38" s="21"/>
      <c r="O38" s="58" t="s">
        <v>428</v>
      </c>
      <c r="P38" s="21"/>
      <c r="Q38" s="58" t="s">
        <v>428</v>
      </c>
      <c r="R38" s="18"/>
      <c r="S38" s="4" t="s">
        <v>527</v>
      </c>
      <c r="T38" s="18"/>
      <c r="U38" s="4"/>
      <c r="V38" s="4">
        <f>CoachNAqtrSalesOld!L40</f>
        <v>0</v>
      </c>
      <c r="W38" s="4"/>
      <c r="X38" s="15"/>
      <c r="Y38" s="4"/>
      <c r="Z38" s="78"/>
      <c r="AA38" s="58" t="s">
        <v>428</v>
      </c>
      <c r="AB38" s="80"/>
      <c r="AC38" s="4"/>
      <c r="AD38" s="82"/>
      <c r="AE38" s="4"/>
      <c r="AF38" s="78"/>
      <c r="AG38" s="58" t="s">
        <v>428</v>
      </c>
      <c r="AH38" s="43"/>
      <c r="AI38" s="4"/>
      <c r="AJ38" s="43"/>
      <c r="AK38" s="4"/>
      <c r="AL38" s="111" t="e">
        <f>((F38-('yrP&amp;L'!#REF!/4))/J38)</f>
        <v>#REF!</v>
      </c>
      <c r="AM38" s="107" t="s">
        <v>527</v>
      </c>
      <c r="AN38" s="4"/>
      <c r="AO38" s="4"/>
    </row>
    <row r="39" spans="1:41" hidden="1" outlineLevel="1">
      <c r="A39" s="4" t="s">
        <v>458</v>
      </c>
      <c r="B39" s="4" t="str">
        <f>CoachNAqtrSalesOld!B41</f>
        <v>Dec</v>
      </c>
      <c r="C39" s="4"/>
      <c r="D39" s="14"/>
      <c r="E39" s="4"/>
      <c r="F39" s="14"/>
      <c r="G39" s="4"/>
      <c r="H39" s="14"/>
      <c r="I39" s="4"/>
      <c r="J39" s="14"/>
      <c r="K39" s="4"/>
      <c r="L39" s="21"/>
      <c r="M39" s="4"/>
      <c r="N39" s="21"/>
      <c r="O39" s="4"/>
      <c r="P39" s="21"/>
      <c r="Q39" s="4"/>
      <c r="R39" s="18"/>
      <c r="S39" s="4"/>
      <c r="T39" s="18"/>
      <c r="U39" s="4"/>
      <c r="V39" s="4">
        <f>CoachNAqtrSalesOld!L41</f>
        <v>0</v>
      </c>
      <c r="W39" s="4"/>
      <c r="X39" s="18"/>
      <c r="Y39" s="4"/>
      <c r="Z39" s="78"/>
      <c r="AA39" s="4"/>
      <c r="AB39" s="80"/>
      <c r="AC39" s="4"/>
      <c r="AD39" s="81"/>
      <c r="AE39" s="4"/>
      <c r="AF39" s="86"/>
      <c r="AG39" s="11"/>
      <c r="AH39" s="43"/>
      <c r="AI39" s="4"/>
      <c r="AJ39" s="43"/>
      <c r="AK39" s="4"/>
      <c r="AL39" s="111" t="e">
        <f>((F39-('yrP&amp;L'!#REF!/4))/J39)</f>
        <v>#REF!</v>
      </c>
      <c r="AM39" s="107"/>
      <c r="AN39" s="4"/>
      <c r="AO39" s="4"/>
    </row>
    <row r="40" spans="1:41" hidden="1" outlineLevel="1">
      <c r="A40" s="4" t="s">
        <v>459</v>
      </c>
      <c r="B40" s="4" t="str">
        <f>CoachNAqtrSalesOld!B42</f>
        <v>Mar</v>
      </c>
      <c r="C40" s="4"/>
      <c r="D40" s="14"/>
      <c r="E40" s="4"/>
      <c r="F40" s="14"/>
      <c r="G40" s="4"/>
      <c r="H40" s="14"/>
      <c r="I40" s="4"/>
      <c r="J40" s="14"/>
      <c r="K40" s="4"/>
      <c r="L40" s="21"/>
      <c r="M40" s="4"/>
      <c r="N40" s="21"/>
      <c r="O40" s="4"/>
      <c r="P40" s="21"/>
      <c r="Q40" s="4"/>
      <c r="R40" s="18"/>
      <c r="S40" s="4"/>
      <c r="T40" s="18"/>
      <c r="U40" s="4"/>
      <c r="V40" s="4">
        <f>CoachNAqtrSalesOld!L42</f>
        <v>0</v>
      </c>
      <c r="W40" s="4"/>
      <c r="X40" s="18"/>
      <c r="Y40" s="4"/>
      <c r="Z40" s="78"/>
      <c r="AA40" s="4"/>
      <c r="AB40" s="83"/>
      <c r="AC40" s="4"/>
      <c r="AD40" s="81"/>
      <c r="AE40" s="4"/>
      <c r="AF40" s="87"/>
      <c r="AG40" s="11"/>
      <c r="AH40" s="43"/>
      <c r="AI40" s="4"/>
      <c r="AJ40" s="43"/>
      <c r="AK40" s="4"/>
      <c r="AL40" s="111" t="e">
        <f>((F40-('yrP&amp;L'!#REF!/4))/J40)</f>
        <v>#REF!</v>
      </c>
      <c r="AM40" s="107"/>
      <c r="AN40" s="4"/>
      <c r="AO40" s="4"/>
    </row>
    <row r="41" spans="1:41" hidden="1" outlineLevel="1">
      <c r="A41" s="4" t="s">
        <v>460</v>
      </c>
      <c r="B41" s="4" t="str">
        <f>CoachNAqtrSalesOld!B43</f>
        <v>June</v>
      </c>
      <c r="C41" s="4"/>
      <c r="D41" s="17"/>
      <c r="E41" s="4"/>
      <c r="F41" s="17"/>
      <c r="G41" s="4"/>
      <c r="H41" s="14"/>
      <c r="I41" s="4"/>
      <c r="J41" s="17"/>
      <c r="K41" s="4"/>
      <c r="L41" s="44"/>
      <c r="M41" s="4"/>
      <c r="N41" s="78"/>
      <c r="O41" s="4"/>
      <c r="P41" s="21"/>
      <c r="Q41" s="4"/>
      <c r="R41" s="18"/>
      <c r="S41" s="4"/>
      <c r="T41" s="18"/>
      <c r="U41" s="4"/>
      <c r="V41" s="4">
        <f>CoachNAqtrSalesOld!L43</f>
        <v>163</v>
      </c>
      <c r="W41" s="4"/>
      <c r="X41" s="18">
        <f>H41/V41</f>
        <v>0</v>
      </c>
      <c r="Y41" s="4"/>
      <c r="Z41" s="78"/>
      <c r="AA41" s="4"/>
      <c r="AB41" s="83">
        <f>CoachNAqtrSalesOld!AG43</f>
        <v>0.37208200000000002</v>
      </c>
      <c r="AC41" s="4"/>
      <c r="AD41" s="81">
        <f>H41/AB41</f>
        <v>0</v>
      </c>
      <c r="AE41" s="4"/>
      <c r="AF41" s="87"/>
      <c r="AG41" s="11"/>
      <c r="AH41" s="43"/>
      <c r="AI41" s="4"/>
      <c r="AJ41" s="43">
        <f>H41/(F45/(365/4))</f>
        <v>0</v>
      </c>
      <c r="AK41" s="4"/>
      <c r="AL41" s="111" t="e">
        <f>((F41-('yrP&amp;L'!#REF!/4))/J41)</f>
        <v>#REF!</v>
      </c>
      <c r="AM41" s="108"/>
      <c r="AN41" s="4"/>
      <c r="AO41" s="4"/>
    </row>
    <row r="42" spans="1:41" hidden="1" outlineLevel="1">
      <c r="A42" s="4"/>
      <c r="B42" s="4" t="str">
        <f>CoachNAqtrSalesOld!B44</f>
        <v>Year</v>
      </c>
      <c r="C42" s="4"/>
      <c r="D42" s="13">
        <f>'qtrP&amp;L'!T14</f>
        <v>500.94400000000002</v>
      </c>
      <c r="E42" s="4"/>
      <c r="F42" s="13">
        <f>'qtrP&amp;L'!T24</f>
        <v>226.19</v>
      </c>
      <c r="G42" s="4"/>
      <c r="H42" s="4"/>
      <c r="I42" s="4"/>
      <c r="J42" s="13"/>
      <c r="K42" s="4"/>
      <c r="L42" s="21">
        <f>(D42/D35-1)*100</f>
        <v>-2.5239582421217377</v>
      </c>
      <c r="M42" s="4"/>
      <c r="N42" s="4"/>
      <c r="O42" s="4"/>
      <c r="P42" s="4"/>
      <c r="Q42" s="4"/>
      <c r="R42" s="79"/>
      <c r="S42" s="77" t="s">
        <v>527</v>
      </c>
      <c r="T42" s="18"/>
      <c r="U42" s="4"/>
      <c r="V42" s="4"/>
      <c r="W42" s="4"/>
      <c r="X42" s="4"/>
      <c r="Y42" s="4"/>
      <c r="Z42" s="4"/>
      <c r="AA42" s="4"/>
      <c r="AB42" s="4"/>
      <c r="AC42" s="4"/>
      <c r="AD42" s="4"/>
      <c r="AE42" s="4"/>
      <c r="AF42" s="4"/>
      <c r="AG42" s="4"/>
      <c r="AH42" s="4"/>
      <c r="AI42" s="4"/>
      <c r="AJ42" s="4"/>
      <c r="AK42" s="4"/>
      <c r="AL42" s="109" t="e">
        <f>((F42-('yrP&amp;L'!F18))/J42)</f>
        <v>#DIV/0!</v>
      </c>
      <c r="AM42" s="110" t="s">
        <v>527</v>
      </c>
      <c r="AN42" s="4"/>
      <c r="AO42" s="4"/>
    </row>
    <row r="43" spans="1:41" hidden="1" outlineLevel="1" collapsed="1">
      <c r="A43" s="4"/>
      <c r="B43" s="4"/>
      <c r="C43" s="4"/>
      <c r="D43" s="4"/>
      <c r="E43" s="4"/>
      <c r="F43" s="4"/>
      <c r="G43" s="4"/>
      <c r="H43" s="4"/>
      <c r="I43" s="4"/>
      <c r="J43" s="4"/>
      <c r="K43" s="4"/>
      <c r="L43" s="4"/>
      <c r="M43" s="4"/>
      <c r="N43" s="4"/>
      <c r="O43" s="58"/>
      <c r="P43" s="4"/>
      <c r="Q43" s="58"/>
      <c r="R43" s="4"/>
      <c r="S43" s="4"/>
      <c r="T43" s="18"/>
      <c r="U43" s="4"/>
      <c r="V43" s="4"/>
      <c r="W43" s="4"/>
      <c r="X43" s="4"/>
      <c r="Y43" s="4"/>
      <c r="Z43" s="4"/>
      <c r="AA43" s="58"/>
      <c r="AB43" s="189"/>
      <c r="AC43" s="4"/>
      <c r="AD43" s="4"/>
      <c r="AE43" s="4"/>
      <c r="AF43" s="4"/>
      <c r="AG43" s="58"/>
      <c r="AH43" s="4"/>
      <c r="AI43" s="4"/>
      <c r="AJ43" s="4"/>
      <c r="AK43" s="4"/>
      <c r="AL43" s="4"/>
      <c r="AM43" s="4"/>
      <c r="AN43" s="4"/>
      <c r="AO43" s="4"/>
    </row>
    <row r="44" spans="1:41" hidden="1" outlineLevel="1">
      <c r="A44" s="4"/>
      <c r="B44" s="40">
        <f>CoachNAqtrSalesOld!B46</f>
        <v>2000</v>
      </c>
      <c r="C44" s="4"/>
      <c r="D44" s="4"/>
      <c r="E44" s="4"/>
      <c r="F44" s="4"/>
      <c r="G44" s="4"/>
      <c r="H44" s="4"/>
      <c r="I44" s="4"/>
      <c r="J44" s="4"/>
      <c r="K44" s="4"/>
      <c r="L44" s="4"/>
      <c r="M44" s="4"/>
      <c r="N44" s="4"/>
      <c r="O44" s="58"/>
      <c r="P44" s="4"/>
      <c r="Q44" s="58"/>
      <c r="R44" s="4"/>
      <c r="S44" s="4"/>
      <c r="T44" s="18"/>
      <c r="U44" s="4"/>
      <c r="V44" s="4"/>
      <c r="W44" s="4"/>
      <c r="X44" s="4"/>
      <c r="Y44" s="4"/>
      <c r="Z44" s="4"/>
      <c r="AA44" s="58"/>
      <c r="AB44" s="189"/>
      <c r="AC44" s="4"/>
      <c r="AD44" s="4"/>
      <c r="AE44" s="4"/>
      <c r="AF44" s="4"/>
      <c r="AG44" s="58"/>
      <c r="AH44" s="4"/>
      <c r="AI44" s="4"/>
      <c r="AJ44" s="4"/>
      <c r="AK44" s="4"/>
      <c r="AL44" s="4"/>
      <c r="AM44" s="4"/>
      <c r="AN44" s="4"/>
      <c r="AO44" s="4"/>
    </row>
    <row r="45" spans="1:41" hidden="1" outlineLevel="1">
      <c r="A45" s="4" t="s">
        <v>457</v>
      </c>
      <c r="B45" s="4" t="str">
        <f>CoachNAqtrSalesOld!B47</f>
        <v>Sept</v>
      </c>
      <c r="C45" s="4"/>
      <c r="D45" s="13">
        <f>'qtrP&amp;L'!X10</f>
        <v>118.032</v>
      </c>
      <c r="E45" s="4"/>
      <c r="F45" s="13">
        <f>'qtrP&amp;L'!X20</f>
        <v>54.726999999999997</v>
      </c>
      <c r="G45" s="4"/>
      <c r="H45" s="13">
        <f>work!D10</f>
        <v>0</v>
      </c>
      <c r="I45" s="4"/>
      <c r="J45" s="13"/>
      <c r="K45" s="4"/>
      <c r="L45" s="21"/>
      <c r="M45" s="4" t="s">
        <v>428</v>
      </c>
      <c r="N45" s="21"/>
      <c r="O45" s="58" t="s">
        <v>428</v>
      </c>
      <c r="P45" s="21"/>
      <c r="Q45" s="58" t="s">
        <v>428</v>
      </c>
      <c r="R45" s="18"/>
      <c r="S45" s="4" t="s">
        <v>527</v>
      </c>
      <c r="T45" s="18"/>
      <c r="U45" s="4"/>
      <c r="V45" s="4">
        <f>CoachNAqtrSalesOld!L47</f>
        <v>0</v>
      </c>
      <c r="W45" s="4"/>
      <c r="X45" s="15"/>
      <c r="Y45" s="4"/>
      <c r="Z45" s="78"/>
      <c r="AA45" s="58" t="s">
        <v>428</v>
      </c>
      <c r="AB45" s="186"/>
      <c r="AC45" s="4"/>
      <c r="AD45" s="82" t="e">
        <f>H45/AB45</f>
        <v>#DIV/0!</v>
      </c>
      <c r="AE45" s="4"/>
      <c r="AF45" s="78" t="e">
        <f>(AD45/#REF!-1)*100</f>
        <v>#DIV/0!</v>
      </c>
      <c r="AG45" s="58" t="s">
        <v>428</v>
      </c>
      <c r="AH45" s="43">
        <f>J45/(F45/(365/4))</f>
        <v>0</v>
      </c>
      <c r="AI45" s="4"/>
      <c r="AJ45" s="43">
        <f>H45/(F46/(365/4))</f>
        <v>0</v>
      </c>
      <c r="AK45" s="4"/>
      <c r="AL45" s="106" t="e">
        <f>((F45-('yrP&amp;L'!G18/4))/J45)</f>
        <v>#DIV/0!</v>
      </c>
      <c r="AM45" s="107" t="s">
        <v>527</v>
      </c>
      <c r="AN45" s="4"/>
      <c r="AO45" s="4"/>
    </row>
    <row r="46" spans="1:41" hidden="1" outlineLevel="1">
      <c r="A46" s="4" t="s">
        <v>458</v>
      </c>
      <c r="B46" s="4" t="str">
        <f>CoachNAqtrSalesOld!B48</f>
        <v>Dec</v>
      </c>
      <c r="C46" s="4"/>
      <c r="D46" s="14">
        <f>'qtrP&amp;L'!X11</f>
        <v>194.12799999999999</v>
      </c>
      <c r="E46" s="4"/>
      <c r="F46" s="14">
        <f>'qtrP&amp;L'!X21</f>
        <v>73.641000000000005</v>
      </c>
      <c r="G46" s="4"/>
      <c r="H46" s="14">
        <f>work!D11</f>
        <v>0</v>
      </c>
      <c r="I46" s="4"/>
      <c r="J46" s="14">
        <f>AVERAGE(H45:H46)</f>
        <v>0</v>
      </c>
      <c r="K46" s="4"/>
      <c r="L46" s="21"/>
      <c r="M46" s="4"/>
      <c r="N46" s="21"/>
      <c r="O46" s="4"/>
      <c r="P46" s="21"/>
      <c r="Q46" s="4"/>
      <c r="R46" s="18"/>
      <c r="S46" s="4"/>
      <c r="T46" s="18"/>
      <c r="U46" s="4"/>
      <c r="V46" s="4">
        <f>CoachNAqtrSalesOld!L48</f>
        <v>0</v>
      </c>
      <c r="W46" s="4"/>
      <c r="X46" s="18"/>
      <c r="Y46" s="4"/>
      <c r="Z46" s="78"/>
      <c r="AA46" s="4"/>
      <c r="AB46" s="186"/>
      <c r="AC46" s="4"/>
      <c r="AD46" s="81" t="e">
        <f>H46/AB46</f>
        <v>#DIV/0!</v>
      </c>
      <c r="AE46" s="4"/>
      <c r="AF46" s="86" t="e">
        <f>(AD46/#REF!-1)*100</f>
        <v>#DIV/0!</v>
      </c>
      <c r="AG46" s="11"/>
      <c r="AH46" s="43">
        <f>J46/(F46/(365/4))</f>
        <v>0</v>
      </c>
      <c r="AI46" s="4"/>
      <c r="AJ46" s="43">
        <f>H46/(F47/(365/4))</f>
        <v>0</v>
      </c>
      <c r="AK46" s="4"/>
      <c r="AL46" s="106" t="e">
        <f>((F46-('yrP&amp;L'!G18/4))/J46)</f>
        <v>#DIV/0!</v>
      </c>
      <c r="AM46" s="107"/>
      <c r="AN46" s="4"/>
      <c r="AO46" s="4"/>
    </row>
    <row r="47" spans="1:41" hidden="1" outlineLevel="1">
      <c r="A47" s="4" t="s">
        <v>459</v>
      </c>
      <c r="B47" s="4" t="str">
        <f>CoachNAqtrSalesOld!B49</f>
        <v>Mar</v>
      </c>
      <c r="C47" s="4"/>
      <c r="D47" s="14">
        <f>'qtrP&amp;L'!X12</f>
        <v>115.072</v>
      </c>
      <c r="E47" s="4"/>
      <c r="F47" s="14">
        <f>'qtrP&amp;L'!X22</f>
        <v>44.835000000000001</v>
      </c>
      <c r="G47" s="4"/>
      <c r="H47" s="14">
        <f>work!D12</f>
        <v>0</v>
      </c>
      <c r="I47" s="4"/>
      <c r="J47" s="14">
        <f>AVERAGE(H46:H47)</f>
        <v>0</v>
      </c>
      <c r="K47" s="4"/>
      <c r="L47" s="21"/>
      <c r="M47" s="4"/>
      <c r="N47" s="21"/>
      <c r="O47" s="4"/>
      <c r="P47" s="21"/>
      <c r="Q47" s="4"/>
      <c r="R47" s="18"/>
      <c r="S47" s="4"/>
      <c r="T47" s="18"/>
      <c r="U47" s="4"/>
      <c r="V47" s="4">
        <f>CoachNAqtrSalesOld!L49</f>
        <v>0</v>
      </c>
      <c r="W47" s="4"/>
      <c r="X47" s="18"/>
      <c r="Y47" s="4"/>
      <c r="Z47" s="78"/>
      <c r="AA47" s="4"/>
      <c r="AB47" s="190"/>
      <c r="AC47" s="4"/>
      <c r="AD47" s="81" t="e">
        <f>H47/AB47</f>
        <v>#DIV/0!</v>
      </c>
      <c r="AE47" s="4"/>
      <c r="AF47" s="87" t="e">
        <f>(AD47/#REF!-1)*100</f>
        <v>#DIV/0!</v>
      </c>
      <c r="AG47" s="11"/>
      <c r="AH47" s="43">
        <f>J47/(F47/(365/4))</f>
        <v>0</v>
      </c>
      <c r="AI47" s="4"/>
      <c r="AJ47" s="43">
        <f>H47/(F48/(365/4))</f>
        <v>0</v>
      </c>
      <c r="AK47" s="4"/>
      <c r="AL47" s="106" t="e">
        <f>((F47-('yrP&amp;L'!G18/4))/J47)</f>
        <v>#DIV/0!</v>
      </c>
      <c r="AM47" s="107"/>
      <c r="AN47" s="4"/>
      <c r="AO47" s="4"/>
    </row>
    <row r="48" spans="1:41" hidden="1" outlineLevel="1">
      <c r="A48" s="4" t="s">
        <v>460</v>
      </c>
      <c r="B48" s="4" t="str">
        <f>CoachNAqtrSalesOld!B50</f>
        <v>June</v>
      </c>
      <c r="C48" s="4"/>
      <c r="D48" s="17">
        <f>'qtrP&amp;L'!X13</f>
        <v>121.68600000000001</v>
      </c>
      <c r="E48" s="4"/>
      <c r="F48" s="17">
        <f>'qtrP&amp;L'!X23</f>
        <v>46.881999999999998</v>
      </c>
      <c r="G48" s="4"/>
      <c r="H48" s="14">
        <f>work!D13</f>
        <v>102.09699999999999</v>
      </c>
      <c r="I48" s="4"/>
      <c r="J48" s="17">
        <f>AVERAGE(H47:H48)</f>
        <v>51.048499999999997</v>
      </c>
      <c r="K48" s="4"/>
      <c r="L48" s="44"/>
      <c r="M48" s="4"/>
      <c r="N48" s="78"/>
      <c r="O48" s="4"/>
      <c r="P48" s="21"/>
      <c r="Q48" s="4"/>
      <c r="R48" s="18">
        <f>F48/J48</f>
        <v>0.918381539124558</v>
      </c>
      <c r="S48" s="4"/>
      <c r="T48" s="18">
        <f>F52/H48</f>
        <v>0.48545990577587983</v>
      </c>
      <c r="U48" s="4"/>
      <c r="V48" s="4">
        <f>CoachNAqtrSalesOld!L50</f>
        <v>169</v>
      </c>
      <c r="W48" s="4"/>
      <c r="X48" s="18">
        <f>H48/V48</f>
        <v>0.60412426035502953</v>
      </c>
      <c r="Y48" s="4"/>
      <c r="Z48" s="78"/>
      <c r="AA48" s="4"/>
      <c r="AB48" s="190">
        <f>CoachNAqtrSalesOld!AG50</f>
        <v>0.391569</v>
      </c>
      <c r="AC48" s="4"/>
      <c r="AD48" s="18">
        <f>H48/AB48</f>
        <v>260.73820961312055</v>
      </c>
      <c r="AE48" s="4"/>
      <c r="AF48" s="87" t="e">
        <f>(AD48/#REF!-1)*100</f>
        <v>#REF!</v>
      </c>
      <c r="AG48" s="11"/>
      <c r="AH48" s="43">
        <f>J48/(F48/(365/4))</f>
        <v>99.359575636704918</v>
      </c>
      <c r="AI48" s="4"/>
      <c r="AJ48" s="43">
        <f>H48/(F52/(365/4))</f>
        <v>187.96608929868452</v>
      </c>
      <c r="AK48" s="4"/>
      <c r="AL48" s="106">
        <f>((F48-('yrP&amp;L'!G18/4))/J48)</f>
        <v>0.77947442138358614</v>
      </c>
      <c r="AM48" s="108"/>
      <c r="AN48" s="4"/>
      <c r="AO48" s="4"/>
    </row>
    <row r="49" spans="1:41" hidden="1" outlineLevel="1">
      <c r="A49" s="4"/>
      <c r="B49" s="4" t="str">
        <f>CoachNAqtrSalesOld!B51</f>
        <v>Year</v>
      </c>
      <c r="C49" s="4"/>
      <c r="D49" s="13">
        <f>SUM(D45:D48)</f>
        <v>548.91800000000001</v>
      </c>
      <c r="E49" s="4"/>
      <c r="F49" s="13">
        <f>SUM(F45:F48)</f>
        <v>220.08500000000001</v>
      </c>
      <c r="G49" s="4"/>
      <c r="H49" s="4"/>
      <c r="I49" s="4"/>
      <c r="J49" s="13">
        <f>AVERAGE(J45:J48)</f>
        <v>17.016166666666667</v>
      </c>
      <c r="K49" s="4"/>
      <c r="L49" s="21">
        <f>(D49/D42-1)*100</f>
        <v>9.5767191542367911</v>
      </c>
      <c r="M49" s="4"/>
      <c r="N49" s="4"/>
      <c r="O49" s="4"/>
      <c r="P49" s="4"/>
      <c r="Q49" s="4"/>
      <c r="R49" s="79">
        <f>F49/J49</f>
        <v>12.933876607539888</v>
      </c>
      <c r="S49" s="77" t="s">
        <v>527</v>
      </c>
      <c r="T49" s="18"/>
      <c r="U49" s="4"/>
      <c r="V49" s="4"/>
      <c r="W49" s="4"/>
      <c r="X49" s="4"/>
      <c r="Y49" s="4"/>
      <c r="Z49" s="4"/>
      <c r="AA49" s="4"/>
      <c r="AB49" s="190"/>
      <c r="AC49" s="4"/>
      <c r="AD49" s="4"/>
      <c r="AE49" s="4"/>
      <c r="AF49" s="4"/>
      <c r="AG49" s="4"/>
      <c r="AH49" s="4"/>
      <c r="AI49" s="4"/>
      <c r="AJ49" s="4"/>
      <c r="AK49" s="4"/>
      <c r="AL49" s="109">
        <f>((F49-('yrP&amp;L'!G18))/J49)</f>
        <v>11.266991194648227</v>
      </c>
      <c r="AM49" s="110" t="s">
        <v>527</v>
      </c>
      <c r="AN49" s="4"/>
      <c r="AO49" s="4"/>
    </row>
    <row r="50" spans="1:41" hidden="1" outlineLevel="1" collapsed="1">
      <c r="A50" s="4"/>
      <c r="B50" s="4"/>
      <c r="C50" s="4"/>
      <c r="D50" s="4"/>
      <c r="E50" s="4"/>
      <c r="F50" s="4"/>
      <c r="G50" s="4"/>
      <c r="H50" s="4"/>
      <c r="I50" s="4"/>
      <c r="J50" s="4"/>
      <c r="K50" s="4"/>
      <c r="L50" s="4"/>
      <c r="M50" s="4"/>
      <c r="N50" s="4"/>
      <c r="O50" s="58"/>
      <c r="P50" s="4"/>
      <c r="Q50" s="58"/>
      <c r="R50" s="4"/>
      <c r="S50" s="4"/>
      <c r="T50" s="18"/>
      <c r="U50" s="4"/>
      <c r="V50" s="4"/>
      <c r="W50" s="4"/>
      <c r="X50" s="4"/>
      <c r="Y50" s="4"/>
      <c r="Z50" s="4"/>
      <c r="AA50" s="58"/>
      <c r="AB50" s="190"/>
      <c r="AC50" s="4"/>
      <c r="AD50" s="4"/>
      <c r="AE50" s="4"/>
      <c r="AF50" s="4"/>
      <c r="AG50" s="58"/>
      <c r="AH50" s="4"/>
      <c r="AI50" s="4"/>
      <c r="AJ50" s="4"/>
      <c r="AK50" s="4"/>
      <c r="AL50" s="4"/>
      <c r="AM50" s="4"/>
      <c r="AN50" s="4"/>
      <c r="AO50" s="4"/>
    </row>
    <row r="51" spans="1:41" hidden="1" outlineLevel="1">
      <c r="A51" s="4"/>
      <c r="B51" s="40">
        <f>CoachNAqtrSalesOld!B53</f>
        <v>2001</v>
      </c>
      <c r="C51" s="4"/>
      <c r="D51" s="4"/>
      <c r="E51" s="4"/>
      <c r="F51" s="4"/>
      <c r="G51" s="4"/>
      <c r="H51" s="4"/>
      <c r="I51" s="4"/>
      <c r="J51" s="4"/>
      <c r="K51" s="4"/>
      <c r="L51" s="4"/>
      <c r="M51" s="4"/>
      <c r="N51" s="4"/>
      <c r="O51" s="58"/>
      <c r="P51" s="4"/>
      <c r="Q51" s="58"/>
      <c r="R51" s="4"/>
      <c r="S51" s="4"/>
      <c r="T51" s="18"/>
      <c r="U51" s="4"/>
      <c r="V51" s="4"/>
      <c r="W51" s="4"/>
      <c r="X51" s="4"/>
      <c r="Y51" s="4"/>
      <c r="Z51" s="4"/>
      <c r="AA51" s="58"/>
      <c r="AB51" s="190"/>
      <c r="AC51" s="4"/>
      <c r="AD51" s="4"/>
      <c r="AE51" s="4"/>
      <c r="AF51" s="4"/>
      <c r="AG51" s="58"/>
      <c r="AH51" s="4"/>
      <c r="AI51" s="4"/>
      <c r="AJ51" s="4"/>
      <c r="AK51" s="4"/>
      <c r="AL51" s="4"/>
      <c r="AM51" s="4"/>
      <c r="AN51" s="4"/>
      <c r="AO51" s="4"/>
    </row>
    <row r="52" spans="1:41" hidden="1" outlineLevel="1">
      <c r="A52" s="4" t="s">
        <v>457</v>
      </c>
      <c r="B52" s="4" t="str">
        <f>CoachNAqtrSalesOld!B54</f>
        <v>Sept</v>
      </c>
      <c r="C52" s="4"/>
      <c r="D52" s="13">
        <f>'qtrP&amp;L'!AB10</f>
        <v>131.495</v>
      </c>
      <c r="E52" s="4"/>
      <c r="F52" s="13">
        <f>'qtrP&amp;L'!AB20</f>
        <v>49.564</v>
      </c>
      <c r="G52" s="4"/>
      <c r="H52" s="13">
        <f>+work!H10</f>
        <v>119.39700000000001</v>
      </c>
      <c r="I52" s="4"/>
      <c r="J52" s="13">
        <f>AVERAGE(H52,H48)</f>
        <v>110.747</v>
      </c>
      <c r="K52" s="4"/>
      <c r="L52" s="21">
        <f>(D52/D45-1)*100</f>
        <v>11.406228819303244</v>
      </c>
      <c r="M52" s="4" t="s">
        <v>428</v>
      </c>
      <c r="N52" s="21"/>
      <c r="O52" s="58" t="s">
        <v>428</v>
      </c>
      <c r="P52" s="21">
        <f>(H52/H48-1)*100</f>
        <v>16.944670264552354</v>
      </c>
      <c r="Q52" s="58" t="s">
        <v>428</v>
      </c>
      <c r="R52" s="18">
        <f>F52/J52</f>
        <v>0.44754259709066613</v>
      </c>
      <c r="S52" s="4" t="s">
        <v>527</v>
      </c>
      <c r="T52" s="18">
        <f>F53/H52</f>
        <v>0.62100387781937572</v>
      </c>
      <c r="U52" s="4"/>
      <c r="V52" s="4">
        <f>CoachNAqtrSalesOld!L54</f>
        <v>0</v>
      </c>
      <c r="W52" s="4"/>
      <c r="Y52" s="4"/>
      <c r="Z52" s="78"/>
      <c r="AA52" s="58" t="s">
        <v>428</v>
      </c>
      <c r="AB52" s="190">
        <f>CoachNAqtrSalesOld!AG54</f>
        <v>0</v>
      </c>
      <c r="AC52" s="4"/>
      <c r="AE52" s="4"/>
      <c r="AG52" s="4" t="s">
        <v>428</v>
      </c>
      <c r="AH52" s="43">
        <f>J52/(F52/(365/4))</f>
        <v>203.89120631910257</v>
      </c>
      <c r="AI52" s="4"/>
      <c r="AJ52" s="43">
        <f>H52/(F53/(365/4))</f>
        <v>146.93950111941305</v>
      </c>
      <c r="AK52" s="4"/>
      <c r="AL52" s="106">
        <f>((F52-('yrP&amp;L'!H21/4))/J52)</f>
        <v>0.35424210136617701</v>
      </c>
      <c r="AM52" s="107" t="s">
        <v>527</v>
      </c>
      <c r="AN52" s="4"/>
      <c r="AO52" s="4"/>
    </row>
    <row r="53" spans="1:41" hidden="1" outlineLevel="1">
      <c r="A53" s="4" t="s">
        <v>458</v>
      </c>
      <c r="B53" s="4" t="str">
        <f>CoachNAqtrSalesOld!B55</f>
        <v>Dec</v>
      </c>
      <c r="C53" s="4"/>
      <c r="D53" s="14">
        <f>'qtrP&amp;L'!AB11</f>
        <v>211.02799999999999</v>
      </c>
      <c r="E53" s="4"/>
      <c r="F53" s="14">
        <f>'qtrP&amp;L'!AB21</f>
        <v>74.146000000000001</v>
      </c>
      <c r="G53" s="4"/>
      <c r="H53" s="14">
        <f>+work!H11</f>
        <v>101.373</v>
      </c>
      <c r="I53" s="4"/>
      <c r="J53" s="14">
        <f>AVERAGE(H52:H53)</f>
        <v>110.38500000000001</v>
      </c>
      <c r="K53" s="4"/>
      <c r="L53" s="21">
        <f>(D53/D46-1)*100</f>
        <v>8.7055963075908682</v>
      </c>
      <c r="M53" s="4"/>
      <c r="N53" s="21"/>
      <c r="O53" s="4"/>
      <c r="P53" s="21">
        <f>(H53/H52-1)*100</f>
        <v>-15.095856679816077</v>
      </c>
      <c r="Q53" s="4"/>
      <c r="R53" s="18">
        <f>F53/J53</f>
        <v>0.67170358291434518</v>
      </c>
      <c r="S53" s="4"/>
      <c r="T53" s="18">
        <f>F54/H53</f>
        <v>0.44658834206346854</v>
      </c>
      <c r="U53" s="4"/>
      <c r="V53" s="4">
        <f>CoachNAqtrSalesOld!L55</f>
        <v>179</v>
      </c>
      <c r="W53" s="4"/>
      <c r="X53" s="18">
        <f>H53/V53</f>
        <v>0.56632960893854756</v>
      </c>
      <c r="Y53" s="4"/>
      <c r="Z53" s="78"/>
      <c r="AA53" s="4"/>
      <c r="AB53" s="190">
        <f>CoachNAqtrSalesOld!AG55</f>
        <v>0</v>
      </c>
      <c r="AC53" s="4"/>
      <c r="AE53" s="4"/>
      <c r="AG53" s="11"/>
      <c r="AH53" s="43">
        <f>J53/(F53/(365/4))</f>
        <v>135.84861287190139</v>
      </c>
      <c r="AI53" s="4"/>
      <c r="AJ53" s="43">
        <f>H53/(F54/(365/4))</f>
        <v>204.32687422689523</v>
      </c>
      <c r="AK53" s="4"/>
      <c r="AL53" s="106">
        <f>((F53-('yrP&amp;L'!H21/4))/J53)</f>
        <v>0.57809711464419977</v>
      </c>
      <c r="AM53" s="107"/>
      <c r="AN53" s="4"/>
      <c r="AO53" s="4"/>
    </row>
    <row r="54" spans="1:41" hidden="1" outlineLevel="1">
      <c r="A54" s="4" t="s">
        <v>459</v>
      </c>
      <c r="B54" s="4" t="str">
        <f>CoachNAqtrSalesOld!B56</f>
        <v>Mar</v>
      </c>
      <c r="C54" s="4"/>
      <c r="D54" s="14">
        <f>'qtrP&amp;L'!AB12</f>
        <v>125.714</v>
      </c>
      <c r="E54" s="4"/>
      <c r="F54" s="14">
        <f>'qtrP&amp;L'!AB22</f>
        <v>45.271999999999998</v>
      </c>
      <c r="G54" s="4"/>
      <c r="H54" s="14">
        <f>+work!H12</f>
        <v>104.18300000000001</v>
      </c>
      <c r="I54" s="4"/>
      <c r="J54" s="14">
        <f>AVERAGE(H53:H54)</f>
        <v>102.77800000000001</v>
      </c>
      <c r="K54" s="4"/>
      <c r="L54" s="21">
        <f>(D54/D47-1)*100</f>
        <v>9.2481229143492669</v>
      </c>
      <c r="M54" s="4"/>
      <c r="N54" s="21"/>
      <c r="O54" s="4"/>
      <c r="P54" s="21">
        <f>(H54/H53-1)*100</f>
        <v>2.7719412466830518</v>
      </c>
      <c r="Q54" s="4"/>
      <c r="R54" s="18">
        <f>F54/J54</f>
        <v>0.44048337192784442</v>
      </c>
      <c r="S54" s="4"/>
      <c r="T54" s="18">
        <f>F55/H54</f>
        <v>0.47536546269544933</v>
      </c>
      <c r="U54" s="4"/>
      <c r="V54" s="4">
        <f>CoachNAqtrSalesOld!L56</f>
        <v>180</v>
      </c>
      <c r="W54" s="4"/>
      <c r="X54" s="18">
        <f>H54/V54</f>
        <v>0.5787944444444445</v>
      </c>
      <c r="Y54" s="4"/>
      <c r="Z54" s="78"/>
      <c r="AA54" s="4"/>
      <c r="AB54" s="190">
        <f>CoachNAqtrSalesOld!AG56</f>
        <v>0</v>
      </c>
      <c r="AC54" s="4"/>
      <c r="AE54" s="4"/>
      <c r="AG54" s="11"/>
      <c r="AH54" s="43">
        <f>J54/(F54/(365/4))</f>
        <v>207.15878467927197</v>
      </c>
      <c r="AI54" s="4"/>
      <c r="AJ54" s="43">
        <f>H54/(F55/(365/4))</f>
        <v>191.95757193336698</v>
      </c>
      <c r="AK54" s="4"/>
      <c r="AL54" s="106">
        <f>((F54-('yrP&amp;L'!H21/4))/J54)</f>
        <v>0.33994872443519042</v>
      </c>
      <c r="AM54" s="107"/>
      <c r="AN54" s="4"/>
      <c r="AO54" s="4"/>
    </row>
    <row r="55" spans="1:41" hidden="1" outlineLevel="1">
      <c r="A55" s="4" t="s">
        <v>460</v>
      </c>
      <c r="B55" s="4" t="str">
        <f>CoachNAqtrSalesOld!B57</f>
        <v>June</v>
      </c>
      <c r="C55" s="4"/>
      <c r="D55" s="17">
        <f>'qtrP&amp;L'!AB13</f>
        <v>132.25399999999999</v>
      </c>
      <c r="E55" s="4"/>
      <c r="F55" s="17">
        <f>'qtrP&amp;L'!AB23</f>
        <v>49.524999999999999</v>
      </c>
      <c r="G55" s="4"/>
      <c r="H55" s="14">
        <f>+work!H13</f>
        <v>105.16200000000001</v>
      </c>
      <c r="I55" s="4"/>
      <c r="J55" s="17">
        <f>AVERAGE(H54:H55)</f>
        <v>104.67250000000001</v>
      </c>
      <c r="K55" s="4"/>
      <c r="L55" s="44">
        <f>(D55/D48-1)*100</f>
        <v>8.6846473711026597</v>
      </c>
      <c r="M55" s="4"/>
      <c r="N55" s="78">
        <f>(H55/H48-1)*100</f>
        <v>3.002047072881675</v>
      </c>
      <c r="O55" s="4"/>
      <c r="P55" s="21">
        <f>(H55/H54-1)*100</f>
        <v>0.93969265619151532</v>
      </c>
      <c r="Q55" s="4"/>
      <c r="R55" s="18">
        <f>F55/J55</f>
        <v>0.47314242040650595</v>
      </c>
      <c r="S55" s="4"/>
      <c r="T55" s="18">
        <f>F59/H55</f>
        <v>0.51473916433692779</v>
      </c>
      <c r="U55" s="4"/>
      <c r="V55" s="4">
        <f>CoachNAqtrSalesOld!L57</f>
        <v>189</v>
      </c>
      <c r="W55" s="4"/>
      <c r="X55" s="18">
        <f>H55/V55</f>
        <v>0.55641269841269847</v>
      </c>
      <c r="Y55" s="4"/>
      <c r="Z55" s="78">
        <f>(X55/X48-1)*100</f>
        <v>-7.8976404480581746</v>
      </c>
      <c r="AA55" s="4"/>
      <c r="AB55" s="190">
        <f>CoachNAqtrSalesOld!AG57</f>
        <v>0.45006000000000002</v>
      </c>
      <c r="AC55" s="4"/>
      <c r="AD55" s="18">
        <f>H55/AB55</f>
        <v>233.6621783762165</v>
      </c>
      <c r="AE55" s="4"/>
      <c r="AF55" s="78">
        <f>(AD55/AD48-1)*100</f>
        <v>-10.384374149488506</v>
      </c>
      <c r="AG55" s="11"/>
      <c r="AH55" s="43">
        <f>J55/(F55/(365/4))</f>
        <v>192.85947753659769</v>
      </c>
      <c r="AI55" s="4"/>
      <c r="AJ55" s="43">
        <f>H55/(F59/(365/4))</f>
        <v>177.27425135319874</v>
      </c>
      <c r="AK55" s="4"/>
      <c r="AL55" s="106">
        <f>((F55-('yrP&amp;L'!H21/4))/J55)</f>
        <v>0.374427380639614</v>
      </c>
      <c r="AM55" s="108"/>
      <c r="AN55" s="4"/>
      <c r="AO55" s="4"/>
    </row>
    <row r="56" spans="1:41" hidden="1" outlineLevel="1">
      <c r="A56" s="4"/>
      <c r="B56" s="4" t="str">
        <f>CoachNAqtrSalesOld!B58</f>
        <v>Year</v>
      </c>
      <c r="C56" s="4"/>
      <c r="D56" s="13">
        <f>SUM(D52:D55)</f>
        <v>600.49099999999999</v>
      </c>
      <c r="E56" s="4"/>
      <c r="F56" s="13">
        <f>SUM(F52:F55)</f>
        <v>218.50700000000001</v>
      </c>
      <c r="G56" s="4"/>
      <c r="H56" s="4"/>
      <c r="I56" s="4"/>
      <c r="J56" s="13">
        <f>AVERAGE(J52:J55)</f>
        <v>107.14562500000001</v>
      </c>
      <c r="K56" s="4"/>
      <c r="L56" s="21">
        <f>(D56/D49-1)*100</f>
        <v>9.3953923901201932</v>
      </c>
      <c r="M56" s="4"/>
      <c r="N56" s="4"/>
      <c r="O56" s="4"/>
      <c r="P56" s="4"/>
      <c r="Q56" s="4"/>
      <c r="R56" s="79">
        <f>F56/J56</f>
        <v>2.0393459835620913</v>
      </c>
      <c r="S56" s="77" t="s">
        <v>527</v>
      </c>
      <c r="T56" s="18"/>
      <c r="U56" s="4"/>
      <c r="V56" s="4"/>
      <c r="W56" s="4"/>
      <c r="X56" s="4"/>
      <c r="Y56" s="4"/>
      <c r="Z56" s="4"/>
      <c r="AA56" s="4"/>
      <c r="AB56" s="190"/>
      <c r="AC56" s="4"/>
      <c r="AD56" s="4"/>
      <c r="AE56" s="4"/>
      <c r="AF56" s="4"/>
      <c r="AG56" s="4"/>
      <c r="AH56" s="4"/>
      <c r="AI56" s="4"/>
      <c r="AJ56" s="4"/>
      <c r="AK56" s="4"/>
      <c r="AL56" s="109">
        <f>((F56-('yrP&amp;L'!H21))/J56)</f>
        <v>1.6535999486679924</v>
      </c>
      <c r="AM56" s="110" t="s">
        <v>527</v>
      </c>
      <c r="AN56" s="4"/>
      <c r="AO56" s="4"/>
    </row>
    <row r="57" spans="1:41" hidden="1" outlineLevel="1">
      <c r="A57" s="4"/>
      <c r="B57" s="4"/>
      <c r="C57" s="4"/>
      <c r="D57" s="4"/>
      <c r="E57" s="4"/>
      <c r="F57" s="4"/>
      <c r="G57" s="4"/>
      <c r="H57" s="4"/>
      <c r="I57" s="4"/>
      <c r="J57" s="4"/>
      <c r="K57" s="4"/>
      <c r="L57" s="4"/>
      <c r="M57" s="4"/>
      <c r="N57" s="4"/>
      <c r="O57" s="58"/>
      <c r="P57" s="4"/>
      <c r="Q57" s="58"/>
      <c r="R57" s="4"/>
      <c r="S57" s="4"/>
      <c r="T57" s="18"/>
      <c r="U57" s="4"/>
      <c r="V57" s="4"/>
      <c r="W57" s="4"/>
      <c r="X57" s="4"/>
      <c r="Y57" s="4"/>
      <c r="Z57" s="4"/>
      <c r="AA57" s="58"/>
      <c r="AB57" s="190"/>
      <c r="AC57" s="4"/>
      <c r="AD57" s="4"/>
      <c r="AE57" s="4"/>
      <c r="AF57" s="4"/>
      <c r="AG57" s="58"/>
      <c r="AH57" s="4"/>
      <c r="AI57" s="4"/>
      <c r="AJ57" s="4"/>
      <c r="AK57" s="4"/>
      <c r="AL57" s="4"/>
      <c r="AM57" s="4"/>
      <c r="AN57" s="4"/>
      <c r="AO57" s="4"/>
    </row>
    <row r="58" spans="1:41" hidden="1" outlineLevel="1">
      <c r="A58" s="4"/>
      <c r="B58" s="40" t="s">
        <v>275</v>
      </c>
      <c r="C58" s="4"/>
      <c r="D58" s="4"/>
      <c r="E58" s="4"/>
      <c r="F58" s="4"/>
      <c r="G58" s="4"/>
      <c r="H58" s="4"/>
      <c r="I58" s="4"/>
      <c r="J58" s="4"/>
      <c r="K58" s="4"/>
      <c r="L58" s="4"/>
      <c r="M58" s="4"/>
      <c r="N58" s="4"/>
      <c r="O58" s="58"/>
      <c r="P58" s="4"/>
      <c r="Q58" s="58"/>
      <c r="R58" s="4"/>
      <c r="S58" s="4"/>
      <c r="T58" s="18"/>
      <c r="U58" s="4"/>
      <c r="V58" s="4"/>
      <c r="W58" s="4"/>
      <c r="X58" s="4"/>
      <c r="Y58" s="4"/>
      <c r="Z58" s="4"/>
      <c r="AA58" s="58"/>
      <c r="AB58" s="190"/>
      <c r="AC58" s="4"/>
      <c r="AD58" s="4"/>
      <c r="AE58" s="4"/>
      <c r="AF58" s="4"/>
      <c r="AG58" s="58"/>
      <c r="AH58" s="4"/>
      <c r="AI58" s="4"/>
      <c r="AJ58" s="4"/>
      <c r="AK58" s="4"/>
      <c r="AL58" s="4"/>
      <c r="AM58" s="4"/>
      <c r="AN58" s="4"/>
      <c r="AO58" s="4"/>
    </row>
    <row r="59" spans="1:41" hidden="1" outlineLevel="1">
      <c r="A59" s="4" t="s">
        <v>457</v>
      </c>
      <c r="B59" s="4" t="str">
        <f>CoachNAqtrSalesOld!B61</f>
        <v>Sept</v>
      </c>
      <c r="C59" s="4"/>
      <c r="D59" s="13">
        <f>+'qtrP&amp;L'!AF10</f>
        <v>150.702</v>
      </c>
      <c r="E59" s="4"/>
      <c r="F59" s="13">
        <f>+'qtrP&amp;L'!AF20</f>
        <v>54.131</v>
      </c>
      <c r="G59" s="4"/>
      <c r="H59" s="13">
        <f>work!L10</f>
        <v>132.46899999999999</v>
      </c>
      <c r="I59" s="4"/>
      <c r="J59" s="13">
        <f>AVERAGE(H59,H55)</f>
        <v>118.8155</v>
      </c>
      <c r="K59" s="4"/>
      <c r="L59" s="21">
        <f>(D59/D52-1)*100</f>
        <v>14.606639035704783</v>
      </c>
      <c r="M59" s="4" t="s">
        <v>428</v>
      </c>
      <c r="N59" s="21">
        <f>(H59/H52-1)*100</f>
        <v>10.948348785982898</v>
      </c>
      <c r="O59" s="58" t="s">
        <v>428</v>
      </c>
      <c r="P59" s="21">
        <f>(H59/H55-1)*100</f>
        <v>25.966603906353992</v>
      </c>
      <c r="Q59" s="58" t="s">
        <v>428</v>
      </c>
      <c r="R59" s="18">
        <f>F59/J59</f>
        <v>0.45558870686063685</v>
      </c>
      <c r="S59" s="4" t="s">
        <v>527</v>
      </c>
      <c r="T59" s="18">
        <f>F60/H59</f>
        <v>0.55961772188210079</v>
      </c>
      <c r="U59" s="4"/>
      <c r="V59" s="4">
        <f>CoachNAqtrSalesOld!L61</f>
        <v>194</v>
      </c>
      <c r="W59" s="4"/>
      <c r="X59" s="15">
        <f>H59/V59</f>
        <v>0.68282989690721652</v>
      </c>
      <c r="Y59" s="4"/>
      <c r="AA59" s="58" t="s">
        <v>428</v>
      </c>
      <c r="AB59" s="190">
        <f>CoachNAqtrSalesOld!AG61</f>
        <v>0</v>
      </c>
      <c r="AC59" s="4"/>
      <c r="AE59" s="4"/>
      <c r="AG59" s="58" t="s">
        <v>428</v>
      </c>
      <c r="AH59" s="43">
        <f>J59/(F59/(365/4))</f>
        <v>200.29030269161851</v>
      </c>
      <c r="AI59" s="4"/>
      <c r="AJ59" s="43">
        <f>H59/(F60/(365/4))</f>
        <v>163.05773822370904</v>
      </c>
      <c r="AK59" s="4"/>
      <c r="AL59" s="106">
        <f>((F59-('yrP&amp;L'!I21/4))/J59)</f>
        <v>0.34542420812099434</v>
      </c>
      <c r="AM59" s="107" t="s">
        <v>527</v>
      </c>
      <c r="AN59" s="4"/>
      <c r="AO59" s="4"/>
    </row>
    <row r="60" spans="1:41" hidden="1" outlineLevel="1">
      <c r="A60" s="4" t="s">
        <v>458</v>
      </c>
      <c r="B60" s="4" t="str">
        <f>CoachNAqtrSalesOld!B62</f>
        <v>Dec</v>
      </c>
      <c r="C60" s="4"/>
      <c r="D60" s="14">
        <f>+'qtrP&amp;L'!AF11</f>
        <v>235.75</v>
      </c>
      <c r="E60" s="4"/>
      <c r="F60" s="14">
        <f>+'qtrP&amp;L'!AF21</f>
        <v>74.132000000000005</v>
      </c>
      <c r="G60" s="4"/>
      <c r="H60" s="14">
        <f>work!L11</f>
        <v>115.42400000000001</v>
      </c>
      <c r="I60" s="4"/>
      <c r="J60" s="14">
        <f>AVERAGE(H59:H60)</f>
        <v>123.9465</v>
      </c>
      <c r="K60" s="4"/>
      <c r="L60" s="21">
        <f>(D60/D53-1)*100</f>
        <v>11.71503307617947</v>
      </c>
      <c r="M60" s="4"/>
      <c r="N60" s="21">
        <f>(H60/H53-1)*100</f>
        <v>13.860692689374886</v>
      </c>
      <c r="O60" s="4"/>
      <c r="P60" s="21">
        <f>(H60/H59-1)*100</f>
        <v>-12.867161373604386</v>
      </c>
      <c r="Q60" s="4"/>
      <c r="R60" s="18">
        <f>F60/J60</f>
        <v>0.59809675948897312</v>
      </c>
      <c r="S60" s="4"/>
      <c r="T60" s="18">
        <f>F61/H60</f>
        <v>0.43721409758802326</v>
      </c>
      <c r="U60" s="4"/>
      <c r="V60" s="4">
        <f>CoachNAqtrSalesOld!L62</f>
        <v>204</v>
      </c>
      <c r="W60" s="4"/>
      <c r="X60" s="18">
        <f>H60/V60</f>
        <v>0.56580392156862747</v>
      </c>
      <c r="Y60" s="4"/>
      <c r="Z60" s="78">
        <f>(X60/X53-1)*100</f>
        <v>-9.2823571577926867E-2</v>
      </c>
      <c r="AA60" s="4"/>
      <c r="AB60" s="190">
        <f>CoachNAqtrSalesOld!AG62</f>
        <v>0</v>
      </c>
      <c r="AC60" s="4"/>
      <c r="AE60" s="4"/>
      <c r="AG60" s="11"/>
      <c r="AH60" s="43">
        <f>J60/(F60/(365/4))</f>
        <v>152.56728706901202</v>
      </c>
      <c r="AI60" s="4"/>
      <c r="AJ60" s="43">
        <f>H60/(F61/(365/4))</f>
        <v>208.7078172991182</v>
      </c>
      <c r="AK60" s="4"/>
      <c r="AL60" s="106">
        <f>((F60-('yrP&amp;L'!I21/4))/J60)</f>
        <v>0.49249272871763222</v>
      </c>
      <c r="AM60" s="107"/>
      <c r="AN60" s="4"/>
      <c r="AO60" s="4"/>
    </row>
    <row r="61" spans="1:41" hidden="1" outlineLevel="1">
      <c r="A61" s="4" t="s">
        <v>459</v>
      </c>
      <c r="B61" s="4" t="str">
        <f>CoachNAqtrSalesOld!B63</f>
        <v>Mar</v>
      </c>
      <c r="C61" s="4"/>
      <c r="D61" s="14">
        <f>+'qtrP&amp;L'!AF12</f>
        <v>161.571</v>
      </c>
      <c r="E61" s="4"/>
      <c r="F61" s="14">
        <f>+'qtrP&amp;L'!AF22</f>
        <v>50.465000000000003</v>
      </c>
      <c r="G61" s="4"/>
      <c r="H61" s="14">
        <f>work!L12</f>
        <v>131.78299999999999</v>
      </c>
      <c r="I61" s="4"/>
      <c r="J61" s="14">
        <f>AVERAGE(H60:H61)</f>
        <v>123.6035</v>
      </c>
      <c r="K61" s="4"/>
      <c r="L61" s="21">
        <f>(D61/D54-1)*100</f>
        <v>28.522678460632854</v>
      </c>
      <c r="M61" s="4"/>
      <c r="N61" s="21">
        <f>(H61/H54-1)*100</f>
        <v>26.491846078534877</v>
      </c>
      <c r="O61" s="4"/>
      <c r="P61" s="21">
        <f>(H61/H60-1)*100</f>
        <v>14.17296229553644</v>
      </c>
      <c r="Q61" s="4"/>
      <c r="R61" s="18">
        <f>F61/J61</f>
        <v>0.40828131889469155</v>
      </c>
      <c r="S61" s="4"/>
      <c r="T61" s="18">
        <f>F62/H61</f>
        <v>0.43490435033350289</v>
      </c>
      <c r="U61" s="4"/>
      <c r="V61" s="4">
        <f>CoachNAqtrSalesOld!L63</f>
        <v>205</v>
      </c>
      <c r="W61" s="4"/>
      <c r="X61" s="18">
        <f>H61/V61</f>
        <v>0.64284390243902434</v>
      </c>
      <c r="Y61" s="65"/>
      <c r="Z61" s="78">
        <f>(X61/X54-1)*100</f>
        <v>11.066011190908664</v>
      </c>
      <c r="AA61" s="4"/>
      <c r="AB61" s="190">
        <f>CoachNAqtrSalesOld!AG63</f>
        <v>0</v>
      </c>
      <c r="AC61" s="4"/>
      <c r="AE61" s="4"/>
      <c r="AG61" s="11"/>
      <c r="AH61" s="43">
        <f>J61/(F61/(365/4))</f>
        <v>223.49785742593878</v>
      </c>
      <c r="AI61" s="4"/>
      <c r="AJ61" s="43">
        <f>H61/(F62/(365/4))</f>
        <v>209.81625023991063</v>
      </c>
      <c r="AK61" s="4"/>
      <c r="AL61" s="106">
        <f>((F61-('yrP&amp;L'!I21/4))/J61)</f>
        <v>0.30238423669232672</v>
      </c>
      <c r="AM61" s="107"/>
      <c r="AN61" s="4"/>
      <c r="AO61" s="4"/>
    </row>
    <row r="62" spans="1:41" hidden="1" outlineLevel="1">
      <c r="A62" s="4" t="s">
        <v>460</v>
      </c>
      <c r="B62" s="4" t="str">
        <f>CoachNAqtrSalesOld!B64</f>
        <v>June</v>
      </c>
      <c r="C62" s="4"/>
      <c r="D62" s="17">
        <f>+'qtrP&amp;L'!AF13</f>
        <v>171.38</v>
      </c>
      <c r="E62" s="4"/>
      <c r="F62" s="17">
        <f>+'qtrP&amp;L'!AF23</f>
        <v>57.313000000000002</v>
      </c>
      <c r="G62" s="4"/>
      <c r="H62" s="14">
        <f>work!L13</f>
        <v>136.404</v>
      </c>
      <c r="I62" s="4"/>
      <c r="J62" s="17">
        <f>AVERAGE(H61:H62)</f>
        <v>134.09350000000001</v>
      </c>
      <c r="K62" s="4"/>
      <c r="L62" s="44">
        <f>(D62/D55-1)*100</f>
        <v>29.583982337018178</v>
      </c>
      <c r="M62" s="4"/>
      <c r="N62" s="78">
        <f>(H62/H55-1)*100</f>
        <v>29.708449820277274</v>
      </c>
      <c r="O62" s="4"/>
      <c r="P62" s="21">
        <f>(H62/H61-1)*100</f>
        <v>3.5065220855497348</v>
      </c>
      <c r="Q62" s="4"/>
      <c r="R62" s="18">
        <f>F62/J62</f>
        <v>0.42741072460633811</v>
      </c>
      <c r="S62" s="4"/>
      <c r="T62" s="18">
        <f>F66/H62</f>
        <v>0.45135773144482566</v>
      </c>
      <c r="U62" s="4"/>
      <c r="V62" s="4">
        <f>CoachNAqtrSalesOld!L64</f>
        <v>212</v>
      </c>
      <c r="W62" s="4"/>
      <c r="X62" s="18">
        <f>H62/V62</f>
        <v>0.64341509433962263</v>
      </c>
      <c r="Y62" s="4"/>
      <c r="Z62" s="78">
        <f>(X62/X55-1)*100</f>
        <v>15.636306679398126</v>
      </c>
      <c r="AA62" s="4"/>
      <c r="AB62" s="190">
        <f>CoachNAqtrSalesOld!AG64</f>
        <v>0.52100800000000003</v>
      </c>
      <c r="AC62" s="4"/>
      <c r="AD62" s="18">
        <f>H62/AB62</f>
        <v>261.8078801093265</v>
      </c>
      <c r="AE62" s="4"/>
      <c r="AF62" s="94">
        <f>(AD62/AD55-1)*100</f>
        <v>12.045467490161354</v>
      </c>
      <c r="AG62" s="11"/>
      <c r="AH62" s="43">
        <f>J62/(F62/(365/4))</f>
        <v>213.49487681677803</v>
      </c>
      <c r="AI62" s="4"/>
      <c r="AJ62" s="43">
        <f>H62/(F66/(365/4))</f>
        <v>202.16780093231762</v>
      </c>
      <c r="AK62" s="4"/>
      <c r="AL62" s="106">
        <f>((F62-('yrP&amp;L'!I21/4))/J62)</f>
        <v>0.32979786492260998</v>
      </c>
      <c r="AM62" s="108"/>
      <c r="AN62" s="4"/>
      <c r="AO62" s="4"/>
    </row>
    <row r="63" spans="1:41" hidden="1" outlineLevel="1">
      <c r="A63" s="4"/>
      <c r="B63" s="4" t="str">
        <f>CoachNAqtrSalesOld!B65</f>
        <v>Year</v>
      </c>
      <c r="C63" s="4"/>
      <c r="D63" s="13">
        <f>SUM(D59:D62)</f>
        <v>719.40300000000002</v>
      </c>
      <c r="E63" s="4"/>
      <c r="F63" s="13">
        <f>SUM(F59:F62)</f>
        <v>236.041</v>
      </c>
      <c r="G63" s="4"/>
      <c r="H63" s="4"/>
      <c r="I63" s="4"/>
      <c r="J63" s="13">
        <f>AVERAGE(J59:J62)</f>
        <v>125.11475</v>
      </c>
      <c r="K63" s="4"/>
      <c r="L63" s="21">
        <f>(D63/D56-1)*100</f>
        <v>19.802461652214621</v>
      </c>
      <c r="M63" s="4"/>
      <c r="N63" s="4"/>
      <c r="O63" s="4"/>
      <c r="P63" s="4"/>
      <c r="Q63" s="4"/>
      <c r="R63" s="79">
        <f>F63/J63</f>
        <v>1.8865961047758157</v>
      </c>
      <c r="S63" s="77" t="s">
        <v>527</v>
      </c>
      <c r="T63" s="18"/>
      <c r="U63" s="4"/>
      <c r="V63" s="4"/>
      <c r="W63" s="4"/>
      <c r="X63" s="4"/>
      <c r="Y63" s="4"/>
      <c r="Z63" s="4"/>
      <c r="AA63" s="4"/>
      <c r="AB63" s="190"/>
      <c r="AC63" s="4"/>
      <c r="AD63" s="4"/>
      <c r="AE63" s="4"/>
      <c r="AF63" s="4"/>
      <c r="AG63" s="4"/>
      <c r="AH63" s="4"/>
      <c r="AI63" s="4"/>
      <c r="AJ63" s="4"/>
      <c r="AK63" s="4"/>
      <c r="AL63" s="109">
        <f>((F63-('yrP&amp;L'!I21))/J63)</f>
        <v>1.4681242619275505</v>
      </c>
      <c r="AM63" s="110" t="s">
        <v>527</v>
      </c>
      <c r="AN63" s="4"/>
      <c r="AO63" s="4"/>
    </row>
    <row r="64" spans="1:41" hidden="1" outlineLevel="1">
      <c r="A64" s="4"/>
      <c r="B64" s="4"/>
      <c r="C64" s="4"/>
      <c r="D64" s="4"/>
      <c r="E64" s="4"/>
      <c r="F64" s="4"/>
      <c r="G64" s="4"/>
      <c r="H64" s="4"/>
      <c r="I64" s="4"/>
      <c r="J64" s="4"/>
      <c r="K64" s="4"/>
      <c r="L64" s="4"/>
      <c r="M64" s="4"/>
      <c r="N64" s="4"/>
      <c r="O64" s="58"/>
      <c r="P64" s="4"/>
      <c r="Q64" s="58"/>
      <c r="R64" s="4"/>
      <c r="S64" s="4"/>
      <c r="T64" s="18"/>
      <c r="U64" s="4"/>
      <c r="V64" s="4"/>
      <c r="W64" s="4"/>
      <c r="X64" s="4"/>
      <c r="Y64" s="4"/>
      <c r="Z64" s="4"/>
      <c r="AA64" s="58"/>
      <c r="AB64" s="190"/>
      <c r="AC64" s="4"/>
      <c r="AD64" s="4"/>
      <c r="AE64" s="4"/>
      <c r="AF64" s="4"/>
      <c r="AG64" s="58"/>
      <c r="AH64" s="4"/>
      <c r="AI64" s="4"/>
      <c r="AJ64" s="4"/>
      <c r="AK64" s="4"/>
      <c r="AL64" s="4"/>
      <c r="AM64" s="4"/>
      <c r="AN64" s="4"/>
      <c r="AO64" s="4"/>
    </row>
    <row r="65" spans="1:41" hidden="1" outlineLevel="1">
      <c r="A65" s="4"/>
      <c r="B65" s="40" t="s">
        <v>276</v>
      </c>
      <c r="C65" s="4"/>
      <c r="D65" s="4"/>
      <c r="E65" s="4"/>
      <c r="F65" s="4"/>
      <c r="G65" s="4"/>
      <c r="H65" s="4"/>
      <c r="I65" s="4"/>
      <c r="J65" s="4"/>
      <c r="K65" s="4"/>
      <c r="L65" s="4"/>
      <c r="M65" s="4"/>
      <c r="N65" s="4"/>
      <c r="O65" s="58"/>
      <c r="P65" s="4"/>
      <c r="Q65" s="58"/>
      <c r="R65" s="4"/>
      <c r="S65" s="4"/>
      <c r="T65" s="18"/>
      <c r="U65" s="4"/>
      <c r="V65" s="4"/>
      <c r="W65" s="4"/>
      <c r="X65" s="4"/>
      <c r="Y65" s="4"/>
      <c r="Z65" s="4"/>
      <c r="AA65" s="58"/>
      <c r="AB65" s="190"/>
      <c r="AC65" s="4"/>
      <c r="AD65" s="4"/>
      <c r="AE65" s="4"/>
      <c r="AF65" s="4"/>
      <c r="AG65" s="58"/>
      <c r="AH65" s="4"/>
      <c r="AI65" s="4"/>
      <c r="AJ65" s="4"/>
      <c r="AK65" s="4"/>
      <c r="AL65" s="4"/>
      <c r="AM65" s="4"/>
      <c r="AN65" s="4"/>
      <c r="AO65" s="4"/>
    </row>
    <row r="66" spans="1:41" hidden="1" outlineLevel="1">
      <c r="A66" s="4" t="s">
        <v>457</v>
      </c>
      <c r="B66" s="4" t="str">
        <f>CoachNAqtrSalesOld!B68</f>
        <v>Sept</v>
      </c>
      <c r="C66" s="4"/>
      <c r="D66" s="13">
        <f>+'qtrP&amp;L'!AJ10</f>
        <v>192.791</v>
      </c>
      <c r="E66" s="4"/>
      <c r="F66" s="13">
        <f>+'qtrP&amp;L'!AJ20</f>
        <v>61.567</v>
      </c>
      <c r="G66" s="4"/>
      <c r="H66" s="13">
        <f>+work!P10</f>
        <v>152.72399999999999</v>
      </c>
      <c r="I66" s="4"/>
      <c r="J66" s="13">
        <f>AVERAGE(H66,H62)</f>
        <v>144.56399999999999</v>
      </c>
      <c r="K66" s="4"/>
      <c r="L66" s="21">
        <f>(D66/D59-1)*100</f>
        <v>27.928627357301174</v>
      </c>
      <c r="M66" s="4" t="s">
        <v>428</v>
      </c>
      <c r="N66" s="21">
        <f>(H66/H59-1)*100</f>
        <v>15.290369822373528</v>
      </c>
      <c r="O66" s="58" t="s">
        <v>428</v>
      </c>
      <c r="P66" s="21">
        <f>(H66/H62-1)*100</f>
        <v>11.964458520277987</v>
      </c>
      <c r="Q66" s="58" t="s">
        <v>428</v>
      </c>
      <c r="R66" s="18">
        <f>F66/J66</f>
        <v>0.42588057884397224</v>
      </c>
      <c r="S66" s="4" t="s">
        <v>527</v>
      </c>
      <c r="T66" s="18">
        <f>F67/H66</f>
        <v>0.60030512558602445</v>
      </c>
      <c r="U66" s="4"/>
      <c r="V66" s="4">
        <f>CoachNAqtrSalesOld!L68</f>
        <v>220</v>
      </c>
      <c r="W66" s="4"/>
      <c r="X66" s="15">
        <f>H66/V66</f>
        <v>0.69419999999999993</v>
      </c>
      <c r="Y66" s="4"/>
      <c r="Z66" s="78">
        <f>(X66/X59-1)*100</f>
        <v>1.665144297911203</v>
      </c>
      <c r="AA66" s="58" t="s">
        <v>428</v>
      </c>
      <c r="AB66" s="190">
        <f>CoachNAqtrSalesOld!AG68</f>
        <v>0</v>
      </c>
      <c r="AC66" s="4"/>
      <c r="AG66" s="58" t="s">
        <v>428</v>
      </c>
      <c r="AH66" s="43">
        <f>J66/(F66/(365/4))</f>
        <v>214.2619422742703</v>
      </c>
      <c r="AI66" s="4"/>
      <c r="AJ66" s="43">
        <f>H66/(F67/(365/4))</f>
        <v>152.00603178412101</v>
      </c>
      <c r="AK66" s="4"/>
      <c r="AL66" s="106">
        <f>((F66-('yrP&amp;L'!J21/4))/J66)</f>
        <v>0.30900673750034591</v>
      </c>
      <c r="AM66" s="107" t="s">
        <v>527</v>
      </c>
      <c r="AN66" s="4"/>
      <c r="AO66" s="4"/>
    </row>
    <row r="67" spans="1:41" hidden="1" outlineLevel="1">
      <c r="A67" s="4" t="s">
        <v>458</v>
      </c>
      <c r="B67" s="4" t="str">
        <f>CoachNAqtrSalesOld!B69</f>
        <v>Dec</v>
      </c>
      <c r="C67" s="4"/>
      <c r="D67" s="14">
        <f>+'qtrP&amp;L'!AJ11</f>
        <v>308.52300000000002</v>
      </c>
      <c r="E67" s="4"/>
      <c r="F67" s="14">
        <f>+'qtrP&amp;L'!AJ21</f>
        <v>91.680999999999997</v>
      </c>
      <c r="G67" s="4"/>
      <c r="H67" s="14">
        <f>+work!P11</f>
        <v>135.90799999999999</v>
      </c>
      <c r="I67" s="4"/>
      <c r="J67" s="14">
        <f>AVERAGE(H66:H67)</f>
        <v>144.31599999999997</v>
      </c>
      <c r="K67" s="4"/>
      <c r="L67" s="21">
        <f>(D67/D60-1)*100</f>
        <v>30.868716861081658</v>
      </c>
      <c r="M67" s="4"/>
      <c r="N67" s="21">
        <f>(H67/H60-1)*100</f>
        <v>17.746742445245346</v>
      </c>
      <c r="O67" s="4"/>
      <c r="P67" s="21">
        <f>(H67/H66-1)*100</f>
        <v>-11.010712134307642</v>
      </c>
      <c r="Q67" s="4"/>
      <c r="R67" s="18">
        <f>F67/J67</f>
        <v>0.63527952548573974</v>
      </c>
      <c r="S67" s="4"/>
      <c r="T67" s="18">
        <f>F68/H67</f>
        <v>0.44580892957000329</v>
      </c>
      <c r="U67" s="4"/>
      <c r="V67" s="4">
        <f>CoachNAqtrSalesOld!L69</f>
        <v>226</v>
      </c>
      <c r="W67" s="4"/>
      <c r="X67" s="18">
        <f>H67/V67</f>
        <v>0.601362831858407</v>
      </c>
      <c r="Y67" s="4"/>
      <c r="Z67" s="78">
        <f>(X67/X60-1)*100</f>
        <v>6.2846701718143771</v>
      </c>
      <c r="AA67" s="4"/>
      <c r="AB67" s="190">
        <f>CoachNAqtrSalesOld!AG69</f>
        <v>0</v>
      </c>
      <c r="AC67" s="4"/>
      <c r="AG67" s="11"/>
      <c r="AH67" s="43">
        <f>J67/(F67/(365/4))</f>
        <v>143.63755849085413</v>
      </c>
      <c r="AI67" s="4"/>
      <c r="AJ67" s="43">
        <f>H67/(F68/(365/4))</f>
        <v>204.68410107445243</v>
      </c>
      <c r="AK67" s="4"/>
      <c r="AL67" s="106">
        <f>((F67-('yrP&amp;L'!J21/4))/J67)</f>
        <v>0.5182048421519444</v>
      </c>
      <c r="AM67" s="107"/>
      <c r="AN67" s="4"/>
      <c r="AO67" s="4"/>
    </row>
    <row r="68" spans="1:41" hidden="1" outlineLevel="1">
      <c r="A68" s="4" t="s">
        <v>459</v>
      </c>
      <c r="B68" s="4" t="str">
        <f>CoachNAqtrSalesOld!B70</f>
        <v>Mar</v>
      </c>
      <c r="C68" s="4"/>
      <c r="D68" s="14">
        <f>+'qtrP&amp;L'!AJ12</f>
        <v>220.39599999999999</v>
      </c>
      <c r="E68" s="4"/>
      <c r="F68" s="14">
        <f>+'qtrP&amp;L'!AJ22</f>
        <v>60.588999999999999</v>
      </c>
      <c r="G68" s="4"/>
      <c r="H68" s="14">
        <f>+work!P12</f>
        <v>135.99600000000001</v>
      </c>
      <c r="I68" s="4"/>
      <c r="J68" s="14">
        <f>AVERAGE(H67:H68)</f>
        <v>135.952</v>
      </c>
      <c r="K68" s="4"/>
      <c r="L68" s="21">
        <f>(D68/D61-1)*100</f>
        <v>36.408142550333913</v>
      </c>
      <c r="M68" s="4"/>
      <c r="N68" s="21">
        <f>(H68/H61-1)*100</f>
        <v>3.1969222130320496</v>
      </c>
      <c r="O68" s="4"/>
      <c r="P68" s="21">
        <f>(H68/H67-1)*100</f>
        <v>6.4749683609521824E-2</v>
      </c>
      <c r="Q68" s="4"/>
      <c r="R68" s="18">
        <f>F68/J68</f>
        <v>0.44566464634576908</v>
      </c>
      <c r="S68" s="4"/>
      <c r="T68" s="18">
        <f>F69/H68</f>
        <v>0.45560163534221593</v>
      </c>
      <c r="U68" s="4"/>
      <c r="V68" s="4">
        <f>CoachNAqtrSalesOld!L70</f>
        <v>225</v>
      </c>
      <c r="W68" s="4"/>
      <c r="X68" s="18">
        <f>H68/V68</f>
        <v>0.60442666666666667</v>
      </c>
      <c r="Y68" s="4"/>
      <c r="Z68" s="78">
        <f>(X68/X61-1)*100</f>
        <v>-5.9761375392374809</v>
      </c>
      <c r="AA68" s="4"/>
      <c r="AB68" s="190">
        <f>CoachNAqtrSalesOld!AG70</f>
        <v>0</v>
      </c>
      <c r="AC68" s="4"/>
      <c r="AG68" s="11"/>
      <c r="AH68" s="43">
        <f>J68/(F68/(365/4))</f>
        <v>204.75036722837478</v>
      </c>
      <c r="AI68" s="4"/>
      <c r="AJ68" s="43">
        <f>H68/(F69/(365/4))</f>
        <v>200.28461910910266</v>
      </c>
      <c r="AK68" s="4"/>
      <c r="AL68" s="106">
        <f>((F68-('yrP&amp;L'!J21/4))/J68)</f>
        <v>0.3213873278804284</v>
      </c>
      <c r="AM68" s="107"/>
      <c r="AN68" s="4"/>
      <c r="AO68" s="4"/>
    </row>
    <row r="69" spans="1:41" hidden="1" outlineLevel="1">
      <c r="A69" s="4" t="s">
        <v>460</v>
      </c>
      <c r="B69" s="4" t="str">
        <f>CoachNAqtrSalesOld!B71</f>
        <v>June</v>
      </c>
      <c r="C69" s="4"/>
      <c r="D69" s="17">
        <f>+'qtrP&amp;L'!AJ13</f>
        <v>231.51599999999999</v>
      </c>
      <c r="E69" s="4"/>
      <c r="F69" s="17">
        <f>+'qtrP&amp;L'!AJ23</f>
        <v>61.96</v>
      </c>
      <c r="G69" s="4"/>
      <c r="H69" s="14">
        <f>+work!P13</f>
        <v>143.80699999999999</v>
      </c>
      <c r="I69" s="4"/>
      <c r="J69" s="17">
        <f>AVERAGE(H68:H69)</f>
        <v>139.9015</v>
      </c>
      <c r="K69" s="4"/>
      <c r="L69" s="44">
        <f>(D69/D62-1)*100</f>
        <v>35.089275294666812</v>
      </c>
      <c r="M69" s="4"/>
      <c r="N69" s="78">
        <f>(H69/H62-1)*100</f>
        <v>5.4272601976481649</v>
      </c>
      <c r="O69" s="4"/>
      <c r="P69" s="21">
        <f>(H69/H68-1)*100</f>
        <v>5.7435512809200118</v>
      </c>
      <c r="Q69" s="4"/>
      <c r="R69" s="18">
        <f>F69/J69</f>
        <v>0.44288302841642158</v>
      </c>
      <c r="S69" s="4"/>
      <c r="T69" s="18">
        <f>F73/H69</f>
        <v>0.49000396364571963</v>
      </c>
      <c r="U69" s="4"/>
      <c r="V69" s="4">
        <f>CoachNAqtrSalesOld!L71</f>
        <v>232</v>
      </c>
      <c r="W69" s="4"/>
      <c r="X69" s="18">
        <f>H69/V69</f>
        <v>0.61985775862068959</v>
      </c>
      <c r="Y69" s="4"/>
      <c r="Z69" s="78">
        <f>(X69/X62-1)*100</f>
        <v>-3.6612967159422083</v>
      </c>
      <c r="AA69" s="4"/>
      <c r="AB69" s="190">
        <f>CoachNAqtrSalesOld!AG71</f>
        <v>0.59620800000000007</v>
      </c>
      <c r="AC69" s="4"/>
      <c r="AD69" s="18">
        <f>H69/AB69</f>
        <v>241.20273461610708</v>
      </c>
      <c r="AE69" s="4"/>
      <c r="AF69" s="94">
        <f>(AD69/AD62-1)*100</f>
        <v>-7.8703305204622094</v>
      </c>
      <c r="AG69" s="11"/>
      <c r="AH69" s="43">
        <f>J69/(F69/(365/4))</f>
        <v>206.036344012266</v>
      </c>
      <c r="AI69" s="4"/>
      <c r="AJ69" s="43">
        <f>H69/(F73/(365/4))</f>
        <v>186.22298342463031</v>
      </c>
      <c r="AK69" s="4"/>
      <c r="AL69" s="106">
        <f>((F69-('yrP&amp;L'!J21/4))/J69)</f>
        <v>0.32211413029881741</v>
      </c>
      <c r="AM69" s="108"/>
      <c r="AN69" s="4"/>
      <c r="AO69" s="4"/>
    </row>
    <row r="70" spans="1:41" hidden="1" outlineLevel="1">
      <c r="A70" s="4"/>
      <c r="B70" s="4" t="str">
        <f>CoachNAqtrSalesOld!B72</f>
        <v>Year</v>
      </c>
      <c r="C70" s="4"/>
      <c r="D70" s="13">
        <f>SUM(D66:D69)</f>
        <v>953.226</v>
      </c>
      <c r="E70" s="4"/>
      <c r="F70" s="13">
        <f>SUM(F66:F69)</f>
        <v>275.79699999999997</v>
      </c>
      <c r="G70" s="4"/>
      <c r="H70" s="4"/>
      <c r="I70" s="4"/>
      <c r="J70" s="13">
        <f>AVERAGE(J66:J69)</f>
        <v>141.18337500000001</v>
      </c>
      <c r="K70" s="4"/>
      <c r="L70" s="21">
        <f>(D70/D63-1)*100</f>
        <v>32.502366545594043</v>
      </c>
      <c r="M70" s="4"/>
      <c r="N70" s="4"/>
      <c r="O70" s="4"/>
      <c r="P70" s="4"/>
      <c r="Q70" s="4"/>
      <c r="R70" s="79">
        <f>F70/J70</f>
        <v>1.9534665466100378</v>
      </c>
      <c r="S70" s="77" t="s">
        <v>527</v>
      </c>
      <c r="T70" s="18"/>
      <c r="U70" s="4"/>
      <c r="V70" s="4"/>
      <c r="W70" s="4"/>
      <c r="X70" s="4"/>
      <c r="Y70" s="4"/>
      <c r="Z70" s="4"/>
      <c r="AA70" s="4"/>
      <c r="AB70" s="190"/>
      <c r="AC70" s="4"/>
      <c r="AD70" s="4"/>
      <c r="AE70" s="4"/>
      <c r="AF70" s="4"/>
      <c r="AG70" s="4"/>
      <c r="AH70" s="4"/>
      <c r="AI70" s="4"/>
      <c r="AJ70" s="4"/>
      <c r="AK70" s="4"/>
      <c r="AL70" s="109">
        <f>((F70-('yrP&amp;L'!J21))/J70)</f>
        <v>1.4747770408520122</v>
      </c>
      <c r="AM70" s="110" t="s">
        <v>527</v>
      </c>
      <c r="AN70" s="4"/>
      <c r="AO70" s="4"/>
    </row>
    <row r="71" spans="1:41" hidden="1" outlineLevel="1">
      <c r="A71" s="4"/>
      <c r="B71" s="4"/>
      <c r="C71" s="4"/>
      <c r="D71" s="4"/>
      <c r="E71" s="4"/>
      <c r="F71" s="4"/>
      <c r="G71" s="4"/>
      <c r="H71" s="4"/>
      <c r="I71" s="4"/>
      <c r="J71" s="4"/>
      <c r="K71" s="4"/>
      <c r="L71" s="4"/>
      <c r="M71" s="4"/>
      <c r="N71" s="4"/>
      <c r="O71" s="58"/>
      <c r="P71" s="4"/>
      <c r="Q71" s="58"/>
      <c r="R71" s="4"/>
      <c r="S71" s="4"/>
      <c r="T71" s="18"/>
      <c r="U71" s="4"/>
      <c r="V71" s="4"/>
      <c r="W71" s="4"/>
      <c r="X71" s="4"/>
      <c r="Y71" s="4"/>
      <c r="Z71" s="4"/>
      <c r="AA71" s="58"/>
      <c r="AB71" s="190"/>
      <c r="AC71" s="4"/>
      <c r="AD71" s="4"/>
      <c r="AE71" s="4"/>
      <c r="AF71" s="4"/>
      <c r="AG71" s="58"/>
      <c r="AH71" s="4"/>
      <c r="AI71" s="4"/>
      <c r="AJ71" s="4"/>
      <c r="AK71" s="4"/>
      <c r="AL71" s="4"/>
      <c r="AM71" s="4"/>
      <c r="AN71" s="4"/>
      <c r="AO71" s="4"/>
    </row>
    <row r="72" spans="1:41" hidden="1" outlineLevel="1" collapsed="1">
      <c r="A72" s="4"/>
      <c r="B72" s="40" t="s">
        <v>621</v>
      </c>
      <c r="C72" s="4"/>
      <c r="D72" s="4"/>
      <c r="E72" s="4"/>
      <c r="F72" s="4"/>
      <c r="G72" s="4"/>
      <c r="H72" s="4"/>
      <c r="I72" s="4"/>
      <c r="J72" s="4"/>
      <c r="K72" s="4"/>
      <c r="L72" s="4"/>
      <c r="M72" s="4"/>
      <c r="N72" s="4"/>
      <c r="O72" s="58"/>
      <c r="P72" s="4"/>
      <c r="Q72" s="58"/>
      <c r="R72" s="4"/>
      <c r="S72" s="4"/>
      <c r="T72" s="18"/>
      <c r="U72" s="4"/>
      <c r="V72" s="4"/>
      <c r="W72" s="4"/>
      <c r="X72" s="4"/>
      <c r="Y72" s="4"/>
      <c r="Z72" s="4"/>
      <c r="AA72" s="58"/>
      <c r="AB72" s="190"/>
      <c r="AC72" s="4"/>
      <c r="AD72" s="4"/>
      <c r="AE72" s="4"/>
      <c r="AF72" s="4"/>
      <c r="AG72" s="58"/>
      <c r="AH72" s="4"/>
      <c r="AI72" s="4"/>
      <c r="AJ72" s="4"/>
      <c r="AK72" s="4"/>
      <c r="AL72" s="4"/>
      <c r="AM72" s="4"/>
      <c r="AN72" s="4"/>
      <c r="AO72" s="4"/>
    </row>
    <row r="73" spans="1:41" hidden="1" outlineLevel="1">
      <c r="A73" s="4" t="s">
        <v>457</v>
      </c>
      <c r="B73" s="4" t="s">
        <v>63</v>
      </c>
      <c r="C73" s="4"/>
      <c r="D73" s="13">
        <f>+'qtrP&amp;L'!AN$10</f>
        <v>258.375</v>
      </c>
      <c r="E73" s="4"/>
      <c r="F73" s="13">
        <f>+'qtrP&amp;L'!AN$20</f>
        <v>70.465999999999994</v>
      </c>
      <c r="G73" s="4"/>
      <c r="H73" s="13">
        <f>+work!T10</f>
        <v>176.79400000000001</v>
      </c>
      <c r="I73" s="4"/>
      <c r="J73" s="13">
        <f>AVERAGE(H73,H69)</f>
        <v>160.3005</v>
      </c>
      <c r="K73" s="4"/>
      <c r="L73" s="21">
        <f>(D73/D66-1)*100</f>
        <v>34.018185496210918</v>
      </c>
      <c r="M73" s="4" t="s">
        <v>428</v>
      </c>
      <c r="N73" s="21">
        <f>(H73/H66-1)*100</f>
        <v>15.760456771692732</v>
      </c>
      <c r="O73" s="58" t="s">
        <v>428</v>
      </c>
      <c r="P73" s="21">
        <f>(H73/H69-1)*100</f>
        <v>22.938382693471127</v>
      </c>
      <c r="Q73" s="58" t="s">
        <v>428</v>
      </c>
      <c r="R73" s="18">
        <f>F73/J73</f>
        <v>0.4395869008518376</v>
      </c>
      <c r="S73" s="4" t="s">
        <v>527</v>
      </c>
      <c r="T73" s="18">
        <f>F74/H73</f>
        <v>0.6016606898424155</v>
      </c>
      <c r="U73" s="4"/>
      <c r="V73" s="4">
        <f>CoachNAqtrSalesOld!L75</f>
        <v>239</v>
      </c>
      <c r="W73" s="4"/>
      <c r="X73" s="15">
        <f>H73/V73</f>
        <v>0.739723849372385</v>
      </c>
      <c r="Y73" s="4"/>
      <c r="Z73" s="78">
        <f>(X73/X66-1)*100</f>
        <v>6.557742635030972</v>
      </c>
      <c r="AA73" s="58" t="s">
        <v>428</v>
      </c>
      <c r="AB73" s="190">
        <f>CoachNAqtrSalesOld!AG75</f>
        <v>0</v>
      </c>
      <c r="AC73" s="4"/>
      <c r="AG73" s="58" t="s">
        <v>428</v>
      </c>
      <c r="AH73" s="43">
        <f>J73/(F73/(365/4))</f>
        <v>207.58125372520084</v>
      </c>
      <c r="AI73" s="4"/>
      <c r="AJ73" s="43">
        <f>H73/(F74/(365/4))</f>
        <v>151.6635564538874</v>
      </c>
      <c r="AK73" s="4"/>
      <c r="AL73" s="106">
        <f>((F73-('yrP&amp;L'!K21/4))/J73)</f>
        <v>0.31200308171215935</v>
      </c>
      <c r="AM73" s="107" t="s">
        <v>527</v>
      </c>
      <c r="AN73" s="4"/>
      <c r="AO73" s="4"/>
    </row>
    <row r="74" spans="1:41" hidden="1" outlineLevel="1">
      <c r="A74" s="4" t="s">
        <v>458</v>
      </c>
      <c r="B74" s="4" t="s">
        <v>167</v>
      </c>
      <c r="C74" s="4"/>
      <c r="D74" s="14">
        <f>+'qtrP&amp;L'!AN$11</f>
        <v>411.51299999999998</v>
      </c>
      <c r="E74" s="4"/>
      <c r="F74" s="14">
        <f>+'qtrP&amp;L'!AN$21</f>
        <v>106.37</v>
      </c>
      <c r="G74" s="4"/>
      <c r="H74" s="14">
        <f>work!T11</f>
        <v>157.226</v>
      </c>
      <c r="I74" s="4"/>
      <c r="J74" s="14">
        <f>AVERAGE(H73:H74)</f>
        <v>167.01</v>
      </c>
      <c r="K74" s="4"/>
      <c r="L74" s="21">
        <f>(D74/D67-1)*100</f>
        <v>33.381627949942128</v>
      </c>
      <c r="M74" s="4"/>
      <c r="N74" s="21">
        <f>(H74/H67-1)*100</f>
        <v>15.685610854401521</v>
      </c>
      <c r="O74" s="4"/>
      <c r="P74" s="21">
        <f>(H74/H73-1)*100</f>
        <v>-11.068248922474755</v>
      </c>
      <c r="Q74" s="4"/>
      <c r="R74" s="18">
        <f>F74/J74</f>
        <v>0.63690796958265983</v>
      </c>
      <c r="S74" s="4"/>
      <c r="T74" s="18">
        <f>F75/H74</f>
        <v>0.48055665093559585</v>
      </c>
      <c r="U74" s="4"/>
      <c r="V74" s="4">
        <f>CoachNAqtrSalesOld!L76</f>
        <v>242</v>
      </c>
      <c r="W74" s="4"/>
      <c r="X74" s="18">
        <f>H74/V74</f>
        <v>0.64969421487603307</v>
      </c>
      <c r="Y74" s="4"/>
      <c r="Z74" s="78">
        <f>(X74/X67-1)*100</f>
        <v>8.0369754260113382</v>
      </c>
      <c r="AA74" s="4"/>
      <c r="AB74" s="190">
        <f>CoachNAqtrSalesOld!AG76</f>
        <v>0</v>
      </c>
      <c r="AC74" s="4"/>
      <c r="AG74" s="11"/>
      <c r="AH74" s="43">
        <f>J74/(F74/(365/4))</f>
        <v>143.27030647739025</v>
      </c>
      <c r="AI74" s="4"/>
      <c r="AJ74" s="43">
        <f>H74/(F75/(365/4))</f>
        <v>189.88396024141034</v>
      </c>
      <c r="AK74" s="4"/>
      <c r="AL74" s="106">
        <f>((F74-('yrP&amp;L'!K21/4))/J74)</f>
        <v>0.51444973354888934</v>
      </c>
      <c r="AM74" s="107"/>
      <c r="AN74" s="4"/>
      <c r="AO74" s="4"/>
    </row>
    <row r="75" spans="1:41" hidden="1" outlineLevel="1">
      <c r="A75" s="4" t="s">
        <v>459</v>
      </c>
      <c r="B75" s="4" t="s">
        <v>166</v>
      </c>
      <c r="C75" s="4"/>
      <c r="D75" s="14">
        <f>+'qtrP&amp;L'!AN$12</f>
        <v>313.07299999999998</v>
      </c>
      <c r="E75" s="4"/>
      <c r="F75" s="14">
        <f>+'qtrP&amp;L'!AN$22</f>
        <v>75.555999999999997</v>
      </c>
      <c r="G75" s="4"/>
      <c r="H75" s="14">
        <f>work!T12</f>
        <v>153.834</v>
      </c>
      <c r="I75" s="4"/>
      <c r="J75" s="14">
        <f>AVERAGE(H74:H75)</f>
        <v>155.53</v>
      </c>
      <c r="K75" s="4"/>
      <c r="L75" s="21">
        <f>(D75/D68-1)*100</f>
        <v>42.050218697254024</v>
      </c>
      <c r="M75" s="4"/>
      <c r="N75" s="21">
        <f>(H75/H68-1)*100</f>
        <v>13.116562251830931</v>
      </c>
      <c r="O75" s="4"/>
      <c r="P75" s="21">
        <f>(H75/H74-1)*100</f>
        <v>-2.1574039917062082</v>
      </c>
      <c r="Q75" s="4"/>
      <c r="R75" s="18">
        <f>F75/J75</f>
        <v>0.48579695235645853</v>
      </c>
      <c r="S75" s="4"/>
      <c r="T75" s="18">
        <f>F76/H75</f>
        <v>0.51114838072207702</v>
      </c>
      <c r="U75" s="4"/>
      <c r="V75" s="4">
        <f>CoachNAqtrSalesOld!L77</f>
        <v>244</v>
      </c>
      <c r="W75" s="4"/>
      <c r="X75" s="18">
        <f>H75/V75</f>
        <v>0.63046721311475407</v>
      </c>
      <c r="Y75" s="4"/>
      <c r="Z75" s="78">
        <f>(X75/X68-1)*100</f>
        <v>4.3083053551719708</v>
      </c>
      <c r="AA75" s="4"/>
      <c r="AB75" s="190">
        <f>CoachNAqtrSalesOld!AG77</f>
        <v>0</v>
      </c>
      <c r="AC75" s="4"/>
      <c r="AG75" s="11"/>
      <c r="AH75" s="43">
        <f>J75/(F75/(365/4))</f>
        <v>187.83567817248135</v>
      </c>
      <c r="AI75" s="4"/>
      <c r="AJ75" s="43">
        <f>H75/(F76/(365/4))</f>
        <v>178.51959126055547</v>
      </c>
      <c r="AK75" s="4"/>
      <c r="AL75" s="106">
        <f>((F75-('yrP&amp;L'!K21/4))/J75)</f>
        <v>0.35429981354079598</v>
      </c>
      <c r="AM75" s="107"/>
      <c r="AN75" s="4"/>
      <c r="AO75" s="4"/>
    </row>
    <row r="76" spans="1:41" hidden="1" outlineLevel="1">
      <c r="A76" s="4" t="s">
        <v>460</v>
      </c>
      <c r="B76" s="4" t="s">
        <v>62</v>
      </c>
      <c r="C76" s="4"/>
      <c r="D76" s="17">
        <f>+'qtrP&amp;L'!AN$13</f>
        <v>338.14499999999998</v>
      </c>
      <c r="E76" s="4"/>
      <c r="F76" s="17">
        <f>+'qtrP&amp;L'!AN$23</f>
        <v>78.632000000000005</v>
      </c>
      <c r="G76" s="4"/>
      <c r="H76" s="14">
        <f>work!T13</f>
        <v>161.91300000000001</v>
      </c>
      <c r="I76" s="4"/>
      <c r="J76" s="17">
        <f>AVERAGE(H75:H76)</f>
        <v>157.87350000000001</v>
      </c>
      <c r="K76" s="4"/>
      <c r="L76" s="44">
        <f>(D76/D69-1)*100</f>
        <v>46.05686000103664</v>
      </c>
      <c r="M76" s="4"/>
      <c r="N76" s="78">
        <f>(H76/H69-1)*100</f>
        <v>12.590485859520072</v>
      </c>
      <c r="O76" s="4"/>
      <c r="P76" s="21">
        <f>(H76/H75-1)*100</f>
        <v>5.2517648894262692</v>
      </c>
      <c r="Q76" s="4"/>
      <c r="R76" s="18">
        <f>F76/J76</f>
        <v>0.49806965703553796</v>
      </c>
      <c r="S76" s="4"/>
      <c r="T76" s="18">
        <f>F80/H76</f>
        <v>0.53047624341467325</v>
      </c>
      <c r="U76" s="4"/>
      <c r="V76" s="4">
        <f>CoachNAqtrSalesOld!L78</f>
        <v>250</v>
      </c>
      <c r="W76" s="4"/>
      <c r="X76" s="18">
        <f>H76/V76</f>
        <v>0.64765200000000001</v>
      </c>
      <c r="Y76" s="4"/>
      <c r="Z76" s="78">
        <f>(X76/X69-1)*100</f>
        <v>4.4839708776346132</v>
      </c>
      <c r="AA76" s="4"/>
      <c r="AB76" s="190">
        <f>CoachNAqtrSalesOld!AG78</f>
        <v>0.66297200000000001</v>
      </c>
      <c r="AC76" s="4"/>
      <c r="AD76" s="18">
        <f>H76/AB76</f>
        <v>244.22298377608709</v>
      </c>
      <c r="AE76" s="4"/>
      <c r="AF76" s="94">
        <f>(AD76/AD69-1)*100</f>
        <v>1.2521620722032667</v>
      </c>
      <c r="AG76" s="11"/>
      <c r="AH76" s="43">
        <f>J76/(F76/(365/4))</f>
        <v>183.20730586784006</v>
      </c>
      <c r="AI76" s="4"/>
      <c r="AJ76" s="43">
        <f>H76/(F77/(365/4))</f>
        <v>44.632900484557013</v>
      </c>
      <c r="AK76" s="4"/>
      <c r="AL76" s="106">
        <f>((F76-('yrP&amp;L'!K21/4))/J76)</f>
        <v>0.36852448320965842</v>
      </c>
      <c r="AM76" s="108"/>
      <c r="AN76" s="4"/>
      <c r="AO76" s="4"/>
    </row>
    <row r="77" spans="1:41" hidden="1" outlineLevel="1">
      <c r="A77" s="4"/>
      <c r="B77" s="4" t="s">
        <v>461</v>
      </c>
      <c r="C77" s="4"/>
      <c r="D77" s="13">
        <f>SUM(D73:D76)</f>
        <v>1321.1059999999998</v>
      </c>
      <c r="E77" s="4"/>
      <c r="F77" s="13">
        <f>SUM(F73:F76)</f>
        <v>331.024</v>
      </c>
      <c r="G77" s="4"/>
      <c r="H77" s="4"/>
      <c r="I77" s="4"/>
      <c r="J77" s="13">
        <f>AVERAGE(J73:J76)</f>
        <v>160.17850000000001</v>
      </c>
      <c r="K77" s="4"/>
      <c r="L77" s="21">
        <f>(D77/D70-1)*100</f>
        <v>38.593156292421703</v>
      </c>
      <c r="M77" s="4"/>
      <c r="N77" s="4"/>
      <c r="O77" s="4"/>
      <c r="P77" s="4"/>
      <c r="Q77" s="4"/>
      <c r="R77" s="79">
        <f>F77/J77</f>
        <v>2.0665944555605149</v>
      </c>
      <c r="S77" s="77" t="s">
        <v>527</v>
      </c>
      <c r="T77" s="18"/>
      <c r="U77" s="4"/>
      <c r="V77" s="4"/>
      <c r="W77" s="4"/>
      <c r="X77" s="4"/>
      <c r="Y77" s="4"/>
      <c r="Z77" s="4"/>
      <c r="AA77" s="4"/>
      <c r="AB77" s="190"/>
      <c r="AC77" s="4"/>
      <c r="AD77" s="4"/>
      <c r="AE77" s="4"/>
      <c r="AF77" s="4"/>
      <c r="AG77" s="4"/>
      <c r="AH77" s="4"/>
      <c r="AI77" s="4"/>
      <c r="AJ77" s="4"/>
      <c r="AK77" s="4"/>
      <c r="AL77" s="109">
        <f>((F77-('yrP&amp;L'!K21))/J77)</f>
        <v>1.5558704819935258</v>
      </c>
      <c r="AM77" s="110" t="s">
        <v>527</v>
      </c>
      <c r="AN77" s="4"/>
      <c r="AO77" s="4"/>
    </row>
    <row r="78" spans="1:41" hidden="1" outlineLevel="1">
      <c r="A78" s="4"/>
      <c r="B78" s="4"/>
      <c r="C78" s="4"/>
      <c r="D78" s="4"/>
      <c r="E78" s="4"/>
      <c r="F78" s="4"/>
      <c r="G78" s="4"/>
      <c r="H78" s="4"/>
      <c r="I78" s="4"/>
      <c r="J78" s="4"/>
      <c r="K78" s="4"/>
      <c r="L78" s="4"/>
      <c r="M78" s="4"/>
      <c r="N78" s="4"/>
      <c r="O78" s="58"/>
      <c r="P78" s="4"/>
      <c r="Q78" s="58"/>
      <c r="R78" s="4"/>
      <c r="S78" s="4"/>
      <c r="T78" s="18"/>
      <c r="U78" s="4"/>
      <c r="V78" s="4"/>
      <c r="W78" s="4"/>
      <c r="X78" s="4"/>
      <c r="Y78" s="4"/>
      <c r="Z78" s="4"/>
      <c r="AA78" s="58"/>
      <c r="AB78" s="190"/>
      <c r="AC78" s="4"/>
      <c r="AD78" s="4"/>
      <c r="AE78" s="4"/>
      <c r="AF78" s="4"/>
      <c r="AG78" s="58"/>
      <c r="AH78" s="4"/>
      <c r="AI78" s="4"/>
      <c r="AJ78" s="4"/>
      <c r="AK78" s="4"/>
      <c r="AL78" s="4"/>
      <c r="AM78" s="4"/>
      <c r="AN78" s="4"/>
      <c r="AO78" s="4"/>
    </row>
    <row r="79" spans="1:41" hidden="1" outlineLevel="1">
      <c r="A79" s="4"/>
      <c r="B79" s="40" t="s">
        <v>343</v>
      </c>
      <c r="C79" s="4"/>
      <c r="D79" s="4"/>
      <c r="E79" s="4"/>
      <c r="F79" s="4"/>
      <c r="G79" s="4"/>
      <c r="H79" s="4"/>
      <c r="I79" s="4"/>
      <c r="J79" s="4"/>
      <c r="K79" s="4"/>
      <c r="L79" s="4"/>
      <c r="M79" s="4"/>
      <c r="N79" s="4"/>
      <c r="O79" s="58"/>
      <c r="P79" s="4"/>
      <c r="Q79" s="58"/>
      <c r="R79" s="4"/>
      <c r="S79" s="4"/>
      <c r="T79" s="18"/>
      <c r="U79" s="4"/>
      <c r="V79" s="4"/>
      <c r="W79" s="4"/>
      <c r="X79" s="4"/>
      <c r="Y79" s="4"/>
      <c r="Z79" s="4"/>
      <c r="AA79" s="58"/>
      <c r="AB79" s="190"/>
      <c r="AC79" s="4"/>
      <c r="AD79" s="4"/>
      <c r="AE79" s="4"/>
      <c r="AF79" s="4"/>
      <c r="AG79" s="58"/>
      <c r="AH79" s="4"/>
      <c r="AI79" s="4"/>
      <c r="AJ79" s="4"/>
      <c r="AK79" s="4"/>
      <c r="AL79" s="4"/>
      <c r="AM79" s="4"/>
      <c r="AN79" s="4"/>
      <c r="AO79" s="4"/>
    </row>
    <row r="80" spans="1:41" hidden="1" outlineLevel="1">
      <c r="A80" s="4" t="s">
        <v>457</v>
      </c>
      <c r="B80" s="4" t="s">
        <v>63</v>
      </c>
      <c r="C80" s="4"/>
      <c r="D80" s="13">
        <f>+'qtrP&amp;L'!AR$10</f>
        <v>344.065</v>
      </c>
      <c r="E80" s="4"/>
      <c r="F80" s="13">
        <f>+'qtrP&amp;L'!AR$20</f>
        <v>85.891000000000005</v>
      </c>
      <c r="G80" s="4"/>
      <c r="H80" s="13">
        <f>work!X10</f>
        <v>204.47900000000001</v>
      </c>
      <c r="I80" s="4"/>
      <c r="J80" s="13">
        <f>AVERAGE(H80,H76)</f>
        <v>183.19600000000003</v>
      </c>
      <c r="K80" s="4"/>
      <c r="L80" s="21">
        <f>(D80/D73-1)*100</f>
        <v>33.164973391388486</v>
      </c>
      <c r="M80" s="4" t="s">
        <v>428</v>
      </c>
      <c r="N80" s="21">
        <f>(H80/H73-1)*100</f>
        <v>15.659468081495987</v>
      </c>
      <c r="O80" s="58" t="s">
        <v>428</v>
      </c>
      <c r="P80" s="21">
        <f>(H80/H76-1)*100</f>
        <v>26.289427037977187</v>
      </c>
      <c r="Q80" s="58" t="s">
        <v>428</v>
      </c>
      <c r="R80" s="18">
        <f>F80/J80</f>
        <v>0.46884757309111547</v>
      </c>
      <c r="S80" s="4" t="s">
        <v>527</v>
      </c>
      <c r="T80" s="18">
        <f>F81/H80</f>
        <v>0.6298495199996087</v>
      </c>
      <c r="U80" s="4"/>
      <c r="V80" s="4">
        <f>CoachNAqtrSalesOld!L82</f>
        <v>364</v>
      </c>
      <c r="W80" s="4"/>
      <c r="X80" s="15">
        <f>H80/V80</f>
        <v>0.56175549450549456</v>
      </c>
      <c r="Y80" s="4"/>
      <c r="Z80" s="78">
        <f>(X80/X73-1)*100</f>
        <v>-24.058755847589175</v>
      </c>
      <c r="AA80" s="58" t="s">
        <v>428</v>
      </c>
      <c r="AB80" s="190">
        <f>CoachNAqtrSalesOld!AG82</f>
        <v>0.81619386666666671</v>
      </c>
      <c r="AC80" s="4"/>
      <c r="AD80" s="82">
        <f>H80/AB80</f>
        <v>250.52748905733833</v>
      </c>
      <c r="AE80" s="4"/>
      <c r="AG80" s="58" t="s">
        <v>428</v>
      </c>
      <c r="AH80" s="43">
        <f>J80/(F80/(365/4))</f>
        <v>194.62615407900711</v>
      </c>
      <c r="AI80" s="4"/>
      <c r="AJ80" s="43">
        <f>H80/(F81/(365/4))</f>
        <v>144.87587447880676</v>
      </c>
      <c r="AK80" s="4"/>
      <c r="AL80" s="106">
        <f>((F80-('yrP&amp;L'!L21/4))/J80)</f>
        <v>0.31739230114194628</v>
      </c>
      <c r="AM80" s="107" t="s">
        <v>527</v>
      </c>
      <c r="AN80" s="4"/>
      <c r="AO80" s="4"/>
    </row>
    <row r="81" spans="1:41" hidden="1" outlineLevel="1">
      <c r="A81" s="4" t="s">
        <v>458</v>
      </c>
      <c r="B81" s="4" t="s">
        <v>167</v>
      </c>
      <c r="C81" s="4"/>
      <c r="D81" s="14">
        <f>+'qtrP&amp;L'!AR$11</f>
        <v>531.75900000000001</v>
      </c>
      <c r="E81" s="4"/>
      <c r="F81" s="14">
        <f>+'qtrP&amp;L'!AR$21</f>
        <v>128.791</v>
      </c>
      <c r="G81" s="4"/>
      <c r="H81" s="14">
        <f>work!X11</f>
        <v>190.85599999999999</v>
      </c>
      <c r="I81" s="4"/>
      <c r="J81" s="14">
        <f>AVERAGE(H80:H81)</f>
        <v>197.66750000000002</v>
      </c>
      <c r="K81" s="4"/>
      <c r="L81" s="21">
        <f>(D81/D74-1)*100</f>
        <v>29.220462051016625</v>
      </c>
      <c r="M81" s="4"/>
      <c r="N81" s="21">
        <f>(H81/H74-1)*100</f>
        <v>21.389592052205096</v>
      </c>
      <c r="O81" s="4"/>
      <c r="P81" s="21">
        <f>(H81/H80-1)*100</f>
        <v>-6.6622978398759862</v>
      </c>
      <c r="Q81" s="4"/>
      <c r="R81" s="18">
        <f>F81/J81</f>
        <v>0.65155374555756507</v>
      </c>
      <c r="S81" s="4"/>
      <c r="T81" s="18">
        <f>F82/H81</f>
        <v>0.47819298319151615</v>
      </c>
      <c r="U81" s="4"/>
      <c r="V81" s="4">
        <f>CoachNAqtrSalesOld!L83</f>
        <v>374</v>
      </c>
      <c r="W81" s="4"/>
      <c r="X81" s="18">
        <f>H81/V81</f>
        <v>0.51031016042780752</v>
      </c>
      <c r="Y81" s="4"/>
      <c r="Z81" s="78">
        <f>(X81/X74-1)*100</f>
        <v>-21.45379337798493</v>
      </c>
      <c r="AA81" s="4"/>
      <c r="AB81" s="190">
        <f>CoachNAqtrSalesOld!AG83</f>
        <v>0.85122833333333336</v>
      </c>
      <c r="AC81" s="4"/>
      <c r="AD81" s="81">
        <f>H81/AB81</f>
        <v>224.21246159960995</v>
      </c>
      <c r="AE81" s="4"/>
      <c r="AG81" s="11"/>
      <c r="AH81" s="43">
        <f>J81/(F81/(365/4))</f>
        <v>140.04984335085527</v>
      </c>
      <c r="AI81" s="4"/>
      <c r="AJ81" s="43">
        <f>H81/(F82/(365/4))</f>
        <v>190.82254070519139</v>
      </c>
      <c r="AK81" s="4"/>
      <c r="AL81" s="106">
        <f>((F81-('yrP&amp;L'!L21/4))/J81)</f>
        <v>0.51118671506443891</v>
      </c>
      <c r="AM81" s="107"/>
      <c r="AN81" s="4"/>
      <c r="AO81" s="4"/>
    </row>
    <row r="82" spans="1:41" hidden="1" outlineLevel="1">
      <c r="A82" s="4" t="s">
        <v>459</v>
      </c>
      <c r="B82" s="4" t="s">
        <v>166</v>
      </c>
      <c r="C82" s="4"/>
      <c r="D82" s="14">
        <f>+'qtrP&amp;L'!AR$12</f>
        <v>415.93900000000002</v>
      </c>
      <c r="E82" s="4"/>
      <c r="F82" s="14">
        <f>+'qtrP&amp;L'!AR$22</f>
        <v>91.266000000000005</v>
      </c>
      <c r="G82" s="4"/>
      <c r="H82" s="14">
        <f>work!X12</f>
        <v>180.81399999999999</v>
      </c>
      <c r="I82" s="4"/>
      <c r="J82" s="14">
        <f>AVERAGE(H81:H82)</f>
        <v>185.83499999999998</v>
      </c>
      <c r="K82" s="4"/>
      <c r="L82" s="21">
        <f>(D82/D75-1)*100</f>
        <v>32.85687363650014</v>
      </c>
      <c r="M82" s="4"/>
      <c r="N82" s="21">
        <f>(H82/H75-1)*100</f>
        <v>17.538385532457056</v>
      </c>
      <c r="O82" s="4"/>
      <c r="P82" s="21">
        <f>(H82/H81-1)*100</f>
        <v>-5.2615584524458248</v>
      </c>
      <c r="Q82" s="4"/>
      <c r="R82" s="18">
        <f>F82/J82</f>
        <v>0.49111308418758587</v>
      </c>
      <c r="S82" s="4"/>
      <c r="T82" s="18">
        <f>F83/H82</f>
        <v>0.51823420752817806</v>
      </c>
      <c r="U82" s="4"/>
      <c r="V82" s="4">
        <f>CoachNAqtrSalesOld!L84</f>
        <v>372</v>
      </c>
      <c r="W82" s="4"/>
      <c r="X82" s="18">
        <f>H82/V82</f>
        <v>0.48605913978494619</v>
      </c>
      <c r="Y82" s="4"/>
      <c r="Z82" s="78">
        <f>(X82/X75-1)*100</f>
        <v>-22.90492991957117</v>
      </c>
      <c r="AA82" s="4"/>
      <c r="AB82" s="190">
        <f>CoachNAqtrSalesOld!AG84</f>
        <v>0.8343104377124817</v>
      </c>
      <c r="AC82" s="4"/>
      <c r="AD82" s="81">
        <f>H82/AB82</f>
        <v>216.72268717595946</v>
      </c>
      <c r="AE82" s="4"/>
      <c r="AG82" s="11"/>
      <c r="AH82" s="43">
        <f>J82/(F82/(365/4))</f>
        <v>185.80242094536843</v>
      </c>
      <c r="AI82" s="4"/>
      <c r="AJ82" s="43">
        <f>H82/(F83/(365/4))</f>
        <v>176.07868927687184</v>
      </c>
      <c r="AK82" s="4"/>
      <c r="AL82" s="106">
        <f>((F82-('yrP&amp;L'!L21/4))/J82)</f>
        <v>0.34180859364490013</v>
      </c>
      <c r="AM82" s="107"/>
      <c r="AN82" s="4"/>
      <c r="AO82" s="4"/>
    </row>
    <row r="83" spans="1:41" hidden="1" outlineLevel="1">
      <c r="A83" s="4" t="s">
        <v>460</v>
      </c>
      <c r="B83" s="4" t="s">
        <v>62</v>
      </c>
      <c r="C83" s="4"/>
      <c r="D83" s="17">
        <f>+'qtrP&amp;L'!AR$13</f>
        <v>418.66</v>
      </c>
      <c r="E83" s="4"/>
      <c r="F83" s="17">
        <f>+'qtrP&amp;L'!AR$23</f>
        <v>93.703999999999994</v>
      </c>
      <c r="G83" s="4"/>
      <c r="H83" s="14">
        <f>work!X13</f>
        <v>184.41900000000001</v>
      </c>
      <c r="I83" s="4"/>
      <c r="J83" s="17">
        <f>AVERAGE(H82:H83)</f>
        <v>182.6165</v>
      </c>
      <c r="K83" s="4"/>
      <c r="L83" s="44">
        <f>(D83/D76-1)*100</f>
        <v>23.81079122861496</v>
      </c>
      <c r="M83" s="4"/>
      <c r="N83" s="78">
        <f>(H83/H76-1)*100</f>
        <v>13.900057438253866</v>
      </c>
      <c r="O83" s="4"/>
      <c r="P83" s="21">
        <f>(H83/H82-1)*100</f>
        <v>1.9937615450131174</v>
      </c>
      <c r="Q83" s="4"/>
      <c r="R83" s="18">
        <f>F83/J83</f>
        <v>0.51311902265129383</v>
      </c>
      <c r="S83" s="4"/>
      <c r="T83" s="18">
        <f>F87/H83</f>
        <v>0.56339097381506242</v>
      </c>
      <c r="U83" s="4"/>
      <c r="V83" s="4">
        <f>CoachNAqtrSalesOld!L85</f>
        <v>378</v>
      </c>
      <c r="W83" s="4"/>
      <c r="X83" s="18">
        <f>H83/V83</f>
        <v>0.48788095238095242</v>
      </c>
      <c r="Y83" s="4"/>
      <c r="Z83" s="78">
        <f>(X83/X76-1)*100</f>
        <v>-24.669274181049015</v>
      </c>
      <c r="AA83" s="4"/>
      <c r="AB83" s="190">
        <f>CoachNAqtrSalesOld!AG85</f>
        <v>0.90483599999999997</v>
      </c>
      <c r="AC83" s="4"/>
      <c r="AD83" s="81">
        <f>H83/AB83</f>
        <v>203.81483495351645</v>
      </c>
      <c r="AE83" s="4"/>
      <c r="AF83" s="88">
        <f>(AD83/AD76-1)*100</f>
        <v>-16.545596240695492</v>
      </c>
      <c r="AG83" s="11"/>
      <c r="AH83" s="43">
        <f>J83/(F83/(365/4))</f>
        <v>177.83398387475455</v>
      </c>
      <c r="AI83" s="4"/>
      <c r="AJ83" s="43">
        <f>H83/(F87/(365/4))</f>
        <v>161.9656761308951</v>
      </c>
      <c r="AK83" s="4"/>
      <c r="AL83" s="121">
        <f>((F83-('yrP&amp;L'!L21/4))/J83)</f>
        <v>0.36118313514934303</v>
      </c>
      <c r="AM83" s="108"/>
      <c r="AN83" s="4"/>
      <c r="AO83" s="4"/>
    </row>
    <row r="84" spans="1:41" hidden="1" outlineLevel="1">
      <c r="A84" s="4"/>
      <c r="B84" s="4" t="s">
        <v>461</v>
      </c>
      <c r="C84" s="4"/>
      <c r="D84" s="13">
        <f>SUM(D80:D83)</f>
        <v>1710.4230000000002</v>
      </c>
      <c r="E84" s="4"/>
      <c r="F84" s="13">
        <f>SUM(F80:F83)</f>
        <v>399.65200000000004</v>
      </c>
      <c r="G84" s="4"/>
      <c r="H84" s="4"/>
      <c r="I84" s="4"/>
      <c r="J84" s="13">
        <f>AVERAGE(J80:J83)</f>
        <v>187.32874999999999</v>
      </c>
      <c r="K84" s="4"/>
      <c r="L84" s="21">
        <f>(D84/D77-1)*100</f>
        <v>29.469020653906686</v>
      </c>
      <c r="M84" s="4"/>
      <c r="N84" s="4"/>
      <c r="O84" s="4"/>
      <c r="P84" s="4"/>
      <c r="Q84" s="4"/>
      <c r="R84" s="79">
        <f>F84/J84</f>
        <v>2.1334258622875564</v>
      </c>
      <c r="S84" s="77" t="s">
        <v>527</v>
      </c>
      <c r="T84" s="18"/>
      <c r="U84" s="4"/>
      <c r="V84" s="4"/>
      <c r="W84" s="4"/>
      <c r="X84" s="4"/>
      <c r="Y84" s="4"/>
      <c r="Z84" s="4"/>
      <c r="AA84" s="4"/>
      <c r="AB84" s="190"/>
      <c r="AC84" s="4"/>
      <c r="AD84" s="4"/>
      <c r="AE84" s="4"/>
      <c r="AF84" s="4"/>
      <c r="AG84" s="4"/>
      <c r="AH84" s="4"/>
      <c r="AI84" s="4"/>
      <c r="AJ84" s="4"/>
      <c r="AK84" s="4"/>
      <c r="AL84" s="109">
        <f>((F84-('yrP&amp;L'!L21))/J84)</f>
        <v>1.5409700860118911</v>
      </c>
      <c r="AM84" s="110" t="s">
        <v>527</v>
      </c>
      <c r="AN84" s="4"/>
      <c r="AO84" s="4"/>
    </row>
    <row r="85" spans="1:41" hidden="1" outlineLevel="1">
      <c r="A85" s="4"/>
      <c r="B85" s="4"/>
      <c r="C85" s="4"/>
      <c r="D85" s="4"/>
      <c r="E85" s="4"/>
      <c r="F85" s="4"/>
      <c r="G85" s="4"/>
      <c r="H85" s="4"/>
      <c r="I85" s="4"/>
      <c r="J85" s="4"/>
      <c r="K85" s="4"/>
      <c r="L85" s="4"/>
      <c r="M85" s="4"/>
      <c r="N85" s="4"/>
      <c r="O85" s="4"/>
      <c r="P85" s="4"/>
      <c r="Q85" s="4"/>
      <c r="R85" s="4"/>
      <c r="S85" s="4"/>
      <c r="T85" s="18"/>
      <c r="U85" s="4"/>
      <c r="V85" s="4"/>
      <c r="W85" s="4"/>
      <c r="X85" s="4"/>
      <c r="Y85" s="4"/>
      <c r="Z85" s="4"/>
      <c r="AA85" s="4"/>
      <c r="AB85" s="190"/>
      <c r="AC85" s="4"/>
      <c r="AD85" s="65"/>
      <c r="AE85" s="65"/>
      <c r="AF85" s="65"/>
      <c r="AG85" s="4"/>
      <c r="AH85" s="4"/>
      <c r="AI85" s="4"/>
      <c r="AJ85" s="4"/>
      <c r="AK85" s="4"/>
      <c r="AL85" s="4"/>
      <c r="AM85" s="4"/>
      <c r="AN85" s="4"/>
      <c r="AO85" s="4"/>
    </row>
    <row r="86" spans="1:41" hidden="1" outlineLevel="1">
      <c r="A86" s="4"/>
      <c r="B86" s="40" t="s">
        <v>623</v>
      </c>
      <c r="C86" s="4"/>
      <c r="D86" s="4"/>
      <c r="E86" s="4"/>
      <c r="F86" s="4"/>
      <c r="G86" s="4"/>
      <c r="H86" s="4"/>
      <c r="I86" s="4"/>
      <c r="J86" s="4"/>
      <c r="K86" s="4"/>
      <c r="L86" s="4"/>
      <c r="M86" s="4"/>
      <c r="N86" s="4"/>
      <c r="O86" s="58"/>
      <c r="P86" s="4"/>
      <c r="Q86" s="58"/>
      <c r="R86" s="4"/>
      <c r="S86" s="4"/>
      <c r="T86" s="18"/>
      <c r="U86" s="4"/>
      <c r="V86" s="4"/>
      <c r="W86" s="4"/>
      <c r="X86" s="4"/>
      <c r="Y86" s="4"/>
      <c r="Z86" s="4"/>
      <c r="AA86" s="58"/>
      <c r="AB86" s="190"/>
      <c r="AC86" s="4"/>
      <c r="AD86" s="4"/>
      <c r="AE86" s="4"/>
      <c r="AF86" s="4"/>
      <c r="AG86" s="58"/>
      <c r="AH86" s="4"/>
      <c r="AI86" s="4"/>
      <c r="AJ86" s="4"/>
      <c r="AK86" s="4"/>
      <c r="AL86" s="4"/>
      <c r="AM86" s="4"/>
      <c r="AN86" s="4"/>
      <c r="AO86" s="4"/>
    </row>
    <row r="87" spans="1:41" hidden="1" outlineLevel="1">
      <c r="A87" s="4" t="s">
        <v>457</v>
      </c>
      <c r="B87" s="4" t="s">
        <v>63</v>
      </c>
      <c r="C87" s="4"/>
      <c r="D87" s="13">
        <f>'qtrP&amp;L'!AV10</f>
        <v>434</v>
      </c>
      <c r="E87" s="4"/>
      <c r="F87" s="13">
        <f>'qtrP&amp;L'!AV20</f>
        <v>103.9</v>
      </c>
      <c r="G87" s="4"/>
      <c r="H87" s="13">
        <f>+work!AB10</f>
        <v>215.251</v>
      </c>
      <c r="I87" s="4"/>
      <c r="J87" s="13">
        <f>AVERAGE(H87,H83)</f>
        <v>199.83500000000001</v>
      </c>
      <c r="K87" s="4"/>
      <c r="L87" s="21">
        <f>(D87/D80-1)*100</f>
        <v>26.138956301861562</v>
      </c>
      <c r="M87" s="4" t="s">
        <v>428</v>
      </c>
      <c r="N87" s="21">
        <f>(H87/H80-1)*100</f>
        <v>5.2680226331310198</v>
      </c>
      <c r="O87" s="58" t="s">
        <v>428</v>
      </c>
      <c r="P87" s="21">
        <f>(H87/H83-1)*100</f>
        <v>16.718450918831572</v>
      </c>
      <c r="Q87" s="58" t="s">
        <v>428</v>
      </c>
      <c r="R87" s="18">
        <f>F87/J87</f>
        <v>0.5199289413766357</v>
      </c>
      <c r="S87" s="4" t="s">
        <v>527</v>
      </c>
      <c r="T87" s="18">
        <f>F88/H87</f>
        <v>0.64111200412541636</v>
      </c>
      <c r="U87" s="4"/>
      <c r="V87" s="4">
        <f>CoachNAqtrSalesOld!L89</f>
        <v>391</v>
      </c>
      <c r="W87" s="4"/>
      <c r="X87" s="15">
        <f>H87/V87</f>
        <v>0.55051406649616375</v>
      </c>
      <c r="Y87" s="4"/>
      <c r="Z87" s="78">
        <f>(X87/X80-1)*100</f>
        <v>-2.0011247098217444</v>
      </c>
      <c r="AA87" s="58" t="s">
        <v>428</v>
      </c>
      <c r="AB87" s="190">
        <f>CoachNAqtrSalesOld!AG89</f>
        <v>0.94541846666666673</v>
      </c>
      <c r="AC87" s="4"/>
      <c r="AD87" s="82">
        <f>H87/AB87</f>
        <v>227.67801517451494</v>
      </c>
      <c r="AE87" s="4"/>
      <c r="AF87" s="78">
        <f>(AD87/AD80-1)*100</f>
        <v>-9.1205456011231654</v>
      </c>
      <c r="AG87" s="58" t="s">
        <v>428</v>
      </c>
      <c r="AH87" s="43">
        <f>J87/(F87/(365/4))</f>
        <v>175.50475216554378</v>
      </c>
      <c r="AI87" s="4"/>
      <c r="AJ87" s="43">
        <f>H87/(F88/(365/4))</f>
        <v>142.33082427536232</v>
      </c>
      <c r="AK87" s="4"/>
      <c r="AL87" s="106">
        <f>((F87-('yrP&amp;L'!M21/4))/J87)</f>
        <v>0.36748317361823507</v>
      </c>
      <c r="AM87" s="107" t="s">
        <v>527</v>
      </c>
      <c r="AN87" s="4"/>
      <c r="AO87" s="4"/>
    </row>
    <row r="88" spans="1:41" hidden="1" outlineLevel="1">
      <c r="A88" s="4" t="s">
        <v>458</v>
      </c>
      <c r="B88" s="4" t="s">
        <v>167</v>
      </c>
      <c r="C88" s="4"/>
      <c r="D88" s="14">
        <f>'qtrP&amp;L'!AV11</f>
        <v>619.79999999999995</v>
      </c>
      <c r="E88" s="4"/>
      <c r="F88" s="14">
        <f>+'qtrP&amp;L'!AV$21</f>
        <v>138</v>
      </c>
      <c r="G88" s="4"/>
      <c r="H88" s="14">
        <f>work!AB11</f>
        <v>205.042</v>
      </c>
      <c r="I88" s="4"/>
      <c r="J88" s="14">
        <f>AVERAGE(H87:H88)</f>
        <v>210.1465</v>
      </c>
      <c r="K88" s="4"/>
      <c r="L88" s="21">
        <f>(D88/D81-1)*100</f>
        <v>16.556560396721064</v>
      </c>
      <c r="M88" s="4"/>
      <c r="N88" s="21">
        <f>(H88/H81-1)*100</f>
        <v>7.4328289390954483</v>
      </c>
      <c r="O88" s="4"/>
      <c r="P88" s="21">
        <f>(H88/H87-1)*100</f>
        <v>-4.7428351087799854</v>
      </c>
      <c r="Q88" s="4"/>
      <c r="R88" s="18">
        <f>F88/J88</f>
        <v>0.65668474135900434</v>
      </c>
      <c r="S88" s="4"/>
      <c r="T88" s="18">
        <f>F89/H88</f>
        <v>0.5048672954809259</v>
      </c>
      <c r="U88" s="4"/>
      <c r="V88" s="4">
        <f>CoachNAqtrSalesOld!L90</f>
        <v>396</v>
      </c>
      <c r="W88" s="4"/>
      <c r="X88" s="18">
        <f>H88/V88</f>
        <v>0.51778282828282829</v>
      </c>
      <c r="Y88" s="4"/>
      <c r="Z88" s="78">
        <f>(X88/X81-1)*100</f>
        <v>1.4643384424790185</v>
      </c>
      <c r="AA88" s="4"/>
      <c r="AB88" s="190">
        <f>CoachNAqtrSalesOld!AG90</f>
        <v>0.96987020000000013</v>
      </c>
      <c r="AC88" s="4"/>
      <c r="AD88" s="81">
        <f>H88/AB88</f>
        <v>211.41179510412834</v>
      </c>
      <c r="AE88" s="4"/>
      <c r="AF88" s="78">
        <f>(AD88/AD81-1)*100</f>
        <v>-5.7091681720798153</v>
      </c>
      <c r="AG88" s="11"/>
      <c r="AH88" s="43">
        <f>J88/(F88/(365/4))</f>
        <v>138.95556612318842</v>
      </c>
      <c r="AI88" s="4"/>
      <c r="AJ88" s="43">
        <f>H88/(F89/(365/4))</f>
        <v>180.74056453404685</v>
      </c>
      <c r="AK88" s="4"/>
      <c r="AL88" s="106">
        <f>((F88-('yrP&amp;L'!M21/4))/J88)</f>
        <v>0.51171920541146299</v>
      </c>
      <c r="AM88" s="107"/>
      <c r="AN88" s="4"/>
      <c r="AO88" s="4"/>
    </row>
    <row r="89" spans="1:41" hidden="1" outlineLevel="1">
      <c r="A89" s="4" t="s">
        <v>459</v>
      </c>
      <c r="B89" s="4" t="s">
        <v>166</v>
      </c>
      <c r="C89" s="4"/>
      <c r="D89" s="14">
        <f>'qtrP&amp;L'!AV12</f>
        <v>479.71800000000002</v>
      </c>
      <c r="E89" s="4"/>
      <c r="F89" s="14">
        <f>+'qtrP&amp;L'!AV$22</f>
        <v>103.51900000000001</v>
      </c>
      <c r="G89" s="4"/>
      <c r="H89" s="14">
        <f>work!AB12</f>
        <v>210.465</v>
      </c>
      <c r="I89" s="4"/>
      <c r="J89" s="14">
        <f>AVERAGE(H88:H89)</f>
        <v>207.7535</v>
      </c>
      <c r="K89" s="4"/>
      <c r="L89" s="21">
        <f>(D89/D82-1)*100</f>
        <v>15.333738841512812</v>
      </c>
      <c r="M89" s="4"/>
      <c r="N89" s="21">
        <f>(H89/H82-1)*100</f>
        <v>16.398619575917795</v>
      </c>
      <c r="O89" s="4"/>
      <c r="P89" s="21">
        <f>(H89/H88-1)*100</f>
        <v>2.6448239872806534</v>
      </c>
      <c r="Q89" s="4"/>
      <c r="R89" s="18">
        <f>F89/J89</f>
        <v>0.49827800735005667</v>
      </c>
      <c r="S89" s="4"/>
      <c r="T89" s="18">
        <f>F90/H89</f>
        <v>0.5134060295060936</v>
      </c>
      <c r="U89" s="4"/>
      <c r="V89" s="4">
        <f>CoachNAqtrSalesOld!L91</f>
        <v>402</v>
      </c>
      <c r="W89" s="4"/>
      <c r="X89" s="18">
        <f>H89/V89</f>
        <v>0.52354477611940298</v>
      </c>
      <c r="Y89" s="4"/>
      <c r="Z89" s="78">
        <f>(X89/X82-1)*100</f>
        <v>7.7121554284612426</v>
      </c>
      <c r="AA89" s="4"/>
      <c r="AB89" s="190">
        <f>CoachNAqtrSalesOld!AG91</f>
        <v>0.96211000000000002</v>
      </c>
      <c r="AC89" s="4"/>
      <c r="AD89" s="81">
        <f>H89/AB89</f>
        <v>218.75357287628233</v>
      </c>
      <c r="AE89" s="4"/>
      <c r="AF89" s="78">
        <f>(AD89/AD82-1)*100</f>
        <v>0.9370895713719074</v>
      </c>
      <c r="AG89" s="11"/>
      <c r="AH89" s="43">
        <f>J89/(F89/(365/4))</f>
        <v>183.13069943681833</v>
      </c>
      <c r="AI89" s="4"/>
      <c r="AJ89" s="43">
        <f>H89/(F90/(365/4))</f>
        <v>177.73457021489256</v>
      </c>
      <c r="AK89" s="4"/>
      <c r="AL89" s="106">
        <f>((F89-('yrP&amp;L'!M21/4))/J89)</f>
        <v>0.35164269194020803</v>
      </c>
      <c r="AM89" s="107"/>
      <c r="AN89" s="4"/>
      <c r="AO89" s="4"/>
    </row>
    <row r="90" spans="1:41" hidden="1" outlineLevel="1">
      <c r="A90" s="4" t="s">
        <v>460</v>
      </c>
      <c r="B90" s="4" t="s">
        <v>62</v>
      </c>
      <c r="C90" s="4"/>
      <c r="D90" s="17">
        <f>'qtrP&amp;L'!AV13</f>
        <v>501.57299999999998</v>
      </c>
      <c r="E90" s="4"/>
      <c r="F90" s="17">
        <f>+'qtrP&amp;L'!AV$23</f>
        <v>108.054</v>
      </c>
      <c r="G90" s="4"/>
      <c r="H90" s="14">
        <f>work!AB13</f>
        <v>233.494</v>
      </c>
      <c r="I90" s="4"/>
      <c r="J90" s="17">
        <f>AVERAGE(H89:H90)</f>
        <v>221.9795</v>
      </c>
      <c r="K90" s="4"/>
      <c r="L90" s="44">
        <f>(D90/D83-1)*100</f>
        <v>19.804375865857725</v>
      </c>
      <c r="M90" s="4"/>
      <c r="N90" s="78">
        <f>(H90/H83-1)*100</f>
        <v>26.610598691024244</v>
      </c>
      <c r="O90" s="4"/>
      <c r="P90" s="21">
        <f>(H90/H89-1)*100</f>
        <v>10.941961846387759</v>
      </c>
      <c r="Q90" s="4"/>
      <c r="R90" s="18">
        <f>F90/J90</f>
        <v>0.48677467964384097</v>
      </c>
      <c r="S90" s="4"/>
      <c r="T90" s="102">
        <f>F94/H90</f>
        <v>0.52856176175833214</v>
      </c>
      <c r="U90" s="4"/>
      <c r="V90" s="4">
        <f>CoachNAqtrSalesOld!L92</f>
        <v>422</v>
      </c>
      <c r="W90" s="4"/>
      <c r="X90" s="18">
        <f>H90/V90</f>
        <v>0.55330331753554507</v>
      </c>
      <c r="Y90" s="4"/>
      <c r="Z90" s="78">
        <f>(X90/X83-1)*100</f>
        <v>13.409493614234979</v>
      </c>
      <c r="AA90" s="4"/>
      <c r="AB90" s="190">
        <f>CoachNAqtrSalesOld!AG92</f>
        <v>1.0387150000000001</v>
      </c>
      <c r="AC90" s="4"/>
      <c r="AD90" s="81">
        <f>H90/AB90</f>
        <v>224.79120836803165</v>
      </c>
      <c r="AE90" s="4"/>
      <c r="AF90" s="78">
        <f>(AD90/AD83-1)*100</f>
        <v>10.291877634569246</v>
      </c>
      <c r="AG90" s="11"/>
      <c r="AH90" s="43">
        <f>J90/(F90/(365/4))</f>
        <v>187.45839464526995</v>
      </c>
      <c r="AI90" s="4"/>
      <c r="AJ90" s="117" t="s">
        <v>606</v>
      </c>
      <c r="AK90" s="4"/>
      <c r="AL90" s="121">
        <f>((F90-('yrP&amp;L'!M21/4))/J90)</f>
        <v>0.34953678154964762</v>
      </c>
      <c r="AM90" s="108"/>
      <c r="AN90" s="4"/>
      <c r="AO90" s="4"/>
    </row>
    <row r="91" spans="1:41" hidden="1" outlineLevel="1">
      <c r="A91" s="4"/>
      <c r="B91" s="4" t="s">
        <v>461</v>
      </c>
      <c r="C91" s="4"/>
      <c r="D91" s="13">
        <f>SUM(D87:D90)</f>
        <v>2035.0909999999999</v>
      </c>
      <c r="E91" s="4"/>
      <c r="F91" s="13">
        <f>SUM(F87:F90)</f>
        <v>453.47299999999996</v>
      </c>
      <c r="G91" s="4"/>
      <c r="H91" s="4"/>
      <c r="I91" s="4"/>
      <c r="J91" s="13">
        <f>AVERAGE(J87:J90)</f>
        <v>209.92862500000001</v>
      </c>
      <c r="K91" s="4"/>
      <c r="L91" s="21">
        <f>(D91/D84-1)*100</f>
        <v>18.981737266161613</v>
      </c>
      <c r="M91" s="4"/>
      <c r="N91" s="4"/>
      <c r="O91" s="4"/>
      <c r="P91" s="4"/>
      <c r="Q91" s="4"/>
      <c r="R91" s="79">
        <f>F91/J91</f>
        <v>2.1601294249414531</v>
      </c>
      <c r="S91" s="77" t="s">
        <v>527</v>
      </c>
      <c r="T91" s="18"/>
      <c r="U91" s="4"/>
      <c r="V91" s="4"/>
      <c r="W91" s="4"/>
      <c r="X91" s="4"/>
      <c r="Y91" s="4"/>
      <c r="Z91" s="4"/>
      <c r="AA91" s="4"/>
      <c r="AB91" s="190"/>
      <c r="AC91" s="4"/>
      <c r="AD91" s="82">
        <f>+AVERAGE(AD87:AD90)</f>
        <v>220.65864788073932</v>
      </c>
      <c r="AE91" s="4"/>
      <c r="AF91" s="4"/>
      <c r="AG91" s="4"/>
      <c r="AH91" s="4"/>
      <c r="AI91" s="4"/>
      <c r="AJ91" s="4"/>
      <c r="AK91" s="4"/>
      <c r="AL91" s="109">
        <f>((F91-('yrP&amp;L'!M21))/J91)</f>
        <v>1.5796654696328334</v>
      </c>
      <c r="AM91" s="110" t="s">
        <v>527</v>
      </c>
      <c r="AN91" s="4"/>
      <c r="AO91" s="4"/>
    </row>
    <row r="92" spans="1:41" hidden="1" outlineLevel="1">
      <c r="A92" s="4"/>
      <c r="B92" s="4"/>
      <c r="C92" s="4"/>
      <c r="D92" s="13"/>
      <c r="E92" s="4"/>
      <c r="F92" s="13"/>
      <c r="G92" s="4"/>
      <c r="H92" s="4"/>
      <c r="I92" s="4"/>
      <c r="J92" s="13"/>
      <c r="K92" s="4"/>
      <c r="L92" s="21"/>
      <c r="M92" s="4"/>
      <c r="N92" s="4"/>
      <c r="O92" s="4"/>
      <c r="P92" s="4"/>
      <c r="Q92" s="4"/>
      <c r="R92" s="187"/>
      <c r="S92" s="10"/>
      <c r="T92" s="18"/>
      <c r="U92" s="4"/>
      <c r="V92" s="4"/>
      <c r="W92" s="4"/>
      <c r="X92" s="4"/>
      <c r="Y92" s="4"/>
      <c r="Z92" s="4"/>
      <c r="AA92" s="4"/>
      <c r="AB92" s="190"/>
      <c r="AC92" s="4"/>
      <c r="AD92" s="4"/>
      <c r="AE92" s="4"/>
      <c r="AF92" s="4"/>
      <c r="AG92" s="4"/>
      <c r="AH92" s="4"/>
      <c r="AI92" s="4"/>
      <c r="AJ92" s="4"/>
      <c r="AK92" s="4"/>
      <c r="AL92" s="106"/>
      <c r="AM92" s="108"/>
      <c r="AN92" s="4"/>
      <c r="AO92" s="4"/>
    </row>
    <row r="93" spans="1:41" hidden="1" outlineLevel="1">
      <c r="A93" s="4"/>
      <c r="B93" s="40" t="s">
        <v>145</v>
      </c>
      <c r="C93" s="4"/>
      <c r="D93" s="4"/>
      <c r="E93" s="4"/>
      <c r="F93" s="4"/>
      <c r="G93" s="4"/>
      <c r="H93" s="4"/>
      <c r="I93" s="4"/>
      <c r="J93" s="4"/>
      <c r="K93" s="4"/>
      <c r="L93" s="4"/>
      <c r="M93" s="4"/>
      <c r="N93" s="4"/>
      <c r="O93" s="58"/>
      <c r="P93" s="4"/>
      <c r="Q93" s="58"/>
      <c r="R93" s="4"/>
      <c r="S93" s="4"/>
      <c r="T93" s="18"/>
      <c r="U93" s="4"/>
      <c r="V93" s="4"/>
      <c r="W93" s="4"/>
      <c r="X93" s="4"/>
      <c r="Y93" s="4"/>
      <c r="Z93" s="4"/>
      <c r="AA93" s="58"/>
      <c r="AB93" s="190"/>
      <c r="AC93" s="4"/>
      <c r="AD93" s="4"/>
      <c r="AE93" s="4"/>
      <c r="AF93" s="4"/>
      <c r="AG93" s="58"/>
      <c r="AH93" s="4"/>
      <c r="AI93" s="4"/>
      <c r="AJ93" s="4"/>
      <c r="AK93" s="4"/>
      <c r="AL93" s="4"/>
      <c r="AM93" s="4"/>
      <c r="AN93" s="4"/>
      <c r="AO93" s="4"/>
    </row>
    <row r="94" spans="1:41" hidden="1" outlineLevel="1">
      <c r="A94" s="4" t="s">
        <v>457</v>
      </c>
      <c r="B94" s="4" t="s">
        <v>63</v>
      </c>
      <c r="C94" s="4"/>
      <c r="D94" s="13">
        <f>'qtrP&amp;L'!$AZ10</f>
        <v>529.42100000000005</v>
      </c>
      <c r="E94" s="4"/>
      <c r="F94" s="13">
        <f>'qtrP&amp;L'!AZ20</f>
        <v>123.416</v>
      </c>
      <c r="G94" s="4"/>
      <c r="H94" s="13">
        <f>work!$AF$10</f>
        <v>300.85500000000002</v>
      </c>
      <c r="I94" s="4"/>
      <c r="J94" s="13">
        <f>AVERAGE(H94,H90)</f>
        <v>267.17450000000002</v>
      </c>
      <c r="K94" s="4"/>
      <c r="L94" s="21">
        <f>(D94/D87-1)*100</f>
        <v>21.986405529953924</v>
      </c>
      <c r="M94" s="4" t="s">
        <v>428</v>
      </c>
      <c r="N94" s="21">
        <f>(H94/H87-1)*100</f>
        <v>39.769385508081271</v>
      </c>
      <c r="O94" s="58" t="s">
        <v>428</v>
      </c>
      <c r="P94" s="21">
        <f>(H94/H90-1)*100</f>
        <v>28.849135309686758</v>
      </c>
      <c r="Q94" s="58" t="s">
        <v>428</v>
      </c>
      <c r="R94" s="18">
        <f>F94/J94</f>
        <v>0.46193031146310737</v>
      </c>
      <c r="S94" s="4" t="s">
        <v>527</v>
      </c>
      <c r="T94" s="18">
        <f>F95/H94</f>
        <v>0.6126140499576207</v>
      </c>
      <c r="U94" s="4"/>
      <c r="V94" s="4">
        <f>CoachNAqtrSalesOld!L96</f>
        <v>443</v>
      </c>
      <c r="W94" s="4"/>
      <c r="X94" s="15">
        <f>H94/V94</f>
        <v>0.67913092550790077</v>
      </c>
      <c r="Y94" s="4"/>
      <c r="Z94" s="78">
        <f>(X94/X87-1)*100</f>
        <v>23.363046802843733</v>
      </c>
      <c r="AA94" s="58" t="s">
        <v>428</v>
      </c>
      <c r="AB94" s="190">
        <f>CoachNAqtrSalesOld!AG96</f>
        <v>1.0945539333333334</v>
      </c>
      <c r="AC94" s="4"/>
      <c r="AD94" s="82">
        <f>H94/AB94</f>
        <v>274.86539569939879</v>
      </c>
      <c r="AE94" s="4"/>
      <c r="AF94" s="78">
        <f>(AD94/AD87-1)*100</f>
        <v>20.725488356315292</v>
      </c>
      <c r="AG94" s="58" t="s">
        <v>428</v>
      </c>
      <c r="AH94" s="43">
        <f>J94/(F94/(365/4))</f>
        <v>197.54061973325989</v>
      </c>
      <c r="AI94" s="4"/>
      <c r="AJ94" s="43">
        <f>+H94/AH94</f>
        <v>1.5230032203313226</v>
      </c>
      <c r="AK94" s="4"/>
      <c r="AL94" s="106">
        <f>((F94-('yrP&amp;L'!N21/4))/J94)</f>
        <v>0.33124980115991604</v>
      </c>
      <c r="AM94" s="107" t="s">
        <v>527</v>
      </c>
      <c r="AN94" s="67">
        <f>F94-('yrP&amp;L'!$N$21/4)</f>
        <v>88.501499999999993</v>
      </c>
      <c r="AO94" s="4"/>
    </row>
    <row r="95" spans="1:41" hidden="1" outlineLevel="1">
      <c r="A95" s="4" t="s">
        <v>458</v>
      </c>
      <c r="B95" s="4" t="s">
        <v>167</v>
      </c>
      <c r="C95" s="4"/>
      <c r="D95" s="14">
        <f>'qtrP&amp;L'!$AZ11</f>
        <v>805.60299999999995</v>
      </c>
      <c r="E95" s="4"/>
      <c r="F95" s="14">
        <f>'qtrP&amp;L'!AZ21</f>
        <v>184.30799999999999</v>
      </c>
      <c r="G95" s="4"/>
      <c r="H95" s="14">
        <f>work!$AF$11</f>
        <v>249.577</v>
      </c>
      <c r="I95" s="4"/>
      <c r="J95" s="14">
        <f>AVERAGE(H94:H95)</f>
        <v>275.21600000000001</v>
      </c>
      <c r="K95" s="4"/>
      <c r="L95" s="21">
        <f>(D95/D88-1)*100</f>
        <v>29.977896095514687</v>
      </c>
      <c r="M95" s="4"/>
      <c r="N95" s="21">
        <f>(H95/H88-1)*100</f>
        <v>21.719940304913131</v>
      </c>
      <c r="O95" s="4"/>
      <c r="P95" s="21">
        <f>(H95/H94-1)*100</f>
        <v>-17.044091007295879</v>
      </c>
      <c r="Q95" s="4"/>
      <c r="R95" s="18">
        <f>F95/J95</f>
        <v>0.66968490204057896</v>
      </c>
      <c r="S95" s="4"/>
      <c r="T95" s="18">
        <f>F96/H95</f>
        <v>0.55651362104681124</v>
      </c>
      <c r="U95" s="4"/>
      <c r="V95" s="4">
        <f>CoachNAqtrSalesOld!L97</f>
        <v>454</v>
      </c>
      <c r="W95" s="4"/>
      <c r="X95" s="18">
        <f>H95/V95</f>
        <v>0.54972907488986789</v>
      </c>
      <c r="Y95" s="4"/>
      <c r="Z95" s="78">
        <f>(X95/X88-1)*100</f>
        <v>6.1698157725674108</v>
      </c>
      <c r="AA95" s="4"/>
      <c r="AB95" s="190">
        <f>CoachNAqtrSalesOld!AG97</f>
        <v>1.1286338</v>
      </c>
      <c r="AC95" s="4"/>
      <c r="AD95" s="81">
        <f>H95/AB95</f>
        <v>221.1319561756878</v>
      </c>
      <c r="AE95" s="4"/>
      <c r="AF95" s="78">
        <f>(AD95/AD88-1)*100</f>
        <v>4.5977382987415272</v>
      </c>
      <c r="AG95" s="11"/>
      <c r="AH95" s="43">
        <f>J95/(F95/(365/4))</f>
        <v>136.25811142218461</v>
      </c>
      <c r="AI95" s="4"/>
      <c r="AJ95" s="43">
        <f>+H95/AH95</f>
        <v>1.8316487539351407</v>
      </c>
      <c r="AK95" s="4"/>
      <c r="AL95" s="106">
        <f>((F95-('yrP&amp;L'!N21/4))/J95)</f>
        <v>0.54282272832974821</v>
      </c>
      <c r="AM95" s="107"/>
      <c r="AN95" s="67">
        <f>F95-('yrP&amp;L'!$N$21/4)</f>
        <v>149.39349999999999</v>
      </c>
      <c r="AO95" s="4" t="s">
        <v>640</v>
      </c>
    </row>
    <row r="96" spans="1:41" hidden="1" outlineLevel="1">
      <c r="A96" s="4" t="s">
        <v>459</v>
      </c>
      <c r="B96" s="4" t="s">
        <v>166</v>
      </c>
      <c r="C96" s="4"/>
      <c r="D96" s="14">
        <f>'qtrP&amp;L'!$AZ12</f>
        <v>625.303</v>
      </c>
      <c r="E96" s="4"/>
      <c r="F96" s="14">
        <f>'qtrP&amp;L'!AZ22</f>
        <v>138.893</v>
      </c>
      <c r="G96" s="4"/>
      <c r="H96" s="14">
        <f>work!AF12</f>
        <v>249.81800000000001</v>
      </c>
      <c r="I96" s="4"/>
      <c r="J96" s="14">
        <f>AVERAGE(H95:H96)</f>
        <v>249.69749999999999</v>
      </c>
      <c r="K96" s="4"/>
      <c r="L96" s="21">
        <f>(D96/D89-1)*100</f>
        <v>30.348037805544092</v>
      </c>
      <c r="M96" s="4"/>
      <c r="N96" s="21">
        <f>(H96/H89-1)*100</f>
        <v>18.698120827691067</v>
      </c>
      <c r="O96" s="4"/>
      <c r="P96" s="21">
        <f>(H96/H95-1)*100</f>
        <v>9.6563385247838696E-2</v>
      </c>
      <c r="Q96" s="4"/>
      <c r="R96" s="18">
        <f>F96/J96</f>
        <v>0.55624505651838729</v>
      </c>
      <c r="S96" s="4"/>
      <c r="T96" s="18">
        <f>F97/H96</f>
        <v>0.57182829099584498</v>
      </c>
      <c r="U96" s="4"/>
      <c r="V96" s="4">
        <f>CoachNAqtrSalesOld!L98</f>
        <v>470</v>
      </c>
      <c r="W96" s="4"/>
      <c r="X96" s="18">
        <f>H96/V96</f>
        <v>0.53152765957446813</v>
      </c>
      <c r="Y96" s="4"/>
      <c r="Z96" s="78">
        <f>(X96/X89-1)*100</f>
        <v>1.5247756866634266</v>
      </c>
      <c r="AA96" s="4"/>
      <c r="AB96" s="190">
        <f>CoachNAqtrSalesOld!AG98</f>
        <v>1.1707726000000001</v>
      </c>
      <c r="AC96" s="4"/>
      <c r="AD96" s="81">
        <f>H96/AB96</f>
        <v>213.37875519123014</v>
      </c>
      <c r="AE96" s="4"/>
      <c r="AF96" s="86">
        <f>(AD96/AD89-1)*100</f>
        <v>-2.4570193823037378</v>
      </c>
      <c r="AG96" s="11"/>
      <c r="AH96" s="43">
        <f>J96/(F96/(365/4))</f>
        <v>164.04640172650889</v>
      </c>
      <c r="AI96" s="4"/>
      <c r="AJ96" s="43">
        <f>+H96/AH96</f>
        <v>1.5228496167595669</v>
      </c>
      <c r="AK96" s="4"/>
      <c r="AL96" s="106">
        <f>((F96-('yrP&amp;L'!N21/4))/J96)</f>
        <v>0.41641786561739708</v>
      </c>
      <c r="AM96" s="107"/>
      <c r="AN96" s="67">
        <f>F96-('yrP&amp;L'!$N$21/4)</f>
        <v>103.9785</v>
      </c>
      <c r="AO96" s="4"/>
    </row>
    <row r="97" spans="1:41" hidden="1" outlineLevel="1">
      <c r="A97" s="4" t="s">
        <v>460</v>
      </c>
      <c r="B97" s="4" t="s">
        <v>62</v>
      </c>
      <c r="C97" s="4"/>
      <c r="D97" s="17">
        <f>'qtrP&amp;L'!$AZ13</f>
        <v>652.12900000000002</v>
      </c>
      <c r="E97" s="4"/>
      <c r="F97" s="17">
        <f>'qtrP&amp;L'!AZ23</f>
        <v>142.85300000000001</v>
      </c>
      <c r="G97" s="4"/>
      <c r="H97" s="14">
        <f>bal!$AB$11</f>
        <v>291.19200000000001</v>
      </c>
      <c r="I97" s="4"/>
      <c r="J97" s="17">
        <f>AVERAGE(H96:H97)</f>
        <v>270.505</v>
      </c>
      <c r="K97" s="4"/>
      <c r="L97" s="44">
        <f>(D97/D90-1)*100</f>
        <v>30.016767250230792</v>
      </c>
      <c r="M97" s="4"/>
      <c r="N97" s="78">
        <f>(H97/H90-1)*100</f>
        <v>24.710699204262209</v>
      </c>
      <c r="O97" s="4"/>
      <c r="P97" s="21">
        <f>(H97/H96-1)*100</f>
        <v>16.561656886213161</v>
      </c>
      <c r="Q97" s="4"/>
      <c r="R97" s="18">
        <f>F97/J97</f>
        <v>0.52809744736696185</v>
      </c>
      <c r="S97" s="4"/>
      <c r="T97" s="102">
        <f>F102/H97</f>
        <v>0.54430410176103738</v>
      </c>
      <c r="U97" s="4"/>
      <c r="V97" s="4">
        <f>CoachNAqtrSalesOld!L99</f>
        <v>489</v>
      </c>
      <c r="W97" s="4"/>
      <c r="X97" s="18">
        <f>H97/V97</f>
        <v>0.59548466257668708</v>
      </c>
      <c r="Y97" s="4"/>
      <c r="Z97" s="78">
        <f>(X97/X90-1)*100</f>
        <v>7.6235481885452927</v>
      </c>
      <c r="AA97" s="4"/>
      <c r="AB97" s="190">
        <f>yrSales!$N$88</f>
        <v>1.2239710000000001</v>
      </c>
      <c r="AC97" s="4"/>
      <c r="AD97" s="81">
        <f>H97/AB97</f>
        <v>237.9075974839273</v>
      </c>
      <c r="AE97" s="4"/>
      <c r="AF97" s="88">
        <f>(AD97/AD90-1)*100</f>
        <v>5.8349208632845206</v>
      </c>
      <c r="AG97" s="11"/>
      <c r="AH97" s="43">
        <f>J97/(F97/(365/4))</f>
        <v>172.79007966231021</v>
      </c>
      <c r="AI97" s="4"/>
      <c r="AJ97" s="117">
        <f>+H97/AH97</f>
        <v>1.6852356371910175</v>
      </c>
      <c r="AK97" s="4"/>
      <c r="AL97" s="121">
        <f>((F97-('yrP&amp;L'!N21/4))/J97)</f>
        <v>0.39902589600931593</v>
      </c>
      <c r="AM97" s="108"/>
      <c r="AN97" s="67">
        <f>F97-('yrP&amp;L'!$N$21/4)</f>
        <v>107.9385</v>
      </c>
      <c r="AO97" s="4"/>
    </row>
    <row r="98" spans="1:41" hidden="1" outlineLevel="1">
      <c r="A98" s="4"/>
      <c r="B98" s="4" t="s">
        <v>461</v>
      </c>
      <c r="C98" s="4"/>
      <c r="D98" s="13">
        <f>SUM(D94:D97)</f>
        <v>2612.4559999999997</v>
      </c>
      <c r="E98" s="4"/>
      <c r="F98" s="13">
        <f>SUM(F94:F97)</f>
        <v>589.47</v>
      </c>
      <c r="G98" s="4"/>
      <c r="H98" s="4"/>
      <c r="I98" s="4"/>
      <c r="J98" s="13">
        <f>AVERAGE(J94:J97)</f>
        <v>265.64824999999996</v>
      </c>
      <c r="K98" s="4"/>
      <c r="L98" s="21">
        <f>(D98/D91-1)*100</f>
        <v>28.370475816560536</v>
      </c>
      <c r="M98" s="4"/>
      <c r="N98" s="4"/>
      <c r="O98" s="4"/>
      <c r="P98" s="4"/>
      <c r="Q98" s="4"/>
      <c r="R98" s="79">
        <f>F98/J98</f>
        <v>2.2189869498481549</v>
      </c>
      <c r="S98" s="77" t="s">
        <v>527</v>
      </c>
      <c r="T98" s="18"/>
      <c r="U98" s="4"/>
      <c r="V98" s="4">
        <f>V97-V96</f>
        <v>19</v>
      </c>
      <c r="W98" s="4"/>
      <c r="X98" s="4"/>
      <c r="Y98" s="4"/>
      <c r="Z98" s="4"/>
      <c r="AA98" s="4"/>
      <c r="AB98" s="4"/>
      <c r="AC98" s="4"/>
      <c r="AD98" s="82">
        <f>+AVERAGE(AD94:AD97)</f>
        <v>236.820926137561</v>
      </c>
      <c r="AE98" s="4"/>
      <c r="AF98" s="4"/>
      <c r="AG98" s="4"/>
      <c r="AH98" s="4"/>
      <c r="AI98" s="4"/>
      <c r="AJ98" s="4"/>
      <c r="AK98" s="4"/>
      <c r="AL98" s="109">
        <f>((F98-('yrP&amp;L'!N21))/J98)</f>
        <v>1.6932616721548139</v>
      </c>
      <c r="AM98" s="110" t="s">
        <v>527</v>
      </c>
      <c r="AN98" s="67"/>
      <c r="AO98" s="4"/>
    </row>
    <row r="99" spans="1:41" hidden="1" outlineLevel="1">
      <c r="A99" s="4"/>
      <c r="B99" s="4"/>
      <c r="C99" s="4"/>
      <c r="D99" s="13"/>
      <c r="E99" s="4"/>
      <c r="F99" s="13"/>
      <c r="G99" s="4"/>
      <c r="H99" s="4"/>
      <c r="I99" s="4"/>
      <c r="J99" s="13"/>
      <c r="K99" s="4"/>
      <c r="L99" s="123"/>
      <c r="M99" s="4"/>
      <c r="N99" s="4"/>
      <c r="O99" s="4"/>
      <c r="P99" s="4"/>
      <c r="Q99" s="4"/>
      <c r="R99" s="187"/>
      <c r="S99" s="10"/>
      <c r="T99" s="18"/>
      <c r="U99" s="4"/>
      <c r="V99" s="4"/>
      <c r="W99" s="4"/>
      <c r="X99" s="4"/>
      <c r="Y99" s="4"/>
      <c r="Z99" s="4"/>
      <c r="AA99" s="4"/>
      <c r="AB99" s="190"/>
      <c r="AC99" s="4"/>
      <c r="AD99" s="4"/>
      <c r="AE99" s="4"/>
      <c r="AF99" s="4"/>
      <c r="AG99" s="4"/>
      <c r="AH99" s="4"/>
      <c r="AI99" s="4"/>
      <c r="AJ99" s="4"/>
      <c r="AK99" s="4"/>
      <c r="AL99" s="106"/>
      <c r="AM99" s="108"/>
      <c r="AN99" s="67"/>
      <c r="AO99" s="4"/>
    </row>
    <row r="100" spans="1:41" collapsed="1">
      <c r="A100" s="4"/>
      <c r="B100" s="4"/>
      <c r="C100" s="4"/>
      <c r="D100" s="13"/>
      <c r="E100" s="4"/>
      <c r="F100" s="13"/>
      <c r="G100" s="4"/>
      <c r="H100" s="4"/>
      <c r="I100" s="4"/>
      <c r="J100" s="13"/>
      <c r="K100" s="4"/>
      <c r="L100" s="123"/>
      <c r="M100" s="4"/>
      <c r="N100" s="4"/>
      <c r="O100" s="4"/>
      <c r="P100" s="4"/>
      <c r="Q100" s="4"/>
      <c r="R100" s="187"/>
      <c r="S100" s="10"/>
      <c r="T100" s="18"/>
      <c r="U100" s="4"/>
      <c r="V100" s="4"/>
      <c r="W100" s="4"/>
      <c r="X100" s="4"/>
      <c r="Y100" s="4"/>
      <c r="Z100" s="4"/>
      <c r="AA100" s="4"/>
      <c r="AB100" s="190"/>
      <c r="AC100" s="4"/>
      <c r="AD100" s="4"/>
      <c r="AE100" s="4"/>
      <c r="AF100" s="4"/>
      <c r="AG100" s="4"/>
      <c r="AH100" s="4"/>
      <c r="AI100" s="4"/>
      <c r="AJ100" s="4"/>
      <c r="AK100" s="4"/>
      <c r="AL100" s="106"/>
      <c r="AM100" s="108"/>
      <c r="AN100" s="67"/>
      <c r="AO100" s="4"/>
    </row>
    <row r="101" spans="1:41" hidden="1" outlineLevel="1">
      <c r="A101" s="4"/>
      <c r="B101" s="40" t="s">
        <v>636</v>
      </c>
      <c r="C101" s="4"/>
      <c r="D101" s="4"/>
      <c r="E101" s="4"/>
      <c r="F101" s="4"/>
      <c r="G101" s="4"/>
      <c r="H101" s="4"/>
      <c r="I101" s="4"/>
      <c r="J101" s="4"/>
      <c r="K101" s="4"/>
      <c r="L101" s="4"/>
      <c r="M101" s="4"/>
      <c r="N101" s="4"/>
      <c r="O101" s="58"/>
      <c r="P101" s="4"/>
      <c r="Q101" s="58"/>
      <c r="R101" s="4"/>
      <c r="S101" s="4"/>
      <c r="T101" s="18"/>
      <c r="U101" s="4"/>
      <c r="V101" s="4"/>
      <c r="W101" s="4"/>
      <c r="X101" s="4"/>
      <c r="Y101" s="4"/>
      <c r="Z101" s="4"/>
      <c r="AA101" s="58"/>
      <c r="AB101" s="190"/>
      <c r="AC101" s="4"/>
      <c r="AD101" s="4"/>
      <c r="AE101" s="4"/>
      <c r="AF101" s="4"/>
      <c r="AG101" s="58"/>
      <c r="AH101" s="4"/>
      <c r="AI101" s="4"/>
      <c r="AJ101" s="4"/>
      <c r="AK101" s="4"/>
      <c r="AL101" s="4"/>
      <c r="AM101" s="4"/>
      <c r="AN101" s="67"/>
      <c r="AO101" s="4"/>
    </row>
    <row r="102" spans="1:41" hidden="1" outlineLevel="1">
      <c r="A102" s="4" t="s">
        <v>457</v>
      </c>
      <c r="B102" s="4" t="s">
        <v>63</v>
      </c>
      <c r="C102" s="4"/>
      <c r="D102" s="13">
        <f>'qtrP&amp;L'!$BD10</f>
        <v>676.71799999999996</v>
      </c>
      <c r="E102" s="4"/>
      <c r="F102" s="13">
        <f>'qtrP&amp;L'!BD20</f>
        <v>158.49700000000001</v>
      </c>
      <c r="G102" s="4"/>
      <c r="H102" s="13">
        <f>work!AJ10</f>
        <v>337.97399999999999</v>
      </c>
      <c r="I102" s="4"/>
      <c r="J102" s="13">
        <f>AVERAGE(H102,H97)</f>
        <v>314.58299999999997</v>
      </c>
      <c r="K102" s="4"/>
      <c r="L102" s="21">
        <f>(D102/D94-1)*100</f>
        <v>27.822281322425791</v>
      </c>
      <c r="M102" s="4" t="s">
        <v>428</v>
      </c>
      <c r="N102" s="21">
        <f>(H102/H94-1)*100</f>
        <v>12.337837164082366</v>
      </c>
      <c r="O102" s="58" t="s">
        <v>428</v>
      </c>
      <c r="P102" s="21">
        <f>(H102/H97-1)*100</f>
        <v>16.065688617819163</v>
      </c>
      <c r="Q102" s="58" t="s">
        <v>428</v>
      </c>
      <c r="R102" s="18">
        <f>F102/J102</f>
        <v>0.50383205704059031</v>
      </c>
      <c r="S102" s="4" t="s">
        <v>527</v>
      </c>
      <c r="T102" s="18">
        <f>F103/H102</f>
        <v>0.71231810731002976</v>
      </c>
      <c r="U102" s="4"/>
      <c r="V102" s="4">
        <f>CoachNAqtrSalesOld!L103</f>
        <v>509</v>
      </c>
      <c r="W102" s="4"/>
      <c r="X102" s="15">
        <f>H102/V102</f>
        <v>0.66399607072691547</v>
      </c>
      <c r="Y102" s="4"/>
      <c r="Z102" s="78">
        <f>(X102/X94-1)*100</f>
        <v>-2.2285621538536859</v>
      </c>
      <c r="AA102" s="58" t="s">
        <v>428</v>
      </c>
      <c r="AB102" s="190">
        <f>CoachNAqtrSalesOld!AG103</f>
        <v>1.2943119473684213</v>
      </c>
      <c r="AC102" s="4"/>
      <c r="AD102" s="82">
        <f>H102/AB102</f>
        <v>261.12252203741491</v>
      </c>
      <c r="AE102" s="4"/>
      <c r="AF102" s="78">
        <f>(AD102/AD94-1)*100</f>
        <v>-4.99985588473767</v>
      </c>
      <c r="AG102" s="58" t="s">
        <v>428</v>
      </c>
      <c r="AH102" s="43">
        <f>J102/(F102/(365/4))</f>
        <v>181.11193744992016</v>
      </c>
      <c r="AI102" s="4"/>
      <c r="AJ102" s="43">
        <f>+H102/AH102</f>
        <v>1.8661055961231394</v>
      </c>
      <c r="AK102" s="4"/>
      <c r="AL102" s="106">
        <f>((F102-('yrP&amp;L'!O21/4))/J102)</f>
        <v>0.36645257372458151</v>
      </c>
      <c r="AM102" s="107" t="s">
        <v>527</v>
      </c>
      <c r="AN102" s="67">
        <f>F102-('yrP&amp;L'!$O$21/4)</f>
        <v>115.27975000000001</v>
      </c>
      <c r="AO102" s="4"/>
    </row>
    <row r="103" spans="1:41" hidden="1" outlineLevel="1">
      <c r="A103" s="4" t="s">
        <v>458</v>
      </c>
      <c r="B103" s="4" t="s">
        <v>167</v>
      </c>
      <c r="C103" s="4"/>
      <c r="D103" s="14">
        <f>'qtrP&amp;L'!$BD11</f>
        <v>978.01700000000005</v>
      </c>
      <c r="E103" s="4"/>
      <c r="F103" s="14">
        <f>'qtrP&amp;L'!BD21</f>
        <v>240.745</v>
      </c>
      <c r="G103" s="4"/>
      <c r="H103" s="14">
        <f>work!AJ11</f>
        <v>275.16300000000001</v>
      </c>
      <c r="I103" s="4"/>
      <c r="J103" s="14">
        <f>AVERAGE(H102:H103)</f>
        <v>306.56849999999997</v>
      </c>
      <c r="K103" s="4"/>
      <c r="L103" s="21">
        <f>(D103/D95-1)*100</f>
        <v>21.401856745816495</v>
      </c>
      <c r="M103" s="4"/>
      <c r="N103" s="21">
        <f>(H103/H95-1)*100</f>
        <v>10.251745954154433</v>
      </c>
      <c r="O103" s="4"/>
      <c r="P103" s="21">
        <f>(H103/H102-1)*100</f>
        <v>-18.584565676649678</v>
      </c>
      <c r="Q103" s="4"/>
      <c r="R103" s="18">
        <f>F103/J103</f>
        <v>0.78528942145067093</v>
      </c>
      <c r="S103" s="4"/>
      <c r="T103" s="18">
        <f>F104/H103</f>
        <v>0.67670435341960944</v>
      </c>
      <c r="U103" s="4"/>
      <c r="V103" s="4">
        <f>CoachNAqtrSalesOld!L104</f>
        <v>528</v>
      </c>
      <c r="W103" s="4"/>
      <c r="X103" s="18">
        <f>H103/V103</f>
        <v>0.52114204545454546</v>
      </c>
      <c r="Y103" s="4"/>
      <c r="Z103" s="78">
        <f>(X103/X95-1)*100</f>
        <v>-5.2002032894202461</v>
      </c>
      <c r="AA103" s="4"/>
      <c r="AB103" s="190">
        <f>CoachNAqtrSalesOld!AG104</f>
        <v>1.3567773684210527</v>
      </c>
      <c r="AC103" s="4"/>
      <c r="AD103" s="81">
        <f>H103/AB103</f>
        <v>202.8063014643445</v>
      </c>
      <c r="AE103" s="4"/>
      <c r="AF103" s="78">
        <f>(AD103/AD95-1)*100</f>
        <v>-8.2872032736795891</v>
      </c>
      <c r="AG103" s="11"/>
      <c r="AH103" s="43">
        <f>J103/(F103/(365/4))</f>
        <v>116.19919676421108</v>
      </c>
      <c r="AI103" s="4"/>
      <c r="AJ103" s="43">
        <f>+H103/AH103</f>
        <v>2.3680284172562298</v>
      </c>
      <c r="AK103" s="4"/>
      <c r="AL103" s="106">
        <f>((F103-('yrP&amp;L'!O21/4))/J103)</f>
        <v>0.64431848020915394</v>
      </c>
      <c r="AM103" s="107"/>
      <c r="AN103" s="67">
        <f>F103-('yrP&amp;L'!$O$21/4)</f>
        <v>197.52775</v>
      </c>
      <c r="AO103" s="4" t="s">
        <v>639</v>
      </c>
    </row>
    <row r="104" spans="1:41" hidden="1" outlineLevel="1">
      <c r="A104" s="4" t="s">
        <v>459</v>
      </c>
      <c r="B104" s="4" t="s">
        <v>166</v>
      </c>
      <c r="C104" s="4"/>
      <c r="D104" s="14">
        <f>'qtrP&amp;L'!$BD12</f>
        <v>744.52200000000005</v>
      </c>
      <c r="E104" s="4"/>
      <c r="F104" s="14">
        <f>'qtrP&amp;L'!BD22</f>
        <v>186.20400000000001</v>
      </c>
      <c r="G104" s="4"/>
      <c r="H104" s="14">
        <f>work!AJ12</f>
        <v>290.64</v>
      </c>
      <c r="I104" s="4"/>
      <c r="J104" s="14">
        <f>AVERAGE(H103:H104)</f>
        <v>282.9015</v>
      </c>
      <c r="K104" s="4"/>
      <c r="L104" s="21">
        <f>(D104/D96-1)*100</f>
        <v>19.065796901662079</v>
      </c>
      <c r="M104" s="4"/>
      <c r="N104" s="21">
        <f>(H104/H96-1)*100</f>
        <v>16.340696026707423</v>
      </c>
      <c r="O104" s="4"/>
      <c r="P104" s="21">
        <f>(H104/H103-1)*100</f>
        <v>5.6246661069983883</v>
      </c>
      <c r="Q104" s="4"/>
      <c r="R104" s="18">
        <f>F104/J104</f>
        <v>0.65819375294934812</v>
      </c>
      <c r="S104" s="4"/>
      <c r="T104" s="18">
        <f>F105/H104</f>
        <v>0.64756399669694464</v>
      </c>
      <c r="U104" s="4"/>
      <c r="V104" s="4">
        <f>CoachNAqtrSalesOld!L105</f>
        <v>535</v>
      </c>
      <c r="W104" s="4"/>
      <c r="X104" s="18">
        <f>H104/V104</f>
        <v>0.54325233644859805</v>
      </c>
      <c r="Y104" s="4"/>
      <c r="Z104" s="78">
        <f>(X104/X96-1)*100</f>
        <v>2.2058451075747332</v>
      </c>
      <c r="AA104" s="4"/>
      <c r="AB104" s="190">
        <f>CoachNAqtrSalesOld!AG105</f>
        <v>1.3833833684210526</v>
      </c>
      <c r="AC104" s="4"/>
      <c r="AD104" s="81">
        <f>H104/AB104</f>
        <v>210.09360574554742</v>
      </c>
      <c r="AE104" s="4"/>
      <c r="AF104" s="88">
        <f>(AD104/AD96-1)*100</f>
        <v>-1.5395860017734964</v>
      </c>
      <c r="AG104" s="11"/>
      <c r="AH104" s="43">
        <f>J104/(F104/(365/4))</f>
        <v>138.63698886704904</v>
      </c>
      <c r="AI104" s="4"/>
      <c r="AJ104" s="43">
        <f>+H104/AH104</f>
        <v>2.0964102176131343</v>
      </c>
      <c r="AK104" s="4"/>
      <c r="AL104" s="106">
        <f>((F104-('yrP&amp;L'!O21/4))/J104)</f>
        <v>0.50542945159357588</v>
      </c>
      <c r="AM104" s="107"/>
      <c r="AN104" s="67">
        <f>F104-('yrP&amp;L'!$O$21/4)</f>
        <v>142.98675</v>
      </c>
      <c r="AO104" s="4"/>
    </row>
    <row r="105" spans="1:41" hidden="1" outlineLevel="1">
      <c r="A105" s="4" t="s">
        <v>460</v>
      </c>
      <c r="B105" s="4" t="s">
        <v>62</v>
      </c>
      <c r="C105" s="4"/>
      <c r="D105" s="17">
        <f>'qtrP&amp;L'!$BD13</f>
        <v>781.5</v>
      </c>
      <c r="E105" s="4"/>
      <c r="F105" s="17">
        <f>'qtrP&amp;L'!BD23</f>
        <v>188.208</v>
      </c>
      <c r="G105" s="4"/>
      <c r="H105" s="14">
        <v>318.49</v>
      </c>
      <c r="I105" s="4"/>
      <c r="J105" s="17">
        <f>AVERAGE(H104:H105)</f>
        <v>304.565</v>
      </c>
      <c r="K105" s="4"/>
      <c r="L105" s="44">
        <f>(D105/D97-1)*100</f>
        <v>19.838252861013682</v>
      </c>
      <c r="M105" s="4"/>
      <c r="N105" s="78">
        <f>(H105/H97-1)*100</f>
        <v>9.3745707299651038</v>
      </c>
      <c r="O105" s="4"/>
      <c r="P105" s="21">
        <f>(H105/H104-1)*100</f>
        <v>9.5823011285439019</v>
      </c>
      <c r="Q105" s="4"/>
      <c r="R105" s="18">
        <f>F105/J105</f>
        <v>0.61795675799911354</v>
      </c>
      <c r="S105" s="4"/>
      <c r="T105" s="102">
        <f>F109/H105</f>
        <v>0.61017928349398731</v>
      </c>
      <c r="U105" s="4"/>
      <c r="V105" s="4">
        <f>CoachNAqtrSalesOld!L106</f>
        <v>548</v>
      </c>
      <c r="W105" s="4"/>
      <c r="X105" s="18">
        <f>H105/V105</f>
        <v>0.58118613138686137</v>
      </c>
      <c r="Y105" s="4"/>
      <c r="Z105" s="78">
        <f>(X105/X97-1)*100</f>
        <v>-2.4011586004508256</v>
      </c>
      <c r="AA105" s="4"/>
      <c r="AB105" s="190">
        <f>CoachNAqtrSalesOld!AG106</f>
        <v>1.4686079999999999</v>
      </c>
      <c r="AC105" s="4"/>
      <c r="AD105" s="81">
        <f>H105/AB105</f>
        <v>216.86522203338129</v>
      </c>
      <c r="AE105" s="4"/>
      <c r="AF105" s="88">
        <f>(AD105/AD97-1)*100</f>
        <v>-8.8447681675939744</v>
      </c>
      <c r="AG105" s="11"/>
      <c r="AH105" s="43">
        <f>J105/(F105/(365/4))</f>
        <v>147.66405386593556</v>
      </c>
      <c r="AI105" s="4"/>
      <c r="AJ105" s="117">
        <f>+H105/AH105</f>
        <v>2.1568553189604129</v>
      </c>
      <c r="AK105" s="4"/>
      <c r="AL105" s="121">
        <f>((F105-('yrP&amp;L'!O21/4))/J105)</f>
        <v>0.47605847684402341</v>
      </c>
      <c r="AM105" s="108"/>
      <c r="AN105" s="67">
        <f>F105-('yrP&amp;L'!$O$21/4)</f>
        <v>144.99074999999999</v>
      </c>
      <c r="AO105" s="4"/>
    </row>
    <row r="106" spans="1:41" hidden="1" outlineLevel="1">
      <c r="A106" s="4"/>
      <c r="B106" s="4" t="s">
        <v>461</v>
      </c>
      <c r="C106" s="4"/>
      <c r="D106" s="13">
        <f>SUM(D102:D105)</f>
        <v>3180.7570000000001</v>
      </c>
      <c r="E106" s="4"/>
      <c r="F106" s="13">
        <f>SUM(F102:F105)</f>
        <v>773.654</v>
      </c>
      <c r="G106" s="4"/>
      <c r="H106" s="4"/>
      <c r="I106" s="4"/>
      <c r="J106" s="13">
        <f>AVERAGE(J102:J105)</f>
        <v>302.15449999999998</v>
      </c>
      <c r="K106" s="4"/>
      <c r="L106" s="21">
        <f>(D106/D98-1)*100</f>
        <v>21.753514700343302</v>
      </c>
      <c r="M106" s="4"/>
      <c r="N106" s="4"/>
      <c r="O106" s="4"/>
      <c r="P106" s="4"/>
      <c r="Q106" s="4"/>
      <c r="R106" s="79">
        <f>F106/J106</f>
        <v>2.5604583085805444</v>
      </c>
      <c r="S106" s="77" t="s">
        <v>527</v>
      </c>
      <c r="T106" s="123"/>
      <c r="U106" s="4"/>
      <c r="V106" s="4">
        <f>V105-V104</f>
        <v>13</v>
      </c>
      <c r="W106" s="4"/>
      <c r="X106" s="4"/>
      <c r="Y106" s="4"/>
      <c r="Z106" s="4"/>
      <c r="AA106" s="4"/>
      <c r="AB106" s="123"/>
      <c r="AC106" s="4"/>
      <c r="AD106" s="82">
        <f>+AVERAGE(AD102:AD105)</f>
        <v>222.72191282017204</v>
      </c>
      <c r="AE106" s="4"/>
      <c r="AF106" s="4"/>
      <c r="AG106" s="4"/>
      <c r="AH106" s="4"/>
      <c r="AI106" s="4"/>
      <c r="AJ106" s="4"/>
      <c r="AK106" s="4"/>
      <c r="AL106" s="109">
        <f>((F106-('yrP&amp;L'!O21))/J106)</f>
        <v>1.9883370924477379</v>
      </c>
      <c r="AM106" s="110" t="s">
        <v>527</v>
      </c>
      <c r="AN106" s="67"/>
      <c r="AO106" s="4"/>
    </row>
    <row r="107" spans="1:41" hidden="1" outlineLevel="1">
      <c r="A107" s="4"/>
      <c r="B107" s="4"/>
      <c r="C107" s="4"/>
      <c r="D107" s="13"/>
      <c r="E107" s="4"/>
      <c r="F107" s="13"/>
      <c r="G107" s="4"/>
      <c r="H107" s="4"/>
      <c r="I107" s="4"/>
      <c r="J107" s="13"/>
      <c r="K107" s="4"/>
      <c r="L107" s="21"/>
      <c r="M107" s="4"/>
      <c r="N107" s="4"/>
      <c r="O107" s="4"/>
      <c r="P107" s="4"/>
      <c r="Q107" s="4"/>
      <c r="R107" s="307"/>
      <c r="S107" s="10"/>
      <c r="T107" s="18"/>
      <c r="U107" s="4"/>
      <c r="V107" s="4"/>
      <c r="W107" s="4"/>
      <c r="X107" s="4"/>
      <c r="Y107" s="4"/>
      <c r="Z107" s="4"/>
      <c r="AA107" s="4"/>
      <c r="AB107" s="4"/>
      <c r="AC107" s="4"/>
      <c r="AD107" s="4"/>
      <c r="AE107" s="4"/>
      <c r="AF107" s="4"/>
      <c r="AG107" s="4"/>
      <c r="AH107" s="4"/>
      <c r="AI107" s="4"/>
      <c r="AJ107" s="4"/>
      <c r="AK107" s="4"/>
      <c r="AL107" s="106"/>
      <c r="AM107" s="108"/>
      <c r="AN107" s="67"/>
      <c r="AO107" s="4"/>
    </row>
    <row r="108" spans="1:41" hidden="1" outlineLevel="1">
      <c r="A108" s="4"/>
      <c r="B108" s="40" t="s">
        <v>422</v>
      </c>
      <c r="C108" s="4"/>
      <c r="D108" s="4"/>
      <c r="E108" s="4"/>
      <c r="F108" s="4"/>
      <c r="G108" s="4"/>
      <c r="H108" s="4"/>
      <c r="I108" s="4"/>
      <c r="J108" s="4"/>
      <c r="K108" s="4"/>
      <c r="L108" s="4"/>
      <c r="M108" s="4"/>
      <c r="N108" s="4"/>
      <c r="O108" s="58"/>
      <c r="P108" s="4"/>
      <c r="Q108" s="58"/>
      <c r="R108" s="4"/>
      <c r="S108" s="4"/>
      <c r="T108" s="18"/>
      <c r="U108" s="4"/>
      <c r="V108" s="4"/>
      <c r="W108" s="4"/>
      <c r="X108" s="4"/>
      <c r="Y108" s="4"/>
      <c r="Z108" s="4"/>
      <c r="AA108" s="58"/>
      <c r="AB108" s="190"/>
      <c r="AC108" s="4"/>
      <c r="AD108" s="4"/>
      <c r="AE108" s="4"/>
      <c r="AF108" s="4"/>
      <c r="AG108" s="58"/>
      <c r="AH108" s="4"/>
      <c r="AI108" s="4"/>
      <c r="AJ108" s="4"/>
      <c r="AK108" s="4"/>
      <c r="AL108" s="4"/>
      <c r="AM108" s="4"/>
      <c r="AN108" s="67"/>
      <c r="AO108" s="4"/>
    </row>
    <row r="109" spans="1:41" hidden="1" outlineLevel="1">
      <c r="A109" s="4" t="s">
        <v>457</v>
      </c>
      <c r="B109" s="4" t="s">
        <v>63</v>
      </c>
      <c r="C109" s="4"/>
      <c r="D109" s="13">
        <f>'qtrP&amp;L'!$BH10</f>
        <v>752.529</v>
      </c>
      <c r="E109" s="4"/>
      <c r="F109" s="13">
        <f>'qtrP&amp;L'!BH20</f>
        <v>194.33600000000001</v>
      </c>
      <c r="G109" s="4"/>
      <c r="H109" s="13">
        <f>work!AN10</f>
        <v>401.79700000000003</v>
      </c>
      <c r="I109" s="4"/>
      <c r="J109" s="13">
        <f>AVERAGE(H109,H105)</f>
        <v>360.14350000000002</v>
      </c>
      <c r="K109" s="4"/>
      <c r="L109" s="21">
        <f>(D109/D102-1)*100</f>
        <v>11.202746195608814</v>
      </c>
      <c r="M109" s="4" t="s">
        <v>428</v>
      </c>
      <c r="N109" s="21">
        <f>(H109/H102-1)*100</f>
        <v>18.883996993851614</v>
      </c>
      <c r="O109" s="58" t="s">
        <v>428</v>
      </c>
      <c r="P109" s="21">
        <f>(H109/H105-1)*100</f>
        <v>26.156865207698843</v>
      </c>
      <c r="Q109" s="58" t="s">
        <v>428</v>
      </c>
      <c r="R109" s="18">
        <f>F109/J109</f>
        <v>0.53960712882503781</v>
      </c>
      <c r="S109" s="4" t="s">
        <v>527</v>
      </c>
      <c r="T109" s="18">
        <f>F110/H109</f>
        <v>0.66755102701115243</v>
      </c>
      <c r="U109" s="4"/>
      <c r="V109" s="4">
        <f>CoachNAqtrSalesOld!L110</f>
        <v>579</v>
      </c>
      <c r="W109" s="4"/>
      <c r="X109" s="15">
        <f>H109/V109</f>
        <v>0.69394991364421421</v>
      </c>
      <c r="Y109" s="4"/>
      <c r="Z109" s="78">
        <f>(X109/X102-1)*100</f>
        <v>4.5111476163566033</v>
      </c>
      <c r="AA109" s="58" t="s">
        <v>428</v>
      </c>
      <c r="AB109" s="190">
        <f>CoachNAqtrSalesOld!AG110</f>
        <v>1.5511079999999999</v>
      </c>
      <c r="AC109" s="4"/>
      <c r="AD109" s="82">
        <f>H109/AB109</f>
        <v>259.03870007762197</v>
      </c>
      <c r="AE109" s="4"/>
      <c r="AF109" s="78">
        <f>(AD109/AD102-1)*100</f>
        <v>-0.7980245991551671</v>
      </c>
      <c r="AG109" s="58" t="s">
        <v>428</v>
      </c>
      <c r="AH109" s="43">
        <f>J109/(F109/(365/4))</f>
        <v>169.10451164478019</v>
      </c>
      <c r="AI109" s="4"/>
      <c r="AJ109" s="43">
        <f>+H109/AH109</f>
        <v>2.3760276771563147</v>
      </c>
      <c r="AK109" s="4"/>
      <c r="AL109" s="106">
        <f>((F109-('yrP&amp;L'!P21/4))/J109)</f>
        <v>0.40308724161341242</v>
      </c>
      <c r="AM109" s="107" t="s">
        <v>527</v>
      </c>
      <c r="AN109" s="67">
        <f>F109-('yrP&amp;L'!$P$21/4)</f>
        <v>145.16925000000001</v>
      </c>
      <c r="AO109" s="314"/>
    </row>
    <row r="110" spans="1:41" hidden="1" outlineLevel="1">
      <c r="A110" s="4" t="s">
        <v>458</v>
      </c>
      <c r="B110" s="4" t="s">
        <v>167</v>
      </c>
      <c r="C110" s="4"/>
      <c r="D110" s="14">
        <f>'qtrP&amp;L'!$BH11</f>
        <v>960.25599999999997</v>
      </c>
      <c r="E110" s="4"/>
      <c r="F110" s="14">
        <f>'qtrP&amp;L'!BH21</f>
        <v>268.22000000000003</v>
      </c>
      <c r="G110" s="4"/>
      <c r="H110" s="14">
        <f>work!AN11</f>
        <v>383.08100000000002</v>
      </c>
      <c r="I110" s="4"/>
      <c r="J110" s="14">
        <f>AVERAGE(H109:H110)</f>
        <v>392.43900000000002</v>
      </c>
      <c r="K110" s="4"/>
      <c r="L110" s="21">
        <f>(D110/D103-1)*100</f>
        <v>-1.8160216028964782</v>
      </c>
      <c r="M110" s="4"/>
      <c r="N110" s="21">
        <f>(H110/H103-1)*100</f>
        <v>39.219662527301999</v>
      </c>
      <c r="O110" s="4"/>
      <c r="P110" s="21">
        <f>(H110/H109-1)*100</f>
        <v>-4.6580736043325359</v>
      </c>
      <c r="Q110" s="4"/>
      <c r="R110" s="18">
        <f>F110/J110</f>
        <v>0.68346927802792279</v>
      </c>
      <c r="S110" s="4"/>
      <c r="T110" s="18">
        <f>F111/H110</f>
        <v>0.5609153155598946</v>
      </c>
      <c r="U110" s="4"/>
      <c r="V110" s="4">
        <f>CoachNAqtrSalesOld!L111</f>
        <v>585</v>
      </c>
      <c r="W110" s="4"/>
      <c r="X110" s="18">
        <f>H110/V110</f>
        <v>0.65483931623931624</v>
      </c>
      <c r="Y110" s="4"/>
      <c r="Z110" s="78">
        <f>(X110/X103-1)*100</f>
        <v>25.654669768231543</v>
      </c>
      <c r="AA110" s="4"/>
      <c r="AB110" s="190">
        <f>CoachNAqtrSalesOld!AG111</f>
        <v>1.5858939999999999</v>
      </c>
      <c r="AC110" s="4"/>
      <c r="AD110" s="81">
        <f>H110/AB110</f>
        <v>241.5552363524927</v>
      </c>
      <c r="AE110" s="4"/>
      <c r="AF110" s="78">
        <f>(AD110/AD103-1)*100</f>
        <v>19.106376186718578</v>
      </c>
      <c r="AG110" s="11"/>
      <c r="AH110" s="43">
        <f>J110/(F110/(365/4))</f>
        <v>133.51002442025202</v>
      </c>
      <c r="AI110" s="4"/>
      <c r="AJ110" s="43">
        <f>+H110/AH110</f>
        <v>2.869305145163997</v>
      </c>
      <c r="AK110" s="4"/>
      <c r="AL110" s="106">
        <f>((F110-('yrP&amp;L'!P21/4))/J110)</f>
        <v>0.55818420187596041</v>
      </c>
      <c r="AM110" s="107"/>
      <c r="AN110" s="67">
        <f>F110-('yrP&amp;L'!$P$21/4)</f>
        <v>219.05325000000002</v>
      </c>
      <c r="AO110" s="314" t="s">
        <v>638</v>
      </c>
    </row>
    <row r="111" spans="1:41" hidden="1" outlineLevel="1">
      <c r="A111" s="4" t="s">
        <v>459</v>
      </c>
      <c r="B111" s="4" t="s">
        <v>166</v>
      </c>
      <c r="C111" s="4"/>
      <c r="D111" s="14">
        <f>'qtrP&amp;L'!$BH12</f>
        <v>739.93899999999996</v>
      </c>
      <c r="E111" s="4"/>
      <c r="F111" s="14">
        <f>'qtrP&amp;L'!BH22</f>
        <v>214.876</v>
      </c>
      <c r="G111" s="4"/>
      <c r="H111" s="14">
        <f>work!AN12</f>
        <v>357.67</v>
      </c>
      <c r="I111" s="4"/>
      <c r="J111" s="14">
        <f>AVERAGE(H110:H111)</f>
        <v>370.37549999999999</v>
      </c>
      <c r="K111" s="4"/>
      <c r="L111" s="21">
        <f>(D111/D104-1)*100</f>
        <v>-0.6155627368969685</v>
      </c>
      <c r="M111" s="4"/>
      <c r="N111" s="21">
        <f>(H111/H104-1)*100</f>
        <v>23.062895678502613</v>
      </c>
      <c r="O111" s="4"/>
      <c r="P111" s="21">
        <f>(H111/H110-1)*100</f>
        <v>-6.6333229786911918</v>
      </c>
      <c r="Q111" s="4"/>
      <c r="R111" s="18">
        <f>F111/J111</f>
        <v>0.58015716482326718</v>
      </c>
      <c r="S111" s="4"/>
      <c r="T111" s="18">
        <f>F112/H111</f>
        <v>0.64424189895713924</v>
      </c>
      <c r="U111" s="4"/>
      <c r="V111" s="4">
        <f>CoachNAqtrSalesOld!L112</f>
        <v>589</v>
      </c>
      <c r="W111" s="4"/>
      <c r="X111" s="18">
        <f>H111/V111</f>
        <v>0.60724957555178272</v>
      </c>
      <c r="Y111" s="4"/>
      <c r="Z111" s="78">
        <f>(X111/X104-1)*100</f>
        <v>11.780389113750278</v>
      </c>
      <c r="AA111" s="4"/>
      <c r="AB111" s="190">
        <f>CoachNAqtrSalesOld!AG112</f>
        <v>1.6058959999999998</v>
      </c>
      <c r="AC111" s="4"/>
      <c r="AD111" s="81">
        <f>H111/AB111</f>
        <v>222.72301568719274</v>
      </c>
      <c r="AE111" s="4"/>
      <c r="AF111" s="88">
        <f>(AD111/AD104-1)*100</f>
        <v>6.0113252361146507</v>
      </c>
      <c r="AG111" s="11"/>
      <c r="AH111" s="43">
        <f>J111/(F111/(365/4))</f>
        <v>157.28496609672555</v>
      </c>
      <c r="AI111" s="4"/>
      <c r="AJ111" s="43">
        <f>+H111/AH111</f>
        <v>2.2740253495050737</v>
      </c>
      <c r="AK111" s="4"/>
      <c r="AL111" s="106">
        <f>((F111-('yrP&amp;L'!P21/4))/J111)</f>
        <v>0.4474087783884193</v>
      </c>
      <c r="AM111" s="107"/>
      <c r="AN111" s="67">
        <f>F111-('yrP&amp;L'!$P$21/4)</f>
        <v>165.70925</v>
      </c>
      <c r="AO111" s="314"/>
    </row>
    <row r="112" spans="1:41" hidden="1" outlineLevel="1">
      <c r="A112" s="4" t="s">
        <v>460</v>
      </c>
      <c r="B112" s="4" t="s">
        <v>62</v>
      </c>
      <c r="C112" s="4"/>
      <c r="D112" s="17">
        <f>'qtrP&amp;L'!$BH13</f>
        <v>777.74400000000003</v>
      </c>
      <c r="E112" s="4"/>
      <c r="F112" s="17">
        <f>'qtrP&amp;L'!BH23</f>
        <v>230.42599999999999</v>
      </c>
      <c r="G112" s="4"/>
      <c r="H112" s="14">
        <f>bal!AF11</f>
        <v>326.14800000000002</v>
      </c>
      <c r="I112" s="4"/>
      <c r="J112" s="17">
        <f>AVERAGE(H111:H112)</f>
        <v>341.90899999999999</v>
      </c>
      <c r="K112" s="4"/>
      <c r="L112" s="44">
        <f>(D112/D105-1)*100</f>
        <v>-0.4806142034548877</v>
      </c>
      <c r="M112" s="4"/>
      <c r="N112" s="78">
        <f>(H112/H105-1)*100</f>
        <v>2.4044710979936657</v>
      </c>
      <c r="O112" s="4"/>
      <c r="P112" s="21">
        <f>(H112/H111-1)*100</f>
        <v>-8.8131517879609707</v>
      </c>
      <c r="Q112" s="4"/>
      <c r="R112" s="18">
        <f>F112/J112</f>
        <v>0.67393955701663311</v>
      </c>
      <c r="S112" s="4"/>
      <c r="T112" s="102">
        <f>F116/H112</f>
        <v>0.64773967646589881</v>
      </c>
      <c r="U112" s="4"/>
      <c r="V112" s="4">
        <f>CoachNAqtrSalesOld!L113</f>
        <v>624</v>
      </c>
      <c r="W112" s="4"/>
      <c r="X112" s="18">
        <f>H112/V112</f>
        <v>0.52267307692307696</v>
      </c>
      <c r="Y112" s="4"/>
      <c r="Z112" s="78">
        <f>(X112/X105-1)*100</f>
        <v>-10.067868330608132</v>
      </c>
      <c r="AA112" s="4"/>
      <c r="AB112" s="190">
        <f>yrSales!P88</f>
        <v>1.7038599999999999</v>
      </c>
      <c r="AC112" s="4"/>
      <c r="AD112" s="81">
        <f>H112/AB112</f>
        <v>191.4171352106394</v>
      </c>
      <c r="AE112" s="4"/>
      <c r="AF112" s="88">
        <f>(AD112/AD105-1)*100</f>
        <v>-11.734517219558949</v>
      </c>
      <c r="AG112" s="11"/>
      <c r="AH112" s="43">
        <f>J112/(F112/(365/4))</f>
        <v>135.39789889161815</v>
      </c>
      <c r="AI112" s="4"/>
      <c r="AJ112" s="117">
        <f>+H112/AH112</f>
        <v>2.4088113823765571</v>
      </c>
      <c r="AK112" s="4"/>
      <c r="AL112" s="121">
        <f>((F112-('yrP&amp;L'!P21/4))/J112)</f>
        <v>0.5301388673594436</v>
      </c>
      <c r="AM112" s="108"/>
      <c r="AN112" s="67">
        <f>F112-('yrP&amp;L'!$P$21/4)</f>
        <v>181.25924999999998</v>
      </c>
      <c r="AO112" s="314"/>
    </row>
    <row r="113" spans="1:41" hidden="1" outlineLevel="1">
      <c r="A113" s="4"/>
      <c r="B113" s="4" t="s">
        <v>461</v>
      </c>
      <c r="C113" s="4"/>
      <c r="D113" s="13">
        <f>SUM(D109:D112)</f>
        <v>3230.4679999999998</v>
      </c>
      <c r="E113" s="4"/>
      <c r="F113" s="13">
        <f>SUM(F109:F112)</f>
        <v>907.85799999999995</v>
      </c>
      <c r="G113" s="4"/>
      <c r="H113" s="4"/>
      <c r="I113" s="4"/>
      <c r="J113" s="13">
        <f>AVERAGE(J109:J112)</f>
        <v>366.21675000000005</v>
      </c>
      <c r="K113" s="4"/>
      <c r="L113" s="21">
        <f>(D113/D106-1)*100</f>
        <v>1.5628669527411265</v>
      </c>
      <c r="M113" s="4"/>
      <c r="N113" s="4"/>
      <c r="O113" s="4"/>
      <c r="P113" s="4"/>
      <c r="Q113" s="4"/>
      <c r="R113" s="79">
        <f>F113/J113</f>
        <v>2.479018231689293</v>
      </c>
      <c r="S113" s="77" t="s">
        <v>527</v>
      </c>
      <c r="T113" s="18"/>
      <c r="U113" s="4"/>
      <c r="V113" s="4"/>
      <c r="W113" s="4"/>
      <c r="X113" s="4"/>
      <c r="Y113" s="4"/>
      <c r="Z113" s="4"/>
      <c r="AA113" s="4"/>
      <c r="AB113" s="4"/>
      <c r="AC113" s="4"/>
      <c r="AD113" s="82">
        <f>+AVERAGE(AD109:AD112)</f>
        <v>228.6835218319867</v>
      </c>
      <c r="AE113" s="4"/>
      <c r="AF113" s="4"/>
      <c r="AG113" s="4"/>
      <c r="AH113" s="4"/>
      <c r="AI113" s="4"/>
      <c r="AJ113" s="4"/>
      <c r="AK113" s="4"/>
      <c r="AL113" s="109">
        <f>((F113-('yrP&amp;L'!P21))/J113)</f>
        <v>1.9419947339929149</v>
      </c>
      <c r="AM113" s="110" t="s">
        <v>527</v>
      </c>
      <c r="AN113" s="67"/>
      <c r="AO113" s="314"/>
    </row>
    <row r="114" spans="1:41" hidden="1" outlineLevel="1">
      <c r="A114" s="4"/>
      <c r="B114" s="4"/>
      <c r="C114" s="4"/>
      <c r="D114" s="13"/>
      <c r="E114" s="4"/>
      <c r="F114" s="13"/>
      <c r="G114" s="4"/>
      <c r="H114" s="4"/>
      <c r="I114" s="4"/>
      <c r="J114" s="13"/>
      <c r="K114" s="4"/>
      <c r="L114" s="21"/>
      <c r="M114" s="4"/>
      <c r="N114" s="4"/>
      <c r="O114" s="4"/>
      <c r="P114" s="4"/>
      <c r="Q114" s="4"/>
      <c r="R114" s="187"/>
      <c r="S114" s="10"/>
      <c r="T114" s="18"/>
      <c r="U114" s="4"/>
      <c r="V114" s="4"/>
      <c r="W114" s="4"/>
      <c r="X114" s="4"/>
      <c r="Y114" s="4"/>
      <c r="Z114" s="4"/>
      <c r="AA114" s="4"/>
      <c r="AB114" s="4"/>
      <c r="AC114" s="4"/>
      <c r="AD114" s="4"/>
      <c r="AE114" s="4"/>
      <c r="AF114" s="4"/>
      <c r="AG114" s="4"/>
      <c r="AH114" s="4"/>
      <c r="AI114" s="4"/>
      <c r="AJ114" s="4"/>
      <c r="AK114" s="4"/>
      <c r="AL114" s="106"/>
      <c r="AM114" s="108"/>
      <c r="AN114" s="67"/>
      <c r="AO114" s="314"/>
    </row>
    <row r="115" spans="1:41" hidden="1" outlineLevel="1">
      <c r="A115" s="4"/>
      <c r="B115" s="40" t="s">
        <v>118</v>
      </c>
      <c r="C115" s="4"/>
      <c r="D115" s="4"/>
      <c r="E115" s="4"/>
      <c r="F115" s="4"/>
      <c r="G115" s="4"/>
      <c r="H115" s="4"/>
      <c r="I115" s="4"/>
      <c r="J115" s="4"/>
      <c r="K115" s="4"/>
      <c r="L115" s="4"/>
      <c r="M115" s="4"/>
      <c r="N115" s="4"/>
      <c r="O115" s="58"/>
      <c r="P115" s="4"/>
      <c r="Q115" s="58"/>
      <c r="R115" s="4"/>
      <c r="S115" s="4"/>
      <c r="T115" s="18"/>
      <c r="U115" s="4"/>
      <c r="V115" s="4"/>
      <c r="W115" s="4"/>
      <c r="X115" s="4"/>
      <c r="Y115" s="4"/>
      <c r="Z115" s="4"/>
      <c r="AA115" s="58"/>
      <c r="AB115" s="190"/>
      <c r="AC115" s="4"/>
      <c r="AD115" s="4"/>
      <c r="AE115" s="4"/>
      <c r="AF115" s="4"/>
      <c r="AG115" s="58"/>
      <c r="AH115" s="4"/>
      <c r="AI115" s="4"/>
      <c r="AJ115" s="4"/>
      <c r="AK115" s="4"/>
      <c r="AL115" s="4"/>
      <c r="AM115" s="4"/>
      <c r="AN115" s="67"/>
      <c r="AO115" s="314"/>
    </row>
    <row r="116" spans="1:41" hidden="1" outlineLevel="1">
      <c r="A116" s="4" t="s">
        <v>457</v>
      </c>
      <c r="B116" s="4" t="s">
        <v>63</v>
      </c>
      <c r="C116" s="4"/>
      <c r="D116" s="13">
        <f>'qtrP&amp;L'!BL10</f>
        <v>761.43700000000001</v>
      </c>
      <c r="E116" s="4"/>
      <c r="F116" s="13">
        <f>'qtrP&amp;L'!BL20</f>
        <v>211.25899999999999</v>
      </c>
      <c r="G116" s="4"/>
      <c r="H116" s="14">
        <f>work!AR10</f>
        <v>337.54500000000002</v>
      </c>
      <c r="I116" s="4"/>
      <c r="J116" s="13">
        <f>AVERAGE(H116,H112)</f>
        <v>331.84649999999999</v>
      </c>
      <c r="K116" s="4"/>
      <c r="L116" s="21">
        <f>(D116/D109-1)*100</f>
        <v>1.183741756131651</v>
      </c>
      <c r="M116" s="4" t="s">
        <v>428</v>
      </c>
      <c r="N116" s="21">
        <f>(H116/H109-1)*100</f>
        <v>-15.991159714980451</v>
      </c>
      <c r="O116" s="58" t="s">
        <v>428</v>
      </c>
      <c r="P116" s="21">
        <f>(H116/H112-1)*100</f>
        <v>3.4944258434820963</v>
      </c>
      <c r="Q116" s="58" t="s">
        <v>428</v>
      </c>
      <c r="R116" s="18">
        <f>F116/J116</f>
        <v>0.63661662847129619</v>
      </c>
      <c r="S116" s="4" t="s">
        <v>527</v>
      </c>
      <c r="T116" s="18">
        <f>F117/H116</f>
        <v>0.87119050793227559</v>
      </c>
      <c r="U116" s="4"/>
      <c r="V116" s="4">
        <f>CoachNAqtrSalesOld!L117</f>
        <v>646</v>
      </c>
      <c r="W116" s="4"/>
      <c r="X116" s="15">
        <f>H116/V116</f>
        <v>0.52251547987616098</v>
      </c>
      <c r="Y116" s="4"/>
      <c r="Z116" s="78">
        <f>(X116/X109-1)*100</f>
        <v>-24.704150890052144</v>
      </c>
      <c r="AA116" s="58" t="s">
        <v>428</v>
      </c>
      <c r="AB116" s="190">
        <f>CoachNAqtrSalesOld!AG117</f>
        <v>1.7863189999999998</v>
      </c>
      <c r="AC116" s="4"/>
      <c r="AD116" s="82">
        <f>H116/AB116</f>
        <v>188.96121017578611</v>
      </c>
      <c r="AE116" s="4"/>
      <c r="AF116" s="95">
        <f>(AD116/AD109-1)*100</f>
        <v>-27.052903632097003</v>
      </c>
      <c r="AG116" s="58" t="s">
        <v>428</v>
      </c>
      <c r="AH116" s="43">
        <f>J116/(F116/(365/4))</f>
        <v>143.33587267288021</v>
      </c>
      <c r="AI116" s="4"/>
      <c r="AJ116" s="43">
        <f>+H116/AH116</f>
        <v>2.3549233956969169</v>
      </c>
      <c r="AK116" s="4"/>
      <c r="AL116" s="106">
        <f>((F116-('yrP&amp;L'!Q21/4))/J116)</f>
        <v>0.46170970614425644</v>
      </c>
      <c r="AM116" s="107" t="s">
        <v>527</v>
      </c>
      <c r="AN116" s="67">
        <f>F116-('yrP&amp;L'!$Q$21/4)</f>
        <v>153.21674999999999</v>
      </c>
      <c r="AO116" s="314"/>
    </row>
    <row r="117" spans="1:41" hidden="1" outlineLevel="1">
      <c r="A117" s="4" t="s">
        <v>458</v>
      </c>
      <c r="B117" s="4" t="s">
        <v>167</v>
      </c>
      <c r="C117" s="4"/>
      <c r="D117" s="14">
        <f>'qtrP&amp;L'!BL11</f>
        <v>1065.0050000000001</v>
      </c>
      <c r="E117" s="4"/>
      <c r="F117" s="14">
        <f>'qtrP&amp;L'!BL21</f>
        <v>294.06599999999997</v>
      </c>
      <c r="G117" s="4"/>
      <c r="H117" s="14">
        <f>work!AR11</f>
        <v>269.2</v>
      </c>
      <c r="I117" s="4"/>
      <c r="J117" s="14">
        <f>AVERAGE(H116:H117)</f>
        <v>303.3725</v>
      </c>
      <c r="K117" s="4"/>
      <c r="L117" s="21">
        <f>(D117/D110-1)*100</f>
        <v>10.908445247933907</v>
      </c>
      <c r="M117" s="4"/>
      <c r="N117" s="21">
        <f>(H117/H110-1)*100</f>
        <v>-29.727655508887164</v>
      </c>
      <c r="O117" s="4"/>
      <c r="P117" s="21">
        <f>(H117/H116-1)*100</f>
        <v>-20.24767068094625</v>
      </c>
      <c r="Q117" s="4"/>
      <c r="R117" s="18">
        <f>F117/J117</f>
        <v>0.96932319178567594</v>
      </c>
      <c r="S117" s="4"/>
      <c r="T117" s="18">
        <f>F118/H117</f>
        <v>0.79901188707280835</v>
      </c>
      <c r="U117" s="4"/>
      <c r="V117" s="4">
        <f>CoachNAqtrSalesOld!L118</f>
        <v>656</v>
      </c>
      <c r="W117" s="4"/>
      <c r="X117" s="18">
        <f>H117/V117</f>
        <v>0.41036585365853656</v>
      </c>
      <c r="Y117" s="4"/>
      <c r="Z117" s="78">
        <f>(X117/X110-1)*100</f>
        <v>-37.333351330333819</v>
      </c>
      <c r="AA117" s="4"/>
      <c r="AB117" s="190">
        <f>CoachNAqtrSalesOld!AG118</f>
        <v>1.8187010000000001</v>
      </c>
      <c r="AC117" s="4"/>
      <c r="AD117" s="81">
        <f>H117/AB117</f>
        <v>148.01773353618873</v>
      </c>
      <c r="AE117" s="4"/>
      <c r="AF117" s="95">
        <f>(AD117/AD110-1)*100</f>
        <v>-38.723028417321551</v>
      </c>
      <c r="AG117" s="11"/>
      <c r="AH117" s="43">
        <f>J117/(F117/(365/4))</f>
        <v>94.137848731237213</v>
      </c>
      <c r="AI117" s="4"/>
      <c r="AJ117" s="43">
        <f>+H117/AH117</f>
        <v>2.8596361997666189</v>
      </c>
      <c r="AK117" s="4"/>
      <c r="AL117" s="106">
        <f>((F117-('yrP&amp;L'!Q21/4))/J117)</f>
        <v>0.77799981870472756</v>
      </c>
      <c r="AM117" s="107"/>
      <c r="AN117" s="67">
        <f>F117-('yrP&amp;L'!$Q$21/4)</f>
        <v>236.02374999999998</v>
      </c>
      <c r="AO117" s="314" t="s">
        <v>637</v>
      </c>
    </row>
    <row r="118" spans="1:41" hidden="1" outlineLevel="1">
      <c r="A118" s="4" t="s">
        <v>459</v>
      </c>
      <c r="B118" s="4" t="s">
        <v>166</v>
      </c>
      <c r="C118" s="4"/>
      <c r="D118" s="14">
        <f>'qtrP&amp;L'!BL12</f>
        <v>830.66899999999998</v>
      </c>
      <c r="E118" s="4"/>
      <c r="F118" s="14">
        <f>'qtrP&amp;L'!BL22</f>
        <v>215.09399999999999</v>
      </c>
      <c r="G118" s="4"/>
      <c r="H118" s="14">
        <f>work!AR12</f>
        <v>306.673</v>
      </c>
      <c r="I118" s="4"/>
      <c r="J118" s="14">
        <f>AVERAGE(H117:H118)</f>
        <v>287.93650000000002</v>
      </c>
      <c r="K118" s="4"/>
      <c r="L118" s="21">
        <f>(D118/D111-1)*100</f>
        <v>12.261821582589928</v>
      </c>
      <c r="M118" s="4"/>
      <c r="N118" s="21">
        <f>(H118/H111-1)*100</f>
        <v>-14.258115022227191</v>
      </c>
      <c r="O118" s="4"/>
      <c r="P118" s="21">
        <f>(H118/H117-1)*100</f>
        <v>13.920133729569105</v>
      </c>
      <c r="Q118" s="4"/>
      <c r="R118" s="18">
        <f>F118/J118</f>
        <v>0.74701887395311106</v>
      </c>
      <c r="S118" s="4"/>
      <c r="T118" s="18">
        <f>F119/H118</f>
        <v>0.82669814427745514</v>
      </c>
      <c r="U118" s="4"/>
      <c r="V118" s="4">
        <f>CoachNAqtrSalesOld!L119</f>
        <v>660</v>
      </c>
      <c r="W118" s="4"/>
      <c r="X118" s="18">
        <f>H118/V118</f>
        <v>0.46465606060606063</v>
      </c>
      <c r="Y118" s="4"/>
      <c r="Z118" s="78">
        <f>(X118/X111-1)*100</f>
        <v>-23.481863254684576</v>
      </c>
      <c r="AA118" s="4"/>
      <c r="AB118" s="190">
        <f>CoachNAqtrSalesOld!AG119</f>
        <v>1.829812</v>
      </c>
      <c r="AC118" s="4"/>
      <c r="AD118" s="81">
        <f>H118/AB118</f>
        <v>167.5980920444286</v>
      </c>
      <c r="AE118" s="4"/>
      <c r="AF118" s="95">
        <f>(AD118/AD111-1)*100</f>
        <v>-24.750438778264982</v>
      </c>
      <c r="AG118" s="11"/>
      <c r="AH118" s="43">
        <f>J118/(F118/(365/4))</f>
        <v>122.15220147935324</v>
      </c>
      <c r="AI118" s="4"/>
      <c r="AJ118" s="43">
        <f>+H118/AH118</f>
        <v>2.5105810315816157</v>
      </c>
      <c r="AK118" s="4"/>
      <c r="AL118" s="106">
        <f>((F118-('yrP&amp;L'!Q21/4))/J118)</f>
        <v>0.54543883807714544</v>
      </c>
      <c r="AM118" s="107"/>
      <c r="AN118" s="4"/>
      <c r="AO118" s="4"/>
    </row>
    <row r="119" spans="1:41" hidden="1" outlineLevel="1">
      <c r="A119" s="4" t="s">
        <v>460</v>
      </c>
      <c r="B119" s="4" t="s">
        <v>62</v>
      </c>
      <c r="C119" s="4"/>
      <c r="D119" s="17">
        <f>'qtrP&amp;L'!BL13</f>
        <v>950.52499999999998</v>
      </c>
      <c r="E119" s="4"/>
      <c r="F119" s="17">
        <f>'qtrP&amp;L'!BL23</f>
        <v>253.52600000000001</v>
      </c>
      <c r="G119" s="4"/>
      <c r="H119" s="14">
        <f>bal!$AH$11</f>
        <v>363.28500000000003</v>
      </c>
      <c r="I119" s="4"/>
      <c r="J119" s="17">
        <f>AVERAGE(H118:H119)</f>
        <v>334.97900000000004</v>
      </c>
      <c r="K119" s="4"/>
      <c r="L119" s="44">
        <f>(D119/D112-1)*100</f>
        <v>22.215664794585365</v>
      </c>
      <c r="M119" s="4"/>
      <c r="N119" s="78">
        <f>(H119/H112-1)*100</f>
        <v>11.386548438132383</v>
      </c>
      <c r="O119" s="4"/>
      <c r="P119" s="21">
        <f>(H119/H118-1)*100</f>
        <v>18.460053542372499</v>
      </c>
      <c r="Q119" s="4"/>
      <c r="R119" s="18">
        <f>F119/J119</f>
        <v>0.75684147364461651</v>
      </c>
      <c r="S119" s="4"/>
      <c r="T119" s="102">
        <f>F123/H119</f>
        <v>0.64824586756953895</v>
      </c>
      <c r="U119" s="4"/>
      <c r="V119" s="4">
        <f>CoachNAqtrSalesOld!L120</f>
        <v>665</v>
      </c>
      <c r="W119" s="4"/>
      <c r="X119" s="18">
        <f>H119/V119</f>
        <v>0.54629323308270683</v>
      </c>
      <c r="Y119" s="4"/>
      <c r="Z119" s="78">
        <f>(X119/X112-1)*100</f>
        <v>4.5191071058565457</v>
      </c>
      <c r="AA119" s="4"/>
      <c r="AB119" s="190">
        <f>CoachNAqtrSalesOld!AG120</f>
        <v>1.850705</v>
      </c>
      <c r="AC119" s="4"/>
      <c r="AD119" s="81">
        <f>H119/AB119</f>
        <v>196.29546578195877</v>
      </c>
      <c r="AE119" s="4"/>
      <c r="AF119" s="88">
        <f>(AD119/AD112-1)*100</f>
        <v>2.5485338948110003</v>
      </c>
      <c r="AG119" s="11"/>
      <c r="AH119" s="43">
        <f>J119/(F119/(365/4))</f>
        <v>120.56686000646877</v>
      </c>
      <c r="AI119" s="4"/>
      <c r="AJ119" s="117">
        <f>+H119/AH119</f>
        <v>3.013141421950515</v>
      </c>
      <c r="AK119" s="4"/>
      <c r="AL119" s="121">
        <f>((F119-('yrP&amp;L'!Q21/4))/J119)</f>
        <v>0.58357016409983908</v>
      </c>
      <c r="AM119" s="108"/>
      <c r="AN119" s="4"/>
      <c r="AO119" s="4"/>
    </row>
    <row r="120" spans="1:41" hidden="1" outlineLevel="1">
      <c r="A120" s="4"/>
      <c r="B120" s="4" t="s">
        <v>461</v>
      </c>
      <c r="C120" s="4"/>
      <c r="D120" s="13">
        <f>SUM(D116:D119)</f>
        <v>3607.636</v>
      </c>
      <c r="E120" s="4"/>
      <c r="F120" s="13">
        <f>SUM(F116:F119)</f>
        <v>973.94499999999994</v>
      </c>
      <c r="G120" s="4"/>
      <c r="H120" s="4"/>
      <c r="I120" s="4"/>
      <c r="J120" s="13">
        <f>AVERAGE(J116:J119)</f>
        <v>314.53362500000003</v>
      </c>
      <c r="K120" s="4"/>
      <c r="L120" s="21">
        <f>(D120/D113-1)*100</f>
        <v>11.675336205156661</v>
      </c>
      <c r="M120" s="4"/>
      <c r="N120" s="4"/>
      <c r="O120" s="4"/>
      <c r="P120" s="4"/>
      <c r="Q120" s="4"/>
      <c r="R120" s="79">
        <f>F120/J120</f>
        <v>3.0964733897687404</v>
      </c>
      <c r="S120" s="77" t="s">
        <v>527</v>
      </c>
      <c r="T120" s="18"/>
      <c r="U120" s="4"/>
      <c r="V120" s="4"/>
      <c r="W120" s="4"/>
      <c r="X120" s="4"/>
      <c r="Y120" s="4"/>
      <c r="Z120" s="4"/>
      <c r="AA120" s="4"/>
      <c r="AB120" s="4"/>
      <c r="AC120" s="4"/>
      <c r="AD120" s="82">
        <f>+AVERAGE(AD116:AD119)</f>
        <v>175.21812538459054</v>
      </c>
      <c r="AE120" s="4"/>
      <c r="AF120" s="4"/>
      <c r="AG120" s="4"/>
      <c r="AH120" s="4"/>
      <c r="AI120" s="4"/>
      <c r="AJ120" s="4"/>
      <c r="AK120" s="4"/>
      <c r="AL120" s="109">
        <f>((F120-('yrP&amp;L'!Q21))/J120)</f>
        <v>2.3583360920473919</v>
      </c>
      <c r="AM120" s="110" t="s">
        <v>527</v>
      </c>
      <c r="AN120" s="4"/>
      <c r="AO120" s="4"/>
    </row>
    <row r="121" spans="1:41" hidden="1" outlineLevel="1">
      <c r="A121" s="4"/>
      <c r="B121" s="4"/>
      <c r="C121" s="4"/>
      <c r="D121" s="13"/>
      <c r="E121" s="4"/>
      <c r="F121" s="13"/>
      <c r="G121" s="4"/>
      <c r="H121" s="4"/>
      <c r="I121" s="4"/>
      <c r="J121" s="13"/>
      <c r="K121" s="4"/>
      <c r="L121" s="21"/>
      <c r="M121" s="4"/>
      <c r="N121" s="4"/>
      <c r="O121" s="4"/>
      <c r="P121" s="4"/>
      <c r="Q121" s="4"/>
      <c r="R121" s="187"/>
      <c r="S121" s="10"/>
      <c r="T121" s="18"/>
      <c r="U121" s="4"/>
      <c r="V121" s="4"/>
      <c r="W121" s="4"/>
      <c r="X121" s="4"/>
      <c r="Y121" s="4"/>
      <c r="Z121" s="4"/>
      <c r="AA121" s="4"/>
      <c r="AB121" s="4"/>
      <c r="AC121" s="4"/>
      <c r="AD121" s="4"/>
      <c r="AE121" s="4"/>
      <c r="AF121" s="4"/>
      <c r="AG121" s="4"/>
      <c r="AH121" s="4"/>
      <c r="AI121" s="4"/>
      <c r="AJ121" s="4"/>
      <c r="AK121" s="4"/>
      <c r="AL121" s="106"/>
      <c r="AM121" s="108"/>
      <c r="AN121" s="4"/>
      <c r="AO121" s="4"/>
    </row>
    <row r="122" spans="1:41" hidden="1" outlineLevel="1">
      <c r="A122" s="4"/>
      <c r="B122" s="40" t="s">
        <v>314</v>
      </c>
      <c r="C122" s="4"/>
      <c r="D122" s="4"/>
      <c r="E122" s="4"/>
      <c r="F122" s="4"/>
      <c r="G122" s="4"/>
      <c r="H122" s="4"/>
      <c r="I122" s="4"/>
      <c r="J122" s="4"/>
      <c r="K122" s="4"/>
      <c r="L122" s="4"/>
      <c r="M122" s="4"/>
      <c r="N122" s="4"/>
      <c r="O122" s="58"/>
      <c r="P122" s="4"/>
      <c r="Q122" s="58"/>
      <c r="R122" s="4"/>
      <c r="S122" s="4"/>
      <c r="T122" s="18"/>
      <c r="U122" s="4"/>
      <c r="V122" s="4"/>
      <c r="W122" s="4"/>
      <c r="X122" s="4"/>
      <c r="Y122" s="4"/>
      <c r="Z122" s="4"/>
      <c r="AA122" s="58"/>
      <c r="AB122" s="190"/>
      <c r="AC122" s="4"/>
      <c r="AD122" s="4"/>
      <c r="AE122" s="4"/>
      <c r="AF122" s="4"/>
      <c r="AG122" s="58"/>
      <c r="AH122" s="4"/>
      <c r="AI122" s="4"/>
      <c r="AJ122" s="4"/>
      <c r="AK122" s="4"/>
      <c r="AL122" s="4"/>
      <c r="AM122" s="4"/>
      <c r="AN122" s="4"/>
      <c r="AO122" s="4"/>
    </row>
    <row r="123" spans="1:41" hidden="1" outlineLevel="1">
      <c r="A123" s="4" t="s">
        <v>457</v>
      </c>
      <c r="B123" s="4" t="s">
        <v>63</v>
      </c>
      <c r="C123" s="4"/>
      <c r="D123" s="13">
        <f>'qtrP&amp;L'!BP10</f>
        <v>911.66899999999998</v>
      </c>
      <c r="E123" s="4"/>
      <c r="F123" s="13">
        <f>'qtrP&amp;L'!BP20</f>
        <v>235.49799999999999</v>
      </c>
      <c r="G123" s="4"/>
      <c r="H123" s="14">
        <f>work!AV10</f>
        <v>458.92</v>
      </c>
      <c r="I123" s="4"/>
      <c r="J123" s="13">
        <f>AVERAGE(H123,H119)</f>
        <v>411.10250000000002</v>
      </c>
      <c r="K123" s="4"/>
      <c r="L123" s="21">
        <f>(D123/D116-1)*100</f>
        <v>19.730063025568768</v>
      </c>
      <c r="M123" s="4" t="s">
        <v>428</v>
      </c>
      <c r="N123" s="21">
        <f>(H123/H116-1)*100</f>
        <v>35.958168540490895</v>
      </c>
      <c r="O123" s="58" t="s">
        <v>428</v>
      </c>
      <c r="P123" s="21">
        <f>(H123/H119-1)*100</f>
        <v>26.325061590762068</v>
      </c>
      <c r="Q123" s="58" t="s">
        <v>428</v>
      </c>
      <c r="R123" s="18">
        <f>F123/J123</f>
        <v>0.5728449717527867</v>
      </c>
      <c r="S123" s="4" t="s">
        <v>527</v>
      </c>
      <c r="T123" s="18">
        <f>F124/H123</f>
        <v>0.76109343676457764</v>
      </c>
      <c r="U123" s="4"/>
      <c r="V123" s="4">
        <f>CoachNAqtrSalesOld!L124</f>
        <v>685</v>
      </c>
      <c r="W123" s="4"/>
      <c r="X123" s="15">
        <f>H123/V123</f>
        <v>0.66995620437956205</v>
      </c>
      <c r="Y123" s="4"/>
      <c r="Z123" s="78">
        <f>(X123/X116-1)*100</f>
        <v>28.217484492200185</v>
      </c>
      <c r="AA123" s="58" t="s">
        <v>428</v>
      </c>
      <c r="AB123" s="190">
        <f>CoachNAqtrSalesOld!AG124</f>
        <v>1.9168759999999998</v>
      </c>
      <c r="AC123" s="4"/>
      <c r="AD123" s="82">
        <f>H123/AB123</f>
        <v>239.41037396263508</v>
      </c>
      <c r="AE123" s="4"/>
      <c r="AF123" s="95">
        <f>(AD123/AD116-1)*100</f>
        <v>26.698158706708817</v>
      </c>
      <c r="AG123" s="58" t="s">
        <v>428</v>
      </c>
      <c r="AH123" s="43">
        <f>J123/(F123/(365/4))</f>
        <v>159.2926611903286</v>
      </c>
      <c r="AI123" s="4"/>
      <c r="AJ123" s="43">
        <f>+H123/AH123</f>
        <v>2.8809864595812478</v>
      </c>
      <c r="AK123" s="4"/>
      <c r="AL123" s="106">
        <f>((F123-('yrP&amp;L'!$R$21/4))/J123)</f>
        <v>0.41179121995122858</v>
      </c>
      <c r="AM123" s="107" t="s">
        <v>527</v>
      </c>
      <c r="AN123" s="4"/>
      <c r="AO123" s="4"/>
    </row>
    <row r="124" spans="1:41" hidden="1" outlineLevel="1">
      <c r="A124" s="4" t="s">
        <v>458</v>
      </c>
      <c r="B124" s="4" t="s">
        <v>167</v>
      </c>
      <c r="C124" s="4"/>
      <c r="D124" s="14">
        <f>'qtrP&amp;L'!BP11</f>
        <v>1264.4570000000001</v>
      </c>
      <c r="E124" s="4"/>
      <c r="F124" s="14">
        <f>'qtrP&amp;L'!BP21</f>
        <v>349.28100000000001</v>
      </c>
      <c r="G124" s="4"/>
      <c r="H124" s="14">
        <f>work!AV11</f>
        <v>367.41</v>
      </c>
      <c r="I124" s="4"/>
      <c r="J124" s="14">
        <f>AVERAGE(H123:H124)</f>
        <v>413.16500000000002</v>
      </c>
      <c r="K124" s="4"/>
      <c r="L124" s="21">
        <f>(D124/D117-1)*100</f>
        <v>18.727799400002819</v>
      </c>
      <c r="M124" s="4"/>
      <c r="N124" s="21">
        <f>(H124/H117-1)*100</f>
        <v>36.482169390787547</v>
      </c>
      <c r="O124" s="4"/>
      <c r="P124" s="21">
        <f>(H124/H123-1)*100</f>
        <v>-19.94029460472413</v>
      </c>
      <c r="Q124" s="4"/>
      <c r="R124" s="18">
        <f>F124/J124</f>
        <v>0.84537896482035024</v>
      </c>
      <c r="S124" s="4"/>
      <c r="T124" s="18">
        <f>F125/H124</f>
        <v>0.70507335129691617</v>
      </c>
      <c r="U124" s="4"/>
      <c r="V124" s="4">
        <f>CoachNAqtrSalesOld!L125</f>
        <v>692</v>
      </c>
      <c r="W124" s="4"/>
      <c r="X124" s="18">
        <f>H124/V124</f>
        <v>0.53093930635838149</v>
      </c>
      <c r="Y124" s="4"/>
      <c r="Z124" s="78">
        <f>(X124/X117-1)*100</f>
        <v>29.381940925370831</v>
      </c>
      <c r="AA124" s="4"/>
      <c r="AB124" s="190">
        <f>CoachNAqtrSalesOld!AG125</f>
        <v>1.9374879999999997</v>
      </c>
      <c r="AC124" s="4"/>
      <c r="AD124" s="81">
        <f>H124/AB124</f>
        <v>189.63214223778422</v>
      </c>
      <c r="AE124" s="4"/>
      <c r="AF124" s="95">
        <f>(AD124/AD117-1)*100</f>
        <v>28.114475007429583</v>
      </c>
      <c r="AG124" s="11"/>
      <c r="AH124" s="43">
        <f>J124/(F124/(365/4))</f>
        <v>107.93975695786489</v>
      </c>
      <c r="AI124" s="4"/>
      <c r="AJ124" s="43">
        <f>+H124/AH124</f>
        <v>3.4038431283796697</v>
      </c>
      <c r="AK124" s="4"/>
      <c r="AL124" s="106">
        <f>((F124-('yrP&amp;L'!$R$21/4))/J124)</f>
        <v>0.68512918567642456</v>
      </c>
      <c r="AM124" s="107"/>
      <c r="AN124" s="92"/>
      <c r="AO124" s="4"/>
    </row>
    <row r="125" spans="1:41" hidden="1" outlineLevel="1">
      <c r="A125" s="4" t="s">
        <v>459</v>
      </c>
      <c r="B125" s="4" t="s">
        <v>166</v>
      </c>
      <c r="C125" s="4"/>
      <c r="D125" s="14">
        <f>'qtrP&amp;L'!BP12</f>
        <v>950.70600000000002</v>
      </c>
      <c r="E125" s="4"/>
      <c r="F125" s="14">
        <f>'qtrP&amp;L'!BP22</f>
        <v>259.05099999999999</v>
      </c>
      <c r="G125" s="4"/>
      <c r="H125" s="14">
        <f>work!AV12</f>
        <v>391.44200000000001</v>
      </c>
      <c r="I125" s="4"/>
      <c r="J125" s="14">
        <f>AVERAGE(H124:H125)</f>
        <v>379.42600000000004</v>
      </c>
      <c r="K125" s="4"/>
      <c r="L125" s="21">
        <f>(D125/D118-1)*100</f>
        <v>14.4506415912957</v>
      </c>
      <c r="M125" s="4"/>
      <c r="N125" s="21">
        <f>(H125/H118-1)*100</f>
        <v>27.641494360442564</v>
      </c>
      <c r="O125" s="4"/>
      <c r="P125" s="21">
        <f>(H125/H124-1)*100</f>
        <v>6.5409215862388015</v>
      </c>
      <c r="Q125" s="4"/>
      <c r="R125" s="18">
        <f>F125/J125</f>
        <v>0.68274446137059652</v>
      </c>
      <c r="S125" s="4"/>
      <c r="T125" s="18">
        <f>F126/H125</f>
        <v>0.74375258659009513</v>
      </c>
      <c r="U125" s="4"/>
      <c r="V125" s="4">
        <f>CoachNAqtrSalesOld!L126</f>
        <v>700</v>
      </c>
      <c r="W125" s="4"/>
      <c r="X125" s="18">
        <f>H125/V125</f>
        <v>0.55920285714285711</v>
      </c>
      <c r="Y125" s="4"/>
      <c r="Z125" s="78">
        <f>(X125/X118-1)*100</f>
        <v>20.347694682702965</v>
      </c>
      <c r="AA125" s="4"/>
      <c r="AB125" s="190">
        <f>CoachNAqtrSalesOld!AG126</f>
        <v>1.9616709999999997</v>
      </c>
      <c r="AC125" s="4"/>
      <c r="AD125" s="81">
        <f>H125/AB125</f>
        <v>199.5451836724915</v>
      </c>
      <c r="AE125" s="4"/>
      <c r="AF125" s="95">
        <f>(AD125/AD118-1)*100</f>
        <v>19.061727516321625</v>
      </c>
      <c r="AG125" s="11"/>
      <c r="AH125" s="43">
        <f>J125/(F125/(365/4))</f>
        <v>133.65176162222886</v>
      </c>
      <c r="AI125" s="4"/>
      <c r="AJ125" s="43">
        <f>+H125/AH125</f>
        <v>2.9288203555926469</v>
      </c>
      <c r="AK125" s="4"/>
      <c r="AL125" s="106">
        <f>((F125-('yrP&amp;L'!$R$21/4))/J125)</f>
        <v>0.50824508599832363</v>
      </c>
      <c r="AM125" s="107"/>
      <c r="AN125" s="4"/>
      <c r="AO125" s="4"/>
    </row>
    <row r="126" spans="1:41" hidden="1" outlineLevel="1">
      <c r="A126" s="4" t="s">
        <v>460</v>
      </c>
      <c r="B126" s="4" t="s">
        <v>62</v>
      </c>
      <c r="C126" s="4"/>
      <c r="D126" s="17">
        <f>'qtrP&amp;L'!BP13</f>
        <v>1031.675</v>
      </c>
      <c r="E126" s="4"/>
      <c r="F126" s="17">
        <f>'qtrP&amp;L'!BP23</f>
        <v>291.13600000000002</v>
      </c>
      <c r="G126" s="4"/>
      <c r="H126" s="14">
        <f>work!AV13</f>
        <v>421.83100000000002</v>
      </c>
      <c r="I126" s="4"/>
      <c r="J126" s="17">
        <f>AVERAGE(H125:H126)</f>
        <v>406.63650000000001</v>
      </c>
      <c r="K126" s="4"/>
      <c r="L126" s="44">
        <f>(D126/D119-1)*100</f>
        <v>8.5373872333710299</v>
      </c>
      <c r="M126" s="4"/>
      <c r="N126" s="78">
        <f>(H126/H119-1)*100</f>
        <v>16.115721816204911</v>
      </c>
      <c r="O126" s="4"/>
      <c r="P126" s="21">
        <f>(H126/H125-1)*100</f>
        <v>7.7633468048906362</v>
      </c>
      <c r="Q126" s="4"/>
      <c r="R126" s="18">
        <f>F126/J126</f>
        <v>0.71596130696580362</v>
      </c>
      <c r="S126" s="4"/>
      <c r="T126" s="102">
        <f>F130/H126</f>
        <v>0.67729967688481885</v>
      </c>
      <c r="U126" s="4"/>
      <c r="V126" s="4">
        <f>CoachNAqtrSalesOld!L127</f>
        <v>723</v>
      </c>
      <c r="W126" s="4"/>
      <c r="X126" s="18">
        <f>H126/V126</f>
        <v>0.5834453665283541</v>
      </c>
      <c r="Y126" s="4"/>
      <c r="Z126" s="78">
        <f>(X126/X119-1)*100</f>
        <v>6.8007676456103061</v>
      </c>
      <c r="AA126" s="4"/>
      <c r="AB126" s="190">
        <f>CoachNAqtrSalesOld!AI127</f>
        <v>2.0168460000000001</v>
      </c>
      <c r="AC126" s="4"/>
      <c r="AD126" s="81">
        <f>H126/AB126</f>
        <v>209.15379756312578</v>
      </c>
      <c r="AE126" s="4"/>
      <c r="AF126" s="88">
        <f>(AD126/AD119-1)*100</f>
        <v>6.5504986220363381</v>
      </c>
      <c r="AG126" s="11"/>
      <c r="AH126" s="43">
        <f>J126/(F126/(365/4))</f>
        <v>127.45102160158825</v>
      </c>
      <c r="AI126" s="4"/>
      <c r="AJ126" s="117">
        <f>+H126/AH126</f>
        <v>3.3097498529171721</v>
      </c>
      <c r="AK126" s="4"/>
      <c r="AL126" s="106">
        <f>((F126-('yrP&amp;L'!$R$21/4))/J126)</f>
        <v>0.55313873693089521</v>
      </c>
      <c r="AM126" s="108"/>
      <c r="AN126" s="4"/>
      <c r="AO126" s="4"/>
    </row>
    <row r="127" spans="1:41" hidden="1" outlineLevel="1">
      <c r="A127" s="4"/>
      <c r="B127" s="4" t="s">
        <v>461</v>
      </c>
      <c r="C127" s="4"/>
      <c r="D127" s="13">
        <f>SUM(D123:D126)</f>
        <v>4158.5070000000005</v>
      </c>
      <c r="E127" s="4"/>
      <c r="F127" s="13">
        <f>SUM(F123:F126)</f>
        <v>1134.9659999999999</v>
      </c>
      <c r="G127" s="4"/>
      <c r="H127" s="4"/>
      <c r="I127" s="4"/>
      <c r="J127" s="13">
        <f>AVERAGE(J123:J126)</f>
        <v>402.58250000000004</v>
      </c>
      <c r="K127" s="4"/>
      <c r="L127" s="21">
        <f>(D127/D120-1)*100</f>
        <v>15.269583738492475</v>
      </c>
      <c r="M127" s="4"/>
      <c r="N127" s="4"/>
      <c r="O127" s="4"/>
      <c r="P127" s="4"/>
      <c r="Q127" s="4"/>
      <c r="R127" s="79">
        <f>F127/J127</f>
        <v>2.8192134531431439</v>
      </c>
      <c r="S127" s="77" t="s">
        <v>527</v>
      </c>
      <c r="T127" s="18"/>
      <c r="U127" s="4"/>
      <c r="V127" s="4"/>
      <c r="W127" s="4"/>
      <c r="X127" s="4"/>
      <c r="Y127" s="4"/>
      <c r="Z127" s="4"/>
      <c r="AA127" s="4"/>
      <c r="AB127" s="4"/>
      <c r="AC127" s="4"/>
      <c r="AD127" s="82">
        <f>+AVERAGE(AD123:AD126)</f>
        <v>209.43537435900913</v>
      </c>
      <c r="AE127" s="4"/>
      <c r="AF127" s="4"/>
      <c r="AG127" s="4"/>
      <c r="AH127" s="4"/>
      <c r="AI127" s="4"/>
      <c r="AJ127" s="4"/>
      <c r="AK127" s="4"/>
      <c r="AL127" s="109">
        <f>((F127-('yrP&amp;L'!$R$21))/J127)</f>
        <v>2.1613646892251892</v>
      </c>
      <c r="AM127" s="110" t="s">
        <v>527</v>
      </c>
      <c r="AN127" s="4"/>
      <c r="AO127" s="4"/>
    </row>
    <row r="128" spans="1:41" hidden="1" outlineLevel="1">
      <c r="A128" s="4"/>
      <c r="B128" s="4"/>
      <c r="C128" s="4"/>
      <c r="D128" s="13"/>
      <c r="E128" s="4"/>
      <c r="F128" s="13"/>
      <c r="G128" s="4"/>
      <c r="H128" s="4"/>
      <c r="I128" s="4"/>
      <c r="J128" s="13"/>
      <c r="K128" s="4"/>
      <c r="L128" s="21"/>
      <c r="M128" s="4"/>
      <c r="N128" s="4"/>
      <c r="O128" s="4"/>
      <c r="P128" s="4"/>
      <c r="Q128" s="4"/>
      <c r="R128" s="187"/>
      <c r="S128" s="10"/>
      <c r="T128" s="50"/>
      <c r="U128" s="4"/>
      <c r="V128" s="4"/>
      <c r="W128" s="4"/>
      <c r="X128" s="4"/>
      <c r="Y128" s="4"/>
      <c r="Z128" s="4"/>
      <c r="AA128" s="4"/>
      <c r="AB128" s="4"/>
      <c r="AC128" s="4"/>
      <c r="AD128" s="4"/>
      <c r="AE128" s="4"/>
      <c r="AF128" s="4"/>
      <c r="AG128" s="4"/>
      <c r="AH128" s="4"/>
      <c r="AI128" s="4"/>
      <c r="AJ128" s="4"/>
      <c r="AK128" s="4"/>
      <c r="AL128" s="106"/>
      <c r="AM128" s="108"/>
      <c r="AN128" s="4"/>
      <c r="AO128" s="4"/>
    </row>
    <row r="129" spans="1:41" collapsed="1">
      <c r="A129" s="4"/>
      <c r="B129" s="40" t="s">
        <v>210</v>
      </c>
      <c r="C129" s="4"/>
      <c r="D129" s="4"/>
      <c r="E129" s="4"/>
      <c r="F129" s="4"/>
      <c r="G129" s="4"/>
      <c r="H129" s="4"/>
      <c r="I129" s="4"/>
      <c r="J129" s="4"/>
      <c r="K129" s="4"/>
      <c r="L129" s="4"/>
      <c r="M129" s="4"/>
      <c r="N129" s="4"/>
      <c r="O129" s="58"/>
      <c r="P129" s="4"/>
      <c r="Q129" s="58"/>
      <c r="R129" s="4"/>
      <c r="S129" s="4"/>
      <c r="T129" s="18"/>
      <c r="U129" s="4"/>
      <c r="V129" s="4"/>
      <c r="W129" s="4"/>
      <c r="X129" s="4"/>
      <c r="Y129" s="4"/>
      <c r="Z129" s="4"/>
      <c r="AA129" s="58"/>
      <c r="AB129" s="190"/>
      <c r="AC129" s="4"/>
      <c r="AD129" s="4"/>
      <c r="AE129" s="4"/>
      <c r="AF129" s="4"/>
      <c r="AG129" s="58"/>
      <c r="AH129" s="4"/>
      <c r="AI129" s="4"/>
      <c r="AJ129" s="4"/>
      <c r="AK129" s="4"/>
      <c r="AL129" s="4"/>
      <c r="AM129" s="4"/>
      <c r="AN129" s="4"/>
      <c r="AO129" s="4"/>
    </row>
    <row r="130" spans="1:41">
      <c r="A130" s="4" t="s">
        <v>457</v>
      </c>
      <c r="B130" s="4" t="s">
        <v>63</v>
      </c>
      <c r="C130" s="4"/>
      <c r="D130" s="13">
        <f>'qtrP&amp;L'!BT10</f>
        <v>1050.3589999999999</v>
      </c>
      <c r="E130" s="4"/>
      <c r="F130" s="13">
        <f>'qtrP&amp;L'!BT20</f>
        <v>285.70600000000002</v>
      </c>
      <c r="G130" s="4"/>
      <c r="H130" s="14">
        <f>work!AZ10</f>
        <v>519.58600000000001</v>
      </c>
      <c r="I130" s="4"/>
      <c r="J130" s="13">
        <f>AVERAGE(H130,H126)</f>
        <v>470.70850000000002</v>
      </c>
      <c r="K130" s="4"/>
      <c r="L130" s="21">
        <f>(D130/D123-1)*100</f>
        <v>15.212758139193049</v>
      </c>
      <c r="M130" s="4" t="s">
        <v>428</v>
      </c>
      <c r="N130" s="21">
        <f>(H130/H123-1)*100</f>
        <v>13.219297481042446</v>
      </c>
      <c r="O130" s="58" t="s">
        <v>428</v>
      </c>
      <c r="P130" s="21">
        <f>(H130/H126-1)*100</f>
        <v>23.173972515059347</v>
      </c>
      <c r="Q130" s="58" t="s">
        <v>428</v>
      </c>
      <c r="R130" s="18">
        <f>F130/J130</f>
        <v>0.60697013119584631</v>
      </c>
      <c r="S130" s="4" t="s">
        <v>527</v>
      </c>
      <c r="T130" s="18">
        <f>F131/H130</f>
        <v>0.77646048969756687</v>
      </c>
      <c r="U130" s="4"/>
      <c r="V130" s="4">
        <f>CoachNAqtrSalesOld!L131</f>
        <v>745</v>
      </c>
      <c r="W130" s="4"/>
      <c r="X130" s="15">
        <f>H130/V130</f>
        <v>0.69743087248322144</v>
      </c>
      <c r="Y130" s="4"/>
      <c r="Z130" s="78">
        <f>(X130/X123-1)*100</f>
        <v>4.1009647980054575</v>
      </c>
      <c r="AA130" s="58" t="s">
        <v>428</v>
      </c>
      <c r="AB130" s="190">
        <f>CoachNAqtrSalesOld!AI131</f>
        <v>2.0608460000000002</v>
      </c>
      <c r="AC130" s="4"/>
      <c r="AD130" s="82">
        <f>H130/AB130</f>
        <v>252.12267195122777</v>
      </c>
      <c r="AE130" s="4"/>
      <c r="AF130" s="95">
        <f>(AD130/AD123-1)*100</f>
        <v>5.3098359015038898</v>
      </c>
      <c r="AG130" s="58" t="s">
        <v>428</v>
      </c>
      <c r="AH130" s="43">
        <f>J130/(F130/(365/4))</f>
        <v>150.33688695722176</v>
      </c>
      <c r="AI130" s="4"/>
      <c r="AJ130" s="43">
        <f>+H130/AH130</f>
        <v>3.4561444667126024</v>
      </c>
      <c r="AK130" s="4"/>
      <c r="AL130" s="106">
        <f>((F130-('yrP&amp;L'!$S$21/4))/J130)</f>
        <v>0.6056879183188747</v>
      </c>
      <c r="AM130" s="107" t="s">
        <v>527</v>
      </c>
      <c r="AN130" s="4"/>
      <c r="AO130" s="4"/>
    </row>
    <row r="131" spans="1:41">
      <c r="A131" s="4" t="s">
        <v>458</v>
      </c>
      <c r="B131" s="4" t="s">
        <v>167</v>
      </c>
      <c r="C131" s="4"/>
      <c r="D131" s="14">
        <f>'qtrP&amp;L'!BT11</f>
        <v>1448.6489999999999</v>
      </c>
      <c r="E131" s="4"/>
      <c r="F131" s="14">
        <f>'qtrP&amp;L'!BT21</f>
        <v>403.43799999999999</v>
      </c>
      <c r="G131" s="4"/>
      <c r="H131" s="14">
        <f>work!AZ11</f>
        <v>429.03100000000001</v>
      </c>
      <c r="I131" s="4"/>
      <c r="J131" s="14">
        <f>AVERAGE(H130:H131)</f>
        <v>474.30849999999998</v>
      </c>
      <c r="K131" s="4"/>
      <c r="L131" s="21">
        <f>(D131/D124-1)*100</f>
        <v>14.566885232158921</v>
      </c>
      <c r="M131" s="4"/>
      <c r="N131" s="21">
        <f>(H131/H124-1)*100</f>
        <v>16.771726409188648</v>
      </c>
      <c r="O131" s="4"/>
      <c r="P131" s="21">
        <f>(H131/H130-1)*100</f>
        <v>-17.428298683952224</v>
      </c>
      <c r="Q131" s="4"/>
      <c r="R131" s="18">
        <f>F131/J131</f>
        <v>0.85058142538031678</v>
      </c>
      <c r="S131" s="4"/>
      <c r="T131" s="18">
        <f>F132/H131</f>
        <v>0.6780722138959655</v>
      </c>
      <c r="U131" s="4"/>
      <c r="V131" s="4">
        <f>CoachNAqtrSalesOld!L132</f>
        <v>770</v>
      </c>
      <c r="W131" s="4"/>
      <c r="X131" s="18">
        <f>H131/V131</f>
        <v>0.55718311688311684</v>
      </c>
      <c r="Y131" s="4"/>
      <c r="Z131" s="78">
        <f>(X131/X124-1)*100</f>
        <v>4.9429021755305724</v>
      </c>
      <c r="AA131" s="4"/>
      <c r="AB131" s="190">
        <f>CoachNAqtrSalesOld!AI132</f>
        <v>2.110846</v>
      </c>
      <c r="AC131" s="4"/>
      <c r="AD131" s="81">
        <f>H131/AB131</f>
        <v>203.25073453961113</v>
      </c>
      <c r="AE131" s="4"/>
      <c r="AF131" s="95">
        <f>(AD131/AD124-1)*100</f>
        <v>7.1815843775841826</v>
      </c>
      <c r="AG131" s="11"/>
      <c r="AH131" s="43">
        <f>J131/(F131/(365/4))</f>
        <v>107.27955875500078</v>
      </c>
      <c r="AI131" s="4"/>
      <c r="AJ131" s="43">
        <f>+H131/AH131</f>
        <v>3.9991868439708789</v>
      </c>
      <c r="AK131" s="4"/>
      <c r="AL131" s="106">
        <f>((F131-('yrP&amp;L'!$S$21/4))/J131)</f>
        <v>0.84930894449498584</v>
      </c>
      <c r="AM131" s="107"/>
      <c r="AN131" s="4"/>
      <c r="AO131" s="4"/>
    </row>
    <row r="132" spans="1:41">
      <c r="A132" s="4" t="s">
        <v>459</v>
      </c>
      <c r="B132" s="4" t="s">
        <v>166</v>
      </c>
      <c r="C132" s="4"/>
      <c r="D132" s="14">
        <f>'qtrP&amp;L'!BT12</f>
        <v>1108.981</v>
      </c>
      <c r="E132" s="4"/>
      <c r="F132" s="14">
        <f>'qtrP&amp;L'!BT22</f>
        <v>290.91399999999999</v>
      </c>
      <c r="G132" s="4"/>
      <c r="H132" s="14">
        <f>work!AZ12</f>
        <v>475.36399999999998</v>
      </c>
      <c r="I132" s="4"/>
      <c r="J132" s="14">
        <f>AVERAGE(H131:H132)</f>
        <v>452.19749999999999</v>
      </c>
      <c r="K132" s="4"/>
      <c r="L132" s="21">
        <f>(D132/D125-1)*100</f>
        <v>16.648154108630852</v>
      </c>
      <c r="M132" s="4"/>
      <c r="N132" s="21">
        <f>(H132/H125-1)*100</f>
        <v>21.439191502189338</v>
      </c>
      <c r="O132" s="4"/>
      <c r="P132" s="21">
        <f>(H132/H131-1)*100</f>
        <v>10.79945272019971</v>
      </c>
      <c r="Q132" s="4"/>
      <c r="R132" s="18">
        <f>F132/J132</f>
        <v>0.64333394147468748</v>
      </c>
      <c r="S132" s="4"/>
      <c r="T132" s="18">
        <f>F133/H132</f>
        <v>0.66694995834770832</v>
      </c>
      <c r="U132" s="4"/>
      <c r="V132" s="4">
        <f>CoachNAqtrSalesOld!L133</f>
        <v>806</v>
      </c>
      <c r="W132" s="4"/>
      <c r="X132" s="18">
        <f>H132/V132</f>
        <v>0.58978163771712155</v>
      </c>
      <c r="Y132" s="4"/>
      <c r="Z132" s="78">
        <f>(X132/X125-1)*100</f>
        <v>5.4682804609584856</v>
      </c>
      <c r="AA132" s="4"/>
      <c r="AB132" s="190">
        <f>CoachNAqtrSalesOld!AI133</f>
        <v>2.1828460000000001</v>
      </c>
      <c r="AC132" s="4"/>
      <c r="AD132" s="81">
        <f>H132/AB132</f>
        <v>217.77257763488581</v>
      </c>
      <c r="AE132" s="4"/>
      <c r="AF132" s="95">
        <f>(AD132/AD125-1)*100</f>
        <v>9.1344695105798568</v>
      </c>
      <c r="AG132" s="11"/>
      <c r="AH132" s="43">
        <f>J132/(F132/(365/4))</f>
        <v>141.83924415806734</v>
      </c>
      <c r="AI132" s="4"/>
      <c r="AJ132" s="43">
        <f>+H132/AH132</f>
        <v>3.3514278986868309</v>
      </c>
      <c r="AK132" s="4"/>
      <c r="AL132" s="106">
        <f>((F132-('yrP&amp;L'!$S$21/4))/J132)</f>
        <v>0.64199924037616307</v>
      </c>
      <c r="AM132" s="107"/>
      <c r="AN132" s="4"/>
      <c r="AO132" s="4"/>
    </row>
    <row r="133" spans="1:41">
      <c r="A133" s="4" t="s">
        <v>460</v>
      </c>
      <c r="B133" s="4" t="s">
        <v>62</v>
      </c>
      <c r="C133" s="4"/>
      <c r="D133" s="17">
        <f>'qtrP&amp;L'!BT13</f>
        <v>1155.191</v>
      </c>
      <c r="E133" s="4"/>
      <c r="F133" s="17">
        <f>'qtrP&amp;L'!BT23</f>
        <v>317.04399999999998</v>
      </c>
      <c r="G133" s="4"/>
      <c r="H133" s="14">
        <f>work!AZ13</f>
        <v>504.49</v>
      </c>
      <c r="I133" s="4"/>
      <c r="J133" s="17">
        <f>AVERAGE(H132:H133)</f>
        <v>489.92700000000002</v>
      </c>
      <c r="K133" s="4"/>
      <c r="L133" s="44">
        <f>(D133/D126-1)*100</f>
        <v>11.972375021203385</v>
      </c>
      <c r="M133" s="4"/>
      <c r="N133" s="78">
        <f>(H133/H126-1)*100</f>
        <v>19.595288160424438</v>
      </c>
      <c r="O133" s="4"/>
      <c r="P133" s="21">
        <f>(H133/H132-1)*100</f>
        <v>6.1270941846669258</v>
      </c>
      <c r="Q133" s="4"/>
      <c r="R133" s="18">
        <f>F133/J133</f>
        <v>0.64712497984393591</v>
      </c>
      <c r="S133" s="4"/>
      <c r="T133" s="102">
        <f>F137/H133</f>
        <v>0.62673591151459895</v>
      </c>
      <c r="U133" s="4"/>
      <c r="V133" s="4">
        <f>CoachNAqtrSalesOld!L134</f>
        <v>832</v>
      </c>
      <c r="W133" s="4"/>
      <c r="X133" s="18">
        <f>H133/V133</f>
        <v>0.60635817307692308</v>
      </c>
      <c r="Y133" s="4"/>
      <c r="Z133" s="78">
        <f>(X133/X126-1)*100</f>
        <v>3.9271554567149813</v>
      </c>
      <c r="AA133" s="4"/>
      <c r="AB133" s="190">
        <f>CoachNAqtrSalesOld!AI134</f>
        <v>2.4141939999999997</v>
      </c>
      <c r="AC133" s="4"/>
      <c r="AD133" s="81">
        <f>H133/AB133</f>
        <v>208.96829335173564</v>
      </c>
      <c r="AE133" s="4"/>
      <c r="AF133" s="88">
        <f>(AD133/AD126-1)*100</f>
        <v>-8.8692729250661184E-2</v>
      </c>
      <c r="AG133" s="11"/>
      <c r="AH133" s="43">
        <f>J133/(F133/(365/4))</f>
        <v>141.00831036070704</v>
      </c>
      <c r="AI133" s="4"/>
      <c r="AJ133" s="117">
        <f>+H133/AH133</f>
        <v>3.5777323954133395</v>
      </c>
      <c r="AK133" s="4"/>
      <c r="AL133" s="106">
        <f>((F133-('yrP&amp;L'!$S$21/4))/J133)</f>
        <v>0.64589306468106467</v>
      </c>
      <c r="AM133" s="108"/>
      <c r="AN133" s="4"/>
      <c r="AO133" s="4"/>
    </row>
    <row r="134" spans="1:41">
      <c r="A134" s="4"/>
      <c r="B134" s="4" t="s">
        <v>461</v>
      </c>
      <c r="C134" s="4"/>
      <c r="D134" s="13">
        <f>SUM(D130:D133)</f>
        <v>4763.1799999999994</v>
      </c>
      <c r="E134" s="4"/>
      <c r="F134" s="13">
        <f>SUM(F130:F133)</f>
        <v>1297.1019999999999</v>
      </c>
      <c r="G134" s="4"/>
      <c r="H134" s="4"/>
      <c r="I134" s="4"/>
      <c r="J134" s="13">
        <f>AVERAGE(J130:J133)</f>
        <v>471.78537500000004</v>
      </c>
      <c r="K134" s="4"/>
      <c r="L134" s="21">
        <f>(D134/D127-1)*100</f>
        <v>14.540627201060353</v>
      </c>
      <c r="M134" s="4"/>
      <c r="N134" s="4"/>
      <c r="O134" s="4"/>
      <c r="P134" s="4"/>
      <c r="Q134" s="4"/>
      <c r="R134" s="79">
        <f>F134/J134</f>
        <v>2.7493476244362167</v>
      </c>
      <c r="S134" s="77" t="s">
        <v>527</v>
      </c>
      <c r="T134" s="18"/>
      <c r="U134" s="4"/>
      <c r="V134" s="4"/>
      <c r="W134" s="4"/>
      <c r="X134" s="4"/>
      <c r="Y134" s="4"/>
      <c r="Z134" s="4"/>
      <c r="AA134" s="4"/>
      <c r="AB134" s="4"/>
      <c r="AC134" s="4"/>
      <c r="AD134" s="82"/>
      <c r="AE134" s="4"/>
      <c r="AF134" s="4"/>
      <c r="AG134" s="4"/>
      <c r="AH134" s="4"/>
      <c r="AI134" s="4"/>
      <c r="AJ134" s="4"/>
      <c r="AK134" s="4"/>
      <c r="AL134" s="109">
        <f>((F134-('yrP&amp;L'!$S$21))/J134)</f>
        <v>2.7442304798023884</v>
      </c>
      <c r="AM134" s="110" t="s">
        <v>527</v>
      </c>
      <c r="AN134" s="4"/>
      <c r="AO134" s="4"/>
    </row>
    <row r="135" spans="1:41">
      <c r="A135" s="4"/>
      <c r="B135" s="4"/>
      <c r="C135" s="4"/>
      <c r="D135" s="13"/>
      <c r="E135" s="4"/>
      <c r="F135" s="13"/>
      <c r="G135" s="4"/>
      <c r="H135" s="4"/>
      <c r="I135" s="4"/>
      <c r="J135" s="13"/>
      <c r="K135" s="4"/>
      <c r="L135" s="21"/>
      <c r="M135" s="4"/>
      <c r="N135" s="4"/>
      <c r="O135" s="4"/>
      <c r="P135" s="4"/>
      <c r="Q135" s="4"/>
      <c r="R135" s="187"/>
      <c r="S135" s="10"/>
      <c r="T135" s="18"/>
      <c r="U135" s="4"/>
      <c r="V135" s="4"/>
      <c r="W135" s="4"/>
      <c r="X135" s="4"/>
      <c r="Y135" s="4"/>
      <c r="Z135" s="4"/>
      <c r="AA135" s="4"/>
      <c r="AB135" s="4"/>
      <c r="AC135" s="4"/>
      <c r="AD135" s="4"/>
      <c r="AE135" s="4"/>
      <c r="AF135" s="4"/>
      <c r="AG135" s="4"/>
      <c r="AH135" s="4"/>
      <c r="AI135" s="4"/>
      <c r="AJ135" s="4"/>
      <c r="AK135" s="4"/>
      <c r="AL135" s="106"/>
      <c r="AM135" s="108"/>
      <c r="AN135" s="4"/>
      <c r="AO135" s="4"/>
    </row>
    <row r="136" spans="1:41">
      <c r="A136" s="65"/>
      <c r="B136" s="40" t="s">
        <v>226</v>
      </c>
      <c r="C136" s="65"/>
      <c r="D136" s="65"/>
      <c r="E136" s="65"/>
      <c r="F136" s="65"/>
      <c r="G136" s="65"/>
      <c r="H136" s="65"/>
      <c r="I136" s="65"/>
      <c r="J136" s="65"/>
      <c r="K136" s="65"/>
      <c r="L136" s="65"/>
      <c r="M136" s="65"/>
      <c r="N136" s="65"/>
      <c r="O136" s="315"/>
      <c r="P136" s="65"/>
      <c r="Q136" s="315"/>
      <c r="R136" s="65"/>
      <c r="S136" s="65"/>
      <c r="T136" s="537"/>
      <c r="U136" s="65"/>
      <c r="V136" s="65"/>
      <c r="W136" s="65"/>
      <c r="X136" s="65"/>
      <c r="Y136" s="65"/>
      <c r="Z136" s="65"/>
      <c r="AA136" s="315"/>
      <c r="AB136" s="191"/>
      <c r="AC136" s="65"/>
      <c r="AD136" s="65"/>
      <c r="AE136" s="65"/>
      <c r="AF136" s="65"/>
      <c r="AG136" s="315"/>
      <c r="AH136" s="65"/>
      <c r="AI136" s="65"/>
      <c r="AJ136" s="65"/>
      <c r="AK136" s="65"/>
      <c r="AL136" s="65"/>
      <c r="AM136" s="65"/>
      <c r="AN136" s="65"/>
      <c r="AO136" s="65"/>
    </row>
    <row r="137" spans="1:41">
      <c r="A137" s="65" t="s">
        <v>457</v>
      </c>
      <c r="B137" s="4" t="s">
        <v>63</v>
      </c>
      <c r="C137" s="65"/>
      <c r="D137" s="308">
        <f>'qtrP&amp;L'!BX10</f>
        <v>1161.3499999999999</v>
      </c>
      <c r="E137" s="65"/>
      <c r="F137" s="308">
        <f>'qtrP&amp;L'!BX20</f>
        <v>316.18200000000002</v>
      </c>
      <c r="G137" s="65"/>
      <c r="H137" s="538">
        <f>work!BD10</f>
        <v>598.12800000000004</v>
      </c>
      <c r="I137" s="65"/>
      <c r="J137" s="308">
        <f>AVERAGE(H137,H133)</f>
        <v>551.30899999999997</v>
      </c>
      <c r="K137" s="65"/>
      <c r="L137" s="543">
        <f>(D137/D130-1)*100</f>
        <v>10.566958535129412</v>
      </c>
      <c r="M137" s="65" t="s">
        <v>428</v>
      </c>
      <c r="N137" s="543">
        <f>(H137/H130-1)*100</f>
        <v>15.11626564226134</v>
      </c>
      <c r="O137" s="315" t="s">
        <v>428</v>
      </c>
      <c r="P137" s="543">
        <f>(H137/H133-1)*100</f>
        <v>18.560922912248024</v>
      </c>
      <c r="Q137" s="315" t="s">
        <v>428</v>
      </c>
      <c r="R137" s="537">
        <f>F137/J137</f>
        <v>0.57351140648892007</v>
      </c>
      <c r="S137" s="65" t="s">
        <v>527</v>
      </c>
      <c r="T137" s="537">
        <f>F138/H137</f>
        <v>0.69950244763662617</v>
      </c>
      <c r="U137" s="65"/>
      <c r="V137" s="65">
        <f>CoachNAqtrSalesOld!L138</f>
        <v>912</v>
      </c>
      <c r="W137" s="65"/>
      <c r="X137" s="536">
        <f>H137/V137</f>
        <v>0.65584210526315789</v>
      </c>
      <c r="Y137" s="65"/>
      <c r="Z137" s="86">
        <f>(X137/X130-1)*100</f>
        <v>-5.9631382637229109</v>
      </c>
      <c r="AA137" s="315" t="s">
        <v>428</v>
      </c>
      <c r="AB137" s="191">
        <f>CoachNAqtrSalesOld!AI138</f>
        <v>2.5741939999999999</v>
      </c>
      <c r="AC137" s="65"/>
      <c r="AD137" s="539">
        <f>H137/AB137</f>
        <v>232.35544795769087</v>
      </c>
      <c r="AE137" s="65"/>
      <c r="AF137" s="653">
        <f>(AD137/AD130-1)*100</f>
        <v>-7.8403198889470787</v>
      </c>
      <c r="AG137" s="315" t="s">
        <v>428</v>
      </c>
      <c r="AH137" s="188">
        <f>J137/(F137/(365/4))</f>
        <v>159.10755909571068</v>
      </c>
      <c r="AI137" s="65"/>
      <c r="AJ137" s="188">
        <f>+H137/AH137</f>
        <v>3.7592682798948474</v>
      </c>
      <c r="AK137" s="65"/>
      <c r="AL137" s="544">
        <f>((F137-('yrP&amp;L'!$T$21/4))/J137)</f>
        <v>0.57228560072482038</v>
      </c>
      <c r="AM137" s="545" t="s">
        <v>527</v>
      </c>
      <c r="AN137" s="65"/>
      <c r="AO137" s="65"/>
    </row>
    <row r="138" spans="1:41">
      <c r="A138" s="65" t="s">
        <v>458</v>
      </c>
      <c r="B138" s="4" t="s">
        <v>167</v>
      </c>
      <c r="C138" s="65"/>
      <c r="D138" s="538">
        <f>'qtrP&amp;L'!BX11</f>
        <v>1503.7739999999999</v>
      </c>
      <c r="E138" s="65"/>
      <c r="F138" s="538">
        <f>'qtrP&amp;L'!BX21</f>
        <v>418.392</v>
      </c>
      <c r="G138" s="65"/>
      <c r="H138" s="538">
        <f>work!BD11</f>
        <v>493.65899999999999</v>
      </c>
      <c r="I138" s="65"/>
      <c r="J138" s="538">
        <f>AVERAGE(H137:H138)</f>
        <v>545.89350000000002</v>
      </c>
      <c r="K138" s="65"/>
      <c r="L138" s="543">
        <f>(D138/D131-1)*100</f>
        <v>3.8052695994681862</v>
      </c>
      <c r="M138" s="65"/>
      <c r="N138" s="543">
        <f>(H138/H131-1)*100</f>
        <v>15.06371334472334</v>
      </c>
      <c r="O138" s="65"/>
      <c r="P138" s="543">
        <f>(H138/H137-1)*100</f>
        <v>-17.465993900971032</v>
      </c>
      <c r="Q138" s="65"/>
      <c r="R138" s="537">
        <f>F138/J138</f>
        <v>0.76643521126373548</v>
      </c>
      <c r="S138" s="65"/>
      <c r="T138" s="537">
        <f>F139/H138</f>
        <v>0.62267678701289753</v>
      </c>
      <c r="U138" s="65"/>
      <c r="V138" s="65">
        <f>CoachNAqtrSalesOld!L139</f>
        <v>947</v>
      </c>
      <c r="W138" s="65"/>
      <c r="X138" s="537">
        <f>H138/V138</f>
        <v>0.52128722280887008</v>
      </c>
      <c r="Y138" s="65"/>
      <c r="Z138" s="86">
        <f>(X138/X131-1)*100</f>
        <v>-6.442387248746595</v>
      </c>
      <c r="AA138" s="65"/>
      <c r="AB138" s="191">
        <f>CoachNAqtrSalesOld!AI139</f>
        <v>2.6441939999999997</v>
      </c>
      <c r="AC138" s="65"/>
      <c r="AD138" s="539">
        <f>H138/AB138</f>
        <v>186.69545426697135</v>
      </c>
      <c r="AE138" s="65"/>
      <c r="AF138" s="653">
        <f>(AD138/AD131-1)*100</f>
        <v>-8.145249910235064</v>
      </c>
      <c r="AG138" s="64"/>
      <c r="AH138" s="188">
        <f>J138/(F138/(365/4))</f>
        <v>119.05768244851718</v>
      </c>
      <c r="AI138" s="65"/>
      <c r="AJ138" s="188">
        <f>+H138/AH138</f>
        <v>4.1463850954218566</v>
      </c>
      <c r="AK138" s="65"/>
      <c r="AL138" s="544">
        <f>((F138-('yrP&amp;L'!$T$21/4))/J138)</f>
        <v>0.76519724497543928</v>
      </c>
      <c r="AM138" s="545"/>
      <c r="AN138" s="65"/>
      <c r="AO138" s="65"/>
    </row>
    <row r="139" spans="1:41">
      <c r="A139" s="65" t="s">
        <v>459</v>
      </c>
      <c r="B139" s="4" t="s">
        <v>166</v>
      </c>
      <c r="C139" s="65"/>
      <c r="D139" s="538">
        <f>'qtrP&amp;L'!BX12</f>
        <v>1187.578</v>
      </c>
      <c r="E139" s="65"/>
      <c r="F139" s="538">
        <f>'qtrP&amp;L'!BX22</f>
        <v>307.39</v>
      </c>
      <c r="G139" s="65"/>
      <c r="H139" s="538">
        <f>work!BD12</f>
        <v>515.91499999999996</v>
      </c>
      <c r="I139" s="65"/>
      <c r="J139" s="538">
        <f>AVERAGE(H138:H139)</f>
        <v>504.78699999999998</v>
      </c>
      <c r="K139" s="65"/>
      <c r="L139" s="543">
        <f>(D139/D132-1)*100</f>
        <v>7.0873170956039733</v>
      </c>
      <c r="M139" s="65"/>
      <c r="N139" s="543">
        <f>(H139/H132-1)*100</f>
        <v>8.5305155628108142</v>
      </c>
      <c r="O139" s="65"/>
      <c r="P139" s="543">
        <f>(H139/H138-1)*100</f>
        <v>4.5083752144698952</v>
      </c>
      <c r="Q139" s="65"/>
      <c r="R139" s="537">
        <f>F139/J139</f>
        <v>0.60894991352788408</v>
      </c>
      <c r="S139" s="65"/>
      <c r="T139" s="537">
        <f>F140/H139</f>
        <v>0.64056676002829926</v>
      </c>
      <c r="U139" s="65"/>
      <c r="V139" s="65">
        <f>CoachNAqtrSalesOld!L140</f>
        <v>945</v>
      </c>
      <c r="W139" s="65"/>
      <c r="X139" s="537">
        <f>H139/V139</f>
        <v>0.54594179894179895</v>
      </c>
      <c r="Y139" s="65"/>
      <c r="Z139" s="86">
        <f>(X139/X132-1)*100</f>
        <v>-7.4332322289677011</v>
      </c>
      <c r="AA139" s="65"/>
      <c r="AB139" s="191">
        <f>CoachNAqtrSalesOld!AI140</f>
        <v>2.6401939999999997</v>
      </c>
      <c r="AC139" s="65"/>
      <c r="AD139" s="539">
        <f>H139/AB139</f>
        <v>195.40798895838716</v>
      </c>
      <c r="AE139" s="65"/>
      <c r="AF139" s="653">
        <f>(AD139/AD132-1)*100</f>
        <v>-10.269699206111603</v>
      </c>
      <c r="AG139" s="64"/>
      <c r="AH139" s="188">
        <f>J139/(F139/(365/4))</f>
        <v>149.8481204658577</v>
      </c>
      <c r="AI139" s="65"/>
      <c r="AJ139" s="188">
        <f>+H139/AH139</f>
        <v>3.4429193932902824</v>
      </c>
      <c r="AK139" s="65"/>
      <c r="AL139" s="544">
        <f>((F139-('yrP&amp;L'!$T$21/4))/J139)</f>
        <v>0.60761113548882995</v>
      </c>
      <c r="AM139" s="545"/>
      <c r="AN139" s="65"/>
      <c r="AO139" s="65"/>
    </row>
    <row r="140" spans="1:41">
      <c r="A140" s="65" t="s">
        <v>460</v>
      </c>
      <c r="B140" s="4" t="s">
        <v>62</v>
      </c>
      <c r="C140" s="65"/>
      <c r="D140" s="120">
        <f>'qtrP&amp;L'!BX13</f>
        <v>1222.6880000000001</v>
      </c>
      <c r="E140" s="65"/>
      <c r="F140" s="120">
        <f>'qtrP&amp;L'!BX23</f>
        <v>330.47800000000001</v>
      </c>
      <c r="G140" s="65"/>
      <c r="H140" s="538">
        <f>bal!$AN$11</f>
        <v>524.70600000000002</v>
      </c>
      <c r="I140" s="65"/>
      <c r="J140" s="120">
        <f>AVERAGE(H139:H140)</f>
        <v>520.31050000000005</v>
      </c>
      <c r="K140" s="65"/>
      <c r="L140" s="546">
        <f>(D140/D133-1)*100</f>
        <v>5.8429298704716359</v>
      </c>
      <c r="M140" s="65"/>
      <c r="N140" s="86">
        <f>(H140/H133-1)*100</f>
        <v>4.0072152074372092</v>
      </c>
      <c r="O140" s="65"/>
      <c r="P140" s="543">
        <f>(H140/H139-1)*100</f>
        <v>1.7039628620993952</v>
      </c>
      <c r="Q140" s="65"/>
      <c r="R140" s="537">
        <f>F140/J140</f>
        <v>0.63515535435091153</v>
      </c>
      <c r="S140" s="65"/>
      <c r="T140" s="537">
        <f>F141/H140</f>
        <v>2.6156399964932744</v>
      </c>
      <c r="U140" s="65"/>
      <c r="V140" s="65">
        <f>CoachNAqtrSalesOld!L141</f>
        <v>960</v>
      </c>
      <c r="W140" s="65"/>
      <c r="X140" s="537">
        <f>H140/V140</f>
        <v>0.54656875000000005</v>
      </c>
      <c r="Y140" s="65"/>
      <c r="Z140" s="86">
        <f>(X140/X133-1)*100</f>
        <v>-9.860413486887742</v>
      </c>
      <c r="AA140" s="65"/>
      <c r="AB140" s="191">
        <f>CoachNAqtrSalesOld!AI141</f>
        <v>2.7031909999999999</v>
      </c>
      <c r="AC140" s="65"/>
      <c r="AD140" s="539">
        <f>H140/AB140</f>
        <v>194.10615084172744</v>
      </c>
      <c r="AE140" s="65"/>
      <c r="AF140" s="88">
        <f>(AD140/AD133-1)*100</f>
        <v>-7.1121519306243446</v>
      </c>
      <c r="AG140" s="64"/>
      <c r="AH140" s="188">
        <f>J140/(F140/(365/4))</f>
        <v>143.66563924073614</v>
      </c>
      <c r="AI140" s="65"/>
      <c r="AJ140" s="547">
        <f>+H140/AH140</f>
        <v>3.6522720587402682</v>
      </c>
      <c r="AK140" s="65"/>
      <c r="AL140" s="544">
        <f>((F140-('yrP&amp;L'!$T$21/4))/J140)</f>
        <v>0.63385651884788019</v>
      </c>
      <c r="AM140" s="548"/>
      <c r="AN140" s="65"/>
      <c r="AO140" s="65"/>
    </row>
    <row r="141" spans="1:41">
      <c r="A141" s="65"/>
      <c r="B141" s="4" t="s">
        <v>461</v>
      </c>
      <c r="C141" s="65"/>
      <c r="D141" s="308">
        <f>SUM(D137:D140)</f>
        <v>5075.3899999999994</v>
      </c>
      <c r="E141" s="65"/>
      <c r="F141" s="308">
        <f>SUM(F137:F140)</f>
        <v>1372.442</v>
      </c>
      <c r="G141" s="65"/>
      <c r="H141" s="65"/>
      <c r="I141" s="65"/>
      <c r="J141" s="308">
        <f>AVERAGE(J137:J140)</f>
        <v>530.57500000000005</v>
      </c>
      <c r="K141" s="65"/>
      <c r="L141" s="543">
        <f>(D141/D134-1)*100</f>
        <v>6.5546546634811298</v>
      </c>
      <c r="M141" s="65"/>
      <c r="N141" s="65"/>
      <c r="O141" s="65"/>
      <c r="P141" s="65"/>
      <c r="Q141" s="65"/>
      <c r="R141" s="549">
        <f>F141/J141</f>
        <v>2.5867068746171604</v>
      </c>
      <c r="S141" s="550" t="s">
        <v>527</v>
      </c>
      <c r="T141" s="537"/>
      <c r="U141" s="65"/>
      <c r="V141" s="65"/>
      <c r="W141" s="65"/>
      <c r="X141" s="65"/>
      <c r="Y141" s="65"/>
      <c r="Z141" s="65"/>
      <c r="AA141" s="65"/>
      <c r="AB141" s="65"/>
      <c r="AC141" s="65"/>
      <c r="AD141" s="551">
        <f>+AVERAGE(AD137:AD140)</f>
        <v>202.14126050619419</v>
      </c>
      <c r="AE141" s="65"/>
      <c r="AF141" s="65"/>
      <c r="AG141" s="65"/>
      <c r="AH141" s="65"/>
      <c r="AI141" s="65"/>
      <c r="AJ141" s="65"/>
      <c r="AK141" s="65"/>
      <c r="AL141" s="552">
        <f>((F141-('yrP&amp;L'!$S$21))/J141)</f>
        <v>2.5821567280780284</v>
      </c>
      <c r="AM141" s="553" t="s">
        <v>527</v>
      </c>
      <c r="AN141" s="65"/>
      <c r="AO141" s="65"/>
    </row>
    <row r="142" spans="1:41">
      <c r="A142" s="65"/>
      <c r="B142" s="65"/>
      <c r="C142" s="65"/>
      <c r="D142" s="308"/>
      <c r="E142" s="65"/>
      <c r="F142" s="308"/>
      <c r="G142" s="65"/>
      <c r="H142" s="65"/>
      <c r="I142" s="65"/>
      <c r="J142" s="308"/>
      <c r="K142" s="65"/>
      <c r="L142" s="543"/>
      <c r="M142" s="65"/>
      <c r="N142" s="65"/>
      <c r="O142" s="65"/>
      <c r="P142" s="65"/>
      <c r="Q142" s="65"/>
      <c r="R142" s="595"/>
      <c r="S142" s="115"/>
      <c r="T142" s="537"/>
      <c r="U142" s="65"/>
      <c r="V142" s="65"/>
      <c r="W142" s="65"/>
      <c r="X142" s="65"/>
      <c r="Y142" s="65"/>
      <c r="Z142" s="65"/>
      <c r="AA142" s="65"/>
      <c r="AB142" s="65"/>
      <c r="AC142" s="65"/>
      <c r="AD142" s="551"/>
      <c r="AE142" s="65"/>
      <c r="AF142" s="65"/>
      <c r="AG142" s="65"/>
      <c r="AH142" s="65"/>
      <c r="AI142" s="65"/>
      <c r="AJ142" s="65"/>
      <c r="AK142" s="65"/>
      <c r="AL142" s="544"/>
      <c r="AM142" s="548"/>
      <c r="AN142" s="65"/>
      <c r="AO142" s="65"/>
    </row>
    <row r="143" spans="1:41">
      <c r="A143" s="65"/>
      <c r="B143" s="40" t="s">
        <v>730</v>
      </c>
      <c r="C143" s="65"/>
      <c r="D143" s="308"/>
      <c r="E143" s="65"/>
      <c r="F143" s="308"/>
      <c r="G143" s="65"/>
      <c r="H143" s="65"/>
      <c r="I143" s="65"/>
      <c r="J143" s="308"/>
      <c r="K143" s="65"/>
      <c r="L143" s="543"/>
      <c r="M143" s="65"/>
      <c r="N143" s="65"/>
      <c r="O143" s="65"/>
      <c r="P143" s="65"/>
      <c r="Q143" s="65"/>
      <c r="R143" s="595"/>
      <c r="S143" s="115"/>
      <c r="T143" s="537"/>
      <c r="U143" s="65"/>
      <c r="V143" s="65"/>
      <c r="W143" s="65"/>
      <c r="X143" s="65"/>
      <c r="Y143" s="65"/>
      <c r="Z143" s="65"/>
      <c r="AA143" s="65"/>
      <c r="AB143" s="65"/>
      <c r="AC143" s="65"/>
      <c r="AD143" s="551"/>
      <c r="AE143" s="65"/>
      <c r="AF143" s="65"/>
      <c r="AG143" s="65"/>
      <c r="AH143" s="65"/>
      <c r="AI143" s="65"/>
      <c r="AJ143" s="65"/>
      <c r="AK143" s="65"/>
      <c r="AL143" s="544"/>
      <c r="AM143" s="548"/>
      <c r="AN143" s="65"/>
      <c r="AO143" s="65"/>
    </row>
    <row r="144" spans="1:41">
      <c r="A144" s="65" t="s">
        <v>457</v>
      </c>
      <c r="B144" s="65" t="s">
        <v>63</v>
      </c>
      <c r="C144" s="65"/>
      <c r="D144" s="308">
        <f>'qtrP&amp;L'!CB10</f>
        <v>1150.76</v>
      </c>
      <c r="E144" s="65"/>
      <c r="F144" s="308">
        <f>'qtrP&amp;L'!CB20</f>
        <v>324.18700000000001</v>
      </c>
      <c r="G144" s="65"/>
      <c r="H144" s="538">
        <f>work!BH10</f>
        <v>637.21400000000006</v>
      </c>
      <c r="I144" s="65"/>
      <c r="J144" s="308">
        <f>AVERAGE(H144,H140)</f>
        <v>580.96</v>
      </c>
      <c r="K144" s="65"/>
      <c r="L144" s="543">
        <f>(D144/D137-1)*100</f>
        <v>-0.91186980669047957</v>
      </c>
      <c r="M144" s="65" t="s">
        <v>428</v>
      </c>
      <c r="N144" s="543">
        <f>(H144/H137-1)*100</f>
        <v>6.5347216649279005</v>
      </c>
      <c r="O144" s="65" t="s">
        <v>428</v>
      </c>
      <c r="P144" s="543">
        <f>(H144/H140-1)*100</f>
        <v>21.442102815672026</v>
      </c>
      <c r="Q144" s="65" t="s">
        <v>428</v>
      </c>
      <c r="R144" s="537">
        <f>F144/J144</f>
        <v>0.5580194849903608</v>
      </c>
      <c r="S144" s="65" t="s">
        <v>527</v>
      </c>
      <c r="T144" s="537">
        <f>F145/H144</f>
        <v>0.68571155059367805</v>
      </c>
      <c r="U144" s="65"/>
      <c r="V144" s="65">
        <f>CoachNAqtrSalesOld!L145</f>
        <v>990</v>
      </c>
      <c r="W144" s="65"/>
      <c r="X144" s="536">
        <f>H144/V144</f>
        <v>0.64365050505050514</v>
      </c>
      <c r="Y144" s="65"/>
      <c r="Z144" s="86">
        <f>(X144/X137-1)*100</f>
        <v>-1.8589230723088268</v>
      </c>
      <c r="AA144" s="65" t="s">
        <v>428</v>
      </c>
      <c r="AB144" s="191">
        <f>CoachNAqtrSalesOld!AI145</f>
        <v>2.763191</v>
      </c>
      <c r="AC144" s="65"/>
      <c r="AD144" s="539">
        <f>H144/AB144</f>
        <v>230.60801804869806</v>
      </c>
      <c r="AE144" s="65"/>
      <c r="AF144" s="653">
        <f>(AD144/AD137-1)*100</f>
        <v>-0.75205032821566986</v>
      </c>
      <c r="AG144" s="65" t="s">
        <v>428</v>
      </c>
      <c r="AH144" s="188">
        <f>J144/(F144/(365/4))</f>
        <v>163.52475577367386</v>
      </c>
      <c r="AI144" s="65"/>
      <c r="AJ144" s="188">
        <f>+H144/AH144</f>
        <v>3.8967433217386054</v>
      </c>
      <c r="AK144" s="65"/>
      <c r="AL144" s="544"/>
      <c r="AM144" s="548"/>
      <c r="AN144" s="65"/>
      <c r="AO144" s="65"/>
    </row>
    <row r="145" spans="1:41">
      <c r="A145" s="65" t="s">
        <v>458</v>
      </c>
      <c r="B145" s="65" t="s">
        <v>167</v>
      </c>
      <c r="C145" s="65"/>
      <c r="D145" s="538">
        <f>'qtrP&amp;L'!CB11</f>
        <v>1419.624</v>
      </c>
      <c r="E145" s="65"/>
      <c r="F145" s="538">
        <f>'qtrP&amp;L'!CB21</f>
        <v>436.94499999999999</v>
      </c>
      <c r="G145" s="65"/>
      <c r="H145" s="538">
        <f>work!BH11</f>
        <v>553.02599999999995</v>
      </c>
      <c r="I145" s="65"/>
      <c r="J145" s="538">
        <f>AVERAGE(H144:H145)</f>
        <v>595.12</v>
      </c>
      <c r="K145" s="65"/>
      <c r="L145" s="543">
        <f>(D145/D138-1)*100</f>
        <v>-5.5959206636103431</v>
      </c>
      <c r="M145" s="65"/>
      <c r="N145" s="543">
        <f>(H145/H138-1)*100</f>
        <v>12.02591262389625</v>
      </c>
      <c r="O145" s="65"/>
      <c r="P145" s="543">
        <f>(H145/H144-1)*100</f>
        <v>-13.2118879999498</v>
      </c>
      <c r="Q145" s="65"/>
      <c r="R145" s="537">
        <f>F145/J145</f>
        <v>0.73421326791235375</v>
      </c>
      <c r="S145" s="115"/>
      <c r="T145" s="537">
        <f>F146/H145</f>
        <v>0.57553713568620646</v>
      </c>
      <c r="U145" s="65"/>
      <c r="V145" s="65">
        <f>CoachNAqtrSalesOld!L146</f>
        <v>1016</v>
      </c>
      <c r="W145" s="65"/>
      <c r="X145" s="537">
        <f>H145/V145</f>
        <v>0.54431692913385821</v>
      </c>
      <c r="Y145" s="65"/>
      <c r="Z145" s="86">
        <f>(X145/X138-1)*100</f>
        <v>4.4178535972733801</v>
      </c>
      <c r="AA145" s="65"/>
      <c r="AB145" s="191">
        <f>CoachNAqtrSalesOld!AI146</f>
        <v>2.815191</v>
      </c>
      <c r="AC145" s="65"/>
      <c r="AD145" s="539">
        <f>H145/AB145</f>
        <v>196.44350951676103</v>
      </c>
      <c r="AE145" s="65"/>
      <c r="AF145" s="653">
        <f>(AD145/AD138-1)*100</f>
        <v>5.2213672197128691</v>
      </c>
      <c r="AG145" s="65"/>
      <c r="AH145" s="188">
        <f>J145/(F145/(365/4))</f>
        <v>124.28269004108068</v>
      </c>
      <c r="AI145" s="65"/>
      <c r="AJ145" s="188">
        <f>+H145/AH145</f>
        <v>4.4497427583616149</v>
      </c>
      <c r="AK145" s="65"/>
      <c r="AL145" s="544"/>
      <c r="AM145" s="548"/>
      <c r="AN145" s="65"/>
      <c r="AO145" s="65"/>
    </row>
    <row r="146" spans="1:41">
      <c r="A146" s="65" t="s">
        <v>459</v>
      </c>
      <c r="B146" s="65" t="s">
        <v>166</v>
      </c>
      <c r="C146" s="65"/>
      <c r="D146" s="538">
        <f>'qtrP&amp;L'!CB12</f>
        <v>1099.626</v>
      </c>
      <c r="E146" s="65"/>
      <c r="F146" s="538">
        <f>'qtrP&amp;L'!CB22</f>
        <v>318.28699999999998</v>
      </c>
      <c r="G146" s="65"/>
      <c r="H146" s="538">
        <f>work!BH12</f>
        <v>583.74300000000005</v>
      </c>
      <c r="I146" s="65"/>
      <c r="J146" s="538">
        <f>AVERAGE(H145:H146)</f>
        <v>568.3845</v>
      </c>
      <c r="K146" s="65"/>
      <c r="L146" s="543">
        <f>(D146/D139-1)*100</f>
        <v>-7.4059977534107198</v>
      </c>
      <c r="M146" s="65"/>
      <c r="N146" s="543">
        <f>(H146/H139-1)*100</f>
        <v>13.147126949206767</v>
      </c>
      <c r="O146" s="65"/>
      <c r="P146" s="543">
        <f>(H146/H145-1)*100</f>
        <v>5.5543500667238233</v>
      </c>
      <c r="Q146" s="65"/>
      <c r="R146" s="537">
        <f>F146/J146</f>
        <v>0.55998536202165961</v>
      </c>
      <c r="S146" s="115"/>
      <c r="T146" s="537">
        <f>F147/H146</f>
        <v>0.59555660624624185</v>
      </c>
      <c r="U146" s="65"/>
      <c r="V146" s="65">
        <f>CoachNAqtrSalesOld!L147</f>
        <v>1011</v>
      </c>
      <c r="W146" s="65"/>
      <c r="X146" s="537">
        <f>H146/V146</f>
        <v>0.57739169139465885</v>
      </c>
      <c r="Y146" s="65"/>
      <c r="Z146" s="86">
        <f>(X146/X139-1)*100</f>
        <v>5.7606676231457987</v>
      </c>
      <c r="AA146" s="65"/>
      <c r="AB146" s="191">
        <f>CoachNAqtrSalesOld!AI147</f>
        <v>2.8051910000000002</v>
      </c>
      <c r="AC146" s="65"/>
      <c r="AD146" s="539">
        <f>H146/AB146</f>
        <v>208.09385171990073</v>
      </c>
      <c r="AE146" s="65"/>
      <c r="AF146" s="653">
        <f>(AD146/AD139-1)*100</f>
        <v>6.4919877785626579</v>
      </c>
      <c r="AG146" s="65"/>
      <c r="AH146" s="188">
        <f>J146/(F146/(365/4))</f>
        <v>162.95068797971643</v>
      </c>
      <c r="AI146" s="65"/>
      <c r="AJ146" s="188">
        <f>+H146/AH146</f>
        <v>3.5823291526861332</v>
      </c>
      <c r="AK146" s="65"/>
      <c r="AL146" s="544"/>
      <c r="AM146" s="548"/>
      <c r="AN146" s="65"/>
      <c r="AO146" s="65"/>
    </row>
    <row r="147" spans="1:41">
      <c r="A147" s="65" t="s">
        <v>460</v>
      </c>
      <c r="B147" s="65" t="s">
        <v>62</v>
      </c>
      <c r="C147" s="65"/>
      <c r="D147" s="120">
        <f>'qtrP&amp;L'!CB13</f>
        <v>1136.2159999999999</v>
      </c>
      <c r="E147" s="65"/>
      <c r="F147" s="120">
        <f>'qtrP&amp;L'!CB23</f>
        <v>347.65199999999999</v>
      </c>
      <c r="G147" s="65"/>
      <c r="H147" s="538">
        <f>bal!$AP$11</f>
        <v>526.17499999999995</v>
      </c>
      <c r="I147" s="65"/>
      <c r="J147" s="120">
        <f>AVERAGE(H146:H147)</f>
        <v>554.95900000000006</v>
      </c>
      <c r="K147" s="65"/>
      <c r="L147" s="546">
        <f>(D147/D140-1)*100</f>
        <v>-7.0722866340391155</v>
      </c>
      <c r="M147" s="65"/>
      <c r="N147" s="86">
        <f>(H147/H140-1)*100</f>
        <v>0.27996630494027119</v>
      </c>
      <c r="O147" s="65"/>
      <c r="P147" s="543">
        <f>(H147/H146-1)*100</f>
        <v>-9.8618741466707238</v>
      </c>
      <c r="Q147" s="65"/>
      <c r="R147" s="537">
        <f>F147/J147</f>
        <v>0.62644627801333064</v>
      </c>
      <c r="S147" s="115"/>
      <c r="T147" s="537" t="s">
        <v>606</v>
      </c>
      <c r="U147" s="65"/>
      <c r="V147" s="65">
        <f>CoachNAqtrSalesOld!L148</f>
        <v>1014</v>
      </c>
      <c r="W147" s="65"/>
      <c r="X147" s="537">
        <f>H147/V147</f>
        <v>0.51891025641025634</v>
      </c>
      <c r="Y147" s="65"/>
      <c r="Z147" s="86">
        <f>(X147/X140-1)*100</f>
        <v>-5.0603869302340616</v>
      </c>
      <c r="AA147" s="65"/>
      <c r="AB147" s="191">
        <f>CoachNAqtrSalesOld!AI148</f>
        <v>2.9617120000000003</v>
      </c>
      <c r="AC147" s="65"/>
      <c r="AD147" s="539">
        <f>H147/AB147</f>
        <v>177.65907015942128</v>
      </c>
      <c r="AE147" s="65"/>
      <c r="AF147" s="88">
        <f>(AD147/AD140-1)*100</f>
        <v>-8.4732403434845232</v>
      </c>
      <c r="AG147" s="65"/>
      <c r="AH147" s="188">
        <f>J147/(F147/(365/4))</f>
        <v>145.66292945244098</v>
      </c>
      <c r="AI147" s="65"/>
      <c r="AJ147" s="547">
        <f>+H147/AH147</f>
        <v>3.612278031053854</v>
      </c>
      <c r="AK147" s="65"/>
      <c r="AL147" s="544"/>
      <c r="AM147" s="548"/>
      <c r="AN147" s="65"/>
      <c r="AO147" s="65"/>
    </row>
    <row r="148" spans="1:41">
      <c r="A148" s="65"/>
      <c r="B148" s="65" t="s">
        <v>461</v>
      </c>
      <c r="C148" s="4"/>
      <c r="D148" s="308">
        <f>SUM(D144:D147)</f>
        <v>4806.2260000000006</v>
      </c>
      <c r="E148" s="65"/>
      <c r="F148" s="308">
        <f>SUM(F144:F147)</f>
        <v>1427.0710000000001</v>
      </c>
      <c r="G148" s="4"/>
      <c r="H148" s="4"/>
      <c r="I148" s="4"/>
      <c r="J148" s="308">
        <f>AVERAGE(J144:J147)</f>
        <v>574.85587499999997</v>
      </c>
      <c r="K148" s="4"/>
      <c r="L148" s="543">
        <f>(D148/D141-1)*100</f>
        <v>-5.3033165924194714</v>
      </c>
      <c r="M148" s="4"/>
      <c r="N148" s="4"/>
      <c r="O148" s="4"/>
      <c r="P148" s="4"/>
      <c r="Q148" s="4"/>
      <c r="R148" s="549">
        <f>F148/J148</f>
        <v>2.4824848489197406</v>
      </c>
      <c r="S148" s="550" t="s">
        <v>527</v>
      </c>
      <c r="T148" s="18"/>
      <c r="U148" s="4"/>
      <c r="V148" s="4"/>
      <c r="W148" s="4"/>
      <c r="X148" s="4"/>
      <c r="Y148" s="4"/>
      <c r="Z148" s="4"/>
      <c r="AA148" s="4"/>
      <c r="AB148" s="4"/>
      <c r="AC148" s="4"/>
      <c r="AD148" s="551">
        <f>+AVERAGE(AD144:AD147)</f>
        <v>203.20111236119527</v>
      </c>
      <c r="AE148" s="4"/>
      <c r="AF148" s="4"/>
      <c r="AG148" s="4"/>
      <c r="AH148" s="4"/>
      <c r="AI148" s="4"/>
      <c r="AJ148" s="4"/>
      <c r="AK148" s="4"/>
      <c r="AL148" s="106"/>
      <c r="AM148" s="108"/>
      <c r="AN148" s="4"/>
      <c r="AO148" s="4"/>
    </row>
    <row r="149" spans="1:41">
      <c r="A149" s="65"/>
      <c r="B149" s="65"/>
      <c r="C149" s="4"/>
      <c r="D149" s="308"/>
      <c r="E149" s="65"/>
      <c r="F149" s="308"/>
      <c r="G149" s="4"/>
      <c r="H149" s="4"/>
      <c r="I149" s="4"/>
      <c r="J149" s="308"/>
      <c r="K149" s="4"/>
      <c r="L149" s="543"/>
      <c r="M149" s="4"/>
      <c r="N149" s="4"/>
      <c r="O149" s="4"/>
      <c r="P149" s="4"/>
      <c r="Q149" s="4"/>
      <c r="R149" s="595"/>
      <c r="S149" s="115"/>
      <c r="T149" s="18"/>
      <c r="U149" s="4"/>
      <c r="V149" s="4"/>
      <c r="W149" s="4"/>
      <c r="X149" s="4"/>
      <c r="Y149" s="4"/>
      <c r="Z149" s="4"/>
      <c r="AA149" s="4"/>
      <c r="AB149" s="4"/>
      <c r="AC149" s="4"/>
      <c r="AD149" s="551"/>
      <c r="AE149" s="4"/>
      <c r="AF149" s="4"/>
      <c r="AG149" s="4"/>
      <c r="AH149" s="4"/>
      <c r="AI149" s="4"/>
      <c r="AJ149" s="4"/>
      <c r="AK149" s="4"/>
      <c r="AL149" s="106"/>
      <c r="AM149" s="108"/>
      <c r="AN149" s="4"/>
      <c r="AO149" s="4"/>
    </row>
    <row r="150" spans="1:41">
      <c r="A150" s="65"/>
      <c r="B150" s="40" t="s">
        <v>792</v>
      </c>
      <c r="C150" s="65"/>
      <c r="D150" s="308"/>
      <c r="E150" s="65"/>
      <c r="F150" s="308"/>
      <c r="G150" s="65"/>
      <c r="H150" s="65"/>
      <c r="I150" s="65"/>
      <c r="J150" s="308"/>
      <c r="K150" s="65"/>
      <c r="L150" s="543"/>
      <c r="M150" s="65"/>
      <c r="N150" s="65"/>
      <c r="O150" s="65"/>
      <c r="P150" s="65"/>
      <c r="Q150" s="65"/>
      <c r="R150" s="595"/>
      <c r="S150" s="115"/>
      <c r="T150" s="537"/>
      <c r="U150" s="65"/>
      <c r="V150" s="65"/>
      <c r="W150" s="65"/>
      <c r="X150" s="65"/>
      <c r="Y150" s="65"/>
      <c r="Z150" s="65"/>
      <c r="AA150" s="65"/>
      <c r="AB150" s="65"/>
      <c r="AC150" s="65"/>
      <c r="AD150" s="551"/>
      <c r="AE150" s="65"/>
      <c r="AF150" s="65"/>
      <c r="AG150" s="65"/>
      <c r="AH150" s="65"/>
      <c r="AI150" s="65"/>
      <c r="AJ150" s="65"/>
      <c r="AK150" s="65"/>
      <c r="AL150" s="544"/>
      <c r="AM150" s="548"/>
      <c r="AN150" s="65"/>
      <c r="AO150" s="65"/>
    </row>
    <row r="151" spans="1:41">
      <c r="A151" s="65" t="s">
        <v>457</v>
      </c>
      <c r="B151" s="65" t="s">
        <v>63</v>
      </c>
      <c r="C151" s="65"/>
      <c r="D151" s="308">
        <f>'qtrP&amp;L'!CF10</f>
        <v>1038.8</v>
      </c>
      <c r="E151" s="65"/>
      <c r="F151" s="308">
        <f>'qtrP&amp;L'!CF20</f>
        <v>319.39999999999998</v>
      </c>
      <c r="G151" s="65"/>
      <c r="H151" s="538">
        <f>work!BL10</f>
        <v>597.4</v>
      </c>
      <c r="I151" s="65"/>
      <c r="J151" s="308">
        <f>AVERAGE(H151,H147)</f>
        <v>561.78749999999991</v>
      </c>
      <c r="K151" s="65"/>
      <c r="L151" s="543">
        <f>(D151/D144-1)*100</f>
        <v>-9.7292224269178718</v>
      </c>
      <c r="M151" s="65" t="s">
        <v>428</v>
      </c>
      <c r="N151" s="543">
        <f>(H151/H144-1)*100</f>
        <v>-6.2481364188483157</v>
      </c>
      <c r="O151" s="65" t="s">
        <v>428</v>
      </c>
      <c r="P151" s="543">
        <f>(H151/H147-1)*100</f>
        <v>13.536370979236946</v>
      </c>
      <c r="Q151" s="65" t="s">
        <v>428</v>
      </c>
      <c r="R151" s="537">
        <f>F151/J151</f>
        <v>0.56854237589836021</v>
      </c>
      <c r="S151" s="65" t="s">
        <v>527</v>
      </c>
      <c r="T151" s="537">
        <f>F152/H151</f>
        <v>0.63341144961499829</v>
      </c>
      <c r="U151" s="65"/>
      <c r="V151" s="65">
        <f>CoachNAqtrSalesOld!L152</f>
        <v>1019</v>
      </c>
      <c r="W151" s="65"/>
      <c r="X151" s="536">
        <f>H151/V151</f>
        <v>0.58626104023552505</v>
      </c>
      <c r="Y151" s="65"/>
      <c r="Z151" s="86">
        <f>(X151/X144-1)*100</f>
        <v>-8.9162463735621422</v>
      </c>
      <c r="AA151" s="65" t="s">
        <v>428</v>
      </c>
      <c r="AB151" s="191">
        <f>CoachNAqtrSalesOld!AI152</f>
        <v>2.9717120000000001</v>
      </c>
      <c r="AC151" s="65"/>
      <c r="AD151" s="539">
        <f>H151/AB151</f>
        <v>201.02890185859192</v>
      </c>
      <c r="AE151" s="65"/>
      <c r="AF151" s="653">
        <f>(AD151/AD144-1)*100</f>
        <v>-12.826577514689818</v>
      </c>
      <c r="AG151" s="65" t="s">
        <v>428</v>
      </c>
      <c r="AH151" s="188">
        <f>J151/(F151/(365/4))</f>
        <v>160.49815082968064</v>
      </c>
      <c r="AI151" s="65"/>
      <c r="AJ151" s="188">
        <f>+H151/AH151</f>
        <v>3.722161264237593</v>
      </c>
      <c r="AK151" s="65"/>
      <c r="AL151" s="544"/>
      <c r="AM151" s="548"/>
      <c r="AN151" s="65"/>
      <c r="AO151" s="65"/>
    </row>
    <row r="152" spans="1:41">
      <c r="A152" s="65" t="s">
        <v>458</v>
      </c>
      <c r="B152" s="65" t="s">
        <v>167</v>
      </c>
      <c r="C152" s="65"/>
      <c r="D152" s="538">
        <f>'qtrP&amp;L'!CF11</f>
        <v>1219.4000000000001</v>
      </c>
      <c r="E152" s="65"/>
      <c r="F152" s="538">
        <f>'qtrP&amp;L'!CF21</f>
        <v>378.4</v>
      </c>
      <c r="G152" s="65"/>
      <c r="H152" s="538">
        <f>work!BL11</f>
        <v>447</v>
      </c>
      <c r="I152" s="65"/>
      <c r="J152" s="538">
        <f>AVERAGE(H151:H152)</f>
        <v>522.20000000000005</v>
      </c>
      <c r="K152" s="65"/>
      <c r="L152" s="543">
        <f>(D152/D145-1)*100</f>
        <v>-14.104016274731901</v>
      </c>
      <c r="M152" s="65"/>
      <c r="N152" s="543">
        <f>(H152/H145-1)*100</f>
        <v>-19.171973831248433</v>
      </c>
      <c r="O152" s="65"/>
      <c r="P152" s="543">
        <f>(H152/H151-1)*100</f>
        <v>-25.17576163374623</v>
      </c>
      <c r="Q152" s="65"/>
      <c r="R152" s="537">
        <f>F152/J152</f>
        <v>0.72462657985446177</v>
      </c>
      <c r="S152" s="115"/>
      <c r="T152" s="537">
        <f>F153/H152</f>
        <v>0.59015659955257271</v>
      </c>
      <c r="U152" s="65"/>
      <c r="V152" s="65">
        <f>CoachNAqtrSalesOld!L153</f>
        <v>1021</v>
      </c>
      <c r="W152" s="65"/>
      <c r="X152" s="537">
        <f>H152/V152</f>
        <v>0.43780607247796277</v>
      </c>
      <c r="Y152" s="65"/>
      <c r="Z152" s="86">
        <f>(X152/X145-1)*100</f>
        <v>-19.567801579381396</v>
      </c>
      <c r="AA152" s="65"/>
      <c r="AB152" s="191">
        <f>CoachNAqtrSalesOld!AI153</f>
        <v>2.9757120000000001</v>
      </c>
      <c r="AC152" s="65"/>
      <c r="AD152" s="539">
        <f>H152/AB152</f>
        <v>150.21614994999516</v>
      </c>
      <c r="AE152" s="65"/>
      <c r="AF152" s="653">
        <f>(AD152/AD145-1)*100</f>
        <v>-23.532138924051161</v>
      </c>
      <c r="AG152" s="65"/>
      <c r="AH152" s="188">
        <f>J152/(F152/(365/4))</f>
        <v>125.92692917547572</v>
      </c>
      <c r="AI152" s="65"/>
      <c r="AJ152" s="188">
        <f>+H152/AH152</f>
        <v>3.5496776021363767</v>
      </c>
      <c r="AK152" s="65"/>
      <c r="AL152" s="544"/>
      <c r="AM152" s="548"/>
      <c r="AN152" s="65"/>
      <c r="AO152" s="65"/>
    </row>
    <row r="153" spans="1:41">
      <c r="A153" s="65" t="s">
        <v>459</v>
      </c>
      <c r="B153" s="65" t="s">
        <v>166</v>
      </c>
      <c r="C153" s="65"/>
      <c r="D153" s="538">
        <f>'qtrP&amp;L'!CF12</f>
        <v>929.3</v>
      </c>
      <c r="E153" s="65"/>
      <c r="F153" s="538">
        <f>'qtrP&amp;L'!CF22</f>
        <v>263.8</v>
      </c>
      <c r="G153" s="65"/>
      <c r="H153" s="538">
        <f>work!BL12</f>
        <v>456.9</v>
      </c>
      <c r="I153" s="65"/>
      <c r="J153" s="538">
        <f>AVERAGE(H152:H153)</f>
        <v>451.95</v>
      </c>
      <c r="K153" s="65"/>
      <c r="L153" s="543">
        <f>(D153/D146-1)*100</f>
        <v>-15.489448230580216</v>
      </c>
      <c r="M153" s="65"/>
      <c r="N153" s="543">
        <f>(H153/H146-1)*100</f>
        <v>-21.729254140949028</v>
      </c>
      <c r="O153" s="65"/>
      <c r="P153" s="543">
        <f>(H153/H152-1)*100</f>
        <v>2.2147651006711344</v>
      </c>
      <c r="Q153" s="65"/>
      <c r="R153" s="537">
        <f>F153/J153</f>
        <v>0.58369288638123695</v>
      </c>
      <c r="S153" s="115"/>
      <c r="T153" s="537">
        <f>F154/H153</f>
        <v>0.68220617202889033</v>
      </c>
      <c r="U153" s="65"/>
      <c r="V153" s="65">
        <f>CoachNAqtrSalesOld!L154</f>
        <v>973</v>
      </c>
      <c r="W153" s="65"/>
      <c r="X153" s="537">
        <f>H153/V153</f>
        <v>0.46957862281603285</v>
      </c>
      <c r="Y153" s="65"/>
      <c r="Z153" s="86">
        <f>(X153/X146-1)*100</f>
        <v>-18.672431589413641</v>
      </c>
      <c r="AA153" s="65"/>
      <c r="AB153" s="191">
        <f>CoachNAqtrSalesOld!AI154</f>
        <v>2.879712</v>
      </c>
      <c r="AC153" s="65"/>
      <c r="AD153" s="539">
        <f>H153/AB153</f>
        <v>158.66169950328364</v>
      </c>
      <c r="AE153" s="65"/>
      <c r="AF153" s="653">
        <f>(AD153/AD146-1)*100</f>
        <v>-23.754739415921776</v>
      </c>
      <c r="AG153" s="65"/>
      <c r="AH153" s="188">
        <f>J153/(F153/(365/4))</f>
        <v>156.33221190295677</v>
      </c>
      <c r="AI153" s="65"/>
      <c r="AJ153" s="188">
        <f>+H153/AH153</f>
        <v>2.9226222442475303</v>
      </c>
      <c r="AK153" s="65"/>
      <c r="AL153" s="544"/>
      <c r="AM153" s="548"/>
      <c r="AN153" s="65"/>
      <c r="AO153" s="65"/>
    </row>
    <row r="154" spans="1:41">
      <c r="A154" s="65" t="s">
        <v>460</v>
      </c>
      <c r="B154" s="65" t="s">
        <v>62</v>
      </c>
      <c r="C154" s="65"/>
      <c r="D154" s="120">
        <f>'qtrP&amp;L'!CF13</f>
        <v>1004.1</v>
      </c>
      <c r="E154" s="65"/>
      <c r="F154" s="120">
        <f>'qtrP&amp;L'!CF23</f>
        <v>311.7</v>
      </c>
      <c r="G154" s="65"/>
      <c r="H154" s="538">
        <f>bal!$AR$11</f>
        <v>485.1</v>
      </c>
      <c r="I154" s="65"/>
      <c r="J154" s="120">
        <f>AVERAGE(H153:H154)</f>
        <v>471</v>
      </c>
      <c r="K154" s="65"/>
      <c r="L154" s="546">
        <f>(D154/D147-1)*100</f>
        <v>-11.627718673210008</v>
      </c>
      <c r="M154" s="65"/>
      <c r="N154" s="86">
        <f>(H154/H147-1)*100</f>
        <v>-7.8063381954672773</v>
      </c>
      <c r="O154" s="65"/>
      <c r="P154" s="543">
        <f>(H154/H153-1)*100</f>
        <v>6.1720288903480025</v>
      </c>
      <c r="Q154" s="65"/>
      <c r="R154" s="537">
        <f>F154/J154</f>
        <v>0.66178343949044582</v>
      </c>
      <c r="S154" s="115"/>
      <c r="T154" s="537" t="s">
        <v>606</v>
      </c>
      <c r="U154" s="65"/>
      <c r="V154" s="65">
        <f>CoachNAqtrSalesOld!L155</f>
        <v>965</v>
      </c>
      <c r="W154" s="65"/>
      <c r="X154" s="537">
        <f>H154/V154</f>
        <v>0.50269430051813468</v>
      </c>
      <c r="Y154" s="65"/>
      <c r="Z154" s="86">
        <f>(X154/X147-1)*100</f>
        <v>-3.1250020002112189</v>
      </c>
      <c r="AA154" s="65"/>
      <c r="AB154" s="191">
        <f>CoachNAqtrSalesOld!AI155</f>
        <v>3.0396469999999995</v>
      </c>
      <c r="AC154" s="65"/>
      <c r="AD154" s="539">
        <f>H154/AB154</f>
        <v>159.59089986435927</v>
      </c>
      <c r="AE154" s="65"/>
      <c r="AF154" s="88">
        <f>(AD154/AD147-1)*100</f>
        <v>-10.170136699943688</v>
      </c>
      <c r="AG154" s="65"/>
      <c r="AH154" s="188">
        <f>J154/(F154/(365/4))</f>
        <v>137.8849855630414</v>
      </c>
      <c r="AI154" s="65"/>
      <c r="AJ154" s="547">
        <f>+H154/AH154</f>
        <v>3.5181495506500302</v>
      </c>
      <c r="AK154" s="65"/>
      <c r="AL154" s="544"/>
      <c r="AM154" s="548"/>
      <c r="AN154" s="65"/>
      <c r="AO154" s="65"/>
    </row>
    <row r="155" spans="1:41">
      <c r="A155" s="65"/>
      <c r="B155" s="65" t="s">
        <v>461</v>
      </c>
      <c r="C155" s="4"/>
      <c r="D155" s="308">
        <f>'qtrP&amp;L'!CF14</f>
        <v>4191.6000000000004</v>
      </c>
      <c r="E155" s="65"/>
      <c r="F155" s="308">
        <f>'qtrP&amp;L'!CF24</f>
        <v>1273.3</v>
      </c>
      <c r="G155" s="4"/>
      <c r="H155" s="4"/>
      <c r="I155" s="4"/>
      <c r="J155" s="308">
        <f>AVERAGE(J151:J154)</f>
        <v>501.734375</v>
      </c>
      <c r="K155" s="4"/>
      <c r="L155" s="543">
        <f>(D155/D148-1)*100</f>
        <v>-12.788121074622794</v>
      </c>
      <c r="M155" s="4"/>
      <c r="N155" s="4"/>
      <c r="O155" s="4"/>
      <c r="P155" s="4"/>
      <c r="Q155" s="4"/>
      <c r="R155" s="549">
        <f>F155/J155</f>
        <v>2.5377970165986734</v>
      </c>
      <c r="S155" s="550" t="s">
        <v>527</v>
      </c>
      <c r="T155" s="18"/>
      <c r="U155" s="4"/>
      <c r="V155" s="4"/>
      <c r="W155" s="4"/>
      <c r="X155" s="4"/>
      <c r="Y155" s="4"/>
      <c r="Z155" s="4"/>
      <c r="AA155" s="4"/>
      <c r="AB155" s="4"/>
      <c r="AC155" s="4"/>
      <c r="AD155" s="551">
        <f>+AVERAGE(AD151:AD154)</f>
        <v>167.37441279405749</v>
      </c>
      <c r="AE155" s="4"/>
      <c r="AF155" s="4"/>
      <c r="AG155" s="4"/>
      <c r="AH155" s="4"/>
      <c r="AI155" s="4"/>
      <c r="AJ155" s="4"/>
      <c r="AK155" s="4"/>
      <c r="AL155" s="106"/>
      <c r="AM155" s="108"/>
      <c r="AN155" s="4"/>
      <c r="AO155" s="4"/>
    </row>
    <row r="156" spans="1:41">
      <c r="A156" s="65"/>
      <c r="B156" s="65"/>
      <c r="C156" s="4"/>
      <c r="D156" s="308"/>
      <c r="E156" s="65"/>
      <c r="F156" s="308"/>
      <c r="G156" s="4"/>
      <c r="H156" s="4"/>
      <c r="I156" s="4"/>
      <c r="J156" s="308"/>
      <c r="K156" s="4"/>
      <c r="L156" s="543"/>
      <c r="M156" s="4"/>
      <c r="N156" s="4"/>
      <c r="O156" s="4"/>
      <c r="P156" s="4"/>
      <c r="Q156" s="4"/>
      <c r="R156" s="595"/>
      <c r="S156" s="115"/>
      <c r="T156" s="18"/>
      <c r="U156" s="4"/>
      <c r="V156" s="4"/>
      <c r="W156" s="4"/>
      <c r="X156" s="4"/>
      <c r="Y156" s="4"/>
      <c r="Z156" s="4"/>
      <c r="AA156" s="4"/>
      <c r="AB156" s="4"/>
      <c r="AC156" s="4"/>
      <c r="AD156" s="551"/>
      <c r="AE156" s="4"/>
      <c r="AF156" s="4"/>
      <c r="AG156" s="4"/>
      <c r="AH156" s="4"/>
      <c r="AI156" s="4"/>
      <c r="AJ156" s="4"/>
      <c r="AK156" s="4"/>
      <c r="AL156" s="106"/>
      <c r="AM156" s="108"/>
      <c r="AN156" s="4"/>
      <c r="AO156" s="4"/>
    </row>
    <row r="157" spans="1:41">
      <c r="A157" s="65"/>
      <c r="B157" s="40" t="s">
        <v>803</v>
      </c>
      <c r="C157" s="65"/>
      <c r="D157" s="308"/>
      <c r="E157" s="65"/>
      <c r="F157" s="308"/>
      <c r="G157" s="65"/>
      <c r="H157" s="65"/>
      <c r="I157" s="65"/>
      <c r="J157" s="308"/>
      <c r="K157" s="65"/>
      <c r="L157" s="543"/>
      <c r="M157" s="65"/>
      <c r="N157" s="65"/>
      <c r="O157" s="65"/>
      <c r="P157" s="65"/>
      <c r="Q157" s="65"/>
      <c r="R157" s="595"/>
      <c r="S157" s="115"/>
      <c r="T157" s="537"/>
      <c r="U157" s="65"/>
      <c r="V157" s="65"/>
      <c r="W157" s="65"/>
      <c r="X157" s="65"/>
      <c r="Y157" s="65"/>
      <c r="Z157" s="65"/>
      <c r="AA157" s="65"/>
      <c r="AB157" s="65"/>
      <c r="AC157" s="65"/>
      <c r="AD157" s="551"/>
      <c r="AE157" s="65"/>
      <c r="AF157" s="65"/>
      <c r="AG157" s="65"/>
      <c r="AH157" s="65"/>
      <c r="AI157" s="65"/>
      <c r="AJ157" s="65"/>
      <c r="AK157" s="65"/>
      <c r="AL157" s="544"/>
      <c r="AM157" s="548"/>
      <c r="AN157" s="65"/>
      <c r="AO157" s="65"/>
    </row>
    <row r="158" spans="1:41">
      <c r="A158" s="65" t="s">
        <v>457</v>
      </c>
      <c r="B158" s="65" t="s">
        <v>63</v>
      </c>
      <c r="C158" s="65"/>
      <c r="D158" s="308">
        <f>'qtrP&amp;L'!CJ10</f>
        <v>1030.3</v>
      </c>
      <c r="E158" s="65"/>
      <c r="F158" s="308">
        <f>'qtrP&amp;L'!CJ20</f>
        <v>332.90000000000003</v>
      </c>
      <c r="G158" s="65"/>
      <c r="H158" s="538">
        <f>work!BP10</f>
        <v>574.70000000000005</v>
      </c>
      <c r="I158" s="65"/>
      <c r="J158" s="308">
        <f>AVERAGE(H158,H154)</f>
        <v>529.90000000000009</v>
      </c>
      <c r="K158" s="65"/>
      <c r="L158" s="543">
        <f>(D158/D151-1)*100</f>
        <v>-0.81825182903350058</v>
      </c>
      <c r="M158" s="65" t="s">
        <v>428</v>
      </c>
      <c r="N158" s="543">
        <f>(H158/H151-1)*100</f>
        <v>-3.7997991295614209</v>
      </c>
      <c r="O158" s="65" t="s">
        <v>428</v>
      </c>
      <c r="P158" s="543">
        <f>(H158/H154-1)*100</f>
        <v>18.47041847041848</v>
      </c>
      <c r="Q158" s="65" t="s">
        <v>428</v>
      </c>
      <c r="R158" s="537">
        <f>F158/J158</f>
        <v>0.62823174183808261</v>
      </c>
      <c r="S158" s="65" t="s">
        <v>527</v>
      </c>
      <c r="T158" s="537">
        <f>F159/H158</f>
        <v>0.72159387506525141</v>
      </c>
      <c r="U158" s="65"/>
      <c r="V158" s="65">
        <f>CoachNAqtrSalesOld!L159</f>
        <v>973</v>
      </c>
      <c r="W158" s="65"/>
      <c r="X158" s="536">
        <f>H158/V158</f>
        <v>0.59064748201438855</v>
      </c>
      <c r="Y158" s="65"/>
      <c r="Z158" s="86">
        <f>(X158/X151-1)*100</f>
        <v>0.74820625588583045</v>
      </c>
      <c r="AA158" s="65" t="s">
        <v>428</v>
      </c>
      <c r="AB158" s="191">
        <f>CoachNAqtrSalesOld!AI159</f>
        <v>3.0556469999999996</v>
      </c>
      <c r="AC158" s="65"/>
      <c r="AD158" s="539">
        <f>H158/AB158</f>
        <v>188.07800770180592</v>
      </c>
      <c r="AE158" s="65"/>
      <c r="AF158" s="653">
        <f>(AD158/AD151-1)*100</f>
        <v>-6.4423045825997445</v>
      </c>
      <c r="AG158" s="65" t="s">
        <v>428</v>
      </c>
      <c r="AH158" s="188">
        <f>J158/(F158/(365/4))</f>
        <v>145.24894863322319</v>
      </c>
      <c r="AI158" s="65"/>
      <c r="AJ158" s="188">
        <f>+H158/AH158</f>
        <v>3.9566551455818755</v>
      </c>
      <c r="AK158" s="65"/>
      <c r="AL158" s="544"/>
      <c r="AM158" s="548"/>
      <c r="AN158" s="65"/>
      <c r="AO158" s="65"/>
    </row>
    <row r="159" spans="1:41">
      <c r="A159" s="65" t="s">
        <v>458</v>
      </c>
      <c r="B159" s="65" t="s">
        <v>167</v>
      </c>
      <c r="C159" s="65"/>
      <c r="D159" s="538">
        <f>'qtrP&amp;L'!CJ11</f>
        <v>1273.8</v>
      </c>
      <c r="E159" s="65"/>
      <c r="F159" s="538">
        <f>'qtrP&amp;L'!CJ21</f>
        <v>414.7</v>
      </c>
      <c r="G159" s="65"/>
      <c r="H159" s="538">
        <f>work!BP11</f>
        <v>438.5</v>
      </c>
      <c r="I159" s="65"/>
      <c r="J159" s="538">
        <f>AVERAGE(H158:H159)</f>
        <v>506.6</v>
      </c>
      <c r="K159" s="65"/>
      <c r="L159" s="543">
        <f>(D159/D152-1)*100</f>
        <v>4.4612104313596745</v>
      </c>
      <c r="M159" s="65"/>
      <c r="N159" s="543">
        <f>(H159/H152-1)*100</f>
        <v>-1.9015659955257225</v>
      </c>
      <c r="O159" s="65"/>
      <c r="P159" s="543">
        <f>(H159/H158-1)*100</f>
        <v>-23.699321385070483</v>
      </c>
      <c r="Q159" s="65"/>
      <c r="R159" s="537">
        <f>F159/J159</f>
        <v>0.81859455191472552</v>
      </c>
      <c r="S159" s="115"/>
      <c r="T159" s="537">
        <f>F160/H159</f>
        <v>0.72998859749144818</v>
      </c>
      <c r="U159" s="65"/>
      <c r="V159" s="65">
        <f>CoachNAqtrSalesOld!L160</f>
        <v>974</v>
      </c>
      <c r="W159" s="65"/>
      <c r="X159" s="537">
        <f>H159/V159</f>
        <v>0.45020533880903491</v>
      </c>
      <c r="Y159" s="65"/>
      <c r="Z159" s="86">
        <f>(X159/X152-1)*100</f>
        <v>2.8321366720413188</v>
      </c>
      <c r="AA159" s="65"/>
      <c r="AB159" s="191">
        <f>CoachNAqtrSalesOld!AI160</f>
        <v>3.0576469999999993</v>
      </c>
      <c r="AC159" s="65"/>
      <c r="AD159" s="539">
        <f>H159/AB159</f>
        <v>143.41093003868664</v>
      </c>
      <c r="AE159" s="65"/>
      <c r="AF159" s="653">
        <f>(AD159/AD152-1)*100</f>
        <v>-4.5302851348366202</v>
      </c>
      <c r="AG159" s="65"/>
      <c r="AH159" s="188">
        <f>J159/(F159/(365/4))</f>
        <v>111.47154569568364</v>
      </c>
      <c r="AI159" s="65"/>
      <c r="AJ159" s="188">
        <f>+H159/AH159</f>
        <v>3.9337392987902149</v>
      </c>
      <c r="AK159" s="65"/>
      <c r="AL159" s="544"/>
      <c r="AM159" s="548"/>
      <c r="AN159" s="65"/>
      <c r="AO159" s="65"/>
    </row>
    <row r="160" spans="1:41">
      <c r="A160" s="65" t="s">
        <v>459</v>
      </c>
      <c r="B160" s="65" t="s">
        <v>166</v>
      </c>
      <c r="C160" s="65"/>
      <c r="D160" s="538">
        <f>'qtrP&amp;L'!CJ12</f>
        <v>1033.0999999999999</v>
      </c>
      <c r="E160" s="65"/>
      <c r="F160" s="538">
        <f>'qtrP&amp;L'!CJ22</f>
        <v>320.10000000000002</v>
      </c>
      <c r="G160" s="65"/>
      <c r="H160" s="538">
        <f>work!BP12</f>
        <v>464.1</v>
      </c>
      <c r="I160" s="65"/>
      <c r="J160" s="538">
        <f>AVERAGE(H159:H160)</f>
        <v>451.3</v>
      </c>
      <c r="K160" s="65"/>
      <c r="L160" s="543">
        <f>(D160/D153-1)*100</f>
        <v>11.169697621865925</v>
      </c>
      <c r="M160" s="65"/>
      <c r="N160" s="543">
        <f>(H160/H153-1)*100</f>
        <v>1.5758371634931212</v>
      </c>
      <c r="O160" s="65"/>
      <c r="P160" s="543">
        <f>(H160/H159-1)*100</f>
        <v>5.8380843785632797</v>
      </c>
      <c r="Q160" s="65"/>
      <c r="R160" s="537">
        <f>F160/J160</f>
        <v>0.70928428982938185</v>
      </c>
      <c r="S160" s="115"/>
      <c r="T160" s="537">
        <f>F161/H160</f>
        <v>0.80090497737556554</v>
      </c>
      <c r="U160" s="65"/>
      <c r="V160" s="65">
        <f>CoachNAqtrSalesOld!L161</f>
        <v>965</v>
      </c>
      <c r="W160" s="65"/>
      <c r="X160" s="537">
        <f>H160/V160</f>
        <v>0.48093264248704665</v>
      </c>
      <c r="Y160" s="65"/>
      <c r="Z160" s="86">
        <f>(X160/X153-1)*100</f>
        <v>2.417916642568696</v>
      </c>
      <c r="AA160" s="65"/>
      <c r="AB160" s="191">
        <f>CoachNAqtrSalesOld!AI161</f>
        <v>3.0396469999999995</v>
      </c>
      <c r="AC160" s="65"/>
      <c r="AD160" s="539">
        <f>H160/AB160</f>
        <v>152.68220290053421</v>
      </c>
      <c r="AE160" s="65"/>
      <c r="AF160" s="653">
        <f>(AD160/AD153-1)*100</f>
        <v>-3.7687082777187131</v>
      </c>
      <c r="AG160" s="65"/>
      <c r="AH160" s="188">
        <f>J160/(F160/(365/4))</f>
        <v>128.65081224617305</v>
      </c>
      <c r="AI160" s="65"/>
      <c r="AJ160" s="188">
        <f>+H160/AH160</f>
        <v>3.6074393305185333</v>
      </c>
      <c r="AK160" s="65"/>
      <c r="AL160" s="544"/>
      <c r="AM160" s="548"/>
      <c r="AN160" s="65"/>
      <c r="AO160" s="65"/>
    </row>
    <row r="161" spans="1:41">
      <c r="A161" s="65" t="s">
        <v>460</v>
      </c>
      <c r="B161" s="65" t="s">
        <v>62</v>
      </c>
      <c r="C161" s="65"/>
      <c r="D161" s="120">
        <f>'qtrP&amp;L'!CJ13</f>
        <v>1154.5999999999999</v>
      </c>
      <c r="E161" s="65"/>
      <c r="F161" s="120">
        <f>'qtrP&amp;L'!CJ23</f>
        <v>371.7</v>
      </c>
      <c r="G161" s="65"/>
      <c r="H161" s="538">
        <f>bal!$AT$11</f>
        <v>459.2</v>
      </c>
      <c r="I161" s="65"/>
      <c r="J161" s="120">
        <f>AVERAGE(H160:H161)</f>
        <v>461.65</v>
      </c>
      <c r="K161" s="65"/>
      <c r="L161" s="546">
        <f>(D161/D154-1)*100</f>
        <v>14.988546957474336</v>
      </c>
      <c r="M161" s="65"/>
      <c r="N161" s="86">
        <f>(H161/H154-1)*100</f>
        <v>-5.3391053391053429</v>
      </c>
      <c r="O161" s="65"/>
      <c r="P161" s="543">
        <f>(H161/H160-1)*100</f>
        <v>-1.0558069381598867</v>
      </c>
      <c r="Q161" s="65"/>
      <c r="R161" s="537">
        <f>F161/J161</f>
        <v>0.80515542077331315</v>
      </c>
      <c r="S161" s="115"/>
      <c r="T161" s="537" t="s">
        <v>606</v>
      </c>
      <c r="U161" s="65"/>
      <c r="V161" s="65">
        <f>CoachNAqtrSalesOld!L162</f>
        <v>955</v>
      </c>
      <c r="W161" s="65"/>
      <c r="X161" s="537">
        <f>H161/V161</f>
        <v>0.4808376963350785</v>
      </c>
      <c r="Y161" s="65"/>
      <c r="Z161" s="86">
        <f>(X161/X154-1)*100</f>
        <v>-4.3478917824467551</v>
      </c>
      <c r="AA161" s="65"/>
      <c r="AB161" s="191">
        <f>CoachNAqtrSalesOld!AI162</f>
        <v>3.0962809999999998</v>
      </c>
      <c r="AC161" s="65"/>
      <c r="AD161" s="539">
        <f>H161/AB161</f>
        <v>148.30695276042454</v>
      </c>
      <c r="AE161" s="65"/>
      <c r="AF161" s="88">
        <f>(AD161/AD154-1)*100</f>
        <v>-7.0705454468426909</v>
      </c>
      <c r="AG161" s="65"/>
      <c r="AH161" s="188">
        <f>J161/(F161/(365/4))</f>
        <v>113.33215630885121</v>
      </c>
      <c r="AI161" s="65"/>
      <c r="AJ161" s="547">
        <f>+H161/AH161</f>
        <v>4.0518067859627989</v>
      </c>
      <c r="AK161" s="65"/>
      <c r="AL161" s="544"/>
      <c r="AM161" s="548"/>
      <c r="AN161" s="65"/>
      <c r="AO161" s="65"/>
    </row>
    <row r="162" spans="1:41">
      <c r="A162" s="65"/>
      <c r="B162" s="65" t="s">
        <v>461</v>
      </c>
      <c r="C162" s="4"/>
      <c r="D162" s="308">
        <f>'qtrP&amp;L'!CJ14</f>
        <v>4491.7999999999993</v>
      </c>
      <c r="E162" s="65"/>
      <c r="F162" s="308">
        <f>'qtrP&amp;L'!CJ24</f>
        <v>1439.4</v>
      </c>
      <c r="G162" s="4"/>
      <c r="H162" s="4"/>
      <c r="I162" s="4"/>
      <c r="J162" s="308">
        <f>AVERAGE(J158:J161)</f>
        <v>487.36249999999995</v>
      </c>
      <c r="K162" s="4"/>
      <c r="L162" s="543">
        <f>(D162/D155-1)*100</f>
        <v>7.1619429334859985</v>
      </c>
      <c r="M162" s="4"/>
      <c r="N162" s="4"/>
      <c r="O162" s="4"/>
      <c r="P162" s="4"/>
      <c r="Q162" s="4"/>
      <c r="R162" s="549">
        <f>F162/J162</f>
        <v>2.9534484085254822</v>
      </c>
      <c r="S162" s="550" t="s">
        <v>527</v>
      </c>
      <c r="T162" s="18"/>
      <c r="U162" s="4"/>
      <c r="V162" s="4"/>
      <c r="W162" s="4"/>
      <c r="X162" s="4"/>
      <c r="Y162" s="4"/>
      <c r="Z162" s="4"/>
      <c r="AA162" s="4"/>
      <c r="AB162" s="4"/>
      <c r="AC162" s="4"/>
      <c r="AD162" s="551">
        <f>+AVERAGE(AD158:AD161)</f>
        <v>158.11952335036284</v>
      </c>
      <c r="AE162" s="4"/>
      <c r="AF162" s="4"/>
      <c r="AG162" s="4"/>
      <c r="AH162" s="4"/>
      <c r="AI162" s="4"/>
      <c r="AJ162" s="4"/>
      <c r="AK162" s="4"/>
      <c r="AL162" s="106"/>
      <c r="AM162" s="108"/>
      <c r="AN162" s="4"/>
      <c r="AO162" s="4"/>
    </row>
    <row r="163" spans="1:41">
      <c r="A163" s="65"/>
      <c r="B163" s="65"/>
      <c r="C163" s="4"/>
      <c r="D163" s="308"/>
      <c r="E163" s="65"/>
      <c r="F163" s="308"/>
      <c r="G163" s="4"/>
      <c r="H163" s="4"/>
      <c r="I163" s="4"/>
      <c r="J163" s="308"/>
      <c r="K163" s="4"/>
      <c r="L163" s="543"/>
      <c r="M163" s="4"/>
      <c r="N163" s="4"/>
      <c r="O163" s="4"/>
      <c r="P163" s="4"/>
      <c r="Q163" s="4"/>
      <c r="R163" s="595"/>
      <c r="S163" s="115"/>
      <c r="T163" s="18"/>
      <c r="U163" s="4"/>
      <c r="V163" s="4"/>
      <c r="W163" s="4"/>
      <c r="X163" s="4"/>
      <c r="Y163" s="4"/>
      <c r="Z163" s="4"/>
      <c r="AA163" s="4"/>
      <c r="AB163" s="4"/>
      <c r="AC163" s="4"/>
      <c r="AD163" s="551"/>
      <c r="AE163" s="4"/>
      <c r="AF163" s="4"/>
      <c r="AG163" s="4"/>
      <c r="AH163" s="4"/>
      <c r="AI163" s="4"/>
      <c r="AJ163" s="4"/>
      <c r="AK163" s="4"/>
      <c r="AL163" s="106"/>
      <c r="AM163" s="108"/>
      <c r="AN163" s="4"/>
      <c r="AO163" s="4"/>
    </row>
    <row r="164" spans="1:41">
      <c r="A164" s="65"/>
      <c r="B164" s="40" t="s">
        <v>853</v>
      </c>
      <c r="C164" s="65"/>
      <c r="D164" s="308"/>
      <c r="E164" s="65"/>
      <c r="F164" s="308"/>
      <c r="G164" s="65"/>
      <c r="H164" s="65"/>
      <c r="I164" s="65"/>
      <c r="J164" s="308"/>
      <c r="K164" s="65"/>
      <c r="L164" s="543"/>
      <c r="M164" s="65"/>
      <c r="N164" s="65"/>
      <c r="O164" s="65"/>
      <c r="P164" s="65"/>
      <c r="Q164" s="65"/>
      <c r="R164" s="595"/>
      <c r="S164" s="115"/>
      <c r="T164" s="537"/>
      <c r="U164" s="65"/>
      <c r="V164" s="65"/>
      <c r="W164" s="65"/>
      <c r="X164" s="65"/>
      <c r="Y164" s="65"/>
      <c r="Z164" s="65"/>
      <c r="AA164" s="65"/>
      <c r="AB164" s="65"/>
      <c r="AC164" s="65"/>
      <c r="AD164" s="551"/>
      <c r="AE164" s="65"/>
      <c r="AF164" s="65"/>
      <c r="AG164" s="65"/>
      <c r="AH164" s="65"/>
      <c r="AI164" s="65"/>
      <c r="AJ164" s="65"/>
      <c r="AK164" s="65"/>
      <c r="AL164" s="544"/>
      <c r="AM164" s="548"/>
      <c r="AN164" s="65"/>
      <c r="AO164" s="65"/>
    </row>
    <row r="165" spans="1:41">
      <c r="A165" s="65" t="s">
        <v>457</v>
      </c>
      <c r="B165" s="65" t="s">
        <v>63</v>
      </c>
      <c r="C165" s="65"/>
      <c r="D165" s="308">
        <f>'qtrP&amp;L'!CN10</f>
        <v>1037.5999999999999</v>
      </c>
      <c r="E165" s="65"/>
      <c r="F165" s="308">
        <f>'qtrP&amp;L'!CN20</f>
        <v>322.5</v>
      </c>
      <c r="G165" s="65"/>
      <c r="H165" s="538">
        <f>work!BT10</f>
        <v>546.79999999999995</v>
      </c>
      <c r="I165" s="65"/>
      <c r="J165" s="308">
        <f>AVERAGE(H165,H161)</f>
        <v>503</v>
      </c>
      <c r="K165" s="65"/>
      <c r="L165" s="543">
        <f>(D165/D158-1)*100</f>
        <v>0.70853149568086415</v>
      </c>
      <c r="M165" s="65" t="s">
        <v>428</v>
      </c>
      <c r="N165" s="543">
        <f>(H165/H158-1)*100</f>
        <v>-4.854706803549691</v>
      </c>
      <c r="O165" s="65" t="s">
        <v>428</v>
      </c>
      <c r="P165" s="543">
        <f>(H165/H161-1)*100</f>
        <v>19.07665505226479</v>
      </c>
      <c r="Q165" s="65" t="s">
        <v>428</v>
      </c>
      <c r="R165" s="537">
        <f>F165/J165</f>
        <v>0.64115308151093442</v>
      </c>
      <c r="S165" s="65" t="s">
        <v>527</v>
      </c>
      <c r="T165" s="537">
        <f>F166/H165</f>
        <v>0.75950987564008787</v>
      </c>
      <c r="U165" s="65"/>
      <c r="V165" s="65">
        <f>CoachNAqtrSalesOld!L166</f>
        <v>952</v>
      </c>
      <c r="W165" s="65"/>
      <c r="X165" s="536">
        <f>H165/V165</f>
        <v>0.57436974789915962</v>
      </c>
      <c r="Y165" s="65"/>
      <c r="Z165" s="86">
        <f>(X165/X158-1)*100</f>
        <v>-2.7559135712750593</v>
      </c>
      <c r="AA165" s="65" t="s">
        <v>428</v>
      </c>
      <c r="AB165" s="191">
        <f>CoachNAqtrSalesOld!AI166</f>
        <v>3.0902810000000001</v>
      </c>
      <c r="AC165" s="65"/>
      <c r="AD165" s="539">
        <f>H165/AB165</f>
        <v>176.94183797525207</v>
      </c>
      <c r="AE165" s="65"/>
      <c r="AF165" s="653">
        <f>(AD165/AD158-1)*100</f>
        <v>-5.9210376920889267</v>
      </c>
      <c r="AG165" s="65" t="s">
        <v>428</v>
      </c>
      <c r="AH165" s="188">
        <f>J165/(F165/(365/4))</f>
        <v>142.3217054263566</v>
      </c>
      <c r="AI165" s="65"/>
      <c r="AJ165" s="188">
        <f>+H165/AH165</f>
        <v>3.8420000544677135</v>
      </c>
      <c r="AK165" s="65"/>
      <c r="AL165" s="544"/>
      <c r="AM165" s="548"/>
      <c r="AN165" s="65"/>
      <c r="AO165" s="65"/>
    </row>
    <row r="166" spans="1:41">
      <c r="A166" s="65" t="s">
        <v>458</v>
      </c>
      <c r="B166" s="65" t="s">
        <v>167</v>
      </c>
      <c r="C166" s="65"/>
      <c r="D166" s="538">
        <f>'qtrP&amp;L'!CN11</f>
        <v>1321.7</v>
      </c>
      <c r="E166" s="65"/>
      <c r="F166" s="538">
        <f>'qtrP&amp;L'!CN21</f>
        <v>415.3</v>
      </c>
      <c r="G166" s="65"/>
      <c r="H166" s="538">
        <f>work!BT11</f>
        <v>464.9</v>
      </c>
      <c r="I166" s="65"/>
      <c r="J166" s="538">
        <f>AVERAGE(H165:H166)</f>
        <v>505.84999999999997</v>
      </c>
      <c r="K166" s="65"/>
      <c r="L166" s="543">
        <f>(D166/D159-1)*100</f>
        <v>3.7604019469304584</v>
      </c>
      <c r="M166" s="65"/>
      <c r="N166" s="543">
        <f>(H166/H159-1)*100</f>
        <v>6.0205245153933884</v>
      </c>
      <c r="O166" s="65"/>
      <c r="P166" s="543">
        <f>(H166/H165-1)*100</f>
        <v>-14.978054133138253</v>
      </c>
      <c r="Q166" s="65"/>
      <c r="R166" s="537">
        <f>F166/J166</f>
        <v>0.82099436591875075</v>
      </c>
      <c r="S166" s="115"/>
      <c r="T166" s="537">
        <f>F167/H166</f>
        <v>0.62271456227145627</v>
      </c>
      <c r="U166" s="65"/>
      <c r="V166" s="65">
        <f>CoachNAqtrSalesOld!L167</f>
        <v>960</v>
      </c>
      <c r="W166" s="65"/>
      <c r="X166" s="537">
        <f>H166/V166</f>
        <v>0.48427083333333332</v>
      </c>
      <c r="Y166" s="65"/>
      <c r="Z166" s="86">
        <f>(X166/X159-1)*100</f>
        <v>7.5666571645762071</v>
      </c>
      <c r="AA166" s="65"/>
      <c r="AB166" s="191">
        <f>CoachNAqtrSalesOld!AI167</f>
        <v>3.1062810000000001</v>
      </c>
      <c r="AC166" s="65"/>
      <c r="AD166" s="539">
        <f>H166/AB166</f>
        <v>149.66450234218991</v>
      </c>
      <c r="AE166" s="65"/>
      <c r="AF166" s="653">
        <f>(AD166/AD159-1)*100</f>
        <v>4.3605967145016633</v>
      </c>
      <c r="AG166" s="65"/>
      <c r="AH166" s="188">
        <f>J166/(F166/(365/4))</f>
        <v>111.1457079219841</v>
      </c>
      <c r="AI166" s="65"/>
      <c r="AJ166" s="188">
        <f>+H166/AH166</f>
        <v>4.1827975968835851</v>
      </c>
      <c r="AK166" s="65"/>
      <c r="AL166" s="544"/>
      <c r="AM166" s="548"/>
      <c r="AN166" s="65"/>
      <c r="AO166" s="65"/>
    </row>
    <row r="167" spans="1:41">
      <c r="A167" s="65" t="s">
        <v>459</v>
      </c>
      <c r="B167" s="65" t="s">
        <v>166</v>
      </c>
      <c r="C167" s="65"/>
      <c r="D167" s="538">
        <f>'qtrP&amp;L'!CN12</f>
        <v>995.2</v>
      </c>
      <c r="E167" s="65"/>
      <c r="F167" s="538">
        <f>'qtrP&amp;L'!CN22</f>
        <v>289.5</v>
      </c>
      <c r="G167" s="65"/>
      <c r="H167" s="538">
        <f>work!BT12</f>
        <v>478.7</v>
      </c>
      <c r="I167" s="65"/>
      <c r="J167" s="538">
        <f>AVERAGE(H166:H167)</f>
        <v>471.79999999999995</v>
      </c>
      <c r="K167" s="65"/>
      <c r="L167" s="543">
        <f>(D167/D160-1)*100</f>
        <v>-3.668570322330833</v>
      </c>
      <c r="M167" s="65"/>
      <c r="N167" s="543">
        <f>(H167/H160-1)*100</f>
        <v>3.1458737341090171</v>
      </c>
      <c r="O167" s="65"/>
      <c r="P167" s="543">
        <f>(H167/H166-1)*100</f>
        <v>2.9683802968380357</v>
      </c>
      <c r="Q167" s="65"/>
      <c r="R167" s="537">
        <f>F167/J167</f>
        <v>0.61360746078846973</v>
      </c>
      <c r="S167" s="115"/>
      <c r="T167" s="537">
        <f>F168/H167</f>
        <v>0.78750783371631505</v>
      </c>
      <c r="U167" s="65"/>
      <c r="V167" s="65">
        <f>CoachNAqtrSalesOld!L168</f>
        <v>955</v>
      </c>
      <c r="W167" s="65"/>
      <c r="X167" s="537">
        <f>H167/V167</f>
        <v>0.50125654450261781</v>
      </c>
      <c r="Y167" s="65"/>
      <c r="Z167" s="86">
        <f>(X167/X160-1)*100</f>
        <v>4.2259352391782246</v>
      </c>
      <c r="AA167" s="65"/>
      <c r="AB167" s="191">
        <f>CoachNAqtrSalesOld!AI168</f>
        <v>3.0962810000000003</v>
      </c>
      <c r="AC167" s="65"/>
      <c r="AD167" s="539">
        <f>H167/AB167</f>
        <v>154.60483076309933</v>
      </c>
      <c r="AE167" s="65"/>
      <c r="AF167" s="653">
        <f>(AD167/AD160-1)*100</f>
        <v>1.2592350817846265</v>
      </c>
      <c r="AG167" s="65"/>
      <c r="AH167" s="188">
        <f>J167/(F167/(365/4))</f>
        <v>148.71070811744386</v>
      </c>
      <c r="AI167" s="65"/>
      <c r="AJ167" s="188">
        <f>+H167/AH167</f>
        <v>3.2190015504596214</v>
      </c>
      <c r="AK167" s="65"/>
      <c r="AL167" s="544"/>
      <c r="AM167" s="548"/>
      <c r="AN167" s="65"/>
      <c r="AO167" s="65"/>
    </row>
    <row r="168" spans="1:41">
      <c r="A168" s="65" t="s">
        <v>460</v>
      </c>
      <c r="B168" s="65" t="s">
        <v>62</v>
      </c>
      <c r="C168" s="65"/>
      <c r="D168" s="120">
        <f>'qtrP&amp;L'!CN13</f>
        <v>1133.8</v>
      </c>
      <c r="E168" s="65"/>
      <c r="F168" s="120">
        <f>'qtrP&amp;L'!CN23</f>
        <v>376.98</v>
      </c>
      <c r="G168" s="65"/>
      <c r="H168" s="538">
        <f>bal!$AV$11</f>
        <v>469.7</v>
      </c>
      <c r="I168" s="65"/>
      <c r="J168" s="120">
        <f>AVERAGE(H167:H168)</f>
        <v>474.2</v>
      </c>
      <c r="K168" s="65"/>
      <c r="L168" s="546">
        <f>(D168/D161-1)*100</f>
        <v>-1.8014896934003044</v>
      </c>
      <c r="M168" s="65"/>
      <c r="N168" s="86">
        <f>(H168/H161-1)*100</f>
        <v>2.2865853658536661</v>
      </c>
      <c r="O168" s="65"/>
      <c r="P168" s="543">
        <f>(H168/H167-1)*100</f>
        <v>-1.8800919156047646</v>
      </c>
      <c r="Q168" s="65"/>
      <c r="R168" s="537">
        <f>F168/J168</f>
        <v>0.79498102066638554</v>
      </c>
      <c r="S168" s="115"/>
      <c r="T168" s="537" t="s">
        <v>606</v>
      </c>
      <c r="U168" s="65"/>
      <c r="V168" s="65">
        <f>CoachNAqtrSalesOld!L169</f>
        <v>964</v>
      </c>
      <c r="W168" s="65"/>
      <c r="X168" s="537">
        <f>H168/V168</f>
        <v>0.48724066390041493</v>
      </c>
      <c r="Y168" s="65"/>
      <c r="Z168" s="86">
        <f>(X168/X161-1)*100</f>
        <v>1.331627618662079</v>
      </c>
      <c r="AA168" s="65"/>
      <c r="AB168" s="191">
        <f>CoachNAqtrSalesOld!AI169</f>
        <v>2.9697659999999999</v>
      </c>
      <c r="AC168" s="65"/>
      <c r="AD168" s="539">
        <f>H168/AB168</f>
        <v>158.16060928706167</v>
      </c>
      <c r="AE168" s="65"/>
      <c r="AF168" s="653">
        <f>(AD168/AD161-1)*100</f>
        <v>6.6440961419757416</v>
      </c>
      <c r="AG168" s="65"/>
      <c r="AH168" s="188">
        <f>J168/(F168/(365/4))</f>
        <v>114.78261446230569</v>
      </c>
      <c r="AI168" s="65"/>
      <c r="AJ168" s="547">
        <f>+H168/AH168</f>
        <v>4.0920831277479595</v>
      </c>
      <c r="AK168" s="65"/>
      <c r="AL168" s="544"/>
      <c r="AM168" s="548"/>
      <c r="AN168" s="65"/>
      <c r="AO168" s="65"/>
    </row>
    <row r="169" spans="1:41">
      <c r="A169" s="65"/>
      <c r="B169" s="65" t="s">
        <v>461</v>
      </c>
      <c r="C169" s="4"/>
      <c r="D169" s="308">
        <f>'qtrP&amp;L'!CN14</f>
        <v>4488.3</v>
      </c>
      <c r="E169" s="65"/>
      <c r="F169" s="308">
        <f>'qtrP&amp;L'!CN24</f>
        <v>1404.28</v>
      </c>
      <c r="G169" s="4"/>
      <c r="H169" s="4"/>
      <c r="I169" s="4"/>
      <c r="J169" s="308">
        <f>AVERAGE(J165:J168)</f>
        <v>488.71249999999998</v>
      </c>
      <c r="K169" s="4"/>
      <c r="L169" s="543">
        <f>(D169/D162-1)*100</f>
        <v>-7.7919764904921252E-2</v>
      </c>
      <c r="M169" s="4"/>
      <c r="N169" s="4"/>
      <c r="O169" s="4"/>
      <c r="P169" s="4"/>
      <c r="Q169" s="4"/>
      <c r="R169" s="549">
        <f>F169/J169</f>
        <v>2.873427628718316</v>
      </c>
      <c r="S169" s="550" t="s">
        <v>527</v>
      </c>
      <c r="T169" s="18"/>
      <c r="U169" s="4"/>
      <c r="V169" s="4"/>
      <c r="W169" s="4"/>
      <c r="X169" s="4"/>
      <c r="Y169" s="4"/>
      <c r="Z169" s="4"/>
      <c r="AA169" s="4"/>
      <c r="AB169" s="4"/>
      <c r="AC169" s="4"/>
      <c r="AD169" s="551">
        <f>+AVERAGE(AD165:AD168)</f>
        <v>159.84294509190076</v>
      </c>
      <c r="AE169" s="4"/>
      <c r="AF169" s="4"/>
      <c r="AG169" s="4"/>
      <c r="AH169" s="4"/>
      <c r="AI169" s="4"/>
      <c r="AJ169" s="4"/>
      <c r="AK169" s="4"/>
      <c r="AL169" s="106"/>
      <c r="AM169" s="108"/>
      <c r="AN169" s="4"/>
      <c r="AO169" s="4"/>
    </row>
    <row r="170" spans="1:41">
      <c r="A170" s="65"/>
      <c r="B170" s="65"/>
      <c r="C170" s="4"/>
      <c r="D170" s="308"/>
      <c r="E170" s="65"/>
      <c r="F170" s="308"/>
      <c r="G170" s="4"/>
      <c r="H170" s="4"/>
      <c r="I170" s="4"/>
      <c r="J170" s="308"/>
      <c r="K170" s="4"/>
      <c r="L170" s="543"/>
      <c r="M170" s="4"/>
      <c r="N170" s="4"/>
      <c r="O170" s="4"/>
      <c r="P170" s="4"/>
      <c r="Q170" s="4"/>
      <c r="R170" s="595"/>
      <c r="S170" s="115"/>
      <c r="T170" s="18"/>
      <c r="U170" s="4"/>
      <c r="V170" s="4"/>
      <c r="W170" s="4"/>
      <c r="X170" s="4"/>
      <c r="Y170" s="4"/>
      <c r="Z170" s="4"/>
      <c r="AA170" s="4"/>
      <c r="AB170" s="4"/>
      <c r="AC170" s="4"/>
      <c r="AD170" s="551"/>
      <c r="AE170" s="4"/>
      <c r="AF170" s="4"/>
      <c r="AG170" s="4"/>
      <c r="AH170" s="4"/>
      <c r="AI170" s="4"/>
      <c r="AJ170" s="4"/>
      <c r="AK170" s="4"/>
      <c r="AL170" s="106"/>
      <c r="AM170" s="108"/>
      <c r="AN170" s="4"/>
      <c r="AO170" s="4"/>
    </row>
    <row r="171" spans="1:41">
      <c r="A171" s="65"/>
      <c r="B171" s="542" t="s">
        <v>12</v>
      </c>
      <c r="C171" s="65"/>
      <c r="D171" s="308"/>
      <c r="E171" s="65"/>
      <c r="F171" s="308"/>
      <c r="G171" s="65"/>
      <c r="H171" s="65"/>
      <c r="I171" s="65"/>
      <c r="J171" s="308"/>
      <c r="K171" s="65"/>
      <c r="L171" s="543"/>
      <c r="M171" s="65"/>
      <c r="N171" s="65"/>
      <c r="O171" s="65"/>
      <c r="P171" s="65"/>
      <c r="Q171" s="65"/>
      <c r="R171" s="595"/>
      <c r="S171" s="115"/>
      <c r="T171" s="537"/>
      <c r="U171" s="65"/>
      <c r="V171" s="65"/>
      <c r="W171" s="65"/>
      <c r="X171" s="65"/>
      <c r="Y171" s="65"/>
      <c r="Z171" s="65"/>
      <c r="AA171" s="65"/>
      <c r="AB171" s="65"/>
      <c r="AC171" s="65"/>
      <c r="AD171" s="551"/>
      <c r="AE171" s="65"/>
      <c r="AF171" s="65"/>
      <c r="AG171" s="65"/>
      <c r="AH171" s="4"/>
      <c r="AI171" s="4"/>
      <c r="AJ171" s="4"/>
      <c r="AK171" s="4"/>
      <c r="AL171" s="106"/>
      <c r="AM171" s="108"/>
      <c r="AN171" s="4"/>
      <c r="AO171" s="4"/>
    </row>
    <row r="172" spans="1:41" s="535" customFormat="1">
      <c r="A172" s="65" t="s">
        <v>457</v>
      </c>
      <c r="B172" s="65" t="s">
        <v>63</v>
      </c>
      <c r="C172" s="65"/>
      <c r="D172" s="308">
        <f>'qtrP&amp;L'!CR10</f>
        <v>1288.9000000000001</v>
      </c>
      <c r="E172" s="65"/>
      <c r="F172" s="308">
        <f>'qtrP&amp;L'!CR20</f>
        <v>436.1</v>
      </c>
      <c r="G172" s="65"/>
      <c r="H172" s="538">
        <f>+work!BX10</f>
        <v>852.8</v>
      </c>
      <c r="I172" s="65"/>
      <c r="J172" s="308">
        <f>AVERAGE(H172,H168)</f>
        <v>661.25</v>
      </c>
      <c r="K172" s="65"/>
      <c r="L172" s="543">
        <f>(D172/D165-1)*100</f>
        <v>24.219352351580593</v>
      </c>
      <c r="M172" s="65" t="s">
        <v>428</v>
      </c>
      <c r="N172" s="543">
        <f>(H172/H165-1)*100</f>
        <v>55.961960497439648</v>
      </c>
      <c r="O172" s="65" t="s">
        <v>428</v>
      </c>
      <c r="P172" s="543">
        <f>(H172/H168-1)*100</f>
        <v>81.562699595486478</v>
      </c>
      <c r="Q172" s="65" t="s">
        <v>428</v>
      </c>
      <c r="R172" s="537">
        <f>F172/J172</f>
        <v>0.65950850661625715</v>
      </c>
      <c r="S172" s="65" t="s">
        <v>527</v>
      </c>
      <c r="T172" s="537">
        <f>F173/H172</f>
        <v>0.69090056285178247</v>
      </c>
      <c r="U172" s="65"/>
      <c r="V172" s="65">
        <f>CoachNAqtrSalesOld!L173</f>
        <v>960</v>
      </c>
      <c r="W172" s="65"/>
      <c r="X172" s="536">
        <f>H172/V172</f>
        <v>0.88833333333333331</v>
      </c>
      <c r="Y172" s="65"/>
      <c r="Z172" s="86">
        <f>(X172/X165-1)*100</f>
        <v>54.662277493294333</v>
      </c>
      <c r="AA172" s="65" t="s">
        <v>428</v>
      </c>
      <c r="AB172" s="191">
        <f>CoachNAqtrSalesOld!AI173</f>
        <v>2.9617659999999999</v>
      </c>
      <c r="AC172" s="65"/>
      <c r="AD172" s="539">
        <f>H172/AB172</f>
        <v>287.9363190744981</v>
      </c>
      <c r="AE172" s="65"/>
      <c r="AF172" s="653">
        <f>(AD172/AD165-1)*100</f>
        <v>62.729359189074451</v>
      </c>
      <c r="AG172" s="65" t="s">
        <v>428</v>
      </c>
      <c r="AH172" s="65"/>
      <c r="AI172" s="65"/>
      <c r="AJ172" s="65"/>
      <c r="AK172" s="65"/>
      <c r="AL172" s="544"/>
      <c r="AM172" s="548"/>
      <c r="AN172" s="65"/>
      <c r="AO172" s="65"/>
    </row>
    <row r="173" spans="1:41" s="535" customFormat="1">
      <c r="A173" s="65" t="s">
        <v>458</v>
      </c>
      <c r="B173" s="65" t="s">
        <v>167</v>
      </c>
      <c r="C173" s="65"/>
      <c r="D173" s="538">
        <f>'qtrP&amp;L'!CR11</f>
        <v>1785</v>
      </c>
      <c r="E173" s="65"/>
      <c r="F173" s="538">
        <f>'qtrP&amp;L'!CR21</f>
        <v>589.20000000000005</v>
      </c>
      <c r="G173" s="65"/>
      <c r="H173" s="538">
        <f>+work!BX11</f>
        <v>666.2</v>
      </c>
      <c r="I173" s="65"/>
      <c r="J173" s="538">
        <f>AVERAGE(H172:H173)</f>
        <v>759.5</v>
      </c>
      <c r="K173" s="65"/>
      <c r="L173" s="543">
        <f>(D173/D166-1)*100</f>
        <v>35.053340394945899</v>
      </c>
      <c r="M173" s="65"/>
      <c r="N173" s="543">
        <f>(H173/H166-1)*100</f>
        <v>43.299634329963446</v>
      </c>
      <c r="O173" s="65"/>
      <c r="P173" s="543">
        <f>(H173/H172-1)*100</f>
        <v>-21.88086303939961</v>
      </c>
      <c r="Q173" s="65"/>
      <c r="R173" s="537">
        <f>F173/J173</f>
        <v>0.77577353522053993</v>
      </c>
      <c r="S173" s="115"/>
      <c r="T173" s="537">
        <f>F174/H173</f>
        <v>0.58473244990577278</v>
      </c>
      <c r="U173" s="65"/>
      <c r="V173" s="65">
        <f>CoachNAqtrSalesOld!L174</f>
        <v>967</v>
      </c>
      <c r="W173" s="65"/>
      <c r="X173" s="537">
        <f>H173/V173</f>
        <v>0.6889348500517064</v>
      </c>
      <c r="Y173" s="65"/>
      <c r="Z173" s="86">
        <f>(X173/X166-1)*100</f>
        <v>42.262305022507675</v>
      </c>
      <c r="AA173" s="65"/>
      <c r="AB173" s="191">
        <f>CoachNAqtrSalesOld!AI174</f>
        <v>2.9757659999999997</v>
      </c>
      <c r="AC173" s="65"/>
      <c r="AD173" s="539">
        <f t="shared" ref="AD173" si="0">H173/AB173</f>
        <v>223.87512996653638</v>
      </c>
      <c r="AE173" s="65"/>
      <c r="AF173" s="653">
        <f t="shared" ref="AF173" si="1">(AD173/AD166-1)*100</f>
        <v>49.584655321054541</v>
      </c>
      <c r="AG173" s="65"/>
      <c r="AH173" s="65"/>
      <c r="AI173" s="65"/>
      <c r="AJ173" s="65"/>
      <c r="AK173" s="65"/>
      <c r="AL173" s="544"/>
      <c r="AM173" s="548"/>
      <c r="AN173" s="65"/>
      <c r="AO173" s="65"/>
    </row>
    <row r="174" spans="1:41" s="535" customFormat="1">
      <c r="A174" s="65" t="s">
        <v>459</v>
      </c>
      <c r="B174" s="65" t="s">
        <v>166</v>
      </c>
      <c r="C174" s="65"/>
      <c r="D174" s="538">
        <v>1268.888462955133</v>
      </c>
      <c r="E174" s="65"/>
      <c r="F174" s="538">
        <v>389.54875812722588</v>
      </c>
      <c r="G174" s="65"/>
      <c r="H174" s="538">
        <f>AB174*AD174</f>
        <v>686.85499678485246</v>
      </c>
      <c r="I174" s="65"/>
      <c r="J174" s="538">
        <f>AVERAGE(H173:H174)</f>
        <v>676.5274983924262</v>
      </c>
      <c r="K174" s="65"/>
      <c r="L174" s="543">
        <f>(D174/D167-1)*100</f>
        <v>27.500850377324461</v>
      </c>
      <c r="M174" s="65"/>
      <c r="N174" s="543">
        <f>(H174/H167-1)*100</f>
        <v>43.483391849770726</v>
      </c>
      <c r="O174" s="65"/>
      <c r="P174" s="543">
        <f>(H174/H173-1)*100</f>
        <v>3.1004198115959891</v>
      </c>
      <c r="Q174" s="65"/>
      <c r="R174" s="537">
        <f>F174/J174</f>
        <v>0.57580624446585971</v>
      </c>
      <c r="S174" s="115"/>
      <c r="T174" s="537">
        <f>F175/H174</f>
        <v>0.71211580746070358</v>
      </c>
      <c r="U174" s="65"/>
      <c r="V174" s="65">
        <v>960</v>
      </c>
      <c r="W174" s="65"/>
      <c r="X174" s="537">
        <f>H174/V174</f>
        <v>0.71547395498422128</v>
      </c>
      <c r="Y174" s="65"/>
      <c r="Z174" s="86">
        <f>(X174/X167-1)*100</f>
        <v>42.736082517219828</v>
      </c>
      <c r="AA174" s="65"/>
      <c r="AB174" s="191">
        <v>2.9617659999999999</v>
      </c>
      <c r="AC174" s="65"/>
      <c r="AD174" s="539">
        <f>AD167*(1+AF174/100)</f>
        <v>231.90724614464898</v>
      </c>
      <c r="AE174" s="65"/>
      <c r="AF174" s="2389">
        <v>50</v>
      </c>
      <c r="AG174" s="65"/>
      <c r="AH174" s="65"/>
      <c r="AI174" s="65"/>
      <c r="AJ174" s="65"/>
      <c r="AK174" s="65"/>
      <c r="AL174" s="544"/>
      <c r="AM174" s="548"/>
      <c r="AN174" s="65"/>
      <c r="AO174" s="65"/>
    </row>
    <row r="175" spans="1:41" s="535" customFormat="1">
      <c r="A175" s="65" t="s">
        <v>460</v>
      </c>
      <c r="B175" s="65" t="s">
        <v>62</v>
      </c>
      <c r="C175" s="65"/>
      <c r="D175" s="120">
        <f>'qtrP&amp;L'!CR13</f>
        <v>1451.3955508720001</v>
      </c>
      <c r="E175" s="65"/>
      <c r="F175" s="120">
        <f>'qtrP&amp;L'!CR23</f>
        <v>489.12030064386414</v>
      </c>
      <c r="G175" s="65"/>
      <c r="H175" s="538">
        <f>bal!AX11</f>
        <v>596.09682847034196</v>
      </c>
      <c r="I175" s="65"/>
      <c r="J175" s="120">
        <f>AVERAGE(H174:H175)</f>
        <v>641.47591262759715</v>
      </c>
      <c r="K175" s="65"/>
      <c r="L175" s="546">
        <f>(D175/D168-1)*100</f>
        <v>28.011602652319635</v>
      </c>
      <c r="M175" s="65"/>
      <c r="N175" s="86">
        <f>(H175/H168-1)*100</f>
        <v>26.910118899370229</v>
      </c>
      <c r="O175" s="65"/>
      <c r="P175" s="543">
        <f>(H175/H174-1)*100</f>
        <v>-13.213584925398624</v>
      </c>
      <c r="Q175" s="65"/>
      <c r="R175" s="537">
        <f>F175/J175</f>
        <v>0.76249207649955575</v>
      </c>
      <c r="S175" s="115"/>
      <c r="T175" s="1950" t="s">
        <v>606</v>
      </c>
      <c r="U175" s="65"/>
      <c r="V175" s="65">
        <f>CoachNAqtrSalesOld!L176</f>
        <v>969</v>
      </c>
      <c r="W175" s="65"/>
      <c r="X175" s="537">
        <f>H175/V175</f>
        <v>0.61516700564534776</v>
      </c>
      <c r="Y175" s="65"/>
      <c r="Z175" s="86">
        <f>(X175/X168-1)*100</f>
        <v>26.255267924657289</v>
      </c>
      <c r="AA175" s="65"/>
      <c r="AB175" s="191">
        <f>CoachNAqtrSalesOld!AI176</f>
        <v>2.9795159999999998</v>
      </c>
      <c r="AC175" s="65"/>
      <c r="AD175" s="539">
        <f>H175/AB175</f>
        <v>200.06498655162181</v>
      </c>
      <c r="AE175" s="65"/>
      <c r="AF175" s="653">
        <f>(AD175/AD168-1)*100</f>
        <v>26.4948253888575</v>
      </c>
      <c r="AG175" s="65"/>
      <c r="AH175" s="65"/>
      <c r="AI175" s="65"/>
      <c r="AJ175" s="65"/>
      <c r="AK175" s="65"/>
      <c r="AL175" s="544"/>
      <c r="AM175" s="548"/>
      <c r="AN175" s="65"/>
      <c r="AO175" s="65"/>
    </row>
    <row r="176" spans="1:41" s="535" customFormat="1">
      <c r="A176" s="65"/>
      <c r="B176" s="65" t="s">
        <v>461</v>
      </c>
      <c r="C176" s="65"/>
      <c r="D176" s="308">
        <f>SUM(D172:D175)</f>
        <v>5794.1840138271336</v>
      </c>
      <c r="E176" s="65"/>
      <c r="F176" s="308">
        <f>SUM(F172:F175)</f>
        <v>1903.9690587710902</v>
      </c>
      <c r="G176" s="65"/>
      <c r="H176" s="65"/>
      <c r="I176" s="65"/>
      <c r="J176" s="308">
        <f>AVERAGE(J172:J175,J168)</f>
        <v>642.59068220400468</v>
      </c>
      <c r="K176" s="65"/>
      <c r="L176" s="543">
        <f>(D176/D169-1)*100</f>
        <v>29.095292512245919</v>
      </c>
      <c r="M176" s="65"/>
      <c r="N176" s="65"/>
      <c r="O176" s="65"/>
      <c r="P176" s="65"/>
      <c r="Q176" s="65"/>
      <c r="R176" s="549">
        <f>F176/J176</f>
        <v>2.9629577762327917</v>
      </c>
      <c r="S176" s="550" t="s">
        <v>527</v>
      </c>
      <c r="T176" s="537"/>
      <c r="U176" s="65"/>
      <c r="V176" s="65"/>
      <c r="W176" s="65"/>
      <c r="X176" s="65"/>
      <c r="Y176" s="65"/>
      <c r="Z176" s="65"/>
      <c r="AA176" s="65"/>
      <c r="AB176" s="65"/>
      <c r="AC176" s="65"/>
      <c r="AD176" s="551">
        <f>+AVERAGE(AD172:AD175)</f>
        <v>235.94592043432633</v>
      </c>
      <c r="AE176" s="65"/>
      <c r="AF176" s="65"/>
      <c r="AG176" s="65"/>
      <c r="AH176" s="65"/>
      <c r="AI176" s="65"/>
      <c r="AJ176" s="65"/>
      <c r="AK176" s="65"/>
      <c r="AL176" s="544"/>
      <c r="AM176" s="548"/>
      <c r="AN176" s="65"/>
      <c r="AO176" s="65"/>
    </row>
    <row r="177" spans="1:41">
      <c r="A177" s="65"/>
      <c r="B177" s="65"/>
      <c r="C177" s="4"/>
      <c r="D177" s="308"/>
      <c r="E177" s="65"/>
      <c r="F177" s="308"/>
      <c r="G177" s="4"/>
      <c r="H177" s="4"/>
      <c r="I177" s="4"/>
      <c r="J177" s="308"/>
      <c r="K177" s="4"/>
      <c r="L177" s="543"/>
      <c r="M177" s="4"/>
      <c r="N177" s="4"/>
      <c r="O177" s="4"/>
      <c r="P177" s="4"/>
      <c r="Q177" s="4"/>
      <c r="R177" s="595"/>
      <c r="S177" s="115"/>
      <c r="T177" s="18"/>
      <c r="U177" s="4"/>
      <c r="V177" s="4"/>
      <c r="W177" s="4"/>
      <c r="X177" s="4"/>
      <c r="Y177" s="4"/>
      <c r="Z177" s="4"/>
      <c r="AA177" s="4"/>
      <c r="AB177" s="4"/>
      <c r="AC177" s="4"/>
      <c r="AD177" s="551"/>
      <c r="AE177" s="4"/>
      <c r="AF177" s="4"/>
      <c r="AG177" s="4"/>
      <c r="AH177" s="4"/>
      <c r="AI177" s="4"/>
      <c r="AJ177" s="4"/>
      <c r="AK177" s="4"/>
      <c r="AL177" s="106"/>
      <c r="AM177" s="108"/>
      <c r="AN177" s="4"/>
      <c r="AO177" s="4"/>
    </row>
    <row r="178" spans="1:41">
      <c r="A178" s="65"/>
      <c r="B178" s="65"/>
      <c r="C178" s="4"/>
      <c r="D178" s="308"/>
      <c r="E178" s="65"/>
      <c r="F178" s="308"/>
      <c r="G178" s="4"/>
      <c r="H178" s="4"/>
      <c r="I178" s="4"/>
      <c r="J178" s="308"/>
      <c r="K178" s="4"/>
      <c r="L178" s="543"/>
      <c r="M178" s="4"/>
      <c r="N178" s="4"/>
      <c r="O178" s="4"/>
      <c r="P178" s="4"/>
      <c r="Q178" s="4"/>
      <c r="R178" s="595"/>
      <c r="S178" s="115"/>
      <c r="T178" s="18"/>
      <c r="U178" s="4"/>
      <c r="V178" s="4"/>
      <c r="W178" s="4"/>
      <c r="X178" s="4"/>
      <c r="Y178" s="4"/>
      <c r="Z178" s="4"/>
      <c r="AA178" s="4"/>
      <c r="AB178" s="4"/>
      <c r="AC178" s="4"/>
      <c r="AD178" s="551"/>
      <c r="AE178" s="4"/>
      <c r="AF178" s="4"/>
      <c r="AG178" s="4"/>
      <c r="AH178" s="4"/>
      <c r="AI178" s="4"/>
      <c r="AJ178" s="4"/>
      <c r="AK178" s="4"/>
      <c r="AL178" s="106"/>
      <c r="AM178" s="108"/>
      <c r="AN178" s="4"/>
      <c r="AO178" s="4"/>
    </row>
    <row r="179" spans="1:41">
      <c r="A179" s="4"/>
      <c r="B179" s="4"/>
      <c r="C179" s="4"/>
      <c r="D179" s="13"/>
      <c r="E179" s="4"/>
      <c r="F179" s="13"/>
      <c r="G179" s="4"/>
      <c r="H179" s="92"/>
      <c r="I179" s="4"/>
      <c r="J179" s="13"/>
      <c r="K179" s="4"/>
      <c r="L179" s="21"/>
      <c r="M179" s="4"/>
      <c r="N179" s="4"/>
      <c r="O179" s="4"/>
      <c r="P179" s="4"/>
      <c r="Q179" s="4"/>
      <c r="R179" s="84"/>
      <c r="S179" s="10"/>
      <c r="T179" s="18"/>
      <c r="U179" s="4"/>
      <c r="V179" s="4"/>
      <c r="W179" s="4"/>
      <c r="X179" s="4"/>
      <c r="Y179" s="4"/>
      <c r="Z179" s="4"/>
      <c r="AA179" s="4"/>
      <c r="AB179" s="4"/>
      <c r="AC179" s="4"/>
      <c r="AD179" s="4"/>
      <c r="AE179" s="4"/>
      <c r="AF179" s="4"/>
      <c r="AG179" s="4"/>
      <c r="AH179" s="4"/>
      <c r="AI179" s="4"/>
      <c r="AJ179" s="4"/>
      <c r="AK179" s="4"/>
      <c r="AL179" s="106"/>
      <c r="AM179" s="108"/>
      <c r="AN179" s="4"/>
      <c r="AO179" s="4"/>
    </row>
    <row r="180" spans="1:41" ht="10.5" customHeight="1">
      <c r="A180" s="32" t="s">
        <v>540</v>
      </c>
      <c r="B180" s="27"/>
      <c r="C180" s="27"/>
      <c r="D180" s="27"/>
      <c r="E180" s="27"/>
      <c r="F180" s="27"/>
      <c r="G180" s="27"/>
      <c r="H180" s="27"/>
      <c r="I180" s="27"/>
      <c r="J180" s="27"/>
      <c r="K180" s="27"/>
      <c r="L180" s="27"/>
      <c r="M180" s="27"/>
      <c r="N180" s="27"/>
      <c r="O180" s="27"/>
      <c r="P180" s="27"/>
      <c r="Q180" s="27"/>
      <c r="R180" s="312"/>
      <c r="S180" s="27"/>
      <c r="T180" s="18"/>
      <c r="U180" s="27"/>
      <c r="V180" s="27"/>
      <c r="W180" s="27"/>
      <c r="X180" s="33"/>
      <c r="Y180" s="27"/>
      <c r="Z180" s="27"/>
      <c r="AA180" s="27"/>
      <c r="AB180" s="27"/>
      <c r="AC180" s="27"/>
      <c r="AD180" s="113"/>
      <c r="AE180" s="114"/>
      <c r="AF180" s="114"/>
      <c r="AG180" s="27"/>
      <c r="AH180" s="27"/>
      <c r="AI180" s="27"/>
      <c r="AJ180" s="27"/>
      <c r="AK180" s="27"/>
      <c r="AL180" s="27"/>
      <c r="AM180" s="27"/>
      <c r="AN180" s="27"/>
      <c r="AO180" s="27"/>
    </row>
    <row r="181" spans="1:41" ht="10.5" customHeight="1">
      <c r="A181" s="32" t="s">
        <v>541</v>
      </c>
      <c r="B181" s="27"/>
      <c r="C181" s="27"/>
      <c r="D181" s="27"/>
      <c r="E181" s="27"/>
      <c r="F181" s="27"/>
      <c r="G181" s="27"/>
      <c r="H181" s="27"/>
      <c r="I181" s="27"/>
      <c r="J181" s="27"/>
      <c r="K181" s="27"/>
      <c r="L181" s="27"/>
      <c r="M181" s="27"/>
      <c r="N181" s="27"/>
      <c r="O181" s="27"/>
      <c r="P181" s="27"/>
      <c r="Q181" s="27"/>
      <c r="R181" s="312"/>
      <c r="S181" s="27"/>
      <c r="T181" s="18"/>
      <c r="U181" s="27"/>
      <c r="V181" s="27"/>
      <c r="W181" s="27"/>
      <c r="X181" s="33"/>
      <c r="Y181" s="27"/>
      <c r="Z181" s="27"/>
      <c r="AA181" s="27"/>
      <c r="AB181" s="27"/>
      <c r="AC181" s="27"/>
      <c r="AD181" s="33"/>
      <c r="AE181" s="27"/>
      <c r="AF181" s="27"/>
      <c r="AG181" s="27"/>
      <c r="AH181" s="27"/>
      <c r="AI181" s="27"/>
      <c r="AJ181" s="27"/>
      <c r="AK181" s="27"/>
      <c r="AL181" s="27"/>
      <c r="AM181" s="27"/>
      <c r="AN181" s="27"/>
      <c r="AO181" s="27"/>
    </row>
    <row r="182" spans="1:41" ht="10.5" customHeight="1">
      <c r="A182" s="30"/>
      <c r="B182" s="29"/>
      <c r="C182" s="29"/>
      <c r="D182" s="29"/>
      <c r="E182" s="29"/>
      <c r="F182" s="29"/>
      <c r="G182" s="29"/>
      <c r="H182" s="29"/>
      <c r="I182" s="29"/>
      <c r="J182" s="29"/>
      <c r="K182" s="29"/>
      <c r="L182" s="29"/>
      <c r="M182" s="29"/>
      <c r="N182" s="29"/>
      <c r="O182" s="29"/>
      <c r="P182" s="29"/>
      <c r="Q182" s="29"/>
      <c r="R182" s="312"/>
      <c r="S182" s="29"/>
      <c r="T182" s="18"/>
      <c r="U182" s="29"/>
      <c r="V182" s="29"/>
      <c r="W182" s="29"/>
      <c r="X182" s="31"/>
      <c r="Y182" s="29"/>
      <c r="Z182" s="29"/>
      <c r="AA182" s="29"/>
      <c r="AB182" s="29"/>
      <c r="AC182" s="29"/>
      <c r="AD182" s="31"/>
      <c r="AE182" s="29"/>
      <c r="AF182" s="29"/>
      <c r="AG182" s="29"/>
      <c r="AH182" s="29"/>
      <c r="AI182" s="29"/>
      <c r="AJ182" s="29"/>
      <c r="AK182" s="29"/>
      <c r="AL182" s="29"/>
      <c r="AM182" s="29"/>
      <c r="AN182" s="29"/>
      <c r="AO182" s="29"/>
    </row>
    <row r="183" spans="1:41" ht="10.5" customHeight="1">
      <c r="A183" s="96" t="s">
        <v>114</v>
      </c>
      <c r="B183" s="29"/>
      <c r="C183" s="29"/>
      <c r="D183" s="29"/>
      <c r="E183" s="29"/>
      <c r="F183" s="29"/>
      <c r="G183" s="29"/>
      <c r="H183" s="29"/>
      <c r="I183" s="29"/>
      <c r="J183" s="29"/>
      <c r="K183" s="29"/>
      <c r="L183" s="29"/>
      <c r="M183" s="29"/>
      <c r="N183" s="29"/>
      <c r="O183" s="29"/>
      <c r="P183" s="34"/>
      <c r="Q183" s="29"/>
      <c r="R183" s="29"/>
      <c r="S183" s="29"/>
      <c r="T183" s="18"/>
      <c r="U183" s="29"/>
      <c r="V183" s="29"/>
      <c r="W183" s="29"/>
      <c r="X183" s="31"/>
      <c r="Y183" s="29"/>
      <c r="Z183" s="29"/>
      <c r="AA183" s="29"/>
      <c r="AB183" s="29"/>
      <c r="AC183" s="29"/>
      <c r="AD183" s="31"/>
      <c r="AE183" s="29"/>
      <c r="AF183" s="29"/>
      <c r="AG183" s="29"/>
      <c r="AH183" s="29"/>
      <c r="AI183" s="29"/>
      <c r="AJ183" s="29"/>
      <c r="AK183" s="29"/>
      <c r="AL183" s="29"/>
      <c r="AM183" s="29"/>
      <c r="AN183" s="29"/>
      <c r="AO183" s="29"/>
    </row>
  </sheetData>
  <phoneticPr fontId="0" type="noConversion"/>
  <dataValidations count="1">
    <dataValidation type="custom" allowBlank="1" showInputMessage="1" showErrorMessage="1" sqref="AM5:AM8 AM22 T175">
      <formula1>-1</formula1>
    </dataValidation>
  </dataValidations>
  <printOptions horizontalCentered="1"/>
  <pageMargins left="0" right="0" top="0.25" bottom="0" header="0.5" footer="0.5"/>
  <pageSetup scale="54" orientation="landscape" r:id="rId1"/>
  <headerFooter alignWithMargins="0">
    <oddFooter>&amp;R&amp;8&amp;D
&amp;F/&amp;A</oddFooter>
  </headerFooter>
  <rowBreaks count="1" manualBreakCount="1">
    <brk id="178" max="35" man="1"/>
  </row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CC47"/>
  <sheetViews>
    <sheetView view="pageBreakPreview" topLeftCell="AR1" zoomScaleNormal="100" workbookViewId="0">
      <selection activeCell="BX12" sqref="BX12"/>
    </sheetView>
  </sheetViews>
  <sheetFormatPr defaultRowHeight="12.75" outlineLevelCol="1"/>
  <cols>
    <col min="1" max="1" width="3.140625" customWidth="1"/>
    <col min="2" max="2" width="4.42578125" customWidth="1"/>
    <col min="3" max="3" width="1.7109375" customWidth="1"/>
    <col min="4" max="4" width="7.85546875" hidden="1" customWidth="1" outlineLevel="1"/>
    <col min="5" max="5" width="7.140625" hidden="1" customWidth="1" outlineLevel="1"/>
    <col min="6" max="6" width="6" hidden="1" customWidth="1" outlineLevel="1"/>
    <col min="7" max="7" width="1.28515625" hidden="1" customWidth="1" outlineLevel="1"/>
    <col min="8" max="8" width="7.85546875" hidden="1" customWidth="1" outlineLevel="1" collapsed="1"/>
    <col min="9" max="9" width="7.140625" hidden="1" customWidth="1" outlineLevel="1"/>
    <col min="10" max="10" width="6" hidden="1" customWidth="1" outlineLevel="1"/>
    <col min="11" max="11" width="1.28515625" hidden="1" customWidth="1" outlineLevel="1"/>
    <col min="12" max="12" width="7.85546875" hidden="1" customWidth="1" outlineLevel="1" collapsed="1"/>
    <col min="13" max="13" width="7.140625" hidden="1" customWidth="1" outlineLevel="1"/>
    <col min="14" max="14" width="6" hidden="1" customWidth="1" outlineLevel="1"/>
    <col min="15" max="15" width="1.140625" hidden="1" customWidth="1" outlineLevel="1"/>
    <col min="16" max="16" width="7.85546875" hidden="1" customWidth="1" outlineLevel="1" collapsed="1"/>
    <col min="17" max="17" width="7.140625" hidden="1" customWidth="1" outlineLevel="1"/>
    <col min="18" max="18" width="6" hidden="1" customWidth="1" outlineLevel="1"/>
    <col min="19" max="19" width="1.28515625" hidden="1" customWidth="1" outlineLevel="1"/>
    <col min="20" max="20" width="7.85546875" hidden="1" customWidth="1" outlineLevel="1"/>
    <col min="21" max="21" width="7.140625" hidden="1" customWidth="1" outlineLevel="1"/>
    <col min="22" max="22" width="6" hidden="1" customWidth="1" outlineLevel="1"/>
    <col min="23" max="23" width="1.28515625" hidden="1" customWidth="1" outlineLevel="1"/>
    <col min="24" max="24" width="7.85546875" hidden="1" customWidth="1" outlineLevel="1"/>
    <col min="25" max="25" width="7.140625" hidden="1" customWidth="1" outlineLevel="1"/>
    <col min="26" max="26" width="6" hidden="1" customWidth="1" outlineLevel="1"/>
    <col min="27" max="27" width="1.28515625" hidden="1" customWidth="1" outlineLevel="1"/>
    <col min="28" max="28" width="7.85546875" hidden="1" customWidth="1" outlineLevel="1"/>
    <col min="29" max="29" width="7.140625" hidden="1" customWidth="1" outlineLevel="1"/>
    <col min="30" max="30" width="6" hidden="1" customWidth="1" outlineLevel="1"/>
    <col min="31" max="31" width="1.28515625" hidden="1" customWidth="1" outlineLevel="1"/>
    <col min="32" max="32" width="7.85546875" hidden="1" customWidth="1" outlineLevel="1"/>
    <col min="33" max="33" width="7.140625" hidden="1" customWidth="1" outlineLevel="1"/>
    <col min="34" max="34" width="6" hidden="1" customWidth="1" outlineLevel="1"/>
    <col min="35" max="35" width="1.28515625" hidden="1" customWidth="1" outlineLevel="1"/>
    <col min="36" max="36" width="7.85546875" hidden="1" customWidth="1" outlineLevel="1"/>
    <col min="37" max="37" width="7.140625" hidden="1" customWidth="1" outlineLevel="1"/>
    <col min="38" max="38" width="6" hidden="1" customWidth="1" outlineLevel="1"/>
    <col min="39" max="39" width="1.28515625" hidden="1" customWidth="1" outlineLevel="1"/>
    <col min="40" max="40" width="7.85546875" hidden="1" customWidth="1" outlineLevel="1"/>
    <col min="41" max="41" width="7.140625" hidden="1" customWidth="1" outlineLevel="1"/>
    <col min="42" max="42" width="6" hidden="1" customWidth="1" outlineLevel="1"/>
    <col min="43" max="43" width="1.28515625" hidden="1" customWidth="1" outlineLevel="1"/>
    <col min="44" max="44" width="7.85546875" customWidth="1" collapsed="1"/>
    <col min="45" max="45" width="5.28515625" customWidth="1"/>
    <col min="46" max="46" width="6" customWidth="1"/>
    <col min="47" max="47" width="1.28515625" customWidth="1"/>
    <col min="48" max="48" width="7.85546875" customWidth="1"/>
    <col min="49" max="49" width="5.85546875" customWidth="1"/>
    <col min="50" max="50" width="6" customWidth="1"/>
    <col min="51" max="51" width="1.28515625" customWidth="1"/>
    <col min="52" max="52" width="7.85546875" customWidth="1"/>
    <col min="53" max="53" width="5.5703125" customWidth="1"/>
    <col min="54" max="54" width="6" customWidth="1"/>
    <col min="55" max="55" width="1.28515625" customWidth="1"/>
    <col min="56" max="56" width="7.85546875" customWidth="1"/>
    <col min="57" max="57" width="8.140625" customWidth="1"/>
    <col min="58" max="58" width="6" customWidth="1"/>
    <col min="59" max="59" width="1.28515625" customWidth="1"/>
    <col min="60" max="60" width="7.85546875" customWidth="1"/>
    <col min="61" max="62" width="7.140625" customWidth="1"/>
    <col min="63" max="63" width="1.28515625" customWidth="1"/>
    <col min="64" max="64" width="7.85546875" customWidth="1"/>
    <col min="65" max="65" width="5.7109375" customWidth="1"/>
    <col min="66" max="66" width="6" customWidth="1"/>
    <col min="67" max="67" width="1.28515625" customWidth="1"/>
    <col min="68" max="68" width="7.85546875" customWidth="1"/>
    <col min="69" max="69" width="7.140625" customWidth="1"/>
    <col min="70" max="70" width="6" customWidth="1"/>
    <col min="71" max="71" width="1.28515625" customWidth="1"/>
    <col min="72" max="72" width="7.85546875" customWidth="1"/>
    <col min="73" max="73" width="7.140625" customWidth="1"/>
    <col min="74" max="74" width="6.5703125" customWidth="1"/>
    <col min="75" max="75" width="1.28515625" customWidth="1"/>
    <col min="76" max="76" width="7.85546875" style="535" customWidth="1"/>
    <col min="77" max="77" width="7.140625" style="535" customWidth="1"/>
    <col min="78" max="78" width="6.5703125" style="535" customWidth="1"/>
    <col min="79" max="79" width="1.28515625" customWidth="1"/>
  </cols>
  <sheetData>
    <row r="1" spans="1:81">
      <c r="A1" s="93" t="s">
        <v>342</v>
      </c>
      <c r="B1" s="41"/>
      <c r="C1" s="5"/>
      <c r="D1" s="25"/>
      <c r="E1" s="25"/>
      <c r="F1" s="25"/>
      <c r="G1" s="26"/>
      <c r="H1" s="25"/>
      <c r="I1" s="25"/>
      <c r="J1" s="25"/>
      <c r="K1" s="26"/>
      <c r="L1" s="25"/>
      <c r="M1" s="25"/>
      <c r="N1" s="25"/>
      <c r="O1" s="26"/>
      <c r="P1" s="25"/>
      <c r="Q1" s="25"/>
      <c r="R1" s="25"/>
      <c r="S1" s="26"/>
      <c r="T1" s="25"/>
      <c r="U1" s="25"/>
      <c r="V1" s="25"/>
      <c r="W1" s="26"/>
      <c r="X1" s="25"/>
      <c r="Y1" s="25"/>
      <c r="Z1" s="25"/>
      <c r="AA1" s="26"/>
      <c r="AB1" s="25"/>
      <c r="AC1" s="25"/>
      <c r="AD1" s="25"/>
      <c r="AE1" s="26"/>
      <c r="AF1" s="25"/>
      <c r="AG1" s="25"/>
      <c r="AH1" s="25"/>
      <c r="AI1" s="26"/>
      <c r="AJ1" s="25"/>
      <c r="AK1" s="25"/>
      <c r="AL1" s="25"/>
      <c r="AM1" s="26"/>
      <c r="AN1" s="25"/>
      <c r="AO1" s="25"/>
      <c r="AP1" s="25"/>
      <c r="AQ1" s="26"/>
      <c r="AR1" s="25"/>
      <c r="AS1" s="25"/>
      <c r="AT1" s="25"/>
      <c r="AU1" s="26"/>
      <c r="AV1" s="25"/>
      <c r="AW1" s="25"/>
      <c r="AX1" s="25"/>
      <c r="AY1" s="26"/>
      <c r="AZ1" s="25"/>
      <c r="BA1" s="25"/>
      <c r="BB1" s="25"/>
    </row>
    <row r="2" spans="1:81">
      <c r="A2" s="7" t="s">
        <v>534</v>
      </c>
      <c r="B2" s="42"/>
      <c r="C2" s="7"/>
      <c r="D2" s="7"/>
      <c r="E2" s="7"/>
      <c r="F2" s="7"/>
      <c r="G2" s="23"/>
      <c r="H2" s="7"/>
      <c r="I2" s="7"/>
      <c r="J2" s="7"/>
      <c r="K2" s="23"/>
      <c r="L2" s="7"/>
      <c r="M2" s="7"/>
      <c r="N2" s="7"/>
      <c r="O2" s="23"/>
      <c r="P2" s="7"/>
      <c r="Q2" s="7"/>
      <c r="R2" s="7"/>
      <c r="S2" s="23"/>
      <c r="T2" s="7"/>
      <c r="U2" s="7"/>
      <c r="V2" s="7"/>
      <c r="W2" s="23"/>
      <c r="X2" s="7"/>
      <c r="Y2" s="7"/>
      <c r="Z2" s="7"/>
      <c r="AA2" s="23"/>
      <c r="AB2" s="7"/>
      <c r="AC2" s="7"/>
      <c r="AD2" s="7"/>
      <c r="AE2" s="23"/>
      <c r="AF2" s="7"/>
      <c r="AG2" s="7"/>
      <c r="AH2" s="7"/>
      <c r="AI2" s="23"/>
      <c r="AJ2" s="7"/>
      <c r="AK2" s="7"/>
      <c r="AL2" s="7"/>
      <c r="AM2" s="23"/>
      <c r="AN2" s="7"/>
      <c r="AO2" s="7"/>
      <c r="AP2" s="7"/>
      <c r="AQ2" s="23"/>
      <c r="AR2" s="7"/>
      <c r="AS2" s="7"/>
      <c r="AT2" s="7"/>
      <c r="AU2" s="23"/>
      <c r="AV2" s="7"/>
      <c r="AW2" s="7"/>
      <c r="AX2" s="7"/>
      <c r="AY2" s="23"/>
      <c r="AZ2" s="7"/>
      <c r="BA2" s="7"/>
      <c r="BB2" s="7"/>
      <c r="BJ2" s="1629"/>
      <c r="BN2" s="1629"/>
      <c r="BR2" s="1629"/>
      <c r="BV2" s="1629"/>
      <c r="BW2" s="1629"/>
      <c r="BZ2" s="1903"/>
    </row>
    <row r="3" spans="1:81">
      <c r="A3" s="45" t="s">
        <v>633</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J3" s="1629"/>
      <c r="BN3" s="1629"/>
      <c r="BR3" s="1629"/>
      <c r="BV3" s="1629"/>
      <c r="BW3" s="1629"/>
      <c r="BZ3" s="1903"/>
    </row>
    <row r="4" spans="1:81">
      <c r="A4" s="46" t="s">
        <v>495</v>
      </c>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c r="BB4" s="45"/>
      <c r="BJ4" s="1629"/>
      <c r="BN4" s="1629"/>
      <c r="BR4" s="1629"/>
      <c r="BV4" s="1629"/>
      <c r="BW4" s="1629"/>
      <c r="BZ4" s="1903"/>
    </row>
    <row r="5" spans="1:8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J5" s="1629"/>
      <c r="BN5" s="1629"/>
      <c r="BR5" s="1629"/>
      <c r="BV5" s="1629"/>
      <c r="BW5" s="1629"/>
      <c r="BZ5" s="1903"/>
    </row>
    <row r="6" spans="1:81">
      <c r="A6" s="4"/>
      <c r="B6" s="4"/>
      <c r="C6" s="4"/>
      <c r="D6" s="47"/>
      <c r="E6" s="47"/>
      <c r="F6" s="47"/>
      <c r="G6" s="4"/>
      <c r="H6" s="47"/>
      <c r="I6" s="47"/>
      <c r="J6" s="47"/>
      <c r="K6" s="4"/>
      <c r="L6" s="47"/>
      <c r="M6" s="47"/>
      <c r="N6" s="47"/>
      <c r="O6" s="4"/>
      <c r="P6" s="47"/>
      <c r="Q6" s="47"/>
      <c r="R6" s="47"/>
      <c r="S6" s="4"/>
      <c r="T6" s="47"/>
      <c r="U6" s="47"/>
      <c r="V6" s="47"/>
      <c r="W6" s="4"/>
      <c r="X6" s="47"/>
      <c r="Y6" s="47"/>
      <c r="Z6" s="47"/>
      <c r="AA6" s="4"/>
      <c r="AB6" s="47"/>
      <c r="AC6" s="47"/>
      <c r="AD6" s="47"/>
      <c r="AE6" s="4"/>
      <c r="AF6" s="47"/>
      <c r="AG6" s="47"/>
      <c r="AH6" s="47"/>
      <c r="AI6" s="4"/>
      <c r="AJ6" s="47"/>
      <c r="AK6" s="47"/>
      <c r="AL6" s="47"/>
      <c r="AM6" s="4"/>
      <c r="AN6" s="47"/>
      <c r="AO6" s="47"/>
      <c r="AP6" s="47"/>
      <c r="AQ6" s="4"/>
      <c r="AR6" s="47"/>
      <c r="AS6" s="47"/>
      <c r="AT6" s="47"/>
      <c r="AU6" s="4"/>
      <c r="AV6" s="47"/>
      <c r="AW6" s="47"/>
      <c r="AX6" s="47"/>
      <c r="AY6" s="4"/>
      <c r="AZ6" s="47"/>
      <c r="BA6" s="47"/>
      <c r="BB6" s="47"/>
    </row>
    <row r="7" spans="1:81">
      <c r="A7" s="4"/>
      <c r="B7" s="4"/>
      <c r="C7" s="4"/>
      <c r="D7" s="9">
        <v>2000</v>
      </c>
      <c r="E7" s="9"/>
      <c r="F7" s="9"/>
      <c r="G7" s="4"/>
      <c r="H7" s="9">
        <f>D7+1</f>
        <v>2001</v>
      </c>
      <c r="I7" s="9"/>
      <c r="J7" s="9"/>
      <c r="K7" s="4"/>
      <c r="L7" s="9">
        <f>H7+1</f>
        <v>2002</v>
      </c>
      <c r="M7" s="9"/>
      <c r="N7" s="9"/>
      <c r="O7" s="4"/>
      <c r="P7" s="9">
        <f>L7+1</f>
        <v>2003</v>
      </c>
      <c r="Q7" s="9"/>
      <c r="R7" s="9"/>
      <c r="S7" s="4"/>
      <c r="T7" s="9">
        <f>P7+1</f>
        <v>2004</v>
      </c>
      <c r="U7" s="9"/>
      <c r="V7" s="9"/>
      <c r="W7" s="4"/>
      <c r="X7" s="9">
        <f>T7+1</f>
        <v>2005</v>
      </c>
      <c r="Y7" s="9"/>
      <c r="Z7" s="9"/>
      <c r="AA7" s="4"/>
      <c r="AB7" s="9">
        <f>X7+1</f>
        <v>2006</v>
      </c>
      <c r="AC7" s="9"/>
      <c r="AD7" s="9"/>
      <c r="AE7" s="4"/>
      <c r="AF7" s="9">
        <f>AB7+1</f>
        <v>2007</v>
      </c>
      <c r="AG7" s="9"/>
      <c r="AH7" s="9"/>
      <c r="AI7" s="4"/>
      <c r="AJ7" s="9">
        <f>AF7+1</f>
        <v>2008</v>
      </c>
      <c r="AK7" s="9"/>
      <c r="AL7" s="9"/>
      <c r="AM7" s="4"/>
      <c r="AN7" s="9">
        <f>AJ7+1</f>
        <v>2009</v>
      </c>
      <c r="AO7" s="9"/>
      <c r="AP7" s="9"/>
      <c r="AQ7" s="4"/>
      <c r="AR7" s="9">
        <f>AN7+1</f>
        <v>2010</v>
      </c>
      <c r="AS7" s="9"/>
      <c r="AT7" s="9"/>
      <c r="AU7" s="4"/>
      <c r="AV7" s="9">
        <f>AR7+1</f>
        <v>2011</v>
      </c>
      <c r="AW7" s="9"/>
      <c r="AX7" s="9"/>
      <c r="AY7" s="4"/>
      <c r="AZ7" s="9">
        <f>AV7+1</f>
        <v>2012</v>
      </c>
      <c r="BA7" s="9"/>
      <c r="BB7" s="9"/>
      <c r="BD7" s="9">
        <f>AZ7+1</f>
        <v>2013</v>
      </c>
      <c r="BE7" s="9"/>
      <c r="BF7" s="9"/>
      <c r="BH7" s="9">
        <f>BD7+1</f>
        <v>2014</v>
      </c>
      <c r="BI7" s="9"/>
      <c r="BJ7" s="9"/>
      <c r="BL7" s="9">
        <f>BH7+1</f>
        <v>2015</v>
      </c>
      <c r="BM7" s="9"/>
      <c r="BN7" s="9"/>
      <c r="BP7" s="9">
        <f>BL7+1</f>
        <v>2016</v>
      </c>
      <c r="BQ7" s="9"/>
      <c r="BR7" s="9"/>
      <c r="BT7" s="2405">
        <f>BP7+1</f>
        <v>2017</v>
      </c>
      <c r="BU7" s="2405"/>
      <c r="BV7" s="2405"/>
      <c r="BW7" s="1683"/>
      <c r="BX7" s="2406" t="s">
        <v>12</v>
      </c>
      <c r="BY7" s="2406"/>
      <c r="BZ7" s="2406"/>
    </row>
    <row r="8" spans="1:8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50"/>
      <c r="AW8" s="4"/>
      <c r="AX8" s="4"/>
      <c r="AY8" s="4"/>
      <c r="AZ8" s="50"/>
      <c r="BA8" s="4"/>
      <c r="BB8" s="4"/>
      <c r="BD8" s="50"/>
      <c r="BE8" s="4"/>
      <c r="BF8" s="4"/>
      <c r="BH8" s="50"/>
      <c r="BI8" s="4"/>
      <c r="BJ8" s="4"/>
      <c r="BL8" s="50"/>
      <c r="BM8" s="4"/>
      <c r="BN8" s="4"/>
      <c r="BP8" s="50"/>
      <c r="BQ8" s="4"/>
      <c r="BR8" s="4"/>
      <c r="BT8" s="50"/>
      <c r="BU8" s="4"/>
      <c r="BV8" s="4"/>
      <c r="BW8" s="4"/>
      <c r="BX8" s="306"/>
      <c r="BY8" s="65"/>
      <c r="BZ8" s="65"/>
    </row>
    <row r="9" spans="1:81">
      <c r="A9" s="4"/>
      <c r="B9" s="8"/>
      <c r="C9" s="4"/>
      <c r="D9" s="10"/>
      <c r="E9" s="10"/>
      <c r="F9" s="10"/>
      <c r="G9" s="4"/>
      <c r="H9" s="10"/>
      <c r="I9" s="10"/>
      <c r="J9" s="10"/>
      <c r="K9" s="4"/>
      <c r="L9" s="10"/>
      <c r="M9" s="10"/>
      <c r="N9" s="10"/>
      <c r="O9" s="4"/>
      <c r="P9" s="52" t="s">
        <v>610</v>
      </c>
      <c r="Q9" s="10"/>
      <c r="R9" s="10"/>
      <c r="S9" s="4"/>
      <c r="T9" s="10"/>
      <c r="U9" s="10"/>
      <c r="V9" s="10"/>
      <c r="W9" s="4"/>
      <c r="X9" s="10"/>
      <c r="Y9" s="10"/>
      <c r="Z9" s="10"/>
      <c r="AA9" s="4"/>
      <c r="AC9" s="435"/>
      <c r="AD9" s="435"/>
      <c r="AE9" s="70"/>
      <c r="AF9" s="435"/>
      <c r="AG9" s="435"/>
      <c r="AH9" s="435"/>
      <c r="AI9" s="70"/>
      <c r="AJ9" s="435"/>
      <c r="AK9" s="435"/>
      <c r="AL9" s="435"/>
      <c r="AM9" s="70"/>
      <c r="AN9" s="435"/>
      <c r="AO9" s="435"/>
      <c r="AP9" s="435"/>
      <c r="AQ9" s="70"/>
      <c r="AR9" s="69" t="s">
        <v>610</v>
      </c>
      <c r="AS9" s="435"/>
      <c r="AT9" s="435"/>
      <c r="AU9" s="70"/>
      <c r="AV9" s="435"/>
      <c r="AW9" s="435"/>
      <c r="AX9" s="435"/>
      <c r="AY9" s="70"/>
      <c r="AZ9" s="435"/>
      <c r="BA9" s="435"/>
      <c r="BB9" s="435"/>
      <c r="BD9" s="435"/>
      <c r="BE9" s="435"/>
      <c r="BF9" s="435"/>
      <c r="BH9" s="435"/>
      <c r="BI9" s="435"/>
      <c r="BJ9" s="435"/>
      <c r="BL9" s="435"/>
      <c r="BM9" s="435"/>
      <c r="BN9" s="435"/>
      <c r="BP9" s="435"/>
      <c r="BQ9" s="435"/>
      <c r="BR9" s="435"/>
      <c r="BT9" s="435"/>
      <c r="BU9" s="435"/>
      <c r="BV9" s="435"/>
      <c r="BW9" s="435"/>
      <c r="BX9" s="541"/>
      <c r="BY9" s="541"/>
      <c r="BZ9" s="541"/>
    </row>
    <row r="10" spans="1:81">
      <c r="A10" s="4" t="str">
        <f>'qtrP&amp;L'!A10</f>
        <v>1Q</v>
      </c>
      <c r="B10" s="4" t="str">
        <f>'qtrP&amp;L'!B10</f>
        <v>Sept</v>
      </c>
      <c r="C10" s="4"/>
      <c r="D10" s="55"/>
      <c r="E10" s="12"/>
      <c r="F10" s="19">
        <f>'qtrP&amp;L'!Y10</f>
        <v>0</v>
      </c>
      <c r="G10" s="4"/>
      <c r="H10" s="55">
        <v>119.39700000000001</v>
      </c>
      <c r="I10" s="68" t="s">
        <v>606</v>
      </c>
      <c r="J10" s="19">
        <f>+'qtrP&amp;L'!AC10</f>
        <v>11.406228819303244</v>
      </c>
      <c r="K10" s="4"/>
      <c r="L10" s="55">
        <v>132.46899999999999</v>
      </c>
      <c r="M10" s="12">
        <f>(L10/H10-1)*100</f>
        <v>10.948348785982898</v>
      </c>
      <c r="N10" s="19">
        <f>'qtrP&amp;L'!AG10</f>
        <v>14.606639035704783</v>
      </c>
      <c r="O10" s="4"/>
      <c r="P10" s="100">
        <v>152.72399999999999</v>
      </c>
      <c r="Q10" s="12">
        <f>(P10/L10-1)*100</f>
        <v>15.290369822373528</v>
      </c>
      <c r="R10" s="19">
        <f>'qtrP&amp;L'!AK10</f>
        <v>27.928627357301174</v>
      </c>
      <c r="S10" s="4"/>
      <c r="T10" s="55">
        <v>176.79400000000001</v>
      </c>
      <c r="U10" s="12">
        <f>(T10/P10-1)*100</f>
        <v>15.760456771692732</v>
      </c>
      <c r="V10" s="19">
        <f>'qtrP&amp;L'!AO10</f>
        <v>34.018185496210918</v>
      </c>
      <c r="W10" s="4"/>
      <c r="X10" s="55">
        <v>204.47900000000001</v>
      </c>
      <c r="Y10" s="12">
        <f>(X10/T10-1)*100</f>
        <v>15.659468081495987</v>
      </c>
      <c r="Z10" s="19">
        <f>'qtrP&amp;L'!AS10</f>
        <v>33.164973391388486</v>
      </c>
      <c r="AA10" s="4"/>
      <c r="AB10" s="55">
        <v>215.251</v>
      </c>
      <c r="AC10" s="12">
        <f>(AB10/X10-1)*100</f>
        <v>5.2680226331310198</v>
      </c>
      <c r="AD10" s="19">
        <f>'qtrP&amp;L'!AW10</f>
        <v>26.138956301861562</v>
      </c>
      <c r="AE10" s="4"/>
      <c r="AF10" s="55">
        <v>300.85500000000002</v>
      </c>
      <c r="AG10" s="12">
        <f>(AF10/AB10-1)*100</f>
        <v>39.769385508081271</v>
      </c>
      <c r="AH10" s="19">
        <f>'qtrP&amp;L'!BA10</f>
        <v>21.986405529953924</v>
      </c>
      <c r="AI10" s="4"/>
      <c r="AJ10" s="55">
        <v>337.97399999999999</v>
      </c>
      <c r="AK10" s="12">
        <f>(AJ10/AF10-1)*100</f>
        <v>12.337837164082366</v>
      </c>
      <c r="AL10" s="19">
        <f>'qtrP&amp;L'!BE10</f>
        <v>27.822281322425791</v>
      </c>
      <c r="AM10" s="4"/>
      <c r="AN10" s="55">
        <v>401.79700000000003</v>
      </c>
      <c r="AO10" s="12">
        <f>(AN10/AJ10-1)*100</f>
        <v>18.883996993851614</v>
      </c>
      <c r="AP10" s="19">
        <f>'qtrP&amp;L'!BI10</f>
        <v>11.202746195608814</v>
      </c>
      <c r="AQ10" s="4"/>
      <c r="AR10" s="55">
        <v>337.54500000000002</v>
      </c>
      <c r="AS10" s="12">
        <f>(AR10/AN10-1)*100</f>
        <v>-15.991159714980451</v>
      </c>
      <c r="AT10" s="19">
        <f>'qtrP&amp;L'!BM10</f>
        <v>1.183741756131651</v>
      </c>
      <c r="AU10" s="4"/>
      <c r="AV10" s="55">
        <v>458.92</v>
      </c>
      <c r="AW10" s="12">
        <f>(AV10/AR10-1)*100</f>
        <v>35.958168540490895</v>
      </c>
      <c r="AX10" s="19">
        <f>'qtrP&amp;L'!BQ10</f>
        <v>19.730063025568768</v>
      </c>
      <c r="AY10" s="4"/>
      <c r="AZ10" s="100">
        <v>519.58600000000001</v>
      </c>
      <c r="BA10" s="12">
        <f>(AZ10/AV10-1)*100</f>
        <v>13.219297481042446</v>
      </c>
      <c r="BB10" s="19">
        <f>'qtrP&amp;L'!BU10</f>
        <v>15.212758139193049</v>
      </c>
      <c r="BC10" s="100">
        <v>598.12800000000004</v>
      </c>
      <c r="BD10" s="100">
        <v>598.12800000000004</v>
      </c>
      <c r="BE10" s="12">
        <f>(BD10/AZ10-1)*100</f>
        <v>15.11626564226134</v>
      </c>
      <c r="BF10" s="19">
        <f>'qtrP&amp;L'!BY10</f>
        <v>10.566958535129412</v>
      </c>
      <c r="BH10" s="100">
        <v>637.21400000000006</v>
      </c>
      <c r="BI10" s="12">
        <f>(BH10/BD10-1)*100</f>
        <v>6.5347216649279005</v>
      </c>
      <c r="BJ10" s="19">
        <f>'qtrP&amp;L'!CC10</f>
        <v>-0.91186980669047957</v>
      </c>
      <c r="BL10" s="55">
        <v>597.4</v>
      </c>
      <c r="BM10" s="12">
        <f>(BL10/BH10-1)*100</f>
        <v>-6.2481364188483157</v>
      </c>
      <c r="BN10" s="19">
        <f>'qtrP&amp;L'!CG10</f>
        <v>-9.7292224269178718</v>
      </c>
      <c r="BP10" s="55">
        <v>574.70000000000005</v>
      </c>
      <c r="BQ10" s="12">
        <f>(BP10/BL10-1)*100</f>
        <v>-3.7997991295614209</v>
      </c>
      <c r="BR10" s="19">
        <f>'qtrP&amp;L'!CK10</f>
        <v>-0.81825182903350058</v>
      </c>
      <c r="BT10" s="55">
        <v>546.79999999999995</v>
      </c>
      <c r="BU10" s="12">
        <f>(BT10/BP10-1)*100</f>
        <v>-4.854706803549691</v>
      </c>
      <c r="BV10" s="19">
        <f>'qtrP&amp;L'!CO10</f>
        <v>0.70853149568086415</v>
      </c>
      <c r="BW10" s="19"/>
      <c r="BX10" s="100">
        <v>852.8</v>
      </c>
      <c r="BY10" s="1400">
        <f>(BX10/BT10-1)*100</f>
        <v>55.961960497439648</v>
      </c>
      <c r="BZ10" s="1393">
        <f>'qtrP&amp;L'!CS10</f>
        <v>24.219352351580593</v>
      </c>
      <c r="CB10" s="2361"/>
      <c r="CC10" s="2364"/>
    </row>
    <row r="11" spans="1:81">
      <c r="A11" s="4" t="str">
        <f>'qtrP&amp;L'!A11</f>
        <v>2Q</v>
      </c>
      <c r="B11" s="4" t="str">
        <f>'qtrP&amp;L'!B11</f>
        <v>Dec</v>
      </c>
      <c r="C11" s="4"/>
      <c r="D11" s="59"/>
      <c r="E11" s="12"/>
      <c r="F11" s="19">
        <f>'qtrP&amp;L'!Y11</f>
        <v>0</v>
      </c>
      <c r="G11" s="4"/>
      <c r="H11" s="59">
        <v>101.373</v>
      </c>
      <c r="I11" s="68" t="s">
        <v>606</v>
      </c>
      <c r="J11" s="19">
        <f>+'qtrP&amp;L'!AC11</f>
        <v>8.7055963075908682</v>
      </c>
      <c r="K11" s="4"/>
      <c r="L11" s="59">
        <v>115.42400000000001</v>
      </c>
      <c r="M11" s="12">
        <f>(L11/H11-1)*100</f>
        <v>13.860692689374886</v>
      </c>
      <c r="N11" s="19">
        <f>'qtrP&amp;L'!AG11</f>
        <v>11.71503307617947</v>
      </c>
      <c r="O11" s="4"/>
      <c r="P11" s="101">
        <v>135.90799999999999</v>
      </c>
      <c r="Q11" s="12">
        <f>(P11/L11-1)*100</f>
        <v>17.746742445245346</v>
      </c>
      <c r="R11" s="19">
        <f>'qtrP&amp;L'!AK11</f>
        <v>30.868716861081658</v>
      </c>
      <c r="S11" s="4"/>
      <c r="T11" s="59">
        <v>157.226</v>
      </c>
      <c r="U11" s="12">
        <f>(T11/P11-1)*100</f>
        <v>15.685610854401521</v>
      </c>
      <c r="V11" s="19">
        <f>'qtrP&amp;L'!AO11</f>
        <v>33.381627949942128</v>
      </c>
      <c r="W11" s="4"/>
      <c r="X11" s="59">
        <v>190.85599999999999</v>
      </c>
      <c r="Y11" s="12">
        <f>(X11/T11-1)*100</f>
        <v>21.389592052205096</v>
      </c>
      <c r="Z11" s="19">
        <f>'qtrP&amp;L'!$AS$11</f>
        <v>29.220462051016625</v>
      </c>
      <c r="AA11" s="4"/>
      <c r="AB11" s="59">
        <v>205.042</v>
      </c>
      <c r="AC11" s="12">
        <f>(AB11/X11-1)*100</f>
        <v>7.4328289390954483</v>
      </c>
      <c r="AD11" s="19">
        <f>'qtrP&amp;L'!$AW$11</f>
        <v>16.556560396721064</v>
      </c>
      <c r="AE11" s="4"/>
      <c r="AF11" s="59">
        <v>249.577</v>
      </c>
      <c r="AG11" s="12">
        <f>(AF11/AB11-1)*100</f>
        <v>21.719940304913131</v>
      </c>
      <c r="AH11" s="19">
        <f>'qtrP&amp;L'!BA11</f>
        <v>29.977896095514687</v>
      </c>
      <c r="AI11" s="4"/>
      <c r="AJ11" s="59">
        <v>275.16300000000001</v>
      </c>
      <c r="AK11" s="12">
        <f>(AJ11/AF11-1)*100</f>
        <v>10.251745954154433</v>
      </c>
      <c r="AL11" s="19">
        <f>'qtrP&amp;L'!BE11</f>
        <v>21.401856745816495</v>
      </c>
      <c r="AM11" s="4"/>
      <c r="AN11" s="59">
        <v>383.08100000000002</v>
      </c>
      <c r="AO11" s="12">
        <f>(AN11/AJ11-1)*100</f>
        <v>39.219662527301999</v>
      </c>
      <c r="AP11" s="19">
        <f>'qtrP&amp;L'!BI11</f>
        <v>-1.8160216028964782</v>
      </c>
      <c r="AQ11" s="4"/>
      <c r="AR11" s="59">
        <v>269.2</v>
      </c>
      <c r="AS11" s="12">
        <f>(AR11/AN11-1)*100</f>
        <v>-29.727655508887164</v>
      </c>
      <c r="AT11" s="19">
        <f>'qtrP&amp;L'!BM11</f>
        <v>10.908445247933907</v>
      </c>
      <c r="AU11" s="4"/>
      <c r="AV11" s="59">
        <v>367.41</v>
      </c>
      <c r="AW11" s="12">
        <f>(AV11/AR11-1)*100</f>
        <v>36.482169390787547</v>
      </c>
      <c r="AX11" s="19">
        <f>'qtrP&amp;L'!BQ11</f>
        <v>18.727799400002819</v>
      </c>
      <c r="AY11" s="4"/>
      <c r="AZ11" s="59">
        <v>429.03100000000001</v>
      </c>
      <c r="BA11" s="12">
        <f>(AZ11/AV11-1)*100</f>
        <v>16.771726409188648</v>
      </c>
      <c r="BB11" s="19">
        <f>'qtrP&amp;L'!BU11</f>
        <v>14.566885232158921</v>
      </c>
      <c r="BC11" s="59"/>
      <c r="BD11" s="59">
        <v>493.65899999999999</v>
      </c>
      <c r="BE11" s="12">
        <f>(BD11/AZ11-1)*100</f>
        <v>15.06371334472334</v>
      </c>
      <c r="BF11" s="19">
        <f>'qtrP&amp;L'!BY11</f>
        <v>3.8052695994681862</v>
      </c>
      <c r="BH11" s="101">
        <v>553.02599999999995</v>
      </c>
      <c r="BI11" s="12">
        <f>(BH11/BD11-1)*100</f>
        <v>12.02591262389625</v>
      </c>
      <c r="BJ11" s="19">
        <f>'qtrP&amp;L'!CC11</f>
        <v>-5.5959206636103431</v>
      </c>
      <c r="BL11" s="59">
        <v>447</v>
      </c>
      <c r="BM11" s="12">
        <f>(BL11/BH11-1)*100</f>
        <v>-19.171973831248433</v>
      </c>
      <c r="BN11" s="19">
        <f>'qtrP&amp;L'!CG11</f>
        <v>-14.104016274731901</v>
      </c>
      <c r="BP11" s="59">
        <v>438.5</v>
      </c>
      <c r="BQ11" s="12">
        <f>(BP11/BL11-1)*100</f>
        <v>-1.9015659955257225</v>
      </c>
      <c r="BR11" s="19">
        <f>'qtrP&amp;L'!CK11</f>
        <v>4.4612104313596745</v>
      </c>
      <c r="BT11" s="59">
        <v>464.9</v>
      </c>
      <c r="BU11" s="12">
        <f>(BT11/BP11-1)*100</f>
        <v>6.0205245153933884</v>
      </c>
      <c r="BV11" s="19">
        <f>'qtrP&amp;L'!CO11</f>
        <v>3.7604019469304584</v>
      </c>
      <c r="BW11" s="19"/>
      <c r="BX11" s="101">
        <v>666.2</v>
      </c>
      <c r="BY11" s="1400">
        <f>(BX11/BT11-1)*100</f>
        <v>43.299634329963446</v>
      </c>
      <c r="BZ11" s="1393">
        <f>'qtrP&amp;L'!CS11</f>
        <v>35.053340394945899</v>
      </c>
    </row>
    <row r="12" spans="1:81">
      <c r="A12" s="4" t="str">
        <f>'qtrP&amp;L'!A12</f>
        <v>3Q</v>
      </c>
      <c r="B12" s="4" t="str">
        <f>'qtrP&amp;L'!B12</f>
        <v>Mar</v>
      </c>
      <c r="C12" s="4"/>
      <c r="D12" s="59"/>
      <c r="E12" s="12"/>
      <c r="F12" s="19">
        <f>'qtrP&amp;L'!Y12</f>
        <v>0</v>
      </c>
      <c r="G12" s="4"/>
      <c r="H12" s="59">
        <v>104.18300000000001</v>
      </c>
      <c r="I12" s="68" t="s">
        <v>606</v>
      </c>
      <c r="J12" s="19">
        <f>+'qtrP&amp;L'!AC12</f>
        <v>9.2481229143492669</v>
      </c>
      <c r="K12" s="4"/>
      <c r="L12" s="59">
        <v>131.78299999999999</v>
      </c>
      <c r="M12" s="12">
        <f>(L12/H12-1)*100</f>
        <v>26.491846078534877</v>
      </c>
      <c r="N12" s="19">
        <f>'qtrP&amp;L'!AG12</f>
        <v>28.522678460632854</v>
      </c>
      <c r="O12" s="4"/>
      <c r="P12" s="101">
        <v>135.99600000000001</v>
      </c>
      <c r="Q12" s="12">
        <f>(P12/L12-1)*100</f>
        <v>3.1969222130320496</v>
      </c>
      <c r="R12" s="19">
        <f>'qtrP&amp;L'!AK12</f>
        <v>36.408142550333913</v>
      </c>
      <c r="S12" s="4"/>
      <c r="T12" s="59">
        <v>153.834</v>
      </c>
      <c r="U12" s="12">
        <f>(T12/P12-1)*100</f>
        <v>13.116562251830931</v>
      </c>
      <c r="V12" s="19">
        <f>'qtrP&amp;L'!AO12</f>
        <v>42.050218697254024</v>
      </c>
      <c r="W12" s="4"/>
      <c r="X12" s="59">
        <v>180.81399999999999</v>
      </c>
      <c r="Y12" s="12">
        <f>(X12/T12-1)*100</f>
        <v>17.538385532457056</v>
      </c>
      <c r="Z12" s="19">
        <f>'qtrP&amp;L'!$AS$12</f>
        <v>32.85687363650014</v>
      </c>
      <c r="AA12" s="4"/>
      <c r="AB12" s="59">
        <v>210.465</v>
      </c>
      <c r="AC12" s="12">
        <f>(AB12/X12-1)*100</f>
        <v>16.398619575917795</v>
      </c>
      <c r="AD12" s="19">
        <f>'qtrP&amp;L'!$AW$12</f>
        <v>15.333738841512812</v>
      </c>
      <c r="AE12" s="4"/>
      <c r="AF12" s="59">
        <v>249.81800000000001</v>
      </c>
      <c r="AG12" s="12">
        <f>(AF12/AB12-1)*100</f>
        <v>18.698120827691067</v>
      </c>
      <c r="AH12" s="19">
        <f>'qtrP&amp;L'!BA12</f>
        <v>30.348037805544092</v>
      </c>
      <c r="AI12" s="4"/>
      <c r="AJ12" s="59">
        <v>290.64</v>
      </c>
      <c r="AK12" s="12">
        <f>(AJ12/AF12-1)*100</f>
        <v>16.340696026707423</v>
      </c>
      <c r="AL12" s="19">
        <f>'qtrP&amp;L'!BE12</f>
        <v>19.065796901662079</v>
      </c>
      <c r="AM12" s="4"/>
      <c r="AN12" s="59">
        <f>357.67</f>
        <v>357.67</v>
      </c>
      <c r="AO12" s="12">
        <f>(AN12/AJ12-1)*100</f>
        <v>23.062895678502613</v>
      </c>
      <c r="AP12" s="19">
        <f>'qtrP&amp;L'!BI12</f>
        <v>-0.6155627368969685</v>
      </c>
      <c r="AQ12" s="4"/>
      <c r="AR12" s="59">
        <v>306.673</v>
      </c>
      <c r="AS12" s="12">
        <f>(AR12/AN12-1)*100</f>
        <v>-14.258115022227191</v>
      </c>
      <c r="AT12" s="19">
        <f>'qtrP&amp;L'!BM12</f>
        <v>12.261821582589928</v>
      </c>
      <c r="AU12" s="4"/>
      <c r="AV12" s="59">
        <v>391.44200000000001</v>
      </c>
      <c r="AW12" s="12">
        <f>(AV12/AR12-1)*100</f>
        <v>27.641494360442564</v>
      </c>
      <c r="AX12" s="19">
        <f>'qtrP&amp;L'!BQ12</f>
        <v>14.4506415912957</v>
      </c>
      <c r="AY12" s="4"/>
      <c r="AZ12" s="59">
        <v>475.36399999999998</v>
      </c>
      <c r="BA12" s="12">
        <f>(AZ12/AV12-1)*100</f>
        <v>21.439191502189338</v>
      </c>
      <c r="BB12" s="19">
        <f>'qtrP&amp;L'!BU12</f>
        <v>16.648154108630852</v>
      </c>
      <c r="BC12" s="59"/>
      <c r="BD12" s="59">
        <v>515.91499999999996</v>
      </c>
      <c r="BE12" s="12">
        <f>(BD12/AZ12-1)*100</f>
        <v>8.5305155628108142</v>
      </c>
      <c r="BF12" s="19">
        <f>'qtrP&amp;L'!BY12</f>
        <v>7.0873170956039733</v>
      </c>
      <c r="BH12" s="101">
        <v>583.74300000000005</v>
      </c>
      <c r="BI12" s="12">
        <f>(BH12/BD12-1)*100</f>
        <v>13.147126949206767</v>
      </c>
      <c r="BJ12" s="19">
        <f>'qtrP&amp;L'!CC12</f>
        <v>-7.4059977534107198</v>
      </c>
      <c r="BL12" s="59">
        <v>456.9</v>
      </c>
      <c r="BM12" s="12">
        <f>(BL12/BH12-1)*100</f>
        <v>-21.729254140949028</v>
      </c>
      <c r="BN12" s="19">
        <f>'qtrP&amp;L'!CG12</f>
        <v>-15.489448230580216</v>
      </c>
      <c r="BP12" s="59">
        <v>464.1</v>
      </c>
      <c r="BQ12" s="12">
        <f>(BP12/BL12-1)*100</f>
        <v>1.5758371634931212</v>
      </c>
      <c r="BR12" s="19">
        <f>'qtrP&amp;L'!CK12</f>
        <v>11.169697621865925</v>
      </c>
      <c r="BT12" s="59">
        <v>478.7</v>
      </c>
      <c r="BU12" s="12">
        <f>(BT12/BP12-1)*100</f>
        <v>3.1458737341090171</v>
      </c>
      <c r="BV12" s="19">
        <f>'qtrP&amp;L'!CO12</f>
        <v>-3.668570322330833</v>
      </c>
      <c r="BW12" s="19"/>
      <c r="BX12" s="101"/>
      <c r="BY12" s="1400"/>
      <c r="BZ12" s="1393">
        <f>'qtrP&amp;L'!CS12</f>
        <v>31.189819400250762</v>
      </c>
    </row>
    <row r="13" spans="1:81">
      <c r="A13" s="4" t="str">
        <f>'qtrP&amp;L'!A13</f>
        <v>4Q</v>
      </c>
      <c r="B13" s="4" t="str">
        <f>'qtrP&amp;L'!B13</f>
        <v>June</v>
      </c>
      <c r="C13" s="4"/>
      <c r="D13" s="59">
        <v>102.09699999999999</v>
      </c>
      <c r="E13" s="12"/>
      <c r="F13" s="19">
        <f>'qtrP&amp;L'!Y13</f>
        <v>0</v>
      </c>
      <c r="G13" s="4"/>
      <c r="H13" s="59">
        <v>105.16200000000001</v>
      </c>
      <c r="I13" s="12">
        <f>(H13/D13-1)*100</f>
        <v>3.002047072881675</v>
      </c>
      <c r="J13" s="19">
        <f>+'qtrP&amp;L'!AC13</f>
        <v>8.6846473711026597</v>
      </c>
      <c r="K13" s="4"/>
      <c r="L13" s="59">
        <v>136.404</v>
      </c>
      <c r="M13" s="12">
        <f>(L13/H13-1)*100</f>
        <v>29.708449820277274</v>
      </c>
      <c r="N13" s="19">
        <f>'qtrP&amp;L'!AG13</f>
        <v>29.583982337018178</v>
      </c>
      <c r="O13" s="4"/>
      <c r="P13" s="59">
        <v>143.80699999999999</v>
      </c>
      <c r="Q13" s="12">
        <f>(P13/L13-1)*100</f>
        <v>5.4272601976481649</v>
      </c>
      <c r="R13" s="19">
        <f>'qtrP&amp;L'!AK13</f>
        <v>35.089275294666812</v>
      </c>
      <c r="S13" s="4"/>
      <c r="T13" s="59">
        <v>161.91300000000001</v>
      </c>
      <c r="U13" s="12">
        <f>(T13/P13-1)*100</f>
        <v>12.590485859520072</v>
      </c>
      <c r="V13" s="19">
        <f>'qtrP&amp;L'!AO13</f>
        <v>46.05686000103664</v>
      </c>
      <c r="W13" s="4"/>
      <c r="X13" s="59">
        <v>184.41900000000001</v>
      </c>
      <c r="Y13" s="12">
        <f>(X13/T13-1)*100</f>
        <v>13.900057438253866</v>
      </c>
      <c r="Z13" s="19">
        <f>'qtrP&amp;L'!$AS$12</f>
        <v>32.85687363650014</v>
      </c>
      <c r="AA13" s="4"/>
      <c r="AB13" s="59">
        <v>233.494</v>
      </c>
      <c r="AC13" s="12">
        <f>(AB13/X13-1)*100</f>
        <v>26.610598691024244</v>
      </c>
      <c r="AD13" s="19">
        <f>'qtrP&amp;L'!$AW$13</f>
        <v>19.804375865857725</v>
      </c>
      <c r="AE13" s="4"/>
      <c r="AF13" s="59">
        <v>291.19200000000001</v>
      </c>
      <c r="AG13" s="12">
        <f>(AF13/AB13-1)*100</f>
        <v>24.710699204262209</v>
      </c>
      <c r="AH13" s="19">
        <f>'qtrP&amp;L'!BA13</f>
        <v>30.016767250230792</v>
      </c>
      <c r="AI13" s="4"/>
      <c r="AJ13" s="59">
        <v>318.49</v>
      </c>
      <c r="AK13" s="12">
        <f>(AJ13/AF13-1)*100</f>
        <v>9.3745707299651038</v>
      </c>
      <c r="AL13" s="19">
        <f>'qtrP&amp;L'!BE13</f>
        <v>19.838252861013682</v>
      </c>
      <c r="AM13" s="4"/>
      <c r="AN13" s="59">
        <v>326.14800000000002</v>
      </c>
      <c r="AO13" s="12">
        <f>(AN13/AJ13-1)*100</f>
        <v>2.4044710979936657</v>
      </c>
      <c r="AP13" s="19">
        <f>'qtrP&amp;L'!BI13</f>
        <v>-0.4806142034548877</v>
      </c>
      <c r="AQ13" s="4"/>
      <c r="AR13" s="59">
        <v>363.28500000000003</v>
      </c>
      <c r="AS13" s="12">
        <f>(AR13/AN13-1)*100</f>
        <v>11.386548438132383</v>
      </c>
      <c r="AT13" s="19">
        <f>'qtrP&amp;L'!BM13</f>
        <v>22.215664794585365</v>
      </c>
      <c r="AU13" s="4"/>
      <c r="AV13" s="59">
        <v>421.83100000000002</v>
      </c>
      <c r="AW13" s="12">
        <f>(AV13/AR13-1)*100</f>
        <v>16.115721816204911</v>
      </c>
      <c r="AX13" s="19">
        <f>'qtrP&amp;L'!BQ13</f>
        <v>8.5373872333710299</v>
      </c>
      <c r="AY13" s="4"/>
      <c r="AZ13" s="59">
        <v>504.49</v>
      </c>
      <c r="BA13" s="12">
        <f>(AZ13/AV13-1)*100</f>
        <v>19.595288160424438</v>
      </c>
      <c r="BB13" s="19">
        <f>'qtrP&amp;L'!BU13</f>
        <v>11.972375021203385</v>
      </c>
      <c r="BC13" s="59"/>
      <c r="BD13" s="59">
        <v>524.70600000000002</v>
      </c>
      <c r="BE13" s="12">
        <f>(BD13/AZ13-1)*100</f>
        <v>4.0072152074372092</v>
      </c>
      <c r="BF13" s="19">
        <f>'qtrP&amp;L'!BY13</f>
        <v>5.8429298704716359</v>
      </c>
      <c r="BH13" s="59">
        <v>526.17499999999995</v>
      </c>
      <c r="BI13" s="12">
        <f>(BH13/BD13-1)*100</f>
        <v>0.27996630494027119</v>
      </c>
      <c r="BJ13" s="19">
        <f>'qtrP&amp;L'!CC13</f>
        <v>-7.0722866340391155</v>
      </c>
      <c r="BL13" s="59">
        <v>485.1</v>
      </c>
      <c r="BM13" s="12">
        <f>(BL13/BH13-1)*100</f>
        <v>-7.8063381954672773</v>
      </c>
      <c r="BN13" s="19">
        <f>'qtrP&amp;L'!CG13</f>
        <v>-11.627718673210008</v>
      </c>
      <c r="BP13" s="59">
        <v>459.2</v>
      </c>
      <c r="BQ13" s="12">
        <f>(BP13/BL13-1)*100</f>
        <v>-5.3391053391053429</v>
      </c>
      <c r="BR13" s="19">
        <f>'qtrP&amp;L'!CK13</f>
        <v>14.988546957474336</v>
      </c>
      <c r="BT13" s="59">
        <v>469.7</v>
      </c>
      <c r="BU13" s="12">
        <f>(BT13/BP13-1)*100</f>
        <v>2.2865853658536661</v>
      </c>
      <c r="BV13" s="19">
        <f>'qtrP&amp;L'!CO13</f>
        <v>-1.8014896934003044</v>
      </c>
      <c r="BW13" s="19"/>
      <c r="BX13" s="101"/>
      <c r="BY13" s="1400"/>
      <c r="BZ13" s="1393"/>
    </row>
    <row r="14" spans="1:8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12"/>
      <c r="BF14" s="4"/>
      <c r="BH14" s="21"/>
      <c r="BI14" s="92"/>
      <c r="BJ14" s="708"/>
      <c r="BL14" s="4"/>
      <c r="BM14" s="4"/>
      <c r="BN14" s="4"/>
      <c r="BP14" s="4"/>
      <c r="BQ14" s="4"/>
      <c r="BR14" s="4"/>
      <c r="BT14" s="4"/>
      <c r="BU14" s="4"/>
      <c r="BV14" s="19"/>
      <c r="BW14" s="19"/>
      <c r="BX14" s="65"/>
      <c r="BY14" s="65"/>
      <c r="BZ14" s="1393"/>
    </row>
    <row r="15" spans="1:81">
      <c r="A15" s="4"/>
      <c r="B15" s="8"/>
      <c r="C15" s="4"/>
      <c r="D15" s="51"/>
      <c r="E15" s="51"/>
      <c r="F15" s="51"/>
      <c r="G15" s="4"/>
      <c r="H15" s="51"/>
      <c r="I15" s="51"/>
      <c r="J15" s="51"/>
      <c r="K15" s="4"/>
      <c r="L15" s="51"/>
      <c r="M15" s="51"/>
      <c r="N15" s="51"/>
      <c r="O15" s="4"/>
      <c r="P15" s="52" t="s">
        <v>613</v>
      </c>
      <c r="Q15" s="51"/>
      <c r="R15" s="51"/>
      <c r="S15" s="4"/>
      <c r="T15" s="51"/>
      <c r="U15" s="51"/>
      <c r="V15" s="51"/>
      <c r="W15" s="4"/>
      <c r="X15" s="51"/>
      <c r="Y15" s="51"/>
      <c r="Z15" s="51"/>
      <c r="AA15" s="4"/>
      <c r="AC15" s="436"/>
      <c r="AD15" s="436"/>
      <c r="AE15" s="70"/>
      <c r="AF15" s="436"/>
      <c r="AG15" s="436"/>
      <c r="AH15" s="436"/>
      <c r="AI15" s="70"/>
      <c r="AJ15" s="436"/>
      <c r="AK15" s="436"/>
      <c r="AL15" s="436"/>
      <c r="AM15" s="70"/>
      <c r="AN15" s="436"/>
      <c r="AO15" s="436"/>
      <c r="AP15" s="436"/>
      <c r="AQ15" s="70"/>
      <c r="AR15" s="69" t="s">
        <v>613</v>
      </c>
      <c r="AS15" s="436"/>
      <c r="AT15" s="436"/>
      <c r="AU15" s="70"/>
      <c r="AV15" s="436"/>
      <c r="AW15" s="436"/>
      <c r="AX15" s="436"/>
      <c r="AY15" s="70"/>
      <c r="AZ15" s="436"/>
      <c r="BA15" s="436"/>
      <c r="BB15" s="436"/>
      <c r="BC15" s="436"/>
      <c r="BD15" s="436"/>
      <c r="BE15" s="12"/>
      <c r="BF15" s="436"/>
      <c r="BH15" s="436"/>
      <c r="BI15" s="436"/>
      <c r="BJ15" s="436"/>
      <c r="BL15" s="436"/>
      <c r="BM15" s="436"/>
      <c r="BN15" s="436"/>
      <c r="BP15" s="436"/>
      <c r="BQ15" s="436"/>
      <c r="BR15" s="436"/>
      <c r="BT15" s="436"/>
      <c r="BU15" s="436"/>
      <c r="BV15" s="436"/>
      <c r="BW15" s="436"/>
      <c r="BX15" s="650"/>
      <c r="BY15" s="650"/>
      <c r="BZ15" s="650"/>
    </row>
    <row r="16" spans="1:81">
      <c r="A16" s="4" t="str">
        <f>$A$10</f>
        <v>1Q</v>
      </c>
      <c r="B16" s="4" t="str">
        <f>$B$10</f>
        <v>Sept</v>
      </c>
      <c r="C16" s="4"/>
      <c r="D16" s="55"/>
      <c r="E16" s="12"/>
      <c r="F16" s="19">
        <f>F$10</f>
        <v>0</v>
      </c>
      <c r="G16" s="4"/>
      <c r="H16" s="55">
        <f>24.855+17.047</f>
        <v>41.902000000000001</v>
      </c>
      <c r="I16" s="68" t="s">
        <v>606</v>
      </c>
      <c r="J16" s="19">
        <f>J$10</f>
        <v>11.406228819303244</v>
      </c>
      <c r="K16" s="4"/>
      <c r="L16" s="55">
        <f>33.693+13.92+11.173</f>
        <v>58.786000000000001</v>
      </c>
      <c r="M16" s="12">
        <f>(L16/H16-1)*100</f>
        <v>40.294019378549947</v>
      </c>
      <c r="N16" s="19">
        <f>N$10</f>
        <v>14.606639035704783</v>
      </c>
      <c r="O16" s="4"/>
      <c r="P16" s="55">
        <f>45.009+26.154</f>
        <v>71.162999999999997</v>
      </c>
      <c r="Q16" s="12">
        <f>(P16/L16-1)*100</f>
        <v>21.054332664239773</v>
      </c>
      <c r="R16" s="19">
        <f>R$10</f>
        <v>27.928627357301174</v>
      </c>
      <c r="S16" s="4"/>
      <c r="T16" s="55">
        <f>59.859+37.431</f>
        <v>97.289999999999992</v>
      </c>
      <c r="U16" s="12">
        <f>(T16/P16-1)*100</f>
        <v>36.714303781459456</v>
      </c>
      <c r="V16" s="19">
        <f>V$10</f>
        <v>34.018185496210918</v>
      </c>
      <c r="W16" s="4"/>
      <c r="X16" s="55">
        <f>85.607+63.89</f>
        <v>149.49700000000001</v>
      </c>
      <c r="Y16" s="12">
        <f>(X16/T16-1)*100</f>
        <v>53.661219035872151</v>
      </c>
      <c r="Z16" s="19">
        <f>Z$10</f>
        <v>33.164973391388486</v>
      </c>
      <c r="AA16" s="4"/>
      <c r="AB16" s="55">
        <f>104.906+95.761</f>
        <v>200.667</v>
      </c>
      <c r="AC16" s="12">
        <f>(AB16/X16-1)*100</f>
        <v>34.228111600901691</v>
      </c>
      <c r="AD16" s="19">
        <f>AD$10</f>
        <v>26.138956301861562</v>
      </c>
      <c r="AE16" s="4"/>
      <c r="AF16" s="55">
        <f>118.082+148.137</f>
        <v>266.21899999999999</v>
      </c>
      <c r="AG16" s="12">
        <f>(AF16/AB16-1)*100</f>
        <v>32.667055370339916</v>
      </c>
      <c r="AH16" s="19">
        <f>AH$10</f>
        <v>21.986405529953924</v>
      </c>
      <c r="AI16" s="4"/>
      <c r="AJ16" s="55">
        <f>148.942+139.062</f>
        <v>288.00400000000002</v>
      </c>
      <c r="AK16" s="12">
        <f>(AJ16/AF16-1)*100</f>
        <v>8.1831123999414057</v>
      </c>
      <c r="AL16" s="19">
        <f>AL$10</f>
        <v>27.822281322425791</v>
      </c>
      <c r="AM16" s="4"/>
      <c r="AN16" s="55">
        <f>156.478+243.313</f>
        <v>399.791</v>
      </c>
      <c r="AO16" s="12">
        <f>(AN16/AJ16-1)*100</f>
        <v>38.814391466785182</v>
      </c>
      <c r="AP16" s="19">
        <f>AP$10</f>
        <v>11.202746195608814</v>
      </c>
      <c r="AQ16" s="4"/>
      <c r="AR16" s="55">
        <f>105.12+173.128</f>
        <v>278.24799999999999</v>
      </c>
      <c r="AS16" s="12">
        <f>(AR16/AN16-1)*100</f>
        <v>-30.401634854211323</v>
      </c>
      <c r="AT16" s="19">
        <f>AT$10</f>
        <v>1.183741756131651</v>
      </c>
      <c r="AU16" s="4"/>
      <c r="AV16" s="55">
        <f>133.173+121.194</f>
        <v>254.36700000000002</v>
      </c>
      <c r="AW16" s="12">
        <f>(AV16/AR16-1)*100</f>
        <v>-8.582631321698619</v>
      </c>
      <c r="AX16" s="19">
        <f>AX$10</f>
        <v>19.730063025568768</v>
      </c>
      <c r="AY16" s="4"/>
      <c r="AZ16" s="100">
        <f>153.061+168.526</f>
        <v>321.58699999999999</v>
      </c>
      <c r="BA16" s="12">
        <f>(AZ16/AV16-1)*100</f>
        <v>26.426383925587828</v>
      </c>
      <c r="BB16" s="19">
        <f>BB10</f>
        <v>15.212758139193049</v>
      </c>
      <c r="BC16" s="100">
        <v>178.30699999999999</v>
      </c>
      <c r="BD16" s="100">
        <f>178.307+231.937</f>
        <v>410.24400000000003</v>
      </c>
      <c r="BE16" s="12">
        <f>(BD16/AZ16-1)*100</f>
        <v>27.568589526317933</v>
      </c>
      <c r="BF16" s="19">
        <f>BF10</f>
        <v>10.566958535129412</v>
      </c>
      <c r="BH16" s="100">
        <f>177.975+202.131</f>
        <v>380.10599999999999</v>
      </c>
      <c r="BI16" s="12">
        <f>(BH16/BD16-1)*100</f>
        <v>-7.3463597273817571</v>
      </c>
      <c r="BJ16" s="19">
        <f>BJ10</f>
        <v>-0.91186980669047957</v>
      </c>
      <c r="BL16" s="55">
        <f>209+224.9</f>
        <v>433.9</v>
      </c>
      <c r="BM16" s="12">
        <f>(BL16/BH16-1)*100</f>
        <v>14.152368023656559</v>
      </c>
      <c r="BN16" s="19">
        <f>BN10</f>
        <v>-9.7292224269178718</v>
      </c>
      <c r="BP16" s="55">
        <f>246.9+253.8</f>
        <v>500.70000000000005</v>
      </c>
      <c r="BQ16" s="12">
        <f>(BP16/BL16-1)*100</f>
        <v>15.395252362295487</v>
      </c>
      <c r="BR16" s="19">
        <f>BR10</f>
        <v>-0.81825182903350058</v>
      </c>
      <c r="BT16" s="55">
        <f>245.1+180.1</f>
        <v>425.2</v>
      </c>
      <c r="BU16" s="12">
        <f>(BT16/BP16-1)*100</f>
        <v>-15.078889554623542</v>
      </c>
      <c r="BV16" s="19">
        <f>BV10</f>
        <v>0.70853149568086415</v>
      </c>
      <c r="BW16" s="19"/>
      <c r="BX16" s="100">
        <f>302.7+195.9</f>
        <v>498.6</v>
      </c>
      <c r="BY16" s="12">
        <f>(BX16/BT16-1)*100</f>
        <v>17.262464722483539</v>
      </c>
      <c r="BZ16" s="19">
        <f>BZ10</f>
        <v>24.219352351580593</v>
      </c>
    </row>
    <row r="17" spans="1:78">
      <c r="A17" s="4" t="str">
        <f>$A$11</f>
        <v>2Q</v>
      </c>
      <c r="B17" s="4" t="str">
        <f>$B$11</f>
        <v>Dec</v>
      </c>
      <c r="C17" s="4"/>
      <c r="D17" s="59"/>
      <c r="E17" s="12"/>
      <c r="F17" s="19">
        <f>$F11</f>
        <v>0</v>
      </c>
      <c r="G17" s="4"/>
      <c r="H17" s="59">
        <f>28.698+18.794</f>
        <v>47.492000000000004</v>
      </c>
      <c r="I17" s="68" t="s">
        <v>606</v>
      </c>
      <c r="J17" s="19">
        <f>+$J11</f>
        <v>8.7055963075908682</v>
      </c>
      <c r="K17" s="4"/>
      <c r="L17" s="59">
        <f>29.139+31.362</f>
        <v>60.500999999999998</v>
      </c>
      <c r="M17" s="12">
        <f>(L17/H17-1)*100</f>
        <v>27.391981807462294</v>
      </c>
      <c r="N17" s="19">
        <f>N$11</f>
        <v>11.71503307617947</v>
      </c>
      <c r="O17" s="4"/>
      <c r="P17" s="59">
        <f>67.284+25.855</f>
        <v>93.13900000000001</v>
      </c>
      <c r="Q17" s="12">
        <f>(P17/L17-1)*100</f>
        <v>53.946215765028697</v>
      </c>
      <c r="R17" s="19">
        <f>R$11</f>
        <v>30.868716861081658</v>
      </c>
      <c r="S17" s="4"/>
      <c r="T17" s="59">
        <f>94.452+51.548</f>
        <v>146</v>
      </c>
      <c r="U17" s="12">
        <f>(T17/P17-1)*100</f>
        <v>56.754957643951485</v>
      </c>
      <c r="V17" s="19">
        <f>V$11</f>
        <v>33.381627949942128</v>
      </c>
      <c r="W17" s="4"/>
      <c r="X17" s="59">
        <f>121.749+71.644</f>
        <v>193.393</v>
      </c>
      <c r="Y17" s="12">
        <f>(X17/T17-1)*100</f>
        <v>32.460958904109582</v>
      </c>
      <c r="Z17" s="19">
        <f>'qtrP&amp;L'!$AS11</f>
        <v>29.220462051016625</v>
      </c>
      <c r="AA17" s="4"/>
      <c r="AB17" s="59">
        <f>123.045+106.883</f>
        <v>229.928</v>
      </c>
      <c r="AC17" s="12">
        <f>(AB17/X17-1)*100</f>
        <v>18.89158345958748</v>
      </c>
      <c r="AD17" s="19">
        <f>'qtrP&amp;L'!$AW11</f>
        <v>16.556560396721064</v>
      </c>
      <c r="AE17" s="4"/>
      <c r="AF17" s="59">
        <f>125.099+144.108</f>
        <v>269.20699999999999</v>
      </c>
      <c r="AG17" s="12">
        <f>(AF17/AB17-1)*100</f>
        <v>17.083173863122369</v>
      </c>
      <c r="AH17" s="19">
        <f>AH$11</f>
        <v>29.977896095514687</v>
      </c>
      <c r="AI17" s="4"/>
      <c r="AJ17" s="59">
        <f>142.095+146.974</f>
        <v>289.06899999999996</v>
      </c>
      <c r="AK17" s="12">
        <f>(AJ17/AF17-1)*100</f>
        <v>7.3779656546820727</v>
      </c>
      <c r="AL17" s="19">
        <f>AL$11</f>
        <v>21.401856745816495</v>
      </c>
      <c r="AM17" s="4"/>
      <c r="AN17" s="59">
        <f>192.024+221.579</f>
        <v>413.60300000000001</v>
      </c>
      <c r="AO17" s="12">
        <f>(AN17/AJ17-1)*100</f>
        <v>43.081063690675947</v>
      </c>
      <c r="AP17" s="19">
        <f>AP$11</f>
        <v>-1.8160216028964782</v>
      </c>
      <c r="AQ17" s="4"/>
      <c r="AR17" s="59">
        <f>178.849+165.166</f>
        <v>344.01499999999999</v>
      </c>
      <c r="AS17" s="12">
        <f>(AR17/AN17-1)*100</f>
        <v>-16.824829607135349</v>
      </c>
      <c r="AT17" s="19">
        <f>AT$11</f>
        <v>10.908445247933907</v>
      </c>
      <c r="AU17" s="4"/>
      <c r="AV17" s="59">
        <f>180.583+134.799</f>
        <v>315.38200000000001</v>
      </c>
      <c r="AW17" s="12">
        <f>(AV17/AR17-1)*100</f>
        <v>-8.3231835821112377</v>
      </c>
      <c r="AX17" s="19">
        <f>AX$11</f>
        <v>18.727799400002819</v>
      </c>
      <c r="AY17" s="4"/>
      <c r="AZ17" s="101">
        <f>212.041+169.339</f>
        <v>381.38</v>
      </c>
      <c r="BA17" s="12">
        <f>(AZ17/AV17-1)*100</f>
        <v>20.926368657691306</v>
      </c>
      <c r="BB17" s="19">
        <f>BB11</f>
        <v>14.566885232158921</v>
      </c>
      <c r="BC17" s="101"/>
      <c r="BD17" s="101">
        <f>223.041+273.01</f>
        <v>496.05099999999999</v>
      </c>
      <c r="BE17" s="12">
        <f>(BD17/AZ17-1)*100</f>
        <v>30.067386858251609</v>
      </c>
      <c r="BF17" s="19">
        <f>BF11</f>
        <v>3.8052695994681862</v>
      </c>
      <c r="BH17" s="59">
        <v>228.631</v>
      </c>
      <c r="BI17" s="12">
        <f>(BH17/BD17-1)*100</f>
        <v>-53.909779438001323</v>
      </c>
      <c r="BJ17" s="19">
        <f>BJ11</f>
        <v>-5.5959206636103431</v>
      </c>
      <c r="BL17" s="59">
        <f>228.5+206.8</f>
        <v>435.3</v>
      </c>
      <c r="BM17" s="12">
        <f>(BL17/BH17-1)*100</f>
        <v>90.39412853025182</v>
      </c>
      <c r="BN17" s="19">
        <f>BN11</f>
        <v>-14.104016274731901</v>
      </c>
      <c r="BP17" s="59">
        <f>303.6+222.4</f>
        <v>526</v>
      </c>
      <c r="BQ17" s="12">
        <f>(BP17/BL17-1)*100</f>
        <v>20.836204916149768</v>
      </c>
      <c r="BR17" s="19">
        <f>BR11</f>
        <v>4.4612104313596745</v>
      </c>
      <c r="BT17" s="59">
        <f>269.6+195.3</f>
        <v>464.90000000000003</v>
      </c>
      <c r="BU17" s="12">
        <f>(BT17/BP17-1)*100</f>
        <v>-11.615969581749042</v>
      </c>
      <c r="BV17" s="19">
        <f>BV11</f>
        <v>3.7604019469304584</v>
      </c>
      <c r="BW17" s="19"/>
      <c r="BX17" s="101">
        <f>347.8+176.5</f>
        <v>524.29999999999995</v>
      </c>
      <c r="BY17" s="12">
        <f>(BX17/BT17-1)*100</f>
        <v>12.77694127769411</v>
      </c>
      <c r="BZ17" s="19">
        <f>BZ11</f>
        <v>35.053340394945899</v>
      </c>
    </row>
    <row r="18" spans="1:78">
      <c r="A18" s="4" t="str">
        <f>$A$12</f>
        <v>3Q</v>
      </c>
      <c r="B18" s="4" t="str">
        <f>$B$12</f>
        <v>Mar</v>
      </c>
      <c r="C18" s="4"/>
      <c r="D18" s="59"/>
      <c r="E18" s="12"/>
      <c r="F18" s="19">
        <f>$F12</f>
        <v>0</v>
      </c>
      <c r="G18" s="4"/>
      <c r="H18" s="59">
        <f>20.642+20.701</f>
        <v>41.343000000000004</v>
      </c>
      <c r="I18" s="68" t="s">
        <v>606</v>
      </c>
      <c r="J18" s="19">
        <f>+$J12</f>
        <v>9.2481229143492669</v>
      </c>
      <c r="K18" s="4"/>
      <c r="L18" s="59">
        <f>25.563+27.244</f>
        <v>52.807000000000002</v>
      </c>
      <c r="M18" s="12">
        <f>(L18/H18-1)*100</f>
        <v>27.728998863169085</v>
      </c>
      <c r="N18" s="19">
        <f>+N12</f>
        <v>28.522678460632854</v>
      </c>
      <c r="O18" s="4"/>
      <c r="P18" s="59">
        <f>46.703+29.67</f>
        <v>76.373000000000005</v>
      </c>
      <c r="Q18" s="12">
        <f>(P18/L18-1)*100</f>
        <v>44.626659344405105</v>
      </c>
      <c r="R18" s="19">
        <f>+R12</f>
        <v>36.408142550333913</v>
      </c>
      <c r="S18" s="4"/>
      <c r="T18" s="59">
        <f>78.657+46.978</f>
        <v>125.63499999999999</v>
      </c>
      <c r="U18" s="12">
        <f>(T18/P18-1)*100</f>
        <v>64.501852749008123</v>
      </c>
      <c r="V18" s="19">
        <f>V$12</f>
        <v>42.050218697254024</v>
      </c>
      <c r="W18" s="4"/>
      <c r="X18" s="59">
        <f>83.6+78.315</f>
        <v>161.91499999999999</v>
      </c>
      <c r="Y18" s="12">
        <f>(X18/T18-1)*100</f>
        <v>28.877303299239856</v>
      </c>
      <c r="Z18" s="19">
        <f>'qtrP&amp;L'!$AS12</f>
        <v>32.85687363650014</v>
      </c>
      <c r="AA18" s="4"/>
      <c r="AB18" s="59">
        <f>110.415+118.625</f>
        <v>229.04000000000002</v>
      </c>
      <c r="AC18" s="12">
        <f>(AB18/X18-1)*100</f>
        <v>41.456937281907202</v>
      </c>
      <c r="AD18" s="19">
        <f>'qtrP&amp;L'!$AW12</f>
        <v>15.333738841512812</v>
      </c>
      <c r="AE18" s="4"/>
      <c r="AF18" s="101">
        <f>124.858+155.414</f>
        <v>280.27199999999999</v>
      </c>
      <c r="AG18" s="12">
        <f>(AF18/AB18-1)*100</f>
        <v>22.368145302130628</v>
      </c>
      <c r="AH18" s="19">
        <f>AH$12</f>
        <v>30.348037805544092</v>
      </c>
      <c r="AI18" s="4"/>
      <c r="AJ18" s="101">
        <f>148.074+187.534</f>
        <v>335.608</v>
      </c>
      <c r="AK18" s="12">
        <f>(AJ18/AF18-1)*100</f>
        <v>19.743677570360219</v>
      </c>
      <c r="AL18" s="19">
        <f>AL$12</f>
        <v>19.065796901662079</v>
      </c>
      <c r="AM18" s="4"/>
      <c r="AN18" s="101">
        <f>127.148+195.23</f>
        <v>322.37799999999999</v>
      </c>
      <c r="AO18" s="12">
        <f>(AN18/AJ18-1)*100</f>
        <v>-3.9420991156349117</v>
      </c>
      <c r="AP18" s="19">
        <f>AP$12</f>
        <v>-0.6155627368969685</v>
      </c>
      <c r="AQ18" s="4"/>
      <c r="AR18" s="101">
        <f>118.147+177.608</f>
        <v>295.755</v>
      </c>
      <c r="AS18" s="12">
        <f>(AR18/AN18-1)*100</f>
        <v>-8.2583178752892561</v>
      </c>
      <c r="AT18" s="19">
        <f>AT$12</f>
        <v>12.261821582589928</v>
      </c>
      <c r="AU18" s="4"/>
      <c r="AV18" s="101">
        <f>131.731+153.07</f>
        <v>284.80099999999999</v>
      </c>
      <c r="AW18" s="12">
        <f>(AV18/AR18-1)*100</f>
        <v>-3.7037412723369023</v>
      </c>
      <c r="AX18" s="19">
        <f>AX$12</f>
        <v>14.4506415912957</v>
      </c>
      <c r="AY18" s="4"/>
      <c r="AZ18" s="101">
        <f>169.467+185.047</f>
        <v>354.51400000000001</v>
      </c>
      <c r="BA18" s="12">
        <f>(AZ18/AV18-1)*100</f>
        <v>24.47779326617534</v>
      </c>
      <c r="BB18" s="19">
        <f>BB12</f>
        <v>16.648154108630852</v>
      </c>
      <c r="BC18" s="101"/>
      <c r="BD18" s="101">
        <f>177.139+272.642</f>
        <v>449.78100000000001</v>
      </c>
      <c r="BE18" s="12">
        <f>(BD18/AZ18-1)*100</f>
        <v>26.872563565895845</v>
      </c>
      <c r="BF18" s="19">
        <f>BF12</f>
        <v>7.0873170956039733</v>
      </c>
      <c r="BH18" s="101">
        <f>197.744+233.698</f>
        <v>431.44200000000001</v>
      </c>
      <c r="BI18" s="12">
        <f>(BH18/BD18-1)*100</f>
        <v>-4.0773176279122474</v>
      </c>
      <c r="BJ18" s="19">
        <f>BJ12</f>
        <v>-7.4059977534107198</v>
      </c>
      <c r="BL18" s="101">
        <f>196.9+223</f>
        <v>419.9</v>
      </c>
      <c r="BM18" s="12">
        <f>(BL18/BH18-1)*100</f>
        <v>-2.6752147449715213</v>
      </c>
      <c r="BN18" s="19">
        <f>BN12</f>
        <v>-15.489448230580216</v>
      </c>
      <c r="BP18" s="101">
        <f>263.2+255.4</f>
        <v>518.6</v>
      </c>
      <c r="BQ18" s="12">
        <f>(BP18/BL18-1)*100</f>
        <v>23.505596570612063</v>
      </c>
      <c r="BR18" s="19">
        <f>BR12</f>
        <v>11.169697621865925</v>
      </c>
      <c r="BT18" s="101">
        <f>203.4+195.6</f>
        <v>399</v>
      </c>
      <c r="BU18" s="12">
        <f>(BT18/BP18-1)*100</f>
        <v>-23.062090242961819</v>
      </c>
      <c r="BV18" s="19">
        <f>BV12</f>
        <v>-3.668570322330833</v>
      </c>
      <c r="BW18" s="19"/>
      <c r="BX18" s="101"/>
      <c r="BY18" s="1400"/>
      <c r="BZ18" s="1393"/>
    </row>
    <row r="19" spans="1:78">
      <c r="A19" s="4" t="str">
        <f>$A$13</f>
        <v>4Q</v>
      </c>
      <c r="B19" s="4" t="str">
        <f>$B$13</f>
        <v>June</v>
      </c>
      <c r="C19" s="4"/>
      <c r="D19" s="59">
        <f>15.567+15.862</f>
        <v>31.429000000000002</v>
      </c>
      <c r="E19" s="12"/>
      <c r="F19" s="19">
        <f>$F13</f>
        <v>0</v>
      </c>
      <c r="G19" s="4"/>
      <c r="H19" s="59">
        <f>20.608+22.106</f>
        <v>42.713999999999999</v>
      </c>
      <c r="I19" s="12">
        <f>(H19/D19-1)*100</f>
        <v>35.906328550065211</v>
      </c>
      <c r="J19" s="19">
        <f>+$J13</f>
        <v>8.6846473711026597</v>
      </c>
      <c r="K19" s="4"/>
      <c r="L19" s="59">
        <f>30.925+26.297</f>
        <v>57.222000000000001</v>
      </c>
      <c r="M19" s="12">
        <f>(L19/H19-1)*100</f>
        <v>33.96544458491362</v>
      </c>
      <c r="N19" s="19">
        <f>+N13</f>
        <v>29.583982337018178</v>
      </c>
      <c r="O19" s="4"/>
      <c r="P19" s="59">
        <f>35.47+40.085</f>
        <v>75.555000000000007</v>
      </c>
      <c r="Q19" s="12">
        <f>(P19/L19-1)*100</f>
        <v>32.038376848065433</v>
      </c>
      <c r="R19" s="19">
        <f>+R13</f>
        <v>35.089275294666812</v>
      </c>
      <c r="S19" s="4"/>
      <c r="T19" s="59">
        <f>55.724+53.536</f>
        <v>109.25999999999999</v>
      </c>
      <c r="U19" s="12">
        <f>(T19/P19-1)*100</f>
        <v>44.609886837403188</v>
      </c>
      <c r="V19" s="19">
        <f>V$13</f>
        <v>46.05686000103664</v>
      </c>
      <c r="W19" s="4"/>
      <c r="X19" s="59">
        <f>65.399+76.491</f>
        <v>141.88999999999999</v>
      </c>
      <c r="Y19" s="12">
        <f>(X19/T19-1)*100</f>
        <v>29.864543291231914</v>
      </c>
      <c r="Z19" s="19">
        <f>'qtrP&amp;L'!$AS13</f>
        <v>23.81079122861496</v>
      </c>
      <c r="AA19" s="4"/>
      <c r="AB19" s="59">
        <f>84.361+119.062</f>
        <v>203.423</v>
      </c>
      <c r="AC19" s="12">
        <f>(AB19/X19-1)*100</f>
        <v>43.366692508281069</v>
      </c>
      <c r="AD19" s="19">
        <f>'qtrP&amp;L'!$AW13</f>
        <v>19.804375865857725</v>
      </c>
      <c r="AE19" s="4"/>
      <c r="AF19" s="59">
        <f>107.814+155.374</f>
        <v>263.18799999999999</v>
      </c>
      <c r="AG19" s="12">
        <f>(AF19/AB19-1)*100</f>
        <v>29.379666999306853</v>
      </c>
      <c r="AH19" s="19">
        <f>AH$13</f>
        <v>30.016767250230792</v>
      </c>
      <c r="AI19" s="4"/>
      <c r="AJ19" s="59">
        <f>106.738+235.085</f>
        <v>341.82299999999998</v>
      </c>
      <c r="AK19" s="12">
        <f>(AJ19/AF19-1)*100</f>
        <v>29.877881970302589</v>
      </c>
      <c r="AL19" s="19">
        <f>AL$13</f>
        <v>19.838252861013682</v>
      </c>
      <c r="AM19" s="4"/>
      <c r="AN19" s="59">
        <f>108.707+161.192</f>
        <v>269.899</v>
      </c>
      <c r="AO19" s="12">
        <f>(AN19/AJ19-1)*100</f>
        <v>-21.041299151900251</v>
      </c>
      <c r="AP19" s="19">
        <f>AP$13</f>
        <v>-0.4806142034548877</v>
      </c>
      <c r="AQ19" s="4"/>
      <c r="AR19" s="59">
        <f>109.068+77.355+30.375+26.16</f>
        <v>242.958</v>
      </c>
      <c r="AS19" s="12">
        <f>(AR19/AN19-1)*100</f>
        <v>-9.9818821114565086</v>
      </c>
      <c r="AT19" s="19">
        <f>AT$13</f>
        <v>22.215664794585365</v>
      </c>
      <c r="AU19" s="4"/>
      <c r="AV19" s="101">
        <f>142.898+93.902+38.203+53.516</f>
        <v>328.51900000000006</v>
      </c>
      <c r="AW19" s="12">
        <f>(AV19/AR19-1)*100</f>
        <v>35.21637484668134</v>
      </c>
      <c r="AX19" s="19">
        <f>AX$13</f>
        <v>8.5373872333710299</v>
      </c>
      <c r="AY19" s="4"/>
      <c r="AZ19" s="101">
        <f>174.462+95.419+39.365+73.577</f>
        <v>382.82299999999998</v>
      </c>
      <c r="BA19" s="12">
        <f>(AZ19/AV19-1)*100</f>
        <v>16.529941951607043</v>
      </c>
      <c r="BB19" s="19">
        <f>BB13</f>
        <v>11.972375021203385</v>
      </c>
      <c r="BC19" s="101"/>
      <c r="BD19" s="101">
        <f>175.477+37.956+86.799+111.118</f>
        <v>411.34999999999997</v>
      </c>
      <c r="BE19" s="12">
        <f>(BD19/AZ19-1)*100</f>
        <v>7.451746629643452</v>
      </c>
      <c r="BF19" s="19">
        <f>BF13</f>
        <v>5.8429298704716359</v>
      </c>
      <c r="BH19" s="101">
        <f>198.577+261.839</f>
        <v>460.416</v>
      </c>
      <c r="BI19" s="12">
        <f>(BH19/BD19-1)*100</f>
        <v>11.928041813540791</v>
      </c>
      <c r="BJ19" s="19">
        <f>BJ13</f>
        <v>-7.0722866340391155</v>
      </c>
      <c r="BL19" s="101">
        <f>219.5+276.1</f>
        <v>495.6</v>
      </c>
      <c r="BM19" s="12">
        <f>(BL19/BH19-1)*100</f>
        <v>7.6417848206839167</v>
      </c>
      <c r="BN19" s="19">
        <f>BN13</f>
        <v>-11.627718673210008</v>
      </c>
      <c r="BP19" s="101">
        <f>245.2+149.1</f>
        <v>394.29999999999995</v>
      </c>
      <c r="BQ19" s="12">
        <f>(BP19/BL19-1)*100</f>
        <v>-20.439870863599687</v>
      </c>
      <c r="BR19" s="19">
        <f>BR13</f>
        <v>14.988546957474336</v>
      </c>
      <c r="BT19" s="101">
        <f>268+132</f>
        <v>400</v>
      </c>
      <c r="BU19" s="12">
        <f>(BT19/BP19-1)*100</f>
        <v>1.4455997971088097</v>
      </c>
      <c r="BV19" s="19">
        <f>BV13</f>
        <v>-1.8014896934003044</v>
      </c>
      <c r="BW19" s="19"/>
      <c r="BX19" s="101"/>
      <c r="BY19" s="1400"/>
      <c r="BZ19" s="1393"/>
    </row>
    <row r="20" spans="1:78">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65"/>
      <c r="BA20" s="4"/>
      <c r="BB20" s="4"/>
      <c r="BC20" s="65"/>
      <c r="BD20" s="65"/>
      <c r="BE20" s="12"/>
      <c r="BF20" s="4"/>
      <c r="BH20" s="4"/>
      <c r="BI20" s="4"/>
      <c r="BJ20" s="4"/>
      <c r="BL20" s="4"/>
      <c r="BM20" s="4"/>
      <c r="BN20" s="4"/>
      <c r="BP20" s="4"/>
      <c r="BQ20" s="4"/>
      <c r="BR20" s="4"/>
      <c r="BT20" s="4"/>
      <c r="BU20" s="4"/>
      <c r="BV20" s="4"/>
      <c r="BW20" s="4"/>
      <c r="BX20" s="65"/>
      <c r="BY20" s="65"/>
      <c r="BZ20" s="65"/>
    </row>
    <row r="21" spans="1:78">
      <c r="A21" s="4"/>
      <c r="B21" s="8"/>
      <c r="C21" s="4"/>
      <c r="D21" s="10"/>
      <c r="E21" s="10"/>
      <c r="F21" s="10"/>
      <c r="G21" s="4"/>
      <c r="H21" s="10"/>
      <c r="I21" s="10"/>
      <c r="J21" s="10"/>
      <c r="K21" s="4"/>
      <c r="L21" s="10"/>
      <c r="M21" s="10"/>
      <c r="N21" s="10"/>
      <c r="O21" s="4"/>
      <c r="P21" s="52" t="s">
        <v>614</v>
      </c>
      <c r="Q21" s="10"/>
      <c r="R21" s="10"/>
      <c r="S21" s="4"/>
      <c r="T21" s="10"/>
      <c r="U21" s="10"/>
      <c r="V21" s="10"/>
      <c r="W21" s="4"/>
      <c r="X21" s="10"/>
      <c r="Y21" s="10"/>
      <c r="Z21" s="10"/>
      <c r="AA21" s="4"/>
      <c r="AC21" s="435"/>
      <c r="AD21" s="435"/>
      <c r="AE21" s="70"/>
      <c r="AF21" s="435"/>
      <c r="AG21" s="435"/>
      <c r="AH21" s="435"/>
      <c r="AI21" s="70"/>
      <c r="AJ21" s="435"/>
      <c r="AK21" s="435"/>
      <c r="AL21" s="435"/>
      <c r="AM21" s="70"/>
      <c r="AN21" s="435"/>
      <c r="AO21" s="435"/>
      <c r="AP21" s="435"/>
      <c r="AQ21" s="70"/>
      <c r="AR21" s="69" t="s">
        <v>614</v>
      </c>
      <c r="AS21" s="435"/>
      <c r="AT21" s="435"/>
      <c r="AU21" s="70"/>
      <c r="AV21" s="435"/>
      <c r="AW21" s="435"/>
      <c r="AX21" s="435"/>
      <c r="AY21" s="70"/>
      <c r="AZ21" s="541"/>
      <c r="BA21" s="435"/>
      <c r="BB21" s="435"/>
      <c r="BC21" s="541"/>
      <c r="BD21" s="541"/>
      <c r="BE21" s="12"/>
      <c r="BF21" s="435"/>
      <c r="BH21" s="541"/>
      <c r="BI21" s="435"/>
      <c r="BJ21" s="435"/>
      <c r="BL21" s="435"/>
      <c r="BM21" s="435"/>
      <c r="BN21" s="435"/>
      <c r="BP21" s="435"/>
      <c r="BQ21" s="435"/>
      <c r="BR21" s="435"/>
      <c r="BT21" s="435"/>
      <c r="BU21" s="435"/>
      <c r="BV21" s="435"/>
      <c r="BW21" s="435"/>
      <c r="BX21" s="541"/>
      <c r="BY21" s="541"/>
      <c r="BZ21" s="541"/>
    </row>
    <row r="22" spans="1:78">
      <c r="A22" s="4" t="str">
        <f>$A$10</f>
        <v>1Q</v>
      </c>
      <c r="B22" s="4" t="str">
        <f>$B$10</f>
        <v>Sept</v>
      </c>
      <c r="C22" s="4"/>
      <c r="D22" s="55"/>
      <c r="E22" s="12"/>
      <c r="F22" s="19">
        <f>F$10</f>
        <v>0</v>
      </c>
      <c r="G22" s="4"/>
      <c r="H22" s="55">
        <v>4.9989999999999997</v>
      </c>
      <c r="I22" s="68" t="s">
        <v>606</v>
      </c>
      <c r="J22" s="19">
        <f>$J10</f>
        <v>11.406228819303244</v>
      </c>
      <c r="K22" s="4"/>
      <c r="L22" s="55">
        <v>16.888000000000002</v>
      </c>
      <c r="M22" s="12">
        <f>(L22/H22-1)*100</f>
        <v>237.82756551310266</v>
      </c>
      <c r="N22" s="19">
        <f>+N16</f>
        <v>14.606639035704783</v>
      </c>
      <c r="O22" s="4"/>
      <c r="P22" s="55">
        <v>32.546999999999997</v>
      </c>
      <c r="Q22" s="12">
        <f>(P22/L22-1)*100</f>
        <v>92.722643297015608</v>
      </c>
      <c r="R22" s="19">
        <f>+R16</f>
        <v>27.928627357301174</v>
      </c>
      <c r="S22" s="4"/>
      <c r="T22" s="55">
        <v>41.536999999999999</v>
      </c>
      <c r="U22" s="12">
        <f>(T22/P22-1)*100</f>
        <v>27.621593388023481</v>
      </c>
      <c r="V22" s="19">
        <f>+V16</f>
        <v>34.018185496210918</v>
      </c>
      <c r="W22" s="4"/>
      <c r="X22" s="55">
        <v>60.469000000000001</v>
      </c>
      <c r="Y22" s="12">
        <f>(X22/T22-1)*100</f>
        <v>45.578640729951616</v>
      </c>
      <c r="Z22" s="19">
        <f>+Z16</f>
        <v>33.164973391388486</v>
      </c>
      <c r="AA22" s="4"/>
      <c r="AB22" s="55">
        <v>70.25</v>
      </c>
      <c r="AC22" s="12">
        <f>(AB22/X22-1)*100</f>
        <v>16.175230283285646</v>
      </c>
      <c r="AD22" s="19">
        <f>+AD16</f>
        <v>26.138956301861562</v>
      </c>
      <c r="AE22" s="4"/>
      <c r="AF22" s="55">
        <v>86.173000000000002</v>
      </c>
      <c r="AG22" s="12">
        <f>(AF22/AB22-1)*100</f>
        <v>22.666192170818512</v>
      </c>
      <c r="AH22" s="19">
        <f>+AH16</f>
        <v>21.986405529953924</v>
      </c>
      <c r="AI22" s="4"/>
      <c r="AJ22" s="55">
        <v>95.438000000000002</v>
      </c>
      <c r="AK22" s="12">
        <f>(AJ22/AF22-1)*100</f>
        <v>10.751627539948716</v>
      </c>
      <c r="AL22" s="19">
        <f>+AL16</f>
        <v>27.822281322425791</v>
      </c>
      <c r="AM22" s="4"/>
      <c r="AN22" s="55">
        <v>129.49100000000001</v>
      </c>
      <c r="AO22" s="12">
        <f>(AN22/AJ22-1)*100</f>
        <v>35.680756092960884</v>
      </c>
      <c r="AP22" s="19">
        <f>+AP16</f>
        <v>11.202746195608814</v>
      </c>
      <c r="AQ22" s="4"/>
      <c r="AR22" s="55">
        <v>94.197999999999993</v>
      </c>
      <c r="AS22" s="12">
        <f>(AR22/AN22-1)*100</f>
        <v>-27.255176035400154</v>
      </c>
      <c r="AT22" s="19">
        <f>+AT16</f>
        <v>1.183741756131651</v>
      </c>
      <c r="AU22" s="4"/>
      <c r="AV22" s="55">
        <v>105.44799999999999</v>
      </c>
      <c r="AW22" s="12">
        <f>(AV22/AR22-1)*100</f>
        <v>11.942928724601366</v>
      </c>
      <c r="AX22" s="19">
        <f>+AX16</f>
        <v>19.730063025568768</v>
      </c>
      <c r="AY22" s="4"/>
      <c r="AZ22" s="100">
        <v>144.244</v>
      </c>
      <c r="BA22" s="12">
        <f>(AZ22/AV22-1)*100</f>
        <v>36.791593961004487</v>
      </c>
      <c r="BB22" s="19">
        <f>+BB16</f>
        <v>15.212758139193049</v>
      </c>
      <c r="BC22" s="100">
        <v>132.99700000000001</v>
      </c>
      <c r="BD22" s="100">
        <v>132.99700000000001</v>
      </c>
      <c r="BE22" s="12">
        <f>(BD22/AZ22-1)*100</f>
        <v>-7.7972047364188395</v>
      </c>
      <c r="BF22" s="19">
        <f>+BF16</f>
        <v>10.566958535129412</v>
      </c>
      <c r="BH22" s="100">
        <v>164.84399999999999</v>
      </c>
      <c r="BI22" s="12">
        <f>(BH22/BD22-1)*100</f>
        <v>23.945652909464108</v>
      </c>
      <c r="BJ22" s="19">
        <f>+BJ16</f>
        <v>-0.91186980669047957</v>
      </c>
      <c r="BL22" s="55">
        <v>173.7</v>
      </c>
      <c r="BM22" s="12">
        <f>(BL22/BH22-1)*100</f>
        <v>5.3723520419305393</v>
      </c>
      <c r="BN22" s="19">
        <f>+BN16</f>
        <v>-9.7292224269178718</v>
      </c>
      <c r="BP22" s="55">
        <v>215.7</v>
      </c>
      <c r="BQ22" s="12">
        <f>(BP22/BL22-1)*100</f>
        <v>24.179620034542324</v>
      </c>
      <c r="BR22" s="19">
        <f>+BR16</f>
        <v>-0.81825182903350058</v>
      </c>
      <c r="BT22" s="55">
        <v>173.5</v>
      </c>
      <c r="BU22" s="12">
        <f>(BT22/BP22-1)*100</f>
        <v>-19.564209550301335</v>
      </c>
      <c r="BV22" s="19">
        <f>+BV16</f>
        <v>0.70853149568086415</v>
      </c>
      <c r="BW22" s="19"/>
      <c r="BX22" s="100">
        <v>292.7</v>
      </c>
      <c r="BY22" s="12">
        <f>(BX22/BT22-1)*100</f>
        <v>68.703170028818434</v>
      </c>
      <c r="BZ22" s="19">
        <f>+BZ16</f>
        <v>24.219352351580593</v>
      </c>
    </row>
    <row r="23" spans="1:78">
      <c r="A23" s="4" t="str">
        <f>$A$11</f>
        <v>2Q</v>
      </c>
      <c r="B23" s="4" t="str">
        <f>$B$11</f>
        <v>Dec</v>
      </c>
      <c r="C23" s="4"/>
      <c r="D23" s="59"/>
      <c r="E23" s="12"/>
      <c r="F23" s="19">
        <f>$F11</f>
        <v>0</v>
      </c>
      <c r="G23" s="4"/>
      <c r="H23" s="59">
        <v>0.76500000000000001</v>
      </c>
      <c r="I23" s="68" t="s">
        <v>606</v>
      </c>
      <c r="J23" s="19">
        <f>$J11</f>
        <v>8.7055963075908682</v>
      </c>
      <c r="K23" s="4"/>
      <c r="L23" s="59">
        <v>21.98</v>
      </c>
      <c r="M23" s="12">
        <f>(L23/H23-1)*100</f>
        <v>2773.2026143790849</v>
      </c>
      <c r="N23" s="19">
        <f>+N17</f>
        <v>11.71503307617947</v>
      </c>
      <c r="O23" s="4"/>
      <c r="P23" s="59">
        <v>34.204999999999998</v>
      </c>
      <c r="Q23" s="12">
        <f>(P23/L23-1)*100</f>
        <v>55.618744313011817</v>
      </c>
      <c r="R23" s="19">
        <f>+R17</f>
        <v>30.868716861081658</v>
      </c>
      <c r="S23" s="4"/>
      <c r="T23" s="59">
        <v>55.176000000000002</v>
      </c>
      <c r="U23" s="12">
        <f>(T23/P23-1)*100</f>
        <v>61.309750036544372</v>
      </c>
      <c r="V23" s="19">
        <f>+V17</f>
        <v>33.381627949942128</v>
      </c>
      <c r="W23" s="4"/>
      <c r="X23" s="59">
        <v>68.489000000000004</v>
      </c>
      <c r="Y23" s="12">
        <f>(X23/T23-1)*100</f>
        <v>24.128244164129331</v>
      </c>
      <c r="Z23" s="19">
        <f>'qtrP&amp;L'!$AS11</f>
        <v>29.220462051016625</v>
      </c>
      <c r="AA23" s="4"/>
      <c r="AB23" s="59">
        <v>87.731999999999999</v>
      </c>
      <c r="AC23" s="12">
        <f>(AB23/X23-1)*100</f>
        <v>28.096482646848386</v>
      </c>
      <c r="AD23" s="19">
        <f>'qtrP&amp;L'!$AW11</f>
        <v>16.556560396721064</v>
      </c>
      <c r="AE23" s="4"/>
      <c r="AF23" s="59">
        <v>82.093999999999994</v>
      </c>
      <c r="AG23" s="12">
        <f>(AF23/AB23-1)*100</f>
        <v>-6.4263894588063692</v>
      </c>
      <c r="AH23" s="19">
        <f>+AH17</f>
        <v>29.977896095514687</v>
      </c>
      <c r="AI23" s="4"/>
      <c r="AJ23" s="59">
        <v>77.355000000000004</v>
      </c>
      <c r="AK23" s="12">
        <f>(AJ23/AF23-1)*100</f>
        <v>-5.7726508636441025</v>
      </c>
      <c r="AL23" s="19">
        <f>+AL17</f>
        <v>21.401856745816495</v>
      </c>
      <c r="AM23" s="4"/>
      <c r="AN23" s="59">
        <v>125.65</v>
      </c>
      <c r="AO23" s="12">
        <f>(AN23/AJ23-1)*100</f>
        <v>62.43293904724969</v>
      </c>
      <c r="AP23" s="19">
        <f>+AP17</f>
        <v>-1.8160216028964782</v>
      </c>
      <c r="AQ23" s="4"/>
      <c r="AR23" s="59">
        <v>120.167</v>
      </c>
      <c r="AS23" s="12">
        <f>(AR23/AN23-1)*100</f>
        <v>-4.3637087146836446</v>
      </c>
      <c r="AT23" s="19">
        <f>+AT17</f>
        <v>10.908445247933907</v>
      </c>
      <c r="AU23" s="4"/>
      <c r="AV23" s="59">
        <v>103.876</v>
      </c>
      <c r="AW23" s="12">
        <f>(AV23/AR23-1)*100</f>
        <v>-13.556966554877793</v>
      </c>
      <c r="AX23" s="19">
        <f>+AX17</f>
        <v>18.727799400002819</v>
      </c>
      <c r="AY23" s="4"/>
      <c r="AZ23" s="101">
        <v>136.73099999999999</v>
      </c>
      <c r="BA23" s="12">
        <f>(AZ23/AV23-1)*100</f>
        <v>31.62905772266933</v>
      </c>
      <c r="BB23" s="19">
        <f>+BB17</f>
        <v>14.566885232158921</v>
      </c>
      <c r="BC23" s="101"/>
      <c r="BD23" s="101">
        <v>152.571</v>
      </c>
      <c r="BE23" s="12">
        <f>(BD23/AZ23-1)*100</f>
        <v>11.584790574193127</v>
      </c>
      <c r="BF23" s="19">
        <f>+BF17</f>
        <v>3.8052695994681862</v>
      </c>
      <c r="BH23" s="101">
        <v>135.12799999999999</v>
      </c>
      <c r="BI23" s="12">
        <f>(BH23/BD23-1)*100</f>
        <v>-11.432710016975712</v>
      </c>
      <c r="BJ23" s="19">
        <f>+BJ17</f>
        <v>-5.5959206636103431</v>
      </c>
      <c r="BL23" s="101">
        <v>160.5</v>
      </c>
      <c r="BM23" s="12">
        <f>(BL23/BH23-1)*100</f>
        <v>18.776271387129249</v>
      </c>
      <c r="BN23" s="19">
        <f>+BN17</f>
        <v>-14.104016274731901</v>
      </c>
      <c r="BP23" s="101">
        <v>147.69999999999999</v>
      </c>
      <c r="BQ23" s="12">
        <f>(BP23/BL23-1)*100</f>
        <v>-7.9750778816199404</v>
      </c>
      <c r="BR23" s="19">
        <f>+BR17</f>
        <v>4.4612104313596745</v>
      </c>
      <c r="BT23" s="101">
        <v>152.5</v>
      </c>
      <c r="BU23" s="12">
        <f>(BT23/BP23-1)*100</f>
        <v>3.2498307379823954</v>
      </c>
      <c r="BV23" s="19">
        <f>+BV17</f>
        <v>3.7604019469304584</v>
      </c>
      <c r="BW23" s="19"/>
      <c r="BX23" s="101">
        <v>234.8</v>
      </c>
      <c r="BY23" s="12">
        <f>(BX23/BT23-1)*100</f>
        <v>53.967213114754095</v>
      </c>
      <c r="BZ23" s="19">
        <f>+BZ17</f>
        <v>35.053340394945899</v>
      </c>
    </row>
    <row r="24" spans="1:78">
      <c r="A24" s="4" t="str">
        <f>$A$12</f>
        <v>3Q</v>
      </c>
      <c r="B24" s="4" t="str">
        <f>$B$12</f>
        <v>Mar</v>
      </c>
      <c r="C24" s="4"/>
      <c r="D24" s="59"/>
      <c r="E24" s="12"/>
      <c r="F24" s="19">
        <f>$F12</f>
        <v>0</v>
      </c>
      <c r="G24" s="4"/>
      <c r="H24" s="59">
        <v>4.5640000000000001</v>
      </c>
      <c r="I24" s="68" t="s">
        <v>606</v>
      </c>
      <c r="J24" s="19">
        <f>$J12</f>
        <v>9.2481229143492669</v>
      </c>
      <c r="K24" s="4"/>
      <c r="L24" s="59">
        <v>26.161999999999999</v>
      </c>
      <c r="M24" s="12">
        <f>(L24/H24-1)*100</f>
        <v>473.22524101665203</v>
      </c>
      <c r="N24" s="19">
        <f>+N18</f>
        <v>28.522678460632854</v>
      </c>
      <c r="O24" s="4"/>
      <c r="P24" s="59">
        <v>29.66</v>
      </c>
      <c r="Q24" s="12">
        <f>(P24/L24-1)*100</f>
        <v>13.370537420686501</v>
      </c>
      <c r="R24" s="19">
        <f>+R18</f>
        <v>36.408142550333913</v>
      </c>
      <c r="S24" s="4"/>
      <c r="T24" s="59">
        <v>39.67</v>
      </c>
      <c r="U24" s="12">
        <f>(T24/P24-1)*100</f>
        <v>33.749157113958205</v>
      </c>
      <c r="V24" s="19">
        <f>+V18</f>
        <v>42.050218697254024</v>
      </c>
      <c r="W24" s="4"/>
      <c r="X24" s="59">
        <v>49.963999999999999</v>
      </c>
      <c r="Y24" s="12">
        <f>(X24/T24-1)*100</f>
        <v>25.949079909251303</v>
      </c>
      <c r="Z24" s="19">
        <f>'qtrP&amp;L'!$AS12</f>
        <v>32.85687363650014</v>
      </c>
      <c r="AA24" s="4"/>
      <c r="AB24" s="59">
        <v>54.841000000000001</v>
      </c>
      <c r="AC24" s="12">
        <f>(AB24/X24-1)*100</f>
        <v>9.7610279401168842</v>
      </c>
      <c r="AD24" s="19">
        <f>'qtrP&amp;L'!$AW12</f>
        <v>15.333738841512812</v>
      </c>
      <c r="AE24" s="4"/>
      <c r="AF24" s="59">
        <v>62.113</v>
      </c>
      <c r="AG24" s="12">
        <f>(AF24/AB24-1)*100</f>
        <v>13.26015207600153</v>
      </c>
      <c r="AH24" s="19">
        <f>+AH18</f>
        <v>30.348037805544092</v>
      </c>
      <c r="AI24" s="4"/>
      <c r="AJ24" s="59">
        <v>63.676000000000002</v>
      </c>
      <c r="AK24" s="12">
        <f>(AJ24/AF24-1)*100</f>
        <v>2.5163814338383217</v>
      </c>
      <c r="AL24" s="19">
        <f>+AL18</f>
        <v>19.065796901662079</v>
      </c>
      <c r="AM24" s="4"/>
      <c r="AN24" s="59">
        <v>67.623000000000005</v>
      </c>
      <c r="AO24" s="12">
        <f>(AN24/AJ24-1)*100</f>
        <v>6.198567749230488</v>
      </c>
      <c r="AP24" s="19">
        <f>+AP18</f>
        <v>-0.6155627368969685</v>
      </c>
      <c r="AQ24" s="4"/>
      <c r="AR24" s="59">
        <v>111.194</v>
      </c>
      <c r="AS24" s="12">
        <f>(AR24/AN24-1)*100</f>
        <v>64.432219806870435</v>
      </c>
      <c r="AT24" s="19">
        <f>+AT18</f>
        <v>12.261821582589928</v>
      </c>
      <c r="AU24" s="4"/>
      <c r="AV24" s="59">
        <v>92.632000000000005</v>
      </c>
      <c r="AW24" s="12">
        <f>(AV24/AR24-1)*100</f>
        <v>-16.693346763314565</v>
      </c>
      <c r="AX24" s="19">
        <f>+AX18</f>
        <v>14.4506415912957</v>
      </c>
      <c r="AY24" s="4"/>
      <c r="AZ24" s="101">
        <v>107.39400000000001</v>
      </c>
      <c r="BA24" s="12">
        <f>(AZ24/AV24-1)*100</f>
        <v>15.936177562829258</v>
      </c>
      <c r="BB24" s="19">
        <f>+BB18</f>
        <v>16.648154108630852</v>
      </c>
      <c r="BC24" s="101"/>
      <c r="BD24" s="101">
        <v>137.143</v>
      </c>
      <c r="BE24" s="12">
        <f>(BD24/AZ24-1)*100</f>
        <v>27.700802651917233</v>
      </c>
      <c r="BF24" s="19">
        <f>+BF18</f>
        <v>7.0873170956039733</v>
      </c>
      <c r="BH24" s="101">
        <v>109.798</v>
      </c>
      <c r="BI24" s="12">
        <f>(BH24/BD24-1)*100</f>
        <v>-19.939041730164863</v>
      </c>
      <c r="BJ24" s="19">
        <f>+BJ18</f>
        <v>-7.4059977534107198</v>
      </c>
      <c r="BL24" s="59">
        <v>165.3</v>
      </c>
      <c r="BM24" s="12">
        <f>(BL24/BH24-1)*100</f>
        <v>50.549190331335737</v>
      </c>
      <c r="BN24" s="19">
        <f>+BN18</f>
        <v>-15.489448230580216</v>
      </c>
      <c r="BP24" s="59">
        <v>174.6</v>
      </c>
      <c r="BQ24" s="12">
        <f>(BP24/BL24-1)*100</f>
        <v>5.6261343012704135</v>
      </c>
      <c r="BR24" s="19">
        <f>+BR18</f>
        <v>11.169697621865925</v>
      </c>
      <c r="BT24" s="59">
        <v>129.19999999999999</v>
      </c>
      <c r="BU24" s="12">
        <f>(BT24/BP24-1)*100</f>
        <v>-26.002290950744566</v>
      </c>
      <c r="BV24" s="19">
        <f>+BV18</f>
        <v>-3.668570322330833</v>
      </c>
      <c r="BW24" s="19"/>
      <c r="BX24" s="101"/>
      <c r="BY24" s="1400"/>
      <c r="BZ24" s="1393"/>
    </row>
    <row r="25" spans="1:78">
      <c r="A25" s="4" t="str">
        <f>$A$13</f>
        <v>4Q</v>
      </c>
      <c r="B25" s="4" t="str">
        <f>$B$13</f>
        <v>June</v>
      </c>
      <c r="C25" s="4"/>
      <c r="D25" s="59">
        <v>7.8659999999999997</v>
      </c>
      <c r="E25" s="12"/>
      <c r="F25" s="19">
        <f>$F13</f>
        <v>0</v>
      </c>
      <c r="G25" s="4"/>
      <c r="H25" s="59">
        <v>14.313000000000001</v>
      </c>
      <c r="I25" s="12">
        <f>(H25/D25-1)*100</f>
        <v>81.960335621662878</v>
      </c>
      <c r="J25" s="19">
        <f>$J13</f>
        <v>8.6846473711026597</v>
      </c>
      <c r="K25" s="4"/>
      <c r="L25" s="59">
        <v>25.818999999999999</v>
      </c>
      <c r="M25" s="12">
        <f>(L25/H25-1)*100</f>
        <v>80.388458045133774</v>
      </c>
      <c r="N25" s="19">
        <f>+N19</f>
        <v>29.583982337018178</v>
      </c>
      <c r="O25" s="4"/>
      <c r="P25" s="59">
        <v>26.637</v>
      </c>
      <c r="Q25" s="12">
        <f>(P25/L25-1)*100</f>
        <v>3.1682094581509723</v>
      </c>
      <c r="R25" s="19">
        <f>+R19</f>
        <v>35.089275294666812</v>
      </c>
      <c r="S25" s="4"/>
      <c r="T25" s="59">
        <v>44.518000000000001</v>
      </c>
      <c r="U25" s="12">
        <f>(T25/P25-1)*100</f>
        <v>67.128430378796409</v>
      </c>
      <c r="V25" s="19">
        <f>+V19</f>
        <v>46.05686000103664</v>
      </c>
      <c r="W25" s="4"/>
      <c r="X25" s="59">
        <v>64.984999999999999</v>
      </c>
      <c r="Y25" s="12">
        <f>(X25/T25-1)*100</f>
        <v>45.974661934498393</v>
      </c>
      <c r="Z25" s="19">
        <f>'qtrP&amp;L'!$AS13</f>
        <v>23.81079122861496</v>
      </c>
      <c r="AA25" s="4"/>
      <c r="AB25" s="59">
        <v>79.819000000000003</v>
      </c>
      <c r="AC25" s="12">
        <f>(AB25/X25-1)*100</f>
        <v>22.826806186042937</v>
      </c>
      <c r="AD25" s="19">
        <f>'qtrP&amp;L'!$AW13</f>
        <v>19.804375865857725</v>
      </c>
      <c r="AE25" s="4"/>
      <c r="AF25" s="59">
        <v>109.309</v>
      </c>
      <c r="AG25" s="12">
        <f>(AF25/AB25-1)*100</f>
        <v>36.946090529823714</v>
      </c>
      <c r="AH25" s="19">
        <f>+AH19</f>
        <v>30.016767250230792</v>
      </c>
      <c r="AI25" s="4"/>
      <c r="AJ25" s="59">
        <v>134.726</v>
      </c>
      <c r="AK25" s="12">
        <f>(AJ25/AF25-1)*100</f>
        <v>23.252431181330003</v>
      </c>
      <c r="AL25" s="19">
        <f>+AL19</f>
        <v>19.838252861013682</v>
      </c>
      <c r="AM25" s="4"/>
      <c r="AN25" s="59">
        <v>103.029</v>
      </c>
      <c r="AO25" s="12">
        <f>(AN25/AJ25-1)*100</f>
        <v>-23.527010376616243</v>
      </c>
      <c r="AP25" s="19">
        <f>+AP19</f>
        <v>-0.4806142034548877</v>
      </c>
      <c r="AQ25" s="4"/>
      <c r="AR25" s="59">
        <v>105.569</v>
      </c>
      <c r="AS25" s="12">
        <f>(AR25/AN25-1)*100</f>
        <v>2.4653252967611117</v>
      </c>
      <c r="AT25" s="19">
        <f>+AT19</f>
        <v>22.215664794585365</v>
      </c>
      <c r="AU25" s="4"/>
      <c r="AV25" s="59">
        <v>118.61199999999999</v>
      </c>
      <c r="AW25" s="12">
        <f>(AV25/AR25-1)*100</f>
        <v>12.354952684973796</v>
      </c>
      <c r="AX25" s="19">
        <f>+AX19</f>
        <v>8.5373872333710299</v>
      </c>
      <c r="AY25" s="4"/>
      <c r="AZ25" s="101">
        <v>155.387</v>
      </c>
      <c r="BA25" s="12">
        <f>(AZ25/AV25-1)*100</f>
        <v>31.004451488888151</v>
      </c>
      <c r="BB25" s="19">
        <f>+BB19</f>
        <v>11.972375021203385</v>
      </c>
      <c r="BC25" s="101"/>
      <c r="BD25" s="101">
        <v>178.857</v>
      </c>
      <c r="BE25" s="12">
        <f>(BD25/AZ25-1)*100</f>
        <v>15.104223648052928</v>
      </c>
      <c r="BF25" s="19">
        <f>+BF19</f>
        <v>5.8429298704716359</v>
      </c>
      <c r="BH25" s="101">
        <v>153.87</v>
      </c>
      <c r="BI25" s="12">
        <f>(BH25/BD25-1)*100</f>
        <v>-13.970378570589915</v>
      </c>
      <c r="BJ25" s="19">
        <f>+BJ19</f>
        <v>-7.0722866340391155</v>
      </c>
      <c r="BL25" s="59">
        <v>222.8</v>
      </c>
      <c r="BM25" s="12">
        <f>(BL25/BH25-1)*100</f>
        <v>44.797556378761307</v>
      </c>
      <c r="BN25" s="19">
        <f>+BN19</f>
        <v>-11.627718673210008</v>
      </c>
      <c r="BP25" s="59">
        <v>186.7</v>
      </c>
      <c r="BQ25" s="12">
        <f>(BP25/BL25-1)*100</f>
        <v>-16.202872531418322</v>
      </c>
      <c r="BR25" s="19">
        <f>+BR19</f>
        <v>14.988546957474336</v>
      </c>
      <c r="BT25" s="59">
        <v>194.6</v>
      </c>
      <c r="BU25" s="12">
        <f>(BT25/BP25-1)*100</f>
        <v>4.2313872522763862</v>
      </c>
      <c r="BV25" s="19">
        <f>+BV19</f>
        <v>-1.8014896934003044</v>
      </c>
      <c r="BW25" s="19"/>
      <c r="BX25" s="101"/>
      <c r="BY25" s="1400"/>
      <c r="BZ25" s="1393"/>
    </row>
    <row r="26" spans="1:78">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65"/>
      <c r="BA26" s="4"/>
      <c r="BB26" s="4"/>
      <c r="BC26" s="65"/>
      <c r="BD26" s="65"/>
      <c r="BE26" s="12"/>
      <c r="BF26" s="4"/>
      <c r="BH26" s="65"/>
      <c r="BI26" s="4"/>
      <c r="BJ26" s="4"/>
      <c r="BL26" s="4"/>
      <c r="BM26" s="4"/>
      <c r="BN26" s="4"/>
      <c r="BP26" s="4"/>
      <c r="BQ26" s="4"/>
      <c r="BR26" s="4"/>
      <c r="BT26" s="4"/>
      <c r="BU26" s="4"/>
      <c r="BV26" s="4"/>
      <c r="BW26" s="4"/>
      <c r="BX26" s="65"/>
      <c r="BY26" s="65"/>
      <c r="BZ26" s="65"/>
    </row>
    <row r="27" spans="1:78">
      <c r="A27" s="4"/>
      <c r="B27" s="8"/>
      <c r="C27" s="4"/>
      <c r="D27" s="51"/>
      <c r="E27" s="51"/>
      <c r="F27" s="51"/>
      <c r="G27" s="4"/>
      <c r="H27" s="51"/>
      <c r="I27" s="51"/>
      <c r="J27" s="51"/>
      <c r="K27" s="4"/>
      <c r="L27" s="51"/>
      <c r="M27" s="51"/>
      <c r="N27" s="51"/>
      <c r="O27" s="4"/>
      <c r="P27" s="52" t="s">
        <v>182</v>
      </c>
      <c r="Q27" s="51"/>
      <c r="R27" s="51"/>
      <c r="S27" s="4"/>
      <c r="T27" s="51"/>
      <c r="U27" s="51"/>
      <c r="V27" s="51"/>
      <c r="W27" s="4"/>
      <c r="X27" s="51"/>
      <c r="Y27" s="51"/>
      <c r="Z27" s="51"/>
      <c r="AA27" s="4"/>
      <c r="AC27" s="436"/>
      <c r="AD27" s="436"/>
      <c r="AE27" s="70"/>
      <c r="AF27" s="436"/>
      <c r="AG27" s="436"/>
      <c r="AH27" s="436"/>
      <c r="AI27" s="70"/>
      <c r="AJ27" s="436"/>
      <c r="AK27" s="436"/>
      <c r="AL27" s="436"/>
      <c r="AM27" s="70"/>
      <c r="AN27" s="436"/>
      <c r="AO27" s="436"/>
      <c r="AP27" s="436"/>
      <c r="AQ27" s="70"/>
      <c r="AR27" s="69" t="s">
        <v>182</v>
      </c>
      <c r="AS27" s="436"/>
      <c r="AT27" s="436"/>
      <c r="AU27" s="70"/>
      <c r="AV27" s="436"/>
      <c r="AW27" s="436"/>
      <c r="AX27" s="436"/>
      <c r="AY27" s="70"/>
      <c r="AZ27" s="650"/>
      <c r="BA27" s="436"/>
      <c r="BB27" s="436"/>
      <c r="BC27" s="650"/>
      <c r="BD27" s="650"/>
      <c r="BE27" s="12"/>
      <c r="BF27" s="436"/>
      <c r="BH27" s="650"/>
      <c r="BI27" s="436"/>
      <c r="BJ27" s="436"/>
      <c r="BL27" s="1574"/>
      <c r="BM27" s="436"/>
      <c r="BN27" s="436"/>
      <c r="BP27" s="436"/>
      <c r="BQ27" s="436"/>
      <c r="BR27" s="436"/>
      <c r="BT27" s="436"/>
      <c r="BU27" s="436"/>
      <c r="BV27" s="436"/>
      <c r="BW27" s="436"/>
      <c r="BX27" s="650"/>
      <c r="BY27" s="650"/>
      <c r="BZ27" s="650"/>
    </row>
    <row r="28" spans="1:78">
      <c r="A28" s="4" t="str">
        <f>$A$10</f>
        <v>1Q</v>
      </c>
      <c r="B28" s="4" t="str">
        <f>$B$10</f>
        <v>Sept</v>
      </c>
      <c r="C28" s="4"/>
      <c r="D28" s="55"/>
      <c r="E28" s="12"/>
      <c r="F28" s="19">
        <f>F$10</f>
        <v>0</v>
      </c>
      <c r="G28" s="4"/>
      <c r="H28" s="55">
        <f>82.948</f>
        <v>82.947999999999993</v>
      </c>
      <c r="I28" s="68" t="s">
        <v>606</v>
      </c>
      <c r="J28" s="19">
        <f>$J10</f>
        <v>11.406228819303244</v>
      </c>
      <c r="K28" s="4"/>
      <c r="L28" s="55">
        <f>85.411</f>
        <v>85.411000000000001</v>
      </c>
      <c r="M28" s="12">
        <f>(L28/H28-1)*100</f>
        <v>2.9693301827651064</v>
      </c>
      <c r="N28" s="19">
        <f>+N22</f>
        <v>14.606639035704783</v>
      </c>
      <c r="O28" s="4"/>
      <c r="P28" s="55">
        <f>96.751</f>
        <v>96.751000000000005</v>
      </c>
      <c r="Q28" s="12">
        <f>(P28/L28-1)*100</f>
        <v>13.276978375150739</v>
      </c>
      <c r="R28" s="19">
        <f>+R22</f>
        <v>27.928627357301174</v>
      </c>
      <c r="S28" s="4"/>
      <c r="T28" s="55">
        <f>108.24</f>
        <v>108.24</v>
      </c>
      <c r="U28" s="12">
        <f>(T28/P28-1)*100</f>
        <v>11.874812663434998</v>
      </c>
      <c r="V28" s="19">
        <f>+V22</f>
        <v>34.018185496210918</v>
      </c>
      <c r="W28" s="4"/>
      <c r="X28" s="55">
        <f>161.272</f>
        <v>161.27199999999999</v>
      </c>
      <c r="Y28" s="12">
        <f>(X28/T28-1)*100</f>
        <v>48.994826311899487</v>
      </c>
      <c r="Z28" s="19">
        <f>+Z22</f>
        <v>33.164973391388486</v>
      </c>
      <c r="AA28" s="4"/>
      <c r="AB28" s="55">
        <f>210.274</f>
        <v>210.274</v>
      </c>
      <c r="AC28" s="12">
        <f>(AB28/X28-1)*100</f>
        <v>30.384691700977239</v>
      </c>
      <c r="AD28" s="19">
        <f>+AD22</f>
        <v>26.138956301861562</v>
      </c>
      <c r="AE28" s="4"/>
      <c r="AF28" s="55">
        <v>301.15499999999997</v>
      </c>
      <c r="AG28" s="12">
        <f>(AF28/AB28-1)*100</f>
        <v>43.220274498987024</v>
      </c>
      <c r="AH28" s="19">
        <f>+AH22</f>
        <v>21.986405529953924</v>
      </c>
      <c r="AI28" s="4"/>
      <c r="AJ28" s="55">
        <v>306.40100000000001</v>
      </c>
      <c r="AK28" s="12">
        <f>(AJ28/AF28-1)*100</f>
        <v>1.7419601202038892</v>
      </c>
      <c r="AL28" s="19">
        <f>+AL22</f>
        <v>27.822281322425791</v>
      </c>
      <c r="AM28" s="4"/>
      <c r="AN28" s="55">
        <v>331.11399999999998</v>
      </c>
      <c r="AO28" s="12">
        <f>(AN28/AJ28-1)*100</f>
        <v>8.065574198517611</v>
      </c>
      <c r="AP28" s="19">
        <f>+AP22</f>
        <v>11.202746195608814</v>
      </c>
      <c r="AQ28" s="4"/>
      <c r="AR28" s="55">
        <v>437.25900000000001</v>
      </c>
      <c r="AS28" s="12">
        <f>(AR28/AN28-1)*100</f>
        <v>32.056935073720851</v>
      </c>
      <c r="AT28" s="19">
        <f>+AT22</f>
        <v>1.183741756131651</v>
      </c>
      <c r="AU28" s="4"/>
      <c r="AV28" s="55">
        <v>463.45299999999997</v>
      </c>
      <c r="AW28" s="12">
        <f>(AV28/AR28-1)*100</f>
        <v>5.9904999096645151</v>
      </c>
      <c r="AX28" s="19">
        <f>+AX22</f>
        <v>19.730063025568768</v>
      </c>
      <c r="AY28" s="4"/>
      <c r="AZ28" s="100">
        <v>486.32900000000001</v>
      </c>
      <c r="BA28" s="12">
        <f>(AZ28/AV28-1)*100</f>
        <v>4.9359913518738807</v>
      </c>
      <c r="BB28" s="19">
        <f>+BB22</f>
        <v>15.212758139193049</v>
      </c>
      <c r="BC28" s="100">
        <v>575.62699999999995</v>
      </c>
      <c r="BD28" s="100">
        <v>575.62699999999995</v>
      </c>
      <c r="BE28" s="12">
        <f>(BD28/AZ28-1)*100</f>
        <v>18.361644072222695</v>
      </c>
      <c r="BF28" s="19">
        <f>+BF22</f>
        <v>10.566958535129412</v>
      </c>
      <c r="BH28" s="100">
        <v>542.08399999999995</v>
      </c>
      <c r="BI28" s="12">
        <f>(BH28/BD28-1)*100</f>
        <v>-5.8272110238053454</v>
      </c>
      <c r="BJ28" s="19">
        <f>+BJ22</f>
        <v>-0.91186980669047957</v>
      </c>
      <c r="BL28" s="55">
        <v>473.8</v>
      </c>
      <c r="BM28" s="12">
        <f>(BL28/BH28-1)*100</f>
        <v>-12.596571749027818</v>
      </c>
      <c r="BN28" s="19">
        <f>+BN22</f>
        <v>-9.7292224269178718</v>
      </c>
      <c r="BP28" s="55">
        <v>520.29999999999995</v>
      </c>
      <c r="BQ28" s="12">
        <f>(BP28/BL28-1)*100</f>
        <v>9.8142676234697959</v>
      </c>
      <c r="BR28" s="19">
        <f>+BR22</f>
        <v>-0.81825182903350058</v>
      </c>
      <c r="BT28" s="55">
        <v>523.70000000000005</v>
      </c>
      <c r="BU28" s="12">
        <f>(BT28/BP28-1)*100</f>
        <v>0.65346915241208947</v>
      </c>
      <c r="BV28" s="19">
        <f>+BV22</f>
        <v>0.70853149568086415</v>
      </c>
      <c r="BW28" s="19"/>
      <c r="BX28" s="100">
        <v>641.6</v>
      </c>
      <c r="BY28" s="12">
        <f>(BX28/BT28-1)*100</f>
        <v>22.512889058621344</v>
      </c>
      <c r="BZ28" s="19">
        <f>+BZ22</f>
        <v>24.219352351580593</v>
      </c>
    </row>
    <row r="29" spans="1:78">
      <c r="A29" s="4" t="str">
        <f>$A$11</f>
        <v>2Q</v>
      </c>
      <c r="B29" s="4" t="str">
        <f>$B$11</f>
        <v>Dec</v>
      </c>
      <c r="C29" s="4"/>
      <c r="D29" s="59"/>
      <c r="E29" s="12"/>
      <c r="F29" s="19">
        <f>$F11</f>
        <v>0</v>
      </c>
      <c r="G29" s="4"/>
      <c r="H29" s="59">
        <v>90.974000000000004</v>
      </c>
      <c r="I29" s="68" t="s">
        <v>606</v>
      </c>
      <c r="J29" s="19">
        <f>$J11</f>
        <v>8.7055963075908682</v>
      </c>
      <c r="K29" s="4"/>
      <c r="L29" s="59">
        <f>97.657</f>
        <v>97.656999999999996</v>
      </c>
      <c r="M29" s="12">
        <f>(L29/H29-1)*100</f>
        <v>7.3460549167894129</v>
      </c>
      <c r="N29" s="19">
        <f>+N23</f>
        <v>11.71503307617947</v>
      </c>
      <c r="O29" s="4"/>
      <c r="P29" s="59">
        <f>128.74</f>
        <v>128.74</v>
      </c>
      <c r="Q29" s="12">
        <f>(P29/L29-1)*100</f>
        <v>31.828747555218783</v>
      </c>
      <c r="R29" s="19">
        <f>+R23</f>
        <v>30.868716861081658</v>
      </c>
      <c r="S29" s="4"/>
      <c r="T29" s="59">
        <f>143.061</f>
        <v>143.06100000000001</v>
      </c>
      <c r="U29" s="12">
        <f>(T29/P29-1)*100</f>
        <v>11.123970793848059</v>
      </c>
      <c r="V29" s="19">
        <f>+V23</f>
        <v>33.381627949942128</v>
      </c>
      <c r="W29" s="4"/>
      <c r="X29" s="59">
        <f>218.883</f>
        <v>218.88300000000001</v>
      </c>
      <c r="Y29" s="12">
        <f>(X29/T29-1)*100</f>
        <v>52.999769329167279</v>
      </c>
      <c r="Z29" s="19">
        <f>'qtrP&amp;L'!$AS11</f>
        <v>29.220462051016625</v>
      </c>
      <c r="AA29" s="4"/>
      <c r="AB29" s="59">
        <f>246.514</f>
        <v>246.51400000000001</v>
      </c>
      <c r="AC29" s="12">
        <f>(AB29/X29-1)*100</f>
        <v>12.623639113133489</v>
      </c>
      <c r="AD29" s="19">
        <f>'qtrP&amp;L'!$AW11</f>
        <v>16.556560396721064</v>
      </c>
      <c r="AE29" s="4"/>
      <c r="AF29" s="59">
        <v>328.01900000000001</v>
      </c>
      <c r="AG29" s="12">
        <f>(AF29/AB29-1)*100</f>
        <v>33.063030902910185</v>
      </c>
      <c r="AH29" s="19">
        <f>+AH23</f>
        <v>29.977896095514687</v>
      </c>
      <c r="AI29" s="4"/>
      <c r="AJ29" s="59">
        <v>335.16500000000002</v>
      </c>
      <c r="AK29" s="12">
        <f>(AJ29/AF29-1)*100</f>
        <v>2.1785323411143809</v>
      </c>
      <c r="AL29" s="19">
        <f>+AL23</f>
        <v>21.401856745816495</v>
      </c>
      <c r="AM29" s="4"/>
      <c r="AN29" s="59">
        <v>391.26</v>
      </c>
      <c r="AO29" s="12">
        <f>(AN29/AJ29-1)*100</f>
        <v>16.736532752524869</v>
      </c>
      <c r="AP29" s="19">
        <f>+AP23</f>
        <v>-1.8160216028964782</v>
      </c>
      <c r="AQ29" s="4"/>
      <c r="AR29" s="59">
        <v>457.55700000000002</v>
      </c>
      <c r="AS29" s="12">
        <f>(AR29/AN29-1)*100</f>
        <v>16.944487041864754</v>
      </c>
      <c r="AT29" s="19">
        <f>+AT23</f>
        <v>10.908445247933907</v>
      </c>
      <c r="AU29" s="4"/>
      <c r="AV29" s="59">
        <v>461.48899999999998</v>
      </c>
      <c r="AW29" s="12">
        <f>(AV29/AR29-1)*100</f>
        <v>0.8593464857930222</v>
      </c>
      <c r="AX29" s="19">
        <f>+AX23</f>
        <v>18.727799400002819</v>
      </c>
      <c r="AY29" s="4"/>
      <c r="AZ29" s="101">
        <v>673.46100000000001</v>
      </c>
      <c r="BA29" s="12">
        <f>(AZ29/AV29-1)*100</f>
        <v>45.932189066261621</v>
      </c>
      <c r="BB29" s="19">
        <f>+BB23</f>
        <v>14.566885232158921</v>
      </c>
      <c r="BC29" s="101"/>
      <c r="BD29" s="101">
        <v>594.14</v>
      </c>
      <c r="BE29" s="12">
        <f>(BD29/AZ29-1)*100</f>
        <v>-11.778113357714847</v>
      </c>
      <c r="BF29" s="19">
        <f>+BF23</f>
        <v>3.8052695994681862</v>
      </c>
      <c r="BH29" s="101">
        <v>567.28200000000004</v>
      </c>
      <c r="BI29" s="12">
        <f>(BH29/BD29-1)*100</f>
        <v>-4.5204833877537158</v>
      </c>
      <c r="BJ29" s="19">
        <f>+BJ23</f>
        <v>-5.5959206636103431</v>
      </c>
      <c r="BL29" s="101">
        <v>534.9</v>
      </c>
      <c r="BM29" s="12">
        <f>(BL29/BH29-1)*100</f>
        <v>-5.7082720763218404</v>
      </c>
      <c r="BN29" s="19">
        <f>+BN23</f>
        <v>-14.104016274731901</v>
      </c>
      <c r="BP29" s="101">
        <v>541.29999999999995</v>
      </c>
      <c r="BQ29" s="12">
        <f>(BP29/BL29-1)*100</f>
        <v>1.1964853243596973</v>
      </c>
      <c r="BR29" s="19">
        <f>+BR23</f>
        <v>4.4612104313596745</v>
      </c>
      <c r="BT29" s="101">
        <v>562.70000000000005</v>
      </c>
      <c r="BU29" s="12">
        <f>(BT29/BP29-1)*100</f>
        <v>3.9534454092000848</v>
      </c>
      <c r="BV29" s="19">
        <f>+BV23</f>
        <v>3.7604019469304584</v>
      </c>
      <c r="BW29" s="19"/>
      <c r="BX29" s="101">
        <v>696</v>
      </c>
      <c r="BY29" s="12">
        <f>(BX29/BT29-1)*100</f>
        <v>23.689354896036964</v>
      </c>
      <c r="BZ29" s="19">
        <f>+BZ23</f>
        <v>35.053340394945899</v>
      </c>
    </row>
    <row r="30" spans="1:78">
      <c r="A30" s="4" t="str">
        <f>$A$12</f>
        <v>3Q</v>
      </c>
      <c r="B30" s="4" t="str">
        <f>$B$12</f>
        <v>Mar</v>
      </c>
      <c r="C30" s="4"/>
      <c r="D30" s="59"/>
      <c r="E30" s="12"/>
      <c r="F30" s="19">
        <f>$F12</f>
        <v>0</v>
      </c>
      <c r="G30" s="4"/>
      <c r="H30" s="59">
        <f>78.33</f>
        <v>78.33</v>
      </c>
      <c r="I30" s="68" t="s">
        <v>606</v>
      </c>
      <c r="J30" s="19">
        <f>$J12</f>
        <v>9.2481229143492669</v>
      </c>
      <c r="K30" s="4"/>
      <c r="L30" s="59">
        <f>86.184</f>
        <v>86.183999999999997</v>
      </c>
      <c r="M30" s="12">
        <f>(L30/H30-1)*100</f>
        <v>10.026809651474533</v>
      </c>
      <c r="N30" s="19">
        <f>+N24</f>
        <v>28.522678460632854</v>
      </c>
      <c r="O30" s="4"/>
      <c r="P30" s="59">
        <f>112.345</f>
        <v>112.345</v>
      </c>
      <c r="Q30" s="12">
        <f>(P30/L30-1)*100</f>
        <v>30.354822240787161</v>
      </c>
      <c r="R30" s="19">
        <f>+R24</f>
        <v>36.408142550333913</v>
      </c>
      <c r="S30" s="4"/>
      <c r="T30" s="59">
        <f>141.129</f>
        <v>141.12899999999999</v>
      </c>
      <c r="U30" s="12">
        <f>(T30/P30-1)*100</f>
        <v>25.621077929591873</v>
      </c>
      <c r="V30" s="19">
        <f>+V24</f>
        <v>42.050218697254024</v>
      </c>
      <c r="W30" s="4"/>
      <c r="X30" s="59">
        <f>169.759</f>
        <v>169.75899999999999</v>
      </c>
      <c r="Y30" s="12">
        <f>(X30/T30-1)*100</f>
        <v>20.286404636892485</v>
      </c>
      <c r="Z30" s="19">
        <f>'qtrP&amp;L'!$AS12</f>
        <v>32.85687363650014</v>
      </c>
      <c r="AA30" s="4"/>
      <c r="AB30" s="59">
        <f>239.3</f>
        <v>239.3</v>
      </c>
      <c r="AC30" s="12">
        <f>(AB30/X30-1)*100</f>
        <v>40.964543853345049</v>
      </c>
      <c r="AD30" s="19">
        <f>'qtrP&amp;L'!$AW12</f>
        <v>15.333738841512812</v>
      </c>
      <c r="AE30" s="4"/>
      <c r="AF30" s="59">
        <v>275.916</v>
      </c>
      <c r="AG30" s="12">
        <f>(AF30/AB30-1)*100</f>
        <v>15.301295445048058</v>
      </c>
      <c r="AH30" s="19">
        <f>+AH24</f>
        <v>30.348037805544092</v>
      </c>
      <c r="AI30" s="4"/>
      <c r="AJ30" s="59">
        <v>289.55399999999997</v>
      </c>
      <c r="AK30" s="12">
        <f>(AJ30/AF30-1)*100</f>
        <v>4.942808680902866</v>
      </c>
      <c r="AL30" s="19">
        <f>+AL24</f>
        <v>19.065796901662079</v>
      </c>
      <c r="AM30" s="4"/>
      <c r="AN30" s="59">
        <v>348.16</v>
      </c>
      <c r="AO30" s="12">
        <f>(AN30/AJ30-1)*100</f>
        <v>20.240093384999014</v>
      </c>
      <c r="AP30" s="19">
        <f>+AP24</f>
        <v>-0.6155627368969685</v>
      </c>
      <c r="AQ30" s="4"/>
      <c r="AR30" s="59">
        <v>439.30399999999997</v>
      </c>
      <c r="AS30" s="12">
        <f>(AR30/AN30-1)*100</f>
        <v>26.178768382352935</v>
      </c>
      <c r="AT30" s="19">
        <f>+AT24</f>
        <v>12.261821582589928</v>
      </c>
      <c r="AU30" s="4"/>
      <c r="AV30" s="59">
        <v>456.60599999999999</v>
      </c>
      <c r="AW30" s="12">
        <f>(AV30/AR30-1)*100</f>
        <v>3.9385027224883018</v>
      </c>
      <c r="AX30" s="19">
        <f>+AX24</f>
        <v>14.4506415912957</v>
      </c>
      <c r="AY30" s="4"/>
      <c r="AZ30" s="101">
        <v>514.99199999999996</v>
      </c>
      <c r="BA30" s="12">
        <f>(AZ30/AV30-1)*100</f>
        <v>12.786954179314325</v>
      </c>
      <c r="BB30" s="19">
        <f>+BB24</f>
        <v>16.648154108630852</v>
      </c>
      <c r="BC30" s="101"/>
      <c r="BD30" s="101">
        <v>455.24799999999999</v>
      </c>
      <c r="BE30" s="12">
        <f>(BD30/AZ30-1)*100</f>
        <v>-11.600956908068472</v>
      </c>
      <c r="BF30" s="19">
        <f>+BF24</f>
        <v>7.0873170956039733</v>
      </c>
      <c r="BH30" s="59">
        <v>467.66300000000001</v>
      </c>
      <c r="BI30" s="12">
        <f>(BH30/BD30-1)*100</f>
        <v>2.7270850173971128</v>
      </c>
      <c r="BJ30" s="19">
        <f>+BJ24</f>
        <v>-7.4059977534107198</v>
      </c>
      <c r="BL30" s="59">
        <v>518.20000000000005</v>
      </c>
      <c r="BM30" s="12">
        <f>(BL30/BH30-1)*100</f>
        <v>10.806285722838883</v>
      </c>
      <c r="BN30" s="19">
        <f>+BN24</f>
        <v>-15.489448230580216</v>
      </c>
      <c r="BP30" s="59">
        <v>541.9</v>
      </c>
      <c r="BQ30" s="12">
        <f>(BP30/BL30-1)*100</f>
        <v>4.5735237360092551</v>
      </c>
      <c r="BR30" s="19">
        <f>+BR24</f>
        <v>11.169697621865925</v>
      </c>
      <c r="BT30" s="59">
        <v>507.1</v>
      </c>
      <c r="BU30" s="12">
        <f>(BT30/BP30-1)*100</f>
        <v>-6.4218490496401497</v>
      </c>
      <c r="BV30" s="19">
        <f>+BV24</f>
        <v>-3.668570322330833</v>
      </c>
      <c r="BW30" s="19"/>
      <c r="BX30" s="101"/>
      <c r="BY30" s="1400"/>
      <c r="BZ30" s="1393"/>
    </row>
    <row r="31" spans="1:78">
      <c r="A31" s="4" t="str">
        <f>$A$13</f>
        <v>4Q</v>
      </c>
      <c r="B31" s="4" t="str">
        <f>$B$13</f>
        <v>June</v>
      </c>
      <c r="C31" s="4"/>
      <c r="D31" s="59">
        <v>71.692999999999998</v>
      </c>
      <c r="E31" s="12"/>
      <c r="F31" s="19">
        <f>$F13</f>
        <v>0</v>
      </c>
      <c r="G31" s="4"/>
      <c r="H31" s="59">
        <f>82.39</f>
        <v>82.39</v>
      </c>
      <c r="I31" s="12">
        <f>(H31/D31-1)*100</f>
        <v>14.920564071806176</v>
      </c>
      <c r="J31" s="19">
        <f>$J13</f>
        <v>8.6846473711026597</v>
      </c>
      <c r="K31" s="4"/>
      <c r="L31" s="59">
        <f>99.365</f>
        <v>99.364999999999995</v>
      </c>
      <c r="M31" s="12">
        <f>(L31/H31-1)*100</f>
        <v>20.603228547153773</v>
      </c>
      <c r="N31" s="19">
        <f>+N25</f>
        <v>29.583982337018178</v>
      </c>
      <c r="O31" s="4"/>
      <c r="P31" s="59">
        <f>108.273</f>
        <v>108.273</v>
      </c>
      <c r="Q31" s="12">
        <f>(P31/L31-1)*100</f>
        <v>8.9649272882805775</v>
      </c>
      <c r="R31" s="19">
        <f>+R25</f>
        <v>35.089275294666812</v>
      </c>
      <c r="S31" s="4"/>
      <c r="T31" s="59">
        <f>116.368</f>
        <v>116.36799999999999</v>
      </c>
      <c r="U31" s="12">
        <f>(T31/P31-1)*100</f>
        <v>7.4764715118265768</v>
      </c>
      <c r="V31" s="19">
        <f>+V25</f>
        <v>46.05686000103664</v>
      </c>
      <c r="W31" s="4"/>
      <c r="X31" s="59">
        <f>188.234</f>
        <v>188.23400000000001</v>
      </c>
      <c r="Y31" s="12">
        <f>(X31/T31-1)*100</f>
        <v>61.757527842705919</v>
      </c>
      <c r="Z31" s="19">
        <f>'qtrP&amp;L'!$AS13</f>
        <v>23.81079122861496</v>
      </c>
      <c r="AA31" s="4"/>
      <c r="AB31" s="59">
        <v>261.83499999999998</v>
      </c>
      <c r="AC31" s="12">
        <f>(AB31/X31-1)*100</f>
        <v>39.100800068000453</v>
      </c>
      <c r="AD31" s="19">
        <f>'qtrP&amp;L'!$AW13</f>
        <v>19.804375865857725</v>
      </c>
      <c r="AE31" s="4"/>
      <c r="AF31" s="59">
        <v>298.452</v>
      </c>
      <c r="AG31" s="12">
        <f>(AF31/AB31-1)*100</f>
        <v>13.984761395535372</v>
      </c>
      <c r="AH31" s="19">
        <f>+AH25</f>
        <v>30.016767250230792</v>
      </c>
      <c r="AI31" s="4"/>
      <c r="AJ31" s="59">
        <v>315.93</v>
      </c>
      <c r="AK31" s="12">
        <f>(AJ31/AF31-1)*100</f>
        <v>5.8562180853202639</v>
      </c>
      <c r="AL31" s="19">
        <f>+AL25</f>
        <v>19.838252861013682</v>
      </c>
      <c r="AM31" s="4"/>
      <c r="AN31" s="59">
        <v>348.61900000000003</v>
      </c>
      <c r="AO31" s="12">
        <f>(AN31/AJ31-1)*100</f>
        <v>10.346912290697308</v>
      </c>
      <c r="AP31" s="19">
        <f>+AP25</f>
        <v>-0.4806142034548877</v>
      </c>
      <c r="AQ31" s="4"/>
      <c r="AR31" s="59">
        <v>422.72500000000002</v>
      </c>
      <c r="AS31" s="12">
        <f>(AR31/AN31-1)*100</f>
        <v>21.257016972683651</v>
      </c>
      <c r="AT31" s="19">
        <f>+AT25</f>
        <v>22.215664794585365</v>
      </c>
      <c r="AU31" s="4"/>
      <c r="AV31" s="59">
        <v>473.61</v>
      </c>
      <c r="AW31" s="12">
        <f>(AV31/AR31-1)*100</f>
        <v>12.037376545035183</v>
      </c>
      <c r="AX31" s="19">
        <f>+AX25</f>
        <v>8.5373872333710299</v>
      </c>
      <c r="AY31" s="4"/>
      <c r="AZ31" s="59">
        <v>540.39800000000002</v>
      </c>
      <c r="BA31" s="12">
        <f>(AZ31/AV31-1)*100</f>
        <v>14.101898186271411</v>
      </c>
      <c r="BB31" s="19">
        <f>+BB25</f>
        <v>11.972375021203385</v>
      </c>
      <c r="BC31" s="59"/>
      <c r="BD31" s="59">
        <v>543.15300000000002</v>
      </c>
      <c r="BE31" s="12">
        <f>(BD31/AZ31-1)*100</f>
        <v>0.50980943674847623</v>
      </c>
      <c r="BF31" s="19">
        <f>+BF25</f>
        <v>5.8429298704716359</v>
      </c>
      <c r="BH31" s="59">
        <v>518.76300000000003</v>
      </c>
      <c r="BI31" s="12">
        <f>(BH31/BD31-1)*100</f>
        <v>-4.4904474429856789</v>
      </c>
      <c r="BJ31" s="19">
        <f>+BJ25</f>
        <v>-7.0722866340391155</v>
      </c>
      <c r="BL31" s="59">
        <v>600.6</v>
      </c>
      <c r="BM31" s="12">
        <f>(BL31/BH31-1)*100</f>
        <v>15.775411893292301</v>
      </c>
      <c r="BN31" s="19">
        <f>+BN25</f>
        <v>-11.627718673210008</v>
      </c>
      <c r="BP31" s="59">
        <v>625</v>
      </c>
      <c r="BQ31" s="12">
        <f>(BP31/BL31-1)*100</f>
        <v>4.0626040626040583</v>
      </c>
      <c r="BR31" s="19">
        <f>+BR25</f>
        <v>14.988546957474336</v>
      </c>
      <c r="BT31" s="59">
        <v>559.20000000000005</v>
      </c>
      <c r="BU31" s="12">
        <f>(BT31/BP31-1)*100</f>
        <v>-10.527999999999993</v>
      </c>
      <c r="BV31" s="19">
        <f>+BV25</f>
        <v>-1.8014896934003044</v>
      </c>
      <c r="BW31" s="19"/>
      <c r="BX31" s="101"/>
      <c r="BY31" s="1400"/>
      <c r="BZ31" s="1393"/>
    </row>
    <row r="32" spans="1:78">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12"/>
      <c r="BF32" s="4"/>
      <c r="BH32" s="4"/>
      <c r="BI32" s="4"/>
      <c r="BJ32" s="4"/>
      <c r="BL32" s="4"/>
      <c r="BM32" s="4"/>
      <c r="BN32" s="4"/>
      <c r="BP32" s="4"/>
      <c r="BQ32" s="4"/>
      <c r="BR32" s="4"/>
      <c r="BT32" s="4"/>
      <c r="BU32" s="4"/>
      <c r="BV32" s="4"/>
      <c r="BW32" s="4"/>
      <c r="BX32" s="65"/>
      <c r="BY32" s="65"/>
      <c r="BZ32" s="65"/>
    </row>
    <row r="33" spans="1:78">
      <c r="A33" s="4"/>
      <c r="B33" s="8"/>
      <c r="C33" s="4"/>
      <c r="D33" s="4"/>
      <c r="E33" s="4"/>
      <c r="F33" s="4"/>
      <c r="G33" s="4"/>
      <c r="H33" s="4"/>
      <c r="I33" s="4"/>
      <c r="J33" s="4"/>
      <c r="K33" s="4"/>
      <c r="L33" s="4"/>
      <c r="M33" s="4"/>
      <c r="N33" s="4"/>
      <c r="O33" s="4"/>
      <c r="P33" s="53" t="s">
        <v>612</v>
      </c>
      <c r="Q33" s="4"/>
      <c r="R33" s="4"/>
      <c r="S33" s="4"/>
      <c r="T33" s="4"/>
      <c r="U33" s="4"/>
      <c r="V33" s="4"/>
      <c r="W33" s="4"/>
      <c r="X33" s="4"/>
      <c r="Y33" s="4"/>
      <c r="Z33" s="4"/>
      <c r="AA33" s="4"/>
      <c r="AC33" s="70"/>
      <c r="AD33" s="70"/>
      <c r="AE33" s="70"/>
      <c r="AF33" s="70"/>
      <c r="AG33" s="70"/>
      <c r="AH33" s="70"/>
      <c r="AI33" s="70"/>
      <c r="AJ33" s="70"/>
      <c r="AK33" s="70"/>
      <c r="AL33" s="70"/>
      <c r="AM33" s="70"/>
      <c r="AN33" s="70"/>
      <c r="AO33" s="70"/>
      <c r="AP33" s="70"/>
      <c r="AQ33" s="70"/>
      <c r="AR33" s="71" t="s">
        <v>612</v>
      </c>
      <c r="AS33" s="70"/>
      <c r="AT33" s="70"/>
      <c r="AU33" s="70"/>
      <c r="AV33" s="70"/>
      <c r="AW33" s="70"/>
      <c r="AX33" s="70"/>
      <c r="AY33" s="70"/>
      <c r="AZ33" s="70"/>
      <c r="BA33" s="70"/>
      <c r="BB33" s="70"/>
      <c r="BC33" s="70"/>
      <c r="BD33" s="70"/>
      <c r="BE33" s="12"/>
      <c r="BF33" s="70"/>
      <c r="BH33" s="70"/>
      <c r="BI33" s="70"/>
      <c r="BJ33" s="70"/>
      <c r="BL33" s="70"/>
      <c r="BM33" s="70"/>
      <c r="BN33" s="70"/>
      <c r="BP33" s="70"/>
      <c r="BQ33" s="70"/>
      <c r="BR33" s="70"/>
      <c r="BT33" s="70"/>
      <c r="BU33" s="70"/>
      <c r="BV33" s="70"/>
      <c r="BW33" s="70"/>
      <c r="BX33" s="555"/>
      <c r="BY33" s="555"/>
      <c r="BZ33" s="555"/>
    </row>
    <row r="34" spans="1:78">
      <c r="A34" s="4" t="str">
        <f>$A$10</f>
        <v>1Q</v>
      </c>
      <c r="B34" s="4" t="str">
        <f>$B$10</f>
        <v>Sept</v>
      </c>
      <c r="C34" s="4"/>
      <c r="D34" s="20">
        <f>D10+D16-D22-D28</f>
        <v>0</v>
      </c>
      <c r="E34" s="12"/>
      <c r="F34" s="19">
        <f>F$10</f>
        <v>0</v>
      </c>
      <c r="G34" s="4"/>
      <c r="H34" s="20">
        <f>H10+H16-H22-H28</f>
        <v>73.352000000000018</v>
      </c>
      <c r="I34" s="68" t="s">
        <v>606</v>
      </c>
      <c r="J34" s="19">
        <f>$J10</f>
        <v>11.406228819303244</v>
      </c>
      <c r="K34" s="4"/>
      <c r="L34" s="20">
        <f>L10+L16-L22-L28</f>
        <v>88.955999999999989</v>
      </c>
      <c r="M34" s="68">
        <f>IF(H34&lt;0,"NM",(L34/H34-1)*100)</f>
        <v>21.272766932053621</v>
      </c>
      <c r="N34" s="19">
        <f>+N28</f>
        <v>14.606639035704783</v>
      </c>
      <c r="O34" s="4"/>
      <c r="P34" s="20">
        <f>P10+P16-P22-P28</f>
        <v>94.588999999999999</v>
      </c>
      <c r="Q34" s="68">
        <f>IF(L34&lt;0,"NM",(P34/L34-1)*100)</f>
        <v>6.3323440802194542</v>
      </c>
      <c r="R34" s="19">
        <f>+R28</f>
        <v>27.928627357301174</v>
      </c>
      <c r="S34" s="4"/>
      <c r="T34" s="20">
        <f>T10+T16-T22-T28</f>
        <v>124.307</v>
      </c>
      <c r="U34" s="68">
        <f>IF(P34&lt;0,"NM",(T34/P34-1)*100)</f>
        <v>31.418029580606621</v>
      </c>
      <c r="V34" s="19">
        <f>+V28</f>
        <v>34.018185496210918</v>
      </c>
      <c r="W34" s="4"/>
      <c r="X34" s="20">
        <f>X10+X16-X22-X28</f>
        <v>132.23500000000001</v>
      </c>
      <c r="Y34" s="68">
        <f>IF(T34&lt;0,"NM",(X34/T34-1)*100)</f>
        <v>6.3777582919706921</v>
      </c>
      <c r="Z34" s="19">
        <f>+Z28</f>
        <v>33.164973391388486</v>
      </c>
      <c r="AA34" s="4"/>
      <c r="AB34" s="20">
        <f>AB10+AB16-AB22-AB28</f>
        <v>135.39400000000001</v>
      </c>
      <c r="AC34" s="68">
        <f>IF(X34&lt;0,"NM",(AB34/X34-1)*100)</f>
        <v>2.3889288009982135</v>
      </c>
      <c r="AD34" s="19">
        <f>+AD28</f>
        <v>26.138956301861562</v>
      </c>
      <c r="AE34" s="4"/>
      <c r="AF34" s="20">
        <f>AF10+AF16-AF22-AF28</f>
        <v>179.74600000000009</v>
      </c>
      <c r="AG34" s="68">
        <f>IF(AB34&lt;0,"NM",(AF34/AB34-1)*100)</f>
        <v>32.757729293764925</v>
      </c>
      <c r="AH34" s="19">
        <f>+AH28</f>
        <v>21.986405529953924</v>
      </c>
      <c r="AI34" s="4"/>
      <c r="AJ34" s="20">
        <f>AJ10+AJ16-AJ22-AJ28</f>
        <v>224.13900000000007</v>
      </c>
      <c r="AK34" s="68">
        <f>IF(AF34&lt;0,"NM",(AJ34/AF34-1)*100)</f>
        <v>24.697628876303202</v>
      </c>
      <c r="AL34" s="19">
        <f>+AL28</f>
        <v>27.822281322425791</v>
      </c>
      <c r="AM34" s="4"/>
      <c r="AN34" s="20">
        <f>AN10+AN16-AN22-AN28</f>
        <v>340.983</v>
      </c>
      <c r="AO34" s="68">
        <f>IF(AJ34&lt;0,"NM",(AN34/AJ34-1)*100)</f>
        <v>52.13015137927799</v>
      </c>
      <c r="AP34" s="19">
        <f>+AP28</f>
        <v>11.202746195608814</v>
      </c>
      <c r="AQ34" s="4"/>
      <c r="AR34" s="20">
        <f>AR10+AR16-AR22-AR28</f>
        <v>84.336000000000013</v>
      </c>
      <c r="AS34" s="68">
        <f>IF(AN34&lt;0,"NM",(AR34/AN34-1)*100)</f>
        <v>-75.26680215729229</v>
      </c>
      <c r="AT34" s="19">
        <f>+AT28</f>
        <v>1.183741756131651</v>
      </c>
      <c r="AU34" s="4"/>
      <c r="AV34" s="20">
        <f>AV10+AV16-AV22-AV28</f>
        <v>144.38600000000008</v>
      </c>
      <c r="AW34" s="68">
        <f>IF(AR34&lt;0,"NM",(AV34/AR34-1)*100)</f>
        <v>71.203282109656669</v>
      </c>
      <c r="AX34" s="19">
        <f>+AX28</f>
        <v>19.730063025568768</v>
      </c>
      <c r="AY34" s="4"/>
      <c r="AZ34" s="20">
        <f>AZ10+AZ16-AZ22-AZ28</f>
        <v>210.59999999999997</v>
      </c>
      <c r="BA34" s="68">
        <f>IF(AV34&lt;0,"NM",(AZ34/AV34-1)*100)</f>
        <v>45.859016802182936</v>
      </c>
      <c r="BB34" s="19">
        <f>+BB28</f>
        <v>15.212758139193049</v>
      </c>
      <c r="BC34" s="20">
        <f>BC10+BC16-BC22-BC28</f>
        <v>67.811000000000149</v>
      </c>
      <c r="BD34" s="20">
        <f>BD10+BD16-BD22-BD28</f>
        <v>299.74800000000005</v>
      </c>
      <c r="BE34" s="12">
        <f>(BD34/AZ34-1)*100</f>
        <v>42.330484330484389</v>
      </c>
      <c r="BF34" s="19">
        <f>+BF28</f>
        <v>10.566958535129412</v>
      </c>
      <c r="BH34" s="20">
        <f>BH10+BH16-BH22-BH28</f>
        <v>310.39200000000017</v>
      </c>
      <c r="BI34" s="12">
        <f>(BH34/BD34-1)*100</f>
        <v>3.5509828255735121</v>
      </c>
      <c r="BJ34" s="19">
        <f>+BJ28</f>
        <v>-0.91186980669047957</v>
      </c>
      <c r="BL34" s="20">
        <f>BL10+BL16-BL22-BL28</f>
        <v>383.7999999999999</v>
      </c>
      <c r="BM34" s="12">
        <f>(BL34/BH34-1)*100</f>
        <v>23.650094074589447</v>
      </c>
      <c r="BN34" s="19">
        <f>+BN28</f>
        <v>-9.7292224269178718</v>
      </c>
      <c r="BP34" s="20">
        <f>BP10+BP16-BP22-BP28</f>
        <v>339.40000000000009</v>
      </c>
      <c r="BQ34" s="12">
        <f>(BP34/BL34-1)*100</f>
        <v>-11.568525273579944</v>
      </c>
      <c r="BR34" s="19">
        <f>+BR28</f>
        <v>-0.81825182903350058</v>
      </c>
      <c r="BT34" s="20">
        <f>BT10+BT16-BT22-BT28</f>
        <v>274.79999999999995</v>
      </c>
      <c r="BU34" s="12">
        <f>(BT34/BP34-1)*100</f>
        <v>-19.033588685916357</v>
      </c>
      <c r="BV34" s="19">
        <f>+BV28</f>
        <v>0.70853149568086415</v>
      </c>
      <c r="BW34" s="19"/>
      <c r="BX34" s="20">
        <f>BX10+BX16-BX22-BX28</f>
        <v>417.1</v>
      </c>
      <c r="BY34" s="12">
        <f>(BX34/BT34-1)*100</f>
        <v>51.783114992722012</v>
      </c>
      <c r="BZ34" s="19">
        <f>+BZ28</f>
        <v>24.219352351580593</v>
      </c>
    </row>
    <row r="35" spans="1:78">
      <c r="A35" s="4" t="str">
        <f>$A$11</f>
        <v>2Q</v>
      </c>
      <c r="B35" s="4" t="str">
        <f>$B$11</f>
        <v>Dec</v>
      </c>
      <c r="C35" s="4"/>
      <c r="D35" s="21">
        <f>D11+D17-D23-D29</f>
        <v>0</v>
      </c>
      <c r="E35" s="12"/>
      <c r="F35" s="19">
        <f>$F11</f>
        <v>0</v>
      </c>
      <c r="G35" s="4"/>
      <c r="H35" s="21">
        <f>H11+H17-H23-H29</f>
        <v>57.126000000000019</v>
      </c>
      <c r="I35" s="68" t="s">
        <v>606</v>
      </c>
      <c r="J35" s="19">
        <f>$J11</f>
        <v>8.7055963075908682</v>
      </c>
      <c r="K35" s="4"/>
      <c r="L35" s="21">
        <f>L11+L17-L23-L29</f>
        <v>56.288000000000025</v>
      </c>
      <c r="M35" s="68">
        <f>IF(H35&lt;0,"NM",(L35/H35-1)*100)</f>
        <v>-1.4669327451598102</v>
      </c>
      <c r="N35" s="19">
        <f>+N29</f>
        <v>11.71503307617947</v>
      </c>
      <c r="O35" s="4"/>
      <c r="P35" s="21">
        <f>P11+P17-P23-P29</f>
        <v>66.101999999999975</v>
      </c>
      <c r="Q35" s="68">
        <f>IF(L35&lt;0,"NM",(P35/L35-1)*100)</f>
        <v>17.43533257532679</v>
      </c>
      <c r="R35" s="19">
        <f>+R29</f>
        <v>30.868716861081658</v>
      </c>
      <c r="S35" s="4"/>
      <c r="T35" s="21">
        <f>T11+T17-T23-T29</f>
        <v>104.989</v>
      </c>
      <c r="U35" s="68">
        <f>IF(P35&lt;0,"NM",(T35/P35-1)*100)</f>
        <v>58.828779764606274</v>
      </c>
      <c r="V35" s="19">
        <f>+V29</f>
        <v>33.381627949942128</v>
      </c>
      <c r="W35" s="4"/>
      <c r="X35" s="21">
        <f>X11+X17-X23-X29</f>
        <v>96.876999999999981</v>
      </c>
      <c r="Y35" s="12">
        <f>(X35/T35-1)*100</f>
        <v>-7.7265237310575667</v>
      </c>
      <c r="Z35" s="19">
        <f>'qtrP&amp;L'!$AS11</f>
        <v>29.220462051016625</v>
      </c>
      <c r="AA35" s="4"/>
      <c r="AB35" s="21">
        <f>AB11+AB17-AB23-AB29</f>
        <v>100.72400000000005</v>
      </c>
      <c r="AC35" s="12">
        <f>(AB35/X35-1)*100</f>
        <v>3.9710147919527428</v>
      </c>
      <c r="AD35" s="19">
        <f>+AD29</f>
        <v>16.556560396721064</v>
      </c>
      <c r="AE35" s="4"/>
      <c r="AF35" s="21">
        <f>AF11+AF17-AF23-AF29</f>
        <v>108.67099999999999</v>
      </c>
      <c r="AG35" s="12">
        <f>(AF35/AB35-1)*100</f>
        <v>7.8898772884316903</v>
      </c>
      <c r="AH35" s="19">
        <f>'qtrP&amp;L'!$BA11</f>
        <v>29.977896095514687</v>
      </c>
      <c r="AI35" s="4"/>
      <c r="AJ35" s="21">
        <f>AJ11+AJ17-AJ23-AJ29</f>
        <v>151.71199999999993</v>
      </c>
      <c r="AK35" s="12">
        <f>(AJ35/AF35-1)*100</f>
        <v>39.606702800195023</v>
      </c>
      <c r="AL35" s="19">
        <f>+AL29</f>
        <v>21.401856745816495</v>
      </c>
      <c r="AM35" s="4"/>
      <c r="AN35" s="21">
        <f>AN11+AN17-AN23-AN29</f>
        <v>279.774</v>
      </c>
      <c r="AO35" s="12">
        <f>(AN35/AJ35-1)*100</f>
        <v>84.4112529002321</v>
      </c>
      <c r="AP35" s="19">
        <f>+AP29</f>
        <v>-1.8160216028964782</v>
      </c>
      <c r="AQ35" s="4"/>
      <c r="AR35" s="21">
        <f>AR11+AR17-AR23-AR29</f>
        <v>35.490999999999872</v>
      </c>
      <c r="AS35" s="12">
        <f>(AR35/AN35-1)*100</f>
        <v>-87.31440376875625</v>
      </c>
      <c r="AT35" s="19">
        <f>+AT29</f>
        <v>10.908445247933907</v>
      </c>
      <c r="AU35" s="4"/>
      <c r="AV35" s="21">
        <f>AV11+AV17-AV23-AV29</f>
        <v>117.42700000000008</v>
      </c>
      <c r="AW35" s="12">
        <f>(AV35/AR35-1)*100</f>
        <v>230.8641627454862</v>
      </c>
      <c r="AX35" s="19">
        <f>+AX29</f>
        <v>18.727799400002819</v>
      </c>
      <c r="AY35" s="4"/>
      <c r="AZ35" s="21">
        <f>AZ11+AZ17-AZ23-AZ29</f>
        <v>0.21900000000005093</v>
      </c>
      <c r="BA35" s="68">
        <f>IF(AV35&lt;0,"NM",(AZ35/AV35-1)*100)</f>
        <v>-99.813501153908348</v>
      </c>
      <c r="BB35" s="19">
        <f>+BB29</f>
        <v>14.566885232158921</v>
      </c>
      <c r="BC35" s="20"/>
      <c r="BD35" s="21">
        <f>BD11+BD17-BD23-BD29</f>
        <v>242.99900000000002</v>
      </c>
      <c r="BE35" s="68">
        <f>(BD35/AZ35-1)*100</f>
        <v>110858.44748855868</v>
      </c>
      <c r="BF35" s="19">
        <f>+BF29</f>
        <v>3.8052695994681862</v>
      </c>
      <c r="BH35" s="21">
        <f>BH11+BH17-BH23-BH29</f>
        <v>79.246999999999957</v>
      </c>
      <c r="BI35" s="68">
        <f>(BH35/BD35-1)*100</f>
        <v>-67.387931637578774</v>
      </c>
      <c r="BJ35" s="19">
        <f>+BJ29</f>
        <v>-5.5959206636103431</v>
      </c>
      <c r="BL35" s="21">
        <f>BL11+BL17-BL23-BL29</f>
        <v>186.89999999999998</v>
      </c>
      <c r="BM35" s="68">
        <f>(BL35/BH35-1)*100</f>
        <v>135.84489002738286</v>
      </c>
      <c r="BN35" s="19">
        <f>+BN29</f>
        <v>-14.104016274731901</v>
      </c>
      <c r="BP35" s="21">
        <f>BP11+BP17-BP23-BP29</f>
        <v>275.5</v>
      </c>
      <c r="BQ35" s="12">
        <f>(BP35/BL35-1)*100</f>
        <v>47.405029427501354</v>
      </c>
      <c r="BR35" s="19">
        <f>+BR29</f>
        <v>4.4612104313596745</v>
      </c>
      <c r="BT35" s="21">
        <f>BT11+BT17-BT23-BT29</f>
        <v>214.59999999999991</v>
      </c>
      <c r="BU35" s="12">
        <f>(BT35/BP35-1)*100</f>
        <v>-22.105263157894772</v>
      </c>
      <c r="BV35" s="19">
        <f>+BV29</f>
        <v>3.7604019469304584</v>
      </c>
      <c r="BW35" s="19"/>
      <c r="BX35" s="20">
        <f>BX11+BX17-BX23-BX29</f>
        <v>259.70000000000005</v>
      </c>
      <c r="BY35" s="12">
        <f>(BX35/BT35-1)*100</f>
        <v>21.015843429636604</v>
      </c>
      <c r="BZ35" s="19">
        <f>+BZ29</f>
        <v>35.053340394945899</v>
      </c>
    </row>
    <row r="36" spans="1:78">
      <c r="A36" s="4" t="str">
        <f>$A$12</f>
        <v>3Q</v>
      </c>
      <c r="B36" s="4" t="str">
        <f>$B$12</f>
        <v>Mar</v>
      </c>
      <c r="C36" s="4"/>
      <c r="D36" s="21">
        <f>D12+D18-D24-D30</f>
        <v>0</v>
      </c>
      <c r="E36" s="68"/>
      <c r="F36" s="19">
        <f>$F12</f>
        <v>0</v>
      </c>
      <c r="G36" s="4"/>
      <c r="H36" s="21">
        <f>H12+H18-H24-H30</f>
        <v>62.632000000000019</v>
      </c>
      <c r="I36" s="68" t="s">
        <v>606</v>
      </c>
      <c r="J36" s="19">
        <f>$J12</f>
        <v>9.2481229143492669</v>
      </c>
      <c r="K36" s="4"/>
      <c r="L36" s="21">
        <f>L12+L18-L24-L30</f>
        <v>72.243999999999971</v>
      </c>
      <c r="M36" s="68">
        <f>IF(H36&lt;0,"NM",(L36/H36-1)*100)</f>
        <v>15.346787584621202</v>
      </c>
      <c r="N36" s="19">
        <f>+N30</f>
        <v>28.522678460632854</v>
      </c>
      <c r="O36" s="4"/>
      <c r="P36" s="21">
        <f>P12+P18-P24-P30</f>
        <v>70.364000000000033</v>
      </c>
      <c r="Q36" s="68">
        <f>IF(L36&lt;0,"NM",(P36/L36-1)*100)</f>
        <v>-2.6022922318807651</v>
      </c>
      <c r="R36" s="19">
        <f>+R30</f>
        <v>36.408142550333913</v>
      </c>
      <c r="S36" s="4"/>
      <c r="T36" s="21">
        <f>T12+T18-T24-T30</f>
        <v>98.669999999999987</v>
      </c>
      <c r="U36" s="68">
        <f>IF(P36&lt;0,"NM",(T36/P36-1)*100)</f>
        <v>40.227957478255846</v>
      </c>
      <c r="V36" s="19">
        <f>V30</f>
        <v>42.050218697254024</v>
      </c>
      <c r="W36" s="4"/>
      <c r="X36" s="21">
        <f>X12+X18-X24-X30</f>
        <v>123.006</v>
      </c>
      <c r="Y36" s="12">
        <f>(X36/T36-1)*100</f>
        <v>24.664031620553374</v>
      </c>
      <c r="Z36" s="19">
        <f>'qtrP&amp;L'!$AS12</f>
        <v>32.85687363650014</v>
      </c>
      <c r="AA36" s="4"/>
      <c r="AB36" s="21">
        <f>AB12+AB18-AB24-AB30</f>
        <v>145.36399999999998</v>
      </c>
      <c r="AC36" s="12">
        <f>(AB36/X36-1)*100</f>
        <v>18.176349121181069</v>
      </c>
      <c r="AD36" s="19">
        <f>+AD30</f>
        <v>15.333738841512812</v>
      </c>
      <c r="AE36" s="4"/>
      <c r="AF36" s="21">
        <f>AF12+AF18-AF24-AF30</f>
        <v>192.06100000000004</v>
      </c>
      <c r="AG36" s="12">
        <f>(AF36/AB36-1)*100</f>
        <v>32.124184805041182</v>
      </c>
      <c r="AH36" s="19">
        <f>'qtrP&amp;L'!$BA12</f>
        <v>30.348037805544092</v>
      </c>
      <c r="AI36" s="4"/>
      <c r="AJ36" s="21">
        <f>AJ12+AJ18-AJ24-AJ30</f>
        <v>273.01800000000003</v>
      </c>
      <c r="AK36" s="12">
        <f>(AJ36/AF36-1)*100</f>
        <v>42.151712216431235</v>
      </c>
      <c r="AL36" s="19">
        <f>+AL30</f>
        <v>19.065796901662079</v>
      </c>
      <c r="AM36" s="4"/>
      <c r="AN36" s="21">
        <f>AN12+AN18-AN24-AN30</f>
        <v>264.26499999999993</v>
      </c>
      <c r="AO36" s="12">
        <f>(AN36/AJ36-1)*100</f>
        <v>-3.2060157205752393</v>
      </c>
      <c r="AP36" s="19">
        <f>+AP30</f>
        <v>-0.6155627368969685</v>
      </c>
      <c r="AQ36" s="4"/>
      <c r="AR36" s="21">
        <f>AR12+AR18-AR24-AR30</f>
        <v>51.930000000000007</v>
      </c>
      <c r="AS36" s="12">
        <f>(AR36/AN36-1)*100</f>
        <v>-80.34927061850793</v>
      </c>
      <c r="AT36" s="19">
        <f>+AT30</f>
        <v>12.261821582589928</v>
      </c>
      <c r="AU36" s="4"/>
      <c r="AV36" s="21">
        <f>AV12+AV18-AV24-AV30</f>
        <v>127.00499999999988</v>
      </c>
      <c r="AW36" s="12">
        <f>(AV36/AR36-1)*100</f>
        <v>144.56961294049657</v>
      </c>
      <c r="AX36" s="19">
        <f>+AX30</f>
        <v>14.4506415912957</v>
      </c>
      <c r="AY36" s="4"/>
      <c r="AZ36" s="21">
        <f>AZ12+AZ18-AZ24-AZ30</f>
        <v>207.49199999999996</v>
      </c>
      <c r="BA36" s="68">
        <f>IF(AV36&lt;0,"NM",(AZ36/AV36-1)*100)</f>
        <v>63.373095547419524</v>
      </c>
      <c r="BB36" s="19">
        <f>+BB30</f>
        <v>16.648154108630852</v>
      </c>
      <c r="BC36" s="20"/>
      <c r="BD36" s="21">
        <f>BD12+BD18-BD24-BD30</f>
        <v>373.30499999999989</v>
      </c>
      <c r="BE36" s="12">
        <f>(BD36/AZ36-1)*100</f>
        <v>79.912960499681901</v>
      </c>
      <c r="BF36" s="19">
        <f>+BF30</f>
        <v>7.0873170956039733</v>
      </c>
      <c r="BH36" s="21">
        <f>BH12+BH18-BH24-BH30</f>
        <v>437.72400000000005</v>
      </c>
      <c r="BI36" s="12">
        <f>(BH36/BD36-1)*100</f>
        <v>17.2563989231326</v>
      </c>
      <c r="BJ36" s="19">
        <f>+BJ30</f>
        <v>-7.4059977534107198</v>
      </c>
      <c r="BL36" s="21">
        <f>BL12+BL18-BL24-BL30</f>
        <v>193.29999999999995</v>
      </c>
      <c r="BM36" s="12">
        <f>(BL36/BH36-1)*100</f>
        <v>-55.839752903656191</v>
      </c>
      <c r="BN36" s="19">
        <f>+BN30</f>
        <v>-15.489448230580216</v>
      </c>
      <c r="BP36" s="21">
        <f>BP12+BP18-BP24-BP30</f>
        <v>266.20000000000005</v>
      </c>
      <c r="BQ36" s="12">
        <f>(BP36/BL36-1)*100</f>
        <v>37.71339886187279</v>
      </c>
      <c r="BR36" s="19">
        <f>+BR30</f>
        <v>11.169697621865925</v>
      </c>
      <c r="BT36" s="21">
        <f>BT12+BT18-BT24-BT30</f>
        <v>241.39999999999998</v>
      </c>
      <c r="BU36" s="12">
        <f>(BT36/BP36-1)*100</f>
        <v>-9.3163035311795923</v>
      </c>
      <c r="BV36" s="19">
        <f>+BV30</f>
        <v>-3.668570322330833</v>
      </c>
      <c r="BW36" s="19"/>
      <c r="BX36" s="543"/>
      <c r="BY36" s="1400"/>
      <c r="BZ36" s="1393"/>
    </row>
    <row r="37" spans="1:78">
      <c r="A37" s="4" t="str">
        <f>$A$13</f>
        <v>4Q</v>
      </c>
      <c r="B37" s="4" t="str">
        <f>$B$13</f>
        <v>June</v>
      </c>
      <c r="C37" s="4"/>
      <c r="D37" s="21">
        <f>D13+D19-D25-D31</f>
        <v>53.967000000000013</v>
      </c>
      <c r="E37" s="68"/>
      <c r="F37" s="19">
        <f>$F13</f>
        <v>0</v>
      </c>
      <c r="G37" s="4"/>
      <c r="H37" s="21">
        <f>H13+H19-H25-H31</f>
        <v>51.173000000000016</v>
      </c>
      <c r="I37" s="68">
        <f>IF(D37&lt;0,"NM",(H37/D37-1)*100)</f>
        <v>-5.177237941705104</v>
      </c>
      <c r="J37" s="19">
        <f>$J13</f>
        <v>8.6846473711026597</v>
      </c>
      <c r="K37" s="4"/>
      <c r="L37" s="21">
        <f>L13+L19-L25-L31</f>
        <v>68.442000000000021</v>
      </c>
      <c r="M37" s="68">
        <f>IF(H37&lt;0,"NM",(L37/H37-1)*100)</f>
        <v>33.746311531471676</v>
      </c>
      <c r="N37" s="19">
        <f>+N31</f>
        <v>29.583982337018178</v>
      </c>
      <c r="O37" s="4"/>
      <c r="P37" s="21">
        <f>P13+P19-P25-P31</f>
        <v>84.451999999999998</v>
      </c>
      <c r="Q37" s="68">
        <f>IF(L37&lt;0,"NM",(P37/L37-1)*100)</f>
        <v>23.392069197276477</v>
      </c>
      <c r="R37" s="19">
        <f>+R31</f>
        <v>35.089275294666812</v>
      </c>
      <c r="S37" s="4"/>
      <c r="T37" s="21">
        <f>T13+T19-T25-T31</f>
        <v>110.28700000000001</v>
      </c>
      <c r="U37" s="12">
        <f>(T37/P37-1)*100</f>
        <v>30.591341827310202</v>
      </c>
      <c r="V37" s="19">
        <f>+V31</f>
        <v>46.05686000103664</v>
      </c>
      <c r="W37" s="4"/>
      <c r="X37" s="21">
        <f>X13+X19-X25-X31</f>
        <v>73.089999999999947</v>
      </c>
      <c r="Y37" s="12">
        <f>(X37/T37-1)*100</f>
        <v>-33.727456545195764</v>
      </c>
      <c r="Z37" s="19">
        <f>'qtrP&amp;L'!$AS13</f>
        <v>23.81079122861496</v>
      </c>
      <c r="AA37" s="4"/>
      <c r="AB37" s="21">
        <f>AB13+AB19-AB25-AB31</f>
        <v>95.263000000000034</v>
      </c>
      <c r="AC37" s="12">
        <f>(AB37/X37-1)*100</f>
        <v>30.336571350390074</v>
      </c>
      <c r="AD37" s="19">
        <f>+AD31</f>
        <v>19.804375865857725</v>
      </c>
      <c r="AE37" s="4"/>
      <c r="AF37" s="21">
        <f>AF13+AF19-AF25-AF31</f>
        <v>146.61900000000003</v>
      </c>
      <c r="AG37" s="12">
        <f>(AF37/AB37-1)*100</f>
        <v>53.909702612766729</v>
      </c>
      <c r="AH37" s="19">
        <f>'qtrP&amp;L'!$BA13</f>
        <v>30.016767250230792</v>
      </c>
      <c r="AI37" s="4"/>
      <c r="AJ37" s="21">
        <f>AJ13+AJ19-AJ25-AJ31</f>
        <v>209.65699999999998</v>
      </c>
      <c r="AK37" s="12">
        <f>(AJ37/AF37-1)*100</f>
        <v>42.994427734468196</v>
      </c>
      <c r="AL37" s="19">
        <f>+AL31</f>
        <v>19.838252861013682</v>
      </c>
      <c r="AM37" s="4"/>
      <c r="AN37" s="21">
        <f>AN13+AN19-AN25-AN31</f>
        <v>144.399</v>
      </c>
      <c r="AO37" s="12">
        <f>(AN37/AJ37-1)*100</f>
        <v>-31.12607735491779</v>
      </c>
      <c r="AP37" s="19">
        <f>+AP31</f>
        <v>-0.4806142034548877</v>
      </c>
      <c r="AQ37" s="4"/>
      <c r="AR37" s="21">
        <f>AR13+AR19-AR25-AR31</f>
        <v>77.949000000000012</v>
      </c>
      <c r="AS37" s="12">
        <f>(AR37/AN37-1)*100</f>
        <v>-46.018324226622063</v>
      </c>
      <c r="AT37" s="19">
        <f>+AT31</f>
        <v>22.215664794585365</v>
      </c>
      <c r="AU37" s="4"/>
      <c r="AV37" s="21">
        <f>AV13+AV19-AV25-AV31</f>
        <v>158.12800000000016</v>
      </c>
      <c r="AW37" s="12">
        <f>(AV37/AR37-1)*100</f>
        <v>102.86084491141661</v>
      </c>
      <c r="AX37" s="19">
        <f>+AX31</f>
        <v>8.5373872333710299</v>
      </c>
      <c r="AY37" s="4"/>
      <c r="AZ37" s="21">
        <f>AZ13+AZ19-AZ25-AZ31</f>
        <v>191.52799999999991</v>
      </c>
      <c r="BA37" s="68">
        <f>IF(AV37&lt;0,"NM",(AZ37/AV37-1)*100)</f>
        <v>21.122128908226067</v>
      </c>
      <c r="BB37" s="19">
        <f>+BB31</f>
        <v>11.972375021203385</v>
      </c>
      <c r="BC37" s="20"/>
      <c r="BD37" s="21">
        <f>BD13+BD19-BD25-BD31</f>
        <v>214.04600000000005</v>
      </c>
      <c r="BE37" s="12">
        <f>IF(AZ37&lt;0,"NM",(BD37/AZ37-1)*100)</f>
        <v>11.757027693078893</v>
      </c>
      <c r="BF37" s="19">
        <f>+BF31</f>
        <v>5.8429298704716359</v>
      </c>
      <c r="BH37" s="21">
        <f>BH13+BH19-BH25-BH31</f>
        <v>313.95799999999986</v>
      </c>
      <c r="BI37" s="12">
        <f>IF(BD37&lt;0,"NM",(BH37/BD37-1)*100)</f>
        <v>46.677816917858685</v>
      </c>
      <c r="BJ37" s="19">
        <f>+BJ31</f>
        <v>-7.0722866340391155</v>
      </c>
      <c r="BL37" s="21">
        <f>BL13+BL19-BL25-BL31</f>
        <v>157.30000000000007</v>
      </c>
      <c r="BM37" s="12">
        <f>(BL37/BH37-1)*100</f>
        <v>-49.897757024824926</v>
      </c>
      <c r="BN37" s="19">
        <f>+BN31</f>
        <v>-11.627718673210008</v>
      </c>
      <c r="BP37" s="21">
        <f>BP13+BP19-BP25-BP31</f>
        <v>41.799999999999955</v>
      </c>
      <c r="BQ37" s="12">
        <f>(BP37/BL37-1)*100</f>
        <v>-73.426573426573455</v>
      </c>
      <c r="BR37" s="19">
        <f>+BR31</f>
        <v>14.988546957474336</v>
      </c>
      <c r="BT37" s="21">
        <f>BT13+BT19-BT25-BT31</f>
        <v>115.89999999999998</v>
      </c>
      <c r="BU37" s="12">
        <f>(BT37/BP37-1)*100</f>
        <v>177.27272727272751</v>
      </c>
      <c r="BV37" s="19">
        <f>+BV31</f>
        <v>-1.8014896934003044</v>
      </c>
      <c r="BW37" s="19"/>
      <c r="BX37" s="543"/>
      <c r="BY37" s="1904"/>
      <c r="BZ37" s="1393"/>
    </row>
    <row r="38" spans="1:78">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H38" s="4"/>
      <c r="BI38" s="4"/>
      <c r="BJ38" s="4"/>
      <c r="BL38" s="4"/>
      <c r="BM38" s="4"/>
      <c r="BN38" s="4"/>
      <c r="BP38" s="4"/>
      <c r="BQ38" s="4"/>
      <c r="BR38" s="4"/>
      <c r="BT38" s="4"/>
      <c r="BU38" s="4"/>
      <c r="BV38" s="4"/>
      <c r="BW38" s="4"/>
      <c r="BX38" s="65"/>
      <c r="BY38" s="65"/>
      <c r="BZ38" s="65"/>
    </row>
    <row r="39" spans="1:78">
      <c r="A39" s="4"/>
      <c r="B39" s="8"/>
      <c r="C39" s="4"/>
      <c r="D39" s="4"/>
      <c r="E39" s="4"/>
      <c r="F39" s="4"/>
      <c r="G39" s="4"/>
      <c r="H39" s="4"/>
      <c r="I39" s="4"/>
      <c r="J39" s="4"/>
      <c r="K39" s="4"/>
      <c r="L39" s="4"/>
      <c r="M39" s="4"/>
      <c r="N39" s="4"/>
      <c r="O39" s="4"/>
      <c r="P39" s="53" t="s">
        <v>568</v>
      </c>
      <c r="Q39" s="4"/>
      <c r="R39" s="4"/>
      <c r="S39" s="4"/>
      <c r="T39" s="4"/>
      <c r="U39" s="4"/>
      <c r="V39" s="4"/>
      <c r="W39" s="4"/>
      <c r="X39" s="4"/>
      <c r="Y39" s="4"/>
      <c r="Z39" s="4"/>
      <c r="AA39" s="4"/>
      <c r="AC39" s="70"/>
      <c r="AD39" s="70"/>
      <c r="AE39" s="70"/>
      <c r="AF39" s="70"/>
      <c r="AG39" s="70"/>
      <c r="AH39" s="70"/>
      <c r="AI39" s="70"/>
      <c r="AJ39" s="70"/>
      <c r="AK39" s="70"/>
      <c r="AL39" s="70"/>
      <c r="AM39" s="70"/>
      <c r="AN39" s="70"/>
      <c r="AO39" s="70"/>
      <c r="AP39" s="70"/>
      <c r="AQ39" s="70"/>
      <c r="AR39" s="71" t="s">
        <v>568</v>
      </c>
      <c r="AS39" s="70"/>
      <c r="AT39" s="70"/>
      <c r="AU39" s="70"/>
      <c r="AV39" s="70"/>
      <c r="AW39" s="70"/>
      <c r="AX39" s="70"/>
      <c r="AY39" s="70"/>
      <c r="AZ39" s="70"/>
      <c r="BA39" s="70"/>
      <c r="BB39" s="70"/>
      <c r="BC39" s="70"/>
      <c r="BD39" s="70"/>
      <c r="BE39" s="70"/>
      <c r="BF39" s="70"/>
      <c r="BH39" s="70"/>
      <c r="BI39" s="70"/>
      <c r="BJ39" s="70"/>
      <c r="BL39" s="70"/>
      <c r="BM39" s="70"/>
      <c r="BN39" s="70"/>
      <c r="BP39" s="70"/>
      <c r="BQ39" s="70"/>
      <c r="BR39" s="70"/>
      <c r="BT39" s="70"/>
      <c r="BU39" s="70"/>
      <c r="BV39" s="70"/>
      <c r="BW39" s="70"/>
      <c r="BX39" s="555"/>
      <c r="BY39" s="555"/>
      <c r="BZ39" s="555"/>
    </row>
    <row r="40" spans="1:78">
      <c r="A40" s="4" t="str">
        <f>$A$10</f>
        <v>1Q</v>
      </c>
      <c r="B40" s="4" t="str">
        <f>$B$10</f>
        <v>Sept</v>
      </c>
      <c r="C40" s="4"/>
      <c r="D40" s="20"/>
      <c r="E40" s="68"/>
      <c r="F40" s="19"/>
      <c r="G40" s="4"/>
      <c r="H40" s="20">
        <f>H34-D34</f>
        <v>73.352000000000018</v>
      </c>
      <c r="I40" s="68"/>
      <c r="J40" s="19"/>
      <c r="K40" s="4"/>
      <c r="L40" s="20">
        <f>L34-H34</f>
        <v>15.603999999999971</v>
      </c>
      <c r="M40" s="68"/>
      <c r="N40" s="19"/>
      <c r="O40" s="4"/>
      <c r="P40" s="20">
        <f>P34-L34</f>
        <v>5.6330000000000098</v>
      </c>
      <c r="Q40" s="68"/>
      <c r="R40" s="19"/>
      <c r="S40" s="4"/>
      <c r="T40" s="20">
        <f>T34-P34</f>
        <v>29.718000000000004</v>
      </c>
      <c r="U40" s="68"/>
      <c r="V40" s="19"/>
      <c r="W40" s="4"/>
      <c r="X40" s="20">
        <f>X34-T34</f>
        <v>7.9280000000000115</v>
      </c>
      <c r="Y40" s="68"/>
      <c r="Z40" s="19"/>
      <c r="AA40" s="4"/>
      <c r="AB40" s="20">
        <f>AB34-X34</f>
        <v>3.1589999999999918</v>
      </c>
      <c r="AC40" s="68"/>
      <c r="AD40" s="19"/>
      <c r="AE40" s="4"/>
      <c r="AF40" s="20">
        <f>AF34-AB34</f>
        <v>44.352000000000089</v>
      </c>
      <c r="AG40" s="68"/>
      <c r="AH40" s="19"/>
      <c r="AI40" s="4"/>
      <c r="AJ40" s="20">
        <f>AJ34-AF34</f>
        <v>44.392999999999972</v>
      </c>
      <c r="AK40" s="68"/>
      <c r="AL40" s="19"/>
      <c r="AM40" s="4"/>
      <c r="AN40" s="20">
        <f>AN34-AJ34</f>
        <v>116.84399999999994</v>
      </c>
      <c r="AO40" s="68"/>
      <c r="AP40" s="19"/>
      <c r="AQ40" s="4"/>
      <c r="AR40" s="20">
        <f>AR34-AN34</f>
        <v>-256.64699999999999</v>
      </c>
      <c r="AS40" s="68"/>
      <c r="AT40" s="19"/>
      <c r="AU40" s="4"/>
      <c r="AV40" s="20">
        <f>AV34-AR34</f>
        <v>60.050000000000068</v>
      </c>
      <c r="AW40" s="68"/>
      <c r="AX40" s="19"/>
      <c r="AY40" s="4"/>
      <c r="AZ40" s="20">
        <f>AZ34-AV34</f>
        <v>66.213999999999885</v>
      </c>
      <c r="BA40" s="68"/>
      <c r="BB40" s="19"/>
      <c r="BC40" s="20">
        <f>BC34-AZ34</f>
        <v>-142.78899999999982</v>
      </c>
      <c r="BD40" s="20">
        <f>BD34-AZ34</f>
        <v>89.148000000000081</v>
      </c>
      <c r="BE40" s="68"/>
      <c r="BF40" s="19"/>
      <c r="BH40" s="20">
        <f>BH34-BD34</f>
        <v>10.644000000000119</v>
      </c>
      <c r="BI40" s="68"/>
      <c r="BJ40" s="19"/>
      <c r="BL40" s="20">
        <f>BL34-BH34</f>
        <v>73.407999999999731</v>
      </c>
      <c r="BM40" s="68"/>
      <c r="BN40" s="19"/>
      <c r="BP40" s="20">
        <f>BP34-BL34</f>
        <v>-44.399999999999807</v>
      </c>
      <c r="BQ40" s="68"/>
      <c r="BR40" s="19"/>
      <c r="BT40" s="20">
        <f>BT34-BP34</f>
        <v>-64.600000000000136</v>
      </c>
      <c r="BU40" s="68"/>
      <c r="BV40" s="19"/>
      <c r="BW40" s="19"/>
      <c r="BX40" s="20">
        <f>BX34-BT34</f>
        <v>142.30000000000007</v>
      </c>
      <c r="BY40" s="1904"/>
      <c r="BZ40" s="1393"/>
    </row>
    <row r="41" spans="1:78">
      <c r="A41" s="4" t="str">
        <f>$A$11</f>
        <v>2Q</v>
      </c>
      <c r="B41" s="4" t="str">
        <f>$B$11</f>
        <v>Dec</v>
      </c>
      <c r="C41" s="4"/>
      <c r="D41" s="21"/>
      <c r="E41" s="48"/>
      <c r="F41" s="48"/>
      <c r="G41" s="4"/>
      <c r="H41" s="21">
        <f>H35-D35</f>
        <v>57.126000000000019</v>
      </c>
      <c r="I41" s="48"/>
      <c r="J41" s="48"/>
      <c r="K41" s="4"/>
      <c r="L41" s="21">
        <f>L35-H35</f>
        <v>-0.83799999999999386</v>
      </c>
      <c r="M41" s="48"/>
      <c r="N41" s="48"/>
      <c r="O41" s="4"/>
      <c r="P41" s="21">
        <f>P35-L35</f>
        <v>9.8139999999999503</v>
      </c>
      <c r="Q41" s="48"/>
      <c r="R41" s="48"/>
      <c r="S41" s="4"/>
      <c r="T41" s="21">
        <f>T35-P35</f>
        <v>38.887000000000029</v>
      </c>
      <c r="U41" s="48"/>
      <c r="V41" s="48"/>
      <c r="W41" s="4"/>
      <c r="X41" s="21">
        <f>X35-T35</f>
        <v>-8.1120000000000232</v>
      </c>
      <c r="Y41" s="48"/>
      <c r="Z41" s="48"/>
      <c r="AA41" s="4"/>
      <c r="AB41" s="21">
        <f>AB35-X35</f>
        <v>3.8470000000000653</v>
      </c>
      <c r="AC41" s="48"/>
      <c r="AD41" s="48"/>
      <c r="AE41" s="4"/>
      <c r="AF41" s="21">
        <f>AF35-AB35</f>
        <v>7.9469999999999459</v>
      </c>
      <c r="AG41" s="48"/>
      <c r="AH41" s="48"/>
      <c r="AI41" s="4"/>
      <c r="AJ41" s="21">
        <f>AJ35-AF35</f>
        <v>43.04099999999994</v>
      </c>
      <c r="AK41" s="48"/>
      <c r="AL41" s="48"/>
      <c r="AM41" s="4"/>
      <c r="AN41" s="21">
        <f>AN35-AJ35</f>
        <v>128.06200000000007</v>
      </c>
      <c r="AO41" s="48"/>
      <c r="AP41" s="48"/>
      <c r="AQ41" s="4"/>
      <c r="AR41" s="21">
        <f>AR35-AN35</f>
        <v>-244.28300000000013</v>
      </c>
      <c r="AS41" s="48"/>
      <c r="AT41" s="48"/>
      <c r="AU41" s="4"/>
      <c r="AV41" s="21">
        <f>AV35-AR35</f>
        <v>81.936000000000206</v>
      </c>
      <c r="AW41" s="48"/>
      <c r="AX41" s="48"/>
      <c r="AY41" s="4"/>
      <c r="AZ41" s="21">
        <f>AZ35-AV35</f>
        <v>-117.20800000000003</v>
      </c>
      <c r="BA41" s="48"/>
      <c r="BB41" s="48"/>
      <c r="BC41" s="20"/>
      <c r="BD41" s="21">
        <f>BD35-AZ35</f>
        <v>242.77999999999997</v>
      </c>
      <c r="BE41" s="48"/>
      <c r="BF41" s="48"/>
      <c r="BH41" s="21">
        <f>BH35-BD35</f>
        <v>-163.75200000000007</v>
      </c>
      <c r="BI41" s="48"/>
      <c r="BJ41" s="48"/>
      <c r="BL41" s="21">
        <f>BL35-BH35</f>
        <v>107.65300000000002</v>
      </c>
      <c r="BM41" s="48"/>
      <c r="BN41" s="48"/>
      <c r="BP41" s="20">
        <f>BP35-BL35</f>
        <v>88.600000000000023</v>
      </c>
      <c r="BQ41" s="48"/>
      <c r="BR41" s="48"/>
      <c r="BT41" s="20">
        <f>BT35-BP35</f>
        <v>-60.900000000000091</v>
      </c>
      <c r="BU41" s="48"/>
      <c r="BV41" s="48"/>
      <c r="BW41" s="48"/>
      <c r="BX41" s="20">
        <f>BX35-BT35</f>
        <v>45.100000000000136</v>
      </c>
      <c r="BY41" s="1905"/>
      <c r="BZ41" s="1905"/>
    </row>
    <row r="42" spans="1:78">
      <c r="A42" s="4" t="str">
        <f>$A$12</f>
        <v>3Q</v>
      </c>
      <c r="B42" s="4" t="str">
        <f>$B$12</f>
        <v>Mar</v>
      </c>
      <c r="C42" s="4"/>
      <c r="D42" s="21"/>
      <c r="E42" s="48"/>
      <c r="F42" s="48"/>
      <c r="G42" s="4"/>
      <c r="H42" s="21">
        <f>H36-D36</f>
        <v>62.632000000000019</v>
      </c>
      <c r="I42" s="48"/>
      <c r="J42" s="48"/>
      <c r="K42" s="4"/>
      <c r="L42" s="21">
        <f>L36-H36</f>
        <v>9.6119999999999521</v>
      </c>
      <c r="M42" s="48"/>
      <c r="N42" s="48"/>
      <c r="O42" s="4"/>
      <c r="P42" s="21">
        <f>P36-L36</f>
        <v>-1.8799999999999386</v>
      </c>
      <c r="Q42" s="48"/>
      <c r="R42" s="48"/>
      <c r="S42" s="4"/>
      <c r="T42" s="21">
        <f>T36-P36</f>
        <v>28.305999999999955</v>
      </c>
      <c r="U42" s="48"/>
      <c r="V42" s="48"/>
      <c r="W42" s="4"/>
      <c r="X42" s="21">
        <f>X36-T36</f>
        <v>24.336000000000013</v>
      </c>
      <c r="Y42" s="48"/>
      <c r="Z42" s="48"/>
      <c r="AA42" s="4"/>
      <c r="AB42" s="21">
        <f>AB36-X36</f>
        <v>22.357999999999976</v>
      </c>
      <c r="AC42" s="48"/>
      <c r="AD42" s="48"/>
      <c r="AE42" s="4"/>
      <c r="AF42" s="21">
        <f>AF36-AB36</f>
        <v>46.69700000000006</v>
      </c>
      <c r="AG42" s="48"/>
      <c r="AH42" s="48"/>
      <c r="AI42" s="4"/>
      <c r="AJ42" s="21">
        <f>AJ36-AF36</f>
        <v>80.956999999999994</v>
      </c>
      <c r="AK42" s="48"/>
      <c r="AL42" s="48"/>
      <c r="AM42" s="4"/>
      <c r="AN42" s="21">
        <f>AN36-AJ36</f>
        <v>-8.7530000000000996</v>
      </c>
      <c r="AO42" s="48"/>
      <c r="AP42" s="48"/>
      <c r="AQ42" s="4"/>
      <c r="AR42" s="21">
        <f>AR36-AN36</f>
        <v>-212.33499999999992</v>
      </c>
      <c r="AS42" s="48"/>
      <c r="AT42" s="48"/>
      <c r="AU42" s="4"/>
      <c r="AV42" s="21">
        <f>AV36-AR36</f>
        <v>75.074999999999875</v>
      </c>
      <c r="AW42" s="48"/>
      <c r="AX42" s="48"/>
      <c r="AY42" s="4"/>
      <c r="AZ42" s="21">
        <f>AZ36-AV36</f>
        <v>80.48700000000008</v>
      </c>
      <c r="BA42" s="48"/>
      <c r="BB42" s="48"/>
      <c r="BC42" s="20"/>
      <c r="BD42" s="21">
        <f>BD36-AZ36</f>
        <v>165.81299999999993</v>
      </c>
      <c r="BE42" s="48"/>
      <c r="BF42" s="48"/>
      <c r="BH42" s="21">
        <f>BH36-BD36</f>
        <v>64.419000000000153</v>
      </c>
      <c r="BI42" s="48"/>
      <c r="BJ42" s="48"/>
      <c r="BL42" s="20">
        <f>BL36-BH36</f>
        <v>-244.42400000000009</v>
      </c>
      <c r="BM42" s="48"/>
      <c r="BN42" s="48"/>
      <c r="BP42" s="20">
        <f>BP36-BL36</f>
        <v>72.900000000000091</v>
      </c>
      <c r="BQ42" s="48"/>
      <c r="BR42" s="48"/>
      <c r="BT42" s="20">
        <f>BT36-BP36</f>
        <v>-24.800000000000068</v>
      </c>
      <c r="BU42" s="48"/>
      <c r="BV42" s="48"/>
      <c r="BW42" s="48"/>
      <c r="BX42" s="562"/>
      <c r="BY42" s="1905"/>
      <c r="BZ42" s="1905"/>
    </row>
    <row r="43" spans="1:78">
      <c r="A43" s="4" t="str">
        <f>$A$13</f>
        <v>4Q</v>
      </c>
      <c r="B43" s="4" t="str">
        <f>$B$13</f>
        <v>June</v>
      </c>
      <c r="C43" s="4"/>
      <c r="D43" s="21"/>
      <c r="E43" s="48"/>
      <c r="F43" s="48"/>
      <c r="G43" s="4"/>
      <c r="H43" s="21">
        <f>H37-D37</f>
        <v>-2.7939999999999969</v>
      </c>
      <c r="I43" s="48"/>
      <c r="J43" s="48"/>
      <c r="K43" s="4"/>
      <c r="L43" s="21">
        <f>L37-H37</f>
        <v>17.269000000000005</v>
      </c>
      <c r="M43" s="48"/>
      <c r="N43" s="48"/>
      <c r="O43" s="4"/>
      <c r="P43" s="21">
        <f>P37-L37</f>
        <v>16.009999999999977</v>
      </c>
      <c r="Q43" s="48"/>
      <c r="R43" s="48"/>
      <c r="S43" s="4"/>
      <c r="T43" s="21">
        <f>T37-P37</f>
        <v>25.835000000000008</v>
      </c>
      <c r="U43" s="48"/>
      <c r="V43" s="48"/>
      <c r="W43" s="4"/>
      <c r="X43" s="21">
        <f>X37-T37</f>
        <v>-37.19700000000006</v>
      </c>
      <c r="Y43" s="48"/>
      <c r="Z43" s="48"/>
      <c r="AA43" s="4"/>
      <c r="AB43" s="21">
        <f>AB37-X37</f>
        <v>22.173000000000087</v>
      </c>
      <c r="AC43" s="48"/>
      <c r="AD43" s="48"/>
      <c r="AE43" s="4"/>
      <c r="AF43" s="21">
        <f>AF37-AB37</f>
        <v>51.355999999999995</v>
      </c>
      <c r="AG43" s="48"/>
      <c r="AH43" s="48"/>
      <c r="AI43" s="4"/>
      <c r="AJ43" s="21">
        <f>AJ37-AF37</f>
        <v>63.037999999999954</v>
      </c>
      <c r="AK43" s="48"/>
      <c r="AL43" s="48"/>
      <c r="AM43" s="4"/>
      <c r="AN43" s="21">
        <f>AN37-AJ37</f>
        <v>-65.257999999999981</v>
      </c>
      <c r="AO43" s="48"/>
      <c r="AP43" s="48"/>
      <c r="AQ43" s="4"/>
      <c r="AR43" s="21">
        <f>AR37-AN37</f>
        <v>-66.449999999999989</v>
      </c>
      <c r="AS43" s="48"/>
      <c r="AT43" s="48"/>
      <c r="AU43" s="4"/>
      <c r="AV43" s="21">
        <f>AV37-AR37</f>
        <v>80.179000000000144</v>
      </c>
      <c r="AW43" s="48"/>
      <c r="AX43" s="48"/>
      <c r="AY43" s="4"/>
      <c r="AZ43" s="21">
        <f>AZ37-AV37</f>
        <v>33.39999999999975</v>
      </c>
      <c r="BA43" s="48"/>
      <c r="BB43" s="48"/>
      <c r="BC43" s="20"/>
      <c r="BD43" s="21">
        <f>BD37-AZ37</f>
        <v>22.518000000000143</v>
      </c>
      <c r="BE43" s="48"/>
      <c r="BF43" s="48"/>
      <c r="BH43" s="21">
        <f>BH37-BD37</f>
        <v>99.911999999999807</v>
      </c>
      <c r="BI43" s="48"/>
      <c r="BJ43" s="48"/>
      <c r="BL43" s="20">
        <f>BL37-BH37</f>
        <v>-156.65799999999979</v>
      </c>
      <c r="BM43" s="48"/>
      <c r="BN43" s="48"/>
      <c r="BP43" s="20">
        <f>BP37-BL37</f>
        <v>-115.50000000000011</v>
      </c>
      <c r="BQ43" s="48"/>
      <c r="BR43" s="48"/>
      <c r="BT43" s="20">
        <f>BT37-BP37</f>
        <v>74.100000000000023</v>
      </c>
      <c r="BU43" s="48"/>
      <c r="BV43" s="48"/>
      <c r="BW43" s="48"/>
      <c r="BX43" s="562"/>
      <c r="BY43" s="1905"/>
      <c r="BZ43" s="1905"/>
    </row>
    <row r="44" spans="1:78">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row>
    <row r="45" spans="1:78">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row>
    <row r="46" spans="1:78">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row>
    <row r="47" spans="1:78">
      <c r="A47" s="96" t="s">
        <v>114</v>
      </c>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row>
  </sheetData>
  <mergeCells count="2">
    <mergeCell ref="BT7:BV7"/>
    <mergeCell ref="BX7:BZ7"/>
  </mergeCells>
  <phoneticPr fontId="0" type="noConversion"/>
  <printOptions horizontalCentered="1"/>
  <pageMargins left="0.25" right="0.25" top="0.5" bottom="0.25" header="0.5" footer="0.5"/>
  <pageSetup scale="66" orientation="landscape" r:id="rId1"/>
  <headerFooter alignWithMargins="0">
    <oddFooter>&amp;R&amp;8&amp;D
&amp;F/&amp;A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R68"/>
  <sheetViews>
    <sheetView view="pageBreakPreview" zoomScaleNormal="100" zoomScaleSheetLayoutView="100" workbookViewId="0">
      <selection activeCell="AO11" sqref="AO11:AO12"/>
    </sheetView>
  </sheetViews>
  <sheetFormatPr defaultRowHeight="12.75" outlineLevelCol="1"/>
  <cols>
    <col min="1" max="2" width="5.140625" customWidth="1"/>
    <col min="3" max="3" width="1.5703125" customWidth="1"/>
    <col min="4" max="4" width="10.140625" hidden="1" customWidth="1" outlineLevel="1"/>
    <col min="5" max="5" width="1.5703125" hidden="1" customWidth="1" outlineLevel="1"/>
    <col min="6" max="6" width="10.140625" hidden="1" customWidth="1" outlineLevel="1" collapsed="1"/>
    <col min="7" max="7" width="1.5703125" hidden="1" customWidth="1" outlineLevel="1"/>
    <col min="8" max="8" width="10.140625" hidden="1" customWidth="1" outlineLevel="1"/>
    <col min="9" max="9" width="1.28515625" hidden="1" customWidth="1" outlineLevel="1"/>
    <col min="10" max="10" width="10.140625" hidden="1" customWidth="1" outlineLevel="1"/>
    <col min="11" max="11" width="1.28515625" hidden="1" customWidth="1" outlineLevel="1"/>
    <col min="12" max="12" width="10.140625" hidden="1" customWidth="1" outlineLevel="1"/>
    <col min="13" max="13" width="1.7109375" hidden="1" customWidth="1" outlineLevel="1"/>
    <col min="14" max="14" width="10.140625" hidden="1" customWidth="1" outlineLevel="1"/>
    <col min="15" max="15" width="1.7109375" hidden="1" customWidth="1" outlineLevel="1"/>
    <col min="16" max="16" width="10.140625" hidden="1" customWidth="1" outlineLevel="1"/>
    <col min="17" max="17" width="1.7109375" hidden="1" customWidth="1" outlineLevel="1"/>
    <col min="18" max="18" width="10.140625" hidden="1" customWidth="1" outlineLevel="1"/>
    <col min="19" max="19" width="1.7109375" hidden="1" customWidth="1" outlineLevel="1"/>
    <col min="20" max="20" width="10.140625" hidden="1" customWidth="1" outlineLevel="1"/>
    <col min="21" max="21" width="1.7109375" hidden="1" customWidth="1" outlineLevel="1"/>
    <col min="22" max="22" width="10.140625" hidden="1" customWidth="1" outlineLevel="1"/>
    <col min="23" max="23" width="1.7109375" hidden="1" customWidth="1" outlineLevel="1"/>
    <col min="24" max="24" width="10.140625" customWidth="1" collapsed="1"/>
    <col min="25" max="25" width="1.7109375" customWidth="1"/>
    <col min="26" max="26" width="10.140625" customWidth="1"/>
    <col min="27" max="27" width="1.7109375" customWidth="1"/>
    <col min="28" max="28" width="10.140625" customWidth="1"/>
    <col min="29" max="29" width="1.7109375" customWidth="1"/>
    <col min="31" max="31" width="1.7109375" customWidth="1"/>
    <col min="33" max="33" width="1.7109375" customWidth="1"/>
    <col min="35" max="35" width="1.7109375" customWidth="1"/>
    <col min="37" max="37" width="1.7109375" customWidth="1"/>
    <col min="39" max="39" width="1.28515625" customWidth="1"/>
  </cols>
  <sheetData>
    <row r="1" spans="1:41">
      <c r="A1" s="93" t="s">
        <v>342</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G1" s="3"/>
      <c r="AI1" s="3"/>
      <c r="AK1" s="3"/>
    </row>
    <row r="2" spans="1:41">
      <c r="A2" s="72" t="s">
        <v>120</v>
      </c>
      <c r="B2" s="54"/>
      <c r="C2" s="54"/>
      <c r="D2" s="54"/>
      <c r="E2" s="54"/>
      <c r="F2" s="54"/>
      <c r="G2" s="54"/>
      <c r="H2" s="54"/>
      <c r="I2" s="54"/>
      <c r="J2" s="54"/>
      <c r="K2" s="54"/>
      <c r="L2" s="54"/>
      <c r="M2" s="54"/>
      <c r="N2" s="54"/>
      <c r="O2" s="54"/>
      <c r="P2" s="54"/>
      <c r="Q2" s="54"/>
      <c r="R2" s="54"/>
      <c r="S2" s="54"/>
      <c r="T2" s="54"/>
      <c r="U2" s="54"/>
      <c r="V2" s="54"/>
      <c r="W2" s="54"/>
      <c r="X2" s="54"/>
      <c r="Y2" s="54"/>
      <c r="Z2" s="54"/>
      <c r="AA2" s="54"/>
      <c r="AB2" s="54"/>
      <c r="AC2" s="54"/>
      <c r="AD2" s="54"/>
      <c r="AE2" s="54"/>
      <c r="AF2" s="596"/>
      <c r="AG2" s="54"/>
      <c r="AH2" s="596"/>
      <c r="AI2" s="54"/>
      <c r="AJ2" s="596"/>
      <c r="AK2" s="54"/>
      <c r="AL2" s="596"/>
      <c r="AM2" s="596"/>
      <c r="AN2" s="596"/>
      <c r="AO2" s="596"/>
    </row>
    <row r="3" spans="1:41">
      <c r="A3" s="118" t="s">
        <v>633</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G3" s="4"/>
      <c r="AI3" s="4"/>
      <c r="AK3" s="4"/>
    </row>
    <row r="4" spans="1:41">
      <c r="A4" s="46" t="s">
        <v>495</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G4" s="4"/>
      <c r="AI4" s="4"/>
      <c r="AK4" s="4"/>
    </row>
    <row r="5" spans="1:41">
      <c r="A5" s="4"/>
      <c r="B5" s="4"/>
      <c r="C5" s="4"/>
      <c r="D5" s="35">
        <v>2000</v>
      </c>
      <c r="E5" s="4"/>
      <c r="F5" s="35">
        <v>2001</v>
      </c>
      <c r="G5" s="4"/>
      <c r="H5" s="35">
        <v>2002</v>
      </c>
      <c r="I5" s="4"/>
      <c r="J5" s="35">
        <v>2003</v>
      </c>
      <c r="K5" s="4"/>
      <c r="L5" s="35">
        <v>2004</v>
      </c>
      <c r="M5" s="4"/>
      <c r="N5" s="35">
        <f>L5+1</f>
        <v>2005</v>
      </c>
      <c r="O5" s="4"/>
      <c r="P5" s="35">
        <f>N5+1</f>
        <v>2006</v>
      </c>
      <c r="Q5" s="4"/>
      <c r="R5" s="35">
        <v>2007</v>
      </c>
      <c r="S5" s="4"/>
      <c r="T5" s="35">
        <v>2008</v>
      </c>
      <c r="U5" s="4"/>
      <c r="V5" s="35">
        <v>2009</v>
      </c>
      <c r="W5" s="4"/>
      <c r="X5" s="35">
        <v>2010</v>
      </c>
      <c r="Y5" s="4"/>
      <c r="Z5" s="35">
        <v>2011</v>
      </c>
      <c r="AA5" s="4"/>
      <c r="AB5" s="35">
        <v>2012</v>
      </c>
      <c r="AC5" s="4"/>
      <c r="AD5" s="35">
        <v>2013</v>
      </c>
      <c r="AE5" s="4"/>
      <c r="AF5" s="35">
        <v>2014</v>
      </c>
      <c r="AG5" s="4"/>
      <c r="AH5" s="35">
        <v>2015</v>
      </c>
      <c r="AI5" s="4"/>
      <c r="AJ5" s="35">
        <v>2016</v>
      </c>
      <c r="AK5" s="4"/>
      <c r="AL5" s="35">
        <v>2017</v>
      </c>
      <c r="AM5" s="1906"/>
      <c r="AN5" s="35">
        <v>2018</v>
      </c>
    </row>
    <row r="6" spans="1:41" ht="6.7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row>
    <row r="7" spans="1:41">
      <c r="A7" s="52"/>
      <c r="B7" s="4"/>
      <c r="C7" s="4"/>
      <c r="D7" s="4"/>
      <c r="E7" s="69"/>
      <c r="F7" s="69" t="s">
        <v>121</v>
      </c>
      <c r="G7" s="70"/>
      <c r="H7" s="70"/>
      <c r="I7" s="70"/>
      <c r="K7" s="70"/>
      <c r="L7" s="70"/>
      <c r="M7" s="70"/>
      <c r="N7" s="70"/>
      <c r="O7" s="70"/>
      <c r="P7" s="70"/>
      <c r="Q7" s="70"/>
      <c r="R7" s="70"/>
      <c r="S7" s="70"/>
      <c r="T7" s="70"/>
      <c r="U7" s="70"/>
      <c r="W7" s="70"/>
      <c r="X7" s="70"/>
      <c r="Y7" s="69" t="str">
        <f>F7</f>
        <v>Cash &amp; Equivalents</v>
      </c>
      <c r="AA7" s="70"/>
      <c r="AB7" s="70"/>
      <c r="AC7" s="4"/>
      <c r="AD7" s="70"/>
      <c r="AE7" s="4"/>
      <c r="AF7" s="555"/>
      <c r="AG7" s="4"/>
      <c r="AH7" s="70"/>
      <c r="AI7" s="4"/>
      <c r="AJ7" s="70"/>
      <c r="AK7" s="4"/>
      <c r="AL7" s="70"/>
    </row>
    <row r="8" spans="1:41">
      <c r="A8" s="4" t="s">
        <v>457</v>
      </c>
      <c r="B8" s="4" t="s">
        <v>63</v>
      </c>
      <c r="C8" s="4"/>
      <c r="D8" s="66"/>
      <c r="E8" s="11"/>
      <c r="F8" s="66">
        <v>0.16400000000000001</v>
      </c>
      <c r="G8" s="4"/>
      <c r="H8" s="66">
        <v>4.7329999999999997</v>
      </c>
      <c r="I8" s="4"/>
      <c r="J8" s="66">
        <v>44.033000000000001</v>
      </c>
      <c r="K8" s="4"/>
      <c r="L8" s="66">
        <v>255.357</v>
      </c>
      <c r="M8" s="4"/>
      <c r="N8" s="66">
        <v>441.88799999999998</v>
      </c>
      <c r="O8" s="4"/>
      <c r="P8" s="66">
        <v>447.63</v>
      </c>
      <c r="Q8" s="65"/>
      <c r="R8" s="215">
        <v>456.33300000000003</v>
      </c>
      <c r="S8" s="65"/>
      <c r="T8" s="215">
        <v>1235.356</v>
      </c>
      <c r="U8" s="65"/>
      <c r="V8" s="215">
        <v>409.51</v>
      </c>
      <c r="W8" s="65"/>
      <c r="X8" s="215">
        <v>994.68</v>
      </c>
      <c r="Y8" s="65"/>
      <c r="Z8" s="215">
        <f>621.371+90.592</f>
        <v>711.96299999999997</v>
      </c>
      <c r="AA8" s="65"/>
      <c r="AB8" s="215">
        <v>847.97500000000002</v>
      </c>
      <c r="AC8" s="50"/>
      <c r="AD8" s="215">
        <v>760.755</v>
      </c>
      <c r="AE8" s="4"/>
      <c r="AF8" s="215">
        <v>854.745</v>
      </c>
      <c r="AG8" s="4"/>
      <c r="AH8" s="99">
        <f>660.9+246.6</f>
        <v>907.5</v>
      </c>
      <c r="AI8" s="4"/>
      <c r="AJ8" s="99">
        <v>1276.2</v>
      </c>
      <c r="AK8" s="4"/>
      <c r="AL8" s="99">
        <v>1533.2</v>
      </c>
      <c r="AN8" s="99">
        <v>1670.9</v>
      </c>
    </row>
    <row r="9" spans="1:41">
      <c r="A9" s="4" t="s">
        <v>458</v>
      </c>
      <c r="B9" s="4" t="s">
        <v>167</v>
      </c>
      <c r="C9" s="4"/>
      <c r="D9" s="62"/>
      <c r="E9" s="11"/>
      <c r="F9" s="62">
        <v>5.3310000000000004</v>
      </c>
      <c r="G9" s="4"/>
      <c r="H9" s="62">
        <v>66.522999999999996</v>
      </c>
      <c r="I9" s="4"/>
      <c r="J9" s="62">
        <v>171.14099999999999</v>
      </c>
      <c r="K9" s="4"/>
      <c r="L9" s="62">
        <v>372.77499999999998</v>
      </c>
      <c r="M9" s="4"/>
      <c r="N9" s="99">
        <v>526.62900000000002</v>
      </c>
      <c r="O9" s="65"/>
      <c r="P9" s="99">
        <v>746.01199999999994</v>
      </c>
      <c r="Q9" s="65"/>
      <c r="R9" s="99">
        <v>819.923</v>
      </c>
      <c r="S9" s="65"/>
      <c r="T9" s="99">
        <v>891.26099999999997</v>
      </c>
      <c r="U9" s="65"/>
      <c r="V9" s="99">
        <v>424.15300000000002</v>
      </c>
      <c r="W9" s="65"/>
      <c r="X9" s="99">
        <v>1103.1769999999999</v>
      </c>
      <c r="Y9" s="533"/>
      <c r="Z9" s="99">
        <v>939.83199999999999</v>
      </c>
      <c r="AA9" s="533"/>
      <c r="AB9" s="99">
        <v>1085.595</v>
      </c>
      <c r="AC9" s="4"/>
      <c r="AD9" s="99">
        <v>858.65700000000004</v>
      </c>
      <c r="AE9" s="92"/>
      <c r="AF9" s="99">
        <f>568.228+230.607</f>
        <v>798.83499999999992</v>
      </c>
      <c r="AG9" s="92"/>
      <c r="AH9" s="99">
        <f>836.3+228.6</f>
        <v>1064.8999999999999</v>
      </c>
      <c r="AI9" s="92"/>
      <c r="AJ9" s="99">
        <v>1337.1</v>
      </c>
      <c r="AK9" s="92"/>
      <c r="AL9" s="99">
        <v>1835.9</v>
      </c>
      <c r="AN9" s="99">
        <v>2091.8000000000002</v>
      </c>
    </row>
    <row r="10" spans="1:41">
      <c r="A10" s="4" t="s">
        <v>459</v>
      </c>
      <c r="B10" s="4" t="s">
        <v>166</v>
      </c>
      <c r="C10" s="4"/>
      <c r="D10" s="62"/>
      <c r="E10" s="11"/>
      <c r="F10" s="62">
        <v>7.2409999999999997</v>
      </c>
      <c r="G10" s="4"/>
      <c r="H10" s="62">
        <v>76.278000000000006</v>
      </c>
      <c r="I10" s="4"/>
      <c r="J10" s="62">
        <v>192.26300000000001</v>
      </c>
      <c r="K10" s="4"/>
      <c r="L10" s="62">
        <v>445.34300000000002</v>
      </c>
      <c r="M10" s="4"/>
      <c r="N10" s="62">
        <v>495.69099999999997</v>
      </c>
      <c r="O10" s="4"/>
      <c r="P10" s="62">
        <v>838.35699999999997</v>
      </c>
      <c r="Q10" s="4"/>
      <c r="R10" s="62">
        <v>936.17399999999998</v>
      </c>
      <c r="S10" s="4"/>
      <c r="T10" s="62">
        <v>616.202</v>
      </c>
      <c r="U10" s="4"/>
      <c r="V10" s="62">
        <v>551.26700000000005</v>
      </c>
      <c r="W10" s="4"/>
      <c r="X10" s="62">
        <v>907.65599999999995</v>
      </c>
      <c r="Y10" s="4"/>
      <c r="Z10" s="62">
        <v>886.15899999999999</v>
      </c>
      <c r="AA10" s="4"/>
      <c r="AB10" s="62">
        <v>929.67</v>
      </c>
      <c r="AC10" s="311"/>
      <c r="AD10" s="62">
        <v>928.495</v>
      </c>
      <c r="AE10" s="4"/>
      <c r="AF10" s="99">
        <v>774.904</v>
      </c>
      <c r="AG10" s="4"/>
      <c r="AH10" s="99">
        <v>2021.2</v>
      </c>
      <c r="AI10" s="4"/>
      <c r="AJ10" s="99">
        <v>1282.4000000000001</v>
      </c>
      <c r="AK10" s="4"/>
      <c r="AL10" s="99">
        <v>1891.9</v>
      </c>
      <c r="AN10" s="99"/>
    </row>
    <row r="11" spans="1:41">
      <c r="A11" s="4" t="s">
        <v>460</v>
      </c>
      <c r="B11" s="4" t="s">
        <v>62</v>
      </c>
      <c r="C11" s="4"/>
      <c r="D11" s="62">
        <v>0.16200000000000001</v>
      </c>
      <c r="E11" s="11"/>
      <c r="F11" s="62">
        <v>3.6909999999999998</v>
      </c>
      <c r="G11" s="4"/>
      <c r="H11" s="62">
        <v>93.962000000000003</v>
      </c>
      <c r="I11" s="4"/>
      <c r="J11" s="62">
        <v>229.17599999999999</v>
      </c>
      <c r="K11" s="4"/>
      <c r="L11" s="62">
        <v>434.44299999999998</v>
      </c>
      <c r="M11" s="4"/>
      <c r="N11" s="99">
        <v>383.05099999999999</v>
      </c>
      <c r="O11" s="4"/>
      <c r="P11" s="62">
        <v>537.56500000000005</v>
      </c>
      <c r="Q11" s="4"/>
      <c r="R11" s="62">
        <v>1185.816</v>
      </c>
      <c r="S11" s="4"/>
      <c r="T11" s="62">
        <v>698.90499999999997</v>
      </c>
      <c r="U11" s="4"/>
      <c r="V11" s="62">
        <v>800.36199999999997</v>
      </c>
      <c r="W11" s="4"/>
      <c r="X11" s="99">
        <v>596.47</v>
      </c>
      <c r="Y11" s="4"/>
      <c r="Z11" s="99">
        <v>702.03800000000001</v>
      </c>
      <c r="AA11" s="4"/>
      <c r="AB11" s="99">
        <v>917.21500000000003</v>
      </c>
      <c r="AC11" s="311"/>
      <c r="AD11" s="99">
        <v>1134.8910000000001</v>
      </c>
      <c r="AE11" s="4"/>
      <c r="AF11" s="99">
        <v>868.62599999999998</v>
      </c>
      <c r="AG11" s="4"/>
      <c r="AH11" s="99">
        <v>1525.8</v>
      </c>
      <c r="AI11" s="4"/>
      <c r="AJ11" s="99">
        <v>1319.4</v>
      </c>
      <c r="AK11" s="4"/>
      <c r="AL11" s="99">
        <v>3083.6</v>
      </c>
      <c r="AN11" s="99"/>
    </row>
    <row r="12" spans="1:41">
      <c r="A12" s="4"/>
      <c r="B12" s="4"/>
      <c r="C12" s="4"/>
      <c r="D12" s="11"/>
      <c r="E12" s="11"/>
      <c r="F12" s="11"/>
      <c r="G12" s="4"/>
      <c r="H12" s="4"/>
      <c r="I12" s="4"/>
      <c r="J12" s="4"/>
      <c r="K12" s="4"/>
      <c r="L12" s="4"/>
      <c r="M12" s="4"/>
      <c r="N12" s="4"/>
      <c r="O12" s="4"/>
      <c r="P12" s="4"/>
      <c r="Q12" s="4"/>
      <c r="R12" s="4"/>
      <c r="S12" s="4"/>
      <c r="T12" s="4"/>
      <c r="U12" s="4"/>
      <c r="V12" s="4"/>
      <c r="W12" s="4"/>
      <c r="X12" s="4"/>
      <c r="Y12" s="4"/>
      <c r="Z12" s="4"/>
      <c r="AA12" s="4"/>
      <c r="AB12" s="73"/>
      <c r="AC12" s="4"/>
      <c r="AD12" s="4"/>
      <c r="AE12" s="4"/>
      <c r="AF12" s="65"/>
      <c r="AG12" s="4"/>
      <c r="AH12" s="4"/>
      <c r="AI12" s="4"/>
      <c r="AJ12" s="4"/>
      <c r="AK12" s="4"/>
      <c r="AL12" s="4"/>
      <c r="AN12" s="4"/>
    </row>
    <row r="13" spans="1:41">
      <c r="A13" s="4"/>
      <c r="B13" s="4"/>
      <c r="C13" s="4"/>
      <c r="D13" s="4"/>
      <c r="E13" s="69"/>
      <c r="F13" s="69" t="s">
        <v>185</v>
      </c>
      <c r="G13" s="69"/>
      <c r="H13" s="69"/>
      <c r="I13" s="69"/>
      <c r="K13" s="69"/>
      <c r="L13" s="69"/>
      <c r="M13" s="69"/>
      <c r="N13" s="69"/>
      <c r="O13" s="69"/>
      <c r="P13" s="69"/>
      <c r="Q13" s="69"/>
      <c r="R13" s="69"/>
      <c r="S13" s="69"/>
      <c r="T13" s="69"/>
      <c r="U13" s="69"/>
      <c r="V13" s="69"/>
      <c r="W13" s="69"/>
      <c r="X13" s="69" t="str">
        <f>F13</f>
        <v>Short-Term Debt</v>
      </c>
      <c r="Y13" s="69"/>
      <c r="Z13" s="69"/>
      <c r="AA13" s="69"/>
      <c r="AB13" s="69"/>
      <c r="AC13" s="4"/>
      <c r="AD13" s="69"/>
      <c r="AE13" s="4"/>
      <c r="AF13" s="561"/>
      <c r="AG13" s="4"/>
      <c r="AH13" s="69"/>
      <c r="AI13" s="4"/>
      <c r="AJ13" s="69"/>
      <c r="AK13" s="4"/>
      <c r="AL13" s="69"/>
      <c r="AN13" s="69"/>
    </row>
    <row r="14" spans="1:41">
      <c r="A14" s="4" t="str">
        <f t="shared" ref="A14:B17" si="0">A8</f>
        <v>1Q</v>
      </c>
      <c r="B14" s="4" t="str">
        <f t="shared" si="0"/>
        <v>Sept</v>
      </c>
      <c r="C14" s="4"/>
      <c r="D14" s="66"/>
      <c r="E14" s="11"/>
      <c r="F14" s="66">
        <v>0.04</v>
      </c>
      <c r="G14" s="4"/>
      <c r="H14" s="66">
        <v>7.4999999999999997E-2</v>
      </c>
      <c r="I14" s="4"/>
      <c r="J14" s="66">
        <v>0.08</v>
      </c>
      <c r="K14" s="4"/>
      <c r="L14" s="66">
        <v>0.115</v>
      </c>
      <c r="M14" s="4"/>
      <c r="N14" s="66">
        <v>0.15</v>
      </c>
      <c r="O14" s="4"/>
      <c r="P14" s="66">
        <v>0.17</v>
      </c>
      <c r="Q14" s="4"/>
      <c r="R14" s="66">
        <v>0.23499999999999999</v>
      </c>
      <c r="S14" s="4"/>
      <c r="T14" s="66">
        <v>0.28499999999999998</v>
      </c>
      <c r="U14" s="4"/>
      <c r="V14" s="66">
        <v>0.33500000000000002</v>
      </c>
      <c r="W14" s="4"/>
      <c r="X14" s="66">
        <v>0.70399999999999996</v>
      </c>
      <c r="Y14" s="4"/>
      <c r="Z14" s="66">
        <v>0.75</v>
      </c>
      <c r="AA14" s="4"/>
      <c r="AB14" s="66">
        <v>0.8</v>
      </c>
      <c r="AC14" s="4"/>
      <c r="AD14" s="66">
        <v>22.279</v>
      </c>
      <c r="AE14" s="4"/>
      <c r="AF14" s="215">
        <v>0.5</v>
      </c>
      <c r="AG14" s="4"/>
      <c r="AH14" s="215">
        <v>0</v>
      </c>
      <c r="AI14" s="4"/>
      <c r="AJ14" s="215">
        <v>0</v>
      </c>
      <c r="AK14" s="4"/>
      <c r="AL14" s="215">
        <v>0</v>
      </c>
      <c r="AN14" s="215">
        <v>800.6</v>
      </c>
    </row>
    <row r="15" spans="1:41">
      <c r="A15" s="4" t="str">
        <f t="shared" si="0"/>
        <v>2Q</v>
      </c>
      <c r="B15" s="4" t="str">
        <f t="shared" si="0"/>
        <v>Dec</v>
      </c>
      <c r="C15" s="4"/>
      <c r="D15" s="62"/>
      <c r="E15" s="11"/>
      <c r="F15" s="62">
        <v>0</v>
      </c>
      <c r="G15" s="4"/>
      <c r="H15" s="62">
        <v>7.4999999999999997E-2</v>
      </c>
      <c r="I15" s="4"/>
      <c r="J15" s="62">
        <v>0.08</v>
      </c>
      <c r="K15" s="4"/>
      <c r="L15" s="62">
        <v>0.115</v>
      </c>
      <c r="M15" s="4"/>
      <c r="N15" s="62">
        <v>0.15</v>
      </c>
      <c r="O15" s="4"/>
      <c r="P15" s="62">
        <v>0.17</v>
      </c>
      <c r="Q15" s="4"/>
      <c r="R15" s="62">
        <v>0.23499999999999999</v>
      </c>
      <c r="S15" s="4"/>
      <c r="T15" s="62">
        <v>0.28499999999999998</v>
      </c>
      <c r="U15" s="4"/>
      <c r="V15" s="62">
        <v>0.503</v>
      </c>
      <c r="W15" s="4"/>
      <c r="X15" s="62">
        <v>0.73699999999999999</v>
      </c>
      <c r="Y15" s="4"/>
      <c r="Z15" s="62">
        <v>0.79</v>
      </c>
      <c r="AA15" s="4"/>
      <c r="AB15" s="62">
        <v>0.80400000000000005</v>
      </c>
      <c r="AC15" s="4"/>
      <c r="AD15" s="62">
        <v>22.225000000000001</v>
      </c>
      <c r="AE15" s="4"/>
      <c r="AF15" s="99">
        <v>0.48499999999999999</v>
      </c>
      <c r="AG15" s="4"/>
      <c r="AH15" s="62">
        <v>0</v>
      </c>
      <c r="AI15" s="4"/>
      <c r="AJ15" s="62">
        <v>0</v>
      </c>
      <c r="AK15" s="4"/>
      <c r="AL15" s="62">
        <v>0</v>
      </c>
      <c r="AN15" s="62">
        <v>800.6</v>
      </c>
    </row>
    <row r="16" spans="1:41">
      <c r="A16" s="4" t="str">
        <f t="shared" si="0"/>
        <v>3Q</v>
      </c>
      <c r="B16" s="4" t="str">
        <f t="shared" si="0"/>
        <v>Mar</v>
      </c>
      <c r="C16" s="4"/>
      <c r="D16" s="62"/>
      <c r="E16" s="11"/>
      <c r="F16" s="62">
        <v>4.4999999999999998E-2</v>
      </c>
      <c r="G16" s="4"/>
      <c r="H16" s="62">
        <v>7.4999999999999997E-2</v>
      </c>
      <c r="I16" s="4"/>
      <c r="J16" s="62">
        <v>0.08</v>
      </c>
      <c r="K16" s="4"/>
      <c r="L16" s="62">
        <v>0.115</v>
      </c>
      <c r="M16" s="4"/>
      <c r="N16" s="62">
        <v>0.15</v>
      </c>
      <c r="O16" s="4"/>
      <c r="P16" s="62">
        <v>0.17</v>
      </c>
      <c r="Q16" s="4"/>
      <c r="R16" s="62">
        <v>0.23499999999999999</v>
      </c>
      <c r="S16" s="4"/>
      <c r="T16" s="62">
        <v>0.28499999999999998</v>
      </c>
      <c r="U16" s="4"/>
      <c r="V16" s="62">
        <v>0.59399999999999997</v>
      </c>
      <c r="W16" s="4"/>
      <c r="X16" s="62">
        <v>0.74199999999999999</v>
      </c>
      <c r="Y16" s="4"/>
      <c r="Z16" s="62">
        <v>0.79100000000000004</v>
      </c>
      <c r="AA16" s="4"/>
      <c r="AB16" s="62">
        <v>0.84699999999999998</v>
      </c>
      <c r="AC16" s="4"/>
      <c r="AD16" s="62">
        <v>22.122</v>
      </c>
      <c r="AE16" s="4"/>
      <c r="AF16" s="99">
        <v>0</v>
      </c>
      <c r="AG16" s="4"/>
      <c r="AH16" s="62">
        <v>0</v>
      </c>
      <c r="AI16" s="4"/>
      <c r="AJ16" s="62">
        <v>0</v>
      </c>
      <c r="AK16" s="4"/>
      <c r="AL16" s="62">
        <v>0</v>
      </c>
      <c r="AN16" s="62"/>
    </row>
    <row r="17" spans="1:40">
      <c r="A17" s="4" t="str">
        <f t="shared" si="0"/>
        <v>4Q</v>
      </c>
      <c r="B17" s="4" t="str">
        <f t="shared" si="0"/>
        <v>June</v>
      </c>
      <c r="C17" s="4"/>
      <c r="D17" s="62">
        <v>0.04</v>
      </c>
      <c r="E17" s="11"/>
      <c r="F17" s="62">
        <v>4.4999999999999998E-2</v>
      </c>
      <c r="G17" s="4"/>
      <c r="H17" s="62">
        <v>7.4999999999999997E-2</v>
      </c>
      <c r="I17" s="4"/>
      <c r="J17" s="62">
        <v>0.08</v>
      </c>
      <c r="K17" s="4"/>
      <c r="L17" s="62">
        <v>0.115</v>
      </c>
      <c r="M17" s="4"/>
      <c r="N17" s="62">
        <v>0.15</v>
      </c>
      <c r="O17" s="4"/>
      <c r="P17" s="62">
        <v>0.17</v>
      </c>
      <c r="Q17" s="4"/>
      <c r="R17" s="62">
        <v>0.23499999999999999</v>
      </c>
      <c r="S17" s="4"/>
      <c r="T17" s="62">
        <v>0.28499999999999998</v>
      </c>
      <c r="U17" s="4"/>
      <c r="V17" s="62">
        <v>0.50800000000000001</v>
      </c>
      <c r="W17" s="4"/>
      <c r="X17" s="99">
        <v>0.74199999999999999</v>
      </c>
      <c r="Y17" s="4"/>
      <c r="Z17" s="99">
        <v>0.79500000000000004</v>
      </c>
      <c r="AA17" s="4"/>
      <c r="AB17" s="99">
        <v>22.375</v>
      </c>
      <c r="AC17" s="4"/>
      <c r="AD17" s="99">
        <v>0.5</v>
      </c>
      <c r="AE17" s="4"/>
      <c r="AF17" s="99">
        <v>0</v>
      </c>
      <c r="AG17" s="4"/>
      <c r="AH17" s="99">
        <v>0</v>
      </c>
      <c r="AI17" s="4"/>
      <c r="AJ17" s="99">
        <v>0</v>
      </c>
      <c r="AK17" s="4"/>
      <c r="AL17" s="99">
        <v>0</v>
      </c>
      <c r="AN17" s="99"/>
    </row>
    <row r="18" spans="1:40">
      <c r="A18" s="4"/>
      <c r="B18" s="4"/>
      <c r="C18" s="4"/>
      <c r="D18" s="62"/>
      <c r="E18" s="11"/>
      <c r="F18" s="62"/>
      <c r="G18" s="4"/>
      <c r="H18" s="62"/>
      <c r="I18" s="4"/>
      <c r="J18" s="62"/>
      <c r="K18" s="4"/>
      <c r="L18" s="62"/>
      <c r="M18" s="4"/>
      <c r="N18" s="62"/>
      <c r="O18" s="4"/>
      <c r="P18" s="62"/>
      <c r="Q18" s="4"/>
      <c r="R18" s="62"/>
      <c r="S18" s="4"/>
      <c r="T18" s="62"/>
      <c r="U18" s="4"/>
      <c r="V18" s="62"/>
      <c r="W18" s="4"/>
      <c r="X18" s="62"/>
      <c r="Y18" s="4"/>
      <c r="Z18" s="62"/>
      <c r="AA18" s="4"/>
      <c r="AB18" s="62"/>
      <c r="AC18" s="4"/>
      <c r="AD18" s="62"/>
      <c r="AE18" s="4"/>
      <c r="AF18" s="99"/>
      <c r="AG18" s="4"/>
      <c r="AH18" s="62"/>
      <c r="AI18" s="4"/>
      <c r="AJ18" s="62"/>
      <c r="AK18" s="4"/>
      <c r="AL18" s="62"/>
      <c r="AN18" s="62"/>
    </row>
    <row r="19" spans="1:40">
      <c r="A19" s="4"/>
      <c r="B19" s="4"/>
      <c r="C19" s="4"/>
      <c r="D19" s="4"/>
      <c r="E19" s="69"/>
      <c r="F19" s="69" t="s">
        <v>476</v>
      </c>
      <c r="G19" s="69"/>
      <c r="H19" s="69"/>
      <c r="I19" s="69"/>
      <c r="K19" s="69"/>
      <c r="L19" s="69"/>
      <c r="M19" s="69"/>
      <c r="N19" s="69"/>
      <c r="O19" s="69"/>
      <c r="P19" s="69"/>
      <c r="Q19" s="69"/>
      <c r="R19" s="69"/>
      <c r="S19" s="69"/>
      <c r="T19" s="69"/>
      <c r="U19" s="69"/>
      <c r="V19" s="69"/>
      <c r="W19" s="69"/>
      <c r="X19" s="69" t="str">
        <f>F19</f>
        <v>Revolving Credit Facility</v>
      </c>
      <c r="Y19" s="69"/>
      <c r="Z19" s="69"/>
      <c r="AA19" s="69"/>
      <c r="AB19" s="69"/>
      <c r="AC19" s="4"/>
      <c r="AD19" s="69"/>
      <c r="AE19" s="4"/>
      <c r="AF19" s="561"/>
      <c r="AG19" s="4"/>
      <c r="AH19" s="69"/>
      <c r="AI19" s="4"/>
      <c r="AJ19" s="69"/>
      <c r="AK19" s="4"/>
      <c r="AL19" s="69"/>
      <c r="AN19" s="69"/>
    </row>
    <row r="20" spans="1:40">
      <c r="A20" s="4" t="str">
        <f t="shared" ref="A20:B23" si="1">A8</f>
        <v>1Q</v>
      </c>
      <c r="B20" s="4" t="str">
        <f t="shared" si="1"/>
        <v>Sept</v>
      </c>
      <c r="C20" s="4"/>
      <c r="D20" s="66"/>
      <c r="E20" s="11"/>
      <c r="F20" s="66">
        <f>5.671</f>
        <v>5.6710000000000003</v>
      </c>
      <c r="G20" s="4"/>
      <c r="H20" s="66">
        <f>40.5</f>
        <v>40.5</v>
      </c>
      <c r="I20" s="4"/>
      <c r="J20" s="66">
        <f>35.042</f>
        <v>35.042000000000002</v>
      </c>
      <c r="K20" s="4"/>
      <c r="L20" s="66">
        <f>28.233</f>
        <v>28.233000000000001</v>
      </c>
      <c r="M20" s="4"/>
      <c r="N20" s="66">
        <f>23.099</f>
        <v>23.099</v>
      </c>
      <c r="O20" s="4"/>
      <c r="P20" s="66">
        <f>4.867</f>
        <v>4.867</v>
      </c>
      <c r="Q20" s="4"/>
      <c r="R20" s="66">
        <f>7.38</f>
        <v>7.38</v>
      </c>
      <c r="S20" s="4"/>
      <c r="T20" s="66">
        <v>0</v>
      </c>
      <c r="U20" s="4"/>
      <c r="V20" s="66">
        <v>0</v>
      </c>
      <c r="W20" s="4"/>
      <c r="X20" s="66">
        <v>0</v>
      </c>
      <c r="Y20" s="4"/>
      <c r="Z20" s="66">
        <v>0</v>
      </c>
      <c r="AA20" s="4"/>
      <c r="AB20" s="66">
        <v>0</v>
      </c>
      <c r="AC20" s="4"/>
      <c r="AD20" s="66">
        <v>0</v>
      </c>
      <c r="AE20" s="4"/>
      <c r="AF20" s="215">
        <v>0</v>
      </c>
      <c r="AG20" s="4"/>
      <c r="AH20" s="66">
        <v>170</v>
      </c>
      <c r="AI20" s="4"/>
      <c r="AJ20" s="66">
        <v>15</v>
      </c>
      <c r="AK20" s="4"/>
      <c r="AL20" s="66">
        <v>0</v>
      </c>
      <c r="AN20" s="66">
        <v>0</v>
      </c>
    </row>
    <row r="21" spans="1:40">
      <c r="A21" s="4" t="str">
        <f t="shared" si="1"/>
        <v>2Q</v>
      </c>
      <c r="B21" s="4" t="str">
        <f t="shared" si="1"/>
        <v>Dec</v>
      </c>
      <c r="C21" s="4"/>
      <c r="D21" s="62"/>
      <c r="E21" s="11"/>
      <c r="F21" s="62">
        <v>46.045000000000002</v>
      </c>
      <c r="G21" s="4"/>
      <c r="H21" s="62">
        <f>15.917</f>
        <v>15.917</v>
      </c>
      <c r="I21" s="4"/>
      <c r="J21" s="62">
        <f>42.504</f>
        <v>42.503999999999998</v>
      </c>
      <c r="K21" s="4"/>
      <c r="L21" s="62">
        <f>34.432</f>
        <v>34.432000000000002</v>
      </c>
      <c r="M21" s="4"/>
      <c r="N21" s="62">
        <f>50.461</f>
        <v>50.460999999999999</v>
      </c>
      <c r="O21" s="4"/>
      <c r="P21" s="62">
        <f>13.237</f>
        <v>13.237</v>
      </c>
      <c r="Q21" s="4"/>
      <c r="R21" s="62">
        <v>14.308999999999999</v>
      </c>
      <c r="S21" s="4"/>
      <c r="T21" s="62">
        <v>14.2</v>
      </c>
      <c r="U21" s="4"/>
      <c r="V21" s="62">
        <v>1.8959999999999999</v>
      </c>
      <c r="W21" s="4"/>
      <c r="X21" s="62">
        <v>0</v>
      </c>
      <c r="Y21" s="4"/>
      <c r="Z21" s="62">
        <v>27.119</v>
      </c>
      <c r="AA21" s="4"/>
      <c r="AB21" s="62">
        <v>0</v>
      </c>
      <c r="AC21" s="4"/>
      <c r="AD21" s="62">
        <v>0</v>
      </c>
      <c r="AE21" s="4"/>
      <c r="AF21" s="99">
        <v>0</v>
      </c>
      <c r="AG21" s="4"/>
      <c r="AH21" s="62">
        <v>20</v>
      </c>
      <c r="AI21" s="4"/>
      <c r="AJ21" s="62">
        <v>15</v>
      </c>
      <c r="AK21" s="4"/>
      <c r="AL21" s="62">
        <v>0</v>
      </c>
      <c r="AN21" s="62">
        <v>0</v>
      </c>
    </row>
    <row r="22" spans="1:40">
      <c r="A22" s="4" t="str">
        <f t="shared" si="1"/>
        <v>3Q</v>
      </c>
      <c r="B22" s="4" t="str">
        <f t="shared" si="1"/>
        <v>Mar</v>
      </c>
      <c r="C22" s="4"/>
      <c r="D22" s="62"/>
      <c r="E22" s="11"/>
      <c r="F22" s="62">
        <f>19</f>
        <v>19</v>
      </c>
      <c r="G22" s="4"/>
      <c r="H22" s="62">
        <f>35.386</f>
        <v>35.386000000000003</v>
      </c>
      <c r="I22" s="4"/>
      <c r="J22" s="62">
        <f>32.945</f>
        <v>32.945</v>
      </c>
      <c r="K22" s="4"/>
      <c r="L22" s="62">
        <f>13.264</f>
        <v>13.263999999999999</v>
      </c>
      <c r="M22" s="4"/>
      <c r="N22" s="62">
        <f>21.315</f>
        <v>21.315000000000001</v>
      </c>
      <c r="O22" s="4"/>
      <c r="P22" s="62">
        <f>1.836</f>
        <v>1.8360000000000001</v>
      </c>
      <c r="Q22" s="4"/>
      <c r="R22" s="62">
        <v>0</v>
      </c>
      <c r="S22" s="4"/>
      <c r="T22" s="62">
        <v>11.079000000000001</v>
      </c>
      <c r="U22" s="4"/>
      <c r="V22" s="62">
        <v>1.8959999999999999</v>
      </c>
      <c r="W22" s="4"/>
      <c r="X22" s="62">
        <v>0</v>
      </c>
      <c r="Y22" s="4"/>
      <c r="Z22" s="62">
        <v>0</v>
      </c>
      <c r="AA22" s="4"/>
      <c r="AB22" s="62">
        <v>0</v>
      </c>
      <c r="AC22" s="4"/>
      <c r="AD22" s="62">
        <v>0</v>
      </c>
      <c r="AE22" s="4"/>
      <c r="AF22" s="99">
        <v>210.48500000000001</v>
      </c>
      <c r="AG22" s="4"/>
      <c r="AH22" s="62">
        <v>7.5</v>
      </c>
      <c r="AI22" s="4"/>
      <c r="AJ22" s="62">
        <v>15</v>
      </c>
      <c r="AK22" s="4"/>
      <c r="AL22" s="62">
        <v>0</v>
      </c>
      <c r="AN22" s="62"/>
    </row>
    <row r="23" spans="1:40">
      <c r="A23" s="4" t="str">
        <f t="shared" si="1"/>
        <v>4Q</v>
      </c>
      <c r="B23" s="4" t="str">
        <f t="shared" si="1"/>
        <v>June</v>
      </c>
      <c r="C23" s="4"/>
      <c r="D23" s="62">
        <v>0</v>
      </c>
      <c r="E23" s="11"/>
      <c r="F23" s="62">
        <f>7.7</f>
        <v>7.7</v>
      </c>
      <c r="G23" s="4"/>
      <c r="H23" s="62">
        <f>34.169</f>
        <v>34.168999999999997</v>
      </c>
      <c r="I23" s="4"/>
      <c r="J23" s="62">
        <f>26.471</f>
        <v>26.471</v>
      </c>
      <c r="K23" s="4"/>
      <c r="L23" s="62">
        <f>1.699</f>
        <v>1.6990000000000001</v>
      </c>
      <c r="M23" s="4"/>
      <c r="N23" s="62">
        <f>12.292</f>
        <v>12.292</v>
      </c>
      <c r="O23" s="4"/>
      <c r="P23" s="62">
        <v>0</v>
      </c>
      <c r="Q23" s="4"/>
      <c r="R23" s="62">
        <v>0</v>
      </c>
      <c r="S23" s="4"/>
      <c r="T23" s="62">
        <v>0</v>
      </c>
      <c r="U23" s="4"/>
      <c r="V23" s="62">
        <v>7.4960000000000004</v>
      </c>
      <c r="W23" s="4"/>
      <c r="X23" s="62">
        <v>0</v>
      </c>
      <c r="Y23" s="4"/>
      <c r="Z23" s="62">
        <v>0</v>
      </c>
      <c r="AA23" s="4"/>
      <c r="AB23" s="62">
        <v>0</v>
      </c>
      <c r="AC23" s="4"/>
      <c r="AD23" s="62">
        <v>0</v>
      </c>
      <c r="AE23" s="4"/>
      <c r="AF23" s="99">
        <v>140.48500000000001</v>
      </c>
      <c r="AG23" s="4"/>
      <c r="AH23" s="62">
        <v>11.3</v>
      </c>
      <c r="AI23" s="4"/>
      <c r="AJ23" s="62">
        <v>15</v>
      </c>
      <c r="AK23" s="4"/>
      <c r="AL23" s="62">
        <v>0</v>
      </c>
      <c r="AN23" s="62"/>
    </row>
    <row r="24" spans="1:40">
      <c r="A24" s="4"/>
      <c r="B24" s="4"/>
      <c r="C24" s="4"/>
      <c r="D24" s="62"/>
      <c r="E24" s="11"/>
      <c r="F24" s="62"/>
      <c r="G24" s="4"/>
      <c r="H24" s="62"/>
      <c r="I24" s="4"/>
      <c r="J24" s="62"/>
      <c r="K24" s="4"/>
      <c r="L24" s="62"/>
      <c r="M24" s="4"/>
      <c r="N24" s="62"/>
      <c r="O24" s="4"/>
      <c r="P24" s="62"/>
      <c r="Q24" s="4"/>
      <c r="R24" s="62"/>
      <c r="S24" s="4"/>
      <c r="T24" s="62"/>
      <c r="U24" s="4"/>
      <c r="V24" s="62"/>
      <c r="W24" s="4"/>
      <c r="X24" s="62"/>
      <c r="Y24" s="4"/>
      <c r="Z24" s="62"/>
      <c r="AA24" s="4"/>
      <c r="AB24" s="62"/>
      <c r="AC24" s="4"/>
      <c r="AD24" s="62"/>
      <c r="AE24" s="4"/>
      <c r="AF24" s="99"/>
      <c r="AG24" s="4"/>
      <c r="AH24" s="62"/>
      <c r="AI24" s="4"/>
      <c r="AJ24" s="62"/>
      <c r="AK24" s="4"/>
      <c r="AL24" s="62"/>
      <c r="AN24" s="62"/>
    </row>
    <row r="25" spans="1:40">
      <c r="A25" s="4"/>
      <c r="B25" s="4"/>
      <c r="C25" s="4"/>
      <c r="D25" s="4"/>
      <c r="E25" s="69"/>
      <c r="F25" s="69" t="s">
        <v>186</v>
      </c>
      <c r="G25" s="69"/>
      <c r="H25" s="69"/>
      <c r="I25" s="69"/>
      <c r="K25" s="69"/>
      <c r="L25" s="69"/>
      <c r="M25" s="69"/>
      <c r="N25" s="69"/>
      <c r="O25" s="69"/>
      <c r="P25" s="69"/>
      <c r="Q25" s="69"/>
      <c r="R25" s="69"/>
      <c r="S25" s="69"/>
      <c r="T25" s="69"/>
      <c r="U25" s="69"/>
      <c r="V25" s="69"/>
      <c r="W25" s="69"/>
      <c r="X25" s="69" t="str">
        <f>F25</f>
        <v>Long-Term Debt</v>
      </c>
      <c r="Y25" s="69"/>
      <c r="Z25" s="69"/>
      <c r="AA25" s="69"/>
      <c r="AB25" s="69"/>
      <c r="AC25" s="4"/>
      <c r="AD25" s="69"/>
      <c r="AE25" s="4"/>
      <c r="AF25" s="561"/>
      <c r="AG25" s="4"/>
      <c r="AH25" s="69"/>
      <c r="AI25" s="4"/>
      <c r="AJ25" s="69"/>
      <c r="AK25" s="4"/>
      <c r="AL25" s="69"/>
      <c r="AN25" s="69"/>
    </row>
    <row r="26" spans="1:40">
      <c r="A26" s="4" t="str">
        <f t="shared" ref="A26:B29" si="2">A14</f>
        <v>1Q</v>
      </c>
      <c r="B26" s="4" t="str">
        <f t="shared" si="2"/>
        <v>Sept</v>
      </c>
      <c r="C26" s="4"/>
      <c r="D26" s="66"/>
      <c r="E26" s="11"/>
      <c r="F26" s="66">
        <v>71.734999999999999</v>
      </c>
      <c r="G26" s="4"/>
      <c r="H26" s="66">
        <v>3.6150000000000002</v>
      </c>
      <c r="I26" s="4"/>
      <c r="J26" s="66">
        <v>3.5350000000000001</v>
      </c>
      <c r="K26" s="4"/>
      <c r="L26" s="66">
        <v>3.42</v>
      </c>
      <c r="M26" s="4"/>
      <c r="N26" s="66">
        <v>3.27</v>
      </c>
      <c r="O26" s="4"/>
      <c r="P26" s="66">
        <v>3.1</v>
      </c>
      <c r="Q26" s="4"/>
      <c r="R26" s="66">
        <v>2.8650000000000002</v>
      </c>
      <c r="S26" s="4"/>
      <c r="T26" s="66">
        <v>2.58</v>
      </c>
      <c r="U26" s="4"/>
      <c r="V26" s="66">
        <v>2.2450000000000001</v>
      </c>
      <c r="W26" s="4"/>
      <c r="X26" s="66">
        <v>24.428999999999998</v>
      </c>
      <c r="Y26" s="4"/>
      <c r="Z26" s="66">
        <v>24.064</v>
      </c>
      <c r="AA26" s="4"/>
      <c r="AB26" s="66">
        <v>23.263999999999999</v>
      </c>
      <c r="AC26" s="4"/>
      <c r="AD26" s="66">
        <v>0.98499999999999999</v>
      </c>
      <c r="AE26" s="4"/>
      <c r="AF26" s="215">
        <v>0.48499999999999999</v>
      </c>
      <c r="AG26" s="4"/>
      <c r="AH26" s="66">
        <v>0</v>
      </c>
      <c r="AI26" s="4"/>
      <c r="AJ26" s="66">
        <v>875.6</v>
      </c>
      <c r="AK26" s="4"/>
      <c r="AL26" s="66">
        <v>591.4</v>
      </c>
      <c r="AN26" s="66">
        <v>1888.2</v>
      </c>
    </row>
    <row r="27" spans="1:40">
      <c r="A27" s="4" t="str">
        <f t="shared" si="2"/>
        <v>2Q</v>
      </c>
      <c r="B27" s="4" t="str">
        <f t="shared" si="2"/>
        <v>Dec</v>
      </c>
      <c r="C27" s="4"/>
      <c r="D27" s="62"/>
      <c r="E27" s="11"/>
      <c r="F27" s="62">
        <v>3.73</v>
      </c>
      <c r="G27" s="4"/>
      <c r="H27" s="62">
        <v>3.6150000000000002</v>
      </c>
      <c r="I27" s="4"/>
      <c r="J27" s="62">
        <v>3.5350000000000001</v>
      </c>
      <c r="K27" s="4"/>
      <c r="L27" s="62">
        <v>3.42</v>
      </c>
      <c r="M27" s="4"/>
      <c r="N27" s="62">
        <v>3.27</v>
      </c>
      <c r="O27" s="4"/>
      <c r="P27" s="62">
        <v>3.1</v>
      </c>
      <c r="Q27" s="4"/>
      <c r="R27" s="62">
        <v>2.8650000000000002</v>
      </c>
      <c r="S27" s="4"/>
      <c r="T27" s="62">
        <v>2.58</v>
      </c>
      <c r="U27" s="4"/>
      <c r="V27" s="62">
        <v>25.076000000000001</v>
      </c>
      <c r="W27" s="4"/>
      <c r="X27" s="62">
        <v>24.338999999999999</v>
      </c>
      <c r="Y27" s="4"/>
      <c r="Z27" s="62">
        <v>23.55</v>
      </c>
      <c r="AA27" s="4"/>
      <c r="AB27" s="62">
        <v>23.164999999999999</v>
      </c>
      <c r="AC27" s="4"/>
      <c r="AD27" s="62">
        <v>0.48499999999999999</v>
      </c>
      <c r="AE27" s="4"/>
      <c r="AF27" s="99">
        <v>0</v>
      </c>
      <c r="AG27" s="4"/>
      <c r="AH27" s="62">
        <v>0</v>
      </c>
      <c r="AI27" s="4"/>
      <c r="AJ27" s="62">
        <v>872</v>
      </c>
      <c r="AK27" s="4"/>
      <c r="AL27" s="62">
        <v>591.6</v>
      </c>
      <c r="AN27" s="62">
        <v>1887.5</v>
      </c>
    </row>
    <row r="28" spans="1:40">
      <c r="A28" s="4" t="str">
        <f t="shared" si="2"/>
        <v>3Q</v>
      </c>
      <c r="B28" s="4" t="str">
        <f t="shared" si="2"/>
        <v>Mar</v>
      </c>
      <c r="C28" s="4"/>
      <c r="D28" s="62"/>
      <c r="E28" s="11"/>
      <c r="F28" s="62">
        <v>3.69</v>
      </c>
      <c r="G28" s="4"/>
      <c r="H28" s="62">
        <v>3.6150000000000002</v>
      </c>
      <c r="I28" s="4"/>
      <c r="J28" s="62">
        <v>3.5350000000000001</v>
      </c>
      <c r="K28" s="4"/>
      <c r="L28" s="62">
        <v>3.42</v>
      </c>
      <c r="M28" s="4"/>
      <c r="N28" s="62">
        <v>3.27</v>
      </c>
      <c r="O28" s="4"/>
      <c r="P28" s="62">
        <v>3.1</v>
      </c>
      <c r="Q28" s="4"/>
      <c r="R28" s="62">
        <v>2.8650000000000002</v>
      </c>
      <c r="S28" s="4"/>
      <c r="T28" s="62">
        <v>2.58</v>
      </c>
      <c r="U28" s="4"/>
      <c r="V28" s="62">
        <v>24.986000000000001</v>
      </c>
      <c r="W28" s="4"/>
      <c r="X28" s="62">
        <v>24.245000000000001</v>
      </c>
      <c r="Y28" s="4"/>
      <c r="Z28" s="62">
        <v>23.454000000000001</v>
      </c>
      <c r="AA28" s="4"/>
      <c r="AB28" s="62">
        <v>22.606999999999999</v>
      </c>
      <c r="AC28" s="4"/>
      <c r="AD28" s="62">
        <v>0.48499999999999999</v>
      </c>
      <c r="AE28" s="4"/>
      <c r="AF28" s="99">
        <v>0</v>
      </c>
      <c r="AG28" s="4"/>
      <c r="AH28" s="62">
        <v>889.5</v>
      </c>
      <c r="AI28" s="4"/>
      <c r="AJ28" s="62">
        <v>868.5</v>
      </c>
      <c r="AK28" s="4"/>
      <c r="AL28" s="62">
        <v>591.79999999999995</v>
      </c>
      <c r="AN28" s="62"/>
    </row>
    <row r="29" spans="1:40">
      <c r="A29" s="4" t="str">
        <f t="shared" si="2"/>
        <v>4Q</v>
      </c>
      <c r="B29" s="4" t="str">
        <f t="shared" si="2"/>
        <v>June</v>
      </c>
      <c r="C29" s="4"/>
      <c r="D29" s="62">
        <v>3.7349999999999999</v>
      </c>
      <c r="E29" s="11"/>
      <c r="F29" s="62">
        <v>3.69</v>
      </c>
      <c r="G29" s="4"/>
      <c r="H29" s="62">
        <v>3.6150000000000002</v>
      </c>
      <c r="I29" s="4"/>
      <c r="J29" s="62">
        <v>3.5350000000000001</v>
      </c>
      <c r="K29" s="4"/>
      <c r="L29" s="62">
        <v>3.42</v>
      </c>
      <c r="M29" s="4"/>
      <c r="N29" s="62">
        <v>3.27</v>
      </c>
      <c r="O29" s="4"/>
      <c r="P29" s="62">
        <v>3.1</v>
      </c>
      <c r="Q29" s="4"/>
      <c r="R29" s="62">
        <v>2.8650000000000002</v>
      </c>
      <c r="S29" s="4"/>
      <c r="T29" s="62">
        <v>2.58</v>
      </c>
      <c r="U29" s="4"/>
      <c r="V29" s="62">
        <v>25.071999999999999</v>
      </c>
      <c r="W29" s="4"/>
      <c r="X29" s="99">
        <v>24.158999999999999</v>
      </c>
      <c r="Y29" s="4"/>
      <c r="Z29" s="99">
        <v>23.36</v>
      </c>
      <c r="AA29" s="4"/>
      <c r="AB29" s="99">
        <v>0.98499999999999999</v>
      </c>
      <c r="AC29" s="4"/>
      <c r="AD29" s="62">
        <v>0.48499999999999999</v>
      </c>
      <c r="AE29" s="4"/>
      <c r="AF29" s="99">
        <v>0</v>
      </c>
      <c r="AG29" s="4"/>
      <c r="AH29" s="99">
        <v>879.1</v>
      </c>
      <c r="AI29" s="4"/>
      <c r="AJ29" s="99">
        <v>861.2</v>
      </c>
      <c r="AK29" s="4"/>
      <c r="AL29" s="99">
        <v>1579.5</v>
      </c>
      <c r="AN29" s="99"/>
    </row>
    <row r="30" spans="1:40">
      <c r="A30" s="4"/>
      <c r="B30" s="4"/>
      <c r="C30" s="4"/>
      <c r="D30" s="11"/>
      <c r="E30" s="11"/>
      <c r="F30" s="11"/>
      <c r="G30" s="4"/>
      <c r="H30" s="4"/>
      <c r="I30" s="4"/>
      <c r="J30" s="4"/>
      <c r="K30" s="4"/>
      <c r="L30" s="4"/>
      <c r="M30" s="4"/>
      <c r="N30" s="4"/>
      <c r="O30" s="4"/>
      <c r="P30" s="4"/>
      <c r="Q30" s="4"/>
      <c r="R30" s="4"/>
      <c r="S30" s="4"/>
      <c r="T30" s="4"/>
      <c r="U30" s="4"/>
      <c r="V30" s="4"/>
      <c r="W30" s="4"/>
      <c r="X30" s="4"/>
      <c r="Y30" s="4"/>
      <c r="Z30" s="4"/>
      <c r="AA30" s="4"/>
      <c r="AB30" s="4"/>
      <c r="AC30" s="4"/>
      <c r="AD30" s="4"/>
      <c r="AE30" s="4"/>
      <c r="AF30" s="65"/>
      <c r="AG30" s="4"/>
      <c r="AH30" s="4"/>
      <c r="AI30" s="4"/>
      <c r="AJ30" s="4"/>
      <c r="AK30" s="4"/>
      <c r="AL30" s="73"/>
    </row>
    <row r="31" spans="1:40">
      <c r="A31" s="4"/>
      <c r="B31" s="4"/>
      <c r="C31" s="4"/>
      <c r="D31" s="4"/>
      <c r="E31" s="71"/>
      <c r="F31" s="71" t="s">
        <v>187</v>
      </c>
      <c r="G31" s="71"/>
      <c r="H31" s="71"/>
      <c r="I31" s="71"/>
      <c r="K31" s="71"/>
      <c r="L31" s="71"/>
      <c r="M31" s="71"/>
      <c r="N31" s="71"/>
      <c r="O31" s="71"/>
      <c r="P31" s="71"/>
      <c r="Q31" s="71"/>
      <c r="R31" s="71"/>
      <c r="S31" s="71"/>
      <c r="T31" s="71"/>
      <c r="U31" s="71"/>
      <c r="V31" s="71"/>
      <c r="W31" s="71"/>
      <c r="X31" s="71" t="str">
        <f>F31</f>
        <v>Total Debt</v>
      </c>
      <c r="Y31" s="71"/>
      <c r="Z31" s="71"/>
      <c r="AA31" s="71"/>
      <c r="AB31" s="71"/>
      <c r="AC31" s="4"/>
      <c r="AD31" s="71"/>
      <c r="AE31" s="4"/>
      <c r="AF31" s="565"/>
      <c r="AG31" s="4"/>
      <c r="AH31" s="71"/>
      <c r="AI31" s="4"/>
      <c r="AJ31" s="71"/>
      <c r="AK31" s="4"/>
      <c r="AL31" s="71"/>
    </row>
    <row r="32" spans="1:40">
      <c r="A32" s="4" t="str">
        <f t="shared" ref="A32:B35" si="3">A26</f>
        <v>1Q</v>
      </c>
      <c r="B32" s="4" t="str">
        <f t="shared" si="3"/>
        <v>Sept</v>
      </c>
      <c r="C32" s="4"/>
      <c r="D32" s="20">
        <f>D14+D26+D20</f>
        <v>0</v>
      </c>
      <c r="E32" s="4"/>
      <c r="F32" s="20">
        <f>F14+F26+F20</f>
        <v>77.446000000000012</v>
      </c>
      <c r="G32" s="4"/>
      <c r="H32" s="20">
        <f>H14+H26+H20</f>
        <v>44.19</v>
      </c>
      <c r="I32" s="4"/>
      <c r="J32" s="20">
        <f>J14+J26+J20</f>
        <v>38.657000000000004</v>
      </c>
      <c r="K32" s="4"/>
      <c r="L32" s="20">
        <f>L14+L26+L20</f>
        <v>31.768000000000001</v>
      </c>
      <c r="M32" s="4"/>
      <c r="N32" s="20">
        <f>N14+N26+N20</f>
        <v>26.518999999999998</v>
      </c>
      <c r="O32" s="4"/>
      <c r="P32" s="20">
        <f>P14+P26+P20</f>
        <v>8.1370000000000005</v>
      </c>
      <c r="Q32" s="4"/>
      <c r="R32" s="20">
        <f>R14+R26+R20</f>
        <v>10.48</v>
      </c>
      <c r="S32" s="4"/>
      <c r="T32" s="20">
        <f>T14+T26+T20</f>
        <v>2.8650000000000002</v>
      </c>
      <c r="U32" s="4"/>
      <c r="V32" s="20">
        <f>V14+V26+V20</f>
        <v>2.58</v>
      </c>
      <c r="W32" s="4"/>
      <c r="X32" s="20">
        <f>X14+X26+X20</f>
        <v>25.132999999999999</v>
      </c>
      <c r="Y32" s="4"/>
      <c r="Z32" s="20">
        <f>Z14+Z26+Z20</f>
        <v>24.814</v>
      </c>
      <c r="AA32" s="4"/>
      <c r="AB32" s="20">
        <f>AB14+AB26+AB20</f>
        <v>24.064</v>
      </c>
      <c r="AC32" s="4"/>
      <c r="AD32" s="20">
        <f>AD14+AD26+AD20</f>
        <v>23.263999999999999</v>
      </c>
      <c r="AE32" s="4"/>
      <c r="AF32" s="562">
        <f>AF14+AF26+AF20</f>
        <v>0.98499999999999999</v>
      </c>
      <c r="AG32" s="4"/>
      <c r="AH32" s="562">
        <f>AH14+AH26+AH20</f>
        <v>170</v>
      </c>
      <c r="AI32" s="4"/>
      <c r="AJ32" s="562">
        <f>AJ14+AJ26+AJ20</f>
        <v>890.6</v>
      </c>
      <c r="AK32" s="4"/>
      <c r="AL32" s="562">
        <f>AL14+AL26+AL20</f>
        <v>591.4</v>
      </c>
      <c r="AN32" s="562">
        <f>AN14+AN26+AN20</f>
        <v>2688.8</v>
      </c>
    </row>
    <row r="33" spans="1:44">
      <c r="A33" s="4" t="str">
        <f t="shared" si="3"/>
        <v>2Q</v>
      </c>
      <c r="B33" s="4" t="str">
        <f t="shared" si="3"/>
        <v>Dec</v>
      </c>
      <c r="C33" s="4"/>
      <c r="D33" s="73">
        <f>D15+D27+D21</f>
        <v>0</v>
      </c>
      <c r="E33" s="4"/>
      <c r="F33" s="73">
        <f>F15+F27+F21</f>
        <v>49.774999999999999</v>
      </c>
      <c r="G33" s="4"/>
      <c r="H33" s="73">
        <f>H15+H27+H21</f>
        <v>19.606999999999999</v>
      </c>
      <c r="I33" s="4"/>
      <c r="J33" s="73">
        <f>J15+J27+J21</f>
        <v>46.119</v>
      </c>
      <c r="K33" s="4"/>
      <c r="L33" s="73">
        <f>L15+L27+L21</f>
        <v>37.966999999999999</v>
      </c>
      <c r="M33" s="4"/>
      <c r="N33" s="73">
        <f>N15+N27+N21</f>
        <v>53.881</v>
      </c>
      <c r="O33" s="4"/>
      <c r="P33" s="73">
        <f>P15+P27+P21</f>
        <v>16.507000000000001</v>
      </c>
      <c r="Q33" s="4"/>
      <c r="R33" s="73">
        <f>R15+R27+R21</f>
        <v>17.408999999999999</v>
      </c>
      <c r="S33" s="4"/>
      <c r="T33" s="73">
        <f>T15+T27+T21</f>
        <v>17.064999999999998</v>
      </c>
      <c r="U33" s="4"/>
      <c r="V33" s="73">
        <f>V15+V27+V21</f>
        <v>27.475000000000001</v>
      </c>
      <c r="W33" s="4"/>
      <c r="X33" s="73">
        <f>X15+X27+X21</f>
        <v>25.075999999999997</v>
      </c>
      <c r="Y33" s="4"/>
      <c r="Z33" s="73">
        <f>Z15+Z27+Z21</f>
        <v>51.459000000000003</v>
      </c>
      <c r="AA33" s="4"/>
      <c r="AB33" s="73">
        <f>AB15+AB27+AB21</f>
        <v>23.968999999999998</v>
      </c>
      <c r="AC33" s="4"/>
      <c r="AD33" s="73">
        <f>AD15+AD27+AD21</f>
        <v>22.71</v>
      </c>
      <c r="AE33" s="4"/>
      <c r="AF33" s="73">
        <f>AF15+AF27+AF21</f>
        <v>0.48499999999999999</v>
      </c>
      <c r="AG33" s="4"/>
      <c r="AH33" s="73">
        <f>AH15+AH27+AH21</f>
        <v>20</v>
      </c>
      <c r="AI33" s="4"/>
      <c r="AJ33" s="73">
        <f>AJ15+AJ27+AJ21</f>
        <v>887</v>
      </c>
      <c r="AK33" s="4"/>
      <c r="AL33" s="73">
        <f>AL15+AL27+AL21</f>
        <v>591.6</v>
      </c>
      <c r="AN33" s="562">
        <f>AN15+AN27+AN21</f>
        <v>2688.1</v>
      </c>
    </row>
    <row r="34" spans="1:44">
      <c r="A34" s="4" t="str">
        <f t="shared" si="3"/>
        <v>3Q</v>
      </c>
      <c r="B34" s="4" t="str">
        <f t="shared" si="3"/>
        <v>Mar</v>
      </c>
      <c r="C34" s="4"/>
      <c r="D34" s="73">
        <f>D16+D28+D22</f>
        <v>0</v>
      </c>
      <c r="E34" s="4"/>
      <c r="F34" s="73">
        <f>F16+F28+F22</f>
        <v>22.734999999999999</v>
      </c>
      <c r="G34" s="4"/>
      <c r="H34" s="73">
        <f>H16+H28+H22</f>
        <v>39.076000000000001</v>
      </c>
      <c r="I34" s="4"/>
      <c r="J34" s="73">
        <f>J16+J28+J22</f>
        <v>36.56</v>
      </c>
      <c r="K34" s="4"/>
      <c r="L34" s="73">
        <f>L16+L28+L22</f>
        <v>16.798999999999999</v>
      </c>
      <c r="M34" s="4"/>
      <c r="N34" s="73">
        <f>N16+N28+N22</f>
        <v>24.734999999999999</v>
      </c>
      <c r="O34" s="4"/>
      <c r="P34" s="73">
        <f>P16+P28+P22</f>
        <v>5.1059999999999999</v>
      </c>
      <c r="Q34" s="4"/>
      <c r="R34" s="73">
        <f>R16+R28+R22</f>
        <v>3.1</v>
      </c>
      <c r="S34" s="4"/>
      <c r="T34" s="73">
        <f>T16+T28+T22</f>
        <v>13.944000000000001</v>
      </c>
      <c r="U34" s="4"/>
      <c r="V34" s="73">
        <f>V16+V28+V22</f>
        <v>27.476000000000003</v>
      </c>
      <c r="W34" s="4"/>
      <c r="X34" s="73">
        <f>X16+X28+X22</f>
        <v>24.987000000000002</v>
      </c>
      <c r="Y34" s="4"/>
      <c r="Z34" s="73">
        <f>Z16+Z28+Z22</f>
        <v>24.245000000000001</v>
      </c>
      <c r="AA34" s="4"/>
      <c r="AB34" s="73">
        <f>AB16+AB28+AB22</f>
        <v>23.454000000000001</v>
      </c>
      <c r="AC34" s="4"/>
      <c r="AD34" s="73">
        <f>AD16+AD28+AD22</f>
        <v>22.606999999999999</v>
      </c>
      <c r="AE34" s="4"/>
      <c r="AF34" s="73">
        <f>AF16+AF28+AF22</f>
        <v>210.48500000000001</v>
      </c>
      <c r="AG34" s="4"/>
      <c r="AH34" s="73">
        <f>AH16+AH28+AH22</f>
        <v>897</v>
      </c>
      <c r="AI34" s="4"/>
      <c r="AJ34" s="73">
        <f>AJ16+AJ28+AJ22</f>
        <v>883.5</v>
      </c>
      <c r="AK34" s="4"/>
      <c r="AL34" s="73">
        <f>AL16+AL28+AL22</f>
        <v>591.79999999999995</v>
      </c>
    </row>
    <row r="35" spans="1:44">
      <c r="A35" s="4" t="str">
        <f t="shared" si="3"/>
        <v>4Q</v>
      </c>
      <c r="B35" s="4" t="str">
        <f t="shared" si="3"/>
        <v>June</v>
      </c>
      <c r="C35" s="4"/>
      <c r="D35" s="73">
        <f>D17+D29+D23</f>
        <v>3.7749999999999999</v>
      </c>
      <c r="E35" s="4"/>
      <c r="F35" s="73">
        <f>F17+F29+F23</f>
        <v>11.435</v>
      </c>
      <c r="G35" s="4"/>
      <c r="H35" s="73">
        <f>H17+H29+H23</f>
        <v>37.858999999999995</v>
      </c>
      <c r="I35" s="4"/>
      <c r="J35" s="73">
        <f>J17+J29+J23</f>
        <v>30.085999999999999</v>
      </c>
      <c r="K35" s="4"/>
      <c r="L35" s="73">
        <f>L17+L29+L23</f>
        <v>5.234</v>
      </c>
      <c r="M35" s="4"/>
      <c r="N35" s="73">
        <f>N17+N29+N23</f>
        <v>15.712</v>
      </c>
      <c r="O35" s="4"/>
      <c r="P35" s="73">
        <f>P17+P29+P23</f>
        <v>3.27</v>
      </c>
      <c r="Q35" s="4"/>
      <c r="R35" s="73">
        <f>R17+R29+R23</f>
        <v>3.1</v>
      </c>
      <c r="S35" s="4"/>
      <c r="T35" s="73">
        <f>T17+T29+T23</f>
        <v>2.8650000000000002</v>
      </c>
      <c r="U35" s="4"/>
      <c r="V35" s="73">
        <f>V17+V29+V23</f>
        <v>33.076000000000001</v>
      </c>
      <c r="W35" s="4"/>
      <c r="X35" s="73">
        <f>X17+X29+X23</f>
        <v>24.901</v>
      </c>
      <c r="Y35" s="4"/>
      <c r="Z35" s="73">
        <f>Z17+Z29+Z23</f>
        <v>24.155000000000001</v>
      </c>
      <c r="AA35" s="4"/>
      <c r="AB35" s="73">
        <f>AB17+AB29+AB23</f>
        <v>23.36</v>
      </c>
      <c r="AC35" s="73"/>
      <c r="AD35" s="73">
        <f>AD17+AD29+AD23</f>
        <v>0.98499999999999999</v>
      </c>
      <c r="AE35" s="4"/>
      <c r="AF35" s="73">
        <f>AF17+AF29+AF23</f>
        <v>140.48500000000001</v>
      </c>
      <c r="AG35" s="4"/>
      <c r="AH35" s="73">
        <f>AH17+AH29+AH23</f>
        <v>890.4</v>
      </c>
      <c r="AI35" s="4"/>
      <c r="AJ35" s="73">
        <f>AJ17+AJ29+AJ23</f>
        <v>876.2</v>
      </c>
      <c r="AK35" s="4"/>
      <c r="AL35" s="73">
        <f>AL17+AL29+AL23</f>
        <v>1579.5</v>
      </c>
    </row>
    <row r="36" spans="1:44">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533"/>
      <c r="AG36" s="4"/>
      <c r="AH36" s="311"/>
      <c r="AI36" s="4"/>
      <c r="AJ36" s="311"/>
      <c r="AK36" s="4"/>
      <c r="AL36" s="311"/>
    </row>
    <row r="37" spans="1:44">
      <c r="A37" s="4"/>
      <c r="B37" s="4"/>
      <c r="C37" s="4"/>
      <c r="D37" s="4"/>
      <c r="E37" s="71"/>
      <c r="F37" s="71" t="s">
        <v>188</v>
      </c>
      <c r="G37" s="71"/>
      <c r="H37" s="71"/>
      <c r="I37" s="71"/>
      <c r="K37" s="71"/>
      <c r="L37" s="71"/>
      <c r="M37" s="71"/>
      <c r="N37" s="71"/>
      <c r="O37" s="71"/>
      <c r="P37" s="71"/>
      <c r="Q37" s="71"/>
      <c r="R37" s="71"/>
      <c r="S37" s="71"/>
      <c r="T37" s="71"/>
      <c r="U37" s="71"/>
      <c r="V37" s="71"/>
      <c r="W37" s="71"/>
      <c r="X37" s="85" t="str">
        <f>F37</f>
        <v>Net Debt (Total Debt Less Cash)</v>
      </c>
      <c r="Y37" s="71"/>
      <c r="Z37" s="71"/>
      <c r="AA37" s="71"/>
      <c r="AB37" s="71"/>
      <c r="AC37" s="4"/>
      <c r="AD37" s="71"/>
      <c r="AE37" s="4"/>
      <c r="AF37" s="565"/>
      <c r="AG37" s="4"/>
      <c r="AH37" s="71"/>
      <c r="AI37" s="4"/>
      <c r="AJ37" s="71"/>
      <c r="AK37" s="4"/>
      <c r="AL37" s="71"/>
      <c r="AO37" s="3" t="s">
        <v>800</v>
      </c>
      <c r="AP37" s="3" t="s">
        <v>796</v>
      </c>
      <c r="AQ37" s="3" t="s">
        <v>801</v>
      </c>
      <c r="AR37" s="3" t="s">
        <v>796</v>
      </c>
    </row>
    <row r="38" spans="1:44">
      <c r="A38" s="4" t="str">
        <f t="shared" ref="A38:B41" si="4">A32</f>
        <v>1Q</v>
      </c>
      <c r="B38" s="4" t="str">
        <f t="shared" si="4"/>
        <v>Sept</v>
      </c>
      <c r="C38" s="4"/>
      <c r="D38" s="74">
        <f>D32-D8</f>
        <v>0</v>
      </c>
      <c r="E38" s="4"/>
      <c r="F38" s="74">
        <f>F32-F8</f>
        <v>77.282000000000011</v>
      </c>
      <c r="G38" s="4"/>
      <c r="H38" s="74">
        <f>H32-H8</f>
        <v>39.457000000000001</v>
      </c>
      <c r="I38" s="4"/>
      <c r="J38" s="74">
        <f>J32-J8</f>
        <v>-5.3759999999999977</v>
      </c>
      <c r="K38" s="4"/>
      <c r="L38" s="74">
        <f>L32-L8</f>
        <v>-223.589</v>
      </c>
      <c r="M38" s="4"/>
      <c r="N38" s="74">
        <f>N32-N8</f>
        <v>-415.36899999999997</v>
      </c>
      <c r="O38" s="4"/>
      <c r="P38" s="74">
        <f>P32-P8</f>
        <v>-439.49299999999999</v>
      </c>
      <c r="Q38" s="4"/>
      <c r="R38" s="74">
        <f>R32-R8</f>
        <v>-445.85300000000001</v>
      </c>
      <c r="S38" s="4"/>
      <c r="T38" s="74">
        <f>T32-T8</f>
        <v>-1232.491</v>
      </c>
      <c r="U38" s="4"/>
      <c r="V38" s="74">
        <f>V32-V8</f>
        <v>-406.93</v>
      </c>
      <c r="W38" s="4"/>
      <c r="X38" s="74">
        <f>X32-X8</f>
        <v>-969.54699999999991</v>
      </c>
      <c r="Y38" s="4"/>
      <c r="Z38" s="74">
        <f>Z32-Z8</f>
        <v>-687.149</v>
      </c>
      <c r="AA38" s="4"/>
      <c r="AB38" s="74">
        <f>AB32-AB8</f>
        <v>-823.91100000000006</v>
      </c>
      <c r="AC38" s="4"/>
      <c r="AD38" s="74">
        <f>AD32-AD8</f>
        <v>-737.49099999999999</v>
      </c>
      <c r="AE38" s="4"/>
      <c r="AF38" s="122">
        <f>AF32-AF8</f>
        <v>-853.76</v>
      </c>
      <c r="AG38" s="4"/>
      <c r="AH38" s="122">
        <f>AH32-AH8</f>
        <v>-737.5</v>
      </c>
      <c r="AI38" s="4"/>
      <c r="AJ38" s="122">
        <f>AJ32-AJ8</f>
        <v>-385.6</v>
      </c>
      <c r="AK38" s="4"/>
      <c r="AL38" s="122">
        <f>AL32-AL8</f>
        <v>-941.80000000000007</v>
      </c>
      <c r="AM38" s="1638"/>
      <c r="AN38" s="122">
        <f>AN32-AN8</f>
        <v>1017.9000000000001</v>
      </c>
      <c r="AO38">
        <v>8</v>
      </c>
      <c r="AP38">
        <v>139</v>
      </c>
      <c r="AQ38">
        <v>-61</v>
      </c>
      <c r="AR38">
        <v>99</v>
      </c>
    </row>
    <row r="39" spans="1:44">
      <c r="A39" s="4" t="str">
        <f t="shared" si="4"/>
        <v>2Q</v>
      </c>
      <c r="B39" s="4" t="str">
        <f t="shared" si="4"/>
        <v>Dec</v>
      </c>
      <c r="C39" s="4"/>
      <c r="D39" s="73">
        <f>D33-D9</f>
        <v>0</v>
      </c>
      <c r="E39" s="4"/>
      <c r="F39" s="73">
        <f>F33-F9</f>
        <v>44.443999999999996</v>
      </c>
      <c r="G39" s="4"/>
      <c r="H39" s="73">
        <f>H33-H9</f>
        <v>-46.915999999999997</v>
      </c>
      <c r="I39" s="4"/>
      <c r="J39" s="73">
        <f>J33-J9</f>
        <v>-125.02199999999999</v>
      </c>
      <c r="K39" s="4"/>
      <c r="L39" s="73">
        <f>L33-L9</f>
        <v>-334.80799999999999</v>
      </c>
      <c r="M39" s="4"/>
      <c r="N39" s="73">
        <f>N33-N9</f>
        <v>-472.74800000000005</v>
      </c>
      <c r="O39" s="4"/>
      <c r="P39" s="73">
        <f>P33-P9</f>
        <v>-729.505</v>
      </c>
      <c r="Q39" s="4"/>
      <c r="R39" s="73">
        <f>R33-R9</f>
        <v>-802.51400000000001</v>
      </c>
      <c r="S39" s="4"/>
      <c r="T39" s="73">
        <f>T33-T9</f>
        <v>-874.19599999999991</v>
      </c>
      <c r="U39" s="4"/>
      <c r="V39" s="73">
        <f>V33-V9</f>
        <v>-396.678</v>
      </c>
      <c r="W39" s="4"/>
      <c r="X39" s="73">
        <f>X33-X9</f>
        <v>-1078.1009999999999</v>
      </c>
      <c r="Y39" s="4"/>
      <c r="Z39" s="73">
        <f>Z33-Z9</f>
        <v>-888.37300000000005</v>
      </c>
      <c r="AA39" s="4"/>
      <c r="AB39" s="73">
        <f>AB33-AB9</f>
        <v>-1061.626</v>
      </c>
      <c r="AC39" s="4"/>
      <c r="AD39" s="73">
        <f>AD33-AD9</f>
        <v>-835.947</v>
      </c>
      <c r="AE39" s="4"/>
      <c r="AF39" s="73">
        <f>AF33-AF9</f>
        <v>-798.34999999999991</v>
      </c>
      <c r="AG39" s="4"/>
      <c r="AH39" s="73">
        <f>AH33-AH9</f>
        <v>-1044.8999999999999</v>
      </c>
      <c r="AI39" s="4"/>
      <c r="AJ39" s="122">
        <f>AJ33-AJ9</f>
        <v>-450.09999999999991</v>
      </c>
      <c r="AK39" s="4"/>
      <c r="AL39" s="122">
        <f>AL33-AL9</f>
        <v>-1244.3000000000002</v>
      </c>
      <c r="AM39" s="1638"/>
      <c r="AN39" s="122">
        <f>AN33-AN9</f>
        <v>596.29999999999973</v>
      </c>
      <c r="AO39">
        <v>302</v>
      </c>
      <c r="AP39">
        <v>445</v>
      </c>
      <c r="AQ39">
        <v>196</v>
      </c>
      <c r="AR39">
        <v>406</v>
      </c>
    </row>
    <row r="40" spans="1:44">
      <c r="A40" s="4" t="str">
        <f t="shared" si="4"/>
        <v>3Q</v>
      </c>
      <c r="B40" s="4" t="str">
        <f t="shared" si="4"/>
        <v>Mar</v>
      </c>
      <c r="C40" s="4"/>
      <c r="D40" s="73">
        <f>D34-D10</f>
        <v>0</v>
      </c>
      <c r="E40" s="4"/>
      <c r="F40" s="73">
        <f>F34-F10</f>
        <v>15.494</v>
      </c>
      <c r="G40" s="4"/>
      <c r="H40" s="73">
        <f>H34-H10</f>
        <v>-37.202000000000005</v>
      </c>
      <c r="I40" s="4"/>
      <c r="J40" s="73">
        <f>J34-J10</f>
        <v>-155.703</v>
      </c>
      <c r="K40" s="4"/>
      <c r="L40" s="73">
        <f>L34-L10</f>
        <v>-428.54400000000004</v>
      </c>
      <c r="M40" s="4"/>
      <c r="N40" s="73">
        <f>N34-N10</f>
        <v>-470.95599999999996</v>
      </c>
      <c r="O40" s="4"/>
      <c r="P40" s="73">
        <f>P34-P10</f>
        <v>-833.25099999999998</v>
      </c>
      <c r="Q40" s="4"/>
      <c r="R40" s="73">
        <f>R34-R10</f>
        <v>-933.07399999999996</v>
      </c>
      <c r="S40" s="4"/>
      <c r="T40" s="73">
        <f>T34-T10</f>
        <v>-602.25800000000004</v>
      </c>
      <c r="U40" s="4"/>
      <c r="V40" s="73">
        <f>V34-V10</f>
        <v>-523.79100000000005</v>
      </c>
      <c r="W40" s="4"/>
      <c r="X40" s="73">
        <f>X34-X10</f>
        <v>-882.66899999999998</v>
      </c>
      <c r="Y40" s="4"/>
      <c r="Z40" s="73">
        <f>Z34-Z10</f>
        <v>-861.91399999999999</v>
      </c>
      <c r="AA40" s="4"/>
      <c r="AB40" s="73">
        <f>AB34-AB10</f>
        <v>-906.21600000000001</v>
      </c>
      <c r="AC40" s="4"/>
      <c r="AD40" s="73">
        <f>AD34-AD10</f>
        <v>-905.88800000000003</v>
      </c>
      <c r="AE40" s="4"/>
      <c r="AF40" s="73">
        <f>AF34-AF10</f>
        <v>-564.41899999999998</v>
      </c>
      <c r="AG40" s="4"/>
      <c r="AH40" s="122">
        <f>AH34-AH10</f>
        <v>-1124.2</v>
      </c>
      <c r="AI40" s="4"/>
      <c r="AJ40" s="122">
        <f>AJ34-AJ10</f>
        <v>-398.90000000000009</v>
      </c>
      <c r="AK40" s="4"/>
      <c r="AL40" s="122">
        <f>AL34-AL10</f>
        <v>-1300.1000000000001</v>
      </c>
      <c r="AM40" s="1638"/>
      <c r="AO40">
        <v>199</v>
      </c>
      <c r="AP40">
        <v>167</v>
      </c>
      <c r="AQ40">
        <v>98</v>
      </c>
      <c r="AR40">
        <v>122</v>
      </c>
    </row>
    <row r="41" spans="1:44">
      <c r="A41" s="4" t="str">
        <f t="shared" si="4"/>
        <v>4Q</v>
      </c>
      <c r="B41" s="4" t="str">
        <f t="shared" si="4"/>
        <v>June</v>
      </c>
      <c r="C41" s="4"/>
      <c r="D41" s="73">
        <f>D35-D11</f>
        <v>3.613</v>
      </c>
      <c r="E41" s="4"/>
      <c r="F41" s="73">
        <f>F35-F11</f>
        <v>7.7440000000000007</v>
      </c>
      <c r="G41" s="4"/>
      <c r="H41" s="73">
        <f>H35-H11</f>
        <v>-56.103000000000009</v>
      </c>
      <c r="I41" s="4"/>
      <c r="J41" s="73">
        <f>J35-J11</f>
        <v>-199.08999999999997</v>
      </c>
      <c r="K41" s="4"/>
      <c r="L41" s="73">
        <f>L35-L11</f>
        <v>-429.209</v>
      </c>
      <c r="M41" s="4"/>
      <c r="N41" s="73">
        <f>N35-N11</f>
        <v>-367.339</v>
      </c>
      <c r="O41" s="4"/>
      <c r="P41" s="73">
        <f>P35-P11</f>
        <v>-534.29500000000007</v>
      </c>
      <c r="Q41" s="4"/>
      <c r="R41" s="73">
        <f>R35-R11</f>
        <v>-1182.7160000000001</v>
      </c>
      <c r="S41" s="4"/>
      <c r="T41" s="73">
        <f>T35-T11</f>
        <v>-696.04</v>
      </c>
      <c r="U41" s="4"/>
      <c r="V41" s="73">
        <f>V35-V11</f>
        <v>-767.28599999999994</v>
      </c>
      <c r="W41" s="4"/>
      <c r="X41" s="73">
        <f>X35-X11</f>
        <v>-571.56900000000007</v>
      </c>
      <c r="Y41" s="4"/>
      <c r="Z41" s="73">
        <f>Z35-Z11</f>
        <v>-677.88300000000004</v>
      </c>
      <c r="AA41" s="4"/>
      <c r="AB41" s="73">
        <f>AB35-AB11</f>
        <v>-893.85500000000002</v>
      </c>
      <c r="AC41" s="4"/>
      <c r="AD41" s="73">
        <f>AD35-AD11</f>
        <v>-1133.9060000000002</v>
      </c>
      <c r="AE41" s="4"/>
      <c r="AF41" s="73">
        <f>AF35-AF11</f>
        <v>-728.14099999999996</v>
      </c>
      <c r="AG41" s="4"/>
      <c r="AH41" s="122">
        <f>AH35-AH11</f>
        <v>-635.4</v>
      </c>
      <c r="AI41" s="4"/>
      <c r="AJ41" s="122">
        <f>AJ35-AJ11</f>
        <v>-443.20000000000005</v>
      </c>
      <c r="AK41" s="4"/>
      <c r="AL41" s="122">
        <f>AL35-AL11</f>
        <v>-1504.1</v>
      </c>
      <c r="AO41">
        <f>SUM(AO38:AO40)</f>
        <v>509</v>
      </c>
      <c r="AP41">
        <f>SUM(AP38:AP40)</f>
        <v>751</v>
      </c>
      <c r="AQ41">
        <f>SUM(AQ38:AQ40)</f>
        <v>233</v>
      </c>
      <c r="AR41">
        <f>SUM(AR38:AR40)</f>
        <v>627</v>
      </c>
    </row>
    <row r="42" spans="1:44">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65"/>
      <c r="AG42" s="4"/>
      <c r="AH42" s="73"/>
      <c r="AI42" s="4"/>
      <c r="AJ42" s="4"/>
      <c r="AK42" s="4"/>
      <c r="AL42" s="4"/>
      <c r="AP42">
        <f>AP41-AO41</f>
        <v>242</v>
      </c>
      <c r="AR42">
        <f>AR41-AQ41</f>
        <v>394</v>
      </c>
    </row>
    <row r="43" spans="1:44">
      <c r="A43" s="4"/>
      <c r="B43" s="4"/>
      <c r="C43" s="4"/>
      <c r="D43" s="4"/>
      <c r="E43" s="69"/>
      <c r="F43" s="69" t="s">
        <v>189</v>
      </c>
      <c r="G43" s="69"/>
      <c r="H43" s="69"/>
      <c r="I43" s="69"/>
      <c r="K43" s="69"/>
      <c r="L43" s="69"/>
      <c r="M43" s="69"/>
      <c r="N43" s="69"/>
      <c r="O43" s="69"/>
      <c r="P43" s="69"/>
      <c r="Q43" s="69"/>
      <c r="R43" s="69"/>
      <c r="S43" s="69"/>
      <c r="T43" s="69"/>
      <c r="U43" s="69"/>
      <c r="V43" s="69"/>
      <c r="W43" s="69"/>
      <c r="X43" s="71" t="str">
        <f>F43</f>
        <v>Shareholders' Equity</v>
      </c>
      <c r="Y43" s="69"/>
      <c r="Z43" s="69"/>
      <c r="AA43" s="69"/>
      <c r="AB43" s="69"/>
      <c r="AC43" s="4"/>
      <c r="AD43" s="69"/>
      <c r="AE43" s="4"/>
      <c r="AF43" s="561"/>
      <c r="AG43" s="4"/>
      <c r="AH43" s="69"/>
      <c r="AI43" s="4"/>
      <c r="AJ43" s="69"/>
      <c r="AK43" s="4"/>
      <c r="AL43" s="69"/>
    </row>
    <row r="44" spans="1:44">
      <c r="A44" s="4" t="str">
        <f t="shared" ref="A44:B47" si="5">A38</f>
        <v>1Q</v>
      </c>
      <c r="B44" s="4" t="str">
        <f t="shared" si="5"/>
        <v>Sept</v>
      </c>
      <c r="C44" s="4"/>
      <c r="D44" s="66"/>
      <c r="E44" s="4"/>
      <c r="F44" s="66">
        <v>88.536000000000001</v>
      </c>
      <c r="G44" s="4"/>
      <c r="H44" s="66">
        <v>156.852</v>
      </c>
      <c r="I44" s="4"/>
      <c r="J44" s="66">
        <v>238.89099999999999</v>
      </c>
      <c r="K44" s="4"/>
      <c r="L44" s="66">
        <v>493.06900000000002</v>
      </c>
      <c r="M44" s="4"/>
      <c r="N44" s="66">
        <v>790.07100000000003</v>
      </c>
      <c r="O44" s="4"/>
      <c r="P44" s="66">
        <v>1166.752</v>
      </c>
      <c r="Q44" s="4"/>
      <c r="R44" s="66">
        <v>1192.1120000000001</v>
      </c>
      <c r="S44" s="4"/>
      <c r="T44" s="66">
        <v>2001.999</v>
      </c>
      <c r="U44" s="4"/>
      <c r="V44" s="66">
        <v>1351.0360000000001</v>
      </c>
      <c r="W44" s="4"/>
      <c r="X44" s="66">
        <v>1840.981</v>
      </c>
      <c r="Y44" s="4"/>
      <c r="Z44" s="66">
        <v>1582.673</v>
      </c>
      <c r="AA44" s="4"/>
      <c r="AB44" s="66">
        <v>1816.5029999999999</v>
      </c>
      <c r="AC44" s="4"/>
      <c r="AD44" s="66">
        <v>1994.0930000000001</v>
      </c>
      <c r="AE44" s="4"/>
      <c r="AF44" s="215">
        <v>2378.5709999999999</v>
      </c>
      <c r="AG44" s="4"/>
      <c r="AH44" s="66">
        <v>2440.1</v>
      </c>
      <c r="AI44" s="4"/>
      <c r="AJ44" s="66">
        <v>2473.5</v>
      </c>
      <c r="AK44" s="4"/>
      <c r="AL44" s="66">
        <v>2728.5</v>
      </c>
      <c r="AN44" s="66">
        <v>2940</v>
      </c>
    </row>
    <row r="45" spans="1:44">
      <c r="A45" s="4" t="str">
        <f t="shared" si="5"/>
        <v>2Q</v>
      </c>
      <c r="B45" s="4" t="str">
        <f t="shared" si="5"/>
        <v>Dec</v>
      </c>
      <c r="C45" s="4"/>
      <c r="D45" s="62"/>
      <c r="E45" s="4"/>
      <c r="F45" s="62">
        <v>127.874</v>
      </c>
      <c r="G45" s="4"/>
      <c r="H45" s="62">
        <v>211.626</v>
      </c>
      <c r="I45" s="4"/>
      <c r="J45" s="62">
        <v>336.05099999999999</v>
      </c>
      <c r="K45" s="4"/>
      <c r="L45" s="62">
        <v>589.66899999999998</v>
      </c>
      <c r="M45" s="4"/>
      <c r="N45" s="62">
        <v>987.46199999999999</v>
      </c>
      <c r="O45" s="4"/>
      <c r="P45" s="62">
        <v>1359.9760000000001</v>
      </c>
      <c r="Q45" s="4"/>
      <c r="R45" s="62">
        <v>1482.8979999999999</v>
      </c>
      <c r="S45" s="4"/>
      <c r="T45" s="62">
        <v>1581.8530000000001</v>
      </c>
      <c r="U45" s="4"/>
      <c r="V45" s="62">
        <v>1466.011</v>
      </c>
      <c r="W45" s="4"/>
      <c r="X45" s="62">
        <v>1865.566</v>
      </c>
      <c r="Y45" s="4"/>
      <c r="Z45" s="62">
        <v>1738.4580000000001</v>
      </c>
      <c r="AA45" s="4"/>
      <c r="AB45" s="62">
        <v>1868.7260000000001</v>
      </c>
      <c r="AC45" s="4"/>
      <c r="AD45" s="62">
        <v>2082.3319999999999</v>
      </c>
      <c r="AE45" s="4"/>
      <c r="AF45" s="99">
        <v>2430.7269999999999</v>
      </c>
      <c r="AG45" s="4"/>
      <c r="AH45" s="62">
        <v>2518</v>
      </c>
      <c r="AI45" s="4"/>
      <c r="AJ45" s="62">
        <v>2567.3000000000002</v>
      </c>
      <c r="AK45" s="4"/>
      <c r="AL45" s="62">
        <v>2811.1</v>
      </c>
      <c r="AN45" s="66">
        <v>2949.4</v>
      </c>
    </row>
    <row r="46" spans="1:44">
      <c r="A46" s="4" t="str">
        <f t="shared" si="5"/>
        <v>3Q</v>
      </c>
      <c r="B46" s="4" t="str">
        <f t="shared" si="5"/>
        <v>Mar</v>
      </c>
      <c r="C46" s="4"/>
      <c r="D46" s="62"/>
      <c r="E46" s="4"/>
      <c r="F46" s="62">
        <v>136.00299999999999</v>
      </c>
      <c r="G46" s="4"/>
      <c r="H46" s="62">
        <v>229.35</v>
      </c>
      <c r="I46" s="4"/>
      <c r="J46" s="62">
        <v>377.63</v>
      </c>
      <c r="K46" s="4"/>
      <c r="L46" s="62">
        <v>673.62800000000004</v>
      </c>
      <c r="M46" s="4"/>
      <c r="N46" s="62">
        <v>913.50199999999995</v>
      </c>
      <c r="O46" s="4"/>
      <c r="P46" s="62">
        <v>1514.846</v>
      </c>
      <c r="Q46" s="4"/>
      <c r="R46" s="62">
        <v>1705.4459999999999</v>
      </c>
      <c r="S46" s="4"/>
      <c r="T46" s="62">
        <v>1430.9960000000001</v>
      </c>
      <c r="U46" s="4"/>
      <c r="V46" s="62">
        <v>1541.914</v>
      </c>
      <c r="W46" s="4"/>
      <c r="X46" s="62">
        <v>1663.393</v>
      </c>
      <c r="Y46" s="4"/>
      <c r="Z46" s="62">
        <v>1742.6579999999999</v>
      </c>
      <c r="AA46" s="4"/>
      <c r="AB46" s="62">
        <v>1938.902</v>
      </c>
      <c r="AC46" s="4"/>
      <c r="AD46" s="62">
        <v>2243.9650000000001</v>
      </c>
      <c r="AE46" s="4"/>
      <c r="AF46" s="99">
        <v>2389.279</v>
      </c>
      <c r="AG46" s="4"/>
      <c r="AH46" s="62">
        <v>2540.3000000000002</v>
      </c>
      <c r="AI46" s="4"/>
      <c r="AJ46" s="62">
        <v>2625.4</v>
      </c>
      <c r="AK46" s="4"/>
      <c r="AL46" s="62">
        <v>2891.9</v>
      </c>
    </row>
    <row r="47" spans="1:44">
      <c r="A47" s="4" t="str">
        <f t="shared" si="5"/>
        <v>4Q</v>
      </c>
      <c r="B47" s="4" t="str">
        <f t="shared" si="5"/>
        <v>June</v>
      </c>
      <c r="C47" s="4"/>
      <c r="D47" s="62">
        <v>212.80799999999999</v>
      </c>
      <c r="E47" s="4"/>
      <c r="F47" s="62">
        <v>148.31399999999999</v>
      </c>
      <c r="G47" s="4"/>
      <c r="H47" s="62">
        <v>260.35599999999999</v>
      </c>
      <c r="I47" s="4"/>
      <c r="J47" s="62">
        <v>426.92899999999997</v>
      </c>
      <c r="K47" s="4"/>
      <c r="L47" s="62">
        <v>782.28599999999994</v>
      </c>
      <c r="M47" s="4"/>
      <c r="N47" s="62">
        <v>1055.92</v>
      </c>
      <c r="O47" s="4"/>
      <c r="P47" s="62">
        <v>1188.7339999999999</v>
      </c>
      <c r="Q47" s="4"/>
      <c r="R47" s="62">
        <v>1910.354</v>
      </c>
      <c r="S47" s="4"/>
      <c r="T47" s="62">
        <v>1490.375</v>
      </c>
      <c r="U47" s="4"/>
      <c r="V47" s="62">
        <v>1696.0419999999999</v>
      </c>
      <c r="W47" s="4"/>
      <c r="X47" s="62">
        <v>1505.2929999999999</v>
      </c>
      <c r="Y47" s="4"/>
      <c r="Z47" s="62">
        <v>1612.569</v>
      </c>
      <c r="AA47" s="4"/>
      <c r="AB47" s="62">
        <v>1992.931</v>
      </c>
      <c r="AC47" s="4"/>
      <c r="AD47" s="62">
        <v>2409.1579999999999</v>
      </c>
      <c r="AE47" s="4"/>
      <c r="AF47" s="99">
        <v>2420.6529999999998</v>
      </c>
      <c r="AG47" s="4"/>
      <c r="AH47" s="62">
        <v>2489.9</v>
      </c>
      <c r="AI47" s="4"/>
      <c r="AJ47" s="62">
        <v>2682.9</v>
      </c>
      <c r="AK47" s="4"/>
      <c r="AL47" s="62">
        <v>3001.9</v>
      </c>
    </row>
    <row r="48" spans="1:44">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row>
    <row r="49" spans="1:40">
      <c r="A49" s="4"/>
      <c r="B49" s="4"/>
      <c r="C49" s="4"/>
      <c r="D49" s="4"/>
      <c r="E49" s="71"/>
      <c r="F49" s="71" t="s">
        <v>129</v>
      </c>
      <c r="G49" s="71"/>
      <c r="H49" s="71"/>
      <c r="I49" s="71"/>
      <c r="K49" s="71"/>
      <c r="L49" s="71"/>
      <c r="M49" s="71"/>
      <c r="N49" s="71"/>
      <c r="O49" s="71"/>
      <c r="P49" s="71"/>
      <c r="Q49" s="71"/>
      <c r="R49" s="71"/>
      <c r="S49" s="71"/>
      <c r="T49" s="71"/>
      <c r="U49" s="71"/>
      <c r="V49" s="71"/>
      <c r="W49" s="71"/>
      <c r="X49" s="71" t="str">
        <f>F49</f>
        <v>Total Capital</v>
      </c>
      <c r="Y49" s="71"/>
      <c r="Z49" s="71"/>
      <c r="AA49" s="71"/>
      <c r="AB49" s="71"/>
      <c r="AC49" s="4"/>
      <c r="AD49" s="71"/>
      <c r="AE49" s="4"/>
      <c r="AF49" s="71"/>
      <c r="AG49" s="4"/>
      <c r="AH49" s="71"/>
      <c r="AI49" s="4"/>
      <c r="AJ49" s="71"/>
      <c r="AK49" s="4"/>
      <c r="AL49" s="71"/>
    </row>
    <row r="50" spans="1:40">
      <c r="A50" s="4" t="str">
        <f t="shared" ref="A50:B53" si="6">A44</f>
        <v>1Q</v>
      </c>
      <c r="B50" s="4" t="str">
        <f t="shared" si="6"/>
        <v>Sept</v>
      </c>
      <c r="C50" s="4"/>
      <c r="D50" s="74">
        <f>D44+D32</f>
        <v>0</v>
      </c>
      <c r="E50" s="4"/>
      <c r="F50" s="74">
        <f>F44+F32</f>
        <v>165.98200000000003</v>
      </c>
      <c r="G50" s="4"/>
      <c r="H50" s="74">
        <f>H44+H32</f>
        <v>201.042</v>
      </c>
      <c r="I50" s="4"/>
      <c r="J50" s="74">
        <f>J44+J32</f>
        <v>277.548</v>
      </c>
      <c r="K50" s="4"/>
      <c r="L50" s="74">
        <f>L44+L32</f>
        <v>524.83699999999999</v>
      </c>
      <c r="M50" s="4"/>
      <c r="N50" s="74">
        <f>N44+N32</f>
        <v>816.59</v>
      </c>
      <c r="O50" s="4"/>
      <c r="P50" s="74">
        <f>P44+P32</f>
        <v>1174.8889999999999</v>
      </c>
      <c r="Q50" s="4"/>
      <c r="R50" s="74">
        <f>R44+R32</f>
        <v>1202.5920000000001</v>
      </c>
      <c r="S50" s="4"/>
      <c r="T50" s="74">
        <f>T44+T32</f>
        <v>2004.864</v>
      </c>
      <c r="U50" s="4"/>
      <c r="V50" s="74">
        <f>V44+V32</f>
        <v>1353.616</v>
      </c>
      <c r="W50" s="4"/>
      <c r="X50" s="74">
        <f>X44+X32</f>
        <v>1866.114</v>
      </c>
      <c r="Y50" s="4"/>
      <c r="Z50" s="74">
        <f>Z44+Z32</f>
        <v>1607.4870000000001</v>
      </c>
      <c r="AA50" s="4"/>
      <c r="AB50" s="74">
        <f>AB44+AB32</f>
        <v>1840.567</v>
      </c>
      <c r="AC50" s="4"/>
      <c r="AD50" s="74">
        <f>AD44+AD32</f>
        <v>2017.357</v>
      </c>
      <c r="AE50" s="4"/>
      <c r="AF50" s="74">
        <f>AF44+AF32</f>
        <v>2379.556</v>
      </c>
      <c r="AG50" s="4"/>
      <c r="AH50" s="74">
        <f>AH44+AH32</f>
        <v>2610.1</v>
      </c>
      <c r="AI50" s="4"/>
      <c r="AJ50" s="74">
        <f>AJ44+AJ32</f>
        <v>3364.1</v>
      </c>
      <c r="AK50" s="4"/>
      <c r="AL50" s="74">
        <f>AL44+AL32</f>
        <v>3319.9</v>
      </c>
      <c r="AN50" s="74">
        <f>AN44+AN32</f>
        <v>5628.8</v>
      </c>
    </row>
    <row r="51" spans="1:40">
      <c r="A51" s="4" t="str">
        <f t="shared" si="6"/>
        <v>2Q</v>
      </c>
      <c r="B51" s="4" t="str">
        <f t="shared" si="6"/>
        <v>Dec</v>
      </c>
      <c r="C51" s="4"/>
      <c r="D51" s="73">
        <f>D45+D33</f>
        <v>0</v>
      </c>
      <c r="E51" s="4"/>
      <c r="F51" s="73">
        <f>F45+F33</f>
        <v>177.649</v>
      </c>
      <c r="G51" s="4"/>
      <c r="H51" s="73">
        <f>H45+H33</f>
        <v>231.233</v>
      </c>
      <c r="I51" s="4"/>
      <c r="J51" s="73">
        <f>J45+J33</f>
        <v>382.16999999999996</v>
      </c>
      <c r="K51" s="4"/>
      <c r="L51" s="73">
        <f>L45+L33</f>
        <v>627.63599999999997</v>
      </c>
      <c r="M51" s="4"/>
      <c r="N51" s="73">
        <f>N45+N33</f>
        <v>1041.3430000000001</v>
      </c>
      <c r="O51" s="4"/>
      <c r="P51" s="73">
        <f>P45+P33</f>
        <v>1376.4830000000002</v>
      </c>
      <c r="Q51" s="4"/>
      <c r="R51" s="73">
        <f>R45+R33</f>
        <v>1500.307</v>
      </c>
      <c r="S51" s="4"/>
      <c r="T51" s="73">
        <f>T45+T33</f>
        <v>1598.9180000000001</v>
      </c>
      <c r="U51" s="4"/>
      <c r="V51" s="73">
        <f>V45+V33</f>
        <v>1493.4859999999999</v>
      </c>
      <c r="W51" s="4"/>
      <c r="X51" s="73">
        <f>X45+X33</f>
        <v>1890.6420000000001</v>
      </c>
      <c r="Y51" s="4"/>
      <c r="Z51" s="73">
        <f>Z45+Z33</f>
        <v>1789.9170000000001</v>
      </c>
      <c r="AA51" s="4"/>
      <c r="AB51" s="73">
        <f>AB45+AB33</f>
        <v>1892.6950000000002</v>
      </c>
      <c r="AC51" s="4"/>
      <c r="AD51" s="73">
        <f>AD45+AD33</f>
        <v>2105.0419999999999</v>
      </c>
      <c r="AE51" s="4"/>
      <c r="AF51" s="73">
        <f>AF45+AF33</f>
        <v>2431.212</v>
      </c>
      <c r="AG51" s="4"/>
      <c r="AH51" s="73">
        <f>AH45+AH33</f>
        <v>2538</v>
      </c>
      <c r="AI51" s="4"/>
      <c r="AJ51" s="73">
        <f>AJ45+AJ33</f>
        <v>3454.3</v>
      </c>
      <c r="AK51" s="4"/>
      <c r="AL51" s="73">
        <f>AL45+AL33</f>
        <v>3402.7</v>
      </c>
      <c r="AN51" s="74">
        <f>AN45+AN33</f>
        <v>5637.5</v>
      </c>
    </row>
    <row r="52" spans="1:40">
      <c r="A52" s="4" t="str">
        <f t="shared" si="6"/>
        <v>3Q</v>
      </c>
      <c r="B52" s="4" t="str">
        <f t="shared" si="6"/>
        <v>Mar</v>
      </c>
      <c r="C52" s="4"/>
      <c r="D52" s="73">
        <f>D46+D34</f>
        <v>0</v>
      </c>
      <c r="E52" s="4"/>
      <c r="F52" s="73">
        <f>F46+F34</f>
        <v>158.738</v>
      </c>
      <c r="G52" s="4"/>
      <c r="H52" s="73">
        <f>H46+H34</f>
        <v>268.42599999999999</v>
      </c>
      <c r="I52" s="4"/>
      <c r="J52" s="73">
        <f>J46+J34</f>
        <v>414.19</v>
      </c>
      <c r="K52" s="4"/>
      <c r="L52" s="73">
        <f>L46+L34</f>
        <v>690.42700000000002</v>
      </c>
      <c r="M52" s="4"/>
      <c r="N52" s="73">
        <f>N46+N34</f>
        <v>938.23699999999997</v>
      </c>
      <c r="O52" s="4"/>
      <c r="P52" s="73">
        <f>P46+P34</f>
        <v>1519.952</v>
      </c>
      <c r="Q52" s="4"/>
      <c r="R52" s="73">
        <f>R46+R34</f>
        <v>1708.5459999999998</v>
      </c>
      <c r="S52" s="4"/>
      <c r="T52" s="73">
        <f>T46+T34</f>
        <v>1444.94</v>
      </c>
      <c r="U52" s="4"/>
      <c r="V52" s="73">
        <f>V46+V34</f>
        <v>1569.39</v>
      </c>
      <c r="W52" s="4"/>
      <c r="X52" s="73">
        <f>X46+X34</f>
        <v>1688.38</v>
      </c>
      <c r="Y52" s="4"/>
      <c r="Z52" s="73">
        <f>Z46+Z34</f>
        <v>1766.9029999999998</v>
      </c>
      <c r="AA52" s="4"/>
      <c r="AB52" s="73">
        <f>AB46+AB34</f>
        <v>1962.356</v>
      </c>
      <c r="AC52" s="4"/>
      <c r="AD52" s="73">
        <f>AD46+AD34</f>
        <v>2266.5720000000001</v>
      </c>
      <c r="AE52" s="4"/>
      <c r="AF52" s="73">
        <f>AF46+AF34</f>
        <v>2599.7640000000001</v>
      </c>
      <c r="AG52" s="4"/>
      <c r="AH52" s="74">
        <f>AH46+AH34</f>
        <v>3437.3</v>
      </c>
      <c r="AI52" s="4"/>
      <c r="AJ52" s="73">
        <f>AJ46+AJ34</f>
        <v>3508.9</v>
      </c>
      <c r="AK52" s="4"/>
      <c r="AL52" s="73">
        <f>AL46+AL34</f>
        <v>3483.7</v>
      </c>
    </row>
    <row r="53" spans="1:40">
      <c r="A53" s="4" t="str">
        <f t="shared" si="6"/>
        <v>4Q</v>
      </c>
      <c r="B53" s="4" t="str">
        <f t="shared" si="6"/>
        <v>June</v>
      </c>
      <c r="C53" s="4"/>
      <c r="D53" s="73">
        <f>D47+D35</f>
        <v>216.583</v>
      </c>
      <c r="E53" s="4"/>
      <c r="F53" s="73">
        <f>F47+F35</f>
        <v>159.749</v>
      </c>
      <c r="G53" s="4"/>
      <c r="H53" s="73">
        <f>H47+H35</f>
        <v>298.21499999999997</v>
      </c>
      <c r="I53" s="4"/>
      <c r="J53" s="73">
        <f>J47+J35</f>
        <v>457.01499999999999</v>
      </c>
      <c r="K53" s="4"/>
      <c r="L53" s="73">
        <f>L47+L35</f>
        <v>787.52</v>
      </c>
      <c r="M53" s="4"/>
      <c r="N53" s="73">
        <f>N47+N35</f>
        <v>1071.6320000000001</v>
      </c>
      <c r="O53" s="4"/>
      <c r="P53" s="73">
        <f>P47+P35</f>
        <v>1192.0039999999999</v>
      </c>
      <c r="Q53" s="4"/>
      <c r="R53" s="73">
        <f>R47+R35</f>
        <v>1913.454</v>
      </c>
      <c r="S53" s="4"/>
      <c r="T53" s="73">
        <f>T47+T35</f>
        <v>1493.24</v>
      </c>
      <c r="U53" s="4"/>
      <c r="V53" s="73">
        <f>V47+V35</f>
        <v>1729.1179999999999</v>
      </c>
      <c r="W53" s="4"/>
      <c r="X53" s="73">
        <f>X47+X35</f>
        <v>1530.194</v>
      </c>
      <c r="Y53" s="4"/>
      <c r="Z53" s="73">
        <f>Z47+Z35</f>
        <v>1636.7239999999999</v>
      </c>
      <c r="AA53" s="4"/>
      <c r="AB53" s="73">
        <f>AB47+AB35</f>
        <v>2016.2909999999999</v>
      </c>
      <c r="AC53" s="4"/>
      <c r="AD53" s="73">
        <f>AD47+AD35</f>
        <v>2410.143</v>
      </c>
      <c r="AE53" s="4"/>
      <c r="AF53" s="73">
        <f>AF47+AF35</f>
        <v>2561.1379999999999</v>
      </c>
      <c r="AG53" s="4"/>
      <c r="AH53" s="74">
        <f>AH47+AH35</f>
        <v>3380.3</v>
      </c>
      <c r="AI53" s="4"/>
      <c r="AJ53" s="73">
        <f>AJ47+AJ35</f>
        <v>3559.1000000000004</v>
      </c>
      <c r="AK53" s="4"/>
      <c r="AL53" s="73">
        <f>AL47+AL35</f>
        <v>4581.3999999999996</v>
      </c>
    </row>
    <row r="54" spans="1:40">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row>
    <row r="55" spans="1:40">
      <c r="A55" s="4"/>
      <c r="B55" s="4"/>
      <c r="C55" s="4"/>
      <c r="D55" s="4"/>
      <c r="E55" s="71"/>
      <c r="F55" s="71" t="s">
        <v>190</v>
      </c>
      <c r="G55" s="71"/>
      <c r="H55" s="71"/>
      <c r="I55" s="71"/>
      <c r="K55" s="71"/>
      <c r="L55" s="71"/>
      <c r="M55" s="71"/>
      <c r="N55" s="71"/>
      <c r="O55" s="71"/>
      <c r="P55" s="71"/>
      <c r="Q55" s="71"/>
      <c r="R55" s="71"/>
      <c r="S55" s="71"/>
      <c r="T55" s="71"/>
      <c r="U55" s="71"/>
      <c r="V55" s="71"/>
      <c r="W55" s="71"/>
      <c r="X55" s="71" t="str">
        <f>F55</f>
        <v>Total Debt as % of Total Capital</v>
      </c>
      <c r="Y55" s="71"/>
      <c r="Z55" s="71"/>
      <c r="AA55" s="71"/>
      <c r="AB55" s="71"/>
      <c r="AC55" s="4"/>
      <c r="AD55" s="71"/>
      <c r="AE55" s="4"/>
      <c r="AF55" s="71"/>
      <c r="AG55" s="4"/>
      <c r="AH55" s="71"/>
      <c r="AI55" s="4"/>
      <c r="AJ55" s="71"/>
      <c r="AK55" s="4"/>
      <c r="AL55" s="71"/>
    </row>
    <row r="56" spans="1:40">
      <c r="A56" s="4" t="str">
        <f t="shared" ref="A56:B59" si="7">A50</f>
        <v>1Q</v>
      </c>
      <c r="B56" s="4" t="str">
        <f t="shared" si="7"/>
        <v>Sept</v>
      </c>
      <c r="C56" s="4"/>
      <c r="D56" s="50"/>
      <c r="E56" s="4"/>
      <c r="F56" s="50">
        <f>F32/F50</f>
        <v>0.46659276307069442</v>
      </c>
      <c r="G56" s="4"/>
      <c r="H56" s="50">
        <f>H32/H50</f>
        <v>0.2198048169039305</v>
      </c>
      <c r="I56" s="4"/>
      <c r="J56" s="50">
        <f>J32/J50</f>
        <v>0.13928041275743297</v>
      </c>
      <c r="K56" s="4"/>
      <c r="L56" s="50">
        <f>L32/L50</f>
        <v>6.0529269087354745E-2</v>
      </c>
      <c r="M56" s="4"/>
      <c r="N56" s="50">
        <f>N32/N50</f>
        <v>3.2475293598990922E-2</v>
      </c>
      <c r="O56" s="4"/>
      <c r="P56" s="50">
        <f>P32/P50</f>
        <v>6.9257606463248881E-3</v>
      </c>
      <c r="Q56" s="4"/>
      <c r="R56" s="50">
        <f>R32/R50</f>
        <v>8.7145099917511504E-3</v>
      </c>
      <c r="S56" s="4"/>
      <c r="T56" s="50">
        <f>T32/T50</f>
        <v>1.4290246121432676E-3</v>
      </c>
      <c r="U56" s="4"/>
      <c r="V56" s="50">
        <f>V32/V50</f>
        <v>1.9060058391744778E-3</v>
      </c>
      <c r="W56" s="4"/>
      <c r="X56" s="50">
        <f>X32/X50</f>
        <v>1.3468094660883525E-2</v>
      </c>
      <c r="Y56" s="4"/>
      <c r="Z56" s="50">
        <f>Z32/Z50</f>
        <v>1.543651674943561E-2</v>
      </c>
      <c r="AA56" s="4"/>
      <c r="AB56" s="50">
        <f>AB32/AB50</f>
        <v>1.3074232016547074E-2</v>
      </c>
      <c r="AC56" s="4"/>
      <c r="AD56" s="50">
        <f>AD32/AD50</f>
        <v>1.1531920230281502E-2</v>
      </c>
      <c r="AE56" s="4"/>
      <c r="AF56" s="50">
        <f>AF32/AF50</f>
        <v>4.1394276915525418E-4</v>
      </c>
      <c r="AG56" s="4"/>
      <c r="AH56" s="50">
        <f>AH32/AH50</f>
        <v>6.5131604153097586E-2</v>
      </c>
      <c r="AI56" s="4"/>
      <c r="AJ56" s="50">
        <f>AJ32/AJ50</f>
        <v>0.26473648226866026</v>
      </c>
      <c r="AK56" s="4"/>
      <c r="AL56" s="50">
        <f>AL32/AL50</f>
        <v>0.17813789571975058</v>
      </c>
      <c r="AN56" s="50">
        <f>AN32/AN50</f>
        <v>0.47768618533257534</v>
      </c>
    </row>
    <row r="57" spans="1:40">
      <c r="A57" s="4" t="str">
        <f t="shared" si="7"/>
        <v>2Q</v>
      </c>
      <c r="B57" s="4" t="str">
        <f t="shared" si="7"/>
        <v>Dec</v>
      </c>
      <c r="C57" s="4"/>
      <c r="D57" s="50"/>
      <c r="E57" s="4"/>
      <c r="F57" s="50">
        <f>F33/F51</f>
        <v>0.28018733570129861</v>
      </c>
      <c r="G57" s="4"/>
      <c r="H57" s="50">
        <f>H33/H51</f>
        <v>8.4793260477526985E-2</v>
      </c>
      <c r="I57" s="4"/>
      <c r="J57" s="50">
        <f>J33/J51</f>
        <v>0.1206766622183845</v>
      </c>
      <c r="K57" s="4"/>
      <c r="L57" s="50">
        <f>L33/L51</f>
        <v>6.0492068651256461E-2</v>
      </c>
      <c r="M57" s="4"/>
      <c r="N57" s="50">
        <f>N33/N51</f>
        <v>5.1741837223662129E-2</v>
      </c>
      <c r="O57" s="4"/>
      <c r="P57" s="50">
        <f>P33/P51</f>
        <v>1.1992156822859418E-2</v>
      </c>
      <c r="Q57" s="4"/>
      <c r="R57" s="50">
        <f>R33/R51</f>
        <v>1.1603625124724471E-2</v>
      </c>
      <c r="S57" s="4"/>
      <c r="T57" s="50">
        <f>T33/T51</f>
        <v>1.0672842509747215E-2</v>
      </c>
      <c r="U57" s="4"/>
      <c r="V57" s="50">
        <f>V33/V51</f>
        <v>1.8396556780579131E-2</v>
      </c>
      <c r="W57" s="4"/>
      <c r="X57" s="50">
        <f>X33/X51</f>
        <v>1.3263219583612337E-2</v>
      </c>
      <c r="Y57" s="4"/>
      <c r="Z57" s="50">
        <f>Z33/Z51</f>
        <v>2.8749377764443827E-2</v>
      </c>
      <c r="AA57" s="4"/>
      <c r="AB57" s="50">
        <f>AB33/AB51</f>
        <v>1.2663952723497445E-2</v>
      </c>
      <c r="AC57" s="4"/>
      <c r="AD57" s="50">
        <f>AD33/AD51</f>
        <v>1.0788383319667732E-2</v>
      </c>
      <c r="AE57" s="4"/>
      <c r="AF57" s="50">
        <f>AF33/AF51</f>
        <v>1.9948897915936578E-4</v>
      </c>
      <c r="AG57" s="4"/>
      <c r="AH57" s="50">
        <f>AH33/AH51</f>
        <v>7.8802206461780922E-3</v>
      </c>
      <c r="AI57" s="4"/>
      <c r="AJ57" s="50">
        <f>AJ33/AJ51</f>
        <v>0.25678140288915263</v>
      </c>
      <c r="AK57" s="4"/>
      <c r="AL57" s="50">
        <f>AL33/AL51</f>
        <v>0.17386193317071738</v>
      </c>
      <c r="AN57" s="50">
        <f>AN33/AN51</f>
        <v>0.47682483370288248</v>
      </c>
    </row>
    <row r="58" spans="1:40">
      <c r="A58" s="4" t="str">
        <f t="shared" si="7"/>
        <v>3Q</v>
      </c>
      <c r="B58" s="4" t="str">
        <f t="shared" si="7"/>
        <v>Mar</v>
      </c>
      <c r="C58" s="4"/>
      <c r="D58" s="50"/>
      <c r="E58" s="4"/>
      <c r="F58" s="50">
        <f>F34/F52</f>
        <v>0.14322342476281671</v>
      </c>
      <c r="G58" s="4"/>
      <c r="H58" s="50">
        <f>H34/H52</f>
        <v>0.14557457176279498</v>
      </c>
      <c r="I58" s="4"/>
      <c r="J58" s="50">
        <f>J34/J52</f>
        <v>8.8268668968347869E-2</v>
      </c>
      <c r="K58" s="4"/>
      <c r="L58" s="50">
        <f>L34/L52</f>
        <v>2.4331319603665556E-2</v>
      </c>
      <c r="M58" s="4"/>
      <c r="N58" s="50">
        <f>N34/N52</f>
        <v>2.6363274950785356E-2</v>
      </c>
      <c r="O58" s="4"/>
      <c r="P58" s="50">
        <f>P34/P52</f>
        <v>3.3593166099982106E-3</v>
      </c>
      <c r="Q58" s="4"/>
      <c r="R58" s="50">
        <f>R34/R52</f>
        <v>1.8144082746382013E-3</v>
      </c>
      <c r="S58" s="4"/>
      <c r="T58" s="50">
        <f>T34/T52</f>
        <v>9.6502276911152023E-3</v>
      </c>
      <c r="U58" s="4"/>
      <c r="V58" s="50">
        <f>V34/V52</f>
        <v>1.7507439196120786E-2</v>
      </c>
      <c r="W58" s="4"/>
      <c r="X58" s="50">
        <f>X34/X52</f>
        <v>1.4799393501462942E-2</v>
      </c>
      <c r="Y58" s="4"/>
      <c r="Z58" s="50">
        <f>Z34/Z52</f>
        <v>1.37217492980656E-2</v>
      </c>
      <c r="AA58" s="4"/>
      <c r="AB58" s="50">
        <f>AB34/AB52</f>
        <v>1.1951959787113041E-2</v>
      </c>
      <c r="AC58" s="4"/>
      <c r="AD58" s="50">
        <f>AD34/AD52</f>
        <v>9.9740930356503124E-3</v>
      </c>
      <c r="AE58" s="4"/>
      <c r="AF58" s="50">
        <f>AF34/AF52</f>
        <v>8.0963118190728087E-2</v>
      </c>
      <c r="AG58" s="4"/>
      <c r="AH58" s="50">
        <f>AH34/AH52</f>
        <v>0.26096063770983036</v>
      </c>
      <c r="AI58" s="4"/>
      <c r="AJ58" s="50">
        <f>AJ34/AJ52</f>
        <v>0.25178830972669497</v>
      </c>
      <c r="AK58" s="4"/>
      <c r="AL58" s="50">
        <f>AL34/AL52</f>
        <v>0.16987685506788758</v>
      </c>
    </row>
    <row r="59" spans="1:40">
      <c r="A59" s="4" t="str">
        <f t="shared" si="7"/>
        <v>4Q</v>
      </c>
      <c r="B59" s="4" t="str">
        <f t="shared" si="7"/>
        <v>June</v>
      </c>
      <c r="C59" s="4"/>
      <c r="D59" s="50">
        <f>D35/D53</f>
        <v>1.742980751028474E-2</v>
      </c>
      <c r="E59" s="4"/>
      <c r="F59" s="50">
        <f>F35/F53</f>
        <v>7.1581042760831062E-2</v>
      </c>
      <c r="G59" s="4"/>
      <c r="H59" s="50">
        <f>H35/H53</f>
        <v>0.12695203125261975</v>
      </c>
      <c r="I59" s="4"/>
      <c r="J59" s="50">
        <f>J35/J53</f>
        <v>6.5831537258076861E-2</v>
      </c>
      <c r="K59" s="4"/>
      <c r="L59" s="50">
        <f>L35/L53</f>
        <v>6.6461804144656647E-3</v>
      </c>
      <c r="M59" s="4"/>
      <c r="N59" s="50">
        <f>N35/N53</f>
        <v>1.4661749555817668E-2</v>
      </c>
      <c r="O59" s="4"/>
      <c r="P59" s="50">
        <f>P35/P53</f>
        <v>2.7432793849685071E-3</v>
      </c>
      <c r="Q59" s="4"/>
      <c r="R59" s="50">
        <f>R35/R53</f>
        <v>1.6201068852452164E-3</v>
      </c>
      <c r="S59" s="4"/>
      <c r="T59" s="50">
        <f>T35/T53</f>
        <v>1.9186467011331066E-3</v>
      </c>
      <c r="U59" s="4"/>
      <c r="V59" s="50">
        <f>V35/V53</f>
        <v>1.912882752941095E-2</v>
      </c>
      <c r="W59" s="4"/>
      <c r="X59" s="50">
        <f>X35/X53</f>
        <v>1.6273100012155321E-2</v>
      </c>
      <c r="Y59" s="4"/>
      <c r="Z59" s="50">
        <f>Z35/Z53</f>
        <v>1.4758138818762359E-2</v>
      </c>
      <c r="AA59" s="4"/>
      <c r="AB59" s="50">
        <f>AB35/AB53</f>
        <v>1.1585629256888018E-2</v>
      </c>
      <c r="AC59" s="4"/>
      <c r="AD59" s="50">
        <f>AD35/AD53</f>
        <v>4.0868944290857429E-4</v>
      </c>
      <c r="AE59" s="4"/>
      <c r="AF59" s="50">
        <f>AF35/AF53</f>
        <v>5.4852569443739473E-2</v>
      </c>
      <c r="AG59" s="4"/>
      <c r="AH59" s="50">
        <f>AH35/AH53</f>
        <v>0.26340857320356181</v>
      </c>
      <c r="AI59" s="4"/>
      <c r="AJ59" s="50">
        <f>AJ35/AJ53</f>
        <v>0.24618583349723244</v>
      </c>
      <c r="AK59" s="4"/>
      <c r="AL59" s="50">
        <f>AL35/AL53</f>
        <v>0.34476360937704637</v>
      </c>
    </row>
    <row r="60" spans="1:40">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row>
    <row r="61" spans="1:40">
      <c r="A61" s="4"/>
      <c r="B61" s="4"/>
      <c r="C61" s="4"/>
      <c r="D61" s="4"/>
      <c r="E61" s="71"/>
      <c r="F61" s="71" t="s">
        <v>191</v>
      </c>
      <c r="G61" s="71"/>
      <c r="H61" s="71"/>
      <c r="I61" s="71"/>
      <c r="K61" s="71"/>
      <c r="L61" s="71"/>
      <c r="M61" s="71"/>
      <c r="N61" s="71"/>
      <c r="O61" s="71"/>
      <c r="P61" s="71"/>
      <c r="Q61" s="71"/>
      <c r="R61" s="71"/>
      <c r="S61" s="71"/>
      <c r="T61" s="71"/>
      <c r="U61" s="71"/>
      <c r="V61" s="71"/>
      <c r="W61" s="71"/>
      <c r="X61" s="71" t="str">
        <f>F61</f>
        <v>Net Debt as % of Total Capital</v>
      </c>
      <c r="Y61" s="71"/>
      <c r="Z61" s="71"/>
      <c r="AA61" s="71"/>
      <c r="AB61" s="71"/>
      <c r="AC61" s="4"/>
      <c r="AD61" s="71"/>
      <c r="AE61" s="4"/>
      <c r="AF61" s="71"/>
      <c r="AG61" s="4"/>
      <c r="AH61" s="71"/>
      <c r="AI61" s="4"/>
      <c r="AJ61" s="71"/>
      <c r="AK61" s="4"/>
      <c r="AL61" s="71"/>
    </row>
    <row r="62" spans="1:40">
      <c r="A62" s="4" t="str">
        <f t="shared" ref="A62:B65" si="8">A56</f>
        <v>1Q</v>
      </c>
      <c r="B62" s="4" t="str">
        <f t="shared" si="8"/>
        <v>Sept</v>
      </c>
      <c r="C62" s="4"/>
      <c r="D62" s="75"/>
      <c r="E62" s="75"/>
      <c r="F62" s="75">
        <f>F38/F50</f>
        <v>0.46560470412454363</v>
      </c>
      <c r="G62" s="4"/>
      <c r="H62" s="75">
        <f>H38/H50</f>
        <v>0.19626247251818027</v>
      </c>
      <c r="I62" s="4"/>
      <c r="J62" s="75">
        <f>J38/J50</f>
        <v>-1.936962255177482E-2</v>
      </c>
      <c r="K62" s="4"/>
      <c r="L62" s="75">
        <f>L38/L50</f>
        <v>-0.42601607737259378</v>
      </c>
      <c r="M62" s="4"/>
      <c r="N62" s="75">
        <f>N38/N50</f>
        <v>-0.50866285406385081</v>
      </c>
      <c r="O62" s="4"/>
      <c r="P62" s="75">
        <f>P38/P50</f>
        <v>-0.37407193360394048</v>
      </c>
      <c r="Q62" s="4"/>
      <c r="R62" s="75">
        <f>R38/R50</f>
        <v>-0.37074336100689176</v>
      </c>
      <c r="S62" s="4"/>
      <c r="T62" s="75">
        <f>T38/T50</f>
        <v>-0.61475042696162929</v>
      </c>
      <c r="U62" s="4"/>
      <c r="V62" s="75">
        <f>V38/V50</f>
        <v>-0.30062440160281795</v>
      </c>
      <c r="W62" s="4"/>
      <c r="X62" s="75">
        <f>X38/X50</f>
        <v>-0.51955400366751436</v>
      </c>
      <c r="Y62" s="4"/>
      <c r="Z62" s="75">
        <f>Z38/Z50</f>
        <v>-0.42746784266373539</v>
      </c>
      <c r="AA62" s="4"/>
      <c r="AB62" s="75">
        <f>AB38/AB50</f>
        <v>-0.44763977622113188</v>
      </c>
      <c r="AC62" s="4"/>
      <c r="AD62" s="75">
        <f>AD38/AD50</f>
        <v>-0.36557287579739234</v>
      </c>
      <c r="AE62" s="4"/>
      <c r="AF62" s="75">
        <f>AF38/AF50</f>
        <v>-0.35878962293806071</v>
      </c>
      <c r="AG62" s="4"/>
      <c r="AH62" s="75">
        <f>AH38/AH50</f>
        <v>-0.28255622389946744</v>
      </c>
      <c r="AI62" s="4"/>
      <c r="AJ62" s="75">
        <f>AJ38/AJ50</f>
        <v>-0.11462203858387088</v>
      </c>
      <c r="AK62" s="4"/>
      <c r="AL62" s="75">
        <f>AL38/AL50</f>
        <v>-0.2836832434711889</v>
      </c>
      <c r="AN62" s="75">
        <f>AN38/AN50</f>
        <v>0.18083783399658898</v>
      </c>
    </row>
    <row r="63" spans="1:40">
      <c r="A63" s="4" t="str">
        <f t="shared" si="8"/>
        <v>2Q</v>
      </c>
      <c r="B63" s="4" t="str">
        <f t="shared" si="8"/>
        <v>Dec</v>
      </c>
      <c r="C63" s="4"/>
      <c r="D63" s="75"/>
      <c r="E63" s="75"/>
      <c r="F63" s="75">
        <f>F39/F51</f>
        <v>0.25017872321262713</v>
      </c>
      <c r="G63" s="4"/>
      <c r="H63" s="75">
        <f>H39/H51</f>
        <v>-0.20289491551811376</v>
      </c>
      <c r="I63" s="4"/>
      <c r="J63" s="75">
        <f>J39/J51</f>
        <v>-0.32713713792291388</v>
      </c>
      <c r="K63" s="4"/>
      <c r="L63" s="75">
        <f>L39/L51</f>
        <v>-0.53344295100982098</v>
      </c>
      <c r="M63" s="4"/>
      <c r="N63" s="75">
        <f>N39/N51</f>
        <v>-0.45397914039850462</v>
      </c>
      <c r="O63" s="4"/>
      <c r="P63" s="75">
        <f>P39/P51</f>
        <v>-0.52997748610044582</v>
      </c>
      <c r="Q63" s="4"/>
      <c r="R63" s="75">
        <f>R39/R51</f>
        <v>-0.53489985716256738</v>
      </c>
      <c r="S63" s="4"/>
      <c r="T63" s="75">
        <f>T39/T51</f>
        <v>-0.54674223443603731</v>
      </c>
      <c r="U63" s="4"/>
      <c r="V63" s="75">
        <f>V39/V51</f>
        <v>-0.26560543587285051</v>
      </c>
      <c r="W63" s="4"/>
      <c r="X63" s="75">
        <f>X39/X51</f>
        <v>-0.57023011231105614</v>
      </c>
      <c r="Y63" s="4"/>
      <c r="Z63" s="75">
        <f>Z39/Z51</f>
        <v>-0.49632077911992567</v>
      </c>
      <c r="AA63" s="4"/>
      <c r="AB63" s="75">
        <f>AB39/AB51</f>
        <v>-0.56090706637889354</v>
      </c>
      <c r="AC63" s="4"/>
      <c r="AD63" s="75">
        <f>AD39/AD51</f>
        <v>-0.39711654209274688</v>
      </c>
      <c r="AE63" s="4"/>
      <c r="AF63" s="75">
        <f>AF39/AF51</f>
        <v>-0.32837531239562817</v>
      </c>
      <c r="AG63" s="4"/>
      <c r="AH63" s="75">
        <f>AH39/AH51</f>
        <v>-0.41170212765957442</v>
      </c>
      <c r="AI63" s="4"/>
      <c r="AJ63" s="75">
        <f>AJ39/AJ51</f>
        <v>-0.13030136351793414</v>
      </c>
      <c r="AK63" s="4"/>
      <c r="AL63" s="75">
        <f>AL39/AL51</f>
        <v>-0.36568019513915428</v>
      </c>
    </row>
    <row r="64" spans="1:40">
      <c r="A64" s="4" t="str">
        <f t="shared" si="8"/>
        <v>3Q</v>
      </c>
      <c r="B64" s="4" t="str">
        <f t="shared" si="8"/>
        <v>Mar</v>
      </c>
      <c r="C64" s="4"/>
      <c r="D64" s="75"/>
      <c r="E64" s="75"/>
      <c r="F64" s="75">
        <f>F40/F52</f>
        <v>9.7607378195517139E-2</v>
      </c>
      <c r="G64" s="4"/>
      <c r="H64" s="75">
        <f>H40/H52</f>
        <v>-0.13859313181286465</v>
      </c>
      <c r="I64" s="4"/>
      <c r="J64" s="75">
        <f>J40/J52</f>
        <v>-0.3759216784567469</v>
      </c>
      <c r="K64" s="4"/>
      <c r="L64" s="75">
        <f>L40/L52</f>
        <v>-0.62069415014186879</v>
      </c>
      <c r="M64" s="4"/>
      <c r="N64" s="75">
        <f>N40/N52</f>
        <v>-0.50195846038900616</v>
      </c>
      <c r="O64" s="4"/>
      <c r="P64" s="75">
        <f>P40/P52</f>
        <v>-0.54820875922397549</v>
      </c>
      <c r="Q64" s="4"/>
      <c r="R64" s="75">
        <f>R40/R52</f>
        <v>-0.54612167304831127</v>
      </c>
      <c r="S64" s="4"/>
      <c r="T64" s="75">
        <f>T40/T52</f>
        <v>-0.41680485002837492</v>
      </c>
      <c r="U64" s="4"/>
      <c r="V64" s="75">
        <f>V40/V52</f>
        <v>-0.33375451608586776</v>
      </c>
      <c r="W64" s="4"/>
      <c r="X64" s="75">
        <f>X40/X52</f>
        <v>-0.52279048555419982</v>
      </c>
      <c r="Y64" s="4"/>
      <c r="Z64" s="75">
        <f>Z40/Z52</f>
        <v>-0.48781059288483869</v>
      </c>
      <c r="AA64" s="4"/>
      <c r="AB64" s="75">
        <f>AB40/AB52</f>
        <v>-0.46179999959232676</v>
      </c>
      <c r="AC64" s="4"/>
      <c r="AD64" s="75">
        <f>AD40/AD52</f>
        <v>-0.39967316282032955</v>
      </c>
      <c r="AE64" s="4"/>
      <c r="AF64" s="75">
        <f>AF40/AF52</f>
        <v>-0.2171039371266007</v>
      </c>
      <c r="AG64" s="75"/>
      <c r="AH64" s="75">
        <f>AH40/AH52</f>
        <v>-0.32705902888895355</v>
      </c>
      <c r="AI64" s="75"/>
      <c r="AJ64" s="75">
        <f>AJ40/AJ52</f>
        <v>-0.11368235059420334</v>
      </c>
      <c r="AK64" s="75"/>
      <c r="AL64" s="75">
        <f>AL40/AL52</f>
        <v>-0.37319516605907516</v>
      </c>
    </row>
    <row r="65" spans="1:38">
      <c r="A65" s="4" t="str">
        <f t="shared" si="8"/>
        <v>4Q</v>
      </c>
      <c r="B65" s="4" t="str">
        <f t="shared" si="8"/>
        <v>June</v>
      </c>
      <c r="C65" s="4"/>
      <c r="D65" s="75">
        <f>D41/D53</f>
        <v>1.6681826366797024E-2</v>
      </c>
      <c r="E65" s="75"/>
      <c r="F65" s="75">
        <f>F41/F53</f>
        <v>4.8476046798415016E-2</v>
      </c>
      <c r="G65" s="4"/>
      <c r="H65" s="75">
        <f>H41/H53</f>
        <v>-0.18812936975001263</v>
      </c>
      <c r="I65" s="4"/>
      <c r="J65" s="75">
        <f>J41/J53</f>
        <v>-0.43563121560561463</v>
      </c>
      <c r="K65" s="4"/>
      <c r="L65" s="75">
        <f>L41/L53</f>
        <v>-0.54501345997561967</v>
      </c>
      <c r="M65" s="4"/>
      <c r="N65" s="75">
        <f>N41/N53</f>
        <v>-0.34278464995446195</v>
      </c>
      <c r="O65" s="4"/>
      <c r="P65" s="75">
        <f>P41/P53</f>
        <v>-0.44823255626658981</v>
      </c>
      <c r="Q65" s="4"/>
      <c r="R65" s="75">
        <f>R41/R53</f>
        <v>-0.61810526931925203</v>
      </c>
      <c r="S65" s="4"/>
      <c r="T65" s="75">
        <f>T41/T53</f>
        <v>-0.46612734724491706</v>
      </c>
      <c r="U65" s="4"/>
      <c r="V65" s="75">
        <f>V41/V53</f>
        <v>-0.44374415164262937</v>
      </c>
      <c r="W65" s="4"/>
      <c r="X65" s="75">
        <f>X41/X53</f>
        <v>-0.37352714753815536</v>
      </c>
      <c r="Y65" s="4"/>
      <c r="Z65" s="75">
        <f>Z41/Z53</f>
        <v>-0.41417062375819019</v>
      </c>
      <c r="AA65" s="4"/>
      <c r="AB65" s="75">
        <f>AB41/AB53</f>
        <v>-0.44331646572840927</v>
      </c>
      <c r="AC65" s="4"/>
      <c r="AD65" s="75">
        <f>AD41/AD53</f>
        <v>-0.4704724989347106</v>
      </c>
      <c r="AE65" s="4"/>
      <c r="AF65" s="75">
        <f>AF41/AF53</f>
        <v>-0.28430369624752744</v>
      </c>
      <c r="AG65" s="4"/>
      <c r="AH65" s="75">
        <f>AH41/AH53</f>
        <v>-0.18797148182114012</v>
      </c>
      <c r="AI65" s="4"/>
      <c r="AJ65" s="75">
        <f>AJ41/AJ53</f>
        <v>-0.12452586328004271</v>
      </c>
      <c r="AK65" s="4"/>
      <c r="AL65" s="75">
        <f>AL41/AL53</f>
        <v>-0.32830575806522022</v>
      </c>
    </row>
    <row r="66" spans="1:38">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G66" s="4"/>
      <c r="AI66" s="4"/>
      <c r="AK66" s="4"/>
    </row>
    <row r="67" spans="1:38">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G67" s="4"/>
      <c r="AI67" s="4"/>
      <c r="AK67" s="4"/>
    </row>
    <row r="68" spans="1:38">
      <c r="A68" s="96" t="s">
        <v>114</v>
      </c>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G68" s="4"/>
      <c r="AI68" s="4"/>
      <c r="AK68" s="4"/>
    </row>
  </sheetData>
  <phoneticPr fontId="0" type="noConversion"/>
  <printOptions horizontalCentered="1"/>
  <pageMargins left="0.25" right="0.25" top="0.75" bottom="1" header="0.5" footer="0.5"/>
  <pageSetup scale="80" orientation="portrait" r:id="rId1"/>
  <headerFooter alignWithMargins="0">
    <oddFooter>&amp;R&amp;8&amp;D
&amp;F/&amp;A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R94"/>
  <sheetViews>
    <sheetView view="pageBreakPreview" zoomScale="85" zoomScaleNormal="75" zoomScaleSheetLayoutView="85" workbookViewId="0">
      <pane xSplit="3" ySplit="6" topLeftCell="AH7" activePane="bottomRight" state="frozen"/>
      <selection activeCell="BB39" sqref="BB39:BC39"/>
      <selection pane="topRight" activeCell="BB39" sqref="BB39:BC39"/>
      <selection pane="bottomLeft" activeCell="BB39" sqref="BB39:BC39"/>
      <selection pane="bottomRight" activeCell="AV64" sqref="AV64"/>
    </sheetView>
  </sheetViews>
  <sheetFormatPr defaultRowHeight="12.75" outlineLevelRow="1" outlineLevelCol="1"/>
  <cols>
    <col min="1" max="1" width="2.7109375" customWidth="1"/>
    <col min="2" max="2" width="4.28515625" customWidth="1"/>
    <col min="3" max="3" width="32.28515625" customWidth="1"/>
    <col min="4" max="4" width="9" hidden="1" customWidth="1" outlineLevel="1"/>
    <col min="5" max="5" width="2" hidden="1" customWidth="1" outlineLevel="1"/>
    <col min="6" max="6" width="9" hidden="1" customWidth="1" outlineLevel="1"/>
    <col min="7" max="7" width="2" hidden="1" customWidth="1" outlineLevel="1"/>
    <col min="8" max="8" width="9" hidden="1" customWidth="1" outlineLevel="1"/>
    <col min="9" max="9" width="2" hidden="1" customWidth="1" outlineLevel="1"/>
    <col min="10" max="10" width="9" hidden="1" customWidth="1" outlineLevel="1"/>
    <col min="11" max="11" width="2" hidden="1" customWidth="1" outlineLevel="1"/>
    <col min="12" max="12" width="9" hidden="1" customWidth="1" outlineLevel="1"/>
    <col min="13" max="13" width="2" hidden="1" customWidth="1" outlineLevel="1"/>
    <col min="14" max="14" width="9.28515625" hidden="1" customWidth="1" outlineLevel="1" collapsed="1"/>
    <col min="15" max="15" width="1.42578125" hidden="1" customWidth="1" outlineLevel="1"/>
    <col min="16" max="16" width="8.7109375" hidden="1" customWidth="1" outlineLevel="1" collapsed="1"/>
    <col min="17" max="17" width="1.42578125" hidden="1" customWidth="1" outlineLevel="1"/>
    <col min="18" max="18" width="8.7109375" hidden="1" customWidth="1" outlineLevel="1"/>
    <col min="19" max="19" width="1.42578125" hidden="1" customWidth="1" outlineLevel="1"/>
    <col min="20" max="20" width="8.7109375" hidden="1" customWidth="1" outlineLevel="1"/>
    <col min="21" max="21" width="1.42578125" hidden="1" customWidth="1" outlineLevel="1"/>
    <col min="22" max="22" width="8.7109375" hidden="1" customWidth="1" outlineLevel="1"/>
    <col min="23" max="23" width="1.42578125" hidden="1" customWidth="1" outlineLevel="1"/>
    <col min="24" max="24" width="8.7109375" hidden="1" customWidth="1" outlineLevel="1"/>
    <col min="25" max="25" width="1.42578125" hidden="1" customWidth="1" outlineLevel="1"/>
    <col min="26" max="26" width="8.7109375" hidden="1" customWidth="1" outlineLevel="1"/>
    <col min="27" max="27" width="1.42578125" hidden="1" customWidth="1" outlineLevel="1"/>
    <col min="28" max="28" width="8.7109375" hidden="1" customWidth="1" outlineLevel="1"/>
    <col min="29" max="29" width="1.42578125" hidden="1" customWidth="1" outlineLevel="1"/>
    <col min="30" max="30" width="8.7109375" hidden="1" customWidth="1" outlineLevel="1"/>
    <col min="31" max="31" width="1.5703125" hidden="1" customWidth="1" outlineLevel="1"/>
    <col min="32" max="32" width="8.7109375" hidden="1" customWidth="1" outlineLevel="1"/>
    <col min="33" max="33" width="1.5703125" hidden="1" customWidth="1" outlineLevel="1"/>
    <col min="34" max="34" width="10.42578125" customWidth="1" collapsed="1"/>
    <col min="35" max="35" width="1.5703125" customWidth="1"/>
    <col min="36" max="36" width="8.85546875" customWidth="1"/>
    <col min="37" max="37" width="1.5703125" customWidth="1"/>
    <col min="38" max="38" width="10.42578125" bestFit="1" customWidth="1"/>
    <col min="39" max="39" width="1.5703125" customWidth="1"/>
    <col min="40" max="40" width="10" bestFit="1" customWidth="1"/>
    <col min="41" max="41" width="1.5703125" customWidth="1"/>
    <col min="42" max="42" width="10" bestFit="1" customWidth="1"/>
    <col min="43" max="43" width="1.5703125" customWidth="1"/>
    <col min="44" max="44" width="10" bestFit="1" customWidth="1"/>
    <col min="45" max="45" width="1.5703125" customWidth="1"/>
    <col min="46" max="46" width="10" customWidth="1"/>
    <col min="47" max="47" width="1.5703125" customWidth="1"/>
    <col min="48" max="48" width="10" customWidth="1"/>
    <col min="49" max="49" width="1.5703125" customWidth="1"/>
    <col min="50" max="50" width="10" customWidth="1"/>
    <col min="51" max="51" width="1.5703125" customWidth="1"/>
    <col min="52" max="52" width="10" customWidth="1"/>
    <col min="53" max="53" width="1.5703125" customWidth="1"/>
    <col min="54" max="54" width="10" customWidth="1"/>
    <col min="55" max="55" width="1.5703125" customWidth="1"/>
    <col min="56" max="56" width="10" customWidth="1"/>
    <col min="57" max="57" width="1.28515625" customWidth="1"/>
    <col min="58" max="58" width="10" style="535" customWidth="1"/>
    <col min="59" max="59" width="1.28515625" customWidth="1"/>
    <col min="60" max="60" width="20.140625" bestFit="1" customWidth="1"/>
    <col min="61" max="61" width="8.85546875" customWidth="1"/>
    <col min="62" max="62" width="2" customWidth="1"/>
    <col min="63" max="63" width="32.28515625" hidden="1" customWidth="1" outlineLevel="1"/>
    <col min="64" max="64" width="8.85546875" hidden="1" customWidth="1" outlineLevel="1"/>
    <col min="65" max="65" width="2" hidden="1" customWidth="1" outlineLevel="1"/>
    <col min="66" max="67" width="8.85546875" hidden="1" customWidth="1" outlineLevel="1"/>
    <col min="68" max="69" width="0" hidden="1" customWidth="1" outlineLevel="1"/>
    <col min="70" max="70" width="9.140625" collapsed="1"/>
  </cols>
  <sheetData>
    <row r="1" spans="1:62">
      <c r="A1" s="93" t="s">
        <v>342</v>
      </c>
      <c r="B1" s="5"/>
      <c r="C1" s="5"/>
      <c r="D1" s="25"/>
      <c r="E1" s="26"/>
      <c r="F1" s="25"/>
      <c r="G1" s="26"/>
      <c r="H1" s="25"/>
      <c r="I1" s="26"/>
      <c r="J1" s="25"/>
      <c r="K1" s="26"/>
      <c r="L1" s="25"/>
      <c r="M1" s="26"/>
      <c r="N1" s="25"/>
      <c r="O1" s="26"/>
      <c r="P1" s="25"/>
      <c r="Q1" s="26"/>
      <c r="R1" s="25"/>
      <c r="S1" s="26"/>
      <c r="T1" s="25"/>
      <c r="U1" s="26"/>
      <c r="V1" s="25"/>
      <c r="W1" s="26"/>
      <c r="X1" s="25"/>
      <c r="Y1" s="26"/>
      <c r="Z1" s="25"/>
      <c r="AA1" s="26"/>
      <c r="AB1" s="25"/>
      <c r="AC1" s="26"/>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317"/>
      <c r="BG1" s="25"/>
      <c r="BH1" s="25"/>
      <c r="BI1" s="25"/>
      <c r="BJ1" s="25"/>
    </row>
    <row r="2" spans="1:62">
      <c r="A2" s="7" t="s">
        <v>493</v>
      </c>
      <c r="B2" s="7"/>
      <c r="C2" s="7"/>
      <c r="D2" s="7"/>
      <c r="E2" s="23"/>
      <c r="F2" s="7"/>
      <c r="G2" s="23"/>
      <c r="H2" s="7"/>
      <c r="I2" s="23"/>
      <c r="J2" s="7"/>
      <c r="K2" s="23"/>
      <c r="L2" s="7"/>
      <c r="M2" s="23"/>
      <c r="N2" s="7"/>
      <c r="O2" s="23"/>
      <c r="P2" s="7"/>
      <c r="Q2" s="23"/>
      <c r="R2" s="7"/>
      <c r="S2" s="23"/>
      <c r="T2" s="7"/>
      <c r="U2" s="23"/>
      <c r="V2" s="7"/>
      <c r="W2" s="23"/>
      <c r="X2" s="7"/>
      <c r="Y2" s="23"/>
      <c r="Z2" s="7"/>
      <c r="AA2" s="23"/>
      <c r="AB2" s="7"/>
      <c r="AC2" s="23"/>
      <c r="AD2" s="7"/>
      <c r="AE2" s="7"/>
      <c r="AF2" s="7"/>
      <c r="AG2" s="7"/>
      <c r="AH2" s="7"/>
      <c r="AI2" s="7"/>
      <c r="AJ2" s="7"/>
      <c r="AK2" s="7"/>
      <c r="AL2" s="7"/>
      <c r="AM2" s="7"/>
      <c r="AN2" s="7"/>
      <c r="AO2" s="7"/>
      <c r="AP2" s="7"/>
      <c r="AQ2" s="7"/>
      <c r="AR2" s="7"/>
      <c r="AS2" s="7"/>
      <c r="AT2" s="7"/>
      <c r="AU2" s="7"/>
      <c r="AV2" s="7"/>
      <c r="AW2" s="7"/>
      <c r="AX2" s="7"/>
      <c r="AY2" s="7"/>
      <c r="AZ2" s="7"/>
      <c r="BA2" s="7"/>
      <c r="BB2" s="7"/>
      <c r="BC2" s="7"/>
      <c r="BD2" s="7"/>
      <c r="BE2" s="318"/>
      <c r="BF2" s="318"/>
      <c r="BG2" s="25"/>
      <c r="BH2" s="25"/>
      <c r="BI2" s="25"/>
      <c r="BJ2" s="25"/>
    </row>
    <row r="3" spans="1:62">
      <c r="A3" s="124" t="s">
        <v>632</v>
      </c>
      <c r="B3" s="125"/>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61"/>
      <c r="BF3" s="61"/>
      <c r="BG3" s="3"/>
      <c r="BH3" s="56"/>
      <c r="BI3" s="56"/>
      <c r="BJ3" s="56"/>
    </row>
    <row r="4" spans="1:62">
      <c r="A4" s="125" t="s">
        <v>468</v>
      </c>
      <c r="B4" s="125"/>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61"/>
      <c r="BG4" s="3"/>
      <c r="BH4" s="56"/>
      <c r="BI4" s="56"/>
      <c r="BJ4" s="56"/>
    </row>
    <row r="5" spans="1:62">
      <c r="A5" s="3"/>
      <c r="B5" s="3"/>
      <c r="C5" s="3"/>
      <c r="D5" s="3"/>
      <c r="E5" s="3"/>
      <c r="F5" s="3"/>
      <c r="G5" s="3"/>
      <c r="H5" s="3"/>
      <c r="I5" s="3"/>
      <c r="J5" s="3"/>
      <c r="K5" s="3"/>
      <c r="L5" s="3"/>
      <c r="M5" s="3"/>
      <c r="N5" s="3"/>
      <c r="O5" s="3"/>
      <c r="P5" s="3"/>
      <c r="Q5" s="3"/>
      <c r="R5" s="3"/>
      <c r="S5" s="3"/>
      <c r="T5" s="126"/>
      <c r="U5" s="127"/>
      <c r="V5" s="127"/>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61"/>
      <c r="BG5" s="3"/>
      <c r="BH5" s="299"/>
      <c r="BI5" s="299"/>
      <c r="BJ5" s="60"/>
    </row>
    <row r="6" spans="1:62">
      <c r="A6" s="3"/>
      <c r="B6" s="3"/>
      <c r="C6" s="3"/>
      <c r="D6" s="128">
        <v>1995</v>
      </c>
      <c r="E6" s="3"/>
      <c r="F6" s="128">
        <v>1996</v>
      </c>
      <c r="G6" s="3"/>
      <c r="H6" s="128" t="str">
        <f>bal!H5</f>
        <v>1997A</v>
      </c>
      <c r="I6" s="3"/>
      <c r="J6" s="128" t="str">
        <f>bal!J5</f>
        <v>1998A</v>
      </c>
      <c r="K6" s="3"/>
      <c r="L6" s="128" t="str">
        <f>bal!L5</f>
        <v>1999A</v>
      </c>
      <c r="M6" s="3"/>
      <c r="N6" s="128">
        <f>bal!N5</f>
        <v>2000</v>
      </c>
      <c r="O6" s="3"/>
      <c r="P6" s="128">
        <f>bal!P5</f>
        <v>2001</v>
      </c>
      <c r="Q6" s="3"/>
      <c r="R6" s="128">
        <f>bal!R5</f>
        <v>2002</v>
      </c>
      <c r="S6" s="3"/>
      <c r="T6" s="128">
        <f>bal!T5</f>
        <v>2003</v>
      </c>
      <c r="U6" s="3"/>
      <c r="V6" s="128">
        <f>bal!V5</f>
        <v>2004</v>
      </c>
      <c r="W6" s="3"/>
      <c r="X6" s="128">
        <f>bal!X5</f>
        <v>2005</v>
      </c>
      <c r="Y6" s="3"/>
      <c r="Z6" s="185">
        <f>X6+1</f>
        <v>2006</v>
      </c>
      <c r="AA6" s="3"/>
      <c r="AB6" s="185">
        <f>Z6+1</f>
        <v>2007</v>
      </c>
      <c r="AC6" s="3"/>
      <c r="AD6" s="185">
        <f>AB6+1</f>
        <v>2008</v>
      </c>
      <c r="AE6" s="194"/>
      <c r="AF6" s="185">
        <f>AD6+1</f>
        <v>2009</v>
      </c>
      <c r="AG6" s="194"/>
      <c r="AH6" s="185">
        <f>AF6+1</f>
        <v>2010</v>
      </c>
      <c r="AI6" s="194"/>
      <c r="AJ6" s="185">
        <f>AH6+1</f>
        <v>2011</v>
      </c>
      <c r="AK6" s="194"/>
      <c r="AL6" s="185">
        <f>AJ6+1</f>
        <v>2012</v>
      </c>
      <c r="AM6" s="185"/>
      <c r="AN6" s="185">
        <f>AL6+1</f>
        <v>2013</v>
      </c>
      <c r="AO6" s="194"/>
      <c r="AP6" s="185">
        <f>AN6+1</f>
        <v>2014</v>
      </c>
      <c r="AQ6" s="194"/>
      <c r="AR6" s="185">
        <f>AP6+1</f>
        <v>2015</v>
      </c>
      <c r="AS6" s="129"/>
      <c r="AT6" s="185">
        <f>AR6+1</f>
        <v>2016</v>
      </c>
      <c r="AU6" s="129"/>
      <c r="AV6" s="185">
        <f>AT6+1</f>
        <v>2017</v>
      </c>
      <c r="AW6" s="194"/>
      <c r="AX6" s="129">
        <f>AV6+1</f>
        <v>2018</v>
      </c>
      <c r="AY6" s="194"/>
      <c r="AZ6" s="129">
        <f>AX6+1</f>
        <v>2019</v>
      </c>
      <c r="BA6" s="194"/>
      <c r="BB6" s="129">
        <f>AZ6+1</f>
        <v>2020</v>
      </c>
      <c r="BC6" s="194"/>
      <c r="BD6" s="129">
        <f>BB6+1</f>
        <v>2021</v>
      </c>
      <c r="BE6" s="129"/>
      <c r="BF6" s="1640">
        <f>BD6+1</f>
        <v>2022</v>
      </c>
      <c r="BG6" s="194"/>
      <c r="BH6" s="130"/>
      <c r="BI6" s="130"/>
      <c r="BJ6" s="131"/>
    </row>
    <row r="7" spans="1:62">
      <c r="A7" s="3"/>
      <c r="B7" s="3"/>
      <c r="C7" s="3"/>
      <c r="D7" s="3"/>
      <c r="E7" s="3"/>
      <c r="F7" s="3"/>
      <c r="G7" s="3"/>
      <c r="H7" s="3"/>
      <c r="I7" s="3"/>
      <c r="J7" s="3"/>
      <c r="K7" s="3"/>
      <c r="L7" s="3"/>
      <c r="M7" s="3"/>
      <c r="N7" s="3"/>
      <c r="O7" s="3"/>
      <c r="P7" s="3"/>
      <c r="Q7" s="3"/>
      <c r="R7" s="3"/>
      <c r="S7" s="3"/>
      <c r="T7" s="139"/>
      <c r="U7" s="3"/>
      <c r="V7" s="3"/>
      <c r="W7" s="3"/>
      <c r="X7" s="3"/>
      <c r="Y7" s="3"/>
      <c r="Z7" s="3"/>
      <c r="AA7" s="3"/>
      <c r="AB7" s="3"/>
      <c r="AC7" s="3"/>
      <c r="AD7" s="3"/>
      <c r="AE7" s="3"/>
      <c r="AF7" s="3"/>
      <c r="AG7" s="3"/>
      <c r="AH7" s="3"/>
      <c r="AI7" s="3"/>
      <c r="AJ7" s="3"/>
      <c r="AK7" s="61"/>
      <c r="AL7" s="61"/>
      <c r="AM7" s="61"/>
      <c r="AN7" s="61"/>
      <c r="AO7" s="3"/>
      <c r="AP7" s="3"/>
      <c r="AQ7" s="3"/>
      <c r="AR7" s="3"/>
      <c r="AS7" s="3"/>
      <c r="AT7" s="3"/>
      <c r="AU7" s="3"/>
      <c r="AV7" s="3"/>
      <c r="AW7" s="3"/>
      <c r="AX7" s="3"/>
      <c r="AY7" s="3"/>
      <c r="AZ7" s="3"/>
      <c r="BA7" s="3"/>
      <c r="BB7" s="3"/>
      <c r="BC7" s="3"/>
      <c r="BD7" s="3"/>
      <c r="BE7" s="3"/>
      <c r="BF7" s="61"/>
      <c r="BG7" s="3"/>
      <c r="BH7" s="56"/>
      <c r="BI7" s="56"/>
      <c r="BJ7" s="56"/>
    </row>
    <row r="8" spans="1:62">
      <c r="A8" s="3" t="s">
        <v>569</v>
      </c>
      <c r="B8" s="3"/>
      <c r="C8" s="3"/>
      <c r="D8" s="132">
        <f>+bal!D69</f>
        <v>36.969000000000015</v>
      </c>
      <c r="E8" s="61"/>
      <c r="F8" s="132">
        <f>+bal!F69</f>
        <v>42.86</v>
      </c>
      <c r="G8" s="61"/>
      <c r="H8" s="132">
        <f>+bal!H69</f>
        <v>32.036999999999949</v>
      </c>
      <c r="I8" s="61"/>
      <c r="J8" s="132">
        <f>+bal!J69</f>
        <v>20.662999999999975</v>
      </c>
      <c r="K8" s="61"/>
      <c r="L8" s="132">
        <f>+bal!L69</f>
        <v>16.715000000000025</v>
      </c>
      <c r="M8" s="61"/>
      <c r="N8" s="132">
        <f>+bal!N69</f>
        <v>38.602999999999938</v>
      </c>
      <c r="O8" s="61"/>
      <c r="P8" s="132">
        <v>64.03</v>
      </c>
      <c r="Q8" s="61"/>
      <c r="R8" s="196">
        <v>85.826999999999998</v>
      </c>
      <c r="S8" s="184"/>
      <c r="T8" s="196">
        <v>146.62799999999999</v>
      </c>
      <c r="U8" s="61"/>
      <c r="V8" s="132">
        <f>bal!$V$69</f>
        <v>237.94899999999976</v>
      </c>
      <c r="W8" s="61"/>
      <c r="X8" s="132">
        <f>+bal!X69</f>
        <v>358.61200000000008</v>
      </c>
      <c r="Y8" s="61"/>
      <c r="Z8" s="132">
        <f>+bal!Z69+'qtrP&amp;L'!AV220-0.204</f>
        <v>494.27699999999999</v>
      </c>
      <c r="AA8" s="61"/>
      <c r="AB8" s="132">
        <f>+bal!AB69+27.136</f>
        <v>663.66499999999951</v>
      </c>
      <c r="AC8" s="61"/>
      <c r="AD8" s="132">
        <f>+bal!AD69+41.053</f>
        <v>783.05500000000018</v>
      </c>
      <c r="AE8" s="132"/>
      <c r="AF8" s="132">
        <f>+bal!AF69-'qtrP&amp;L'!BH220</f>
        <v>623.36899999999957</v>
      </c>
      <c r="AG8" s="132"/>
      <c r="AH8" s="132">
        <f>+bal!AH69</f>
        <v>734.93999999999983</v>
      </c>
      <c r="AI8" s="132"/>
      <c r="AJ8" s="132">
        <f>+bal!AJ69</f>
        <v>880.80000000000041</v>
      </c>
      <c r="AK8" s="132"/>
      <c r="AL8" s="132">
        <f>+bal!AL69</f>
        <v>1038.9099999999996</v>
      </c>
      <c r="AM8" s="132"/>
      <c r="AN8" s="132">
        <f>+bal!AN69</f>
        <v>1034.4079999999994</v>
      </c>
      <c r="AO8" s="132"/>
      <c r="AP8" s="132">
        <f>+bal!AP69</f>
        <v>781.35300000000109</v>
      </c>
      <c r="AQ8" s="132"/>
      <c r="AR8" s="132">
        <f>+bal!AR69</f>
        <v>402.40000000000003</v>
      </c>
      <c r="AS8" s="132"/>
      <c r="AT8" s="132">
        <f>+bal!AT69</f>
        <v>460.49999999999903</v>
      </c>
      <c r="AU8" s="132"/>
      <c r="AV8" s="132">
        <f>+bal!AV69-18.2</f>
        <v>591.02000000000078</v>
      </c>
      <c r="AW8" s="132"/>
      <c r="AX8" s="132">
        <f>+bal!AX69</f>
        <v>727.88426854841623</v>
      </c>
      <c r="AY8" s="132"/>
      <c r="AZ8" s="132">
        <f>+bal!AZ69</f>
        <v>798.07318690128352</v>
      </c>
      <c r="BA8" s="132"/>
      <c r="BB8" s="132">
        <f>+bal!BB69</f>
        <v>829.26995884422956</v>
      </c>
      <c r="BC8" s="132"/>
      <c r="BD8" s="132">
        <f>+bal!BD69</f>
        <v>861.02496739783351</v>
      </c>
      <c r="BE8" s="132"/>
      <c r="BF8" s="132">
        <f>bal!BF69</f>
        <v>907.79031458586883</v>
      </c>
      <c r="BG8" s="132"/>
      <c r="BH8" s="163"/>
      <c r="BI8" s="56"/>
      <c r="BJ8" s="56"/>
    </row>
    <row r="9" spans="1:62">
      <c r="A9" s="3"/>
      <c r="B9" s="61" t="s">
        <v>570</v>
      </c>
      <c r="C9" s="3"/>
      <c r="D9" s="133"/>
      <c r="E9" s="91"/>
      <c r="F9" s="133"/>
      <c r="G9" s="91"/>
      <c r="H9" s="133">
        <f>19.2+2.626</f>
        <v>21.826000000000001</v>
      </c>
      <c r="I9" s="91"/>
      <c r="J9" s="133">
        <f>21.571+1.213</f>
        <v>22.784000000000002</v>
      </c>
      <c r="K9" s="91"/>
      <c r="L9" s="133">
        <f>21.339+0.917</f>
        <v>22.256</v>
      </c>
      <c r="M9" s="134"/>
      <c r="N9" s="135">
        <v>22.628</v>
      </c>
      <c r="O9" s="136"/>
      <c r="P9" s="135">
        <v>24.131</v>
      </c>
      <c r="Q9" s="136"/>
      <c r="R9" s="135">
        <v>25.494</v>
      </c>
      <c r="S9" s="136"/>
      <c r="T9" s="135">
        <v>30.231000000000002</v>
      </c>
      <c r="U9" s="136"/>
      <c r="V9" s="135">
        <v>40.1</v>
      </c>
      <c r="W9" s="136"/>
      <c r="X9" s="135">
        <v>50.4</v>
      </c>
      <c r="Y9" s="90"/>
      <c r="Z9" s="135">
        <v>65.114999999999995</v>
      </c>
      <c r="AA9" s="90"/>
      <c r="AB9" s="135">
        <v>80.831999999999994</v>
      </c>
      <c r="AC9" s="90"/>
      <c r="AD9" s="135">
        <v>100.70399999999999</v>
      </c>
      <c r="AE9" s="192"/>
      <c r="AF9" s="135">
        <v>123.014</v>
      </c>
      <c r="AG9" s="192"/>
      <c r="AH9" s="135">
        <v>126.744</v>
      </c>
      <c r="AI9" s="192"/>
      <c r="AJ9" s="135">
        <v>125.10599999999999</v>
      </c>
      <c r="AK9" s="192"/>
      <c r="AL9" s="135">
        <v>132.90899999999999</v>
      </c>
      <c r="AM9" s="192"/>
      <c r="AN9" s="135">
        <v>162.98699999999999</v>
      </c>
      <c r="AO9" s="192"/>
      <c r="AP9" s="1582">
        <v>189.36</v>
      </c>
      <c r="AQ9" s="192"/>
      <c r="AR9" s="1582">
        <v>191.8</v>
      </c>
      <c r="AS9" s="192"/>
      <c r="AT9" s="1582">
        <v>210.6</v>
      </c>
      <c r="AU9" s="192"/>
      <c r="AV9" s="2085">
        <v>212.8</v>
      </c>
      <c r="AW9" s="192"/>
      <c r="AX9" s="192">
        <f>+'yrP&amp;L'!Y48</f>
        <v>277.49471312631681</v>
      </c>
      <c r="AY9" s="192"/>
      <c r="AZ9" s="192">
        <f>+'yrP&amp;L'!Z48</f>
        <v>286.33929084408965</v>
      </c>
      <c r="BA9" s="192"/>
      <c r="BB9" s="192">
        <f>+'yrP&amp;L'!AA48</f>
        <v>294.55619072619578</v>
      </c>
      <c r="BC9" s="192"/>
      <c r="BD9" s="192">
        <f>+'yrP&amp;L'!AB48</f>
        <v>302.99322192535908</v>
      </c>
      <c r="BE9" s="192"/>
      <c r="BF9" s="192">
        <f>+'yrP&amp;L'!AC48</f>
        <v>311.67841091793144</v>
      </c>
      <c r="BG9" s="192"/>
      <c r="BH9" s="163"/>
      <c r="BI9" s="56"/>
      <c r="BJ9" s="56"/>
    </row>
    <row r="10" spans="1:62" hidden="1" outlineLevel="1">
      <c r="A10" s="3"/>
      <c r="B10" s="3" t="s">
        <v>302</v>
      </c>
      <c r="C10" s="3"/>
      <c r="D10" s="133"/>
      <c r="E10" s="91"/>
      <c r="F10" s="133"/>
      <c r="G10" s="91"/>
      <c r="H10" s="133"/>
      <c r="I10" s="91"/>
      <c r="J10" s="133"/>
      <c r="K10" s="91"/>
      <c r="L10" s="133"/>
      <c r="M10" s="134"/>
      <c r="N10" s="135"/>
      <c r="O10" s="136"/>
      <c r="P10" s="135"/>
      <c r="Q10" s="136"/>
      <c r="R10" s="135">
        <v>0.184</v>
      </c>
      <c r="S10" s="136"/>
      <c r="T10" s="135">
        <v>7.6079999999999997</v>
      </c>
      <c r="U10" s="136"/>
      <c r="V10" s="135">
        <v>18.042999999999999</v>
      </c>
      <c r="W10" s="136"/>
      <c r="X10" s="135">
        <v>13.641</v>
      </c>
      <c r="Y10" s="90"/>
      <c r="Z10" s="135">
        <v>0</v>
      </c>
      <c r="AA10" s="90"/>
      <c r="AB10" s="135">
        <v>0</v>
      </c>
      <c r="AC10" s="90"/>
      <c r="AD10" s="135">
        <v>0</v>
      </c>
      <c r="AE10" s="135"/>
      <c r="AF10" s="135">
        <v>0</v>
      </c>
      <c r="AG10" s="135"/>
      <c r="AH10" s="135">
        <v>0</v>
      </c>
      <c r="AI10" s="192"/>
      <c r="AJ10" s="135">
        <v>0</v>
      </c>
      <c r="AK10" s="192"/>
      <c r="AL10" s="135">
        <v>0</v>
      </c>
      <c r="AM10" s="192"/>
      <c r="AN10" s="135">
        <v>0</v>
      </c>
      <c r="AO10" s="192"/>
      <c r="AP10" s="1582">
        <v>0</v>
      </c>
      <c r="AQ10" s="192"/>
      <c r="AR10" s="1582">
        <v>0</v>
      </c>
      <c r="AS10" s="192"/>
      <c r="AT10" s="1582">
        <v>0</v>
      </c>
      <c r="AU10" s="192"/>
      <c r="AV10" s="2085">
        <f>+AT10</f>
        <v>0</v>
      </c>
      <c r="AW10" s="192"/>
      <c r="AX10" s="192">
        <f>+AV10</f>
        <v>0</v>
      </c>
      <c r="AY10" s="192"/>
      <c r="AZ10" s="192">
        <f>+AX10</f>
        <v>0</v>
      </c>
      <c r="BA10" s="192"/>
      <c r="BB10" s="192">
        <f>+AZ10</f>
        <v>0</v>
      </c>
      <c r="BC10" s="192"/>
      <c r="BD10" s="192">
        <f>+BB10</f>
        <v>0</v>
      </c>
      <c r="BE10" s="192"/>
      <c r="BF10" s="192">
        <f>+BD10</f>
        <v>0</v>
      </c>
      <c r="BG10" s="192"/>
      <c r="BH10" s="163"/>
      <c r="BI10" s="56"/>
      <c r="BJ10" s="56"/>
    </row>
    <row r="11" spans="1:62" collapsed="1">
      <c r="A11" s="61"/>
      <c r="B11" s="61" t="s">
        <v>628</v>
      </c>
      <c r="C11" s="61"/>
      <c r="D11" s="133"/>
      <c r="E11" s="431"/>
      <c r="F11" s="133"/>
      <c r="G11" s="431"/>
      <c r="H11" s="133"/>
      <c r="I11" s="431"/>
      <c r="J11" s="133"/>
      <c r="K11" s="431"/>
      <c r="L11" s="133">
        <v>7.1079999999999997</v>
      </c>
      <c r="M11" s="133"/>
      <c r="N11" s="135"/>
      <c r="O11" s="135"/>
      <c r="P11" s="135">
        <v>4.569</v>
      </c>
      <c r="Q11" s="135"/>
      <c r="R11" s="135">
        <v>3.3730000000000002</v>
      </c>
      <c r="S11" s="135"/>
      <c r="T11" s="135">
        <v>0</v>
      </c>
      <c r="U11" s="135"/>
      <c r="V11" s="135">
        <v>0</v>
      </c>
      <c r="W11" s="135"/>
      <c r="X11" s="135">
        <v>0</v>
      </c>
      <c r="Y11" s="192"/>
      <c r="Z11" s="135">
        <v>0</v>
      </c>
      <c r="AA11" s="192"/>
      <c r="AB11" s="135">
        <v>0</v>
      </c>
      <c r="AC11" s="192"/>
      <c r="AD11" s="135">
        <f>+AB11</f>
        <v>0</v>
      </c>
      <c r="AE11" s="135"/>
      <c r="AF11" s="135">
        <f>+AD11</f>
        <v>0</v>
      </c>
      <c r="AG11" s="135"/>
      <c r="AH11" s="135">
        <v>0</v>
      </c>
      <c r="AI11" s="192"/>
      <c r="AJ11" s="135">
        <f>+AH11</f>
        <v>0</v>
      </c>
      <c r="AK11" s="192"/>
      <c r="AL11" s="135">
        <f>+AJ11</f>
        <v>0</v>
      </c>
      <c r="AM11" s="192"/>
      <c r="AN11" s="135">
        <v>25.74</v>
      </c>
      <c r="AO11" s="192"/>
      <c r="AP11" s="1582">
        <v>108.20399999999999</v>
      </c>
      <c r="AQ11" s="192"/>
      <c r="AR11" s="1582">
        <v>59.7</v>
      </c>
      <c r="AS11" s="135"/>
      <c r="AT11" s="135">
        <v>17.7</v>
      </c>
      <c r="AU11" s="135"/>
      <c r="AV11" s="2085">
        <v>8.5</v>
      </c>
      <c r="AW11" s="135"/>
      <c r="AX11" s="135">
        <f>+AV11</f>
        <v>8.5</v>
      </c>
      <c r="AY11" s="135"/>
      <c r="AZ11" s="135">
        <f>+AX11</f>
        <v>8.5</v>
      </c>
      <c r="BA11" s="135"/>
      <c r="BB11" s="135">
        <f>+AZ11</f>
        <v>8.5</v>
      </c>
      <c r="BC11" s="135"/>
      <c r="BD11" s="135">
        <f>+BB11</f>
        <v>8.5</v>
      </c>
      <c r="BE11" s="135"/>
      <c r="BF11" s="135">
        <f>+BD11</f>
        <v>8.5</v>
      </c>
      <c r="BG11" s="135"/>
      <c r="BH11" s="163"/>
      <c r="BI11" s="154"/>
      <c r="BJ11" s="154"/>
    </row>
    <row r="12" spans="1:62">
      <c r="A12" s="3"/>
      <c r="B12" s="3" t="s">
        <v>183</v>
      </c>
      <c r="C12" s="3"/>
      <c r="D12" s="133"/>
      <c r="E12" s="91"/>
      <c r="F12" s="133"/>
      <c r="G12" s="91"/>
      <c r="H12" s="133"/>
      <c r="I12" s="91"/>
      <c r="J12" s="133"/>
      <c r="K12" s="91"/>
      <c r="L12" s="133"/>
      <c r="M12" s="134"/>
      <c r="N12" s="135"/>
      <c r="O12" s="136"/>
      <c r="P12" s="135">
        <v>1.405</v>
      </c>
      <c r="Q12" s="136"/>
      <c r="R12" s="135">
        <v>13.792999999999999</v>
      </c>
      <c r="S12" s="136"/>
      <c r="T12" s="135">
        <v>41.503</v>
      </c>
      <c r="U12" s="136"/>
      <c r="V12" s="135">
        <v>-95.239000000000004</v>
      </c>
      <c r="W12" s="136"/>
      <c r="X12" s="135">
        <v>-68.667000000000002</v>
      </c>
      <c r="Y12" s="90"/>
      <c r="Z12" s="135">
        <v>-99.337000000000003</v>
      </c>
      <c r="AA12" s="90"/>
      <c r="AB12" s="135">
        <v>-65.099999999999994</v>
      </c>
      <c r="AC12" s="192"/>
      <c r="AD12" s="135">
        <v>-23.253</v>
      </c>
      <c r="AE12" s="192"/>
      <c r="AF12" s="135">
        <v>0.871</v>
      </c>
      <c r="AG12" s="192"/>
      <c r="AH12" s="135">
        <v>-27.616</v>
      </c>
      <c r="AI12" s="192"/>
      <c r="AJ12" s="135">
        <v>-58.164000000000001</v>
      </c>
      <c r="AK12" s="192"/>
      <c r="AL12" s="135">
        <v>-68.057000000000002</v>
      </c>
      <c r="AM12" s="192"/>
      <c r="AN12" s="135">
        <v>-26.83</v>
      </c>
      <c r="AO12" s="192"/>
      <c r="AP12" s="1582">
        <v>-11.536</v>
      </c>
      <c r="AQ12" s="192"/>
      <c r="AR12" s="1582">
        <v>5.6</v>
      </c>
      <c r="AS12" s="135"/>
      <c r="AT12" s="135">
        <v>9</v>
      </c>
      <c r="AU12" s="135"/>
      <c r="AV12" s="2085">
        <v>3.8</v>
      </c>
      <c r="AW12" s="135"/>
      <c r="AX12" s="135">
        <f>AV12</f>
        <v>3.8</v>
      </c>
      <c r="AY12" s="135"/>
      <c r="AZ12" s="135">
        <f>AX12</f>
        <v>3.8</v>
      </c>
      <c r="BA12" s="135"/>
      <c r="BB12" s="135">
        <f>AZ12</f>
        <v>3.8</v>
      </c>
      <c r="BC12" s="135"/>
      <c r="BD12" s="135">
        <f>BB12</f>
        <v>3.8</v>
      </c>
      <c r="BE12" s="135"/>
      <c r="BF12" s="135">
        <f>BD12</f>
        <v>3.8</v>
      </c>
      <c r="BG12" s="135"/>
      <c r="BH12" s="163"/>
      <c r="BI12" s="56"/>
      <c r="BJ12" s="56"/>
    </row>
    <row r="13" spans="1:62">
      <c r="A13" s="3"/>
      <c r="B13" s="3" t="s">
        <v>184</v>
      </c>
      <c r="C13" s="3"/>
      <c r="D13" s="133"/>
      <c r="E13" s="91"/>
      <c r="F13" s="133"/>
      <c r="G13" s="91"/>
      <c r="H13" s="133">
        <v>-2.17</v>
      </c>
      <c r="I13" s="91"/>
      <c r="J13" s="133">
        <v>1.1719999999999999</v>
      </c>
      <c r="K13" s="91"/>
      <c r="L13" s="133">
        <v>-4.2859999999999996</v>
      </c>
      <c r="M13" s="134"/>
      <c r="N13" s="135">
        <v>2.661</v>
      </c>
      <c r="O13" s="136"/>
      <c r="P13" s="135">
        <v>-5.7969999999999997</v>
      </c>
      <c r="Q13" s="136"/>
      <c r="R13" s="135">
        <v>-4.9690000000000003</v>
      </c>
      <c r="S13" s="136"/>
      <c r="T13" s="135">
        <v>8.7780000000000005</v>
      </c>
      <c r="U13" s="136"/>
      <c r="V13" s="135">
        <f>-8.237+15.791</f>
        <v>7.5540000000000003</v>
      </c>
      <c r="W13" s="136"/>
      <c r="X13" s="135">
        <f>-54.99-8.428</f>
        <v>-63.418000000000006</v>
      </c>
      <c r="Y13" s="90"/>
      <c r="Z13" s="135">
        <f>-56.731+33.788</f>
        <v>-22.943000000000005</v>
      </c>
      <c r="AA13" s="90"/>
      <c r="AB13" s="135">
        <f>7.282</f>
        <v>7.282</v>
      </c>
      <c r="AC13" s="192"/>
      <c r="AD13" s="135">
        <v>-16.907</v>
      </c>
      <c r="AE13" s="192"/>
      <c r="AF13" s="135">
        <v>13.66</v>
      </c>
      <c r="AG13" s="192"/>
      <c r="AH13" s="135">
        <v>-17.129000000000001</v>
      </c>
      <c r="AI13" s="192"/>
      <c r="AJ13" s="135">
        <v>39.723999999999997</v>
      </c>
      <c r="AK13" s="192"/>
      <c r="AL13" s="135">
        <v>27.568000000000001</v>
      </c>
      <c r="AM13" s="192"/>
      <c r="AN13" s="135">
        <v>-6.52</v>
      </c>
      <c r="AO13" s="192"/>
      <c r="AP13" s="1582">
        <v>-22.786999999999999</v>
      </c>
      <c r="AQ13" s="192"/>
      <c r="AR13" s="1582">
        <v>21.5</v>
      </c>
      <c r="AS13" s="192"/>
      <c r="AT13" s="1582">
        <v>-52.3</v>
      </c>
      <c r="AU13" s="192"/>
      <c r="AV13" s="2085">
        <v>78</v>
      </c>
      <c r="AW13" s="192"/>
      <c r="AX13" s="192">
        <f>+bal!AV12-bal!AX12-bal!AV38+bal!AX38+bal!AV19-bal!AX19-bal!AV32+bal!AX32</f>
        <v>0</v>
      </c>
      <c r="AY13" s="192"/>
      <c r="AZ13" s="192">
        <f>+bal!AX12-bal!AZ12-bal!AX38+bal!AZ38+bal!AX19-bal!AZ19-bal!AX32+bal!AZ32</f>
        <v>0</v>
      </c>
      <c r="BA13" s="192"/>
      <c r="BB13" s="192">
        <f>+bal!AZ12-bal!BB12-bal!AZ38+bal!BB38+bal!AZ19-bal!BB19-bal!AZ32+bal!BB32</f>
        <v>0</v>
      </c>
      <c r="BC13" s="192"/>
      <c r="BD13" s="192">
        <f>+bal!BB12-bal!BD12-bal!BB38+bal!BD38+bal!BB19-bal!BD19-bal!BB32+bal!BD32</f>
        <v>0</v>
      </c>
      <c r="BE13" s="192"/>
      <c r="BF13" s="192">
        <f>+bal!BD12-bal!BF12-bal!BD38+bal!BF38+bal!BD19-bal!BF19-bal!BD32+bal!BF32</f>
        <v>0</v>
      </c>
      <c r="BG13" s="192"/>
      <c r="BH13" s="163"/>
      <c r="BI13" s="56"/>
      <c r="BJ13" s="56"/>
    </row>
    <row r="14" spans="1:62">
      <c r="A14" s="3"/>
      <c r="B14" s="3" t="s">
        <v>571</v>
      </c>
      <c r="C14" s="3"/>
      <c r="D14" s="137"/>
      <c r="E14" s="91"/>
      <c r="F14" s="137"/>
      <c r="G14" s="91"/>
      <c r="H14" s="137">
        <v>0.70699999999999996</v>
      </c>
      <c r="I14" s="91"/>
      <c r="J14" s="137">
        <v>-0.76600000000000001</v>
      </c>
      <c r="K14" s="91"/>
      <c r="L14" s="137">
        <v>2.843</v>
      </c>
      <c r="M14" s="134"/>
      <c r="N14" s="138">
        <v>-1.6879999999999999</v>
      </c>
      <c r="O14" s="136"/>
      <c r="P14" s="138">
        <v>-0.192</v>
      </c>
      <c r="Q14" s="136"/>
      <c r="R14" s="138">
        <v>1.482</v>
      </c>
      <c r="S14" s="136"/>
      <c r="T14" s="138">
        <v>-0.96899999999999997</v>
      </c>
      <c r="U14" s="136"/>
      <c r="V14" s="138">
        <f>3.372+43.571</f>
        <v>46.942999999999998</v>
      </c>
      <c r="W14" s="136"/>
      <c r="X14" s="138">
        <f>3.881+55.88+0.041</f>
        <v>59.802</v>
      </c>
      <c r="Y14" s="90"/>
      <c r="Z14" s="138">
        <f>-14.723+69.19+0.252</f>
        <v>54.719000000000001</v>
      </c>
      <c r="AA14" s="90"/>
      <c r="AB14" s="138">
        <f>56.726-2.024+1.845</f>
        <v>56.546999999999997</v>
      </c>
      <c r="AC14" s="192"/>
      <c r="AD14" s="138">
        <f>0.286+66.979+6.845</f>
        <v>74.11</v>
      </c>
      <c r="AE14" s="195"/>
      <c r="AF14" s="138">
        <f>0.909+67.542+10.151</f>
        <v>78.602000000000004</v>
      </c>
      <c r="AG14" s="195"/>
      <c r="AH14" s="138">
        <f>+-10.449+81.42-0.698</f>
        <v>70.27300000000001</v>
      </c>
      <c r="AI14" s="195"/>
      <c r="AJ14" s="138">
        <f>9.79+95.83+2.014</f>
        <v>107.634</v>
      </c>
      <c r="AK14" s="195"/>
      <c r="AL14" s="138">
        <f>0.595+107.511+0.217</f>
        <v>108.32299999999999</v>
      </c>
      <c r="AM14" s="195"/>
      <c r="AN14" s="138">
        <f>-0.529+120.46+1.157</f>
        <v>121.08799999999999</v>
      </c>
      <c r="AO14" s="195"/>
      <c r="AP14" s="1583">
        <f>1.649+95.106+6.481</f>
        <v>103.23599999999999</v>
      </c>
      <c r="AQ14" s="195"/>
      <c r="AR14" s="1583">
        <f>88.9+1.7-3.2</f>
        <v>87.4</v>
      </c>
      <c r="AS14" s="195"/>
      <c r="AT14" s="1583">
        <f>86.8+3.7-14.7</f>
        <v>75.8</v>
      </c>
      <c r="AU14" s="195"/>
      <c r="AV14" s="2048">
        <f>73.6+1.7-19.1</f>
        <v>56.199999999999996</v>
      </c>
      <c r="AW14" s="195"/>
      <c r="AX14" s="193">
        <f>+AV14</f>
        <v>56.199999999999996</v>
      </c>
      <c r="AY14" s="195"/>
      <c r="AZ14" s="193">
        <f>+AX14</f>
        <v>56.199999999999996</v>
      </c>
      <c r="BA14" s="195"/>
      <c r="BB14" s="193">
        <f>+AZ14</f>
        <v>56.199999999999996</v>
      </c>
      <c r="BC14" s="195"/>
      <c r="BD14" s="193">
        <f>+BB14</f>
        <v>56.199999999999996</v>
      </c>
      <c r="BE14" s="195"/>
      <c r="BF14" s="193">
        <f>+BD14</f>
        <v>56.199999999999996</v>
      </c>
      <c r="BG14" s="195"/>
      <c r="BH14" s="163"/>
      <c r="BI14" s="56"/>
      <c r="BJ14" s="56"/>
    </row>
    <row r="15" spans="1:62">
      <c r="A15" s="3" t="s">
        <v>572</v>
      </c>
      <c r="B15" s="3"/>
      <c r="C15" s="3"/>
      <c r="D15" s="139">
        <f>SUM(D8:D14)</f>
        <v>36.969000000000015</v>
      </c>
      <c r="E15" s="3"/>
      <c r="F15" s="139">
        <f>SUM(F8:F14)</f>
        <v>42.86</v>
      </c>
      <c r="G15" s="3"/>
      <c r="H15" s="139">
        <f>SUM(H8:H14)</f>
        <v>52.399999999999949</v>
      </c>
      <c r="I15" s="3"/>
      <c r="J15" s="139">
        <f>SUM(J8:J14)</f>
        <v>43.852999999999973</v>
      </c>
      <c r="K15" s="3"/>
      <c r="L15" s="139">
        <f>SUM(L8:L14)</f>
        <v>44.636000000000024</v>
      </c>
      <c r="M15" s="3"/>
      <c r="N15" s="139">
        <f>SUM(N8:N14)</f>
        <v>62.203999999999937</v>
      </c>
      <c r="O15" s="3"/>
      <c r="P15" s="139">
        <f>SUM(P8:P14)</f>
        <v>88.146000000000015</v>
      </c>
      <c r="Q15" s="3"/>
      <c r="R15" s="139">
        <f>SUM(R8:R14)</f>
        <v>125.184</v>
      </c>
      <c r="S15" s="3"/>
      <c r="T15" s="139">
        <f>SUM(T8:T14)</f>
        <v>233.77899999999997</v>
      </c>
      <c r="U15" s="3"/>
      <c r="V15" s="139">
        <f>SUM(V8:V14)</f>
        <v>255.34999999999974</v>
      </c>
      <c r="W15" s="3"/>
      <c r="X15" s="139">
        <f>SUM(X8:X14)</f>
        <v>350.37000000000012</v>
      </c>
      <c r="Y15" s="3"/>
      <c r="Z15" s="139">
        <f>SUM(Z8:Z14)</f>
        <v>491.83099999999996</v>
      </c>
      <c r="AA15" s="3"/>
      <c r="AB15" s="139">
        <f>SUM(AB8:AB14)</f>
        <v>743.22599999999954</v>
      </c>
      <c r="AC15" s="3"/>
      <c r="AD15" s="139">
        <f>SUM(AD8:AD14)</f>
        <v>917.70900000000006</v>
      </c>
      <c r="AE15" s="139"/>
      <c r="AF15" s="139">
        <f>SUM(AF8:AF14)</f>
        <v>839.51599999999951</v>
      </c>
      <c r="AG15" s="139"/>
      <c r="AH15" s="139">
        <f>SUM(AH8:AH14)</f>
        <v>887.21199999999988</v>
      </c>
      <c r="AI15" s="139"/>
      <c r="AJ15" s="139">
        <f>SUM(AJ8:AJ14)</f>
        <v>1095.1000000000004</v>
      </c>
      <c r="AK15" s="132"/>
      <c r="AL15" s="132">
        <f>SUM(AL8:AL14)</f>
        <v>1239.6529999999996</v>
      </c>
      <c r="AM15" s="132"/>
      <c r="AN15" s="132">
        <f>SUM(AN8:AN14)</f>
        <v>1310.8729999999996</v>
      </c>
      <c r="AO15" s="139"/>
      <c r="AP15" s="139">
        <f>SUM(AP8:AP14)</f>
        <v>1147.8300000000008</v>
      </c>
      <c r="AQ15" s="139"/>
      <c r="AR15" s="139">
        <f>SUM(AR8:AR14)</f>
        <v>768.40000000000009</v>
      </c>
      <c r="AS15" s="139"/>
      <c r="AT15" s="139">
        <f>SUM(AT8:AT14)</f>
        <v>721.29999999999905</v>
      </c>
      <c r="AU15" s="139"/>
      <c r="AV15" s="139">
        <f>SUM(AV8:AV14)</f>
        <v>950.32000000000085</v>
      </c>
      <c r="AW15" s="139"/>
      <c r="AX15" s="139">
        <f>SUM(AX8:AX14)</f>
        <v>1073.878981674733</v>
      </c>
      <c r="AY15" s="139"/>
      <c r="AZ15" s="139">
        <f>SUM(AZ8:AZ14)</f>
        <v>1152.9124777453731</v>
      </c>
      <c r="BA15" s="139"/>
      <c r="BB15" s="139">
        <f>SUM(BB8:BB14)</f>
        <v>1192.3261495704253</v>
      </c>
      <c r="BC15" s="139"/>
      <c r="BD15" s="139">
        <f>SUM(BD8:BD14)</f>
        <v>1232.5181893231925</v>
      </c>
      <c r="BE15" s="139"/>
      <c r="BF15" s="132">
        <f>SUM(BF8:BF14)</f>
        <v>1287.9687255038002</v>
      </c>
      <c r="BG15" s="139"/>
      <c r="BH15" s="163"/>
      <c r="BI15" s="56"/>
      <c r="BJ15" s="56"/>
    </row>
    <row r="16" spans="1:62">
      <c r="A16" s="3"/>
      <c r="B16" s="3"/>
      <c r="C16" s="3"/>
      <c r="D16" s="3"/>
      <c r="E16" s="2"/>
      <c r="F16" s="3"/>
      <c r="G16" s="2"/>
      <c r="H16" s="3"/>
      <c r="I16" s="2"/>
      <c r="J16" s="3"/>
      <c r="K16" s="2"/>
      <c r="L16" s="3"/>
      <c r="M16" s="2"/>
      <c r="N16" s="3"/>
      <c r="O16" s="2"/>
      <c r="P16" s="3"/>
      <c r="Q16" s="2"/>
      <c r="R16" s="3"/>
      <c r="S16" s="2"/>
      <c r="T16" s="3"/>
      <c r="U16" s="2"/>
      <c r="V16" s="3"/>
      <c r="W16" s="2"/>
      <c r="X16" s="3"/>
      <c r="Y16" s="2"/>
      <c r="Z16" s="3"/>
      <c r="AA16" s="2"/>
      <c r="AB16" s="3"/>
      <c r="AC16" s="2"/>
      <c r="AD16" s="3"/>
      <c r="AE16" s="3"/>
      <c r="AF16" s="3"/>
      <c r="AG16" s="3"/>
      <c r="AH16" s="3"/>
      <c r="AI16" s="3"/>
      <c r="AJ16" s="3"/>
      <c r="AK16" s="61"/>
      <c r="AL16" s="61"/>
      <c r="AM16" s="61"/>
      <c r="AN16" s="61"/>
      <c r="AO16" s="3"/>
      <c r="AP16" s="3"/>
      <c r="AQ16" s="3"/>
      <c r="AR16" s="139"/>
      <c r="AS16" s="3"/>
      <c r="AT16" s="3"/>
      <c r="AU16" s="3"/>
      <c r="AV16" s="3"/>
      <c r="AW16" s="3"/>
      <c r="AX16" s="3"/>
      <c r="AY16" s="3"/>
      <c r="AZ16" s="3"/>
      <c r="BA16" s="3"/>
      <c r="BB16" s="3"/>
      <c r="BC16" s="3"/>
      <c r="BD16" s="3"/>
      <c r="BE16" s="3"/>
      <c r="BF16" s="61"/>
      <c r="BG16" s="3"/>
      <c r="BH16" s="163"/>
      <c r="BI16" s="56"/>
      <c r="BJ16" s="56"/>
    </row>
    <row r="17" spans="1:62">
      <c r="A17" s="3"/>
      <c r="B17" s="3"/>
      <c r="C17" s="3"/>
      <c r="D17" s="49"/>
      <c r="E17" s="54"/>
      <c r="F17" s="54"/>
      <c r="G17" s="49"/>
      <c r="H17" s="49"/>
      <c r="I17" s="54"/>
      <c r="J17" s="54"/>
      <c r="K17" s="49"/>
      <c r="L17" s="54"/>
      <c r="M17" s="54"/>
      <c r="N17" s="303" t="s">
        <v>573</v>
      </c>
      <c r="O17" s="303"/>
      <c r="P17" s="303"/>
      <c r="Q17" s="303"/>
      <c r="R17" s="303"/>
      <c r="S17" s="303"/>
      <c r="T17" s="303"/>
      <c r="U17" s="303"/>
      <c r="V17" s="303"/>
      <c r="W17" s="303"/>
      <c r="X17" s="303"/>
      <c r="Y17" s="303"/>
      <c r="Z17" s="303"/>
      <c r="AA17" s="303"/>
      <c r="AB17" s="303"/>
      <c r="AC17" s="303"/>
      <c r="AD17" s="303"/>
      <c r="AE17" s="303"/>
      <c r="AF17" s="303"/>
      <c r="AG17" s="303"/>
      <c r="AH17" s="303"/>
      <c r="AI17" s="303"/>
      <c r="AJ17" s="303"/>
      <c r="AK17" s="688"/>
      <c r="AL17" s="688"/>
      <c r="AM17" s="688"/>
      <c r="AN17" s="688"/>
      <c r="AO17" s="303"/>
      <c r="AP17" s="303"/>
      <c r="AQ17" s="303"/>
      <c r="AR17" s="703"/>
      <c r="AS17" s="303"/>
      <c r="AT17" s="303"/>
      <c r="AU17" s="303"/>
      <c r="AV17" s="303"/>
      <c r="AW17" s="303"/>
      <c r="AX17" s="303"/>
      <c r="AY17" s="303"/>
      <c r="AZ17" s="303"/>
      <c r="BA17" s="303"/>
      <c r="BB17" s="303"/>
      <c r="BC17" s="303"/>
      <c r="BD17" s="303"/>
      <c r="BE17" s="1077"/>
      <c r="BF17" s="688"/>
      <c r="BG17" s="1077"/>
      <c r="BH17" s="163"/>
      <c r="BI17" s="56"/>
      <c r="BJ17" s="56"/>
    </row>
    <row r="18" spans="1:62">
      <c r="A18" s="3"/>
      <c r="B18" s="3"/>
      <c r="C18" s="3"/>
      <c r="D18" s="140"/>
      <c r="E18" s="141"/>
      <c r="F18" s="140"/>
      <c r="G18" s="141"/>
      <c r="H18" s="140"/>
      <c r="I18" s="141"/>
      <c r="J18" s="140"/>
      <c r="K18" s="141"/>
      <c r="L18" s="140"/>
      <c r="M18" s="141"/>
      <c r="N18" s="140"/>
      <c r="O18" s="141"/>
      <c r="P18" s="140"/>
      <c r="Q18" s="141"/>
      <c r="R18" s="140"/>
      <c r="S18" s="141"/>
      <c r="T18" s="140"/>
      <c r="U18" s="141"/>
      <c r="V18" s="140"/>
      <c r="W18" s="141"/>
      <c r="X18" s="140"/>
      <c r="Y18" s="141"/>
      <c r="Z18" s="140"/>
      <c r="AA18" s="141"/>
      <c r="AB18" s="140"/>
      <c r="AC18" s="141"/>
      <c r="AD18" s="140"/>
      <c r="AE18" s="140"/>
      <c r="AF18" s="140"/>
      <c r="AG18" s="140"/>
      <c r="AH18" s="140"/>
      <c r="AI18" s="140"/>
      <c r="AJ18" s="140"/>
      <c r="AK18" s="152"/>
      <c r="AL18" s="152"/>
      <c r="AM18" s="152"/>
      <c r="AN18" s="152"/>
      <c r="AO18" s="140"/>
      <c r="AP18" s="140"/>
      <c r="AQ18" s="140"/>
      <c r="AR18" s="140"/>
      <c r="AS18" s="140"/>
      <c r="AT18" s="140"/>
      <c r="AU18" s="140"/>
      <c r="AV18" s="140"/>
      <c r="AW18" s="140"/>
      <c r="AX18" s="140"/>
      <c r="AY18" s="140"/>
      <c r="AZ18" s="140"/>
      <c r="BA18" s="140"/>
      <c r="BB18" s="140"/>
      <c r="BC18" s="140"/>
      <c r="BD18" s="140"/>
      <c r="BE18" s="140"/>
      <c r="BF18" s="152"/>
      <c r="BG18" s="140"/>
      <c r="BH18" s="163"/>
      <c r="BI18" s="56"/>
      <c r="BJ18" s="56"/>
    </row>
    <row r="19" spans="1:62">
      <c r="A19" s="3" t="s">
        <v>574</v>
      </c>
      <c r="B19" s="3"/>
      <c r="C19" s="3"/>
      <c r="D19" s="142"/>
      <c r="E19" s="141"/>
      <c r="F19" s="142"/>
      <c r="G19" s="141"/>
      <c r="H19" s="142">
        <f>30.218-0.886</f>
        <v>29.332000000000001</v>
      </c>
      <c r="I19" s="141"/>
      <c r="J19" s="142">
        <f>15.178-0.84</f>
        <v>14.338000000000001</v>
      </c>
      <c r="K19" s="141"/>
      <c r="L19" s="142">
        <f>13.519-2.646</f>
        <v>10.873000000000001</v>
      </c>
      <c r="M19" s="141"/>
      <c r="N19" s="143">
        <f>26.06</f>
        <v>26.06</v>
      </c>
      <c r="O19" s="144"/>
      <c r="P19" s="143">
        <f>31.868</f>
        <v>31.867999999999999</v>
      </c>
      <c r="Q19" s="144"/>
      <c r="R19" s="143">
        <f>42.764</f>
        <v>42.764000000000003</v>
      </c>
      <c r="S19" s="144"/>
      <c r="T19" s="143">
        <v>57.112000000000002</v>
      </c>
      <c r="U19" s="144"/>
      <c r="V19" s="143">
        <f>73.659</f>
        <v>73.659000000000006</v>
      </c>
      <c r="W19" s="144"/>
      <c r="X19" s="143">
        <f>94.592</f>
        <v>94.591999999999999</v>
      </c>
      <c r="Y19" s="144"/>
      <c r="Z19" s="143">
        <v>133.876</v>
      </c>
      <c r="AA19" s="144"/>
      <c r="AB19" s="143">
        <v>140.6</v>
      </c>
      <c r="AC19" s="144"/>
      <c r="AD19" s="143">
        <v>174.72</v>
      </c>
      <c r="AE19" s="143"/>
      <c r="AF19" s="294">
        <f>137.029+103.3</f>
        <v>240.32900000000001</v>
      </c>
      <c r="AG19" s="143"/>
      <c r="AH19" s="294">
        <v>81.116</v>
      </c>
      <c r="AI19" s="143"/>
      <c r="AJ19" s="294">
        <v>147.744</v>
      </c>
      <c r="AK19" s="143"/>
      <c r="AL19" s="294">
        <v>184.309</v>
      </c>
      <c r="AM19" s="143"/>
      <c r="AN19" s="294">
        <v>241.35300000000001</v>
      </c>
      <c r="AO19" s="143"/>
      <c r="AP19" s="294">
        <v>219.58699999999999</v>
      </c>
      <c r="AQ19" s="143"/>
      <c r="AR19" s="294">
        <v>199.3</v>
      </c>
      <c r="AS19" s="294"/>
      <c r="AT19" s="294">
        <v>396.4</v>
      </c>
      <c r="AU19" s="294"/>
      <c r="AV19" s="294">
        <v>283.10000000000002</v>
      </c>
      <c r="AW19" s="294"/>
      <c r="AX19" s="294">
        <v>325</v>
      </c>
      <c r="AY19" s="294"/>
      <c r="AZ19" s="294">
        <v>325</v>
      </c>
      <c r="BA19" s="294"/>
      <c r="BB19" s="294">
        <v>325</v>
      </c>
      <c r="BC19" s="294"/>
      <c r="BD19" s="294">
        <v>325</v>
      </c>
      <c r="BE19" s="294"/>
      <c r="BF19" s="294">
        <v>325</v>
      </c>
      <c r="BG19" s="294"/>
      <c r="BH19" s="163"/>
      <c r="BI19" s="56"/>
      <c r="BJ19" s="56"/>
    </row>
    <row r="20" spans="1:62">
      <c r="A20" s="3"/>
      <c r="B20" s="3"/>
      <c r="C20" s="3"/>
      <c r="D20" s="140"/>
      <c r="E20" s="141"/>
      <c r="F20" s="140"/>
      <c r="G20" s="141"/>
      <c r="H20" s="140"/>
      <c r="I20" s="141"/>
      <c r="J20" s="140"/>
      <c r="K20" s="141"/>
      <c r="L20" s="140"/>
      <c r="M20" s="141"/>
      <c r="N20" s="140"/>
      <c r="O20" s="141"/>
      <c r="P20" s="140"/>
      <c r="Q20" s="141"/>
      <c r="R20" s="140"/>
      <c r="S20" s="141"/>
      <c r="T20" s="140"/>
      <c r="U20" s="141"/>
      <c r="V20" s="140"/>
      <c r="W20" s="141"/>
      <c r="X20" s="140"/>
      <c r="Y20" s="141"/>
      <c r="Z20" s="140"/>
      <c r="AA20" s="141"/>
      <c r="AB20" s="140"/>
      <c r="AC20" s="141"/>
      <c r="AD20" s="140"/>
      <c r="AE20" s="140"/>
      <c r="AF20" s="140"/>
      <c r="AG20" s="140"/>
      <c r="AH20" s="313"/>
      <c r="AI20" s="140"/>
      <c r="AJ20" s="140"/>
      <c r="AK20" s="140"/>
      <c r="AL20" s="152"/>
      <c r="AM20" s="140"/>
      <c r="AN20" s="140"/>
      <c r="AO20" s="140"/>
      <c r="AP20" s="140"/>
      <c r="AQ20" s="140"/>
      <c r="AR20" s="140"/>
      <c r="AS20" s="140"/>
      <c r="AT20" s="140"/>
      <c r="AU20" s="140"/>
      <c r="AV20" s="140"/>
      <c r="AW20" s="140"/>
      <c r="AX20" s="140"/>
      <c r="AY20" s="140"/>
      <c r="AZ20" s="140"/>
      <c r="BA20" s="140"/>
      <c r="BB20" s="140"/>
      <c r="BC20" s="140"/>
      <c r="BD20" s="140"/>
      <c r="BE20" s="140"/>
      <c r="BF20" s="152"/>
      <c r="BG20" s="140"/>
      <c r="BH20" s="163"/>
      <c r="BI20" s="56"/>
      <c r="BJ20" s="56"/>
    </row>
    <row r="21" spans="1:62">
      <c r="A21" s="3" t="s">
        <v>575</v>
      </c>
      <c r="B21" s="3"/>
      <c r="C21" s="3"/>
      <c r="D21" s="140"/>
      <c r="E21" s="141"/>
      <c r="F21" s="140"/>
      <c r="G21" s="141"/>
      <c r="H21" s="140"/>
      <c r="I21" s="141"/>
      <c r="J21" s="140"/>
      <c r="K21" s="141"/>
      <c r="L21" s="140"/>
      <c r="M21" s="141"/>
      <c r="N21" s="145"/>
      <c r="O21" s="144"/>
      <c r="P21" s="145"/>
      <c r="Q21" s="144"/>
      <c r="R21" s="145"/>
      <c r="S21" s="144"/>
      <c r="T21" s="145"/>
      <c r="U21" s="144"/>
      <c r="V21" s="145"/>
      <c r="W21" s="144"/>
      <c r="X21" s="145"/>
      <c r="Y21" s="144"/>
      <c r="Z21" s="145"/>
      <c r="AA21" s="144"/>
      <c r="AB21" s="145"/>
      <c r="AC21" s="144"/>
      <c r="AD21" s="145"/>
      <c r="AE21" s="145"/>
      <c r="AF21" s="145"/>
      <c r="AG21" s="145"/>
      <c r="AH21" s="145"/>
      <c r="AI21" s="145"/>
      <c r="AJ21" s="145"/>
      <c r="AK21" s="145"/>
      <c r="AL21" s="149"/>
      <c r="AM21" s="145"/>
      <c r="AN21" s="145"/>
      <c r="AO21" s="145"/>
      <c r="AP21" s="145"/>
      <c r="AQ21" s="145"/>
      <c r="AR21" s="145"/>
      <c r="AS21" s="145"/>
      <c r="AT21" s="145"/>
      <c r="AU21" s="145"/>
      <c r="AV21" s="145"/>
      <c r="AW21" s="145"/>
      <c r="AX21" s="145"/>
      <c r="AY21" s="145"/>
      <c r="AZ21" s="145"/>
      <c r="BA21" s="145"/>
      <c r="BB21" s="145"/>
      <c r="BC21" s="145"/>
      <c r="BD21" s="145"/>
      <c r="BE21" s="145"/>
      <c r="BF21" s="149"/>
      <c r="BG21" s="145"/>
      <c r="BH21" s="163"/>
      <c r="BI21" s="56"/>
      <c r="BJ21" s="56"/>
    </row>
    <row r="22" spans="1:62">
      <c r="A22" s="3"/>
      <c r="B22" s="3" t="s">
        <v>624</v>
      </c>
      <c r="C22" s="3"/>
      <c r="D22" s="140"/>
      <c r="E22" s="141"/>
      <c r="F22" s="140"/>
      <c r="G22" s="141"/>
      <c r="H22" s="146">
        <v>-2.476</v>
      </c>
      <c r="I22" s="147"/>
      <c r="J22" s="146">
        <v>-4.4729999999999999</v>
      </c>
      <c r="K22" s="147"/>
      <c r="L22" s="146">
        <v>-1.3149999999999999</v>
      </c>
      <c r="M22" s="141"/>
      <c r="N22" s="148">
        <v>3.7509999999999999</v>
      </c>
      <c r="O22" s="144"/>
      <c r="P22" s="148">
        <v>5.0410000000000004</v>
      </c>
      <c r="Q22" s="144"/>
      <c r="R22" s="148">
        <v>5.8550000000000004</v>
      </c>
      <c r="S22" s="144"/>
      <c r="T22" s="143">
        <v>4.5449999999999999</v>
      </c>
      <c r="U22" s="144"/>
      <c r="V22" s="148">
        <v>20.254000000000001</v>
      </c>
      <c r="W22" s="144"/>
      <c r="X22" s="148">
        <v>9.7159999999999993</v>
      </c>
      <c r="Y22" s="144"/>
      <c r="Z22" s="148">
        <v>19.213999999999999</v>
      </c>
      <c r="AA22" s="144"/>
      <c r="AB22" s="148">
        <v>28.065999999999999</v>
      </c>
      <c r="AC22" s="144"/>
      <c r="AD22" s="148">
        <v>-8.2129999999999992</v>
      </c>
      <c r="AE22" s="145"/>
      <c r="AF22" s="148">
        <v>-3.3090000000000002</v>
      </c>
      <c r="AG22" s="145"/>
      <c r="AH22" s="148">
        <v>-4.3440000000000003</v>
      </c>
      <c r="AI22" s="145"/>
      <c r="AJ22" s="148">
        <v>31.831</v>
      </c>
      <c r="AK22" s="145"/>
      <c r="AL22" s="148">
        <v>26.565000000000001</v>
      </c>
      <c r="AM22" s="145"/>
      <c r="AN22" s="148">
        <v>14.231</v>
      </c>
      <c r="AO22" s="145"/>
      <c r="AP22" s="1584">
        <v>23.713000000000001</v>
      </c>
      <c r="AQ22" s="145"/>
      <c r="AR22" s="1584">
        <v>-0.3</v>
      </c>
      <c r="AS22" s="145"/>
      <c r="AT22" s="1584">
        <v>28.3</v>
      </c>
      <c r="AU22" s="145"/>
      <c r="AV22" s="2086">
        <v>29.4</v>
      </c>
      <c r="AW22" s="145"/>
      <c r="AX22" s="145">
        <f>+bal!AX10-bal!AV10</f>
        <v>50.299090463693005</v>
      </c>
      <c r="AY22" s="145"/>
      <c r="AZ22" s="145">
        <f>+bal!AZ10-bal!AX10</f>
        <v>10.145133978898684</v>
      </c>
      <c r="BA22" s="145"/>
      <c r="BB22" s="145">
        <f>+bal!BB10-bal!AZ10</f>
        <v>9.4251588775857726</v>
      </c>
      <c r="BC22" s="145"/>
      <c r="BD22" s="145">
        <f>+bal!BD10-bal!BB10</f>
        <v>9.6776595368324365</v>
      </c>
      <c r="BE22" s="145"/>
      <c r="BF22" s="149">
        <f>+bal!BF10-bal!BD10</f>
        <v>9.9623078425377116</v>
      </c>
      <c r="BG22" s="145"/>
      <c r="BH22" s="163"/>
      <c r="BI22" s="56"/>
      <c r="BJ22" s="56"/>
    </row>
    <row r="23" spans="1:62" hidden="1" outlineLevel="1">
      <c r="A23" s="61"/>
      <c r="B23" s="61" t="s">
        <v>286</v>
      </c>
      <c r="C23" s="61"/>
      <c r="D23" s="152"/>
      <c r="E23" s="428"/>
      <c r="F23" s="152"/>
      <c r="G23" s="428"/>
      <c r="H23" s="152"/>
      <c r="I23" s="428"/>
      <c r="J23" s="146"/>
      <c r="K23" s="428"/>
      <c r="L23" s="142">
        <v>-18.651</v>
      </c>
      <c r="M23" s="428"/>
      <c r="N23" s="143">
        <v>-22.442</v>
      </c>
      <c r="O23" s="429"/>
      <c r="P23" s="143">
        <v>-31.437000000000001</v>
      </c>
      <c r="Q23" s="429"/>
      <c r="R23" s="143">
        <v>0</v>
      </c>
      <c r="S23" s="429"/>
      <c r="T23" s="143">
        <v>0</v>
      </c>
      <c r="U23" s="429"/>
      <c r="V23" s="143">
        <v>0</v>
      </c>
      <c r="W23" s="429"/>
      <c r="X23" s="143">
        <v>0</v>
      </c>
      <c r="Y23" s="429"/>
      <c r="Z23" s="143">
        <v>0</v>
      </c>
      <c r="AA23" s="429"/>
      <c r="AB23" s="143">
        <v>0</v>
      </c>
      <c r="AC23" s="429"/>
      <c r="AD23" s="143">
        <v>0</v>
      </c>
      <c r="AE23" s="149"/>
      <c r="AF23" s="143">
        <v>0</v>
      </c>
      <c r="AG23" s="149"/>
      <c r="AH23" s="143">
        <v>0</v>
      </c>
      <c r="AI23" s="149"/>
      <c r="AJ23" s="143">
        <v>0</v>
      </c>
      <c r="AK23" s="149"/>
      <c r="AL23" s="143">
        <v>0</v>
      </c>
      <c r="AM23" s="149"/>
      <c r="AN23" s="143">
        <v>0</v>
      </c>
      <c r="AO23" s="149"/>
      <c r="AP23" s="1585">
        <v>0</v>
      </c>
      <c r="AQ23" s="149"/>
      <c r="AR23" s="1585">
        <v>0</v>
      </c>
      <c r="AS23" s="143"/>
      <c r="AT23" s="1585">
        <v>0</v>
      </c>
      <c r="AU23" s="143"/>
      <c r="AV23" s="2087">
        <v>0</v>
      </c>
      <c r="AW23" s="143"/>
      <c r="AX23" s="143">
        <v>0</v>
      </c>
      <c r="AY23" s="143"/>
      <c r="AZ23" s="143">
        <v>0</v>
      </c>
      <c r="BA23" s="143"/>
      <c r="BB23" s="143">
        <v>0</v>
      </c>
      <c r="BC23" s="143"/>
      <c r="BD23" s="143">
        <v>0</v>
      </c>
      <c r="BE23" s="143"/>
      <c r="BF23" s="143">
        <v>0</v>
      </c>
      <c r="BG23" s="143"/>
      <c r="BH23" s="163"/>
      <c r="BI23" s="154"/>
      <c r="BJ23" s="154"/>
    </row>
    <row r="24" spans="1:62" collapsed="1">
      <c r="A24" s="3"/>
      <c r="B24" s="3" t="s">
        <v>587</v>
      </c>
      <c r="C24" s="3"/>
      <c r="D24" s="142"/>
      <c r="E24" s="140"/>
      <c r="F24" s="142"/>
      <c r="G24" s="140"/>
      <c r="H24" s="142">
        <v>9.4009999999999998</v>
      </c>
      <c r="I24" s="140"/>
      <c r="J24" s="142">
        <v>30.206</v>
      </c>
      <c r="K24" s="140"/>
      <c r="L24" s="142">
        <v>-30.977</v>
      </c>
      <c r="M24" s="140"/>
      <c r="N24" s="143">
        <v>0.72499999999999998</v>
      </c>
      <c r="O24" s="145"/>
      <c r="P24" s="143">
        <v>3.0649999999999999</v>
      </c>
      <c r="Q24" s="145"/>
      <c r="R24" s="143">
        <v>16.638000000000002</v>
      </c>
      <c r="S24" s="145"/>
      <c r="T24" s="143">
        <v>7.4029999999999996</v>
      </c>
      <c r="U24" s="145"/>
      <c r="V24" s="143">
        <v>18.106000000000002</v>
      </c>
      <c r="W24" s="145"/>
      <c r="X24" s="143">
        <v>22.506</v>
      </c>
      <c r="Y24" s="145"/>
      <c r="Z24" s="148">
        <v>49.075000000000003</v>
      </c>
      <c r="AA24" s="145"/>
      <c r="AB24" s="143">
        <v>63.935000000000002</v>
      </c>
      <c r="AC24" s="145"/>
      <c r="AD24" s="143">
        <v>32.08</v>
      </c>
      <c r="AE24" s="149"/>
      <c r="AF24" s="143">
        <v>-4.07</v>
      </c>
      <c r="AG24" s="149"/>
      <c r="AH24" s="143">
        <v>33.878</v>
      </c>
      <c r="AI24" s="149"/>
      <c r="AJ24" s="143">
        <v>64.72</v>
      </c>
      <c r="AK24" s="149"/>
      <c r="AL24" s="143">
        <v>71.680000000000007</v>
      </c>
      <c r="AM24" s="149"/>
      <c r="AN24" s="143">
        <v>38.630000000000003</v>
      </c>
      <c r="AO24" s="149"/>
      <c r="AP24" s="1585">
        <v>64.073999999999998</v>
      </c>
      <c r="AQ24" s="149"/>
      <c r="AR24" s="1585">
        <v>-29.2</v>
      </c>
      <c r="AS24" s="149"/>
      <c r="AT24" s="1585">
        <v>-40.700000000000003</v>
      </c>
      <c r="AU24" s="149"/>
      <c r="AV24" s="2087">
        <v>20</v>
      </c>
      <c r="AW24" s="149"/>
      <c r="AX24" s="149">
        <f>+bal!AX11-bal!AV11</f>
        <v>126.39682847034197</v>
      </c>
      <c r="AY24" s="149"/>
      <c r="AZ24" s="149">
        <f>+bal!AZ11-bal!AX11</f>
        <v>18.999369996371456</v>
      </c>
      <c r="BA24" s="149"/>
      <c r="BB24" s="149">
        <f>+bal!BB11-bal!AZ11</f>
        <v>17.651031633716798</v>
      </c>
      <c r="BC24" s="149"/>
      <c r="BD24" s="149">
        <f>+bal!BD11-bal!BB11</f>
        <v>18.123903993937461</v>
      </c>
      <c r="BE24" s="149"/>
      <c r="BF24" s="149">
        <f>+bal!BF11-bal!BD11</f>
        <v>18.656981081946583</v>
      </c>
      <c r="BG24" s="149"/>
      <c r="BH24" s="163"/>
      <c r="BI24" s="56"/>
      <c r="BJ24" s="56"/>
    </row>
    <row r="25" spans="1:62">
      <c r="A25" s="3"/>
      <c r="B25" s="3" t="s">
        <v>335</v>
      </c>
      <c r="C25" s="3"/>
      <c r="D25" s="142"/>
      <c r="E25" s="140"/>
      <c r="F25" s="142"/>
      <c r="G25" s="140"/>
      <c r="H25" s="142">
        <v>0.88</v>
      </c>
      <c r="I25" s="140"/>
      <c r="J25" s="142">
        <v>-9.3469999999999995</v>
      </c>
      <c r="K25" s="140"/>
      <c r="L25" s="142">
        <v>1.8759999999999999</v>
      </c>
      <c r="M25" s="140"/>
      <c r="N25" s="143">
        <v>0.09</v>
      </c>
      <c r="O25" s="145"/>
      <c r="P25" s="143">
        <v>0.35699999999999998</v>
      </c>
      <c r="Q25" s="145"/>
      <c r="R25" s="143">
        <v>12.843</v>
      </c>
      <c r="S25" s="145"/>
      <c r="T25" s="143">
        <v>9.9329999999999998</v>
      </c>
      <c r="U25" s="145"/>
      <c r="V25" s="143">
        <f>3.861-7.058</f>
        <v>-3.1969999999999996</v>
      </c>
      <c r="W25" s="145"/>
      <c r="X25" s="143">
        <f>14.885-23.82</f>
        <v>-8.9350000000000005</v>
      </c>
      <c r="Y25" s="145"/>
      <c r="Z25" s="143">
        <f>6.13-19.307</f>
        <v>-13.177</v>
      </c>
      <c r="AA25" s="145"/>
      <c r="AB25" s="143">
        <f>50.359-50.888</f>
        <v>-0.52899999999999636</v>
      </c>
      <c r="AC25" s="149"/>
      <c r="AD25" s="143">
        <f>94.535-28.529</f>
        <v>66.006</v>
      </c>
      <c r="AE25" s="149"/>
      <c r="AF25" s="143">
        <f>-31.155-0.211</f>
        <v>-31.366</v>
      </c>
      <c r="AG25" s="149"/>
      <c r="AH25" s="143">
        <f>+-35.64+-28.477</f>
        <v>-64.117000000000004</v>
      </c>
      <c r="AI25" s="149"/>
      <c r="AJ25" s="143">
        <f>42.174-13.421</f>
        <v>28.753</v>
      </c>
      <c r="AK25" s="149"/>
      <c r="AL25" s="143">
        <f>22.812+17.581</f>
        <v>40.393000000000001</v>
      </c>
      <c r="AM25" s="149"/>
      <c r="AN25" s="143">
        <f>12.974-39.665</f>
        <v>-26.690999999999999</v>
      </c>
      <c r="AO25" s="149"/>
      <c r="AP25" s="1585">
        <f>-5.745+64.219</f>
        <v>58.473999999999997</v>
      </c>
      <c r="AQ25" s="149"/>
      <c r="AR25" s="1585">
        <f>5.9-17.8</f>
        <v>-11.9</v>
      </c>
      <c r="AS25" s="149"/>
      <c r="AT25" s="1585">
        <f>-49.5+6.3</f>
        <v>-43.2</v>
      </c>
      <c r="AU25" s="149"/>
      <c r="AV25" s="2087">
        <f>53.4-48</f>
        <v>5.3999999999999986</v>
      </c>
      <c r="AW25" s="149"/>
      <c r="AX25" s="149">
        <f>+bal!AX13-bal!AV13+bal!AX23-bal!AV23</f>
        <v>0</v>
      </c>
      <c r="AY25" s="149"/>
      <c r="AZ25" s="149">
        <f>+bal!AZ13-bal!AX13+bal!AZ23-bal!AX23</f>
        <v>0</v>
      </c>
      <c r="BA25" s="149"/>
      <c r="BB25" s="149">
        <f>+bal!BB13-bal!AZ13+bal!BB23-bal!AZ23</f>
        <v>0</v>
      </c>
      <c r="BC25" s="149"/>
      <c r="BD25" s="149">
        <f>+bal!BD13-bal!BB13+bal!BD23-bal!BB23</f>
        <v>0</v>
      </c>
      <c r="BE25" s="149"/>
      <c r="BF25" s="149">
        <f>+bal!BF13-bal!BD13+bal!BF23-bal!BD23</f>
        <v>0</v>
      </c>
      <c r="BG25" s="149"/>
      <c r="BH25" s="163"/>
      <c r="BI25" s="301"/>
      <c r="BJ25" s="56"/>
    </row>
    <row r="26" spans="1:62">
      <c r="A26" s="3" t="s">
        <v>588</v>
      </c>
      <c r="B26" s="3"/>
      <c r="C26" s="3"/>
      <c r="D26" s="152"/>
      <c r="E26" s="140"/>
      <c r="F26" s="152"/>
      <c r="G26" s="140"/>
      <c r="H26" s="152"/>
      <c r="I26" s="140"/>
      <c r="J26" s="152"/>
      <c r="K26" s="140"/>
      <c r="L26" s="142"/>
      <c r="M26" s="140"/>
      <c r="N26" s="149"/>
      <c r="O26" s="145"/>
      <c r="P26" s="143"/>
      <c r="Q26" s="145"/>
      <c r="R26" s="143"/>
      <c r="S26" s="145"/>
      <c r="T26" s="149"/>
      <c r="U26" s="145"/>
      <c r="V26" s="149"/>
      <c r="W26" s="145"/>
      <c r="X26" s="149"/>
      <c r="Y26" s="145"/>
      <c r="Z26" s="149"/>
      <c r="AA26" s="145"/>
      <c r="AB26" s="149"/>
      <c r="AC26" s="145"/>
      <c r="AD26" s="149"/>
      <c r="AE26" s="149"/>
      <c r="AF26" s="149"/>
      <c r="AG26" s="149"/>
      <c r="AH26" s="149"/>
      <c r="AI26" s="149"/>
      <c r="AJ26" s="143"/>
      <c r="AK26" s="149"/>
      <c r="AL26" s="149"/>
      <c r="AM26" s="149"/>
      <c r="AN26" s="149"/>
      <c r="AO26" s="149"/>
      <c r="AP26" s="1585"/>
      <c r="AQ26" s="149"/>
      <c r="AR26" s="1585"/>
      <c r="AS26" s="149"/>
      <c r="AT26" s="149"/>
      <c r="AU26" s="149"/>
      <c r="AV26" s="2087"/>
      <c r="AW26" s="149"/>
      <c r="AX26" s="149"/>
      <c r="AY26" s="149"/>
      <c r="AZ26" s="149"/>
      <c r="BA26" s="149"/>
      <c r="BB26" s="149"/>
      <c r="BC26" s="149"/>
      <c r="BD26" s="149"/>
      <c r="BE26" s="149"/>
      <c r="BF26" s="149"/>
      <c r="BG26" s="149"/>
      <c r="BH26" s="163"/>
      <c r="BI26" s="56"/>
      <c r="BJ26" s="56"/>
    </row>
    <row r="27" spans="1:62">
      <c r="A27" s="3"/>
      <c r="B27" s="3" t="s">
        <v>474</v>
      </c>
      <c r="C27" s="3"/>
      <c r="D27" s="142"/>
      <c r="E27" s="140"/>
      <c r="F27" s="152"/>
      <c r="G27" s="140"/>
      <c r="H27" s="142">
        <v>-0.76800000000000002</v>
      </c>
      <c r="I27" s="140"/>
      <c r="J27" s="142">
        <v>-2.3370000000000002</v>
      </c>
      <c r="K27" s="140"/>
      <c r="L27" s="142">
        <v>3.9180000000000001</v>
      </c>
      <c r="M27" s="140"/>
      <c r="N27" s="143">
        <v>6.2789999999999999</v>
      </c>
      <c r="O27" s="145"/>
      <c r="P27" s="143">
        <v>-6.4470000000000001</v>
      </c>
      <c r="Q27" s="145"/>
      <c r="R27" s="143">
        <v>-8.6709999999999994</v>
      </c>
      <c r="S27" s="145"/>
      <c r="T27" s="143">
        <v>-0.81799999999999995</v>
      </c>
      <c r="U27" s="145"/>
      <c r="V27" s="143">
        <v>-18.134</v>
      </c>
      <c r="W27" s="145"/>
      <c r="X27" s="143">
        <v>-20.213999999999999</v>
      </c>
      <c r="Y27" s="145"/>
      <c r="Z27" s="143">
        <v>-14.834</v>
      </c>
      <c r="AA27" s="145"/>
      <c r="AB27" s="143">
        <v>-31.23</v>
      </c>
      <c r="AC27" s="145"/>
      <c r="AD27" s="143">
        <v>-20.422999999999998</v>
      </c>
      <c r="AE27" s="149"/>
      <c r="AF27" s="143">
        <v>37.017000000000003</v>
      </c>
      <c r="AG27" s="149"/>
      <c r="AH27" s="143">
        <v>-1.0189999999999999</v>
      </c>
      <c r="AI27" s="149"/>
      <c r="AJ27" s="143">
        <v>-9.7420000000000009</v>
      </c>
      <c r="AK27" s="149"/>
      <c r="AL27" s="143">
        <v>-36.494</v>
      </c>
      <c r="AM27" s="149"/>
      <c r="AN27" s="143">
        <v>-30.393999999999998</v>
      </c>
      <c r="AO27" s="149"/>
      <c r="AP27" s="1585">
        <v>30.212</v>
      </c>
      <c r="AQ27" s="149"/>
      <c r="AR27" s="1585">
        <v>-64.400000000000006</v>
      </c>
      <c r="AS27" s="149"/>
      <c r="AT27" s="1585">
        <v>48.4</v>
      </c>
      <c r="AU27" s="149"/>
      <c r="AV27" s="2087">
        <v>-8.4</v>
      </c>
      <c r="AW27" s="149"/>
      <c r="AX27" s="149">
        <f>+bal!AV30-bal!AX30</f>
        <v>-47.759054606735305</v>
      </c>
      <c r="AY27" s="149"/>
      <c r="AZ27" s="149">
        <f>+bal!AX30-bal!AZ30</f>
        <v>-7.7247003012250559</v>
      </c>
      <c r="BA27" s="149"/>
      <c r="BB27" s="149">
        <f>+bal!AZ30-bal!BB30</f>
        <v>-7.1764973998582775</v>
      </c>
      <c r="BC27" s="149"/>
      <c r="BD27" s="149">
        <f>+bal!BB30-bal!BD30</f>
        <v>-7.3687562623434815</v>
      </c>
      <c r="BE27" s="149"/>
      <c r="BF27" s="149">
        <f>+bal!BD30-bal!BF30</f>
        <v>-7.585492961671207</v>
      </c>
      <c r="BG27" s="149"/>
      <c r="BH27" s="163"/>
      <c r="BI27" s="56"/>
      <c r="BJ27" s="56"/>
    </row>
    <row r="28" spans="1:62">
      <c r="A28" s="3"/>
      <c r="B28" s="3" t="s">
        <v>194</v>
      </c>
      <c r="C28" s="3"/>
      <c r="D28" s="142"/>
      <c r="E28" s="140"/>
      <c r="F28" s="152"/>
      <c r="G28" s="140"/>
      <c r="H28" s="142">
        <v>9.4139999999999997</v>
      </c>
      <c r="I28" s="140"/>
      <c r="J28" s="142">
        <v>12.629</v>
      </c>
      <c r="K28" s="140"/>
      <c r="L28" s="142">
        <v>-5.875</v>
      </c>
      <c r="M28" s="140"/>
      <c r="N28" s="143">
        <v>-11.154</v>
      </c>
      <c r="O28" s="145"/>
      <c r="P28" s="143">
        <v>-6.7619999999999996</v>
      </c>
      <c r="Q28" s="145"/>
      <c r="R28" s="143">
        <v>-9.4179999999999993</v>
      </c>
      <c r="S28" s="145"/>
      <c r="T28" s="143">
        <v>-8.9079999999999995</v>
      </c>
      <c r="U28" s="145"/>
      <c r="V28" s="143">
        <v>-120.973</v>
      </c>
      <c r="W28" s="145"/>
      <c r="X28" s="143">
        <v>-128.29900000000001</v>
      </c>
      <c r="Y28" s="145"/>
      <c r="Z28" s="143">
        <v>-145.05000000000001</v>
      </c>
      <c r="AA28" s="145"/>
      <c r="AB28" s="143">
        <v>-98.185000000000002</v>
      </c>
      <c r="AC28" s="145"/>
      <c r="AD28" s="143">
        <f>-75.102</f>
        <v>-75.102000000000004</v>
      </c>
      <c r="AE28" s="149"/>
      <c r="AF28" s="143">
        <v>32.091999999999999</v>
      </c>
      <c r="AG28" s="149"/>
      <c r="AH28" s="143">
        <v>-68.063000000000002</v>
      </c>
      <c r="AI28" s="149"/>
      <c r="AJ28" s="143">
        <v>-53.732999999999997</v>
      </c>
      <c r="AK28" s="149"/>
      <c r="AL28" s="143">
        <v>-84.18</v>
      </c>
      <c r="AM28" s="149"/>
      <c r="AN28" s="143">
        <v>-98.864999999999995</v>
      </c>
      <c r="AO28" s="149"/>
      <c r="AP28" s="1585">
        <v>-14.07</v>
      </c>
      <c r="AQ28" s="149"/>
      <c r="AR28" s="1585">
        <v>-63.2</v>
      </c>
      <c r="AS28" s="149"/>
      <c r="AT28" s="1585">
        <v>-30.1</v>
      </c>
      <c r="AU28" s="149"/>
      <c r="AV28" s="2087">
        <v>50.1</v>
      </c>
      <c r="AW28" s="149"/>
      <c r="AX28" s="149">
        <f>+bal!AV31-bal!AX31+bal!AV40-bal!AX40</f>
        <v>-429.15650330981123</v>
      </c>
      <c r="AY28" s="149"/>
      <c r="AZ28" s="149">
        <f>+bal!AX31-bal!AZ31+bal!AX40-bal!AZ40</f>
        <v>-33.901936622844687</v>
      </c>
      <c r="BA28" s="149"/>
      <c r="BB28" s="149">
        <f>+bal!AZ31-bal!BB31+bal!AZ40-bal!BB40</f>
        <v>-43.579993228511285</v>
      </c>
      <c r="BC28" s="149"/>
      <c r="BD28" s="149">
        <f>+bal!BB31-bal!BD31+bal!BB40-bal!BD40</f>
        <v>-43.698419169998601</v>
      </c>
      <c r="BE28" s="149"/>
      <c r="BF28" s="149">
        <f>+bal!BD31-bal!BF31+bal!BD40-bal!BF40</f>
        <v>-42.436398649694752</v>
      </c>
      <c r="BG28" s="149"/>
      <c r="BH28" s="163"/>
      <c r="BI28" s="56"/>
      <c r="BJ28" s="56"/>
    </row>
    <row r="29" spans="1:62">
      <c r="A29" s="3"/>
      <c r="B29" s="3"/>
      <c r="C29" s="3"/>
      <c r="D29" s="3"/>
      <c r="E29" s="154"/>
      <c r="F29" s="3"/>
      <c r="G29" s="154"/>
      <c r="H29" s="3"/>
      <c r="I29" s="154"/>
      <c r="J29" s="3"/>
      <c r="K29" s="154"/>
      <c r="L29" s="3"/>
      <c r="M29" s="154"/>
      <c r="N29" s="3"/>
      <c r="O29" s="154"/>
      <c r="P29" s="3"/>
      <c r="Q29" s="154"/>
      <c r="R29" s="3"/>
      <c r="S29" s="154"/>
      <c r="T29" s="3"/>
      <c r="U29" s="154"/>
      <c r="V29" s="3"/>
      <c r="W29" s="154"/>
      <c r="X29" s="3"/>
      <c r="Y29" s="154"/>
      <c r="Z29" s="3"/>
      <c r="AA29" s="154"/>
      <c r="AB29" s="3"/>
      <c r="AC29" s="154"/>
      <c r="AD29" s="3"/>
      <c r="AE29" s="3"/>
      <c r="AF29" s="3"/>
      <c r="AG29" s="3"/>
      <c r="AH29" s="3"/>
      <c r="AI29" s="3"/>
      <c r="AJ29" s="3"/>
      <c r="AK29" s="3"/>
      <c r="AL29" s="61"/>
      <c r="AM29" s="3"/>
      <c r="AN29" s="3"/>
      <c r="AO29" s="3"/>
      <c r="AP29" s="1586"/>
      <c r="AQ29" s="3"/>
      <c r="AR29" s="3"/>
      <c r="AS29" s="3"/>
      <c r="AT29" s="3"/>
      <c r="AU29" s="3"/>
      <c r="AV29" s="3"/>
      <c r="AW29" s="3"/>
      <c r="AX29" s="3"/>
      <c r="AY29" s="3"/>
      <c r="AZ29" s="3"/>
      <c r="BA29" s="3"/>
      <c r="BB29" s="3"/>
      <c r="BC29" s="3"/>
      <c r="BD29" s="3"/>
      <c r="BE29" s="3"/>
      <c r="BF29" s="61"/>
      <c r="BG29" s="3"/>
      <c r="BH29" s="56"/>
      <c r="BI29" s="56"/>
      <c r="BJ29" s="154"/>
    </row>
    <row r="30" spans="1:62">
      <c r="A30" s="3" t="s">
        <v>589</v>
      </c>
      <c r="B30" s="3"/>
      <c r="C30" s="3"/>
      <c r="D30" s="139">
        <f>SUM(D22:D27)</f>
        <v>0</v>
      </c>
      <c r="E30" s="154"/>
      <c r="F30" s="139">
        <f>SUM(F22:F27)</f>
        <v>0</v>
      </c>
      <c r="G30" s="154"/>
      <c r="H30" s="139">
        <f>SUM(H22:H28)</f>
        <v>16.451000000000001</v>
      </c>
      <c r="I30" s="154"/>
      <c r="J30" s="139">
        <f>SUM(J22:J28)</f>
        <v>26.678000000000004</v>
      </c>
      <c r="K30" s="154"/>
      <c r="L30" s="139">
        <f>SUM(L22:L28)</f>
        <v>-51.024000000000001</v>
      </c>
      <c r="M30" s="154"/>
      <c r="N30" s="139">
        <f>SUM(N22:N28)</f>
        <v>-22.750999999999998</v>
      </c>
      <c r="O30" s="154"/>
      <c r="P30" s="139">
        <f>SUM(P22:P28)</f>
        <v>-36.183</v>
      </c>
      <c r="Q30" s="154"/>
      <c r="R30" s="139">
        <f>SUM(R22:R28)</f>
        <v>17.247</v>
      </c>
      <c r="S30" s="154"/>
      <c r="T30" s="139">
        <f>SUM(T22:T28)</f>
        <v>12.154999999999999</v>
      </c>
      <c r="U30" s="154"/>
      <c r="V30" s="139">
        <f>SUM(V22:V28)</f>
        <v>-103.944</v>
      </c>
      <c r="W30" s="154"/>
      <c r="X30" s="139">
        <f>SUM(X22:X28)</f>
        <v>-125.226</v>
      </c>
      <c r="Y30" s="154"/>
      <c r="Z30" s="139">
        <f>SUM(Z22:Z28)</f>
        <v>-104.77200000000001</v>
      </c>
      <c r="AA30" s="154"/>
      <c r="AB30" s="139">
        <f>SUM(AB22:AB28)</f>
        <v>-37.942999999999998</v>
      </c>
      <c r="AC30" s="154"/>
      <c r="AD30" s="139">
        <f>SUM(AD22:AD28)</f>
        <v>-5.6520000000000152</v>
      </c>
      <c r="AE30" s="139"/>
      <c r="AF30" s="139">
        <f>SUM(AF22:AF28)</f>
        <v>30.364000000000004</v>
      </c>
      <c r="AG30" s="139"/>
      <c r="AH30" s="139">
        <f>SUM(AH22:AH28)</f>
        <v>-103.66500000000001</v>
      </c>
      <c r="AI30" s="139"/>
      <c r="AJ30" s="139">
        <f>SUM(AJ22:AJ28)</f>
        <v>61.829000000000001</v>
      </c>
      <c r="AK30" s="139"/>
      <c r="AL30" s="132">
        <f>SUM(AL22:AL28)</f>
        <v>17.963999999999999</v>
      </c>
      <c r="AM30" s="139"/>
      <c r="AN30" s="139">
        <f>SUM(AN22:AN28)</f>
        <v>-103.08899999999998</v>
      </c>
      <c r="AO30" s="139"/>
      <c r="AP30" s="139">
        <f>SUM(AP22:AP28)</f>
        <v>162.40299999999999</v>
      </c>
      <c r="AQ30" s="139"/>
      <c r="AR30" s="139">
        <f>SUM(AR22:AR28)</f>
        <v>-169</v>
      </c>
      <c r="AS30" s="139"/>
      <c r="AT30" s="139">
        <f>SUM(AT22:AT28)</f>
        <v>-37.300000000000011</v>
      </c>
      <c r="AU30" s="139"/>
      <c r="AV30" s="139">
        <f>SUM(AV22:AV28)</f>
        <v>96.5</v>
      </c>
      <c r="AW30" s="139"/>
      <c r="AX30" s="139">
        <f>SUM(AX22:AX28)</f>
        <v>-300.21963898251158</v>
      </c>
      <c r="AY30" s="139"/>
      <c r="AZ30" s="139">
        <f>SUM(AZ22:AZ28)</f>
        <v>-12.482132948799602</v>
      </c>
      <c r="BA30" s="139"/>
      <c r="BB30" s="139">
        <f>SUM(BB22:BB28)</f>
        <v>-23.680300117066992</v>
      </c>
      <c r="BC30" s="139"/>
      <c r="BD30" s="139">
        <f>SUM(BD22:BD28)</f>
        <v>-23.265611901572186</v>
      </c>
      <c r="BE30" s="139"/>
      <c r="BF30" s="132">
        <f>SUM(BF22:BF28)</f>
        <v>-21.402602686881664</v>
      </c>
      <c r="BG30" s="139"/>
      <c r="BH30" s="56"/>
      <c r="BI30" s="56"/>
      <c r="BJ30" s="154"/>
    </row>
    <row r="31" spans="1:62">
      <c r="A31" s="3"/>
      <c r="B31" s="3"/>
      <c r="C31" s="3"/>
      <c r="D31" s="139"/>
      <c r="E31" s="3"/>
      <c r="F31" s="139"/>
      <c r="G31" s="3"/>
      <c r="H31" s="139"/>
      <c r="I31" s="3"/>
      <c r="J31" s="139"/>
      <c r="K31" s="3"/>
      <c r="L31" s="139"/>
      <c r="M31" s="3"/>
      <c r="N31" s="139"/>
      <c r="O31" s="3"/>
      <c r="P31" s="139"/>
      <c r="Q31" s="3"/>
      <c r="R31" s="139"/>
      <c r="S31" s="3"/>
      <c r="T31" s="139"/>
      <c r="U31" s="3"/>
      <c r="V31" s="139"/>
      <c r="W31" s="3"/>
      <c r="X31" s="139"/>
      <c r="Y31" s="3"/>
      <c r="Z31" s="139"/>
      <c r="AA31" s="3"/>
      <c r="AB31" s="139"/>
      <c r="AC31" s="3"/>
      <c r="AD31" s="139"/>
      <c r="AE31" s="139"/>
      <c r="AF31" s="139"/>
      <c r="AG31" s="139"/>
      <c r="AH31" s="139"/>
      <c r="AI31" s="139"/>
      <c r="AJ31" s="139"/>
      <c r="AK31" s="139"/>
      <c r="AL31" s="132"/>
      <c r="AM31" s="139"/>
      <c r="AN31" s="139"/>
      <c r="AO31" s="139"/>
      <c r="AP31" s="139"/>
      <c r="AQ31" s="139"/>
      <c r="AR31" s="139"/>
      <c r="AS31" s="139"/>
      <c r="AT31" s="139"/>
      <c r="AU31" s="139"/>
      <c r="AV31" s="139"/>
      <c r="AW31" s="139"/>
      <c r="AX31" s="139"/>
      <c r="AY31" s="139"/>
      <c r="AZ31" s="139"/>
      <c r="BA31" s="139"/>
      <c r="BB31" s="139"/>
      <c r="BC31" s="139"/>
      <c r="BD31" s="139"/>
      <c r="BE31" s="139"/>
      <c r="BF31" s="132"/>
      <c r="BG31" s="139"/>
      <c r="BH31" s="56"/>
      <c r="BI31" s="56"/>
      <c r="BJ31" s="56"/>
    </row>
    <row r="32" spans="1:62">
      <c r="A32" s="3" t="s">
        <v>591</v>
      </c>
      <c r="B32" s="3"/>
      <c r="C32" s="3"/>
      <c r="D32" s="139">
        <f>D30+D19</f>
        <v>0</v>
      </c>
      <c r="E32" s="3"/>
      <c r="F32" s="139">
        <f>F30+F19</f>
        <v>0</v>
      </c>
      <c r="G32" s="3"/>
      <c r="H32" s="139">
        <f>H30+H19</f>
        <v>45.783000000000001</v>
      </c>
      <c r="I32" s="3"/>
      <c r="J32" s="139">
        <f>J30+J19</f>
        <v>41.016000000000005</v>
      </c>
      <c r="K32" s="3"/>
      <c r="L32" s="139">
        <f>L30+L19</f>
        <v>-40.150999999999996</v>
      </c>
      <c r="M32" s="3"/>
      <c r="N32" s="139">
        <f>N30+N19</f>
        <v>3.3090000000000011</v>
      </c>
      <c r="O32" s="3"/>
      <c r="P32" s="139">
        <f>P30+P19</f>
        <v>-4.3150000000000013</v>
      </c>
      <c r="Q32" s="3"/>
      <c r="R32" s="139">
        <f>R30+R19</f>
        <v>60.011000000000003</v>
      </c>
      <c r="S32" s="3"/>
      <c r="T32" s="139">
        <f>T30+T19</f>
        <v>69.266999999999996</v>
      </c>
      <c r="U32" s="3"/>
      <c r="V32" s="139">
        <f>V30+V19</f>
        <v>-30.284999999999997</v>
      </c>
      <c r="W32" s="3"/>
      <c r="X32" s="139">
        <f>X30+X19</f>
        <v>-30.634</v>
      </c>
      <c r="Y32" s="3"/>
      <c r="Z32" s="139">
        <f>Z30+Z19</f>
        <v>29.103999999999999</v>
      </c>
      <c r="AA32" s="3"/>
      <c r="AB32" s="139">
        <f>AB30+AB19</f>
        <v>102.657</v>
      </c>
      <c r="AC32" s="3"/>
      <c r="AD32" s="139">
        <f>AD30+AD19</f>
        <v>169.06799999999998</v>
      </c>
      <c r="AE32" s="139"/>
      <c r="AF32" s="139">
        <f>AF30+AF19</f>
        <v>270.69299999999998</v>
      </c>
      <c r="AG32" s="139"/>
      <c r="AH32" s="139">
        <f>AH30+AH19</f>
        <v>-22.549000000000007</v>
      </c>
      <c r="AI32" s="139"/>
      <c r="AJ32" s="139">
        <f>AJ30+AJ19</f>
        <v>209.57300000000001</v>
      </c>
      <c r="AK32" s="139"/>
      <c r="AL32" s="132">
        <f>AL30+AL19</f>
        <v>202.273</v>
      </c>
      <c r="AM32" s="139"/>
      <c r="AN32" s="139">
        <f>AN30+AN19</f>
        <v>138.26400000000001</v>
      </c>
      <c r="AO32" s="139"/>
      <c r="AP32" s="139">
        <f>AP30+AP19</f>
        <v>381.99</v>
      </c>
      <c r="AQ32" s="139"/>
      <c r="AR32" s="139">
        <f>AR30+AR19</f>
        <v>30.300000000000011</v>
      </c>
      <c r="AS32" s="139"/>
      <c r="AT32" s="139">
        <f>AT30+AT19</f>
        <v>359.09999999999997</v>
      </c>
      <c r="AU32" s="139"/>
      <c r="AV32" s="139">
        <f>AV30+AV19</f>
        <v>379.6</v>
      </c>
      <c r="AW32" s="139"/>
      <c r="AX32" s="139">
        <f>AX30+AX19</f>
        <v>24.780361017488417</v>
      </c>
      <c r="AY32" s="139"/>
      <c r="AZ32" s="139">
        <f>AZ30+AZ19</f>
        <v>312.51786705120037</v>
      </c>
      <c r="BA32" s="139"/>
      <c r="BB32" s="139">
        <f>BB30+BB19</f>
        <v>301.31969988293304</v>
      </c>
      <c r="BC32" s="139"/>
      <c r="BD32" s="139">
        <f>BD30+BD19</f>
        <v>301.73438809842781</v>
      </c>
      <c r="BE32" s="139"/>
      <c r="BF32" s="132">
        <f>BF30+BF19</f>
        <v>303.59739731311834</v>
      </c>
      <c r="BG32" s="139"/>
      <c r="BH32" s="56"/>
      <c r="BI32" s="56"/>
      <c r="BJ32" s="56"/>
    </row>
    <row r="33" spans="1:62">
      <c r="A33" s="3"/>
      <c r="B33" s="3"/>
      <c r="C33" s="3"/>
      <c r="D33" s="3"/>
      <c r="E33" s="3"/>
      <c r="F33" s="3"/>
      <c r="G33" s="3"/>
      <c r="H33" s="3"/>
      <c r="I33" s="3"/>
      <c r="J33" s="3"/>
      <c r="K33" s="3"/>
      <c r="L33" s="3"/>
      <c r="M33" s="3"/>
      <c r="N33" s="3"/>
      <c r="O33" s="3"/>
      <c r="P33" s="3"/>
      <c r="Q33" s="3"/>
      <c r="R33" s="3"/>
      <c r="S33" s="3"/>
      <c r="T33" s="3"/>
      <c r="U33" s="3"/>
      <c r="V33" s="3"/>
      <c r="W33" s="3"/>
      <c r="X33" s="139"/>
      <c r="Y33" s="3"/>
      <c r="Z33" s="3"/>
      <c r="AA33" s="3"/>
      <c r="AB33" s="3"/>
      <c r="AC33" s="3"/>
      <c r="AD33" s="3"/>
      <c r="AE33" s="54"/>
      <c r="AF33" s="3"/>
      <c r="AG33" s="54"/>
      <c r="AH33" s="3"/>
      <c r="AI33" s="54"/>
      <c r="AJ33" s="3"/>
      <c r="AK33" s="54"/>
      <c r="AL33" s="61"/>
      <c r="AM33" s="54"/>
      <c r="AN33" s="3"/>
      <c r="AO33" s="54"/>
      <c r="AP33" s="3"/>
      <c r="AQ33" s="54"/>
      <c r="AR33" s="3"/>
      <c r="AS33" s="3"/>
      <c r="AT33" s="3"/>
      <c r="AU33" s="3"/>
      <c r="AV33" s="3"/>
      <c r="AW33" s="3"/>
      <c r="AX33" s="3"/>
      <c r="AY33" s="3"/>
      <c r="AZ33" s="3"/>
      <c r="BA33" s="3"/>
      <c r="BB33" s="3"/>
      <c r="BC33" s="3"/>
      <c r="BD33" s="3"/>
      <c r="BE33" s="3"/>
      <c r="BF33" s="61"/>
      <c r="BG33" s="3"/>
      <c r="BH33" s="56"/>
      <c r="BI33" s="56"/>
      <c r="BJ33" s="56"/>
    </row>
    <row r="34" spans="1:62">
      <c r="A34" s="155" t="s">
        <v>590</v>
      </c>
      <c r="B34" s="156"/>
      <c r="C34" s="156"/>
      <c r="D34" s="157">
        <f>D15-D32</f>
        <v>36.969000000000015</v>
      </c>
      <c r="E34" s="158"/>
      <c r="F34" s="157">
        <f>F15-F32</f>
        <v>42.86</v>
      </c>
      <c r="G34" s="158"/>
      <c r="H34" s="157">
        <f>H15-H32</f>
        <v>6.6169999999999476</v>
      </c>
      <c r="I34" s="158"/>
      <c r="J34" s="159">
        <f>J15-J32</f>
        <v>2.8369999999999678</v>
      </c>
      <c r="K34" s="158"/>
      <c r="L34" s="157">
        <f>L15-L32</f>
        <v>84.78700000000002</v>
      </c>
      <c r="M34" s="158"/>
      <c r="N34" s="157">
        <f>N15-N32</f>
        <v>58.894999999999939</v>
      </c>
      <c r="O34" s="158"/>
      <c r="P34" s="157">
        <f>P15-P32</f>
        <v>92.461000000000013</v>
      </c>
      <c r="Q34" s="158"/>
      <c r="R34" s="157">
        <f>R15-R32</f>
        <v>65.173000000000002</v>
      </c>
      <c r="S34" s="158"/>
      <c r="T34" s="157">
        <f>T15-T32</f>
        <v>164.51199999999997</v>
      </c>
      <c r="U34" s="158"/>
      <c r="V34" s="157">
        <f>V15-V32</f>
        <v>285.63499999999976</v>
      </c>
      <c r="W34" s="158"/>
      <c r="X34" s="157">
        <f>X15-X32</f>
        <v>381.00400000000013</v>
      </c>
      <c r="Y34" s="158"/>
      <c r="Z34" s="157">
        <f>Z15-Z32</f>
        <v>462.72699999999998</v>
      </c>
      <c r="AA34" s="158"/>
      <c r="AB34" s="157">
        <f>AB15-AB32</f>
        <v>640.56899999999951</v>
      </c>
      <c r="AC34" s="158"/>
      <c r="AD34" s="157">
        <f>AD15-AD32</f>
        <v>748.64100000000008</v>
      </c>
      <c r="AE34" s="157"/>
      <c r="AF34" s="157">
        <f>AF15-AF32</f>
        <v>568.82299999999952</v>
      </c>
      <c r="AG34" s="157"/>
      <c r="AH34" s="157">
        <f>AH15-AH32</f>
        <v>909.76099999999985</v>
      </c>
      <c r="AI34" s="157"/>
      <c r="AJ34" s="157">
        <f>AJ15-AJ32</f>
        <v>885.52700000000038</v>
      </c>
      <c r="AK34" s="157"/>
      <c r="AL34" s="689">
        <f>AL15-AL32</f>
        <v>1037.3799999999997</v>
      </c>
      <c r="AM34" s="157"/>
      <c r="AN34" s="157">
        <f>AN15-AN32</f>
        <v>1172.6089999999995</v>
      </c>
      <c r="AO34" s="157"/>
      <c r="AP34" s="157">
        <f>AP15-AP32</f>
        <v>765.84000000000083</v>
      </c>
      <c r="AQ34" s="157"/>
      <c r="AR34" s="157">
        <f>AR15-AR32</f>
        <v>738.10000000000014</v>
      </c>
      <c r="AS34" s="157"/>
      <c r="AT34" s="157">
        <f>AT15-AT32</f>
        <v>362.19999999999908</v>
      </c>
      <c r="AU34" s="157"/>
      <c r="AV34" s="157">
        <f>AV15-AV32</f>
        <v>570.72000000000082</v>
      </c>
      <c r="AW34" s="157"/>
      <c r="AX34" s="157">
        <f>AX15-AX32</f>
        <v>1049.0986206572447</v>
      </c>
      <c r="AY34" s="157"/>
      <c r="AZ34" s="157">
        <f>AZ15-AZ32</f>
        <v>840.39461069417268</v>
      </c>
      <c r="BA34" s="157"/>
      <c r="BB34" s="1603">
        <f>BB15-BB32</f>
        <v>891.00644968749225</v>
      </c>
      <c r="BC34" s="157"/>
      <c r="BD34" s="1603">
        <f>BD15-BD32</f>
        <v>930.7838012247646</v>
      </c>
      <c r="BE34" s="161"/>
      <c r="BF34" s="1907">
        <f>BF15-BF32</f>
        <v>984.37132819068188</v>
      </c>
      <c r="BG34" s="161"/>
      <c r="BH34" s="534"/>
      <c r="BI34" s="56"/>
      <c r="BJ34" s="56"/>
    </row>
    <row r="35" spans="1:62">
      <c r="A35" s="3"/>
      <c r="B35" s="3"/>
      <c r="C35" s="3"/>
      <c r="D35" s="139"/>
      <c r="E35" s="3"/>
      <c r="F35" s="139"/>
      <c r="G35" s="3"/>
      <c r="H35" s="139"/>
      <c r="I35" s="3"/>
      <c r="J35" s="139"/>
      <c r="K35" s="3"/>
      <c r="L35" s="139"/>
      <c r="M35" s="3"/>
      <c r="N35" s="139"/>
      <c r="O35" s="3"/>
      <c r="P35" s="139"/>
      <c r="Q35" s="3"/>
      <c r="R35" s="139"/>
      <c r="S35" s="3"/>
      <c r="T35" s="139"/>
      <c r="U35" s="3"/>
      <c r="V35" s="139"/>
      <c r="W35" s="3"/>
      <c r="X35" s="139"/>
      <c r="Y35" s="3"/>
      <c r="Z35" s="139"/>
      <c r="AA35" s="3"/>
      <c r="AB35" s="139"/>
      <c r="AC35" s="3"/>
      <c r="AD35" s="139"/>
      <c r="AE35" s="139"/>
      <c r="AF35" s="139"/>
      <c r="AG35" s="139"/>
      <c r="AH35" s="139"/>
      <c r="AI35" s="139"/>
      <c r="AJ35" s="139"/>
      <c r="AK35" s="139"/>
      <c r="AL35" s="132"/>
      <c r="AM35" s="139"/>
      <c r="AN35" s="139"/>
      <c r="AO35" s="139"/>
      <c r="AP35" s="139"/>
      <c r="AQ35" s="139"/>
      <c r="AR35" s="139"/>
      <c r="AS35" s="139"/>
      <c r="AT35" s="139"/>
      <c r="AU35" s="139"/>
      <c r="AV35" s="139"/>
      <c r="AW35" s="139"/>
      <c r="AX35" s="139"/>
      <c r="AY35" s="139"/>
      <c r="AZ35" s="139"/>
      <c r="BA35" s="139"/>
      <c r="BB35" s="139"/>
      <c r="BC35" s="139"/>
      <c r="BD35" s="139"/>
      <c r="BE35" s="139"/>
      <c r="BF35" s="132"/>
      <c r="BG35" s="139"/>
      <c r="BH35" s="534"/>
      <c r="BI35" s="56"/>
      <c r="BJ35" s="56"/>
    </row>
    <row r="36" spans="1:62">
      <c r="A36" s="3"/>
      <c r="B36" s="3"/>
      <c r="C36" s="3"/>
      <c r="D36" s="49"/>
      <c r="E36" s="54"/>
      <c r="F36" s="160"/>
      <c r="G36" s="49"/>
      <c r="H36" s="49"/>
      <c r="I36" s="54"/>
      <c r="J36" s="160"/>
      <c r="K36" s="49"/>
      <c r="L36" s="160"/>
      <c r="M36" s="54"/>
      <c r="N36" s="303" t="s">
        <v>592</v>
      </c>
      <c r="O36" s="303"/>
      <c r="P36" s="303"/>
      <c r="Q36" s="303"/>
      <c r="R36" s="303"/>
      <c r="S36" s="303"/>
      <c r="T36" s="303"/>
      <c r="U36" s="303"/>
      <c r="V36" s="303"/>
      <c r="W36" s="303"/>
      <c r="X36" s="303"/>
      <c r="Y36" s="303"/>
      <c r="Z36" s="303"/>
      <c r="AA36" s="303"/>
      <c r="AB36" s="303"/>
      <c r="AC36" s="303"/>
      <c r="AD36" s="303"/>
      <c r="AE36" s="303"/>
      <c r="AF36" s="303"/>
      <c r="AG36" s="303"/>
      <c r="AH36" s="303"/>
      <c r="AI36" s="303"/>
      <c r="AJ36" s="303"/>
      <c r="AK36" s="303"/>
      <c r="AL36" s="688"/>
      <c r="AM36" s="303"/>
      <c r="AN36" s="303"/>
      <c r="AO36" s="303"/>
      <c r="AP36" s="303"/>
      <c r="AQ36" s="303"/>
      <c r="AR36" s="704"/>
      <c r="AS36" s="303"/>
      <c r="AT36" s="303"/>
      <c r="AU36" s="303"/>
      <c r="AV36" s="303"/>
      <c r="AW36" s="303"/>
      <c r="AX36" s="303"/>
      <c r="AY36" s="303"/>
      <c r="AZ36" s="303"/>
      <c r="BA36" s="303"/>
      <c r="BB36" s="303"/>
      <c r="BC36" s="303"/>
      <c r="BD36" s="303"/>
      <c r="BE36" s="1077"/>
      <c r="BF36" s="688"/>
      <c r="BG36" s="1077"/>
      <c r="BH36" s="56"/>
      <c r="BI36" s="56"/>
      <c r="BJ36" s="56"/>
    </row>
    <row r="37" spans="1:62">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61"/>
      <c r="AM37" s="3"/>
      <c r="AN37" s="3"/>
      <c r="AO37" s="3"/>
      <c r="AP37" s="3"/>
      <c r="AQ37" s="3"/>
      <c r="AR37" s="3"/>
      <c r="AS37" s="3"/>
      <c r="AT37" s="3"/>
      <c r="AU37" s="3"/>
      <c r="AV37" s="3"/>
      <c r="AW37" s="3"/>
      <c r="AX37" s="3"/>
      <c r="AY37" s="3"/>
      <c r="AZ37" s="3"/>
      <c r="BA37" s="3"/>
      <c r="BB37" s="3"/>
      <c r="BC37" s="3"/>
      <c r="BD37" s="3"/>
      <c r="BE37" s="3"/>
      <c r="BF37" s="61"/>
      <c r="BG37" s="3"/>
      <c r="BH37" s="56"/>
      <c r="BI37" s="56"/>
      <c r="BJ37" s="56"/>
    </row>
    <row r="38" spans="1:62">
      <c r="A38" s="3" t="s">
        <v>215</v>
      </c>
      <c r="B38" s="3"/>
      <c r="C38" s="3"/>
      <c r="D38" s="133"/>
      <c r="E38" s="134"/>
      <c r="F38" s="133"/>
      <c r="G38" s="134"/>
      <c r="H38" s="133"/>
      <c r="I38" s="134"/>
      <c r="J38" s="133"/>
      <c r="K38" s="134"/>
      <c r="L38" s="133"/>
      <c r="M38" s="134"/>
      <c r="N38" s="135">
        <v>0</v>
      </c>
      <c r="O38" s="136"/>
      <c r="P38" s="135">
        <v>68.3</v>
      </c>
      <c r="Q38" s="136"/>
      <c r="R38" s="135">
        <v>200.006</v>
      </c>
      <c r="S38" s="136"/>
      <c r="T38" s="135">
        <v>63.164000000000001</v>
      </c>
      <c r="U38" s="136"/>
      <c r="V38" s="135">
        <v>168.86500000000001</v>
      </c>
      <c r="W38" s="136"/>
      <c r="X38" s="135">
        <v>359.50299999999999</v>
      </c>
      <c r="Y38" s="136"/>
      <c r="Z38" s="135">
        <v>58.512</v>
      </c>
      <c r="AA38" s="136"/>
      <c r="AB38" s="135">
        <v>0</v>
      </c>
      <c r="AC38" s="136"/>
      <c r="AD38" s="135">
        <f>+bal!AD33-bal!AB33</f>
        <v>0</v>
      </c>
      <c r="AE38" s="192"/>
      <c r="AF38" s="135">
        <v>7.4960000000000004</v>
      </c>
      <c r="AG38" s="192"/>
      <c r="AH38" s="135">
        <v>-7.4960000000000004</v>
      </c>
      <c r="AI38" s="192"/>
      <c r="AJ38" s="135">
        <v>0</v>
      </c>
      <c r="AK38" s="192"/>
      <c r="AL38" s="135">
        <v>0</v>
      </c>
      <c r="AM38" s="192"/>
      <c r="AN38" s="135">
        <v>0</v>
      </c>
      <c r="AO38" s="192"/>
      <c r="AP38" s="1582">
        <v>450</v>
      </c>
      <c r="AQ38" s="192"/>
      <c r="AR38" s="1582">
        <v>340</v>
      </c>
      <c r="AS38" s="192"/>
      <c r="AT38" s="2085">
        <v>0</v>
      </c>
      <c r="AU38" s="192"/>
      <c r="AV38" s="2085">
        <v>0</v>
      </c>
      <c r="AW38" s="192"/>
      <c r="AX38" s="192">
        <f>+bal!AX33-bal!AV33</f>
        <v>0</v>
      </c>
      <c r="AY38" s="192"/>
      <c r="AZ38" s="192">
        <f>+bal!AZ33-bal!AX33</f>
        <v>0</v>
      </c>
      <c r="BA38" s="192"/>
      <c r="BB38" s="192">
        <f>+bal!BB33-bal!AZ33</f>
        <v>0</v>
      </c>
      <c r="BC38" s="192"/>
      <c r="BD38" s="192">
        <f>+bal!BD33-bal!BB33</f>
        <v>0</v>
      </c>
      <c r="BE38" s="192"/>
      <c r="BF38" s="192">
        <f>+bal!BF33-bal!BD33</f>
        <v>0</v>
      </c>
      <c r="BG38" s="192"/>
      <c r="BH38" s="56"/>
      <c r="BI38" s="56"/>
      <c r="BJ38" s="56"/>
    </row>
    <row r="39" spans="1:62">
      <c r="A39" s="3" t="s">
        <v>362</v>
      </c>
      <c r="B39" s="3"/>
      <c r="C39" s="3"/>
      <c r="D39" s="133"/>
      <c r="E39" s="134"/>
      <c r="F39" s="133"/>
      <c r="G39" s="134"/>
      <c r="H39" s="133"/>
      <c r="I39" s="134"/>
      <c r="J39" s="133"/>
      <c r="K39" s="134"/>
      <c r="L39" s="133"/>
      <c r="M39" s="134"/>
      <c r="N39" s="135"/>
      <c r="O39" s="136"/>
      <c r="P39" s="135"/>
      <c r="Q39" s="136"/>
      <c r="R39" s="135"/>
      <c r="S39" s="136"/>
      <c r="T39" s="135"/>
      <c r="U39" s="136"/>
      <c r="V39" s="135"/>
      <c r="W39" s="136"/>
      <c r="X39" s="135"/>
      <c r="Y39" s="136"/>
      <c r="Z39" s="135"/>
      <c r="AA39" s="136"/>
      <c r="AB39" s="135"/>
      <c r="AC39" s="136"/>
      <c r="AD39" s="135"/>
      <c r="AE39" s="192"/>
      <c r="AF39" s="135"/>
      <c r="AG39" s="192"/>
      <c r="AH39" s="135"/>
      <c r="AI39" s="192"/>
      <c r="AJ39" s="135"/>
      <c r="AK39" s="192"/>
      <c r="AL39" s="135"/>
      <c r="AM39" s="192"/>
      <c r="AN39" s="192"/>
      <c r="AO39" s="192"/>
      <c r="AP39" s="1582">
        <v>0</v>
      </c>
      <c r="AQ39" s="192"/>
      <c r="AR39" s="135">
        <f>896.7-6.6</f>
        <v>890.1</v>
      </c>
      <c r="AS39" s="192"/>
      <c r="AT39" s="135">
        <v>0</v>
      </c>
      <c r="AU39" s="192"/>
      <c r="AV39" s="135">
        <f>997.2-9.8</f>
        <v>987.40000000000009</v>
      </c>
      <c r="AW39" s="192"/>
      <c r="AX39" s="135">
        <v>1120</v>
      </c>
      <c r="AY39" s="192"/>
      <c r="AZ39" s="135">
        <v>0</v>
      </c>
      <c r="BA39" s="192"/>
      <c r="BB39" s="135">
        <v>0</v>
      </c>
      <c r="BC39" s="192"/>
      <c r="BD39" s="135">
        <v>0</v>
      </c>
      <c r="BE39" s="135"/>
      <c r="BF39" s="135">
        <v>0</v>
      </c>
      <c r="BG39" s="135"/>
      <c r="BH39" s="56"/>
      <c r="BI39" s="56"/>
      <c r="BJ39" s="56"/>
    </row>
    <row r="40" spans="1:62">
      <c r="A40" s="3" t="s">
        <v>363</v>
      </c>
      <c r="B40" s="3"/>
      <c r="C40" s="3"/>
      <c r="D40" s="133"/>
      <c r="E40" s="134"/>
      <c r="F40" s="133"/>
      <c r="G40" s="134"/>
      <c r="H40" s="133"/>
      <c r="I40" s="134"/>
      <c r="J40" s="133"/>
      <c r="K40" s="134"/>
      <c r="L40" s="133">
        <v>-3.5000000000000003E-2</v>
      </c>
      <c r="M40" s="134"/>
      <c r="N40" s="135">
        <v>-3.5000000000000003E-2</v>
      </c>
      <c r="O40" s="136"/>
      <c r="P40" s="135">
        <f>-60.6-190.04</f>
        <v>-250.64</v>
      </c>
      <c r="Q40" s="136"/>
      <c r="R40" s="135">
        <f>-186.967</f>
        <v>-186.96700000000001</v>
      </c>
      <c r="S40" s="136"/>
      <c r="T40" s="135">
        <f>-70.862</f>
        <v>-70.861999999999995</v>
      </c>
      <c r="U40" s="136"/>
      <c r="V40" s="135">
        <f>-193.637</f>
        <v>-193.637</v>
      </c>
      <c r="W40" s="136"/>
      <c r="X40" s="135">
        <f>-348.91</f>
        <v>-348.91</v>
      </c>
      <c r="Y40" s="136"/>
      <c r="Z40" s="135">
        <f>+-70.804</f>
        <v>-70.804000000000002</v>
      </c>
      <c r="AA40" s="136"/>
      <c r="AB40" s="135">
        <v>0</v>
      </c>
      <c r="AC40" s="136"/>
      <c r="AD40" s="135">
        <v>0</v>
      </c>
      <c r="AE40" s="135"/>
      <c r="AF40" s="135">
        <v>0</v>
      </c>
      <c r="AG40" s="135"/>
      <c r="AH40" s="135">
        <v>0</v>
      </c>
      <c r="AI40" s="135"/>
      <c r="AJ40" s="135">
        <v>0</v>
      </c>
      <c r="AK40" s="135"/>
      <c r="AL40" s="135">
        <v>0</v>
      </c>
      <c r="AM40" s="135"/>
      <c r="AN40" s="135">
        <v>0</v>
      </c>
      <c r="AO40" s="135"/>
      <c r="AP40" s="1582">
        <v>-310</v>
      </c>
      <c r="AQ40" s="135"/>
      <c r="AR40" s="135">
        <v>-480</v>
      </c>
      <c r="AS40" s="135"/>
      <c r="AT40" s="135">
        <v>0</v>
      </c>
      <c r="AU40" s="135"/>
      <c r="AV40" s="135">
        <v>0</v>
      </c>
      <c r="AW40" s="135"/>
      <c r="AX40" s="135">
        <v>0</v>
      </c>
      <c r="AY40" s="135"/>
      <c r="AZ40" s="135">
        <v>0</v>
      </c>
      <c r="BA40" s="135"/>
      <c r="BB40" s="135">
        <v>0</v>
      </c>
      <c r="BC40" s="135"/>
      <c r="BD40" s="135">
        <v>0</v>
      </c>
      <c r="BE40" s="135"/>
      <c r="BF40" s="135">
        <v>0</v>
      </c>
      <c r="BG40" s="135"/>
      <c r="BH40" s="56"/>
      <c r="BI40" s="56"/>
      <c r="BJ40" s="56"/>
    </row>
    <row r="41" spans="1:62">
      <c r="A41" s="3" t="s">
        <v>312</v>
      </c>
      <c r="B41" s="3"/>
      <c r="C41" s="3"/>
      <c r="D41" s="133"/>
      <c r="E41" s="134"/>
      <c r="F41" s="133"/>
      <c r="G41" s="134"/>
      <c r="H41" s="133"/>
      <c r="I41" s="134"/>
      <c r="J41" s="133"/>
      <c r="K41" s="134"/>
      <c r="L41" s="133"/>
      <c r="M41" s="134"/>
      <c r="N41" s="135"/>
      <c r="O41" s="136"/>
      <c r="P41" s="135"/>
      <c r="Q41" s="136"/>
      <c r="R41" s="135">
        <v>-4.4999999999999998E-2</v>
      </c>
      <c r="S41" s="136"/>
      <c r="T41" s="135">
        <v>-7.4999999999999997E-2</v>
      </c>
      <c r="U41" s="136"/>
      <c r="V41" s="135">
        <v>-0.08</v>
      </c>
      <c r="W41" s="136"/>
      <c r="X41" s="135">
        <v>-0.115</v>
      </c>
      <c r="Y41" s="136"/>
      <c r="Z41" s="135">
        <v>-0.15</v>
      </c>
      <c r="AA41" s="136"/>
      <c r="AB41" s="135">
        <v>-0.17</v>
      </c>
      <c r="AC41" s="136"/>
      <c r="AD41" s="135">
        <v>-0.23499999999999999</v>
      </c>
      <c r="AE41" s="135"/>
      <c r="AF41" s="135">
        <v>-0.28499999999999998</v>
      </c>
      <c r="AG41" s="135"/>
      <c r="AH41" s="135">
        <v>-0.67900000000000005</v>
      </c>
      <c r="AI41" s="135"/>
      <c r="AJ41" s="135">
        <v>-0.746</v>
      </c>
      <c r="AK41" s="135"/>
      <c r="AL41" s="135">
        <v>-0.79500000000000004</v>
      </c>
      <c r="AM41" s="135"/>
      <c r="AN41" s="135">
        <v>-22.375</v>
      </c>
      <c r="AO41" s="135"/>
      <c r="AP41" s="1582">
        <v>-0.5</v>
      </c>
      <c r="AQ41" s="135"/>
      <c r="AR41" s="135">
        <v>-0.5</v>
      </c>
      <c r="AS41" s="192"/>
      <c r="AT41" s="135">
        <v>-15</v>
      </c>
      <c r="AU41" s="192"/>
      <c r="AV41" s="135">
        <v>-285</v>
      </c>
      <c r="AW41" s="192"/>
      <c r="AX41" s="135">
        <v>-800</v>
      </c>
      <c r="AY41" s="192"/>
      <c r="AZ41" s="135">
        <v>-1</v>
      </c>
      <c r="BA41" s="192"/>
      <c r="BB41" s="135">
        <v>-1</v>
      </c>
      <c r="BC41" s="192"/>
      <c r="BD41" s="135">
        <v>-1</v>
      </c>
      <c r="BE41" s="135"/>
      <c r="BF41" s="135">
        <v>-1</v>
      </c>
      <c r="BG41" s="135"/>
      <c r="BH41" s="56"/>
      <c r="BI41" s="56"/>
      <c r="BJ41" s="56"/>
    </row>
    <row r="42" spans="1:62">
      <c r="A42" s="3" t="s">
        <v>338</v>
      </c>
      <c r="B42" s="3"/>
      <c r="C42" s="3"/>
      <c r="D42" s="133"/>
      <c r="E42" s="134"/>
      <c r="F42" s="133"/>
      <c r="G42" s="134"/>
      <c r="H42" s="133"/>
      <c r="I42" s="134"/>
      <c r="J42" s="133"/>
      <c r="K42" s="134"/>
      <c r="L42" s="133">
        <v>0</v>
      </c>
      <c r="M42" s="134"/>
      <c r="N42" s="135">
        <v>0</v>
      </c>
      <c r="O42" s="136"/>
      <c r="P42" s="135">
        <f>122</f>
        <v>122</v>
      </c>
      <c r="Q42" s="136"/>
      <c r="R42" s="135">
        <f>-9.848</f>
        <v>-9.8480000000000008</v>
      </c>
      <c r="S42" s="136"/>
      <c r="T42" s="135">
        <f>-49.947</f>
        <v>-49.947000000000003</v>
      </c>
      <c r="U42" s="136"/>
      <c r="V42" s="135">
        <f>-54.954</f>
        <v>-54.954000000000001</v>
      </c>
      <c r="W42" s="136"/>
      <c r="X42" s="135">
        <f>-264.971</f>
        <v>-264.971</v>
      </c>
      <c r="Y42" s="136"/>
      <c r="Z42" s="135">
        <f>-600.271</f>
        <v>-600.27099999999996</v>
      </c>
      <c r="AA42" s="136"/>
      <c r="AB42" s="135">
        <v>-149.999</v>
      </c>
      <c r="AC42" s="136"/>
      <c r="AD42" s="135">
        <v>-1336.5989999999999</v>
      </c>
      <c r="AE42" s="135"/>
      <c r="AF42" s="135">
        <v>-453.786</v>
      </c>
      <c r="AG42" s="135"/>
      <c r="AH42" s="135">
        <v>-1149.998</v>
      </c>
      <c r="AI42" s="135"/>
      <c r="AJ42" s="135">
        <v>-1098</v>
      </c>
      <c r="AK42" s="135"/>
      <c r="AL42" s="135">
        <v>-700</v>
      </c>
      <c r="AM42" s="135"/>
      <c r="AN42" s="135">
        <v>-400</v>
      </c>
      <c r="AO42" s="135"/>
      <c r="AP42" s="135">
        <v>-524.92600000000004</v>
      </c>
      <c r="AQ42" s="135"/>
      <c r="AR42" s="135">
        <v>0</v>
      </c>
      <c r="AS42" s="135"/>
      <c r="AT42" s="135">
        <v>0</v>
      </c>
      <c r="AU42" s="135"/>
      <c r="AV42" s="135">
        <v>0</v>
      </c>
      <c r="AW42" s="135"/>
      <c r="AX42" s="135">
        <v>0</v>
      </c>
      <c r="AY42" s="135"/>
      <c r="AZ42" s="135">
        <v>0</v>
      </c>
      <c r="BA42" s="135"/>
      <c r="BB42" s="135">
        <v>0</v>
      </c>
      <c r="BC42" s="135"/>
      <c r="BD42" s="135">
        <v>0</v>
      </c>
      <c r="BE42" s="135"/>
      <c r="BF42" s="135">
        <v>0</v>
      </c>
      <c r="BG42" s="135"/>
      <c r="BH42" s="302"/>
      <c r="BI42" s="301"/>
      <c r="BJ42" s="56"/>
    </row>
    <row r="43" spans="1:62">
      <c r="A43" s="3" t="s">
        <v>339</v>
      </c>
      <c r="B43" s="3"/>
      <c r="C43" s="3"/>
      <c r="D43" s="133"/>
      <c r="E43" s="134"/>
      <c r="F43" s="133"/>
      <c r="G43" s="134"/>
      <c r="H43" s="133"/>
      <c r="I43" s="134"/>
      <c r="J43" s="133"/>
      <c r="K43" s="134"/>
      <c r="L43" s="133"/>
      <c r="M43" s="134"/>
      <c r="N43" s="135">
        <v>0</v>
      </c>
      <c r="O43" s="136"/>
      <c r="P43" s="135">
        <v>2.0459999999999998</v>
      </c>
      <c r="Q43" s="136"/>
      <c r="R43" s="135">
        <v>20.802</v>
      </c>
      <c r="S43" s="136"/>
      <c r="T43" s="135">
        <v>28.395</v>
      </c>
      <c r="U43" s="136"/>
      <c r="V43" s="135">
        <v>34.140999999999998</v>
      </c>
      <c r="W43" s="136"/>
      <c r="X43" s="135">
        <v>46.835000000000001</v>
      </c>
      <c r="Y43" s="136"/>
      <c r="Z43" s="135">
        <v>86.55</v>
      </c>
      <c r="AA43" s="136"/>
      <c r="AB43" s="135">
        <v>112.119</v>
      </c>
      <c r="AC43" s="136"/>
      <c r="AD43" s="135">
        <v>83.32</v>
      </c>
      <c r="AE43" s="135"/>
      <c r="AF43" s="135">
        <v>7.3630000000000004</v>
      </c>
      <c r="AG43" s="135"/>
      <c r="AH43" s="135">
        <v>204.982</v>
      </c>
      <c r="AI43" s="135"/>
      <c r="AJ43" s="135">
        <v>343.57100000000003</v>
      </c>
      <c r="AK43" s="135"/>
      <c r="AL43" s="135">
        <f>185.071-33.938</f>
        <v>151.13299999999998</v>
      </c>
      <c r="AM43" s="135"/>
      <c r="AN43" s="135">
        <f>80.436-34.273</f>
        <v>46.163000000000004</v>
      </c>
      <c r="AO43" s="135"/>
      <c r="AP43" s="135">
        <f>48.678-40.339</f>
        <v>8.3389999999999986</v>
      </c>
      <c r="AQ43" s="135"/>
      <c r="AR43" s="135">
        <f>36.5-15.6</f>
        <v>20.9</v>
      </c>
      <c r="AS43" s="135"/>
      <c r="AT43" s="135">
        <f>29.1-15.5</f>
        <v>13.600000000000001</v>
      </c>
      <c r="AU43" s="135"/>
      <c r="AV43" s="135">
        <f>70.4-21.5</f>
        <v>48.900000000000006</v>
      </c>
      <c r="AW43" s="135"/>
      <c r="AX43" s="135">
        <v>0</v>
      </c>
      <c r="AY43" s="135"/>
      <c r="AZ43" s="135">
        <v>0</v>
      </c>
      <c r="BA43" s="135"/>
      <c r="BB43" s="135">
        <v>0</v>
      </c>
      <c r="BC43" s="135"/>
      <c r="BD43" s="135">
        <v>0</v>
      </c>
      <c r="BE43" s="135"/>
      <c r="BF43" s="135">
        <v>0</v>
      </c>
      <c r="BG43" s="135"/>
      <c r="BH43" s="302"/>
      <c r="BI43" s="301"/>
      <c r="BJ43" s="56"/>
    </row>
    <row r="44" spans="1:62">
      <c r="A44" s="61" t="s">
        <v>340</v>
      </c>
      <c r="B44" s="61"/>
      <c r="C44" s="61"/>
      <c r="D44" s="133"/>
      <c r="E44" s="133"/>
      <c r="F44" s="133"/>
      <c r="G44" s="133"/>
      <c r="H44" s="133"/>
      <c r="I44" s="133"/>
      <c r="J44" s="133"/>
      <c r="K44" s="133"/>
      <c r="L44" s="133">
        <v>0</v>
      </c>
      <c r="M44" s="133"/>
      <c r="N44" s="135">
        <v>2.6949999999999998</v>
      </c>
      <c r="O44" s="135"/>
      <c r="P44" s="135">
        <v>0.79900000000000004</v>
      </c>
      <c r="Q44" s="135"/>
      <c r="R44" s="135">
        <v>1.5920000000000001</v>
      </c>
      <c r="S44" s="135"/>
      <c r="T44" s="135">
        <v>2.7E-2</v>
      </c>
      <c r="U44" s="135"/>
      <c r="V44" s="135">
        <f>-301.723+0.058</f>
        <v>-301.66500000000002</v>
      </c>
      <c r="W44" s="135"/>
      <c r="X44" s="135">
        <f>-379.53+330.703+0.018</f>
        <v>-48.808999999999997</v>
      </c>
      <c r="Y44" s="135"/>
      <c r="Z44" s="135">
        <f>-1195.934+1148.618+0.237</f>
        <v>-47.079000000000029</v>
      </c>
      <c r="AA44" s="135"/>
      <c r="AB44" s="135">
        <f>0.033-920.999+685.789</f>
        <v>-235.17700000000002</v>
      </c>
      <c r="AC44" s="135"/>
      <c r="AD44" s="135">
        <f>-162.3+782.46</f>
        <v>620.16000000000008</v>
      </c>
      <c r="AE44" s="135"/>
      <c r="AF44" s="135">
        <v>0</v>
      </c>
      <c r="AG44" s="135"/>
      <c r="AH44" s="135">
        <f>129.932-229.86</f>
        <v>-99.928000000000026</v>
      </c>
      <c r="AI44" s="135"/>
      <c r="AJ44" s="135">
        <f>321.679-224.007</f>
        <v>97.671999999999969</v>
      </c>
      <c r="AK44" s="135"/>
      <c r="AL44" s="135">
        <v>2.2559999999999998</v>
      </c>
      <c r="AM44" s="135"/>
      <c r="AN44" s="135">
        <v>-170.792</v>
      </c>
      <c r="AO44" s="135"/>
      <c r="AP44" s="135">
        <f>-543.389+146.26</f>
        <v>-397.12900000000002</v>
      </c>
      <c r="AQ44" s="135"/>
      <c r="AR44" s="135">
        <f>-49.6+305.2</f>
        <v>255.6</v>
      </c>
      <c r="AS44" s="135"/>
      <c r="AT44" s="135">
        <f>-664.7+425.9</f>
        <v>-238.80000000000007</v>
      </c>
      <c r="AU44" s="135"/>
      <c r="AV44" s="135">
        <f>+-523.5+591.2</f>
        <v>67.700000000000045</v>
      </c>
      <c r="AW44" s="135"/>
      <c r="AX44" s="135">
        <v>0</v>
      </c>
      <c r="AY44" s="135"/>
      <c r="AZ44" s="135">
        <v>0</v>
      </c>
      <c r="BA44" s="135"/>
      <c r="BB44" s="135">
        <v>0</v>
      </c>
      <c r="BC44" s="135"/>
      <c r="BD44" s="135">
        <v>0</v>
      </c>
      <c r="BE44" s="135"/>
      <c r="BF44" s="135">
        <v>0</v>
      </c>
      <c r="BG44" s="135"/>
      <c r="BH44" s="302"/>
      <c r="BI44" s="300"/>
      <c r="BJ44" s="154"/>
    </row>
    <row r="45" spans="1:62">
      <c r="A45" s="61" t="s">
        <v>372</v>
      </c>
      <c r="B45" s="61"/>
      <c r="C45" s="61"/>
      <c r="D45" s="133"/>
      <c r="E45" s="133"/>
      <c r="F45" s="133"/>
      <c r="G45" s="133"/>
      <c r="H45" s="133"/>
      <c r="I45" s="133"/>
      <c r="J45" s="133"/>
      <c r="K45" s="133"/>
      <c r="L45" s="133"/>
      <c r="M45" s="133"/>
      <c r="N45" s="135">
        <v>0</v>
      </c>
      <c r="O45" s="135"/>
      <c r="P45" s="135">
        <v>0</v>
      </c>
      <c r="Q45" s="135"/>
      <c r="R45" s="135">
        <v>14.363</v>
      </c>
      <c r="S45" s="135"/>
      <c r="T45" s="135">
        <v>0</v>
      </c>
      <c r="U45" s="135"/>
      <c r="V45" s="135">
        <v>0</v>
      </c>
      <c r="W45" s="135"/>
      <c r="X45" s="135">
        <f>-228.431-57.403-15.524</f>
        <v>-301.358</v>
      </c>
      <c r="Y45" s="135"/>
      <c r="Z45" s="135">
        <v>0</v>
      </c>
      <c r="AA45" s="135"/>
      <c r="AB45" s="135">
        <v>0</v>
      </c>
      <c r="AC45" s="135"/>
      <c r="AD45" s="135">
        <v>0</v>
      </c>
      <c r="AE45" s="135"/>
      <c r="AF45" s="135">
        <v>0</v>
      </c>
      <c r="AG45" s="135"/>
      <c r="AH45" s="135">
        <v>0</v>
      </c>
      <c r="AI45" s="135"/>
      <c r="AJ45" s="135">
        <v>-9.5589999999999993</v>
      </c>
      <c r="AK45" s="135"/>
      <c r="AL45" s="135">
        <v>0</v>
      </c>
      <c r="AM45" s="135"/>
      <c r="AN45" s="135">
        <v>-93.93</v>
      </c>
      <c r="AO45" s="135"/>
      <c r="AP45" s="135">
        <v>-87.233000000000004</v>
      </c>
      <c r="AQ45" s="135"/>
      <c r="AR45" s="135">
        <v>-139.1</v>
      </c>
      <c r="AS45" s="135"/>
      <c r="AT45" s="135">
        <v>-140.30000000000001</v>
      </c>
      <c r="AU45" s="135"/>
      <c r="AV45" s="135">
        <v>0</v>
      </c>
      <c r="AW45" s="135"/>
      <c r="AX45" s="135">
        <v>0</v>
      </c>
      <c r="AY45" s="135"/>
      <c r="AZ45" s="135">
        <v>0</v>
      </c>
      <c r="BA45" s="135"/>
      <c r="BB45" s="135">
        <v>0</v>
      </c>
      <c r="BC45" s="135"/>
      <c r="BD45" s="135">
        <v>0</v>
      </c>
      <c r="BE45" s="135"/>
      <c r="BF45" s="135">
        <v>0</v>
      </c>
      <c r="BG45" s="135"/>
      <c r="BH45" s="302"/>
      <c r="BI45" s="300"/>
      <c r="BJ45" s="154"/>
    </row>
    <row r="46" spans="1:62">
      <c r="A46" s="61" t="s">
        <v>146</v>
      </c>
      <c r="B46" s="61"/>
      <c r="C46" s="61"/>
      <c r="D46" s="133"/>
      <c r="E46" s="133"/>
      <c r="F46" s="133"/>
      <c r="G46" s="133"/>
      <c r="H46" s="133"/>
      <c r="I46" s="133"/>
      <c r="J46" s="133"/>
      <c r="K46" s="133"/>
      <c r="L46" s="133"/>
      <c r="M46" s="133"/>
      <c r="N46" s="135"/>
      <c r="O46" s="135"/>
      <c r="P46" s="135"/>
      <c r="Q46" s="135"/>
      <c r="R46" s="135"/>
      <c r="S46" s="135"/>
      <c r="T46" s="135"/>
      <c r="U46" s="135"/>
      <c r="V46" s="135"/>
      <c r="W46" s="135"/>
      <c r="X46" s="135"/>
      <c r="Y46" s="135"/>
      <c r="Z46" s="135"/>
      <c r="AA46" s="135"/>
      <c r="AB46" s="135">
        <v>0</v>
      </c>
      <c r="AC46" s="135"/>
      <c r="AD46" s="135">
        <v>0</v>
      </c>
      <c r="AE46" s="135"/>
      <c r="AF46" s="135">
        <v>0</v>
      </c>
      <c r="AG46" s="135"/>
      <c r="AH46" s="135">
        <v>0</v>
      </c>
      <c r="AI46" s="135"/>
      <c r="AJ46" s="135">
        <v>0</v>
      </c>
      <c r="AK46" s="135"/>
      <c r="AL46" s="135">
        <v>-24.138000000000002</v>
      </c>
      <c r="AM46" s="135"/>
      <c r="AN46" s="135">
        <v>-11.087999999999999</v>
      </c>
      <c r="AO46" s="135"/>
      <c r="AP46" s="135">
        <v>0</v>
      </c>
      <c r="AQ46" s="135"/>
      <c r="AR46" s="135">
        <v>0</v>
      </c>
      <c r="AS46" s="135"/>
      <c r="AT46" s="135">
        <v>0</v>
      </c>
      <c r="AU46" s="135"/>
      <c r="AV46" s="135">
        <v>0</v>
      </c>
      <c r="AW46" s="135"/>
      <c r="AX46" s="135">
        <v>0</v>
      </c>
      <c r="AY46" s="135"/>
      <c r="AZ46" s="135">
        <v>0</v>
      </c>
      <c r="BA46" s="135"/>
      <c r="BB46" s="135">
        <v>0</v>
      </c>
      <c r="BC46" s="135"/>
      <c r="BD46" s="135">
        <v>0</v>
      </c>
      <c r="BE46" s="135"/>
      <c r="BF46" s="135">
        <v>0</v>
      </c>
      <c r="BG46" s="135"/>
      <c r="BH46" s="302"/>
      <c r="BI46" s="300"/>
      <c r="BJ46" s="154"/>
    </row>
    <row r="47" spans="1:62">
      <c r="A47" s="61" t="s">
        <v>798</v>
      </c>
      <c r="B47" s="61"/>
      <c r="C47" s="61"/>
      <c r="D47" s="133"/>
      <c r="E47" s="133"/>
      <c r="F47" s="133"/>
      <c r="G47" s="133"/>
      <c r="H47" s="133"/>
      <c r="I47" s="133"/>
      <c r="J47" s="133"/>
      <c r="K47" s="133"/>
      <c r="L47" s="133"/>
      <c r="M47" s="133"/>
      <c r="N47" s="135">
        <v>0</v>
      </c>
      <c r="O47" s="135"/>
      <c r="P47" s="135">
        <v>0</v>
      </c>
      <c r="Q47" s="135"/>
      <c r="R47" s="135">
        <v>-14.805</v>
      </c>
      <c r="S47" s="135"/>
      <c r="T47" s="135">
        <v>0</v>
      </c>
      <c r="U47" s="135"/>
      <c r="V47" s="135">
        <v>0</v>
      </c>
      <c r="W47" s="135"/>
      <c r="X47" s="135">
        <v>0</v>
      </c>
      <c r="Y47" s="135"/>
      <c r="Z47" s="135">
        <v>0</v>
      </c>
      <c r="AA47" s="135"/>
      <c r="AB47" s="135">
        <v>0</v>
      </c>
      <c r="AC47" s="135"/>
      <c r="AD47" s="135">
        <v>0</v>
      </c>
      <c r="AE47" s="135"/>
      <c r="AF47" s="135">
        <v>-24.4</v>
      </c>
      <c r="AG47" s="135"/>
      <c r="AH47" s="135">
        <v>-1.2</v>
      </c>
      <c r="AI47" s="135"/>
      <c r="AJ47" s="135">
        <v>0</v>
      </c>
      <c r="AK47" s="135"/>
      <c r="AL47" s="135">
        <f>-53.235</f>
        <v>-53.234999999999999</v>
      </c>
      <c r="AM47" s="135"/>
      <c r="AN47" s="135">
        <f>-53.337</f>
        <v>-53.337000000000003</v>
      </c>
      <c r="AO47" s="135"/>
      <c r="AP47" s="135">
        <f>-3.759-6</f>
        <v>-9.7590000000000003</v>
      </c>
      <c r="AQ47" s="135"/>
      <c r="AR47" s="135">
        <f>-519.6-3.8-10.5</f>
        <v>-533.9</v>
      </c>
      <c r="AS47" s="135"/>
      <c r="AT47" s="135">
        <f>-25.6-8.9</f>
        <v>-34.5</v>
      </c>
      <c r="AU47" s="135"/>
      <c r="AV47" s="135">
        <v>1.8</v>
      </c>
      <c r="AW47" s="135"/>
      <c r="AX47" s="135">
        <v>0</v>
      </c>
      <c r="AY47" s="135"/>
      <c r="AZ47" s="135">
        <v>0</v>
      </c>
      <c r="BA47" s="135"/>
      <c r="BB47" s="135">
        <v>0</v>
      </c>
      <c r="BC47" s="135"/>
      <c r="BD47" s="135">
        <v>0</v>
      </c>
      <c r="BE47" s="135"/>
      <c r="BF47" s="135">
        <v>0</v>
      </c>
      <c r="BG47" s="135"/>
      <c r="BH47" s="302"/>
      <c r="BI47" s="300"/>
      <c r="BJ47" s="154"/>
    </row>
    <row r="48" spans="1:62" hidden="1" outlineLevel="1">
      <c r="A48" s="61" t="s">
        <v>216</v>
      </c>
      <c r="B48" s="61"/>
      <c r="C48" s="61"/>
      <c r="D48" s="133"/>
      <c r="E48" s="133"/>
      <c r="F48" s="133"/>
      <c r="G48" s="133"/>
      <c r="H48" s="133">
        <v>1.7589999999999999</v>
      </c>
      <c r="I48" s="133"/>
      <c r="J48" s="133">
        <v>2.7879999999999998</v>
      </c>
      <c r="K48" s="133"/>
      <c r="L48" s="133">
        <f>445.154-529.043</f>
        <v>-83.88900000000001</v>
      </c>
      <c r="M48" s="133"/>
      <c r="N48" s="135">
        <f>541.047-573.122</f>
        <v>-32.074999999999932</v>
      </c>
      <c r="O48" s="135"/>
      <c r="P48" s="135">
        <f>451.534-482.971</f>
        <v>-31.437000000000012</v>
      </c>
      <c r="Q48" s="135"/>
      <c r="R48" s="430">
        <v>0</v>
      </c>
      <c r="S48" s="135"/>
      <c r="T48" s="135">
        <v>0</v>
      </c>
      <c r="U48" s="135"/>
      <c r="V48" s="135">
        <v>0</v>
      </c>
      <c r="W48" s="135"/>
      <c r="X48" s="135">
        <v>0</v>
      </c>
      <c r="Y48" s="135"/>
      <c r="Z48" s="135">
        <v>0</v>
      </c>
      <c r="AA48" s="135"/>
      <c r="AB48" s="135">
        <v>0</v>
      </c>
      <c r="AC48" s="135"/>
      <c r="AD48" s="135">
        <v>0</v>
      </c>
      <c r="AE48" s="135"/>
      <c r="AF48" s="135">
        <v>0</v>
      </c>
      <c r="AG48" s="135"/>
      <c r="AH48" s="135">
        <v>0</v>
      </c>
      <c r="AI48" s="135"/>
      <c r="AJ48" s="135">
        <v>0</v>
      </c>
      <c r="AK48" s="135"/>
      <c r="AL48" s="135">
        <v>0</v>
      </c>
      <c r="AM48" s="135"/>
      <c r="AN48" s="135">
        <v>0</v>
      </c>
      <c r="AO48" s="135"/>
      <c r="AP48" s="135">
        <v>0</v>
      </c>
      <c r="AQ48" s="135"/>
      <c r="AR48" s="135">
        <v>0</v>
      </c>
      <c r="AS48" s="135"/>
      <c r="AT48" s="135">
        <v>0</v>
      </c>
      <c r="AU48" s="135"/>
      <c r="AV48" s="135">
        <v>0</v>
      </c>
      <c r="AW48" s="135"/>
      <c r="AX48" s="135">
        <v>0</v>
      </c>
      <c r="AY48" s="135"/>
      <c r="AZ48" s="135">
        <v>0</v>
      </c>
      <c r="BA48" s="135"/>
      <c r="BB48" s="135">
        <v>0</v>
      </c>
      <c r="BC48" s="135"/>
      <c r="BD48" s="135">
        <v>0</v>
      </c>
      <c r="BE48" s="135"/>
      <c r="BF48" s="135">
        <v>0</v>
      </c>
      <c r="BG48" s="135"/>
      <c r="BH48" s="302"/>
      <c r="BI48" s="300"/>
      <c r="BJ48" s="154"/>
    </row>
    <row r="49" spans="1:62" hidden="1" outlineLevel="1">
      <c r="A49" s="61" t="s">
        <v>217</v>
      </c>
      <c r="B49" s="61"/>
      <c r="C49" s="61"/>
      <c r="D49" s="133"/>
      <c r="E49" s="133"/>
      <c r="F49" s="133"/>
      <c r="G49" s="133"/>
      <c r="H49" s="133"/>
      <c r="I49" s="133"/>
      <c r="J49" s="133"/>
      <c r="K49" s="133"/>
      <c r="L49" s="133"/>
      <c r="M49" s="133"/>
      <c r="N49" s="135">
        <v>-29.466000000000001</v>
      </c>
      <c r="O49" s="135"/>
      <c r="P49" s="135">
        <v>0</v>
      </c>
      <c r="Q49" s="135"/>
      <c r="R49" s="430">
        <v>0</v>
      </c>
      <c r="S49" s="135"/>
      <c r="T49" s="135">
        <v>0</v>
      </c>
      <c r="U49" s="135"/>
      <c r="V49" s="135">
        <v>0</v>
      </c>
      <c r="W49" s="135"/>
      <c r="X49" s="135">
        <v>0</v>
      </c>
      <c r="Y49" s="135"/>
      <c r="Z49" s="135">
        <v>0</v>
      </c>
      <c r="AA49" s="135"/>
      <c r="AB49" s="135">
        <v>0</v>
      </c>
      <c r="AC49" s="135"/>
      <c r="AD49" s="135">
        <v>0</v>
      </c>
      <c r="AE49" s="135"/>
      <c r="AF49" s="135">
        <v>0</v>
      </c>
      <c r="AG49" s="135"/>
      <c r="AH49" s="135">
        <v>0</v>
      </c>
      <c r="AI49" s="135"/>
      <c r="AJ49" s="135">
        <v>0</v>
      </c>
      <c r="AK49" s="135"/>
      <c r="AL49" s="135">
        <v>0</v>
      </c>
      <c r="AM49" s="135"/>
      <c r="AN49" s="135">
        <v>0</v>
      </c>
      <c r="AO49" s="135"/>
      <c r="AP49" s="135">
        <v>0</v>
      </c>
      <c r="AQ49" s="135"/>
      <c r="AR49" s="135">
        <v>0</v>
      </c>
      <c r="AS49" s="135"/>
      <c r="AT49" s="135">
        <v>0</v>
      </c>
      <c r="AU49" s="135"/>
      <c r="AV49" s="135">
        <v>0</v>
      </c>
      <c r="AW49" s="135"/>
      <c r="AX49" s="135">
        <v>0</v>
      </c>
      <c r="AY49" s="135"/>
      <c r="AZ49" s="135">
        <v>0</v>
      </c>
      <c r="BA49" s="135"/>
      <c r="BB49" s="135">
        <v>0</v>
      </c>
      <c r="BC49" s="135"/>
      <c r="BD49" s="135">
        <v>0</v>
      </c>
      <c r="BE49" s="135"/>
      <c r="BF49" s="135">
        <v>0</v>
      </c>
      <c r="BG49" s="135"/>
      <c r="BH49" s="302"/>
      <c r="BI49" s="300"/>
      <c r="BJ49" s="154"/>
    </row>
    <row r="50" spans="1:62" hidden="1" outlineLevel="1">
      <c r="A50" s="3" t="s">
        <v>60</v>
      </c>
      <c r="B50" s="3"/>
      <c r="C50" s="3"/>
      <c r="D50" s="133"/>
      <c r="E50" s="134"/>
      <c r="F50" s="133"/>
      <c r="G50" s="134"/>
      <c r="H50" s="133">
        <v>1.0549999999999999</v>
      </c>
      <c r="I50" s="134"/>
      <c r="J50" s="133">
        <v>1.095</v>
      </c>
      <c r="K50" s="134"/>
      <c r="L50" s="133"/>
      <c r="M50" s="134"/>
      <c r="N50" s="135">
        <v>0</v>
      </c>
      <c r="O50" s="136"/>
      <c r="P50" s="135">
        <v>0</v>
      </c>
      <c r="Q50" s="136"/>
      <c r="R50" s="135">
        <v>0</v>
      </c>
      <c r="S50" s="136"/>
      <c r="T50" s="135">
        <v>0</v>
      </c>
      <c r="U50" s="136"/>
      <c r="V50" s="135">
        <v>0</v>
      </c>
      <c r="W50" s="136"/>
      <c r="X50" s="135">
        <v>0</v>
      </c>
      <c r="Y50" s="136"/>
      <c r="Z50" s="135">
        <v>0</v>
      </c>
      <c r="AA50" s="136"/>
      <c r="AB50" s="135">
        <v>0</v>
      </c>
      <c r="AC50" s="136"/>
      <c r="AD50" s="135">
        <v>0</v>
      </c>
      <c r="AE50" s="135"/>
      <c r="AF50" s="135">
        <v>0</v>
      </c>
      <c r="AG50" s="135"/>
      <c r="AH50" s="135">
        <v>0</v>
      </c>
      <c r="AI50" s="135"/>
      <c r="AJ50" s="135">
        <v>0</v>
      </c>
      <c r="AK50" s="135"/>
      <c r="AL50" s="135">
        <v>0</v>
      </c>
      <c r="AM50" s="135"/>
      <c r="AN50" s="135">
        <v>0</v>
      </c>
      <c r="AO50" s="135"/>
      <c r="AP50" s="135">
        <v>0</v>
      </c>
      <c r="AQ50" s="135"/>
      <c r="AR50" s="135">
        <v>0</v>
      </c>
      <c r="AS50" s="135"/>
      <c r="AT50" s="135">
        <v>0</v>
      </c>
      <c r="AU50" s="135"/>
      <c r="AV50" s="135">
        <f>680.6+126</f>
        <v>806.6</v>
      </c>
      <c r="AW50" s="135"/>
      <c r="AX50" s="135">
        <v>0</v>
      </c>
      <c r="AY50" s="135"/>
      <c r="AZ50" s="135">
        <v>0</v>
      </c>
      <c r="BA50" s="135"/>
      <c r="BB50" s="135">
        <v>0</v>
      </c>
      <c r="BC50" s="135"/>
      <c r="BD50" s="135">
        <v>0</v>
      </c>
      <c r="BE50" s="135"/>
      <c r="BF50" s="135">
        <v>0</v>
      </c>
      <c r="BG50" s="135"/>
      <c r="BH50" s="302"/>
      <c r="BI50" s="301"/>
      <c r="BJ50" s="56"/>
    </row>
    <row r="51" spans="1:62" collapsed="1">
      <c r="A51" s="3" t="s">
        <v>311</v>
      </c>
      <c r="B51" s="3"/>
      <c r="C51" s="3"/>
      <c r="D51" s="133"/>
      <c r="E51" s="134"/>
      <c r="F51" s="133"/>
      <c r="G51" s="134"/>
      <c r="H51" s="133">
        <v>-9.9909999999999997</v>
      </c>
      <c r="I51" s="134"/>
      <c r="J51" s="133">
        <v>-6.7309999999999999</v>
      </c>
      <c r="K51" s="134"/>
      <c r="L51" s="133"/>
      <c r="M51" s="134"/>
      <c r="N51" s="135">
        <v>0</v>
      </c>
      <c r="O51" s="136"/>
      <c r="P51" s="135">
        <v>0</v>
      </c>
      <c r="Q51" s="136"/>
      <c r="R51" s="135">
        <v>0</v>
      </c>
      <c r="S51" s="136"/>
      <c r="T51" s="135">
        <v>0</v>
      </c>
      <c r="U51" s="136"/>
      <c r="V51" s="135">
        <v>95.239000000000004</v>
      </c>
      <c r="W51" s="136"/>
      <c r="X51" s="135">
        <v>68.667000000000002</v>
      </c>
      <c r="Y51" s="136"/>
      <c r="Z51" s="135">
        <v>99.337000000000003</v>
      </c>
      <c r="AA51" s="136"/>
      <c r="AB51" s="135">
        <f>65.1-16.658</f>
        <v>48.441999999999993</v>
      </c>
      <c r="AC51" s="136"/>
      <c r="AD51" s="135">
        <v>23.253</v>
      </c>
      <c r="AE51" s="135"/>
      <c r="AF51" s="135">
        <v>-0.871</v>
      </c>
      <c r="AG51" s="135"/>
      <c r="AH51" s="135">
        <v>27.616</v>
      </c>
      <c r="AI51" s="135"/>
      <c r="AJ51" s="135">
        <v>58.164000000000001</v>
      </c>
      <c r="AK51" s="135"/>
      <c r="AL51" s="135">
        <v>68.057000000000002</v>
      </c>
      <c r="AM51" s="135"/>
      <c r="AN51" s="135">
        <v>26.83</v>
      </c>
      <c r="AO51" s="135"/>
      <c r="AP51" s="135">
        <v>11.536</v>
      </c>
      <c r="AQ51" s="135"/>
      <c r="AR51" s="135">
        <v>-5.6</v>
      </c>
      <c r="AS51" s="135"/>
      <c r="AT51" s="135">
        <v>-9</v>
      </c>
      <c r="AU51" s="135"/>
      <c r="AV51" s="135">
        <v>-3.8</v>
      </c>
      <c r="AW51" s="135"/>
      <c r="AX51" s="135">
        <f>-AX12</f>
        <v>-3.8</v>
      </c>
      <c r="AY51" s="135"/>
      <c r="AZ51" s="135">
        <f>-AZ12</f>
        <v>-3.8</v>
      </c>
      <c r="BA51" s="135"/>
      <c r="BB51" s="135">
        <f>-BB12</f>
        <v>-3.8</v>
      </c>
      <c r="BC51" s="135"/>
      <c r="BD51" s="135">
        <f>-BD12</f>
        <v>-3.8</v>
      </c>
      <c r="BE51" s="135"/>
      <c r="BF51" s="135">
        <f>-BF12</f>
        <v>-3.8</v>
      </c>
      <c r="BG51" s="135"/>
      <c r="BH51" s="302"/>
      <c r="BI51" s="301"/>
      <c r="BJ51" s="56"/>
    </row>
    <row r="52" spans="1:62">
      <c r="A52" s="3" t="s">
        <v>341</v>
      </c>
      <c r="B52" s="3"/>
      <c r="C52" s="3"/>
      <c r="D52" s="133"/>
      <c r="E52" s="134"/>
      <c r="F52" s="133"/>
      <c r="G52" s="134"/>
      <c r="H52" s="133"/>
      <c r="I52" s="134"/>
      <c r="J52" s="133"/>
      <c r="K52" s="134"/>
      <c r="L52" s="133"/>
      <c r="M52" s="134"/>
      <c r="N52" s="135"/>
      <c r="O52" s="136"/>
      <c r="P52" s="135"/>
      <c r="Q52" s="136"/>
      <c r="R52" s="135"/>
      <c r="S52" s="136"/>
      <c r="T52" s="135"/>
      <c r="U52" s="136"/>
      <c r="V52" s="135"/>
      <c r="W52" s="136"/>
      <c r="X52" s="135"/>
      <c r="Y52" s="136"/>
      <c r="Z52" s="135"/>
      <c r="AA52" s="136"/>
      <c r="AB52" s="135"/>
      <c r="AC52" s="136"/>
      <c r="AD52" s="135"/>
      <c r="AE52" s="135"/>
      <c r="AF52" s="135"/>
      <c r="AG52" s="135"/>
      <c r="AH52" s="135">
        <v>-94.323999999999998</v>
      </c>
      <c r="AI52" s="135"/>
      <c r="AJ52" s="135">
        <v>-178.11500000000001</v>
      </c>
      <c r="AK52" s="135"/>
      <c r="AL52" s="135">
        <v>-260.27600000000001</v>
      </c>
      <c r="AM52" s="135"/>
      <c r="AN52" s="135">
        <v>-339.72399999999999</v>
      </c>
      <c r="AO52" s="135"/>
      <c r="AP52" s="135">
        <v>-376.49799999999999</v>
      </c>
      <c r="AQ52" s="135"/>
      <c r="AR52" s="135">
        <v>-371.8</v>
      </c>
      <c r="AS52" s="135"/>
      <c r="AT52" s="135">
        <v>-374.5</v>
      </c>
      <c r="AU52" s="135"/>
      <c r="AV52" s="135">
        <v>-378</v>
      </c>
      <c r="AW52" s="135"/>
      <c r="AX52" s="135">
        <f>-'qtrP&amp;L'!CR165*'qtrP&amp;L'!CR175</f>
        <v>-390.37665106933611</v>
      </c>
      <c r="AY52" s="135"/>
      <c r="AZ52" s="135">
        <f>AX52</f>
        <v>-390.37665106933611</v>
      </c>
      <c r="BA52" s="135"/>
      <c r="BB52" s="135">
        <f>AZ52</f>
        <v>-390.37665106933611</v>
      </c>
      <c r="BC52" s="135"/>
      <c r="BD52" s="135">
        <f>BB52</f>
        <v>-390.37665106933611</v>
      </c>
      <c r="BE52" s="135"/>
      <c r="BF52" s="135">
        <f>BD52</f>
        <v>-390.37665106933611</v>
      </c>
      <c r="BG52" s="135"/>
      <c r="BH52" s="302"/>
      <c r="BI52" s="301"/>
      <c r="BJ52" s="56"/>
    </row>
    <row r="53" spans="1:62">
      <c r="A53" s="3" t="s">
        <v>61</v>
      </c>
      <c r="B53" s="3"/>
      <c r="C53" s="3"/>
      <c r="D53" s="133"/>
      <c r="E53" s="134"/>
      <c r="F53" s="133"/>
      <c r="G53" s="134"/>
      <c r="H53" s="133">
        <v>1.7999999999999999E-2</v>
      </c>
      <c r="I53" s="134"/>
      <c r="J53" s="133">
        <v>7.0000000000000001E-3</v>
      </c>
      <c r="K53" s="134"/>
      <c r="L53" s="133"/>
      <c r="M53" s="134"/>
      <c r="N53" s="135">
        <v>0</v>
      </c>
      <c r="O53" s="136"/>
      <c r="P53" s="135">
        <v>0</v>
      </c>
      <c r="Q53" s="136"/>
      <c r="R53" s="135">
        <v>0</v>
      </c>
      <c r="S53" s="136"/>
      <c r="T53" s="135">
        <v>0</v>
      </c>
      <c r="U53" s="136"/>
      <c r="V53" s="135">
        <v>0</v>
      </c>
      <c r="W53" s="136"/>
      <c r="X53" s="135">
        <v>0</v>
      </c>
      <c r="Y53" s="136"/>
      <c r="Z53" s="135">
        <v>0</v>
      </c>
      <c r="AA53" s="136"/>
      <c r="AB53" s="135">
        <v>-2.2160000000000002</v>
      </c>
      <c r="AC53" s="136"/>
      <c r="AD53" s="135">
        <v>3.4089999999999998</v>
      </c>
      <c r="AE53" s="135"/>
      <c r="AF53" s="135">
        <v>-2.883</v>
      </c>
      <c r="AG53" s="135"/>
      <c r="AH53" s="135">
        <v>7.3739999999999997</v>
      </c>
      <c r="AI53" s="135"/>
      <c r="AJ53" s="135">
        <v>4.798</v>
      </c>
      <c r="AK53" s="135"/>
      <c r="AL53" s="135">
        <v>-2.9489999999999998</v>
      </c>
      <c r="AM53" s="135"/>
      <c r="AN53" s="135">
        <v>-8.798</v>
      </c>
      <c r="AO53" s="135"/>
      <c r="AP53" s="135">
        <v>-0.51500000000000001</v>
      </c>
      <c r="AQ53" s="135"/>
      <c r="AR53" s="135">
        <v>-13.9</v>
      </c>
      <c r="AS53" s="135"/>
      <c r="AT53" s="135">
        <v>3.5</v>
      </c>
      <c r="AU53" s="135"/>
      <c r="AV53" s="135">
        <v>-2.4</v>
      </c>
      <c r="AW53" s="135"/>
      <c r="AX53" s="135">
        <v>0</v>
      </c>
      <c r="AY53" s="135"/>
      <c r="AZ53" s="135">
        <v>0</v>
      </c>
      <c r="BA53" s="135"/>
      <c r="BB53" s="135">
        <v>0</v>
      </c>
      <c r="BC53" s="135"/>
      <c r="BD53" s="135">
        <v>0</v>
      </c>
      <c r="BE53" s="135"/>
      <c r="BF53" s="135">
        <v>0</v>
      </c>
      <c r="BG53" s="135"/>
      <c r="BH53" s="302"/>
      <c r="BI53" s="301"/>
      <c r="BJ53" s="56"/>
    </row>
    <row r="54" spans="1:62">
      <c r="A54" s="3"/>
      <c r="B54" s="3"/>
      <c r="C54" s="3"/>
      <c r="D54" s="161"/>
      <c r="E54" s="3"/>
      <c r="F54" s="161"/>
      <c r="G54" s="3"/>
      <c r="H54" s="161"/>
      <c r="I54" s="3"/>
      <c r="J54" s="161"/>
      <c r="K54" s="3"/>
      <c r="L54" s="161"/>
      <c r="M54" s="3"/>
      <c r="N54" s="161"/>
      <c r="O54" s="3"/>
      <c r="P54" s="161"/>
      <c r="Q54" s="3"/>
      <c r="R54" s="161"/>
      <c r="S54" s="3"/>
      <c r="T54" s="162"/>
      <c r="U54" s="3"/>
      <c r="V54" s="161"/>
      <c r="W54" s="3"/>
      <c r="X54" s="161"/>
      <c r="Y54" s="3"/>
      <c r="Z54" s="161"/>
      <c r="AA54" s="3"/>
      <c r="AB54" s="161"/>
      <c r="AC54" s="3"/>
      <c r="AD54" s="161"/>
      <c r="AE54" s="161"/>
      <c r="AF54" s="161"/>
      <c r="AG54" s="161"/>
      <c r="AH54" s="161"/>
      <c r="AI54" s="161"/>
      <c r="AJ54" s="161"/>
      <c r="AK54" s="161"/>
      <c r="AL54" s="690"/>
      <c r="AM54" s="161"/>
      <c r="AN54" s="161"/>
      <c r="AO54" s="161"/>
      <c r="AP54" s="161"/>
      <c r="AQ54" s="161"/>
      <c r="AR54" s="161"/>
      <c r="AS54" s="161"/>
      <c r="AT54" s="161"/>
      <c r="AU54" s="161"/>
      <c r="AV54" s="161"/>
      <c r="AW54" s="161"/>
      <c r="AX54" s="161"/>
      <c r="AY54" s="161"/>
      <c r="AZ54" s="161"/>
      <c r="BA54" s="161"/>
      <c r="BB54" s="161"/>
      <c r="BC54" s="161"/>
      <c r="BD54" s="161"/>
      <c r="BE54" s="161"/>
      <c r="BF54" s="690"/>
      <c r="BG54" s="161"/>
      <c r="BH54" s="56"/>
      <c r="BI54" s="301"/>
      <c r="BJ54" s="56"/>
    </row>
    <row r="55" spans="1:62">
      <c r="A55" s="3" t="s">
        <v>608</v>
      </c>
      <c r="B55" s="3"/>
      <c r="C55" s="3"/>
      <c r="D55" s="161">
        <f>SUM(D38:D49)</f>
        <v>0</v>
      </c>
      <c r="E55" s="3"/>
      <c r="F55" s="161">
        <f>SUM(F38:F49)</f>
        <v>0</v>
      </c>
      <c r="G55" s="3"/>
      <c r="H55" s="161">
        <f>SUM(H44:H53)</f>
        <v>-7.1589999999999998</v>
      </c>
      <c r="I55" s="3"/>
      <c r="J55" s="163">
        <f>SUM(J44:J53)</f>
        <v>-2.8409999999999997</v>
      </c>
      <c r="K55" s="3"/>
      <c r="L55" s="161">
        <f>SUM(L38:L49)</f>
        <v>-83.924000000000007</v>
      </c>
      <c r="M55" s="3"/>
      <c r="N55" s="161">
        <f>SUM(N38:N53)</f>
        <v>-58.880999999999929</v>
      </c>
      <c r="O55" s="3"/>
      <c r="P55" s="161">
        <f>SUM(P38:P53)</f>
        <v>-88.931999999999988</v>
      </c>
      <c r="Q55" s="3"/>
      <c r="R55" s="161">
        <f>SUM(R38:R53)</f>
        <v>25.097999999999985</v>
      </c>
      <c r="S55" s="161"/>
      <c r="T55" s="161">
        <f>SUM(T38:T53)</f>
        <v>-29.297999999999998</v>
      </c>
      <c r="U55" s="161"/>
      <c r="V55" s="161">
        <f>SUM(V38:V53)</f>
        <v>-252.09099999999998</v>
      </c>
      <c r="W55" s="161"/>
      <c r="X55" s="161">
        <f>SUM(X38:X53)</f>
        <v>-489.15800000000002</v>
      </c>
      <c r="Y55" s="3"/>
      <c r="Z55" s="161">
        <f>SUM(Z38:Z53)</f>
        <v>-473.90500000000009</v>
      </c>
      <c r="AA55" s="3"/>
      <c r="AB55" s="161">
        <f>SUM(AB38:AB53)</f>
        <v>-227.00099999999998</v>
      </c>
      <c r="AC55" s="3"/>
      <c r="AD55" s="161">
        <f>SUM(AD38:AD53)</f>
        <v>-606.69199999999978</v>
      </c>
      <c r="AE55" s="161"/>
      <c r="AF55" s="161">
        <f>SUM(AF38:AF53)</f>
        <v>-467.36599999999993</v>
      </c>
      <c r="AG55" s="161"/>
      <c r="AH55" s="161">
        <f>SUM(AH38:AH53)</f>
        <v>-1113.6530000000002</v>
      </c>
      <c r="AI55" s="161"/>
      <c r="AJ55" s="161">
        <f>SUM(AJ38:AJ53)</f>
        <v>-782.21500000000015</v>
      </c>
      <c r="AK55" s="161"/>
      <c r="AL55" s="690">
        <f>SUM(AL38:AL53)</f>
        <v>-819.947</v>
      </c>
      <c r="AM55" s="161"/>
      <c r="AN55" s="161">
        <f>SUM(AN38:AN53)</f>
        <v>-1027.0509999999999</v>
      </c>
      <c r="AO55" s="161"/>
      <c r="AP55" s="161">
        <f>SUM(AP38:AP53)</f>
        <v>-1236.6850000000002</v>
      </c>
      <c r="AQ55" s="161"/>
      <c r="AR55" s="161">
        <f>SUM(AR38:AR53)</f>
        <v>-38.200000000000124</v>
      </c>
      <c r="AS55" s="161"/>
      <c r="AT55" s="161">
        <f>SUM(AT38:AT53)</f>
        <v>-795.00000000000011</v>
      </c>
      <c r="AU55" s="161"/>
      <c r="AV55" s="161">
        <f>SUM(AV38:AV53)</f>
        <v>1243.2</v>
      </c>
      <c r="AW55" s="161"/>
      <c r="AX55" s="161">
        <f>SUM(AX38:AX53)</f>
        <v>-74.176651069336117</v>
      </c>
      <c r="AY55" s="161"/>
      <c r="AZ55" s="161">
        <f>SUM(AZ38:AZ53)</f>
        <v>-395.17665106933612</v>
      </c>
      <c r="BA55" s="161"/>
      <c r="BB55" s="161">
        <f>SUM(BB38:BB53)</f>
        <v>-395.17665106933612</v>
      </c>
      <c r="BC55" s="161"/>
      <c r="BD55" s="161">
        <f>SUM(BD38:BD53)</f>
        <v>-395.17665106933612</v>
      </c>
      <c r="BE55" s="161"/>
      <c r="BF55" s="690">
        <f>SUM(BF38:BF53)</f>
        <v>-395.17665106933612</v>
      </c>
      <c r="BG55" s="161"/>
      <c r="BH55" s="56"/>
      <c r="BI55" s="56"/>
      <c r="BJ55" s="56"/>
    </row>
    <row r="56" spans="1:62" ht="16.5" customHeight="1">
      <c r="A56" s="3"/>
      <c r="B56" s="3"/>
      <c r="C56" s="3"/>
      <c r="D56" s="3"/>
      <c r="E56" s="3"/>
      <c r="F56" s="3"/>
      <c r="G56" s="3"/>
      <c r="H56" s="3"/>
      <c r="I56" s="3"/>
      <c r="J56" s="3"/>
      <c r="K56" s="3"/>
      <c r="L56" s="61"/>
      <c r="M56" s="3"/>
      <c r="N56" s="3"/>
      <c r="O56" s="3"/>
      <c r="P56" s="3"/>
      <c r="Q56" s="3"/>
      <c r="R56" s="61"/>
      <c r="S56" s="3"/>
      <c r="T56" s="126"/>
      <c r="U56" s="127"/>
      <c r="V56" s="127"/>
      <c r="W56" s="3"/>
      <c r="X56" s="164"/>
      <c r="Y56" s="3"/>
      <c r="Z56" s="3"/>
      <c r="AA56" s="3"/>
      <c r="AB56" s="3"/>
      <c r="AC56" s="3"/>
      <c r="AD56" s="3"/>
      <c r="AE56" s="3"/>
      <c r="AF56" s="3"/>
      <c r="AG56" s="3"/>
      <c r="AH56" s="3"/>
      <c r="AI56" s="3"/>
      <c r="AJ56" s="3"/>
      <c r="AK56" s="3"/>
      <c r="AL56" s="61"/>
      <c r="AM56" s="3"/>
      <c r="AN56" s="3"/>
      <c r="AO56" s="3"/>
      <c r="AP56" s="3"/>
      <c r="AQ56" s="3"/>
      <c r="AR56" s="3"/>
      <c r="AS56" s="3"/>
      <c r="AT56" s="3"/>
      <c r="AU56" s="3"/>
      <c r="AV56" s="3"/>
      <c r="AW56" s="3"/>
      <c r="AX56" s="3"/>
      <c r="AY56" s="3"/>
      <c r="AZ56" s="3"/>
      <c r="BA56" s="3"/>
      <c r="BB56" s="3"/>
      <c r="BC56" s="3"/>
      <c r="BD56" s="3"/>
      <c r="BE56" s="3"/>
      <c r="BF56" s="61"/>
      <c r="BG56" s="3"/>
      <c r="BH56" s="56"/>
      <c r="BI56" s="56"/>
      <c r="BJ56" s="56"/>
    </row>
    <row r="57" spans="1:62">
      <c r="A57" s="3" t="s">
        <v>593</v>
      </c>
      <c r="B57" s="3"/>
      <c r="C57" s="3"/>
      <c r="D57" s="151"/>
      <c r="E57" s="165"/>
      <c r="F57" s="151">
        <f>D59</f>
        <v>36.969000000000015</v>
      </c>
      <c r="G57" s="165"/>
      <c r="H57" s="151">
        <v>0.72899999999999998</v>
      </c>
      <c r="I57" s="165"/>
      <c r="J57" s="151">
        <f>H59</f>
        <v>0.18699999999994776</v>
      </c>
      <c r="K57" s="165"/>
      <c r="L57" s="151">
        <f>J59</f>
        <v>0.18299999999991579</v>
      </c>
      <c r="M57" s="165"/>
      <c r="N57" s="151">
        <f>L59</f>
        <v>0.14799999999999999</v>
      </c>
      <c r="O57" s="165"/>
      <c r="P57" s="151">
        <f>N59</f>
        <v>0.16200000000001</v>
      </c>
      <c r="Q57" s="165"/>
      <c r="R57" s="151">
        <f>P59</f>
        <v>3.6910000000000349</v>
      </c>
      <c r="S57" s="165"/>
      <c r="T57" s="151">
        <f>R59</f>
        <v>93.962000000000018</v>
      </c>
      <c r="U57" s="165"/>
      <c r="V57" s="151">
        <f>T59</f>
        <v>229.17599999999999</v>
      </c>
      <c r="W57" s="165"/>
      <c r="X57" s="166">
        <f>V59</f>
        <v>262.7199999999998</v>
      </c>
      <c r="Y57" s="165"/>
      <c r="Z57" s="153">
        <f>X59</f>
        <v>154.56599999999992</v>
      </c>
      <c r="AA57" s="165"/>
      <c r="AB57" s="153">
        <f>Z59</f>
        <v>143.38799999999981</v>
      </c>
      <c r="AC57" s="165"/>
      <c r="AD57" s="153">
        <f>AB59</f>
        <v>556.95599999999934</v>
      </c>
      <c r="AE57" s="153"/>
      <c r="AF57" s="153">
        <f>AD59</f>
        <v>698.90499999999963</v>
      </c>
      <c r="AG57" s="153"/>
      <c r="AH57" s="153">
        <f>AF59</f>
        <v>800.36199999999917</v>
      </c>
      <c r="AI57" s="153"/>
      <c r="AJ57" s="153">
        <f>AH59</f>
        <v>596.46999999999878</v>
      </c>
      <c r="AK57" s="153"/>
      <c r="AL57" s="151">
        <f>AJ59</f>
        <v>699.78199999999902</v>
      </c>
      <c r="AM57" s="153"/>
      <c r="AN57" s="153">
        <f>AL59</f>
        <v>917.21499999999867</v>
      </c>
      <c r="AO57" s="153"/>
      <c r="AP57" s="153">
        <f>AN59</f>
        <v>1062.7729999999983</v>
      </c>
      <c r="AQ57" s="153"/>
      <c r="AR57" s="153">
        <f>AP59</f>
        <v>591.92799999999897</v>
      </c>
      <c r="AS57" s="153"/>
      <c r="AT57" s="153">
        <f>AR59</f>
        <v>1291.8279999999991</v>
      </c>
      <c r="AU57" s="153"/>
      <c r="AV57" s="153">
        <f>AT59</f>
        <v>859.02799999999797</v>
      </c>
      <c r="AW57" s="153"/>
      <c r="AX57" s="153">
        <f>AV59</f>
        <v>2672.947999999999</v>
      </c>
      <c r="AY57" s="153"/>
      <c r="AZ57" s="153">
        <f>AX59</f>
        <v>3647.8699695879077</v>
      </c>
      <c r="BA57" s="153"/>
      <c r="BB57" s="153">
        <f>AZ59</f>
        <v>4093.0879292127443</v>
      </c>
      <c r="BC57" s="153"/>
      <c r="BD57" s="153">
        <f>BB59</f>
        <v>4588.9177278309007</v>
      </c>
      <c r="BE57" s="153"/>
      <c r="BF57" s="151">
        <f>BD59</f>
        <v>5124.5248779863296</v>
      </c>
      <c r="BG57" s="153"/>
      <c r="BH57" s="56"/>
      <c r="BI57" s="56"/>
      <c r="BJ57" s="56"/>
    </row>
    <row r="58" spans="1:62">
      <c r="A58" s="3"/>
      <c r="B58" s="3" t="s">
        <v>605</v>
      </c>
      <c r="C58" s="3"/>
      <c r="D58" s="151">
        <f>D55+D34</f>
        <v>36.969000000000015</v>
      </c>
      <c r="E58" s="3"/>
      <c r="F58" s="153">
        <f>F55+F34</f>
        <v>42.86</v>
      </c>
      <c r="G58" s="3"/>
      <c r="H58" s="151">
        <f>H55+H34</f>
        <v>-0.54200000000005222</v>
      </c>
      <c r="I58" s="3"/>
      <c r="J58" s="153">
        <f>J55+J34</f>
        <v>-4.000000000031978E-3</v>
      </c>
      <c r="K58" s="3"/>
      <c r="L58" s="151">
        <f>L55+L34</f>
        <v>0.86300000000001376</v>
      </c>
      <c r="M58" s="3"/>
      <c r="N58" s="151">
        <f>N55+N34</f>
        <v>1.4000000000010004E-2</v>
      </c>
      <c r="O58" s="3"/>
      <c r="P58" s="153">
        <f>P55+P34</f>
        <v>3.5290000000000248</v>
      </c>
      <c r="Q58" s="3"/>
      <c r="R58" s="151">
        <f>R55+R34</f>
        <v>90.270999999999987</v>
      </c>
      <c r="S58" s="3"/>
      <c r="T58" s="153">
        <f>T55+T34</f>
        <v>135.21399999999997</v>
      </c>
      <c r="U58" s="3"/>
      <c r="V58" s="153">
        <f>V55+V34</f>
        <v>33.543999999999784</v>
      </c>
      <c r="W58" s="3"/>
      <c r="X58" s="153">
        <f>X55+X34</f>
        <v>-108.15399999999988</v>
      </c>
      <c r="Y58" s="3"/>
      <c r="Z58" s="153">
        <f>Z55+Z34</f>
        <v>-11.178000000000111</v>
      </c>
      <c r="AA58" s="3"/>
      <c r="AB58" s="153">
        <f>AB55+AB34</f>
        <v>413.56799999999953</v>
      </c>
      <c r="AC58" s="153"/>
      <c r="AD58" s="153">
        <f>AD55+AD34</f>
        <v>141.9490000000003</v>
      </c>
      <c r="AE58" s="153"/>
      <c r="AF58" s="153">
        <f>AF55+AF34</f>
        <v>101.4569999999996</v>
      </c>
      <c r="AG58" s="153"/>
      <c r="AH58" s="153">
        <f>AH55+AH34</f>
        <v>-203.89200000000039</v>
      </c>
      <c r="AI58" s="153"/>
      <c r="AJ58" s="153">
        <f>AJ55+AJ34</f>
        <v>103.31200000000024</v>
      </c>
      <c r="AK58" s="153"/>
      <c r="AL58" s="153">
        <f>AL55+AL34</f>
        <v>217.43299999999965</v>
      </c>
      <c r="AM58" s="153"/>
      <c r="AN58" s="153">
        <f>AN55+AN34</f>
        <v>145.55799999999954</v>
      </c>
      <c r="AO58" s="153"/>
      <c r="AP58" s="153">
        <f>AP55+AP34</f>
        <v>-470.84499999999935</v>
      </c>
      <c r="AQ58" s="153"/>
      <c r="AR58" s="153">
        <f>AR55+AR34</f>
        <v>699.9</v>
      </c>
      <c r="AS58" s="153"/>
      <c r="AT58" s="153">
        <f>AT55+AT34</f>
        <v>-432.80000000000103</v>
      </c>
      <c r="AU58" s="153"/>
      <c r="AV58" s="153">
        <f>AV55+AV34</f>
        <v>1813.920000000001</v>
      </c>
      <c r="AW58" s="153"/>
      <c r="AX58" s="153">
        <f>AX55+AX34</f>
        <v>974.92196958790862</v>
      </c>
      <c r="AY58" s="153"/>
      <c r="AZ58" s="153">
        <f>AZ55+AZ34</f>
        <v>445.21795962483657</v>
      </c>
      <c r="BA58" s="153"/>
      <c r="BB58" s="153">
        <f>BB55+BB34</f>
        <v>495.82979861815613</v>
      </c>
      <c r="BC58" s="153"/>
      <c r="BD58" s="153">
        <f>BD55+BD34</f>
        <v>535.60715015542849</v>
      </c>
      <c r="BE58" s="153"/>
      <c r="BF58" s="151">
        <f>BF55+BF34</f>
        <v>589.19467712134576</v>
      </c>
      <c r="BG58" s="153"/>
      <c r="BH58" s="417"/>
      <c r="BI58" s="56"/>
      <c r="BJ58" s="56"/>
    </row>
    <row r="59" spans="1:62">
      <c r="A59" s="3" t="s">
        <v>594</v>
      </c>
      <c r="B59" s="3"/>
      <c r="C59" s="3"/>
      <c r="D59" s="153">
        <f>D57+D58</f>
        <v>36.969000000000015</v>
      </c>
      <c r="E59" s="3"/>
      <c r="F59" s="153">
        <v>0.183</v>
      </c>
      <c r="G59" s="3"/>
      <c r="H59" s="153">
        <f>H57+H58</f>
        <v>0.18699999999994776</v>
      </c>
      <c r="I59" s="3"/>
      <c r="J59" s="153">
        <f>J57+J58</f>
        <v>0.18299999999991579</v>
      </c>
      <c r="K59" s="3"/>
      <c r="L59" s="153">
        <v>0.14799999999999999</v>
      </c>
      <c r="M59" s="3"/>
      <c r="N59" s="153">
        <f>N57+N58</f>
        <v>0.16200000000001</v>
      </c>
      <c r="O59" s="3"/>
      <c r="P59" s="153">
        <f>P57+P58</f>
        <v>3.6910000000000349</v>
      </c>
      <c r="Q59" s="3"/>
      <c r="R59" s="153">
        <f>R57+R58</f>
        <v>93.962000000000018</v>
      </c>
      <c r="S59" s="3"/>
      <c r="T59" s="153">
        <f>T57+T58</f>
        <v>229.17599999999999</v>
      </c>
      <c r="U59" s="3"/>
      <c r="V59" s="153">
        <f>V57+V58</f>
        <v>262.7199999999998</v>
      </c>
      <c r="W59" s="3"/>
      <c r="X59" s="153">
        <f>X57+X58</f>
        <v>154.56599999999992</v>
      </c>
      <c r="Y59" s="3"/>
      <c r="Z59" s="153">
        <f>Z57+Z58</f>
        <v>143.38799999999981</v>
      </c>
      <c r="AA59" s="3"/>
      <c r="AB59" s="153">
        <f>AB57+AB58</f>
        <v>556.95599999999934</v>
      </c>
      <c r="AC59" s="3"/>
      <c r="AD59" s="153">
        <f>AD57+AD58</f>
        <v>698.90499999999963</v>
      </c>
      <c r="AE59" s="153"/>
      <c r="AF59" s="153">
        <f>AF57+AF58</f>
        <v>800.36199999999917</v>
      </c>
      <c r="AG59" s="153"/>
      <c r="AH59" s="153">
        <f>AH57+AH58</f>
        <v>596.46999999999878</v>
      </c>
      <c r="AI59" s="153"/>
      <c r="AJ59" s="153">
        <f>AJ57+AJ58</f>
        <v>699.78199999999902</v>
      </c>
      <c r="AK59" s="153"/>
      <c r="AL59" s="153">
        <f>AL57+AL58</f>
        <v>917.21499999999867</v>
      </c>
      <c r="AM59" s="153"/>
      <c r="AN59" s="153">
        <f>AN57+AN58</f>
        <v>1062.7729999999983</v>
      </c>
      <c r="AO59" s="153"/>
      <c r="AP59" s="153">
        <f>AP57+AP58</f>
        <v>591.92799999999897</v>
      </c>
      <c r="AQ59" s="153"/>
      <c r="AR59" s="153">
        <f>AR57+AR58</f>
        <v>1291.8279999999991</v>
      </c>
      <c r="AS59" s="153"/>
      <c r="AT59" s="153">
        <f>AT57+AT58</f>
        <v>859.02799999999797</v>
      </c>
      <c r="AU59" s="153"/>
      <c r="AV59" s="153">
        <f>AV57+AV58</f>
        <v>2672.947999999999</v>
      </c>
      <c r="AW59" s="153"/>
      <c r="AX59" s="153">
        <f>AX57+AX58</f>
        <v>3647.8699695879077</v>
      </c>
      <c r="AY59" s="153"/>
      <c r="AZ59" s="153">
        <f>AZ57+AZ58</f>
        <v>4093.0879292127443</v>
      </c>
      <c r="BA59" s="153"/>
      <c r="BB59" s="153">
        <f>BB57+BB58</f>
        <v>4588.9177278309007</v>
      </c>
      <c r="BC59" s="153"/>
      <c r="BD59" s="153">
        <f>BD57+BD58</f>
        <v>5124.5248779863296</v>
      </c>
      <c r="BE59" s="153"/>
      <c r="BF59" s="151">
        <f>BF57+BF58</f>
        <v>5713.7195551076757</v>
      </c>
      <c r="BG59" s="153"/>
      <c r="BH59" s="56"/>
      <c r="BI59" s="56"/>
      <c r="BJ59" s="56"/>
    </row>
    <row r="60" spans="1:62">
      <c r="A60" s="3"/>
      <c r="B60" s="304" t="s">
        <v>470</v>
      </c>
      <c r="C60" s="3"/>
      <c r="D60" s="167"/>
      <c r="E60" s="3"/>
      <c r="F60" s="3"/>
      <c r="G60" s="3"/>
      <c r="H60" s="167"/>
      <c r="I60" s="3"/>
      <c r="J60" s="3"/>
      <c r="K60" s="3"/>
      <c r="L60" s="3"/>
      <c r="M60" s="3"/>
      <c r="N60" s="305">
        <f>N59+bal!N9</f>
        <v>0.16200000000001</v>
      </c>
      <c r="O60" s="3"/>
      <c r="P60" s="305">
        <f>P59+bal!P9</f>
        <v>3.6910000000000349</v>
      </c>
      <c r="Q60" s="3"/>
      <c r="R60" s="305">
        <f>R59+bal!R9</f>
        <v>93.962000000000018</v>
      </c>
      <c r="S60" s="3"/>
      <c r="T60" s="305">
        <f>T59+bal!T9</f>
        <v>229.17599999999999</v>
      </c>
      <c r="U60" s="3"/>
      <c r="V60" s="305">
        <f>V59+bal!V9</f>
        <v>434.44299999999981</v>
      </c>
      <c r="W60" s="3"/>
      <c r="X60" s="305">
        <f>X59+bal!X9</f>
        <v>383.05099999999993</v>
      </c>
      <c r="Y60" s="3"/>
      <c r="Z60" s="305">
        <f>Z59+bal!Z9</f>
        <v>537.56499999999983</v>
      </c>
      <c r="AA60" s="3"/>
      <c r="AB60" s="305">
        <f>AB59+bal!AB9</f>
        <v>1185.8159999999993</v>
      </c>
      <c r="AC60" s="3"/>
      <c r="AD60" s="305">
        <f>AD59+bal!AD9</f>
        <v>698.90499999999963</v>
      </c>
      <c r="AE60" s="3"/>
      <c r="AF60" s="305">
        <f>AF59+bal!AF9</f>
        <v>800.36199999999917</v>
      </c>
      <c r="AG60" s="3"/>
      <c r="AH60" s="305">
        <f>AH59+bal!AH9</f>
        <v>696.39799999999877</v>
      </c>
      <c r="AI60" s="3"/>
      <c r="AJ60" s="305">
        <f>AJ59+bal!AJ9</f>
        <v>702.03799999999899</v>
      </c>
      <c r="AK60" s="3"/>
      <c r="AL60" s="305">
        <f>AL59+bal!AL9</f>
        <v>917.21499999999867</v>
      </c>
      <c r="AM60" s="3"/>
      <c r="AN60" s="305">
        <f>AN59+bal!AN9</f>
        <v>1134.8789999999983</v>
      </c>
      <c r="AO60" s="3"/>
      <c r="AP60" s="305">
        <f>AP59+bal!AP9</f>
        <v>868.63099999999895</v>
      </c>
      <c r="AQ60" s="3"/>
      <c r="AR60" s="305">
        <f>AR59+bal!AR9</f>
        <v>1525.8279999999991</v>
      </c>
      <c r="AS60" s="305"/>
      <c r="AT60" s="305">
        <f>AT59+bal!AT9</f>
        <v>1319.4279999999981</v>
      </c>
      <c r="AU60" s="305"/>
      <c r="AV60" s="305">
        <f>AV59+bal!AV9</f>
        <v>3083.6479999999988</v>
      </c>
      <c r="AW60" s="305"/>
      <c r="AX60" s="305">
        <f>AX59+bal!AX9</f>
        <v>4058.5699695879075</v>
      </c>
      <c r="AY60" s="305"/>
      <c r="AZ60" s="305">
        <f>AZ59+bal!AZ9</f>
        <v>4503.7879292127445</v>
      </c>
      <c r="BA60" s="305"/>
      <c r="BB60" s="305">
        <f>BB59+bal!BB9</f>
        <v>4999.6177278309005</v>
      </c>
      <c r="BC60" s="305"/>
      <c r="BD60" s="305">
        <f>BD59+bal!BD9</f>
        <v>5535.2248779863294</v>
      </c>
      <c r="BE60" s="305"/>
      <c r="BF60" s="1908">
        <f>BF59+bal!BF9</f>
        <v>6124.4195551076755</v>
      </c>
      <c r="BG60" s="305"/>
      <c r="BH60" s="56"/>
      <c r="BI60" s="56"/>
      <c r="BJ60" s="56"/>
    </row>
    <row r="61" spans="1:62">
      <c r="A61" s="3"/>
      <c r="B61" s="304"/>
      <c r="C61" s="3"/>
      <c r="D61" s="167"/>
      <c r="E61" s="3"/>
      <c r="F61" s="3"/>
      <c r="G61" s="3"/>
      <c r="H61" s="167"/>
      <c r="I61" s="3"/>
      <c r="J61" s="3"/>
      <c r="K61" s="3"/>
      <c r="L61" s="3"/>
      <c r="M61" s="3"/>
      <c r="N61" s="305"/>
      <c r="O61" s="3"/>
      <c r="P61" s="305"/>
      <c r="Q61" s="3"/>
      <c r="R61" s="305"/>
      <c r="S61" s="3"/>
      <c r="T61" s="305"/>
      <c r="U61" s="3"/>
      <c r="V61" s="305"/>
      <c r="W61" s="3"/>
      <c r="X61" s="305"/>
      <c r="Y61" s="3"/>
      <c r="Z61" s="305"/>
      <c r="AA61" s="3"/>
      <c r="AB61" s="305"/>
      <c r="AC61" s="3"/>
      <c r="AD61" s="305"/>
      <c r="AE61" s="3"/>
      <c r="AF61" s="305"/>
      <c r="AG61" s="3"/>
      <c r="AH61" s="305"/>
      <c r="AI61" s="3"/>
      <c r="AJ61" s="305"/>
      <c r="AK61" s="3"/>
      <c r="AL61" s="305"/>
      <c r="AM61" s="3"/>
      <c r="AN61" s="305"/>
      <c r="AO61" s="3"/>
      <c r="AP61" s="305"/>
      <c r="AQ61" s="3"/>
      <c r="AR61" s="305"/>
      <c r="AS61" s="305"/>
      <c r="AT61" s="305"/>
      <c r="AU61" s="305"/>
      <c r="AV61" s="305"/>
      <c r="AW61" s="305"/>
      <c r="AX61" s="305"/>
      <c r="AY61" s="305"/>
      <c r="AZ61" s="305"/>
      <c r="BA61" s="305"/>
      <c r="BB61" s="305"/>
      <c r="BC61" s="305"/>
      <c r="BD61" s="305"/>
      <c r="BE61" s="305"/>
      <c r="BF61" s="1908"/>
      <c r="BG61" s="305"/>
      <c r="BH61" s="56"/>
      <c r="BI61" s="56"/>
      <c r="BJ61" s="56"/>
    </row>
    <row r="62" spans="1:62">
      <c r="A62" s="3" t="s">
        <v>609</v>
      </c>
      <c r="B62" s="3"/>
      <c r="C62" s="3"/>
      <c r="D62" s="139">
        <f>-D55+D58</f>
        <v>36.969000000000015</v>
      </c>
      <c r="E62" s="3"/>
      <c r="F62" s="139">
        <f>-F55+F58</f>
        <v>42.86</v>
      </c>
      <c r="G62" s="3"/>
      <c r="H62" s="139">
        <f>-H55+H58</f>
        <v>6.6169999999999476</v>
      </c>
      <c r="I62" s="3"/>
      <c r="J62" s="139">
        <f>-J55+J58</f>
        <v>2.8369999999999678</v>
      </c>
      <c r="K62" s="3"/>
      <c r="L62" s="139">
        <f>-L55+L58</f>
        <v>84.78700000000002</v>
      </c>
      <c r="M62" s="3"/>
      <c r="N62" s="139">
        <f>-N55+N58</f>
        <v>58.894999999999939</v>
      </c>
      <c r="O62" s="3"/>
      <c r="P62" s="139">
        <f>-P55+P58</f>
        <v>92.461000000000013</v>
      </c>
      <c r="Q62" s="3"/>
      <c r="R62" s="139">
        <f>-R55+R58</f>
        <v>65.173000000000002</v>
      </c>
      <c r="S62" s="3"/>
      <c r="T62" s="139">
        <f>-T55+T58</f>
        <v>164.51199999999997</v>
      </c>
      <c r="U62" s="3"/>
      <c r="V62" s="139">
        <f>-V55+V58</f>
        <v>285.63499999999976</v>
      </c>
      <c r="W62" s="3"/>
      <c r="X62" s="139">
        <f>-X55+X58</f>
        <v>381.00400000000013</v>
      </c>
      <c r="Y62" s="3"/>
      <c r="Z62" s="139">
        <f>-Z55+Z58</f>
        <v>462.72699999999998</v>
      </c>
      <c r="AA62" s="3"/>
      <c r="AB62" s="139">
        <f>-AB55+AB58</f>
        <v>640.56899999999951</v>
      </c>
      <c r="AC62" s="3"/>
      <c r="AD62" s="139">
        <f>-AD55+AD58</f>
        <v>748.64100000000008</v>
      </c>
      <c r="AE62" s="139"/>
      <c r="AF62" s="139">
        <f>-AF55+AF58</f>
        <v>568.82299999999952</v>
      </c>
      <c r="AG62" s="139"/>
      <c r="AH62" s="139">
        <f>-AH55+AH58</f>
        <v>909.76099999999985</v>
      </c>
      <c r="AI62" s="139"/>
      <c r="AJ62" s="139">
        <f>-AJ55+AJ58</f>
        <v>885.52700000000038</v>
      </c>
      <c r="AK62" s="139"/>
      <c r="AL62" s="139">
        <f>-AL55+AL58</f>
        <v>1037.3799999999997</v>
      </c>
      <c r="AM62" s="139"/>
      <c r="AN62" s="139">
        <f>-AN55+AN58</f>
        <v>1172.6089999999995</v>
      </c>
      <c r="AO62" s="139"/>
      <c r="AP62" s="139">
        <f>-AP55+AP58</f>
        <v>765.84000000000083</v>
      </c>
      <c r="AQ62" s="139"/>
      <c r="AR62" s="139">
        <f>-AR55+AR58</f>
        <v>738.10000000000014</v>
      </c>
      <c r="AS62" s="139"/>
      <c r="AT62" s="139">
        <f>-AT55+AT58</f>
        <v>362.19999999999908</v>
      </c>
      <c r="AU62" s="139"/>
      <c r="AV62" s="139">
        <f>-AV55+AV58</f>
        <v>570.72000000000094</v>
      </c>
      <c r="AW62" s="139"/>
      <c r="AX62" s="139">
        <f>-AX55+AX58</f>
        <v>1049.0986206572447</v>
      </c>
      <c r="AY62" s="139"/>
      <c r="AZ62" s="139">
        <f>-AZ55+AZ58</f>
        <v>840.39461069417268</v>
      </c>
      <c r="BA62" s="139"/>
      <c r="BB62" s="139">
        <f>-BB55+BB58</f>
        <v>891.00644968749225</v>
      </c>
      <c r="BC62" s="139"/>
      <c r="BD62" s="139">
        <f>-BD55+BD58</f>
        <v>930.7838012247646</v>
      </c>
      <c r="BE62" s="139"/>
      <c r="BF62" s="132">
        <f>-BF55+BF58</f>
        <v>984.37132819068188</v>
      </c>
      <c r="BG62" s="139"/>
      <c r="BH62" s="56"/>
      <c r="BI62" s="56"/>
      <c r="BJ62" s="56"/>
    </row>
    <row r="63" spans="1:62">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61"/>
      <c r="BG63" s="3"/>
      <c r="BH63" s="56"/>
      <c r="BI63" s="56"/>
      <c r="BJ63" s="56"/>
    </row>
    <row r="64" spans="1:62">
      <c r="A64" s="3"/>
      <c r="B64" s="3"/>
      <c r="C64" s="3"/>
      <c r="D64" s="3"/>
      <c r="E64" s="3"/>
      <c r="F64" s="3"/>
      <c r="G64" s="3"/>
      <c r="H64" s="3"/>
      <c r="I64" s="3"/>
      <c r="J64" s="3"/>
      <c r="K64" s="3"/>
      <c r="L64" s="3"/>
      <c r="M64" s="3"/>
      <c r="N64" s="3"/>
      <c r="O64" s="3"/>
      <c r="P64" s="3"/>
      <c r="Q64" s="3"/>
      <c r="R64" s="3"/>
      <c r="S64" s="3"/>
      <c r="T64" s="150"/>
      <c r="U64" s="3"/>
      <c r="V64" s="3"/>
      <c r="W64" s="3"/>
      <c r="X64" s="3"/>
      <c r="Y64" s="3"/>
      <c r="AA64" s="3"/>
      <c r="AB64" s="3"/>
      <c r="AC64" s="3"/>
      <c r="AD64" s="153"/>
      <c r="AE64" s="3"/>
      <c r="AF64" s="15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61"/>
      <c r="BG64" s="3"/>
      <c r="BH64" s="56"/>
      <c r="BI64" s="56"/>
      <c r="BJ64" s="56"/>
    </row>
    <row r="65" spans="1:62">
      <c r="A65" s="168" t="s">
        <v>114</v>
      </c>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61"/>
      <c r="BG65" s="3"/>
      <c r="BH65" s="56"/>
      <c r="BI65" s="56"/>
      <c r="BJ65" s="56"/>
    </row>
    <row r="66" spans="1:62">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139"/>
      <c r="AS66" s="3"/>
      <c r="AT66" s="3"/>
      <c r="AU66" s="3"/>
      <c r="AV66" s="3"/>
      <c r="AW66" s="3"/>
      <c r="AX66" s="3"/>
      <c r="AY66" s="3"/>
      <c r="AZ66" s="3"/>
      <c r="BA66" s="3"/>
      <c r="BB66" s="3"/>
      <c r="BC66" s="3"/>
      <c r="BD66" s="3"/>
      <c r="BE66" s="3"/>
      <c r="BF66" s="61"/>
      <c r="BG66" s="3"/>
      <c r="BH66" s="56"/>
      <c r="BI66" s="56"/>
      <c r="BJ66" s="56"/>
    </row>
    <row r="67" spans="1:62">
      <c r="A67" s="3" t="s">
        <v>214</v>
      </c>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139">
        <f>AF8+AF9-AF32+AF45+AF52+AF42</f>
        <v>21.903999999999598</v>
      </c>
      <c r="AG67" s="3"/>
      <c r="AH67" s="139">
        <f>AH8+AH9-AH32+AH45+AH52+AH42</f>
        <v>-360.08900000000017</v>
      </c>
      <c r="AI67" s="3"/>
      <c r="AJ67" s="139">
        <f>AJ8+AJ9-AJ32+AJ45+AJ52+AJ42</f>
        <v>-489.34099999999955</v>
      </c>
      <c r="AK67" s="3"/>
      <c r="AL67" s="139">
        <f>AL8+AL9-AL32+AL45+AL52+AL42</f>
        <v>9.2699999999995271</v>
      </c>
      <c r="AM67" s="3"/>
      <c r="AN67" s="139">
        <f>AN8+AN9-AN32+AN45+AN52+AN42</f>
        <v>225.47699999999941</v>
      </c>
      <c r="AO67" s="3"/>
      <c r="AP67" s="139">
        <f>AP8+AP9-AP32+AP45+AP52+AP42</f>
        <v>-399.93399999999895</v>
      </c>
      <c r="AQ67" s="3"/>
      <c r="AR67" s="139">
        <f>AR8+AR9-AR32+AR45+AR52+AR42+AR11</f>
        <v>112.70000000000006</v>
      </c>
      <c r="AS67" s="3"/>
      <c r="AT67" s="139">
        <f>AT8+AT9-AT32+AT45+AT52+AT42</f>
        <v>-202.80000000000098</v>
      </c>
      <c r="AU67" s="3"/>
      <c r="AV67" s="139">
        <f>AV8+AV9-AV32+AV45+AV52+AV42</f>
        <v>46.220000000000823</v>
      </c>
      <c r="AW67" s="3"/>
      <c r="AX67" s="139">
        <f>AX8+AX9-AX32+AX45+AX52+AX42</f>
        <v>590.22196958790846</v>
      </c>
      <c r="AY67" s="3"/>
      <c r="AZ67" s="139">
        <f>AZ8+AZ9-AZ32+AZ45+AZ52+AZ42</f>
        <v>381.51795962483658</v>
      </c>
      <c r="BA67" s="3"/>
      <c r="BB67" s="139">
        <f>BB8+BB9-BB32+BB45+BB52+BB42</f>
        <v>432.12979861815614</v>
      </c>
      <c r="BC67" s="3"/>
      <c r="BD67" s="139">
        <f>BD8+BD9-BD32+BD45+BD52+BD42</f>
        <v>471.9071501554285</v>
      </c>
      <c r="BE67" s="139"/>
      <c r="BF67" s="132">
        <f>BF8+BF9-BF32+BF45+BF52+BF42</f>
        <v>525.49467712134583</v>
      </c>
      <c r="BG67" s="139"/>
      <c r="BH67" s="56"/>
      <c r="BI67" s="56"/>
      <c r="BJ67" s="56"/>
    </row>
    <row r="68" spans="1:62">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139"/>
      <c r="AS68" s="3"/>
      <c r="AT68" s="3"/>
      <c r="AU68" s="3"/>
      <c r="AV68" s="3"/>
      <c r="AW68" s="3"/>
      <c r="AX68" s="3"/>
      <c r="AY68" s="3"/>
      <c r="AZ68" s="3"/>
      <c r="BA68" s="3"/>
      <c r="BB68" s="3"/>
      <c r="BC68" s="3"/>
      <c r="BD68" s="3"/>
      <c r="BE68" s="3"/>
      <c r="BF68" s="61"/>
      <c r="BG68" s="3"/>
      <c r="BH68" s="56"/>
      <c r="BI68" s="56"/>
      <c r="BJ68" s="56"/>
    </row>
    <row r="69" spans="1:62">
      <c r="A69" s="3"/>
      <c r="B69" s="3"/>
      <c r="C69" s="5"/>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61"/>
      <c r="BG69" s="3"/>
      <c r="BH69" s="56"/>
      <c r="BI69" s="56"/>
      <c r="BJ69" s="56"/>
    </row>
    <row r="70" spans="1:62">
      <c r="A70" s="169" t="s">
        <v>115</v>
      </c>
      <c r="B70" s="169"/>
      <c r="C70" s="169"/>
      <c r="D70" s="169"/>
      <c r="E70" s="169"/>
      <c r="F70" s="169"/>
      <c r="G70" s="169"/>
      <c r="H70" s="169"/>
      <c r="I70" s="169"/>
      <c r="J70" s="169"/>
      <c r="K70" s="169"/>
      <c r="L70" s="169"/>
      <c r="M70" s="169"/>
      <c r="N70" s="169"/>
      <c r="O70" s="169"/>
      <c r="P70" s="169"/>
      <c r="Q70" s="169"/>
      <c r="R70" s="169"/>
      <c r="S70" s="169"/>
      <c r="T70" s="169"/>
      <c r="U70" s="169"/>
      <c r="V70" s="169"/>
      <c r="W70" s="170"/>
      <c r="X70" s="169"/>
      <c r="Y70" s="170"/>
      <c r="Z70" s="169"/>
      <c r="AA70" s="170"/>
      <c r="AB70" s="169"/>
      <c r="AC70" s="170"/>
      <c r="AD70" s="169"/>
      <c r="AE70" s="169"/>
      <c r="AF70" s="169"/>
      <c r="AG70" s="169"/>
      <c r="AH70" s="169"/>
      <c r="AI70" s="169"/>
      <c r="AJ70" s="169"/>
      <c r="AK70" s="169"/>
      <c r="AL70" s="169"/>
      <c r="AM70" s="169"/>
      <c r="AN70" s="169"/>
      <c r="AO70" s="169"/>
      <c r="AP70" s="169"/>
      <c r="AQ70" s="169"/>
      <c r="AR70" s="169"/>
      <c r="AS70" s="169"/>
      <c r="AT70" s="169"/>
      <c r="AU70" s="169"/>
      <c r="AV70" s="169"/>
      <c r="AW70" s="615"/>
      <c r="AX70" s="169"/>
      <c r="AY70" s="615"/>
      <c r="AZ70" s="169"/>
      <c r="BA70" s="615"/>
      <c r="BB70" s="169"/>
      <c r="BC70" s="615"/>
      <c r="BD70" s="169"/>
      <c r="BE70" s="615"/>
      <c r="BF70" s="1909"/>
      <c r="BG70" s="615"/>
      <c r="BH70" s="56"/>
      <c r="BI70" s="56"/>
      <c r="BJ70" s="56"/>
    </row>
    <row r="71" spans="1:62">
      <c r="A71" s="171" t="s">
        <v>178</v>
      </c>
      <c r="B71" s="3"/>
      <c r="C71" s="3"/>
      <c r="D71" s="172"/>
      <c r="E71" s="173"/>
      <c r="F71" s="172">
        <f>bal!F86-bal!D86</f>
        <v>0</v>
      </c>
      <c r="G71" s="173"/>
      <c r="H71" s="172">
        <f>bal!H86-bal!F86</f>
        <v>0</v>
      </c>
      <c r="I71" s="173"/>
      <c r="J71" s="172">
        <f>bal!J86-bal!H86</f>
        <v>101.679</v>
      </c>
      <c r="K71" s="173"/>
      <c r="L71" s="174">
        <f>L75*L73</f>
        <v>0</v>
      </c>
      <c r="M71" s="173" t="s">
        <v>165</v>
      </c>
      <c r="N71" s="197">
        <f>+bal!N86-bal!L86</f>
        <v>-3.6700000000000017</v>
      </c>
      <c r="O71" s="207"/>
      <c r="P71" s="197">
        <f>+bal!P86-bal!N86</f>
        <v>13.298999999999992</v>
      </c>
      <c r="Q71" s="207"/>
      <c r="R71" s="197">
        <f>+bal!R86-bal!P86</f>
        <v>16.912000000000006</v>
      </c>
      <c r="S71" s="207"/>
      <c r="T71" s="197">
        <f>+bal!T86-bal!R86</f>
        <v>26.319999999999993</v>
      </c>
      <c r="U71" s="197"/>
      <c r="V71" s="197">
        <f>+bal!V86-bal!T86</f>
        <v>34.290999999999997</v>
      </c>
      <c r="W71" s="207"/>
      <c r="X71" s="197">
        <f>+bal!X86-bal!V86</f>
        <v>4.4180000000000064</v>
      </c>
      <c r="Y71" s="207"/>
      <c r="Z71" s="208">
        <f>+bal!Z86-bal!X86</f>
        <v>4.8120000000000118</v>
      </c>
      <c r="AA71" s="208"/>
      <c r="AB71" s="208">
        <f>AB75*AB73</f>
        <v>48.499199999999995</v>
      </c>
      <c r="AC71" s="208"/>
      <c r="AD71" s="208">
        <f>AD75*AD73</f>
        <v>60.422399999999996</v>
      </c>
      <c r="AE71" s="208"/>
      <c r="AF71" s="208">
        <f>AF75*AF73</f>
        <v>73.808399999999992</v>
      </c>
      <c r="AG71" s="208"/>
      <c r="AH71" s="208">
        <f>AH75*AH73</f>
        <v>76.046399999999991</v>
      </c>
      <c r="AI71" s="208"/>
      <c r="AJ71" s="208">
        <f>AJ75*AJ73</f>
        <v>75.063599999999994</v>
      </c>
      <c r="AK71" s="208"/>
      <c r="AL71" s="208">
        <f>AL75*AL73</f>
        <v>79.745399999999989</v>
      </c>
      <c r="AM71" s="208"/>
      <c r="AN71" s="208">
        <f>AN75*AN73</f>
        <v>97.792199999999994</v>
      </c>
      <c r="AO71" s="208"/>
      <c r="AP71" s="208">
        <f>AP75*AP73</f>
        <v>113.616</v>
      </c>
      <c r="AQ71" s="208"/>
      <c r="AR71" s="208">
        <f>AR75*AR73</f>
        <v>115.08</v>
      </c>
      <c r="AS71" s="208"/>
      <c r="AT71" s="208">
        <f>AT75*AT73</f>
        <v>126.35999999999999</v>
      </c>
      <c r="AU71" s="208"/>
      <c r="AV71" s="208">
        <f>AV75*AV73</f>
        <v>127.68</v>
      </c>
      <c r="AW71" s="208"/>
      <c r="AX71" s="208">
        <f>AX75*AX73</f>
        <v>166.49682787579007</v>
      </c>
      <c r="AY71" s="208"/>
      <c r="AZ71" s="208">
        <f>AZ75*AZ73</f>
        <v>171.80357450645377</v>
      </c>
      <c r="BA71" s="208"/>
      <c r="BB71" s="208">
        <f>BB75*BB73</f>
        <v>176.73371443571747</v>
      </c>
      <c r="BC71" s="208"/>
      <c r="BD71" s="208">
        <f>BD75*BD73</f>
        <v>181.79593315521544</v>
      </c>
      <c r="BE71" s="208"/>
      <c r="BF71" s="208">
        <f>BF75*BF73</f>
        <v>187.00704655075887</v>
      </c>
      <c r="BG71" s="208"/>
      <c r="BH71" s="56"/>
      <c r="BI71" s="56"/>
      <c r="BJ71" s="56"/>
    </row>
    <row r="72" spans="1:62">
      <c r="A72" s="171" t="s">
        <v>135</v>
      </c>
      <c r="B72" s="3"/>
      <c r="C72" s="3"/>
      <c r="D72" s="175">
        <f>D73-D71</f>
        <v>0</v>
      </c>
      <c r="E72" s="176"/>
      <c r="F72" s="175">
        <f>F73-F71</f>
        <v>0</v>
      </c>
      <c r="G72" s="176"/>
      <c r="H72" s="175">
        <f>H73-H71</f>
        <v>21.826000000000001</v>
      </c>
      <c r="I72" s="176"/>
      <c r="J72" s="175">
        <f>J73-J71</f>
        <v>-78.894999999999996</v>
      </c>
      <c r="K72" s="176"/>
      <c r="L72" s="177">
        <f>L73-L71</f>
        <v>0</v>
      </c>
      <c r="M72" s="176"/>
      <c r="N72" s="200">
        <f>N73-N71</f>
        <v>26.298000000000002</v>
      </c>
      <c r="O72" s="199"/>
      <c r="P72" s="200">
        <f>P73-P71</f>
        <v>10.832000000000008</v>
      </c>
      <c r="Q72" s="199"/>
      <c r="R72" s="200">
        <f>R73-R71</f>
        <v>8.5819999999999936</v>
      </c>
      <c r="S72" s="199"/>
      <c r="T72" s="200">
        <f>T73-T71</f>
        <v>3.9110000000000085</v>
      </c>
      <c r="U72" s="199"/>
      <c r="V72" s="200">
        <f>V73-V71</f>
        <v>5.8090000000000046</v>
      </c>
      <c r="W72" s="198"/>
      <c r="X72" s="200">
        <f>X73-X71</f>
        <v>45.981999999999992</v>
      </c>
      <c r="Y72" s="198"/>
      <c r="Z72" s="209">
        <f>Z73-Z71</f>
        <v>60.302999999999983</v>
      </c>
      <c r="AA72" s="210"/>
      <c r="AB72" s="209">
        <f>AB73-AB71</f>
        <v>32.332799999999999</v>
      </c>
      <c r="AC72" s="210"/>
      <c r="AD72" s="209">
        <f>AD73-AD71</f>
        <v>40.281599999999997</v>
      </c>
      <c r="AE72" s="209"/>
      <c r="AF72" s="209">
        <f>AF73-AF71</f>
        <v>49.205600000000004</v>
      </c>
      <c r="AG72" s="209"/>
      <c r="AH72" s="209">
        <f>AH73-AH71</f>
        <v>50.697600000000008</v>
      </c>
      <c r="AI72" s="209"/>
      <c r="AJ72" s="209">
        <f>AJ73-AJ71</f>
        <v>50.042400000000001</v>
      </c>
      <c r="AK72" s="209"/>
      <c r="AL72" s="209">
        <f>AL73-AL71</f>
        <v>53.163600000000002</v>
      </c>
      <c r="AM72" s="209"/>
      <c r="AN72" s="209">
        <f>AN73-AN71</f>
        <v>65.194800000000001</v>
      </c>
      <c r="AO72" s="209"/>
      <c r="AP72" s="209">
        <f>AP73-AP71</f>
        <v>75.744000000000014</v>
      </c>
      <c r="AQ72" s="209"/>
      <c r="AR72" s="209">
        <f>AR73-AR71</f>
        <v>76.720000000000013</v>
      </c>
      <c r="AS72" s="209"/>
      <c r="AT72" s="209">
        <f>AT73-AT71</f>
        <v>84.240000000000009</v>
      </c>
      <c r="AU72" s="209"/>
      <c r="AV72" s="209">
        <f>AV73-AV71</f>
        <v>85.12</v>
      </c>
      <c r="AW72" s="209"/>
      <c r="AX72" s="209">
        <f>AX73-AX71</f>
        <v>110.99788525052674</v>
      </c>
      <c r="AY72" s="209"/>
      <c r="AZ72" s="209">
        <f>AZ73-AZ71</f>
        <v>114.53571633763588</v>
      </c>
      <c r="BA72" s="209"/>
      <c r="BB72" s="209">
        <f>BB73-BB71</f>
        <v>117.82247629047831</v>
      </c>
      <c r="BC72" s="209"/>
      <c r="BD72" s="209">
        <f>BD73-BD71</f>
        <v>121.19728877014364</v>
      </c>
      <c r="BE72" s="209"/>
      <c r="BF72" s="1910">
        <f>BF73-BF71</f>
        <v>124.67136436717257</v>
      </c>
      <c r="BG72" s="209"/>
      <c r="BH72" s="56"/>
      <c r="BI72" s="56"/>
      <c r="BJ72" s="56"/>
    </row>
    <row r="73" spans="1:62">
      <c r="A73" s="171" t="s">
        <v>136</v>
      </c>
      <c r="B73" s="3"/>
      <c r="C73" s="3"/>
      <c r="D73" s="151">
        <f>D9</f>
        <v>0</v>
      </c>
      <c r="E73" s="61"/>
      <c r="F73" s="151">
        <f>F9</f>
        <v>0</v>
      </c>
      <c r="G73" s="61"/>
      <c r="H73" s="151">
        <f>H9</f>
        <v>21.826000000000001</v>
      </c>
      <c r="I73" s="61"/>
      <c r="J73" s="151">
        <f>J9</f>
        <v>22.784000000000002</v>
      </c>
      <c r="K73" s="61"/>
      <c r="L73" s="176">
        <f>L75*L77</f>
        <v>0</v>
      </c>
      <c r="M73" s="61"/>
      <c r="N73" s="202">
        <f>N9</f>
        <v>22.628</v>
      </c>
      <c r="O73" s="203"/>
      <c r="P73" s="202">
        <f>P9</f>
        <v>24.131</v>
      </c>
      <c r="Q73" s="203"/>
      <c r="R73" s="202">
        <f>R9</f>
        <v>25.494</v>
      </c>
      <c r="S73" s="203"/>
      <c r="T73" s="202">
        <f>T9</f>
        <v>30.231000000000002</v>
      </c>
      <c r="U73" s="203"/>
      <c r="V73" s="202">
        <f>V9</f>
        <v>40.1</v>
      </c>
      <c r="W73" s="204"/>
      <c r="X73" s="202">
        <f>X9</f>
        <v>50.4</v>
      </c>
      <c r="Y73" s="201"/>
      <c r="Z73" s="202">
        <f>Z9</f>
        <v>65.114999999999995</v>
      </c>
      <c r="AA73" s="201"/>
      <c r="AB73" s="202">
        <f>AB9</f>
        <v>80.831999999999994</v>
      </c>
      <c r="AC73" s="201"/>
      <c r="AD73" s="202">
        <f>AD9</f>
        <v>100.70399999999999</v>
      </c>
      <c r="AE73" s="204"/>
      <c r="AF73" s="202">
        <f>AF9</f>
        <v>123.014</v>
      </c>
      <c r="AG73" s="204"/>
      <c r="AH73" s="202">
        <f>AH9</f>
        <v>126.744</v>
      </c>
      <c r="AI73" s="204"/>
      <c r="AJ73" s="202">
        <f>AJ9</f>
        <v>125.10599999999999</v>
      </c>
      <c r="AK73" s="204"/>
      <c r="AL73" s="202">
        <f>AL9</f>
        <v>132.90899999999999</v>
      </c>
      <c r="AM73" s="204"/>
      <c r="AN73" s="202">
        <f>AN9</f>
        <v>162.98699999999999</v>
      </c>
      <c r="AO73" s="204"/>
      <c r="AP73" s="202">
        <f>AP9</f>
        <v>189.36</v>
      </c>
      <c r="AQ73" s="204"/>
      <c r="AR73" s="202">
        <f>AR9</f>
        <v>191.8</v>
      </c>
      <c r="AS73" s="202"/>
      <c r="AT73" s="202">
        <f>AT9</f>
        <v>210.6</v>
      </c>
      <c r="AU73" s="202"/>
      <c r="AV73" s="202">
        <f>AV9</f>
        <v>212.8</v>
      </c>
      <c r="AW73" s="202"/>
      <c r="AX73" s="202">
        <f>AX9</f>
        <v>277.49471312631681</v>
      </c>
      <c r="AY73" s="202"/>
      <c r="AZ73" s="202">
        <f>AZ9</f>
        <v>286.33929084408965</v>
      </c>
      <c r="BA73" s="202"/>
      <c r="BB73" s="202">
        <f>BB9</f>
        <v>294.55619072619578</v>
      </c>
      <c r="BC73" s="202"/>
      <c r="BD73" s="202">
        <f>BD9</f>
        <v>302.99322192535908</v>
      </c>
      <c r="BE73" s="202"/>
      <c r="BF73" s="202">
        <f>BF9</f>
        <v>311.67841091793144</v>
      </c>
      <c r="BG73" s="202"/>
      <c r="BH73" s="56"/>
      <c r="BI73" s="56"/>
      <c r="BJ73" s="56"/>
    </row>
    <row r="74" spans="1:62">
      <c r="A74" s="3"/>
      <c r="B74" s="3"/>
      <c r="C74" s="3"/>
      <c r="D74" s="3"/>
      <c r="E74" s="3"/>
      <c r="F74" s="3"/>
      <c r="G74" s="3"/>
      <c r="H74" s="3"/>
      <c r="I74" s="3"/>
      <c r="J74" s="3"/>
      <c r="K74" s="3"/>
      <c r="L74" s="3"/>
      <c r="M74" s="3"/>
      <c r="N74" s="205"/>
      <c r="O74" s="205"/>
      <c r="P74" s="205"/>
      <c r="Q74" s="205"/>
      <c r="R74" s="205"/>
      <c r="S74" s="205"/>
      <c r="T74" s="205"/>
      <c r="U74" s="205"/>
      <c r="V74" s="205"/>
      <c r="W74" s="201"/>
      <c r="X74" s="205"/>
      <c r="Y74" s="201"/>
      <c r="Z74" s="205"/>
      <c r="AA74" s="201"/>
      <c r="AB74" s="205"/>
      <c r="AC74" s="201"/>
      <c r="AD74" s="205"/>
      <c r="AE74" s="205"/>
      <c r="AF74" s="205"/>
      <c r="AG74" s="205"/>
      <c r="AH74" s="205"/>
      <c r="AI74" s="205"/>
      <c r="AJ74" s="205"/>
      <c r="AK74" s="205"/>
      <c r="AL74" s="205"/>
      <c r="AM74" s="205"/>
      <c r="AN74" s="205"/>
      <c r="AO74" s="205"/>
      <c r="AP74" s="205"/>
      <c r="AQ74" s="205"/>
      <c r="AR74" s="205"/>
      <c r="AS74" s="205"/>
      <c r="AT74" s="205"/>
      <c r="AU74" s="205"/>
      <c r="AV74" s="205"/>
      <c r="AW74" s="205"/>
      <c r="AX74" s="205"/>
      <c r="AY74" s="205"/>
      <c r="AZ74" s="205"/>
      <c r="BA74" s="205"/>
      <c r="BB74" s="205"/>
      <c r="BC74" s="205"/>
      <c r="BD74" s="205"/>
      <c r="BE74" s="205"/>
      <c r="BF74" s="203"/>
      <c r="BG74" s="205"/>
      <c r="BH74" s="56"/>
      <c r="BI74" s="56"/>
      <c r="BJ74" s="56"/>
    </row>
    <row r="75" spans="1:62">
      <c r="A75" s="3" t="s">
        <v>148</v>
      </c>
      <c r="B75" s="3"/>
      <c r="C75" s="3"/>
      <c r="D75" s="89" t="str">
        <f>IFERROR((D71/D73),"NM")</f>
        <v>NM</v>
      </c>
      <c r="E75" s="61"/>
      <c r="F75" s="89" t="str">
        <f>IFERROR((F71/F73),"NM")</f>
        <v>NM</v>
      </c>
      <c r="G75" s="61"/>
      <c r="H75" s="89">
        <f>H71/H73</f>
        <v>0</v>
      </c>
      <c r="I75" s="61"/>
      <c r="J75" s="89">
        <f>J71/J73</f>
        <v>4.4627370084269655</v>
      </c>
      <c r="K75" s="61"/>
      <c r="L75" s="179"/>
      <c r="M75" s="61"/>
      <c r="N75" s="206">
        <f>N71/N73</f>
        <v>-0.16218843910199759</v>
      </c>
      <c r="O75" s="203"/>
      <c r="P75" s="206">
        <f>P71/P73</f>
        <v>0.55111682068708268</v>
      </c>
      <c r="Q75" s="203"/>
      <c r="R75" s="206">
        <f>R71/R73</f>
        <v>0.66337177375068668</v>
      </c>
      <c r="S75" s="203"/>
      <c r="T75" s="206">
        <f>T71/T73</f>
        <v>0.87062948628890846</v>
      </c>
      <c r="U75" s="203"/>
      <c r="V75" s="206">
        <f>V71/V73</f>
        <v>0.85513715710723182</v>
      </c>
      <c r="W75" s="201"/>
      <c r="X75" s="206">
        <f>X71/X73</f>
        <v>8.7658730158730283E-2</v>
      </c>
      <c r="Y75" s="201"/>
      <c r="Z75" s="211">
        <f>Z71/Z73</f>
        <v>7.3900023036166967E-2</v>
      </c>
      <c r="AA75" s="212"/>
      <c r="AB75" s="213">
        <v>0.6</v>
      </c>
      <c r="AC75" s="214"/>
      <c r="AD75" s="213">
        <f>AB75</f>
        <v>0.6</v>
      </c>
      <c r="AE75" s="213"/>
      <c r="AF75" s="213">
        <f>AD75</f>
        <v>0.6</v>
      </c>
      <c r="AG75" s="213"/>
      <c r="AH75" s="213">
        <f>AF75</f>
        <v>0.6</v>
      </c>
      <c r="AI75" s="213"/>
      <c r="AJ75" s="213">
        <f>AH75</f>
        <v>0.6</v>
      </c>
      <c r="AK75" s="213"/>
      <c r="AL75" s="213">
        <f>AJ75</f>
        <v>0.6</v>
      </c>
      <c r="AM75" s="213"/>
      <c r="AN75" s="213">
        <f>AL75</f>
        <v>0.6</v>
      </c>
      <c r="AO75" s="213"/>
      <c r="AP75" s="213">
        <f>AN75</f>
        <v>0.6</v>
      </c>
      <c r="AQ75" s="213"/>
      <c r="AR75" s="213">
        <f>AP75</f>
        <v>0.6</v>
      </c>
      <c r="AS75" s="213"/>
      <c r="AT75" s="213">
        <f>AR75</f>
        <v>0.6</v>
      </c>
      <c r="AU75" s="213"/>
      <c r="AV75" s="213">
        <f>AT75</f>
        <v>0.6</v>
      </c>
      <c r="AW75" s="213"/>
      <c r="AX75" s="213">
        <f>AV75</f>
        <v>0.6</v>
      </c>
      <c r="AY75" s="213"/>
      <c r="AZ75" s="213">
        <f>AX75</f>
        <v>0.6</v>
      </c>
      <c r="BA75" s="213"/>
      <c r="BB75" s="213">
        <f>AZ75</f>
        <v>0.6</v>
      </c>
      <c r="BC75" s="213"/>
      <c r="BD75" s="213">
        <f>BB75</f>
        <v>0.6</v>
      </c>
      <c r="BE75" s="213"/>
      <c r="BF75" s="1911">
        <f>BD75</f>
        <v>0.6</v>
      </c>
      <c r="BG75" s="213"/>
      <c r="BH75" s="56"/>
      <c r="BI75" s="56"/>
      <c r="BJ75" s="56"/>
    </row>
    <row r="76" spans="1:62">
      <c r="A76" s="3"/>
      <c r="B76" s="3"/>
      <c r="C76" s="3"/>
      <c r="D76" s="3"/>
      <c r="E76" s="3"/>
      <c r="F76" s="3"/>
      <c r="G76" s="61"/>
      <c r="H76" s="3"/>
      <c r="I76" s="3"/>
      <c r="J76" s="3"/>
      <c r="K76" s="61"/>
      <c r="L76" s="61"/>
      <c r="M76" s="61"/>
      <c r="N76" s="3"/>
      <c r="O76" s="3"/>
      <c r="P76" s="3"/>
      <c r="Q76" s="61"/>
      <c r="R76" s="61"/>
      <c r="S76" s="61"/>
      <c r="T76" s="61"/>
      <c r="U76" s="3"/>
      <c r="V76" s="3"/>
      <c r="W76" s="178"/>
      <c r="X76" s="3"/>
      <c r="Y76" s="178"/>
      <c r="Z76" s="3"/>
      <c r="AA76" s="178"/>
      <c r="AB76" s="3"/>
      <c r="AC76" s="178"/>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61"/>
      <c r="BG76" s="3"/>
      <c r="BH76" s="56"/>
      <c r="BI76" s="56"/>
      <c r="BJ76" s="56"/>
    </row>
    <row r="77" spans="1:62">
      <c r="A77" s="171" t="s">
        <v>137</v>
      </c>
      <c r="B77" s="171"/>
      <c r="C77" s="171"/>
      <c r="D77" s="180">
        <f>D79*0.9</f>
        <v>0</v>
      </c>
      <c r="E77" s="181"/>
      <c r="F77" s="180">
        <f>F79*0.9</f>
        <v>0</v>
      </c>
      <c r="G77" s="181"/>
      <c r="H77" s="180">
        <f>H79*0.9</f>
        <v>26.398800000000001</v>
      </c>
      <c r="I77" s="181"/>
      <c r="J77" s="180">
        <f>J79*0.9</f>
        <v>12.904200000000001</v>
      </c>
      <c r="K77" s="181"/>
      <c r="L77" s="180">
        <f>L79*0.9</f>
        <v>9.7857000000000021</v>
      </c>
      <c r="M77" s="181"/>
      <c r="N77" s="180">
        <f>N79*0.9</f>
        <v>-23.454000000000001</v>
      </c>
      <c r="O77" s="181"/>
      <c r="P77" s="180">
        <f>P79*0.9</f>
        <v>-28.6812</v>
      </c>
      <c r="Q77" s="181"/>
      <c r="R77" s="180">
        <f>R79*0.9</f>
        <v>-38.4876</v>
      </c>
      <c r="S77" s="181"/>
      <c r="T77" s="180">
        <f>T79*0.9</f>
        <v>-51.400800000000004</v>
      </c>
      <c r="U77" s="181"/>
      <c r="V77" s="180">
        <f>V79*0.9</f>
        <v>-66.29310000000001</v>
      </c>
      <c r="W77" s="181"/>
      <c r="X77" s="180">
        <f>X79*0.9</f>
        <v>-85.132800000000003</v>
      </c>
      <c r="Y77" s="181"/>
      <c r="Z77" s="180">
        <f>Z79*0.9</f>
        <v>-120.48840000000001</v>
      </c>
      <c r="AA77" s="181"/>
      <c r="AB77" s="180">
        <f>AB79*0.9</f>
        <v>-126.53999999999999</v>
      </c>
      <c r="AC77" s="181"/>
      <c r="AD77" s="180">
        <f>AD79*0.9</f>
        <v>-157.24799999999999</v>
      </c>
      <c r="AE77" s="180"/>
      <c r="AF77" s="180">
        <f>AF79*0.9</f>
        <v>-216.29610000000002</v>
      </c>
      <c r="AG77" s="180"/>
      <c r="AH77" s="180">
        <f>AH79*0.9</f>
        <v>-73.004400000000004</v>
      </c>
      <c r="AI77" s="180"/>
      <c r="AJ77" s="180">
        <f>AJ79*0.9</f>
        <v>-132.96960000000001</v>
      </c>
      <c r="AK77" s="180"/>
      <c r="AL77" s="180">
        <f>AL79*0.9</f>
        <v>-165.87809999999999</v>
      </c>
      <c r="AM77" s="180"/>
      <c r="AN77" s="180">
        <f>AN79*0.9</f>
        <v>-217.21770000000001</v>
      </c>
      <c r="AO77" s="180"/>
      <c r="AP77" s="180">
        <f>AP79*0.9</f>
        <v>-197.6283</v>
      </c>
      <c r="AQ77" s="180"/>
      <c r="AR77" s="180">
        <f>AR79*0.9</f>
        <v>-179.37</v>
      </c>
      <c r="AS77" s="180"/>
      <c r="AT77" s="180">
        <f>AT79*0.9</f>
        <v>-356.76</v>
      </c>
      <c r="AU77" s="180"/>
      <c r="AV77" s="180">
        <f>AV79*0.9</f>
        <v>-254.79000000000002</v>
      </c>
      <c r="AW77" s="180"/>
      <c r="AX77" s="180">
        <f>AX79*0.9</f>
        <v>-292.5</v>
      </c>
      <c r="AY77" s="180"/>
      <c r="AZ77" s="180">
        <f>AZ79*0.9</f>
        <v>-292.5</v>
      </c>
      <c r="BA77" s="180"/>
      <c r="BB77" s="180">
        <f>BB79*0.9</f>
        <v>-292.5</v>
      </c>
      <c r="BC77" s="180"/>
      <c r="BD77" s="180">
        <f>BD79*0.9</f>
        <v>-292.5</v>
      </c>
      <c r="BE77" s="180"/>
      <c r="BF77" s="197">
        <f>BF79*0.9</f>
        <v>-292.5</v>
      </c>
      <c r="BG77" s="180"/>
      <c r="BH77" s="56"/>
      <c r="BI77" s="56"/>
      <c r="BJ77" s="56"/>
    </row>
    <row r="78" spans="1:62">
      <c r="A78" s="171" t="s">
        <v>138</v>
      </c>
      <c r="B78" s="171"/>
      <c r="C78" s="171"/>
      <c r="D78" s="182">
        <f>D79-D77</f>
        <v>0</v>
      </c>
      <c r="E78" s="183"/>
      <c r="F78" s="182">
        <f>F79-F77</f>
        <v>0</v>
      </c>
      <c r="G78" s="183"/>
      <c r="H78" s="182">
        <f>H79-H77</f>
        <v>2.9331999999999994</v>
      </c>
      <c r="I78" s="183"/>
      <c r="J78" s="182">
        <f>J79-J77</f>
        <v>1.4337999999999997</v>
      </c>
      <c r="K78" s="183"/>
      <c r="L78" s="182">
        <f>L79-L77</f>
        <v>1.087299999999999</v>
      </c>
      <c r="M78" s="183"/>
      <c r="N78" s="182">
        <f>N79-N77</f>
        <v>-2.6059999999999981</v>
      </c>
      <c r="O78" s="183"/>
      <c r="P78" s="182">
        <f>P79-P77</f>
        <v>-3.1867999999999981</v>
      </c>
      <c r="Q78" s="183"/>
      <c r="R78" s="182">
        <f>R79-R77</f>
        <v>-4.2764000000000024</v>
      </c>
      <c r="S78" s="183"/>
      <c r="T78" s="182">
        <f>T79-T77</f>
        <v>-5.7111999999999981</v>
      </c>
      <c r="U78" s="183"/>
      <c r="V78" s="182">
        <f>V79-V77</f>
        <v>-7.3658999999999963</v>
      </c>
      <c r="W78" s="183"/>
      <c r="X78" s="182">
        <f>X79-X77</f>
        <v>-9.4591999999999956</v>
      </c>
      <c r="Y78" s="183"/>
      <c r="Z78" s="182">
        <f>Z79-Z77</f>
        <v>-13.387599999999992</v>
      </c>
      <c r="AA78" s="183"/>
      <c r="AB78" s="182">
        <f>AB79-AB77</f>
        <v>-14.060000000000002</v>
      </c>
      <c r="AC78" s="183"/>
      <c r="AD78" s="182">
        <f>AD79-AD77</f>
        <v>-17.472000000000008</v>
      </c>
      <c r="AE78" s="182"/>
      <c r="AF78" s="182">
        <f>AF79-AF77</f>
        <v>-24.032899999999984</v>
      </c>
      <c r="AG78" s="182"/>
      <c r="AH78" s="182">
        <f>AH79-AH77</f>
        <v>-8.1115999999999957</v>
      </c>
      <c r="AI78" s="182"/>
      <c r="AJ78" s="182">
        <f>AJ79-AJ77</f>
        <v>-14.774399999999986</v>
      </c>
      <c r="AK78" s="182"/>
      <c r="AL78" s="182">
        <f>AL79-AL77</f>
        <v>-18.430900000000008</v>
      </c>
      <c r="AM78" s="182"/>
      <c r="AN78" s="182">
        <f>AN79-AN77</f>
        <v>-24.135300000000001</v>
      </c>
      <c r="AO78" s="182"/>
      <c r="AP78" s="182">
        <f>AP79-AP77</f>
        <v>-21.958699999999993</v>
      </c>
      <c r="AQ78" s="182"/>
      <c r="AR78" s="182">
        <f>AR79-AR77</f>
        <v>-19.930000000000007</v>
      </c>
      <c r="AS78" s="182"/>
      <c r="AT78" s="182">
        <f>AT79-AT77</f>
        <v>-39.639999999999986</v>
      </c>
      <c r="AU78" s="182"/>
      <c r="AV78" s="182">
        <f>AV79-AV77</f>
        <v>-28.310000000000002</v>
      </c>
      <c r="AW78" s="182"/>
      <c r="AX78" s="182">
        <f>AX79-AX77</f>
        <v>-32.5</v>
      </c>
      <c r="AY78" s="182"/>
      <c r="AZ78" s="182">
        <f>AZ79-AZ77</f>
        <v>-32.5</v>
      </c>
      <c r="BA78" s="182"/>
      <c r="BB78" s="182">
        <f>BB79-BB77</f>
        <v>-32.5</v>
      </c>
      <c r="BC78" s="182"/>
      <c r="BD78" s="182">
        <f>BD79-BD77</f>
        <v>-32.5</v>
      </c>
      <c r="BE78" s="182"/>
      <c r="BF78" s="1912">
        <f>BF79-BF77</f>
        <v>-32.5</v>
      </c>
      <c r="BG78" s="182"/>
      <c r="BH78" s="56"/>
      <c r="BI78" s="56"/>
      <c r="BJ78" s="56"/>
    </row>
    <row r="79" spans="1:62">
      <c r="A79" s="171" t="s">
        <v>139</v>
      </c>
      <c r="B79" s="171"/>
      <c r="C79" s="171"/>
      <c r="D79" s="180">
        <f>D19</f>
        <v>0</v>
      </c>
      <c r="E79" s="181"/>
      <c r="F79" s="180">
        <f>F19</f>
        <v>0</v>
      </c>
      <c r="G79" s="181"/>
      <c r="H79" s="180">
        <f>H19</f>
        <v>29.332000000000001</v>
      </c>
      <c r="I79" s="181"/>
      <c r="J79" s="180">
        <f>J19</f>
        <v>14.338000000000001</v>
      </c>
      <c r="K79" s="181"/>
      <c r="L79" s="180">
        <f>L19</f>
        <v>10.873000000000001</v>
      </c>
      <c r="M79" s="181"/>
      <c r="N79" s="180">
        <f>-N19</f>
        <v>-26.06</v>
      </c>
      <c r="O79" s="181"/>
      <c r="P79" s="180">
        <f>-P19</f>
        <v>-31.867999999999999</v>
      </c>
      <c r="Q79" s="181"/>
      <c r="R79" s="180">
        <f>-R19</f>
        <v>-42.764000000000003</v>
      </c>
      <c r="S79" s="181"/>
      <c r="T79" s="180">
        <f>-T19</f>
        <v>-57.112000000000002</v>
      </c>
      <c r="U79" s="181"/>
      <c r="V79" s="180">
        <f>-V19</f>
        <v>-73.659000000000006</v>
      </c>
      <c r="W79" s="181"/>
      <c r="X79" s="180">
        <f>-X19</f>
        <v>-94.591999999999999</v>
      </c>
      <c r="Y79" s="181"/>
      <c r="Z79" s="180">
        <f>-Z19</f>
        <v>-133.876</v>
      </c>
      <c r="AA79" s="181"/>
      <c r="AB79" s="180">
        <f>-AB19</f>
        <v>-140.6</v>
      </c>
      <c r="AC79" s="181"/>
      <c r="AD79" s="180">
        <f>-AD19</f>
        <v>-174.72</v>
      </c>
      <c r="AE79" s="180"/>
      <c r="AF79" s="180">
        <f>-AF19</f>
        <v>-240.32900000000001</v>
      </c>
      <c r="AG79" s="180"/>
      <c r="AH79" s="180">
        <f>-AH19</f>
        <v>-81.116</v>
      </c>
      <c r="AI79" s="180"/>
      <c r="AJ79" s="180">
        <f>-AJ19</f>
        <v>-147.744</v>
      </c>
      <c r="AK79" s="180"/>
      <c r="AL79" s="180">
        <f>-AL19</f>
        <v>-184.309</v>
      </c>
      <c r="AM79" s="180"/>
      <c r="AN79" s="180">
        <f>-AN19</f>
        <v>-241.35300000000001</v>
      </c>
      <c r="AO79" s="180"/>
      <c r="AP79" s="180">
        <f>-AP19</f>
        <v>-219.58699999999999</v>
      </c>
      <c r="AQ79" s="180"/>
      <c r="AR79" s="180">
        <f>-AR19</f>
        <v>-199.3</v>
      </c>
      <c r="AS79" s="180"/>
      <c r="AT79" s="180">
        <f>-AT19</f>
        <v>-396.4</v>
      </c>
      <c r="AU79" s="180"/>
      <c r="AV79" s="180">
        <f>-AV19</f>
        <v>-283.10000000000002</v>
      </c>
      <c r="AW79" s="180"/>
      <c r="AX79" s="180">
        <f>-AX19</f>
        <v>-325</v>
      </c>
      <c r="AY79" s="180"/>
      <c r="AZ79" s="180">
        <f>-AZ19</f>
        <v>-325</v>
      </c>
      <c r="BA79" s="180"/>
      <c r="BB79" s="180">
        <f>-BB19</f>
        <v>-325</v>
      </c>
      <c r="BC79" s="180"/>
      <c r="BD79" s="180">
        <f>-BD19</f>
        <v>-325</v>
      </c>
      <c r="BE79" s="180"/>
      <c r="BF79" s="197">
        <f>-BF19</f>
        <v>-325</v>
      </c>
      <c r="BG79" s="180"/>
      <c r="BH79" s="56"/>
      <c r="BI79" s="56"/>
      <c r="BJ79" s="56"/>
    </row>
    <row r="80" spans="1:62">
      <c r="A80" s="3"/>
      <c r="B80" s="3"/>
      <c r="C80" s="3"/>
      <c r="D80" s="56"/>
      <c r="E80" s="3"/>
      <c r="F80" s="56"/>
      <c r="G80" s="3"/>
      <c r="H80" s="56"/>
      <c r="I80" s="3"/>
      <c r="J80" s="56"/>
      <c r="K80" s="3"/>
      <c r="L80" s="56"/>
      <c r="M80" s="3"/>
      <c r="N80" s="56"/>
      <c r="O80" s="3"/>
      <c r="P80" s="56"/>
      <c r="Q80" s="3"/>
      <c r="R80" s="56"/>
      <c r="S80" s="3"/>
      <c r="T80" s="56"/>
      <c r="U80" s="3"/>
      <c r="V80" s="56"/>
      <c r="W80" s="3"/>
      <c r="X80" s="56"/>
      <c r="Y80" s="3"/>
      <c r="Z80" s="56"/>
      <c r="AA80" s="3"/>
      <c r="AB80" s="56"/>
      <c r="AC80" s="3"/>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154"/>
      <c r="BG80" s="56"/>
      <c r="BH80" s="56"/>
      <c r="BI80" s="56"/>
      <c r="BJ80" s="56"/>
    </row>
    <row r="81" spans="1:62">
      <c r="A81" s="3"/>
      <c r="B81" s="3"/>
      <c r="C81" s="3"/>
      <c r="D81" s="56"/>
      <c r="E81" s="3"/>
      <c r="F81" s="56"/>
      <c r="G81" s="3"/>
      <c r="H81" s="56"/>
      <c r="I81" s="3"/>
      <c r="J81" s="56"/>
      <c r="K81" s="3"/>
      <c r="L81" s="56"/>
      <c r="M81" s="3"/>
      <c r="N81" s="56"/>
      <c r="O81" s="3"/>
      <c r="P81" s="56"/>
      <c r="Q81" s="3"/>
      <c r="R81" s="56"/>
      <c r="S81" s="3"/>
      <c r="T81" s="56"/>
      <c r="U81" s="3"/>
      <c r="V81" s="56"/>
      <c r="W81" s="3"/>
      <c r="X81" s="56"/>
      <c r="Y81" s="3"/>
      <c r="Z81" s="56"/>
      <c r="AA81" s="3"/>
      <c r="AB81" s="56"/>
      <c r="AC81" s="3"/>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154"/>
      <c r="BG81" s="56"/>
      <c r="BH81" s="56"/>
      <c r="BI81" s="56"/>
      <c r="BJ81" s="56"/>
    </row>
    <row r="82" spans="1:62">
      <c r="A82" s="171" t="s">
        <v>138</v>
      </c>
      <c r="B82" s="3"/>
      <c r="C82" s="3"/>
      <c r="D82" s="56"/>
      <c r="E82" s="3"/>
      <c r="F82" s="56"/>
      <c r="G82" s="3"/>
      <c r="H82" s="56"/>
      <c r="I82" s="3"/>
      <c r="J82" s="56"/>
      <c r="K82" s="3"/>
      <c r="L82" s="56"/>
      <c r="M82" s="3"/>
      <c r="N82" s="56"/>
      <c r="O82" s="3"/>
      <c r="P82" s="56"/>
      <c r="Q82" s="3"/>
      <c r="R82" s="56"/>
      <c r="S82" s="3"/>
      <c r="T82" s="56"/>
      <c r="U82" s="3"/>
      <c r="V82" s="56"/>
      <c r="W82" s="3"/>
      <c r="X82" s="56"/>
      <c r="Y82" s="3"/>
      <c r="Z82" s="56"/>
      <c r="AA82" s="3"/>
      <c r="AB82" s="56"/>
      <c r="AC82" s="3"/>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154"/>
      <c r="BG82" s="56"/>
      <c r="BH82" s="56"/>
      <c r="BI82" s="56"/>
      <c r="BJ82" s="56"/>
    </row>
    <row r="83" spans="1:62">
      <c r="A83" s="3"/>
      <c r="B83" s="3"/>
      <c r="C83" s="3"/>
      <c r="D83" s="56"/>
      <c r="E83" s="3"/>
      <c r="F83" s="56"/>
      <c r="G83" s="3"/>
      <c r="H83" s="56"/>
      <c r="I83" s="3"/>
      <c r="J83" s="56"/>
      <c r="K83" s="3"/>
      <c r="L83" s="56"/>
      <c r="M83" s="3"/>
      <c r="N83" s="56"/>
      <c r="O83" s="3"/>
      <c r="P83" s="56"/>
      <c r="Q83" s="3"/>
      <c r="R83" s="56"/>
      <c r="S83" s="3"/>
      <c r="T83" s="56"/>
      <c r="U83" s="3"/>
      <c r="V83" s="56"/>
      <c r="W83" s="3"/>
      <c r="X83" s="56"/>
      <c r="Y83" s="3"/>
      <c r="Z83" s="56"/>
      <c r="AA83" s="3"/>
      <c r="AB83" s="56"/>
      <c r="AC83" s="3"/>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154"/>
      <c r="BG83" s="56"/>
      <c r="BH83" s="56"/>
      <c r="BI83" s="56"/>
      <c r="BJ83" s="56"/>
    </row>
    <row r="84" spans="1:62">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61"/>
      <c r="BG84" s="3"/>
      <c r="BH84" s="56"/>
      <c r="BI84" s="56"/>
      <c r="BJ84" s="56"/>
    </row>
    <row r="85" spans="1:6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61"/>
      <c r="BG85" s="3"/>
      <c r="BH85" s="56"/>
      <c r="BI85" s="56"/>
      <c r="BJ85" s="56"/>
    </row>
    <row r="86" spans="1:62">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61"/>
      <c r="BG86" s="3"/>
      <c r="BH86" s="56"/>
      <c r="BI86" s="56"/>
      <c r="BJ86" s="56"/>
    </row>
    <row r="87" spans="1:62">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61"/>
      <c r="BG87" s="3"/>
      <c r="BH87" s="56"/>
      <c r="BI87" s="56"/>
      <c r="BJ87" s="56"/>
    </row>
    <row r="88" spans="1:62">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61"/>
      <c r="BG88" s="3"/>
      <c r="BH88" s="56"/>
      <c r="BI88" s="56"/>
      <c r="BJ88" s="56"/>
    </row>
    <row r="89" spans="1:62">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61"/>
      <c r="BG89" s="3"/>
      <c r="BH89" s="56"/>
      <c r="BI89" s="56"/>
      <c r="BJ89" s="56"/>
    </row>
    <row r="90" spans="1:62">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61"/>
      <c r="BG90" s="3"/>
      <c r="BH90" s="56"/>
      <c r="BI90" s="56"/>
      <c r="BJ90" s="56"/>
    </row>
    <row r="91" spans="1:62">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61"/>
      <c r="BG91" s="3"/>
      <c r="BH91" s="56"/>
      <c r="BI91" s="56"/>
      <c r="BJ91" s="56"/>
    </row>
    <row r="92" spans="1:62">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61"/>
      <c r="BG92" s="3"/>
      <c r="BH92" s="56"/>
      <c r="BI92" s="56"/>
      <c r="BJ92" s="56"/>
    </row>
    <row r="93" spans="1:62">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61"/>
      <c r="BG93" s="3"/>
      <c r="BH93" s="56"/>
      <c r="BI93" s="56"/>
      <c r="BJ93" s="56"/>
    </row>
    <row r="94" spans="1:62">
      <c r="BF94"/>
    </row>
  </sheetData>
  <phoneticPr fontId="0" type="noConversion"/>
  <printOptions horizontalCentered="1"/>
  <pageMargins left="0" right="0" top="0" bottom="0" header="0" footer="0"/>
  <pageSetup paperSize="5" scale="61" orientation="landscape" r:id="rId1"/>
  <headerFooter alignWithMargins="0">
    <oddFooter>&amp;R&amp;8&amp;D
&amp;F/&amp;A</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BI138"/>
  <sheetViews>
    <sheetView view="pageBreakPreview" zoomScale="85" zoomScaleNormal="75" zoomScaleSheetLayoutView="85" workbookViewId="0">
      <pane xSplit="14" ySplit="5" topLeftCell="AJ6" activePane="bottomRight" state="frozen"/>
      <selection activeCell="BB39" sqref="BB39:BC39"/>
      <selection pane="topRight" activeCell="BB39" sqref="BB39:BC39"/>
      <selection pane="bottomLeft" activeCell="BB39" sqref="BB39:BC39"/>
      <selection pane="bottomRight" activeCell="BD18" sqref="BD18"/>
    </sheetView>
  </sheetViews>
  <sheetFormatPr defaultRowHeight="12.75" outlineLevelRow="2" outlineLevelCol="1"/>
  <cols>
    <col min="1" max="1" width="2.5703125" customWidth="1"/>
    <col min="2" max="2" width="3.140625" customWidth="1"/>
    <col min="3" max="3" width="32.140625" customWidth="1"/>
    <col min="4" max="4" width="9.140625" hidden="1" customWidth="1" outlineLevel="1"/>
    <col min="5" max="5" width="1.42578125" hidden="1" customWidth="1" outlineLevel="1"/>
    <col min="6" max="6" width="9.140625" hidden="1" customWidth="1" outlineLevel="1"/>
    <col min="7" max="7" width="1.5703125" hidden="1" customWidth="1" outlineLevel="1"/>
    <col min="8" max="8" width="9.140625" hidden="1" customWidth="1" outlineLevel="1"/>
    <col min="9" max="9" width="1.42578125" hidden="1" customWidth="1" outlineLevel="1"/>
    <col min="10" max="10" width="9.140625" hidden="1" customWidth="1" outlineLevel="1"/>
    <col min="11" max="11" width="1.5703125" hidden="1" customWidth="1" outlineLevel="1"/>
    <col min="12" max="12" width="9.140625" hidden="1" customWidth="1" outlineLevel="1"/>
    <col min="13" max="13" width="1.85546875" hidden="1" customWidth="1" outlineLevel="1" collapsed="1"/>
    <col min="14" max="14" width="7.85546875" hidden="1" customWidth="1" outlineLevel="1"/>
    <col min="15" max="15" width="1.42578125" hidden="1" customWidth="1" outlineLevel="1"/>
    <col min="16" max="16" width="7.85546875" hidden="1" customWidth="1" outlineLevel="1"/>
    <col min="17" max="17" width="1.5703125" hidden="1" customWidth="1" outlineLevel="1"/>
    <col min="18" max="18" width="7.85546875" hidden="1" customWidth="1" outlineLevel="1"/>
    <col min="19" max="19" width="1.42578125" hidden="1" customWidth="1" outlineLevel="1"/>
    <col min="20" max="20" width="7.85546875" hidden="1" customWidth="1" outlineLevel="1"/>
    <col min="21" max="21" width="1.7109375" hidden="1" customWidth="1" outlineLevel="1"/>
    <col min="22" max="22" width="7.85546875" hidden="1" customWidth="1" outlineLevel="1"/>
    <col min="23" max="23" width="1.5703125" hidden="1" customWidth="1" outlineLevel="1"/>
    <col min="24" max="24" width="7.85546875" hidden="1" customWidth="1" outlineLevel="1"/>
    <col min="25" max="25" width="1.28515625" hidden="1" customWidth="1" outlineLevel="1"/>
    <col min="26" max="26" width="7.85546875" hidden="1" customWidth="1" outlineLevel="1"/>
    <col min="27" max="27" width="1.42578125" hidden="1" customWidth="1" outlineLevel="1"/>
    <col min="28" max="28" width="7.85546875" hidden="1" customWidth="1" outlineLevel="1"/>
    <col min="29" max="29" width="1.42578125" hidden="1" customWidth="1" outlineLevel="1"/>
    <col min="30" max="30" width="9.42578125" hidden="1" customWidth="1" outlineLevel="1"/>
    <col min="31" max="31" width="1.7109375" hidden="1" customWidth="1" outlineLevel="1"/>
    <col min="32" max="32" width="8.7109375" hidden="1" customWidth="1" outlineLevel="1"/>
    <col min="33" max="33" width="1.7109375" hidden="1" customWidth="1" outlineLevel="1"/>
    <col min="34" max="34" width="7.85546875" hidden="1" customWidth="1" outlineLevel="1"/>
    <col min="35" max="35" width="1.7109375" hidden="1" customWidth="1" outlineLevel="1"/>
    <col min="36" max="36" width="7.85546875" customWidth="1" collapsed="1"/>
    <col min="37" max="37" width="1.7109375" customWidth="1"/>
    <col min="38" max="38" width="7.85546875" customWidth="1"/>
    <col min="39" max="39" width="1.7109375" customWidth="1"/>
    <col min="40" max="40" width="9.5703125" bestFit="1" customWidth="1"/>
    <col min="41" max="41" width="1.7109375" customWidth="1"/>
    <col min="42" max="42" width="9.5703125" bestFit="1" customWidth="1"/>
    <col min="43" max="43" width="1.7109375" customWidth="1"/>
    <col min="44" max="44" width="8.5703125" customWidth="1"/>
    <col min="45" max="45" width="1.7109375" customWidth="1"/>
    <col min="46" max="46" width="8.42578125" customWidth="1"/>
    <col min="47" max="47" width="1.7109375" customWidth="1"/>
    <col min="48" max="48" width="8.5703125" bestFit="1" customWidth="1"/>
    <col min="49" max="49" width="1.7109375" customWidth="1"/>
    <col min="50" max="50" width="8.5703125" bestFit="1" customWidth="1"/>
    <col min="51" max="51" width="1.7109375" customWidth="1"/>
    <col min="52" max="52" width="8.5703125" bestFit="1" customWidth="1"/>
    <col min="53" max="53" width="1.7109375" customWidth="1"/>
    <col min="54" max="54" width="8.5703125" bestFit="1" customWidth="1"/>
    <col min="55" max="55" width="1.7109375" customWidth="1"/>
    <col min="56" max="56" width="8.5703125" bestFit="1" customWidth="1"/>
    <col min="57" max="57" width="1.28515625" customWidth="1"/>
    <col min="58" max="58" width="8.5703125" style="535" bestFit="1" customWidth="1"/>
    <col min="59" max="59" width="1.28515625" customWidth="1"/>
    <col min="60" max="60" width="8.5703125" customWidth="1"/>
    <col min="62" max="62" width="34.28515625" customWidth="1"/>
    <col min="63" max="63" width="9.42578125" bestFit="1" customWidth="1"/>
    <col min="65" max="65" width="9.28515625" bestFit="1" customWidth="1"/>
  </cols>
  <sheetData>
    <row r="1" spans="1:61">
      <c r="A1" s="223" t="s">
        <v>342</v>
      </c>
      <c r="B1" s="224"/>
      <c r="C1" s="224"/>
      <c r="D1" s="227"/>
      <c r="E1" s="224"/>
      <c r="F1" s="227"/>
      <c r="G1" s="224"/>
      <c r="H1" s="227"/>
      <c r="I1" s="224"/>
      <c r="J1" s="227"/>
      <c r="K1" s="224"/>
      <c r="L1" s="227"/>
      <c r="M1" s="224"/>
      <c r="N1" s="227"/>
      <c r="O1" s="224"/>
      <c r="P1" s="227"/>
      <c r="Q1" s="224"/>
      <c r="R1" s="227"/>
      <c r="S1" s="224"/>
      <c r="T1" s="227"/>
      <c r="U1" s="224"/>
      <c r="V1" s="227"/>
      <c r="W1" s="224"/>
      <c r="X1" s="227"/>
      <c r="Y1" s="224"/>
      <c r="Z1" s="227"/>
      <c r="AA1" s="224"/>
      <c r="AB1" s="227"/>
      <c r="AC1" s="224"/>
      <c r="AD1" s="227"/>
      <c r="AE1" s="224"/>
      <c r="AF1" s="227"/>
      <c r="AG1" s="224"/>
      <c r="AH1" s="227"/>
      <c r="AI1" s="224"/>
      <c r="AJ1" s="227"/>
      <c r="AK1" s="224"/>
      <c r="AL1" s="227"/>
      <c r="AM1" s="224"/>
      <c r="AN1" s="227"/>
      <c r="AO1" s="224"/>
      <c r="AP1" s="227"/>
      <c r="AQ1" s="224"/>
      <c r="AR1" s="227"/>
      <c r="AS1" s="227"/>
      <c r="AT1" s="227"/>
      <c r="AU1" s="227"/>
      <c r="AV1" s="227"/>
      <c r="AW1" s="227"/>
      <c r="AX1" s="227"/>
      <c r="AY1" s="227"/>
      <c r="AZ1" s="227"/>
      <c r="BA1" s="227"/>
      <c r="BB1" s="227"/>
      <c r="BC1" s="227"/>
      <c r="BD1" s="227"/>
      <c r="BE1" s="227"/>
      <c r="BF1" s="1913"/>
      <c r="BG1" s="227"/>
      <c r="BH1" s="227"/>
      <c r="BI1" s="224"/>
    </row>
    <row r="2" spans="1:61">
      <c r="A2" s="225" t="s">
        <v>467</v>
      </c>
      <c r="B2" s="225"/>
      <c r="C2" s="225"/>
      <c r="D2" s="228"/>
      <c r="E2" s="225"/>
      <c r="F2" s="228"/>
      <c r="G2" s="225"/>
      <c r="H2" s="228"/>
      <c r="I2" s="225"/>
      <c r="J2" s="228"/>
      <c r="K2" s="225"/>
      <c r="L2" s="228"/>
      <c r="M2" s="225"/>
      <c r="N2" s="228"/>
      <c r="O2" s="225"/>
      <c r="P2" s="228"/>
      <c r="Q2" s="225"/>
      <c r="R2" s="228"/>
      <c r="S2" s="225"/>
      <c r="T2" s="228"/>
      <c r="U2" s="225"/>
      <c r="V2" s="228"/>
      <c r="W2" s="225"/>
      <c r="X2" s="228"/>
      <c r="Y2" s="225"/>
      <c r="Z2" s="228"/>
      <c r="AA2" s="225"/>
      <c r="AB2" s="228"/>
      <c r="AC2" s="225"/>
      <c r="AD2" s="228"/>
      <c r="AE2" s="225"/>
      <c r="AF2" s="228"/>
      <c r="AG2" s="225"/>
      <c r="AH2" s="228"/>
      <c r="AI2" s="225"/>
      <c r="AJ2" s="228"/>
      <c r="AK2" s="225"/>
      <c r="AL2" s="228"/>
      <c r="AM2" s="225"/>
      <c r="AN2" s="228"/>
      <c r="AO2" s="225"/>
      <c r="AP2" s="228"/>
      <c r="AQ2" s="225"/>
      <c r="AR2" s="228"/>
      <c r="AS2" s="228"/>
      <c r="AT2" s="228"/>
      <c r="AU2" s="228"/>
      <c r="AV2" s="228"/>
      <c r="AW2" s="228"/>
      <c r="AX2" s="228"/>
      <c r="AY2" s="228"/>
      <c r="AZ2" s="228"/>
      <c r="BA2" s="228"/>
      <c r="BB2" s="228"/>
      <c r="BC2" s="228"/>
      <c r="BD2" s="228"/>
      <c r="BE2" s="1362"/>
      <c r="BF2" s="1914"/>
      <c r="BG2" s="1362"/>
      <c r="BH2" s="1362"/>
      <c r="BI2" s="224"/>
    </row>
    <row r="3" spans="1:61">
      <c r="A3" s="229" t="s">
        <v>632</v>
      </c>
      <c r="B3" s="230"/>
      <c r="C3" s="222"/>
      <c r="D3" s="222"/>
      <c r="E3" s="222"/>
      <c r="F3" s="222"/>
      <c r="G3" s="222"/>
      <c r="H3" s="222"/>
      <c r="I3" s="222"/>
      <c r="J3" s="222"/>
      <c r="K3" s="222"/>
      <c r="L3" s="222"/>
      <c r="M3" s="222"/>
      <c r="N3" s="222"/>
      <c r="O3" s="222"/>
      <c r="P3" s="222"/>
      <c r="Q3" s="222"/>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36"/>
      <c r="BG3" s="222"/>
      <c r="BH3" s="222"/>
      <c r="BI3" s="222"/>
    </row>
    <row r="4" spans="1:61">
      <c r="A4" s="230" t="s">
        <v>468</v>
      </c>
      <c r="B4" s="230"/>
      <c r="C4" s="222"/>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36"/>
      <c r="BG4" s="222"/>
      <c r="BH4" s="222"/>
      <c r="BI4" s="222"/>
    </row>
    <row r="5" spans="1:61">
      <c r="A5" s="222"/>
      <c r="B5" s="222"/>
      <c r="C5" s="222"/>
      <c r="D5" s="231">
        <v>1995</v>
      </c>
      <c r="E5" s="222"/>
      <c r="F5" s="231" t="s">
        <v>239</v>
      </c>
      <c r="G5" s="222"/>
      <c r="H5" s="231" t="s">
        <v>283</v>
      </c>
      <c r="I5" s="222"/>
      <c r="J5" s="231" t="s">
        <v>284</v>
      </c>
      <c r="K5" s="222"/>
      <c r="L5" s="231" t="s">
        <v>285</v>
      </c>
      <c r="M5" s="222"/>
      <c r="N5" s="231">
        <v>2000</v>
      </c>
      <c r="O5" s="222"/>
      <c r="P5" s="231">
        <f>N5+1</f>
        <v>2001</v>
      </c>
      <c r="Q5" s="222"/>
      <c r="R5" s="231">
        <f>P5+1</f>
        <v>2002</v>
      </c>
      <c r="S5" s="222"/>
      <c r="T5" s="231">
        <f>R5+1</f>
        <v>2003</v>
      </c>
      <c r="U5" s="222"/>
      <c r="V5" s="231">
        <f>T5+1</f>
        <v>2004</v>
      </c>
      <c r="W5" s="222"/>
      <c r="X5" s="231">
        <f>V5+1</f>
        <v>2005</v>
      </c>
      <c r="Y5" s="222"/>
      <c r="Z5" s="232">
        <f>X5+1</f>
        <v>2006</v>
      </c>
      <c r="AA5" s="222"/>
      <c r="AB5" s="232">
        <f>Z5+1</f>
        <v>2007</v>
      </c>
      <c r="AC5" s="222"/>
      <c r="AD5" s="232">
        <f>AB5+1</f>
        <v>2008</v>
      </c>
      <c r="AE5" s="222"/>
      <c r="AF5" s="232">
        <f>AD5+1</f>
        <v>2009</v>
      </c>
      <c r="AG5" s="222"/>
      <c r="AH5" s="232">
        <f>AF5+1</f>
        <v>2010</v>
      </c>
      <c r="AI5" s="222"/>
      <c r="AJ5" s="232">
        <f>AH5+1</f>
        <v>2011</v>
      </c>
      <c r="AK5" s="222"/>
      <c r="AL5" s="232">
        <f>AJ5+1</f>
        <v>2012</v>
      </c>
      <c r="AM5" s="222"/>
      <c r="AN5" s="232">
        <f>AL5+1</f>
        <v>2013</v>
      </c>
      <c r="AO5" s="222"/>
      <c r="AP5" s="232">
        <f>AN5+1</f>
        <v>2014</v>
      </c>
      <c r="AQ5" s="222"/>
      <c r="AR5" s="232">
        <f>AP5+1</f>
        <v>2015</v>
      </c>
      <c r="AS5" s="233"/>
      <c r="AT5" s="232">
        <f>AR5+1</f>
        <v>2016</v>
      </c>
      <c r="AU5" s="233"/>
      <c r="AV5" s="232">
        <f>AT5+1</f>
        <v>2017</v>
      </c>
      <c r="AW5" s="233"/>
      <c r="AX5" s="233">
        <f>AV5+1</f>
        <v>2018</v>
      </c>
      <c r="AY5" s="233"/>
      <c r="AZ5" s="233">
        <f>AX5+1</f>
        <v>2019</v>
      </c>
      <c r="BA5" s="233"/>
      <c r="BB5" s="233">
        <f>AZ5+1</f>
        <v>2020</v>
      </c>
      <c r="BC5" s="233"/>
      <c r="BD5" s="233">
        <f>BB5+1</f>
        <v>2021</v>
      </c>
      <c r="BE5" s="1363"/>
      <c r="BF5" s="1915">
        <f>BD5+1</f>
        <v>2022</v>
      </c>
      <c r="BG5" s="1363"/>
      <c r="BH5" s="1363"/>
      <c r="BI5" s="222"/>
    </row>
    <row r="6" spans="1:61">
      <c r="A6" s="222"/>
      <c r="B6" s="222"/>
      <c r="C6" s="222"/>
      <c r="D6" s="222"/>
      <c r="E6" s="222"/>
      <c r="F6" s="222"/>
      <c r="G6" s="222"/>
      <c r="H6" s="222"/>
      <c r="I6" s="222"/>
      <c r="J6" s="222"/>
      <c r="K6" s="222"/>
      <c r="L6" s="222"/>
      <c r="M6" s="222"/>
      <c r="N6" s="222"/>
      <c r="O6" s="222"/>
      <c r="P6" s="222"/>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36"/>
      <c r="BG6" s="222"/>
      <c r="BH6" s="222"/>
      <c r="BI6" s="222"/>
    </row>
    <row r="7" spans="1:61">
      <c r="A7" s="234" t="s">
        <v>469</v>
      </c>
      <c r="B7" s="234"/>
      <c r="C7" s="222"/>
      <c r="D7" s="222"/>
      <c r="E7" s="222"/>
      <c r="F7" s="222"/>
      <c r="G7" s="222"/>
      <c r="H7" s="222"/>
      <c r="I7" s="222"/>
      <c r="J7" s="222"/>
      <c r="K7" s="222"/>
      <c r="L7" s="222"/>
      <c r="M7" s="222"/>
      <c r="N7" s="222"/>
      <c r="O7" s="222"/>
      <c r="P7" s="222"/>
      <c r="Q7" s="222"/>
      <c r="R7" s="222"/>
      <c r="S7" s="222"/>
      <c r="T7" s="222"/>
      <c r="U7" s="222"/>
      <c r="V7" s="222"/>
      <c r="W7" s="222"/>
      <c r="X7" s="222"/>
      <c r="Y7" s="222"/>
      <c r="Z7" s="222"/>
      <c r="AA7" s="222"/>
      <c r="AB7" s="222"/>
      <c r="AC7" s="222"/>
      <c r="AD7" s="243"/>
      <c r="AE7" s="243"/>
      <c r="AF7" s="310"/>
      <c r="AG7" s="310"/>
      <c r="AH7" s="310"/>
      <c r="AI7" s="310"/>
      <c r="AJ7" s="310"/>
      <c r="AK7" s="222"/>
      <c r="AL7" s="236"/>
      <c r="AM7" s="222"/>
      <c r="AN7" s="222"/>
      <c r="AO7" s="222"/>
      <c r="AP7" s="222"/>
      <c r="AQ7" s="222"/>
      <c r="AR7" s="222"/>
      <c r="AS7" s="222"/>
      <c r="AT7" s="222"/>
      <c r="AU7" s="222"/>
      <c r="AV7" s="222"/>
      <c r="AW7" s="222"/>
      <c r="AX7" s="222"/>
      <c r="AY7" s="222"/>
      <c r="AZ7" s="222"/>
      <c r="BA7" s="222"/>
      <c r="BB7" s="222"/>
      <c r="BC7" s="222"/>
      <c r="BD7" s="222"/>
      <c r="BE7" s="222"/>
      <c r="BF7" s="236"/>
      <c r="BG7" s="222"/>
      <c r="BH7" s="222"/>
      <c r="BI7" s="222"/>
    </row>
    <row r="8" spans="1:61">
      <c r="A8" s="222"/>
      <c r="B8" s="222" t="s">
        <v>219</v>
      </c>
      <c r="C8" s="222"/>
      <c r="D8" s="235" t="e">
        <f>+flow!#REF!</f>
        <v>#REF!</v>
      </c>
      <c r="E8" s="236"/>
      <c r="F8" s="235" t="e">
        <f>flow!#REF!</f>
        <v>#REF!</v>
      </c>
      <c r="G8" s="236"/>
      <c r="H8" s="235">
        <f>+flow!H59</f>
        <v>0.18699999999994776</v>
      </c>
      <c r="I8" s="236"/>
      <c r="J8" s="235">
        <f>+flow!J59</f>
        <v>0.18299999999991579</v>
      </c>
      <c r="K8" s="236"/>
      <c r="L8" s="235">
        <f>+flow!L59</f>
        <v>0.14799999999999999</v>
      </c>
      <c r="M8" s="236"/>
      <c r="N8" s="235">
        <f>+flow!N59</f>
        <v>0.16200000000001</v>
      </c>
      <c r="O8" s="236"/>
      <c r="P8" s="235">
        <f>flow!P59</f>
        <v>3.6910000000000349</v>
      </c>
      <c r="Q8" s="236"/>
      <c r="R8" s="235">
        <f>flow!R59</f>
        <v>93.962000000000018</v>
      </c>
      <c r="S8" s="236"/>
      <c r="T8" s="235">
        <f>flow!T59</f>
        <v>229.17599999999999</v>
      </c>
      <c r="U8" s="236"/>
      <c r="V8" s="235">
        <f>flow!V59</f>
        <v>262.7199999999998</v>
      </c>
      <c r="W8" s="236"/>
      <c r="X8" s="235">
        <f>flow!X59</f>
        <v>154.56599999999992</v>
      </c>
      <c r="Y8" s="236"/>
      <c r="Z8" s="235">
        <f>flow!Z59</f>
        <v>143.38799999999981</v>
      </c>
      <c r="AA8" s="236"/>
      <c r="AB8" s="235">
        <f>flow!AB59</f>
        <v>556.95599999999934</v>
      </c>
      <c r="AC8" s="236"/>
      <c r="AD8" s="235">
        <f>flow!AD59</f>
        <v>698.90499999999963</v>
      </c>
      <c r="AE8" s="222"/>
      <c r="AF8" s="235">
        <f>flow!AF59</f>
        <v>800.36199999999917</v>
      </c>
      <c r="AG8" s="222"/>
      <c r="AH8" s="235">
        <f>flow!AH59</f>
        <v>596.46999999999878</v>
      </c>
      <c r="AI8" s="222"/>
      <c r="AJ8" s="235">
        <f>flow!AJ59</f>
        <v>699.78199999999902</v>
      </c>
      <c r="AK8" s="222"/>
      <c r="AL8" s="235">
        <f>flow!AL59</f>
        <v>917.21499999999867</v>
      </c>
      <c r="AM8" s="222"/>
      <c r="AN8" s="235">
        <f>flow!AN59</f>
        <v>1062.7729999999983</v>
      </c>
      <c r="AO8" s="222"/>
      <c r="AP8" s="235">
        <f>flow!AP59</f>
        <v>591.92799999999897</v>
      </c>
      <c r="AQ8" s="222"/>
      <c r="AR8" s="235">
        <f>flow!AR59</f>
        <v>1291.8279999999991</v>
      </c>
      <c r="AS8" s="235"/>
      <c r="AT8" s="235">
        <f>flow!AT59</f>
        <v>859.02799999999797</v>
      </c>
      <c r="AU8" s="235"/>
      <c r="AV8" s="235">
        <f>flow!AV59</f>
        <v>2672.947999999999</v>
      </c>
      <c r="AW8" s="235"/>
      <c r="AX8" s="235">
        <f>flow!AX59</f>
        <v>3647.8699695879077</v>
      </c>
      <c r="AY8" s="235"/>
      <c r="AZ8" s="235">
        <f>flow!AZ59</f>
        <v>4093.0879292127443</v>
      </c>
      <c r="BA8" s="235"/>
      <c r="BB8" s="235">
        <f>flow!BB59</f>
        <v>4588.9177278309007</v>
      </c>
      <c r="BC8" s="235"/>
      <c r="BD8" s="235">
        <f>flow!BD59</f>
        <v>5124.5248779863296</v>
      </c>
      <c r="BE8" s="235"/>
      <c r="BF8" s="235">
        <f>flow!BF59</f>
        <v>5713.7195551076757</v>
      </c>
      <c r="BG8" s="235"/>
      <c r="BH8" s="235"/>
      <c r="BI8" s="222"/>
    </row>
    <row r="9" spans="1:61">
      <c r="A9" s="222"/>
      <c r="B9" s="222" t="s">
        <v>91</v>
      </c>
      <c r="C9" s="222"/>
      <c r="D9" s="237"/>
      <c r="E9" s="222"/>
      <c r="F9" s="237"/>
      <c r="G9" s="222"/>
      <c r="H9" s="237"/>
      <c r="I9" s="222"/>
      <c r="J9" s="237"/>
      <c r="K9" s="222"/>
      <c r="L9" s="237"/>
      <c r="M9" s="222"/>
      <c r="N9" s="237"/>
      <c r="O9" s="222"/>
      <c r="P9" s="237"/>
      <c r="Q9" s="222"/>
      <c r="R9" s="237"/>
      <c r="S9" s="222"/>
      <c r="T9" s="237"/>
      <c r="U9" s="222"/>
      <c r="V9" s="237">
        <v>171.72300000000001</v>
      </c>
      <c r="W9" s="238"/>
      <c r="X9" s="237">
        <v>228.48500000000001</v>
      </c>
      <c r="Y9" s="238"/>
      <c r="Z9" s="237">
        <v>394.17700000000002</v>
      </c>
      <c r="AA9" s="238"/>
      <c r="AB9" s="237">
        <v>628.86</v>
      </c>
      <c r="AC9" s="238"/>
      <c r="AD9" s="237">
        <v>0</v>
      </c>
      <c r="AE9" s="222"/>
      <c r="AF9" s="237">
        <v>0</v>
      </c>
      <c r="AG9" s="222"/>
      <c r="AH9" s="237">
        <v>99.927999999999997</v>
      </c>
      <c r="AI9" s="222"/>
      <c r="AJ9" s="252">
        <v>2.2559999999999998</v>
      </c>
      <c r="AK9" s="222"/>
      <c r="AL9" s="252">
        <v>0</v>
      </c>
      <c r="AM9" s="222"/>
      <c r="AN9" s="252">
        <v>72.105999999999995</v>
      </c>
      <c r="AO9" s="222"/>
      <c r="AP9" s="252">
        <v>276.70299999999997</v>
      </c>
      <c r="AR9" s="1579">
        <v>234</v>
      </c>
      <c r="AS9" s="222"/>
      <c r="AT9" s="1579">
        <v>460.4</v>
      </c>
      <c r="AU9" s="238"/>
      <c r="AV9" s="2053">
        <v>410.7</v>
      </c>
      <c r="AW9" s="238"/>
      <c r="AX9" s="238">
        <f>AV9-flow!AX44</f>
        <v>410.7</v>
      </c>
      <c r="AY9" s="238"/>
      <c r="AZ9" s="238">
        <f>AX9-flow!AZ44</f>
        <v>410.7</v>
      </c>
      <c r="BA9" s="238"/>
      <c r="BB9" s="238">
        <f>AZ9-flow!BB44</f>
        <v>410.7</v>
      </c>
      <c r="BC9" s="238"/>
      <c r="BD9" s="238">
        <f>BB9-flow!BD44</f>
        <v>410.7</v>
      </c>
      <c r="BE9" s="238"/>
      <c r="BF9" s="253">
        <f>BD9-flow!BF44</f>
        <v>410.7</v>
      </c>
      <c r="BG9" s="238"/>
      <c r="BH9" s="238"/>
      <c r="BI9" s="222"/>
    </row>
    <row r="10" spans="1:61">
      <c r="A10" s="222"/>
      <c r="B10" s="222" t="s">
        <v>624</v>
      </c>
      <c r="C10" s="222"/>
      <c r="D10" s="237"/>
      <c r="E10" s="222"/>
      <c r="F10" s="237"/>
      <c r="G10" s="222"/>
      <c r="H10" s="237"/>
      <c r="I10" s="222"/>
      <c r="J10" s="237">
        <v>13.135</v>
      </c>
      <c r="K10" s="222"/>
      <c r="L10" s="237">
        <v>11.818</v>
      </c>
      <c r="M10" s="222"/>
      <c r="N10" s="239">
        <v>15.567</v>
      </c>
      <c r="O10" s="222"/>
      <c r="P10" s="237">
        <v>20.608000000000001</v>
      </c>
      <c r="Q10" s="222"/>
      <c r="R10" s="237">
        <v>30.925000000000001</v>
      </c>
      <c r="S10" s="222"/>
      <c r="T10" s="237">
        <v>35.47</v>
      </c>
      <c r="U10" s="222"/>
      <c r="V10" s="237">
        <v>55.723999999999997</v>
      </c>
      <c r="W10" s="222"/>
      <c r="X10" s="237">
        <v>65.399000000000001</v>
      </c>
      <c r="Y10" s="222"/>
      <c r="Z10" s="237">
        <v>84.361000000000004</v>
      </c>
      <c r="AA10" s="222"/>
      <c r="AB10" s="237">
        <v>107.81399999999999</v>
      </c>
      <c r="AC10" s="222"/>
      <c r="AD10" s="237">
        <v>106.738</v>
      </c>
      <c r="AE10" s="222"/>
      <c r="AF10" s="237">
        <v>108.70699999999999</v>
      </c>
      <c r="AG10" s="222"/>
      <c r="AH10" s="237">
        <v>109.068</v>
      </c>
      <c r="AI10" s="222"/>
      <c r="AJ10" s="252">
        <v>142.898</v>
      </c>
      <c r="AK10" s="222"/>
      <c r="AL10" s="252">
        <v>174.46199999999999</v>
      </c>
      <c r="AM10" s="222"/>
      <c r="AN10" s="252">
        <v>175.477</v>
      </c>
      <c r="AO10" s="222"/>
      <c r="AP10" s="252">
        <v>198.577</v>
      </c>
      <c r="AR10" s="1579">
        <v>219.5</v>
      </c>
      <c r="AS10" s="222"/>
      <c r="AT10" s="1579">
        <v>245.2</v>
      </c>
      <c r="AU10" s="238"/>
      <c r="AV10" s="2053">
        <v>268</v>
      </c>
      <c r="AW10" s="238"/>
      <c r="AX10" s="238">
        <f>AX66*AX71</f>
        <v>318.29909046369301</v>
      </c>
      <c r="AY10" s="238"/>
      <c r="AZ10" s="238">
        <f>AZ66*AZ71</f>
        <v>328.44422444259169</v>
      </c>
      <c r="BA10" s="238"/>
      <c r="BB10" s="238">
        <f>BB66*BB71</f>
        <v>337.86938332017746</v>
      </c>
      <c r="BC10" s="238"/>
      <c r="BD10" s="238">
        <f>BD66*BD71</f>
        <v>347.5470428570099</v>
      </c>
      <c r="BE10" s="238"/>
      <c r="BF10" s="253">
        <f>BF66*BF71</f>
        <v>357.50935069954761</v>
      </c>
      <c r="BG10" s="238"/>
      <c r="BH10" s="238"/>
      <c r="BI10" s="222"/>
    </row>
    <row r="11" spans="1:61">
      <c r="A11" s="222"/>
      <c r="B11" s="222" t="s">
        <v>587</v>
      </c>
      <c r="C11" s="222"/>
      <c r="D11" s="237"/>
      <c r="E11" s="222"/>
      <c r="F11" s="237"/>
      <c r="G11" s="222"/>
      <c r="H11" s="237"/>
      <c r="I11" s="222"/>
      <c r="J11" s="237">
        <v>132.4</v>
      </c>
      <c r="K11" s="222"/>
      <c r="L11" s="237">
        <v>101.395</v>
      </c>
      <c r="M11" s="222"/>
      <c r="N11" s="239">
        <v>102.09699999999999</v>
      </c>
      <c r="O11" s="222"/>
      <c r="P11" s="237">
        <v>105.16200000000001</v>
      </c>
      <c r="Q11" s="222"/>
      <c r="R11" s="237">
        <v>136.404</v>
      </c>
      <c r="S11" s="222"/>
      <c r="T11" s="237">
        <v>143.80699999999999</v>
      </c>
      <c r="U11" s="222"/>
      <c r="V11" s="237">
        <v>161.91300000000001</v>
      </c>
      <c r="W11" s="222"/>
      <c r="X11" s="237">
        <v>184.41900000000001</v>
      </c>
      <c r="Y11" s="222"/>
      <c r="Z11" s="237">
        <v>233.494</v>
      </c>
      <c r="AA11" s="222"/>
      <c r="AB11" s="237">
        <v>291.19200000000001</v>
      </c>
      <c r="AC11" s="222"/>
      <c r="AD11" s="237">
        <v>318.49</v>
      </c>
      <c r="AE11" s="222"/>
      <c r="AF11" s="237">
        <v>326.14800000000002</v>
      </c>
      <c r="AG11" s="222"/>
      <c r="AH11" s="237">
        <v>363.28500000000003</v>
      </c>
      <c r="AI11" s="222"/>
      <c r="AJ11" s="252">
        <v>421.83100000000002</v>
      </c>
      <c r="AK11" s="222"/>
      <c r="AL11" s="252">
        <v>504.49</v>
      </c>
      <c r="AM11" s="222"/>
      <c r="AN11" s="252">
        <v>524.70600000000002</v>
      </c>
      <c r="AO11" s="222"/>
      <c r="AP11" s="252">
        <v>526.17499999999995</v>
      </c>
      <c r="AR11" s="1579">
        <v>485.1</v>
      </c>
      <c r="AS11" s="222"/>
      <c r="AT11" s="1579">
        <v>459.2</v>
      </c>
      <c r="AU11" s="238"/>
      <c r="AV11" s="2053">
        <v>469.7</v>
      </c>
      <c r="AW11" s="238"/>
      <c r="AX11" s="238">
        <f>+AX72*AX66</f>
        <v>596.09682847034196</v>
      </c>
      <c r="AY11" s="238"/>
      <c r="AZ11" s="238">
        <f>+AZ72*AZ66</f>
        <v>615.09619846671342</v>
      </c>
      <c r="BA11" s="238"/>
      <c r="BB11" s="238">
        <f>+BB72*BB66</f>
        <v>632.74723010043022</v>
      </c>
      <c r="BC11" s="238"/>
      <c r="BD11" s="238">
        <f>+BD72*BD66</f>
        <v>650.87113409436768</v>
      </c>
      <c r="BE11" s="238"/>
      <c r="BF11" s="253">
        <f>+BF72*BF66</f>
        <v>669.52811517631426</v>
      </c>
      <c r="BG11" s="238"/>
      <c r="BH11" s="238"/>
      <c r="BI11" s="222"/>
    </row>
    <row r="12" spans="1:61">
      <c r="A12" s="222"/>
      <c r="B12" s="222" t="s">
        <v>618</v>
      </c>
      <c r="C12" s="222"/>
      <c r="D12" s="237"/>
      <c r="E12" s="222"/>
      <c r="F12" s="237"/>
      <c r="G12" s="222"/>
      <c r="H12" s="237"/>
      <c r="I12" s="222"/>
      <c r="J12" s="237">
        <v>11.839</v>
      </c>
      <c r="K12" s="222"/>
      <c r="L12" s="237">
        <v>6.4770000000000003</v>
      </c>
      <c r="M12" s="222"/>
      <c r="N12" s="239">
        <v>8.9960000000000004</v>
      </c>
      <c r="O12" s="222"/>
      <c r="P12" s="237">
        <v>13.920999999999999</v>
      </c>
      <c r="Q12" s="222"/>
      <c r="R12" s="237">
        <v>14.122999999999999</v>
      </c>
      <c r="S12" s="222"/>
      <c r="T12" s="237">
        <v>21.263999999999999</v>
      </c>
      <c r="U12" s="222"/>
      <c r="V12" s="237">
        <v>34.521000000000001</v>
      </c>
      <c r="W12" s="222"/>
      <c r="X12" s="237">
        <v>50.82</v>
      </c>
      <c r="Y12" s="222"/>
      <c r="Z12" s="237">
        <v>78.019000000000005</v>
      </c>
      <c r="AA12" s="222"/>
      <c r="AB12" s="237">
        <v>68.305000000000007</v>
      </c>
      <c r="AC12" s="222"/>
      <c r="AD12" s="237">
        <v>70.069000000000003</v>
      </c>
      <c r="AE12" s="222"/>
      <c r="AF12" s="237">
        <v>49.475999999999999</v>
      </c>
      <c r="AG12" s="222"/>
      <c r="AH12" s="237">
        <v>77.355000000000004</v>
      </c>
      <c r="AI12" s="222"/>
      <c r="AJ12" s="252">
        <v>93.902000000000001</v>
      </c>
      <c r="AK12" s="222"/>
      <c r="AL12" s="252">
        <v>95.418999999999997</v>
      </c>
      <c r="AM12" s="222"/>
      <c r="AN12" s="252">
        <v>111.11799999999999</v>
      </c>
      <c r="AO12" s="222"/>
      <c r="AP12" s="252">
        <v>112.63</v>
      </c>
      <c r="AQ12" s="222"/>
      <c r="AR12" s="1579">
        <v>98.4</v>
      </c>
      <c r="AS12" s="238"/>
      <c r="AT12" s="1579">
        <v>0</v>
      </c>
      <c r="AU12" s="238"/>
      <c r="AV12" s="2053">
        <v>0</v>
      </c>
      <c r="AW12" s="238"/>
      <c r="AX12" s="238">
        <f>+AX66*AX73</f>
        <v>0</v>
      </c>
      <c r="AY12" s="238"/>
      <c r="AZ12" s="238">
        <f>+AZ66*AZ73</f>
        <v>0</v>
      </c>
      <c r="BA12" s="238"/>
      <c r="BB12" s="238">
        <f>+BB66*BB73</f>
        <v>0</v>
      </c>
      <c r="BC12" s="238"/>
      <c r="BD12" s="238">
        <f>+BD66*BD73</f>
        <v>0</v>
      </c>
      <c r="BE12" s="238"/>
      <c r="BF12" s="253">
        <f>+BF66*BF73</f>
        <v>0</v>
      </c>
      <c r="BG12" s="238"/>
      <c r="BH12" s="238"/>
      <c r="BI12" s="222"/>
    </row>
    <row r="13" spans="1:61">
      <c r="A13" s="222"/>
      <c r="B13" s="222" t="s">
        <v>629</v>
      </c>
      <c r="C13" s="222"/>
      <c r="D13" s="237"/>
      <c r="E13" s="222"/>
      <c r="F13" s="237"/>
      <c r="G13" s="222"/>
      <c r="H13" s="237"/>
      <c r="I13" s="222"/>
      <c r="J13" s="237">
        <f>3.029+1.884</f>
        <v>4.9130000000000003</v>
      </c>
      <c r="K13" s="222"/>
      <c r="L13" s="237">
        <f>3.106+3.676</f>
        <v>6.782</v>
      </c>
      <c r="M13" s="222"/>
      <c r="N13" s="240">
        <v>6.8659999999999997</v>
      </c>
      <c r="O13" s="222"/>
      <c r="P13" s="241">
        <v>8.1850000000000005</v>
      </c>
      <c r="Q13" s="222"/>
      <c r="R13" s="241">
        <v>12.173999999999999</v>
      </c>
      <c r="S13" s="222"/>
      <c r="T13" s="241">
        <v>18.821000000000002</v>
      </c>
      <c r="U13" s="222"/>
      <c r="V13" s="241">
        <v>19.015000000000001</v>
      </c>
      <c r="W13" s="222"/>
      <c r="X13" s="241">
        <v>25.670999999999999</v>
      </c>
      <c r="Y13" s="222"/>
      <c r="Z13" s="241">
        <v>41.042999999999999</v>
      </c>
      <c r="AA13" s="222"/>
      <c r="AB13" s="241">
        <v>87.069000000000003</v>
      </c>
      <c r="AC13" s="222"/>
      <c r="AD13" s="241">
        <f>65.569+99.447</f>
        <v>165.01600000000002</v>
      </c>
      <c r="AE13" s="222"/>
      <c r="AF13" s="241">
        <f>48.342+63.374</f>
        <v>111.71600000000001</v>
      </c>
      <c r="AG13" s="222"/>
      <c r="AH13" s="241">
        <f>30.375+26.16</f>
        <v>56.534999999999997</v>
      </c>
      <c r="AI13" s="222"/>
      <c r="AJ13" s="255">
        <f>38.203+53.516</f>
        <v>91.718999999999994</v>
      </c>
      <c r="AK13" s="222"/>
      <c r="AL13" s="255">
        <f>39.365+73.577</f>
        <v>112.94200000000001</v>
      </c>
      <c r="AM13" s="222"/>
      <c r="AN13" s="255">
        <f>86.799+37.956</f>
        <v>124.75500000000001</v>
      </c>
      <c r="AO13" s="222"/>
      <c r="AP13" s="255">
        <f>45.473+103.736</f>
        <v>149.209</v>
      </c>
      <c r="AQ13" s="222"/>
      <c r="AR13" s="1597">
        <f>73.1+104.6</f>
        <v>177.7</v>
      </c>
      <c r="AS13" s="616"/>
      <c r="AT13" s="1597">
        <f>58+91.1</f>
        <v>149.1</v>
      </c>
      <c r="AU13" s="616"/>
      <c r="AV13" s="2054">
        <f>41.5+58.6+31.9</f>
        <v>132</v>
      </c>
      <c r="AW13" s="616"/>
      <c r="AX13" s="242">
        <f>+AV13</f>
        <v>132</v>
      </c>
      <c r="AY13" s="616"/>
      <c r="AZ13" s="242">
        <f>+AX13</f>
        <v>132</v>
      </c>
      <c r="BA13" s="616"/>
      <c r="BB13" s="242">
        <f>+AZ13</f>
        <v>132</v>
      </c>
      <c r="BC13" s="616"/>
      <c r="BD13" s="242">
        <f>+BB13</f>
        <v>132</v>
      </c>
      <c r="BE13" s="616"/>
      <c r="BF13" s="256">
        <f>+BD13</f>
        <v>132</v>
      </c>
      <c r="BG13" s="616"/>
      <c r="BH13" s="616"/>
      <c r="BI13" s="222"/>
    </row>
    <row r="14" spans="1:61">
      <c r="A14" s="222"/>
      <c r="B14" s="222"/>
      <c r="C14" s="222" t="s">
        <v>471</v>
      </c>
      <c r="D14" s="243" t="e">
        <f>SUM(D8:D13)</f>
        <v>#REF!</v>
      </c>
      <c r="E14" s="222"/>
      <c r="F14" s="243" t="e">
        <f>SUM(F8:F13)</f>
        <v>#REF!</v>
      </c>
      <c r="G14" s="222"/>
      <c r="H14" s="243">
        <f>SUM(H8:H13)</f>
        <v>0.18699999999994776</v>
      </c>
      <c r="I14" s="222"/>
      <c r="J14" s="243">
        <f>SUM(J8:J13)</f>
        <v>162.46999999999994</v>
      </c>
      <c r="K14" s="222"/>
      <c r="L14" s="243">
        <f>SUM(L8:L13)</f>
        <v>126.61999999999999</v>
      </c>
      <c r="M14" s="222"/>
      <c r="N14" s="243">
        <f>SUM(N8:N13)</f>
        <v>133.68799999999999</v>
      </c>
      <c r="O14" s="222"/>
      <c r="P14" s="243">
        <f>SUM(P8:P13)</f>
        <v>151.56700000000004</v>
      </c>
      <c r="Q14" s="222"/>
      <c r="R14" s="243">
        <f>SUM(R8:R13)</f>
        <v>287.58799999999997</v>
      </c>
      <c r="S14" s="222"/>
      <c r="T14" s="243">
        <f>SUM(T8:T13)</f>
        <v>448.53800000000001</v>
      </c>
      <c r="U14" s="222"/>
      <c r="V14" s="243">
        <f>SUM(V8:V13)</f>
        <v>705.61599999999976</v>
      </c>
      <c r="W14" s="222"/>
      <c r="X14" s="243">
        <f>SUM(X8:X13)</f>
        <v>709.36</v>
      </c>
      <c r="Y14" s="222"/>
      <c r="Z14" s="243">
        <f>SUM(Z8:Z13)</f>
        <v>974.48199999999986</v>
      </c>
      <c r="AA14" s="222"/>
      <c r="AB14" s="243">
        <f>SUM(AB8:AB13)</f>
        <v>1740.1959999999995</v>
      </c>
      <c r="AC14" s="222"/>
      <c r="AD14" s="243">
        <f>SUM(AD8:AD13)</f>
        <v>1359.2179999999996</v>
      </c>
      <c r="AE14" s="222"/>
      <c r="AF14" s="243">
        <f>SUM(AF8:AF13)</f>
        <v>1396.4089999999992</v>
      </c>
      <c r="AG14" s="222"/>
      <c r="AH14" s="243">
        <f>SUM(AH8:AH13)</f>
        <v>1302.6409999999989</v>
      </c>
      <c r="AI14" s="222"/>
      <c r="AJ14" s="235">
        <f>SUM(AJ8:AJ13)</f>
        <v>1452.387999999999</v>
      </c>
      <c r="AK14" s="222"/>
      <c r="AL14" s="235">
        <f>SUM(AL8:AL13)</f>
        <v>1804.5279999999989</v>
      </c>
      <c r="AM14" s="222"/>
      <c r="AN14" s="243">
        <f>SUM(AN8:AN13)</f>
        <v>2070.9349999999986</v>
      </c>
      <c r="AO14" s="222"/>
      <c r="AP14" s="243">
        <f>SUM(AP8:AP13)</f>
        <v>1855.2219999999991</v>
      </c>
      <c r="AQ14" s="222"/>
      <c r="AR14" s="243">
        <f>SUM(AR8:AR13)</f>
        <v>2506.5279999999989</v>
      </c>
      <c r="AS14" s="243"/>
      <c r="AT14" s="243">
        <f>SUM(AT8:AT13)</f>
        <v>2172.9279999999981</v>
      </c>
      <c r="AU14" s="243"/>
      <c r="AV14" s="243">
        <f>SUM(AV8:AV13)</f>
        <v>3953.3479999999986</v>
      </c>
      <c r="AW14" s="243"/>
      <c r="AX14" s="243">
        <f>SUM(AX8:AX13)</f>
        <v>5104.9658885219424</v>
      </c>
      <c r="AY14" s="243"/>
      <c r="AZ14" s="243">
        <f>SUM(AZ8:AZ13)</f>
        <v>5579.3283521220501</v>
      </c>
      <c r="BA14" s="243"/>
      <c r="BB14" s="243">
        <f>SUM(BB8:BB13)</f>
        <v>6102.2343412515083</v>
      </c>
      <c r="BC14" s="243"/>
      <c r="BD14" s="243">
        <f>SUM(BD8:BD13)</f>
        <v>6665.6430549377064</v>
      </c>
      <c r="BE14" s="243"/>
      <c r="BF14" s="235">
        <f>SUM(BF8:BF13)</f>
        <v>7283.4570209835365</v>
      </c>
      <c r="BG14" s="243"/>
      <c r="BH14" s="243"/>
      <c r="BI14" s="222"/>
    </row>
    <row r="15" spans="1:61">
      <c r="A15" s="222"/>
      <c r="B15" s="222"/>
      <c r="C15" s="222"/>
      <c r="D15" s="243"/>
      <c r="E15" s="222"/>
      <c r="F15" s="243"/>
      <c r="G15" s="222"/>
      <c r="H15" s="243"/>
      <c r="I15" s="222"/>
      <c r="J15" s="243"/>
      <c r="K15" s="222"/>
      <c r="L15" s="243"/>
      <c r="M15" s="222"/>
      <c r="N15" s="243"/>
      <c r="O15" s="222"/>
      <c r="P15" s="243"/>
      <c r="Q15" s="222"/>
      <c r="R15" s="243"/>
      <c r="S15" s="222"/>
      <c r="T15" s="243"/>
      <c r="U15" s="222"/>
      <c r="V15" s="243"/>
      <c r="W15" s="222"/>
      <c r="X15" s="243"/>
      <c r="Y15" s="222"/>
      <c r="Z15" s="243"/>
      <c r="AA15" s="222"/>
      <c r="AB15" s="243"/>
      <c r="AC15" s="222"/>
      <c r="AD15" s="243"/>
      <c r="AE15" s="222"/>
      <c r="AF15" s="309"/>
      <c r="AG15" s="222"/>
      <c r="AH15" s="243"/>
      <c r="AI15" s="222"/>
      <c r="AJ15" s="235"/>
      <c r="AK15" s="222"/>
      <c r="AL15" s="235"/>
      <c r="AM15" s="222"/>
      <c r="AN15" s="243"/>
      <c r="AO15" s="222"/>
      <c r="AP15" s="243"/>
      <c r="AQ15" s="222"/>
      <c r="AR15" s="243"/>
      <c r="AS15" s="243"/>
      <c r="AT15" s="243"/>
      <c r="AU15" s="243"/>
      <c r="AV15" s="243"/>
      <c r="AW15" s="243"/>
      <c r="AX15" s="243"/>
      <c r="AY15" s="243"/>
      <c r="AZ15" s="243"/>
      <c r="BA15" s="243"/>
      <c r="BB15" s="243"/>
      <c r="BC15" s="243"/>
      <c r="BD15" s="243"/>
      <c r="BE15" s="243"/>
      <c r="BF15" s="235"/>
      <c r="BG15" s="243"/>
      <c r="BH15" s="243"/>
      <c r="BI15" s="222"/>
    </row>
    <row r="16" spans="1:61" hidden="1" outlineLevel="1">
      <c r="A16" s="222"/>
      <c r="B16" s="222" t="s">
        <v>351</v>
      </c>
      <c r="C16" s="222"/>
      <c r="D16" s="237"/>
      <c r="E16" s="238"/>
      <c r="F16" s="237"/>
      <c r="G16" s="238"/>
      <c r="H16" s="237"/>
      <c r="I16" s="238"/>
      <c r="J16" s="237"/>
      <c r="K16" s="238"/>
      <c r="L16" s="237"/>
      <c r="M16" s="222"/>
      <c r="N16" s="244">
        <f>16.256+61.192+89.448+15.048</f>
        <v>181.94400000000002</v>
      </c>
      <c r="O16" s="238"/>
      <c r="P16" s="237">
        <f>9.849+74.452+108.077+10.069</f>
        <v>202.44699999999997</v>
      </c>
      <c r="Q16" s="238"/>
      <c r="R16" s="237">
        <f>9.069+82.279+123.279+22.933</f>
        <v>237.56</v>
      </c>
      <c r="S16" s="238"/>
      <c r="T16" s="237">
        <f>10.789+101.137+153.442+26.47</f>
        <v>291.83799999999997</v>
      </c>
      <c r="U16" s="238"/>
      <c r="V16" s="237">
        <f>8.346+140.005+212+11.522</f>
        <v>371.87299999999999</v>
      </c>
      <c r="W16" s="238"/>
      <c r="X16" s="237">
        <f>7.618+148.252+243.784+21.428</f>
        <v>421.08199999999999</v>
      </c>
      <c r="Y16" s="238"/>
      <c r="Z16" s="237">
        <f>27.954+14.187+136.73+270.232+66.24</f>
        <v>515.34299999999996</v>
      </c>
      <c r="AA16" s="238"/>
      <c r="AB16" s="237">
        <f>27.954+12.007+143.442+267.935+148.191</f>
        <v>599.529</v>
      </c>
      <c r="AC16" s="238"/>
      <c r="AD16" s="237">
        <f>27.954+16.116+271.957+373.26+65.486</f>
        <v>754.77300000000002</v>
      </c>
      <c r="AE16" s="222"/>
      <c r="AF16" s="237">
        <f>154.873+27.053+311.916+461.431+22.726</f>
        <v>977.99899999999991</v>
      </c>
      <c r="AG16" s="222"/>
      <c r="AH16" s="237">
        <f>154.873+27.659+336.24+499.117+15.705</f>
        <v>1033.5939999999998</v>
      </c>
      <c r="AI16" s="222"/>
      <c r="AJ16" s="252">
        <f>168.55+32.298+394.588+552.855+17.568</f>
        <v>1165.8590000000002</v>
      </c>
      <c r="AK16" s="222"/>
      <c r="AL16" s="252">
        <f>168.55+34.056+490.892+618.583+19.774</f>
        <v>1331.855</v>
      </c>
      <c r="AM16" s="222"/>
      <c r="AN16" s="252">
        <f>168.55+33.172+564.574+632.55+67.665</f>
        <v>1466.511</v>
      </c>
      <c r="AO16" s="222"/>
      <c r="AP16" s="252"/>
      <c r="AQ16" s="222"/>
      <c r="AR16" s="243"/>
      <c r="AS16" s="243"/>
      <c r="AT16" s="243"/>
      <c r="AU16" s="243"/>
      <c r="AV16" s="243"/>
      <c r="AW16" s="243"/>
      <c r="AX16" s="243"/>
      <c r="AY16" s="243"/>
      <c r="AZ16" s="243"/>
      <c r="BA16" s="243"/>
      <c r="BB16" s="243"/>
      <c r="BC16" s="243"/>
      <c r="BD16" s="243"/>
      <c r="BE16" s="243"/>
      <c r="BF16" s="235"/>
      <c r="BG16" s="243"/>
      <c r="BH16" s="243"/>
      <c r="BI16" s="222"/>
    </row>
    <row r="17" spans="1:61" collapsed="1">
      <c r="A17" s="222"/>
      <c r="B17" s="222" t="s">
        <v>619</v>
      </c>
      <c r="C17" s="222"/>
      <c r="D17" s="237"/>
      <c r="E17" s="238"/>
      <c r="F17" s="237"/>
      <c r="G17" s="238"/>
      <c r="H17" s="237"/>
      <c r="I17" s="238"/>
      <c r="J17" s="237">
        <v>74.39</v>
      </c>
      <c r="K17" s="238"/>
      <c r="L17" s="237">
        <v>61.151000000000003</v>
      </c>
      <c r="M17" s="222"/>
      <c r="N17" s="244">
        <v>65.183999999999997</v>
      </c>
      <c r="O17" s="238"/>
      <c r="P17" s="237">
        <v>72.388000000000005</v>
      </c>
      <c r="Q17" s="238"/>
      <c r="R17" s="237">
        <v>90.588999999999999</v>
      </c>
      <c r="S17" s="238"/>
      <c r="T17" s="237">
        <v>118.547</v>
      </c>
      <c r="U17" s="238"/>
      <c r="V17" s="237">
        <v>164.291</v>
      </c>
      <c r="W17" s="238"/>
      <c r="X17" s="237">
        <v>203.86199999999999</v>
      </c>
      <c r="Y17" s="238"/>
      <c r="Z17" s="237">
        <v>298.53100000000001</v>
      </c>
      <c r="AA17" s="238"/>
      <c r="AB17" s="237">
        <v>368.46100000000001</v>
      </c>
      <c r="AC17" s="238"/>
      <c r="AD17" s="237">
        <v>464.226</v>
      </c>
      <c r="AE17" s="222"/>
      <c r="AF17" s="237">
        <v>592.98199999999997</v>
      </c>
      <c r="AG17" s="222"/>
      <c r="AH17" s="237">
        <v>548.47400000000005</v>
      </c>
      <c r="AI17" s="222"/>
      <c r="AJ17" s="252">
        <v>582.34799999999996</v>
      </c>
      <c r="AK17" s="222"/>
      <c r="AL17" s="252">
        <v>644.44899999999996</v>
      </c>
      <c r="AM17" s="222"/>
      <c r="AN17" s="252">
        <v>694.77099999999996</v>
      </c>
      <c r="AO17" s="222"/>
      <c r="AP17" s="252">
        <v>713.9</v>
      </c>
      <c r="AQ17" s="222"/>
      <c r="AR17" s="1579">
        <v>732.6</v>
      </c>
      <c r="AS17" s="238"/>
      <c r="AT17" s="1579">
        <v>919.5</v>
      </c>
      <c r="AU17" s="238"/>
      <c r="AV17" s="2053">
        <v>691.4</v>
      </c>
      <c r="AW17" s="238"/>
      <c r="AX17" s="238">
        <f>AV17+flow!AX19-flow!AX9</f>
        <v>738.90528687368317</v>
      </c>
      <c r="AY17" s="238"/>
      <c r="AZ17" s="238">
        <f>AX17+flow!AZ19-flow!AZ9</f>
        <v>777.56599602959341</v>
      </c>
      <c r="BA17" s="238"/>
      <c r="BB17" s="238">
        <f>AZ17+flow!BB19-flow!BB9</f>
        <v>808.00980530339757</v>
      </c>
      <c r="BC17" s="238"/>
      <c r="BD17" s="238">
        <f>BB17+flow!BD19-flow!BD9</f>
        <v>830.01658337803849</v>
      </c>
      <c r="BE17" s="238"/>
      <c r="BF17" s="253">
        <f>BD17+flow!BF19-flow!BF9</f>
        <v>843.33817246010699</v>
      </c>
      <c r="BG17" s="238"/>
      <c r="BH17" s="238"/>
      <c r="BI17" s="222"/>
    </row>
    <row r="18" spans="1:61">
      <c r="A18" s="222"/>
      <c r="B18" s="222" t="s">
        <v>192</v>
      </c>
      <c r="C18" s="222"/>
      <c r="D18" s="237"/>
      <c r="E18" s="238"/>
      <c r="F18" s="237"/>
      <c r="G18" s="238"/>
      <c r="H18" s="237"/>
      <c r="I18" s="238"/>
      <c r="J18" s="237"/>
      <c r="K18" s="238"/>
      <c r="L18" s="237"/>
      <c r="M18" s="222"/>
      <c r="N18" s="237">
        <v>0</v>
      </c>
      <c r="O18" s="238"/>
      <c r="P18" s="237">
        <v>0</v>
      </c>
      <c r="Q18" s="238"/>
      <c r="R18" s="237">
        <v>0</v>
      </c>
      <c r="S18" s="238">
        <v>0</v>
      </c>
      <c r="T18" s="237">
        <v>0</v>
      </c>
      <c r="U18" s="238"/>
      <c r="V18" s="237">
        <v>130</v>
      </c>
      <c r="W18" s="238"/>
      <c r="X18" s="237">
        <v>122.065</v>
      </c>
      <c r="Y18" s="238"/>
      <c r="Z18" s="237">
        <v>0</v>
      </c>
      <c r="AA18" s="238"/>
      <c r="AB18" s="237">
        <v>0</v>
      </c>
      <c r="AC18" s="238"/>
      <c r="AD18" s="237">
        <v>8</v>
      </c>
      <c r="AE18" s="222"/>
      <c r="AF18" s="237">
        <v>6</v>
      </c>
      <c r="AG18" s="222"/>
      <c r="AH18" s="237">
        <v>6</v>
      </c>
      <c r="AI18" s="222"/>
      <c r="AJ18" s="252">
        <v>0</v>
      </c>
      <c r="AK18" s="222"/>
      <c r="AL18" s="252">
        <v>0</v>
      </c>
      <c r="AM18" s="222"/>
      <c r="AN18" s="252">
        <v>197.34</v>
      </c>
      <c r="AO18" s="222"/>
      <c r="AP18" s="252">
        <v>484.51799999999997</v>
      </c>
      <c r="AQ18" s="222"/>
      <c r="AR18" s="1598">
        <v>406</v>
      </c>
      <c r="AS18" s="238"/>
      <c r="AT18" s="1579">
        <v>558.6</v>
      </c>
      <c r="AU18" s="238"/>
      <c r="AV18" s="2053">
        <v>75.099999999999994</v>
      </c>
      <c r="AW18" s="238"/>
      <c r="AX18" s="238">
        <f>AV18-flow!AX47</f>
        <v>75.099999999999994</v>
      </c>
      <c r="AY18" s="238"/>
      <c r="AZ18" s="238">
        <f>AX18-flow!AZ47</f>
        <v>75.099999999999994</v>
      </c>
      <c r="BA18" s="238"/>
      <c r="BB18" s="238">
        <f>AZ18-flow!BB47</f>
        <v>75.099999999999994</v>
      </c>
      <c r="BC18" s="238"/>
      <c r="BD18" s="238">
        <f>BB18-flow!BD47</f>
        <v>75.099999999999994</v>
      </c>
      <c r="BE18" s="238"/>
      <c r="BF18" s="253">
        <f>BD18-flow!BF47</f>
        <v>75.099999999999994</v>
      </c>
      <c r="BG18" s="238"/>
      <c r="BH18" s="238"/>
      <c r="BI18" s="222"/>
    </row>
    <row r="19" spans="1:61">
      <c r="A19" s="222"/>
      <c r="B19" s="222" t="s">
        <v>618</v>
      </c>
      <c r="C19" s="222"/>
      <c r="D19" s="237"/>
      <c r="E19" s="238"/>
      <c r="F19" s="237"/>
      <c r="G19" s="238"/>
      <c r="H19" s="237"/>
      <c r="I19" s="238"/>
      <c r="J19" s="237">
        <v>13.721</v>
      </c>
      <c r="K19" s="238"/>
      <c r="L19" s="237">
        <v>23.369</v>
      </c>
      <c r="M19" s="222"/>
      <c r="N19" s="237">
        <v>18.189</v>
      </c>
      <c r="O19" s="238"/>
      <c r="P19" s="237">
        <v>19.061</v>
      </c>
      <c r="Q19" s="238"/>
      <c r="R19" s="237">
        <v>25.030999999999999</v>
      </c>
      <c r="S19" s="238"/>
      <c r="T19" s="237">
        <v>9.1120000000000001</v>
      </c>
      <c r="U19" s="238"/>
      <c r="V19" s="237">
        <v>0</v>
      </c>
      <c r="W19" s="238"/>
      <c r="X19" s="237">
        <v>54.545000000000002</v>
      </c>
      <c r="Y19" s="238"/>
      <c r="Z19" s="237">
        <v>84.076999999999998</v>
      </c>
      <c r="AA19" s="238"/>
      <c r="AB19" s="237">
        <v>86.046000000000006</v>
      </c>
      <c r="AC19" s="238"/>
      <c r="AD19" s="237">
        <v>81.346000000000004</v>
      </c>
      <c r="AE19" s="222"/>
      <c r="AF19" s="237">
        <v>159.09200000000001</v>
      </c>
      <c r="AG19" s="222"/>
      <c r="AH19" s="237">
        <v>156.465</v>
      </c>
      <c r="AI19" s="222"/>
      <c r="AJ19" s="252">
        <v>103.657</v>
      </c>
      <c r="AK19" s="222"/>
      <c r="AL19" s="252">
        <v>95.222999999999999</v>
      </c>
      <c r="AM19" s="222"/>
      <c r="AN19" s="252">
        <v>84.844999999999999</v>
      </c>
      <c r="AO19" s="222"/>
      <c r="AP19" s="252">
        <v>111.556</v>
      </c>
      <c r="AQ19" s="222"/>
      <c r="AR19" s="1579">
        <v>115.8</v>
      </c>
      <c r="AS19" s="238"/>
      <c r="AT19" s="1579">
        <v>248.8</v>
      </c>
      <c r="AU19" s="238"/>
      <c r="AV19" s="2053">
        <v>170.5</v>
      </c>
      <c r="AW19" s="238"/>
      <c r="AX19" s="238">
        <f>+AV19</f>
        <v>170.5</v>
      </c>
      <c r="AY19" s="238"/>
      <c r="AZ19" s="238">
        <f>+AX19</f>
        <v>170.5</v>
      </c>
      <c r="BA19" s="238"/>
      <c r="BB19" s="238">
        <f>+AZ19</f>
        <v>170.5</v>
      </c>
      <c r="BC19" s="238"/>
      <c r="BD19" s="238">
        <f>+BB19</f>
        <v>170.5</v>
      </c>
      <c r="BE19" s="238"/>
      <c r="BF19" s="253">
        <f>+BD19</f>
        <v>170.5</v>
      </c>
      <c r="BG19" s="238"/>
      <c r="BH19" s="238"/>
      <c r="BI19" s="222"/>
    </row>
    <row r="20" spans="1:61">
      <c r="A20" s="222"/>
      <c r="B20" s="222" t="s">
        <v>242</v>
      </c>
      <c r="C20" s="222"/>
      <c r="D20" s="237"/>
      <c r="E20" s="238"/>
      <c r="F20" s="237"/>
      <c r="G20" s="238"/>
      <c r="H20" s="237"/>
      <c r="I20" s="238"/>
      <c r="J20" s="237">
        <v>6.5019999999999998</v>
      </c>
      <c r="K20" s="238"/>
      <c r="L20" s="237">
        <v>5.5289999999999999</v>
      </c>
      <c r="M20" s="222"/>
      <c r="N20" s="237">
        <v>0</v>
      </c>
      <c r="O20" s="238"/>
      <c r="P20" s="237">
        <v>4.9240000000000004</v>
      </c>
      <c r="Q20" s="238"/>
      <c r="R20" s="237">
        <v>13.006</v>
      </c>
      <c r="S20" s="238"/>
      <c r="T20" s="237">
        <v>13.009</v>
      </c>
      <c r="U20" s="238"/>
      <c r="V20" s="237">
        <v>13.605</v>
      </c>
      <c r="W20" s="238"/>
      <c r="X20" s="237">
        <v>238.71100000000001</v>
      </c>
      <c r="Y20" s="238"/>
      <c r="Z20" s="237">
        <v>227.81100000000001</v>
      </c>
      <c r="AA20" s="238"/>
      <c r="AB20" s="237">
        <v>213.79400000000001</v>
      </c>
      <c r="AC20" s="238"/>
      <c r="AD20" s="237">
        <v>249.11799999999999</v>
      </c>
      <c r="AE20" s="222"/>
      <c r="AF20" s="237">
        <v>283.387</v>
      </c>
      <c r="AG20" s="222"/>
      <c r="AH20" s="237">
        <v>305.86099999999999</v>
      </c>
      <c r="AI20" s="222"/>
      <c r="AJ20" s="252">
        <v>331.00400000000002</v>
      </c>
      <c r="AK20" s="222"/>
      <c r="AL20" s="252">
        <v>376.03500000000003</v>
      </c>
      <c r="AM20" s="222"/>
      <c r="AN20" s="252">
        <v>345.03899999999999</v>
      </c>
      <c r="AO20" s="222"/>
      <c r="AP20" s="252">
        <v>361.40699999999998</v>
      </c>
      <c r="AQ20" s="222"/>
      <c r="AR20" s="1579">
        <v>434.2</v>
      </c>
      <c r="AS20" s="238"/>
      <c r="AT20" s="1579">
        <v>502.4</v>
      </c>
      <c r="AU20" s="238"/>
      <c r="AV20" s="2053">
        <v>480.5</v>
      </c>
      <c r="AW20" s="238"/>
      <c r="AX20" s="238">
        <f>+AV20-flow!AX11</f>
        <v>472</v>
      </c>
      <c r="AY20" s="238"/>
      <c r="AZ20" s="238">
        <f>+AX20-flow!AZ11</f>
        <v>463.5</v>
      </c>
      <c r="BA20" s="238"/>
      <c r="BB20" s="238">
        <f>+AZ20-flow!BB11</f>
        <v>455</v>
      </c>
      <c r="BC20" s="238"/>
      <c r="BD20" s="238">
        <f>+BB20-flow!BD11</f>
        <v>446.5</v>
      </c>
      <c r="BE20" s="238"/>
      <c r="BF20" s="253">
        <f>+BD20-flow!BF11</f>
        <v>438</v>
      </c>
      <c r="BG20" s="238"/>
      <c r="BH20" s="238"/>
      <c r="BI20" s="222"/>
    </row>
    <row r="21" spans="1:61">
      <c r="A21" s="222"/>
      <c r="B21" s="222" t="s">
        <v>193</v>
      </c>
      <c r="C21" s="222"/>
      <c r="D21" s="245"/>
      <c r="E21" s="226"/>
      <c r="F21" s="245"/>
      <c r="G21" s="226"/>
      <c r="H21" s="245"/>
      <c r="I21" s="226"/>
      <c r="J21" s="245"/>
      <c r="K21" s="226"/>
      <c r="L21" s="245">
        <v>11.269</v>
      </c>
      <c r="M21" s="222"/>
      <c r="N21" s="245">
        <v>0</v>
      </c>
      <c r="O21" s="226"/>
      <c r="P21" s="245">
        <v>9.3889999999999993</v>
      </c>
      <c r="Q21" s="226"/>
      <c r="R21" s="245">
        <v>9.3889999999999993</v>
      </c>
      <c r="S21" s="226"/>
      <c r="T21" s="245">
        <v>9.3889999999999993</v>
      </c>
      <c r="U21" s="226"/>
      <c r="V21" s="245">
        <v>9.7880000000000003</v>
      </c>
      <c r="W21" s="226"/>
      <c r="X21" s="245">
        <v>12.087999999999999</v>
      </c>
      <c r="Y21" s="226"/>
      <c r="Z21" s="245">
        <v>12.007</v>
      </c>
      <c r="AA21" s="226"/>
      <c r="AB21" s="237">
        <v>11.865</v>
      </c>
      <c r="AC21" s="226"/>
      <c r="AD21" s="237">
        <v>9.7880000000000003</v>
      </c>
      <c r="AE21" s="222"/>
      <c r="AF21" s="237">
        <v>9.7880000000000003</v>
      </c>
      <c r="AG21" s="222"/>
      <c r="AH21" s="237">
        <v>9.7880000000000003</v>
      </c>
      <c r="AI21" s="222"/>
      <c r="AJ21" s="252">
        <v>9.7880000000000003</v>
      </c>
      <c r="AK21" s="222"/>
      <c r="AL21" s="252">
        <v>9.7880000000000003</v>
      </c>
      <c r="AM21" s="222"/>
      <c r="AN21" s="252">
        <v>9.7880000000000003</v>
      </c>
      <c r="AO21" s="222"/>
      <c r="AP21" s="252">
        <v>9.7880000000000003</v>
      </c>
      <c r="AQ21" s="222"/>
      <c r="AR21" s="1579">
        <v>359.9</v>
      </c>
      <c r="AS21" s="238"/>
      <c r="AT21" s="1579">
        <v>346.8</v>
      </c>
      <c r="AU21" s="238"/>
      <c r="AV21" s="2053">
        <v>340.8</v>
      </c>
      <c r="AW21" s="238"/>
      <c r="AX21" s="238">
        <f>+AV21</f>
        <v>340.8</v>
      </c>
      <c r="AY21" s="238"/>
      <c r="AZ21" s="238">
        <f>+AX21</f>
        <v>340.8</v>
      </c>
      <c r="BA21" s="238"/>
      <c r="BB21" s="238">
        <f>+AZ21</f>
        <v>340.8</v>
      </c>
      <c r="BC21" s="238"/>
      <c r="BD21" s="238">
        <f>+BB21</f>
        <v>340.8</v>
      </c>
      <c r="BE21" s="238"/>
      <c r="BF21" s="253">
        <f>+BD21</f>
        <v>340.8</v>
      </c>
      <c r="BG21" s="238"/>
      <c r="BH21" s="238"/>
      <c r="BI21" s="222"/>
    </row>
    <row r="22" spans="1:61">
      <c r="A22" s="222"/>
      <c r="B22" s="222" t="s">
        <v>286</v>
      </c>
      <c r="C22" s="222"/>
      <c r="D22" s="245"/>
      <c r="E22" s="226"/>
      <c r="F22" s="245"/>
      <c r="G22" s="226"/>
      <c r="H22" s="245"/>
      <c r="I22" s="226"/>
      <c r="J22" s="246">
        <v>-11.087999999999999</v>
      </c>
      <c r="K22" s="226"/>
      <c r="L22" s="245">
        <v>54.15</v>
      </c>
      <c r="M22" s="222"/>
      <c r="N22" s="245">
        <v>63.783000000000001</v>
      </c>
      <c r="O22" s="226"/>
      <c r="P22" s="245">
        <v>0</v>
      </c>
      <c r="Q22" s="226"/>
      <c r="R22" s="245">
        <v>0</v>
      </c>
      <c r="S22" s="226"/>
      <c r="T22" s="245">
        <v>0</v>
      </c>
      <c r="U22" s="226"/>
      <c r="V22" s="245">
        <v>0</v>
      </c>
      <c r="W22" s="226"/>
      <c r="X22" s="245">
        <v>0</v>
      </c>
      <c r="Y22" s="226"/>
      <c r="Z22" s="245">
        <v>0</v>
      </c>
      <c r="AA22" s="226"/>
      <c r="AB22" s="237">
        <v>0</v>
      </c>
      <c r="AC22" s="226"/>
      <c r="AD22" s="237">
        <f>+AB22</f>
        <v>0</v>
      </c>
      <c r="AE22" s="222"/>
      <c r="AF22" s="237">
        <f>+AD22</f>
        <v>0</v>
      </c>
      <c r="AG22" s="222"/>
      <c r="AH22" s="237">
        <v>0</v>
      </c>
      <c r="AI22" s="222"/>
      <c r="AJ22" s="252">
        <v>0</v>
      </c>
      <c r="AK22" s="222"/>
      <c r="AL22" s="252">
        <f>+AJ22</f>
        <v>0</v>
      </c>
      <c r="AM22" s="222"/>
      <c r="AN22" s="252">
        <v>0</v>
      </c>
      <c r="AO22" s="222"/>
      <c r="AP22" s="252">
        <v>0</v>
      </c>
      <c r="AQ22" s="222"/>
      <c r="AR22" s="1579">
        <v>0</v>
      </c>
      <c r="AS22" s="238"/>
      <c r="AT22" s="1579">
        <v>0</v>
      </c>
      <c r="AU22" s="238"/>
      <c r="AV22" s="2053">
        <v>0</v>
      </c>
      <c r="AW22" s="238"/>
      <c r="AX22" s="238">
        <f>+AV22</f>
        <v>0</v>
      </c>
      <c r="AY22" s="238"/>
      <c r="AZ22" s="238">
        <f>+AX22</f>
        <v>0</v>
      </c>
      <c r="BA22" s="238"/>
      <c r="BB22" s="238">
        <f>+AZ22</f>
        <v>0</v>
      </c>
      <c r="BC22" s="238"/>
      <c r="BD22" s="238">
        <f>+BB22</f>
        <v>0</v>
      </c>
      <c r="BE22" s="238"/>
      <c r="BF22" s="253">
        <f>+BD22</f>
        <v>0</v>
      </c>
      <c r="BG22" s="238"/>
      <c r="BH22" s="238"/>
      <c r="BI22" s="222"/>
    </row>
    <row r="23" spans="1:61">
      <c r="A23" s="222"/>
      <c r="B23" s="222" t="s">
        <v>622</v>
      </c>
      <c r="C23" s="222"/>
      <c r="D23" s="245"/>
      <c r="E23" s="226"/>
      <c r="F23" s="245"/>
      <c r="G23" s="226"/>
      <c r="H23" s="245"/>
      <c r="I23" s="226"/>
      <c r="J23" s="245"/>
      <c r="K23" s="226"/>
      <c r="L23" s="245"/>
      <c r="M23" s="222"/>
      <c r="N23" s="245">
        <v>15.808999999999999</v>
      </c>
      <c r="O23" s="226"/>
      <c r="P23" s="245">
        <v>1.3819999999999999</v>
      </c>
      <c r="Q23" s="226"/>
      <c r="R23" s="245">
        <v>14.968</v>
      </c>
      <c r="S23" s="226"/>
      <c r="T23" s="245">
        <v>19.056999999999999</v>
      </c>
      <c r="U23" s="226"/>
      <c r="V23" s="245">
        <v>21.125</v>
      </c>
      <c r="W23" s="226"/>
      <c r="X23" s="245">
        <v>29.526</v>
      </c>
      <c r="Y23" s="226"/>
      <c r="Z23" s="245">
        <v>29.611999999999998</v>
      </c>
      <c r="AA23" s="226"/>
      <c r="AB23" s="237">
        <v>29.15</v>
      </c>
      <c r="AC23" s="226"/>
      <c r="AD23" s="237">
        <v>75.656999999999996</v>
      </c>
      <c r="AE23" s="222"/>
      <c r="AF23" s="237">
        <v>116.678</v>
      </c>
      <c r="AG23" s="222"/>
      <c r="AH23" s="237">
        <v>137.886</v>
      </c>
      <c r="AI23" s="222"/>
      <c r="AJ23" s="252">
        <v>155.93100000000001</v>
      </c>
      <c r="AK23" s="222"/>
      <c r="AL23" s="252">
        <v>174.298</v>
      </c>
      <c r="AM23" s="222"/>
      <c r="AN23" s="252">
        <v>129.167</v>
      </c>
      <c r="AO23" s="222"/>
      <c r="AP23" s="252">
        <v>126.745</v>
      </c>
      <c r="AQ23" s="222"/>
      <c r="AR23" s="1579">
        <v>111.9</v>
      </c>
      <c r="AS23" s="238"/>
      <c r="AT23" s="1579">
        <v>143.69999999999999</v>
      </c>
      <c r="AU23" s="238"/>
      <c r="AV23" s="2053">
        <v>120</v>
      </c>
      <c r="AW23" s="238"/>
      <c r="AX23" s="238">
        <f>+AV23</f>
        <v>120</v>
      </c>
      <c r="AY23" s="238"/>
      <c r="AZ23" s="238">
        <f>+AX23</f>
        <v>120</v>
      </c>
      <c r="BA23" s="238"/>
      <c r="BB23" s="238">
        <f>+AZ23</f>
        <v>120</v>
      </c>
      <c r="BC23" s="238"/>
      <c r="BD23" s="238">
        <f>+BB23</f>
        <v>120</v>
      </c>
      <c r="BE23" s="238"/>
      <c r="BF23" s="253">
        <f>+BD23</f>
        <v>120</v>
      </c>
      <c r="BG23" s="238"/>
      <c r="BH23" s="238"/>
      <c r="BI23" s="222"/>
    </row>
    <row r="24" spans="1:61">
      <c r="A24" s="222"/>
      <c r="B24" s="222"/>
      <c r="C24" s="222"/>
      <c r="D24" s="222"/>
      <c r="E24" s="222"/>
      <c r="F24" s="222"/>
      <c r="G24" s="222"/>
      <c r="H24" s="222"/>
      <c r="I24" s="222"/>
      <c r="J24" s="222"/>
      <c r="K24" s="222"/>
      <c r="L24" s="222"/>
      <c r="M24" s="222"/>
      <c r="N24" s="222"/>
      <c r="O24" s="222"/>
      <c r="P24" s="222"/>
      <c r="Q24" s="222"/>
      <c r="R24" s="222"/>
      <c r="S24" s="222"/>
      <c r="T24" s="222"/>
      <c r="U24" s="222"/>
      <c r="V24" s="222"/>
      <c r="W24" s="222"/>
      <c r="X24" s="247"/>
      <c r="Y24" s="222"/>
      <c r="Z24" s="222"/>
      <c r="AA24" s="222"/>
      <c r="AB24" s="222"/>
      <c r="AC24" s="222"/>
      <c r="AD24" s="222"/>
      <c r="AE24" s="222"/>
      <c r="AF24" s="222"/>
      <c r="AG24" s="222"/>
      <c r="AH24" s="222"/>
      <c r="AI24" s="222"/>
      <c r="AJ24" s="236"/>
      <c r="AK24" s="222"/>
      <c r="AL24" s="236"/>
      <c r="AM24" s="222"/>
      <c r="AN24" s="222"/>
      <c r="AO24" s="222"/>
      <c r="AP24" s="222"/>
      <c r="AQ24" s="222"/>
      <c r="AR24" s="222"/>
      <c r="AS24" s="222"/>
      <c r="AT24" s="222"/>
      <c r="AU24" s="222"/>
      <c r="AV24" s="222"/>
      <c r="AW24" s="222"/>
      <c r="AX24" s="222"/>
      <c r="AY24" s="222"/>
      <c r="AZ24" s="222"/>
      <c r="BA24" s="222"/>
      <c r="BB24" s="222"/>
      <c r="BC24" s="222"/>
      <c r="BD24" s="222"/>
      <c r="BE24" s="222"/>
      <c r="BF24" s="236"/>
      <c r="BG24" s="222"/>
      <c r="BH24" s="222"/>
      <c r="BI24" s="222"/>
    </row>
    <row r="25" spans="1:61">
      <c r="A25" s="222" t="s">
        <v>442</v>
      </c>
      <c r="B25" s="222"/>
      <c r="C25" s="222"/>
      <c r="D25" s="248" t="e">
        <f>D14+D17+D21+D23</f>
        <v>#REF!</v>
      </c>
      <c r="E25" s="222"/>
      <c r="F25" s="248" t="e">
        <f>F14+F17+F21+F23</f>
        <v>#REF!</v>
      </c>
      <c r="G25" s="222"/>
      <c r="H25" s="248">
        <f>H14+H17+H21+H23</f>
        <v>0.18699999999994776</v>
      </c>
      <c r="I25" s="222"/>
      <c r="J25" s="248">
        <f>J14+J17+J21+J23</f>
        <v>236.85999999999996</v>
      </c>
      <c r="K25" s="222"/>
      <c r="L25" s="248">
        <f>SUM(L14:L23)</f>
        <v>282.08799999999997</v>
      </c>
      <c r="M25" s="222"/>
      <c r="N25" s="248">
        <f>SUM(N14,N17:N23)</f>
        <v>296.65300000000002</v>
      </c>
      <c r="O25" s="248">
        <f t="shared" ref="O25:AX25" si="0">SUM(O14,O17:O23)</f>
        <v>0</v>
      </c>
      <c r="P25" s="248">
        <f t="shared" si="0"/>
        <v>258.71100000000007</v>
      </c>
      <c r="Q25" s="248">
        <f t="shared" si="0"/>
        <v>0</v>
      </c>
      <c r="R25" s="248">
        <f t="shared" si="0"/>
        <v>440.57099999999997</v>
      </c>
      <c r="S25" s="248">
        <f t="shared" si="0"/>
        <v>0</v>
      </c>
      <c r="T25" s="248">
        <f t="shared" si="0"/>
        <v>617.65200000000004</v>
      </c>
      <c r="U25" s="248">
        <f t="shared" si="0"/>
        <v>0</v>
      </c>
      <c r="V25" s="248">
        <f t="shared" si="0"/>
        <v>1044.4249999999997</v>
      </c>
      <c r="W25" s="248">
        <f t="shared" si="0"/>
        <v>0</v>
      </c>
      <c r="X25" s="248">
        <f t="shared" si="0"/>
        <v>1370.1570000000002</v>
      </c>
      <c r="Y25" s="248">
        <f t="shared" si="0"/>
        <v>0</v>
      </c>
      <c r="Z25" s="248">
        <f t="shared" si="0"/>
        <v>1626.52</v>
      </c>
      <c r="AA25" s="248">
        <f t="shared" si="0"/>
        <v>0</v>
      </c>
      <c r="AB25" s="248">
        <f t="shared" si="0"/>
        <v>2449.5119999999988</v>
      </c>
      <c r="AC25" s="248">
        <f t="shared" si="0"/>
        <v>0</v>
      </c>
      <c r="AD25" s="248">
        <f t="shared" si="0"/>
        <v>2247.3529999999996</v>
      </c>
      <c r="AE25" s="248">
        <f t="shared" si="0"/>
        <v>0</v>
      </c>
      <c r="AF25" s="248">
        <f t="shared" si="0"/>
        <v>2564.3359999999993</v>
      </c>
      <c r="AG25" s="248">
        <f t="shared" si="0"/>
        <v>0</v>
      </c>
      <c r="AH25" s="248">
        <f t="shared" si="0"/>
        <v>2467.1149999999989</v>
      </c>
      <c r="AI25" s="248">
        <f t="shared" si="0"/>
        <v>0</v>
      </c>
      <c r="AJ25" s="248">
        <f t="shared" si="0"/>
        <v>2635.1159999999991</v>
      </c>
      <c r="AK25" s="248"/>
      <c r="AL25" s="248">
        <f t="shared" si="0"/>
        <v>3104.320999999999</v>
      </c>
      <c r="AM25" s="248"/>
      <c r="AN25" s="248">
        <f t="shared" si="0"/>
        <v>3531.8849999999984</v>
      </c>
      <c r="AO25" s="248"/>
      <c r="AP25" s="248">
        <f t="shared" si="0"/>
        <v>3663.1359999999991</v>
      </c>
      <c r="AQ25" s="248"/>
      <c r="AR25" s="248">
        <f>SUM(AR14,AR17:AR23)</f>
        <v>4666.9279999999981</v>
      </c>
      <c r="AS25" s="248"/>
      <c r="AT25" s="248">
        <f t="shared" si="0"/>
        <v>4892.7279999999982</v>
      </c>
      <c r="AU25" s="248"/>
      <c r="AV25" s="248">
        <f t="shared" si="0"/>
        <v>5831.6479999999992</v>
      </c>
      <c r="AW25" s="248"/>
      <c r="AX25" s="248">
        <f t="shared" si="0"/>
        <v>7022.2711753956264</v>
      </c>
      <c r="AY25" s="248"/>
      <c r="AZ25" s="248">
        <f>SUM(AZ14,AZ17:AZ23)</f>
        <v>7526.794348151644</v>
      </c>
      <c r="BA25" s="248"/>
      <c r="BB25" s="248">
        <f>SUM(BB14,BB17:BB23)</f>
        <v>8071.644146554906</v>
      </c>
      <c r="BC25" s="248"/>
      <c r="BD25" s="248">
        <f>SUM(BD14,BD17:BD23)</f>
        <v>8648.5596383157445</v>
      </c>
      <c r="BE25" s="1364"/>
      <c r="BF25" s="257">
        <f>SUM(BF14,BF17:BF23)</f>
        <v>9271.195193443642</v>
      </c>
      <c r="BG25" s="1364"/>
      <c r="BH25" s="1364"/>
      <c r="BI25" s="222"/>
    </row>
    <row r="26" spans="1:61">
      <c r="A26" s="222"/>
      <c r="B26" s="222"/>
      <c r="C26" s="222"/>
      <c r="D26" s="249"/>
      <c r="E26" s="222"/>
      <c r="F26" s="249"/>
      <c r="G26" s="222"/>
      <c r="H26" s="249"/>
      <c r="I26" s="222"/>
      <c r="J26" s="249"/>
      <c r="K26" s="222"/>
      <c r="L26" s="249"/>
      <c r="M26" s="222"/>
      <c r="N26" s="249"/>
      <c r="O26" s="222"/>
      <c r="P26" s="249"/>
      <c r="Q26" s="222"/>
      <c r="R26" s="249"/>
      <c r="S26" s="222"/>
      <c r="T26" s="249"/>
      <c r="U26" s="222"/>
      <c r="V26" s="222"/>
      <c r="W26" s="222"/>
      <c r="X26" s="222"/>
      <c r="Y26" s="222"/>
      <c r="Z26" s="222"/>
      <c r="AA26" s="222"/>
      <c r="AB26" s="222"/>
      <c r="AC26" s="222"/>
      <c r="AD26" s="222"/>
      <c r="AE26" s="222"/>
      <c r="AF26" s="222"/>
      <c r="AG26" s="222"/>
      <c r="AH26" s="222"/>
      <c r="AI26" s="222"/>
      <c r="AJ26" s="236"/>
      <c r="AK26" s="222"/>
      <c r="AL26" s="236"/>
      <c r="AM26" s="222"/>
      <c r="AN26" s="222"/>
      <c r="AO26" s="222"/>
      <c r="AP26" s="222"/>
      <c r="AQ26" s="222"/>
      <c r="AR26" s="238"/>
      <c r="AS26" s="222"/>
      <c r="AT26" s="222"/>
      <c r="AU26" s="222"/>
      <c r="AV26" s="222"/>
      <c r="AW26" s="222"/>
      <c r="AX26" s="222"/>
      <c r="AY26" s="222"/>
      <c r="AZ26" s="222"/>
      <c r="BA26" s="222"/>
      <c r="BB26" s="222"/>
      <c r="BC26" s="222"/>
      <c r="BD26" s="222"/>
      <c r="BE26" s="222"/>
      <c r="BF26" s="236"/>
      <c r="BG26" s="222"/>
      <c r="BH26" s="222"/>
      <c r="BI26" s="222"/>
    </row>
    <row r="27" spans="1:61">
      <c r="A27" s="234" t="s">
        <v>472</v>
      </c>
      <c r="B27" s="222"/>
      <c r="C27" s="222"/>
      <c r="D27" s="222"/>
      <c r="E27" s="222"/>
      <c r="F27" s="222"/>
      <c r="G27" s="222"/>
      <c r="H27" s="222"/>
      <c r="I27" s="222"/>
      <c r="J27" s="222"/>
      <c r="K27" s="222"/>
      <c r="L27" s="222"/>
      <c r="M27" s="222"/>
      <c r="N27" s="222"/>
      <c r="O27" s="222"/>
      <c r="P27" s="222"/>
      <c r="Q27" s="222"/>
      <c r="R27" s="222"/>
      <c r="S27" s="222"/>
      <c r="T27" s="222"/>
      <c r="U27" s="222"/>
      <c r="V27" s="222"/>
      <c r="W27" s="222"/>
      <c r="X27" s="222"/>
      <c r="Y27" s="222"/>
      <c r="Z27" s="243"/>
      <c r="AA27" s="222"/>
      <c r="AB27" s="222"/>
      <c r="AC27" s="222"/>
      <c r="AD27" s="222"/>
      <c r="AE27" s="222"/>
      <c r="AF27" s="222"/>
      <c r="AG27" s="222"/>
      <c r="AH27" s="222"/>
      <c r="AI27" s="222"/>
      <c r="AJ27" s="236"/>
      <c r="AK27" s="222"/>
      <c r="AL27" s="235"/>
      <c r="AM27" s="222"/>
      <c r="AN27" s="222"/>
      <c r="AO27" s="222"/>
      <c r="AP27" s="222"/>
      <c r="AQ27" s="222"/>
      <c r="AR27" s="697"/>
      <c r="AS27" s="222"/>
      <c r="AT27" s="222"/>
      <c r="AU27" s="222"/>
      <c r="AV27" s="222"/>
      <c r="AW27" s="222"/>
      <c r="AX27" s="222"/>
      <c r="AY27" s="222"/>
      <c r="AZ27" s="222"/>
      <c r="BA27" s="222"/>
      <c r="BB27" s="222"/>
      <c r="BC27" s="222"/>
      <c r="BD27" s="222"/>
      <c r="BE27" s="222"/>
      <c r="BF27" s="236"/>
      <c r="BG27" s="222"/>
      <c r="BH27" s="222"/>
      <c r="BI27" s="222"/>
    </row>
    <row r="28" spans="1:61">
      <c r="A28" s="222"/>
      <c r="B28" s="222"/>
      <c r="C28" s="222"/>
      <c r="D28" s="222"/>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36"/>
      <c r="AK28" s="222"/>
      <c r="AL28" s="236"/>
      <c r="AM28" s="222"/>
      <c r="AN28" s="222"/>
      <c r="AO28" s="222"/>
      <c r="AP28" s="222"/>
      <c r="AQ28" s="222"/>
      <c r="AR28" s="222"/>
      <c r="AS28" s="222"/>
      <c r="AT28" s="222"/>
      <c r="AU28" s="222"/>
      <c r="AV28" s="222"/>
      <c r="AW28" s="222"/>
      <c r="AX28" s="222"/>
      <c r="AY28" s="222"/>
      <c r="AZ28" s="222"/>
      <c r="BA28" s="222"/>
      <c r="BB28" s="222"/>
      <c r="BC28" s="222"/>
      <c r="BD28" s="222"/>
      <c r="BE28" s="222"/>
      <c r="BF28" s="236"/>
      <c r="BG28" s="222"/>
      <c r="BH28" s="222"/>
      <c r="BI28" s="222"/>
    </row>
    <row r="29" spans="1:61">
      <c r="A29" s="234" t="s">
        <v>473</v>
      </c>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36"/>
      <c r="AK29" s="222"/>
      <c r="AL29" s="236"/>
      <c r="AM29" s="222"/>
      <c r="AN29" s="222"/>
      <c r="AO29" s="222"/>
      <c r="AP29" s="222"/>
      <c r="AQ29" s="222"/>
      <c r="AR29" s="222"/>
      <c r="AS29" s="222"/>
      <c r="AT29" s="222"/>
      <c r="AU29" s="222"/>
      <c r="AV29" s="222"/>
      <c r="AW29" s="222"/>
      <c r="AX29" s="222"/>
      <c r="AY29" s="222"/>
      <c r="AZ29" s="222"/>
      <c r="BA29" s="222"/>
      <c r="BB29" s="222"/>
      <c r="BC29" s="222"/>
      <c r="BD29" s="222"/>
      <c r="BE29" s="222"/>
      <c r="BF29" s="236"/>
      <c r="BG29" s="222"/>
      <c r="BH29" s="222"/>
      <c r="BI29" s="222"/>
    </row>
    <row r="30" spans="1:61">
      <c r="A30" s="222"/>
      <c r="B30" s="236" t="s">
        <v>474</v>
      </c>
      <c r="C30" s="222"/>
      <c r="D30" s="250"/>
      <c r="E30" s="222"/>
      <c r="F30" s="251"/>
      <c r="G30" s="222"/>
      <c r="H30" s="250"/>
      <c r="I30" s="222"/>
      <c r="J30" s="251">
        <v>12.044</v>
      </c>
      <c r="K30" s="222"/>
      <c r="L30" s="250">
        <v>10.122</v>
      </c>
      <c r="M30" s="222"/>
      <c r="N30" s="250">
        <v>7.8659999999999997</v>
      </c>
      <c r="O30" s="222"/>
      <c r="P30" s="251">
        <v>14.313000000000001</v>
      </c>
      <c r="Q30" s="222"/>
      <c r="R30" s="250">
        <v>25.818999999999999</v>
      </c>
      <c r="S30" s="222"/>
      <c r="T30" s="250">
        <v>26.637</v>
      </c>
      <c r="U30" s="222"/>
      <c r="V30" s="250">
        <v>44.771000000000001</v>
      </c>
      <c r="W30" s="222"/>
      <c r="X30" s="250">
        <v>64.984999999999999</v>
      </c>
      <c r="Y30" s="222"/>
      <c r="Z30" s="250">
        <v>79.819000000000003</v>
      </c>
      <c r="AA30" s="222"/>
      <c r="AB30" s="250">
        <v>109.309</v>
      </c>
      <c r="AC30" s="222"/>
      <c r="AD30" s="250">
        <v>134.726</v>
      </c>
      <c r="AE30" s="222"/>
      <c r="AF30" s="250">
        <v>103.029</v>
      </c>
      <c r="AG30" s="222"/>
      <c r="AH30" s="250">
        <v>105.569</v>
      </c>
      <c r="AI30" s="222"/>
      <c r="AJ30" s="251">
        <v>118.61199999999999</v>
      </c>
      <c r="AK30" s="222"/>
      <c r="AL30" s="251">
        <v>155.387</v>
      </c>
      <c r="AM30" s="222"/>
      <c r="AN30" s="251">
        <v>178.857</v>
      </c>
      <c r="AO30" s="222"/>
      <c r="AP30" s="251">
        <v>153.87</v>
      </c>
      <c r="AQ30" s="222"/>
      <c r="AR30" s="1580">
        <v>222.8</v>
      </c>
      <c r="AS30" s="243"/>
      <c r="AT30" s="1580">
        <v>186.7</v>
      </c>
      <c r="AU30" s="243"/>
      <c r="AV30" s="2055">
        <v>194.6</v>
      </c>
      <c r="AW30" s="243"/>
      <c r="AX30" s="243">
        <f>AX74*AX11</f>
        <v>242.3590546067353</v>
      </c>
      <c r="AY30" s="243"/>
      <c r="AZ30" s="243">
        <f>AZ74*AZ11</f>
        <v>250.08375490796035</v>
      </c>
      <c r="BA30" s="243"/>
      <c r="BB30" s="243">
        <f>BB74*BB11</f>
        <v>257.26025230781863</v>
      </c>
      <c r="BC30" s="243"/>
      <c r="BD30" s="243">
        <f>BD74*BD11</f>
        <v>264.62900857016211</v>
      </c>
      <c r="BE30" s="243"/>
      <c r="BF30" s="235">
        <f>BF74*BF11</f>
        <v>272.21450153183332</v>
      </c>
      <c r="BG30" s="243"/>
      <c r="BH30" s="243"/>
      <c r="BI30" s="222"/>
    </row>
    <row r="31" spans="1:61">
      <c r="A31" s="222"/>
      <c r="B31" s="236" t="s">
        <v>194</v>
      </c>
      <c r="C31" s="222"/>
      <c r="D31" s="237"/>
      <c r="E31" s="222"/>
      <c r="F31" s="237"/>
      <c r="G31" s="222"/>
      <c r="H31" s="237"/>
      <c r="I31" s="222"/>
      <c r="J31" s="237">
        <f>7.033+3.837+17.036+11.515+7+2.397</f>
        <v>48.818000000000005</v>
      </c>
      <c r="K31" s="222"/>
      <c r="L31" s="237">
        <f>7.583+5.694+28.169+11.855+6.1+1.354</f>
        <v>60.755000000000003</v>
      </c>
      <c r="M31" s="222"/>
      <c r="N31" s="237">
        <v>71.692999999999998</v>
      </c>
      <c r="O31" s="222"/>
      <c r="P31" s="237">
        <v>82.39</v>
      </c>
      <c r="Q31" s="222"/>
      <c r="R31" s="237">
        <v>99.364999999999995</v>
      </c>
      <c r="S31" s="222"/>
      <c r="T31" s="237">
        <v>108.273</v>
      </c>
      <c r="U31" s="222"/>
      <c r="V31" s="252">
        <v>123.64700000000001</v>
      </c>
      <c r="W31" s="222"/>
      <c r="X31" s="237">
        <v>188.23400000000001</v>
      </c>
      <c r="Y31" s="222"/>
      <c r="Z31" s="237">
        <v>261.83499999999998</v>
      </c>
      <c r="AA31" s="222"/>
      <c r="AB31" s="237">
        <v>298.452</v>
      </c>
      <c r="AC31" s="222"/>
      <c r="AD31" s="237">
        <v>315.93</v>
      </c>
      <c r="AE31" s="222"/>
      <c r="AF31" s="237">
        <v>348.61900000000003</v>
      </c>
      <c r="AG31" s="222"/>
      <c r="AH31" s="237">
        <v>422.72500000000002</v>
      </c>
      <c r="AI31" s="222"/>
      <c r="AJ31" s="252">
        <v>473.61</v>
      </c>
      <c r="AK31" s="222"/>
      <c r="AL31" s="252">
        <v>540.39800000000002</v>
      </c>
      <c r="AM31" s="222"/>
      <c r="AN31" s="252">
        <v>543.15300000000002</v>
      </c>
      <c r="AO31" s="222"/>
      <c r="AP31" s="252">
        <v>518.76300000000003</v>
      </c>
      <c r="AQ31" s="222"/>
      <c r="AR31" s="1579">
        <v>600.6</v>
      </c>
      <c r="AS31" s="238"/>
      <c r="AT31" s="1579">
        <v>625</v>
      </c>
      <c r="AU31" s="238"/>
      <c r="AV31" s="2053">
        <v>559.20000000000005</v>
      </c>
      <c r="AW31" s="238"/>
      <c r="AX31" s="238">
        <f>AX68*AX75</f>
        <v>807.26753384406334</v>
      </c>
      <c r="AY31" s="238"/>
      <c r="AZ31" s="238">
        <f>AZ68*AZ75</f>
        <v>819.57589206728642</v>
      </c>
      <c r="BA31" s="238"/>
      <c r="BB31" s="238">
        <f>BB68*BB75</f>
        <v>843.09474982184986</v>
      </c>
      <c r="BC31" s="238"/>
      <c r="BD31" s="238">
        <f>BD68*BD75</f>
        <v>866.19459430884342</v>
      </c>
      <c r="BE31" s="238"/>
      <c r="BF31" s="253">
        <f>BF68*BF75</f>
        <v>887.42655387607306</v>
      </c>
      <c r="BG31" s="238"/>
      <c r="BH31" s="238"/>
      <c r="BI31" s="222"/>
    </row>
    <row r="32" spans="1:61">
      <c r="A32" s="222"/>
      <c r="B32" s="236" t="s">
        <v>618</v>
      </c>
      <c r="C32" s="222"/>
      <c r="D32" s="237"/>
      <c r="E32" s="222"/>
      <c r="F32" s="237"/>
      <c r="G32" s="222"/>
      <c r="H32" s="237"/>
      <c r="I32" s="222"/>
      <c r="J32" s="237"/>
      <c r="K32" s="222"/>
      <c r="L32" s="237"/>
      <c r="M32" s="222"/>
      <c r="N32" s="237">
        <v>0</v>
      </c>
      <c r="O32" s="222"/>
      <c r="P32" s="237">
        <v>0</v>
      </c>
      <c r="Q32" s="222"/>
      <c r="R32" s="237">
        <v>0</v>
      </c>
      <c r="S32" s="222"/>
      <c r="T32" s="237">
        <v>0</v>
      </c>
      <c r="U32" s="222"/>
      <c r="V32" s="252">
        <v>0</v>
      </c>
      <c r="W32" s="222"/>
      <c r="X32" s="237">
        <v>0</v>
      </c>
      <c r="Y32" s="222"/>
      <c r="Z32" s="237">
        <v>0</v>
      </c>
      <c r="AA32" s="222"/>
      <c r="AB32" s="237">
        <v>0</v>
      </c>
      <c r="AC32" s="239"/>
      <c r="AD32" s="237">
        <v>0</v>
      </c>
      <c r="AE32" s="222"/>
      <c r="AF32" s="237">
        <v>0</v>
      </c>
      <c r="AG32" s="222"/>
      <c r="AH32" s="237">
        <v>0</v>
      </c>
      <c r="AI32" s="222"/>
      <c r="AJ32" s="252">
        <v>0</v>
      </c>
      <c r="AK32" s="222"/>
      <c r="AL32" s="252">
        <v>0</v>
      </c>
      <c r="AM32" s="222"/>
      <c r="AN32" s="252">
        <f>+AL32</f>
        <v>0</v>
      </c>
      <c r="AO32" s="222"/>
      <c r="AP32" s="252">
        <v>0</v>
      </c>
      <c r="AQ32" s="222"/>
      <c r="AR32" s="1579">
        <f>+AP32</f>
        <v>0</v>
      </c>
      <c r="AS32" s="238"/>
      <c r="AT32" s="1579">
        <v>0</v>
      </c>
      <c r="AU32" s="238"/>
      <c r="AV32" s="2053">
        <v>0</v>
      </c>
      <c r="AW32" s="238"/>
      <c r="AX32" s="238">
        <f>+AV32</f>
        <v>0</v>
      </c>
      <c r="AY32" s="238"/>
      <c r="AZ32" s="238">
        <f>+AX32</f>
        <v>0</v>
      </c>
      <c r="BA32" s="238"/>
      <c r="BB32" s="238">
        <f>+AZ32</f>
        <v>0</v>
      </c>
      <c r="BC32" s="238"/>
      <c r="BD32" s="238">
        <f>+BB32</f>
        <v>0</v>
      </c>
      <c r="BE32" s="238"/>
      <c r="BF32" s="253">
        <f>+BD32</f>
        <v>0</v>
      </c>
      <c r="BG32" s="238"/>
      <c r="BH32" s="238"/>
      <c r="BI32" s="222"/>
    </row>
    <row r="33" spans="1:61">
      <c r="A33" s="236"/>
      <c r="B33" s="236" t="s">
        <v>195</v>
      </c>
      <c r="C33" s="236"/>
      <c r="D33" s="249"/>
      <c r="E33" s="236"/>
      <c r="F33" s="249"/>
      <c r="G33" s="236"/>
      <c r="H33" s="249"/>
      <c r="I33" s="236"/>
      <c r="J33" s="249"/>
      <c r="K33" s="236"/>
      <c r="L33" s="249"/>
      <c r="M33" s="236"/>
      <c r="N33" s="249">
        <v>0</v>
      </c>
      <c r="O33" s="236"/>
      <c r="P33" s="249">
        <v>7.7</v>
      </c>
      <c r="Q33" s="236"/>
      <c r="R33" s="249">
        <v>34.168999999999997</v>
      </c>
      <c r="S33" s="236"/>
      <c r="T33" s="249">
        <v>26.471</v>
      </c>
      <c r="U33" s="236"/>
      <c r="V33" s="249">
        <v>1.6990000000000001</v>
      </c>
      <c r="W33" s="236"/>
      <c r="X33" s="249">
        <v>12.292</v>
      </c>
      <c r="Y33" s="236"/>
      <c r="Z33" s="249">
        <v>0</v>
      </c>
      <c r="AA33" s="236"/>
      <c r="AB33" s="249">
        <v>0</v>
      </c>
      <c r="AC33" s="254"/>
      <c r="AD33" s="249">
        <v>0</v>
      </c>
      <c r="AE33" s="236"/>
      <c r="AF33" s="249">
        <v>7.4960000000000004</v>
      </c>
      <c r="AG33" s="236"/>
      <c r="AH33" s="249">
        <v>0</v>
      </c>
      <c r="AI33" s="236"/>
      <c r="AJ33" s="249">
        <v>0</v>
      </c>
      <c r="AK33" s="236"/>
      <c r="AL33" s="249">
        <v>0</v>
      </c>
      <c r="AM33" s="236"/>
      <c r="AN33" s="249">
        <v>0</v>
      </c>
      <c r="AO33" s="236"/>
      <c r="AP33" s="249">
        <v>140.48500000000001</v>
      </c>
      <c r="AQ33" s="236"/>
      <c r="AR33" s="1600">
        <v>11.3</v>
      </c>
      <c r="AS33" s="249"/>
      <c r="AT33" s="1600">
        <v>15</v>
      </c>
      <c r="AU33" s="249"/>
      <c r="AV33" s="2056">
        <v>0</v>
      </c>
      <c r="AW33" s="249"/>
      <c r="AX33" s="249">
        <f>AV33-flow!AX40</f>
        <v>0</v>
      </c>
      <c r="AY33" s="249"/>
      <c r="AZ33" s="249">
        <f>AX33-flow!AZ40</f>
        <v>0</v>
      </c>
      <c r="BA33" s="249"/>
      <c r="BB33" s="249">
        <f>AZ33-flow!BB40</f>
        <v>0</v>
      </c>
      <c r="BC33" s="249"/>
      <c r="BD33" s="249">
        <f>BB33-flow!BD40</f>
        <v>0</v>
      </c>
      <c r="BE33" s="249"/>
      <c r="BF33" s="249">
        <f>BD33-flow!BF40</f>
        <v>0</v>
      </c>
      <c r="BG33" s="249"/>
      <c r="BH33" s="249"/>
      <c r="BI33" s="236"/>
    </row>
    <row r="34" spans="1:61">
      <c r="A34" s="236"/>
      <c r="B34" s="236" t="s">
        <v>55</v>
      </c>
      <c r="C34" s="236"/>
      <c r="D34" s="249"/>
      <c r="E34" s="236"/>
      <c r="F34" s="249"/>
      <c r="G34" s="236"/>
      <c r="H34" s="249"/>
      <c r="I34" s="236"/>
      <c r="J34" s="249">
        <v>6.0190000000000001</v>
      </c>
      <c r="K34" s="236"/>
      <c r="L34" s="249">
        <v>4.0229999999999997</v>
      </c>
      <c r="M34" s="236"/>
      <c r="N34" s="249">
        <v>0</v>
      </c>
      <c r="O34" s="236"/>
      <c r="P34" s="249">
        <v>0</v>
      </c>
      <c r="Q34" s="236"/>
      <c r="R34" s="249">
        <v>0</v>
      </c>
      <c r="S34" s="236"/>
      <c r="T34" s="249">
        <v>0</v>
      </c>
      <c r="U34" s="236"/>
      <c r="V34" s="249">
        <v>0</v>
      </c>
      <c r="W34" s="236"/>
      <c r="X34" s="249">
        <v>0</v>
      </c>
      <c r="Y34" s="236"/>
      <c r="Z34" s="249">
        <v>0</v>
      </c>
      <c r="AA34" s="236"/>
      <c r="AB34" s="249">
        <v>0</v>
      </c>
      <c r="AC34" s="254"/>
      <c r="AD34" s="249">
        <v>0</v>
      </c>
      <c r="AE34" s="254"/>
      <c r="AF34" s="249">
        <v>0</v>
      </c>
      <c r="AG34" s="254"/>
      <c r="AH34" s="249">
        <v>0</v>
      </c>
      <c r="AI34" s="236"/>
      <c r="AJ34" s="249">
        <v>0</v>
      </c>
      <c r="AK34" s="236"/>
      <c r="AL34" s="249">
        <v>0</v>
      </c>
      <c r="AM34" s="236"/>
      <c r="AN34" s="249">
        <f>+AL34</f>
        <v>0</v>
      </c>
      <c r="AO34" s="236"/>
      <c r="AP34" s="249">
        <v>0</v>
      </c>
      <c r="AQ34" s="236"/>
      <c r="AR34" s="1600">
        <f>+AP34</f>
        <v>0</v>
      </c>
      <c r="AS34" s="424"/>
      <c r="AT34" s="1600">
        <v>0</v>
      </c>
      <c r="AU34" s="424"/>
      <c r="AV34" s="2056">
        <f>+AT34</f>
        <v>0</v>
      </c>
      <c r="AW34" s="424"/>
      <c r="AX34" s="424">
        <f>+AV34</f>
        <v>0</v>
      </c>
      <c r="AY34" s="424"/>
      <c r="AZ34" s="424">
        <f>+AX34</f>
        <v>0</v>
      </c>
      <c r="BA34" s="424"/>
      <c r="BB34" s="424">
        <f>+AZ34</f>
        <v>0</v>
      </c>
      <c r="BC34" s="424"/>
      <c r="BD34" s="424">
        <f>+BB34</f>
        <v>0</v>
      </c>
      <c r="BE34" s="424"/>
      <c r="BF34" s="424">
        <f>+BD34</f>
        <v>0</v>
      </c>
      <c r="BG34" s="424"/>
      <c r="BH34" s="424"/>
      <c r="BI34" s="236"/>
    </row>
    <row r="35" spans="1:61">
      <c r="A35" s="236"/>
      <c r="B35" s="236" t="s">
        <v>196</v>
      </c>
      <c r="C35" s="236"/>
      <c r="D35" s="255"/>
      <c r="E35" s="236"/>
      <c r="F35" s="255"/>
      <c r="G35" s="236"/>
      <c r="H35" s="255"/>
      <c r="I35" s="236"/>
      <c r="J35" s="255">
        <v>3.5000000000000003E-2</v>
      </c>
      <c r="K35" s="236"/>
      <c r="L35" s="255">
        <v>3.5000000000000003E-2</v>
      </c>
      <c r="M35" s="236"/>
      <c r="N35" s="255">
        <v>0.04</v>
      </c>
      <c r="O35" s="236"/>
      <c r="P35" s="255">
        <v>4.4999999999999998E-2</v>
      </c>
      <c r="Q35" s="236"/>
      <c r="R35" s="255">
        <v>7.4999999999999997E-2</v>
      </c>
      <c r="S35" s="236"/>
      <c r="T35" s="255">
        <v>0.08</v>
      </c>
      <c r="U35" s="236"/>
      <c r="V35" s="255">
        <v>0.115</v>
      </c>
      <c r="W35" s="236"/>
      <c r="X35" s="255">
        <v>0.15</v>
      </c>
      <c r="Y35" s="236"/>
      <c r="Z35" s="255">
        <v>0.17</v>
      </c>
      <c r="AA35" s="236"/>
      <c r="AB35" s="255">
        <v>0.23499999999999999</v>
      </c>
      <c r="AC35" s="254"/>
      <c r="AD35" s="255">
        <v>0.28499999999999998</v>
      </c>
      <c r="AE35" s="236"/>
      <c r="AF35" s="255">
        <v>0.50800000000000001</v>
      </c>
      <c r="AG35" s="236"/>
      <c r="AH35" s="255">
        <v>0.74199999999999999</v>
      </c>
      <c r="AI35" s="236"/>
      <c r="AJ35" s="255">
        <v>0.79500000000000004</v>
      </c>
      <c r="AK35" s="236"/>
      <c r="AL35" s="255">
        <v>22.375</v>
      </c>
      <c r="AM35" s="236"/>
      <c r="AN35" s="255">
        <v>0.5</v>
      </c>
      <c r="AO35" s="236"/>
      <c r="AP35" s="255">
        <v>0</v>
      </c>
      <c r="AQ35" s="236"/>
      <c r="AR35" s="1599">
        <v>0</v>
      </c>
      <c r="AS35" s="249"/>
      <c r="AT35" s="255">
        <v>0</v>
      </c>
      <c r="AU35" s="249"/>
      <c r="AV35" s="2057">
        <v>0</v>
      </c>
      <c r="AW35" s="249"/>
      <c r="AX35" s="255">
        <v>0</v>
      </c>
      <c r="AY35" s="249"/>
      <c r="AZ35" s="255">
        <v>0</v>
      </c>
      <c r="BA35" s="249"/>
      <c r="BB35" s="255">
        <v>0</v>
      </c>
      <c r="BC35" s="249"/>
      <c r="BD35" s="255">
        <v>0</v>
      </c>
      <c r="BE35" s="249"/>
      <c r="BF35" s="255">
        <v>0</v>
      </c>
      <c r="BG35" s="249"/>
      <c r="BH35" s="249"/>
      <c r="BI35" s="236"/>
    </row>
    <row r="36" spans="1:61">
      <c r="A36" s="236"/>
      <c r="B36" s="236"/>
      <c r="C36" s="236" t="s">
        <v>475</v>
      </c>
      <c r="D36" s="235">
        <f>SUM(D30:D35)</f>
        <v>0</v>
      </c>
      <c r="E36" s="236"/>
      <c r="F36" s="235">
        <f>SUM(F30:F35)</f>
        <v>0</v>
      </c>
      <c r="G36" s="236"/>
      <c r="H36" s="235">
        <f>SUM(H30:H35)</f>
        <v>0</v>
      </c>
      <c r="I36" s="236"/>
      <c r="J36" s="235">
        <f>SUM(J30:J35)</f>
        <v>66.916000000000011</v>
      </c>
      <c r="K36" s="236"/>
      <c r="L36" s="235">
        <f>SUM(L30:L35)</f>
        <v>74.935000000000002</v>
      </c>
      <c r="M36" s="236"/>
      <c r="N36" s="235">
        <f>SUM(N30:N35)</f>
        <v>79.599000000000004</v>
      </c>
      <c r="O36" s="236"/>
      <c r="P36" s="235">
        <f>SUM(P30:P35)</f>
        <v>104.44800000000001</v>
      </c>
      <c r="Q36" s="236"/>
      <c r="R36" s="235">
        <f>SUM(R30:R35)</f>
        <v>159.428</v>
      </c>
      <c r="S36" s="236"/>
      <c r="T36" s="235">
        <f>SUM(T30:T35)</f>
        <v>161.46100000000001</v>
      </c>
      <c r="U36" s="236"/>
      <c r="V36" s="235">
        <f>SUM(V30:V35)</f>
        <v>170.23200000000003</v>
      </c>
      <c r="W36" s="236"/>
      <c r="X36" s="235">
        <f>SUM(X30:X35)</f>
        <v>265.66099999999994</v>
      </c>
      <c r="Y36" s="236"/>
      <c r="Z36" s="235">
        <f>SUM(Z30:Z35)</f>
        <v>341.82400000000001</v>
      </c>
      <c r="AA36" s="236"/>
      <c r="AB36" s="235">
        <f>SUM(AB30:AB35)</f>
        <v>407.99599999999998</v>
      </c>
      <c r="AC36" s="236"/>
      <c r="AD36" s="235">
        <f>SUM(AD30:AD35)</f>
        <v>450.94100000000003</v>
      </c>
      <c r="AE36" s="236"/>
      <c r="AF36" s="235">
        <f>SUM(AF30:AF35)</f>
        <v>459.65199999999999</v>
      </c>
      <c r="AG36" s="236"/>
      <c r="AH36" s="235">
        <f>SUM(AH30:AH35)</f>
        <v>529.03599999999994</v>
      </c>
      <c r="AI36" s="236"/>
      <c r="AJ36" s="426">
        <f>SUM(AJ30:AJ35)</f>
        <v>593.01699999999994</v>
      </c>
      <c r="AK36" s="236"/>
      <c r="AL36" s="235">
        <f>SUM(AL30:AL35)</f>
        <v>718.16000000000008</v>
      </c>
      <c r="AM36" s="236"/>
      <c r="AN36" s="235">
        <f>SUM(AN30:AN35)</f>
        <v>722.51</v>
      </c>
      <c r="AO36" s="236"/>
      <c r="AP36" s="235">
        <f>SUM(AP30:AP35)</f>
        <v>813.11800000000005</v>
      </c>
      <c r="AQ36" s="236"/>
      <c r="AR36" s="235">
        <f>SUM(AR30:AR35)</f>
        <v>834.7</v>
      </c>
      <c r="AS36" s="235"/>
      <c r="AT36" s="235">
        <f>SUM(AT30:AT35)</f>
        <v>826.7</v>
      </c>
      <c r="AU36" s="235"/>
      <c r="AV36" s="235">
        <f>SUM(AV30:AV35)</f>
        <v>753.80000000000007</v>
      </c>
      <c r="AW36" s="235"/>
      <c r="AX36" s="235">
        <f>SUM(AX30:AX35)</f>
        <v>1049.6265884507986</v>
      </c>
      <c r="AY36" s="235"/>
      <c r="AZ36" s="235">
        <f>SUM(AZ30:AZ35)</f>
        <v>1069.6596469752467</v>
      </c>
      <c r="BA36" s="235"/>
      <c r="BB36" s="235">
        <f>SUM(BB30:BB35)</f>
        <v>1100.3550021296685</v>
      </c>
      <c r="BC36" s="235"/>
      <c r="BD36" s="235">
        <f>SUM(BD30:BD35)</f>
        <v>1130.8236028790056</v>
      </c>
      <c r="BE36" s="235"/>
      <c r="BF36" s="235">
        <f>SUM(BF30:BF35)</f>
        <v>1159.6410554079064</v>
      </c>
      <c r="BG36" s="235"/>
      <c r="BH36" s="235"/>
      <c r="BI36" s="236"/>
    </row>
    <row r="37" spans="1:61">
      <c r="A37" s="236"/>
      <c r="B37" s="236"/>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426"/>
      <c r="AK37" s="236"/>
      <c r="AL37" s="236"/>
      <c r="AM37" s="236"/>
      <c r="AN37" s="236"/>
      <c r="AO37" s="236"/>
      <c r="AP37" s="236"/>
      <c r="AQ37" s="236"/>
      <c r="AR37" s="236"/>
      <c r="AS37" s="236"/>
      <c r="AT37" s="236"/>
      <c r="AU37" s="236"/>
      <c r="AV37" s="236"/>
      <c r="AW37" s="236"/>
      <c r="AX37" s="236"/>
      <c r="AY37" s="236"/>
      <c r="AZ37" s="236"/>
      <c r="BA37" s="236"/>
      <c r="BB37" s="236"/>
      <c r="BC37" s="236"/>
      <c r="BD37" s="236"/>
      <c r="BE37" s="236"/>
      <c r="BF37" s="236"/>
      <c r="BG37" s="236"/>
      <c r="BH37" s="236"/>
      <c r="BI37" s="236"/>
    </row>
    <row r="38" spans="1:61">
      <c r="A38" s="236"/>
      <c r="B38" s="236" t="s">
        <v>618</v>
      </c>
      <c r="C38" s="236"/>
      <c r="D38" s="236"/>
      <c r="E38" s="236"/>
      <c r="F38" s="236"/>
      <c r="G38" s="236"/>
      <c r="H38" s="236"/>
      <c r="I38" s="236"/>
      <c r="J38" s="236"/>
      <c r="K38" s="236"/>
      <c r="L38" s="236"/>
      <c r="M38" s="236"/>
      <c r="N38" s="249">
        <v>0</v>
      </c>
      <c r="O38" s="236"/>
      <c r="P38" s="249">
        <v>0</v>
      </c>
      <c r="Q38" s="236"/>
      <c r="R38" s="249">
        <v>0</v>
      </c>
      <c r="S38" s="236"/>
      <c r="T38" s="249">
        <v>0</v>
      </c>
      <c r="U38" s="236"/>
      <c r="V38" s="425">
        <v>15.791</v>
      </c>
      <c r="W38" s="236"/>
      <c r="X38" s="425">
        <v>4.5119999999999996</v>
      </c>
      <c r="Y38" s="236"/>
      <c r="Z38" s="425">
        <v>31.655000000000001</v>
      </c>
      <c r="AA38" s="236"/>
      <c r="AB38" s="425">
        <v>36.448</v>
      </c>
      <c r="AC38" s="236"/>
      <c r="AD38" s="425">
        <v>25.370999999999999</v>
      </c>
      <c r="AE38" s="236"/>
      <c r="AF38" s="425">
        <v>0</v>
      </c>
      <c r="AG38" s="236"/>
      <c r="AH38" s="425">
        <v>0</v>
      </c>
      <c r="AI38" s="236"/>
      <c r="AJ38" s="425">
        <v>0</v>
      </c>
      <c r="AK38" s="236"/>
      <c r="AL38" s="425">
        <v>0</v>
      </c>
      <c r="AM38" s="236"/>
      <c r="AN38" s="425">
        <v>0</v>
      </c>
      <c r="AO38" s="236"/>
      <c r="AP38" s="425">
        <v>0</v>
      </c>
      <c r="AQ38" s="236"/>
      <c r="AR38" s="1581">
        <v>0</v>
      </c>
      <c r="AS38" s="426"/>
      <c r="AT38" s="1581">
        <f>+AR38</f>
        <v>0</v>
      </c>
      <c r="AU38" s="426"/>
      <c r="AV38" s="426">
        <f>+AT38</f>
        <v>0</v>
      </c>
      <c r="AW38" s="426"/>
      <c r="AX38" s="426">
        <f>+AV38</f>
        <v>0</v>
      </c>
      <c r="AY38" s="426"/>
      <c r="AZ38" s="426">
        <f>+AX38</f>
        <v>0</v>
      </c>
      <c r="BA38" s="426"/>
      <c r="BB38" s="426">
        <f>+AZ38</f>
        <v>0</v>
      </c>
      <c r="BC38" s="426"/>
      <c r="BD38" s="426">
        <f>+BB38</f>
        <v>0</v>
      </c>
      <c r="BE38" s="426"/>
      <c r="BF38" s="426">
        <f>+BD38</f>
        <v>0</v>
      </c>
      <c r="BG38" s="426"/>
      <c r="BH38" s="426"/>
      <c r="BI38" s="236"/>
    </row>
    <row r="39" spans="1:61">
      <c r="A39" s="236"/>
      <c r="B39" s="236" t="s">
        <v>480</v>
      </c>
      <c r="C39" s="236"/>
      <c r="D39" s="252"/>
      <c r="E39" s="236"/>
      <c r="F39" s="252"/>
      <c r="G39" s="236"/>
      <c r="H39" s="252"/>
      <c r="I39" s="236"/>
      <c r="J39" s="252">
        <v>3.81</v>
      </c>
      <c r="K39" s="236"/>
      <c r="L39" s="252">
        <v>3.7749999999999999</v>
      </c>
      <c r="M39" s="236"/>
      <c r="N39" s="252">
        <v>3.7349999999999999</v>
      </c>
      <c r="O39" s="236"/>
      <c r="P39" s="252">
        <v>3.69</v>
      </c>
      <c r="Q39" s="236"/>
      <c r="R39" s="252">
        <v>3.6150000000000002</v>
      </c>
      <c r="S39" s="236"/>
      <c r="T39" s="252">
        <v>3.5350000000000001</v>
      </c>
      <c r="U39" s="236"/>
      <c r="V39" s="252">
        <v>3.42</v>
      </c>
      <c r="W39" s="236"/>
      <c r="X39" s="252">
        <v>3.27</v>
      </c>
      <c r="Y39" s="236"/>
      <c r="Z39" s="252">
        <v>3.1</v>
      </c>
      <c r="AA39" s="236"/>
      <c r="AB39" s="425">
        <v>2.8650000000000002</v>
      </c>
      <c r="AC39" s="236"/>
      <c r="AD39" s="425">
        <v>2.58</v>
      </c>
      <c r="AE39" s="236"/>
      <c r="AF39" s="425">
        <v>25.071999999999999</v>
      </c>
      <c r="AG39" s="236"/>
      <c r="AH39" s="425">
        <v>24.158999999999999</v>
      </c>
      <c r="AI39" s="236"/>
      <c r="AJ39" s="425">
        <v>23.36</v>
      </c>
      <c r="AK39" s="236"/>
      <c r="AL39" s="425">
        <v>0.98499999999999999</v>
      </c>
      <c r="AM39" s="236"/>
      <c r="AN39" s="425">
        <v>0.48499999999999999</v>
      </c>
      <c r="AO39" s="236"/>
      <c r="AP39" s="425">
        <v>0</v>
      </c>
      <c r="AQ39" s="236"/>
      <c r="AR39" s="1581">
        <v>879.1</v>
      </c>
      <c r="AS39" s="426"/>
      <c r="AT39" s="1581">
        <v>861.2</v>
      </c>
      <c r="AU39" s="426"/>
      <c r="AV39" s="2058">
        <v>1579.5</v>
      </c>
      <c r="AW39" s="426"/>
      <c r="AX39" s="426">
        <f>AV39+flow!AX39+flow!AX41</f>
        <v>1899.5</v>
      </c>
      <c r="AY39" s="426"/>
      <c r="AZ39" s="426">
        <f>AX39+flow!AZ39+flow!AZ41</f>
        <v>1898.5</v>
      </c>
      <c r="BA39" s="426"/>
      <c r="BB39" s="426">
        <f>AZ39+flow!BB39+flow!BB41</f>
        <v>1897.5</v>
      </c>
      <c r="BC39" s="426"/>
      <c r="BD39" s="426">
        <f>BB39+flow!BD39+flow!BD41</f>
        <v>1896.5</v>
      </c>
      <c r="BE39" s="426"/>
      <c r="BF39" s="426">
        <f>BD39+flow!BF39+flow!BF41</f>
        <v>1895.5</v>
      </c>
      <c r="BG39" s="426"/>
      <c r="BH39" s="426"/>
      <c r="BI39" s="236"/>
    </row>
    <row r="40" spans="1:61">
      <c r="A40" s="236"/>
      <c r="B40" s="236" t="s">
        <v>90</v>
      </c>
      <c r="C40" s="236"/>
      <c r="D40" s="252"/>
      <c r="E40" s="236"/>
      <c r="F40" s="252"/>
      <c r="G40" s="236"/>
      <c r="H40" s="252"/>
      <c r="I40" s="236"/>
      <c r="J40" s="252">
        <v>0.125</v>
      </c>
      <c r="K40" s="236"/>
      <c r="L40" s="252">
        <v>0.216</v>
      </c>
      <c r="M40" s="236"/>
      <c r="N40" s="252">
        <v>0.51100000000000001</v>
      </c>
      <c r="O40" s="236"/>
      <c r="P40" s="252">
        <v>2.2589999999999999</v>
      </c>
      <c r="Q40" s="236"/>
      <c r="R40" s="252">
        <v>2.625</v>
      </c>
      <c r="S40" s="236"/>
      <c r="T40" s="252">
        <v>3.5720000000000001</v>
      </c>
      <c r="U40" s="236"/>
      <c r="V40" s="252">
        <v>32.497999999999998</v>
      </c>
      <c r="W40" s="236"/>
      <c r="X40" s="252">
        <v>40.793999999999997</v>
      </c>
      <c r="Y40" s="236"/>
      <c r="Z40" s="252">
        <v>61.207000000000001</v>
      </c>
      <c r="AA40" s="236"/>
      <c r="AB40" s="425">
        <v>91.849000000000004</v>
      </c>
      <c r="AC40" s="236"/>
      <c r="AD40" s="425">
        <v>278.08600000000001</v>
      </c>
      <c r="AE40" s="236"/>
      <c r="AF40" s="425">
        <v>383.57</v>
      </c>
      <c r="AG40" s="236"/>
      <c r="AH40" s="425">
        <v>408.62700000000001</v>
      </c>
      <c r="AI40" s="236"/>
      <c r="AJ40" s="425">
        <v>406.17</v>
      </c>
      <c r="AK40" s="236"/>
      <c r="AL40" s="425">
        <v>392.245</v>
      </c>
      <c r="AM40" s="236"/>
      <c r="AN40" s="425">
        <v>399.74400000000003</v>
      </c>
      <c r="AO40" s="236"/>
      <c r="AP40" s="425">
        <v>429.36</v>
      </c>
      <c r="AQ40" s="236"/>
      <c r="AR40" s="1581">
        <v>463.2</v>
      </c>
      <c r="AS40" s="426"/>
      <c r="AT40" s="1581">
        <v>521.9</v>
      </c>
      <c r="AU40" s="426"/>
      <c r="AV40" s="2058">
        <v>496.4</v>
      </c>
      <c r="AW40" s="426"/>
      <c r="AX40" s="426">
        <f>+AX76*AX66</f>
        <v>677.48896946574791</v>
      </c>
      <c r="AY40" s="426"/>
      <c r="AZ40" s="426">
        <f>+AZ76*AZ66</f>
        <v>699.08254786536952</v>
      </c>
      <c r="BA40" s="426"/>
      <c r="BB40" s="426">
        <f>+BB76*BB66</f>
        <v>719.14368333931736</v>
      </c>
      <c r="BC40" s="426"/>
      <c r="BD40" s="426">
        <f>+BD76*BD66</f>
        <v>739.7422580223224</v>
      </c>
      <c r="BE40" s="426"/>
      <c r="BF40" s="426">
        <f>+BF76*BF66</f>
        <v>760.94669710478752</v>
      </c>
      <c r="BG40" s="426"/>
      <c r="BH40" s="426"/>
      <c r="BI40" s="236"/>
    </row>
    <row r="41" spans="1:61">
      <c r="A41" s="236"/>
      <c r="B41" s="236" t="s">
        <v>630</v>
      </c>
      <c r="C41" s="236"/>
      <c r="D41" s="252"/>
      <c r="E41" s="236"/>
      <c r="F41" s="252"/>
      <c r="G41" s="236"/>
      <c r="H41" s="252"/>
      <c r="I41" s="236"/>
      <c r="J41" s="252"/>
      <c r="K41" s="236"/>
      <c r="L41" s="252"/>
      <c r="M41" s="236"/>
      <c r="N41" s="252">
        <v>0</v>
      </c>
      <c r="O41" s="236"/>
      <c r="P41" s="252">
        <v>0</v>
      </c>
      <c r="Q41" s="236"/>
      <c r="R41" s="252">
        <v>14.547000000000001</v>
      </c>
      <c r="S41" s="236"/>
      <c r="T41" s="252">
        <v>22.155000000000001</v>
      </c>
      <c r="U41" s="236"/>
      <c r="V41" s="252">
        <v>40.198</v>
      </c>
      <c r="W41" s="236"/>
      <c r="X41" s="252">
        <v>0</v>
      </c>
      <c r="Y41" s="236"/>
      <c r="Z41" s="252">
        <v>0</v>
      </c>
      <c r="AA41" s="236"/>
      <c r="AB41" s="425">
        <v>0</v>
      </c>
      <c r="AC41" s="254"/>
      <c r="AD41" s="425">
        <v>0</v>
      </c>
      <c r="AE41" s="236"/>
      <c r="AF41" s="425">
        <v>0</v>
      </c>
      <c r="AG41" s="236"/>
      <c r="AH41" s="425">
        <v>0</v>
      </c>
      <c r="AI41" s="236"/>
      <c r="AJ41" s="425">
        <v>0</v>
      </c>
      <c r="AK41" s="236"/>
      <c r="AL41" s="425">
        <v>0</v>
      </c>
      <c r="AM41" s="236"/>
      <c r="AN41" s="425">
        <v>0</v>
      </c>
      <c r="AO41" s="236"/>
      <c r="AP41" s="425">
        <v>0</v>
      </c>
      <c r="AQ41" s="236"/>
      <c r="AR41" s="425">
        <v>0</v>
      </c>
      <c r="AS41" s="425"/>
      <c r="AT41" s="425">
        <v>0</v>
      </c>
      <c r="AU41" s="425"/>
      <c r="AV41" s="425">
        <v>0</v>
      </c>
      <c r="AW41" s="425"/>
      <c r="AX41" s="425">
        <v>0</v>
      </c>
      <c r="AY41" s="425"/>
      <c r="AZ41" s="425">
        <v>0</v>
      </c>
      <c r="BA41" s="425"/>
      <c r="BB41" s="425">
        <v>0</v>
      </c>
      <c r="BC41" s="425"/>
      <c r="BD41" s="425">
        <v>0</v>
      </c>
      <c r="BE41" s="425"/>
      <c r="BF41" s="425">
        <v>0</v>
      </c>
      <c r="BG41" s="425"/>
      <c r="BH41" s="425"/>
      <c r="BI41" s="236"/>
    </row>
    <row r="42" spans="1:61">
      <c r="A42" s="236"/>
      <c r="B42" s="236"/>
      <c r="C42" s="236"/>
      <c r="D42" s="236"/>
      <c r="E42" s="236"/>
      <c r="F42" s="236"/>
      <c r="G42" s="236"/>
      <c r="H42" s="236"/>
      <c r="I42" s="236"/>
      <c r="J42" s="236"/>
      <c r="K42" s="236"/>
      <c r="L42" s="236"/>
      <c r="M42" s="236"/>
      <c r="N42" s="236"/>
      <c r="O42" s="236"/>
      <c r="P42" s="236"/>
      <c r="Q42" s="236"/>
      <c r="R42" s="236"/>
      <c r="S42" s="236"/>
      <c r="T42" s="427"/>
      <c r="U42" s="236"/>
      <c r="V42" s="236"/>
      <c r="W42" s="236"/>
      <c r="X42" s="236"/>
      <c r="Y42" s="236"/>
      <c r="Z42" s="236"/>
      <c r="AA42" s="236"/>
      <c r="AB42" s="236"/>
      <c r="AC42" s="236"/>
      <c r="AD42" s="236"/>
      <c r="AE42" s="236"/>
      <c r="AF42" s="236"/>
      <c r="AG42" s="236"/>
      <c r="AH42" s="236"/>
      <c r="AI42" s="236"/>
      <c r="AJ42" s="236"/>
      <c r="AK42" s="236"/>
      <c r="AL42" s="426"/>
      <c r="AM42" s="236"/>
      <c r="AN42" s="236"/>
      <c r="AO42" s="236"/>
      <c r="AP42" s="236"/>
      <c r="AQ42" s="236"/>
      <c r="AR42" s="236"/>
      <c r="AS42" s="236"/>
      <c r="AT42" s="236"/>
      <c r="AU42" s="236"/>
      <c r="AV42" s="236"/>
      <c r="AW42" s="236"/>
      <c r="AX42" s="236"/>
      <c r="AY42" s="236"/>
      <c r="AZ42" s="236"/>
      <c r="BA42" s="236"/>
      <c r="BB42" s="236"/>
      <c r="BC42" s="236"/>
      <c r="BD42" s="236"/>
      <c r="BE42" s="236"/>
      <c r="BF42" s="236"/>
      <c r="BG42" s="236"/>
      <c r="BH42" s="236"/>
      <c r="BI42" s="236"/>
    </row>
    <row r="43" spans="1:61">
      <c r="A43" s="234" t="s">
        <v>477</v>
      </c>
      <c r="B43" s="222"/>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36"/>
      <c r="AM43" s="222"/>
      <c r="AN43" s="222"/>
      <c r="AO43" s="222"/>
      <c r="AP43" s="222"/>
      <c r="AQ43" s="222"/>
      <c r="AR43" s="222"/>
      <c r="AS43" s="222"/>
      <c r="AT43" s="222"/>
      <c r="AU43" s="222"/>
      <c r="AV43" s="222"/>
      <c r="AW43" s="222"/>
      <c r="AX43" s="222"/>
      <c r="AY43" s="222"/>
      <c r="AZ43" s="222"/>
      <c r="BA43" s="222"/>
      <c r="BB43" s="222"/>
      <c r="BC43" s="222"/>
      <c r="BD43" s="222"/>
      <c r="BE43" s="222"/>
      <c r="BF43" s="236"/>
      <c r="BG43" s="222"/>
      <c r="BH43" s="222"/>
      <c r="BI43" s="222"/>
    </row>
    <row r="44" spans="1:61">
      <c r="A44" s="222"/>
      <c r="B44" s="222" t="s">
        <v>218</v>
      </c>
      <c r="C44" s="222"/>
      <c r="D44" s="253"/>
      <c r="E44" s="236"/>
      <c r="F44" s="253"/>
      <c r="G44" s="236"/>
      <c r="H44" s="253"/>
      <c r="I44" s="236"/>
      <c r="J44" s="253"/>
      <c r="K44" s="236"/>
      <c r="L44" s="423" t="s">
        <v>646</v>
      </c>
      <c r="M44" s="236"/>
      <c r="N44" s="252">
        <v>212.75299999999999</v>
      </c>
      <c r="O44" s="254"/>
      <c r="P44" s="252">
        <v>22.65</v>
      </c>
      <c r="Q44" s="254"/>
      <c r="R44" s="252">
        <v>105.509</v>
      </c>
      <c r="S44" s="254"/>
      <c r="T44" s="252">
        <v>217.62200000000001</v>
      </c>
      <c r="U44" s="254"/>
      <c r="V44" s="252">
        <v>430.46100000000001</v>
      </c>
      <c r="W44" s="254"/>
      <c r="X44" s="252">
        <v>484.971</v>
      </c>
      <c r="Y44" s="254"/>
      <c r="Z44" s="252">
        <v>417.08699999999999</v>
      </c>
      <c r="AA44" s="254"/>
      <c r="AB44" s="252">
        <v>940.75699999999995</v>
      </c>
      <c r="AC44" s="236"/>
      <c r="AD44" s="252">
        <v>353.12200000000001</v>
      </c>
      <c r="AE44" s="222"/>
      <c r="AF44" s="252">
        <v>499.95100000000002</v>
      </c>
      <c r="AG44" s="222"/>
      <c r="AH44" s="252">
        <v>-30.053000000000001</v>
      </c>
      <c r="AI44" s="222"/>
      <c r="AJ44" s="252">
        <v>-445.654</v>
      </c>
      <c r="AK44" s="222"/>
      <c r="AL44" s="252">
        <v>-387.45</v>
      </c>
      <c r="AM44" s="222"/>
      <c r="AN44" s="252">
        <v>-101.884</v>
      </c>
      <c r="AO44" s="222"/>
      <c r="AP44" s="252">
        <v>-219.45500000000001</v>
      </c>
      <c r="AQ44" s="222"/>
      <c r="AR44" s="1598">
        <v>-189.57</v>
      </c>
      <c r="AS44" s="253"/>
      <c r="AT44" s="1598">
        <v>-104.1</v>
      </c>
      <c r="AU44" s="253"/>
      <c r="AV44" s="2084">
        <v>107.7</v>
      </c>
      <c r="AW44" s="253"/>
      <c r="AX44" s="253">
        <f>AV44+flow!AX8+flow!AX42+flow!AX14+flow!AX52</f>
        <v>501.40761747908022</v>
      </c>
      <c r="AY44" s="253"/>
      <c r="AZ44" s="253">
        <f>AX44+flow!AZ8+flow!AZ42+flow!AZ14+flow!AZ52</f>
        <v>965.30415331102768</v>
      </c>
      <c r="BA44" s="253"/>
      <c r="BB44" s="253">
        <f>AZ44+flow!BB8+flow!BB42+flow!BB14+flow!BB52</f>
        <v>1460.3974610859213</v>
      </c>
      <c r="BC44" s="253"/>
      <c r="BD44" s="253">
        <f>BB44+flow!BD8+flow!BD42+flow!BD14+flow!BD52</f>
        <v>1987.2457774144184</v>
      </c>
      <c r="BE44" s="253"/>
      <c r="BF44" s="253">
        <f>BD44+flow!BF8+flow!BF42+flow!BF14+flow!BF52</f>
        <v>2560.8594409309508</v>
      </c>
      <c r="BG44" s="253"/>
      <c r="BH44" s="253"/>
      <c r="BI44" s="222"/>
    </row>
    <row r="45" spans="1:61">
      <c r="A45" s="222"/>
      <c r="B45" s="222" t="s">
        <v>38</v>
      </c>
      <c r="C45" s="222"/>
      <c r="D45" s="252"/>
      <c r="E45" s="236"/>
      <c r="F45" s="252"/>
      <c r="G45" s="236"/>
      <c r="H45" s="252"/>
      <c r="I45" s="236"/>
      <c r="J45" s="252"/>
      <c r="K45" s="236"/>
      <c r="L45" s="252"/>
      <c r="M45" s="236"/>
      <c r="N45" s="252">
        <v>0.35</v>
      </c>
      <c r="O45" s="254"/>
      <c r="P45" s="252">
        <v>0.874</v>
      </c>
      <c r="Q45" s="254"/>
      <c r="R45" s="252">
        <v>0.89500000000000002</v>
      </c>
      <c r="S45" s="254"/>
      <c r="T45" s="252">
        <v>1.83</v>
      </c>
      <c r="U45" s="254"/>
      <c r="V45" s="252">
        <v>3.7919999999999998</v>
      </c>
      <c r="W45" s="254"/>
      <c r="X45" s="252">
        <v>3.7839999999999998</v>
      </c>
      <c r="Y45" s="254"/>
      <c r="Z45" s="252">
        <v>3.698</v>
      </c>
      <c r="AA45" s="252"/>
      <c r="AB45" s="252">
        <v>3.7250000000000001</v>
      </c>
      <c r="AC45" s="253"/>
      <c r="AD45" s="252">
        <v>3.367</v>
      </c>
      <c r="AE45" s="222"/>
      <c r="AF45" s="252">
        <v>3.18</v>
      </c>
      <c r="AG45" s="222"/>
      <c r="AH45" s="252">
        <v>2.9689999999999999</v>
      </c>
      <c r="AI45" s="222"/>
      <c r="AJ45" s="252">
        <v>2.8860000000000001</v>
      </c>
      <c r="AK45" s="222"/>
      <c r="AL45" s="252">
        <v>2.851</v>
      </c>
      <c r="AM45" s="222"/>
      <c r="AN45" s="252">
        <v>2.819</v>
      </c>
      <c r="AO45" s="222"/>
      <c r="AP45" s="252">
        <v>2.7440000000000002</v>
      </c>
      <c r="AQ45" s="222"/>
      <c r="AR45" s="1598">
        <v>2.8</v>
      </c>
      <c r="AS45" s="253"/>
      <c r="AT45" s="1598">
        <v>2.8</v>
      </c>
      <c r="AU45" s="253"/>
      <c r="AV45" s="2084">
        <v>2.8</v>
      </c>
      <c r="AW45" s="253"/>
      <c r="AX45" s="253">
        <f>+AV45</f>
        <v>2.8</v>
      </c>
      <c r="AY45" s="253"/>
      <c r="AZ45" s="253">
        <f>+AX45</f>
        <v>2.8</v>
      </c>
      <c r="BA45" s="253"/>
      <c r="BB45" s="253">
        <f>+AZ45</f>
        <v>2.8</v>
      </c>
      <c r="BC45" s="253"/>
      <c r="BD45" s="253">
        <f>+BB45</f>
        <v>2.8</v>
      </c>
      <c r="BE45" s="253"/>
      <c r="BF45" s="253">
        <f>+BD45</f>
        <v>2.8</v>
      </c>
      <c r="BG45" s="253"/>
      <c r="BH45" s="253"/>
      <c r="BI45" s="222"/>
    </row>
    <row r="46" spans="1:61">
      <c r="A46" s="222"/>
      <c r="B46" s="222" t="s">
        <v>35</v>
      </c>
      <c r="C46" s="222"/>
      <c r="D46" s="252"/>
      <c r="E46" s="236"/>
      <c r="F46" s="252"/>
      <c r="G46" s="236"/>
      <c r="H46" s="252"/>
      <c r="I46" s="236"/>
      <c r="J46" s="252"/>
      <c r="K46" s="236"/>
      <c r="L46" s="252"/>
      <c r="M46" s="236"/>
      <c r="N46" s="252"/>
      <c r="O46" s="236"/>
      <c r="P46" s="252">
        <v>125.277</v>
      </c>
      <c r="Q46" s="236"/>
      <c r="R46" s="252">
        <v>155.40299999999999</v>
      </c>
      <c r="S46" s="236"/>
      <c r="T46" s="252">
        <v>214.48400000000001</v>
      </c>
      <c r="U46" s="236"/>
      <c r="V46" s="252">
        <v>355.13</v>
      </c>
      <c r="W46" s="236"/>
      <c r="X46" s="252">
        <v>566.26199999999994</v>
      </c>
      <c r="Y46" s="236"/>
      <c r="Z46" s="252">
        <v>775.20899999999995</v>
      </c>
      <c r="AA46" s="253"/>
      <c r="AB46" s="252">
        <v>978.66399999999999</v>
      </c>
      <c r="AC46" s="253"/>
      <c r="AD46" s="252">
        <v>1115.0409999999999</v>
      </c>
      <c r="AE46" s="222"/>
      <c r="AF46" s="252">
        <v>1189.06</v>
      </c>
      <c r="AG46" s="222"/>
      <c r="AH46" s="252">
        <v>1502.982</v>
      </c>
      <c r="AI46" s="222"/>
      <c r="AJ46" s="252">
        <v>2000.4259999999999</v>
      </c>
      <c r="AK46" s="222"/>
      <c r="AL46" s="252">
        <v>2327.0549999999998</v>
      </c>
      <c r="AM46" s="222"/>
      <c r="AN46" s="252">
        <v>2520.4690000000001</v>
      </c>
      <c r="AO46" s="222"/>
      <c r="AP46" s="252">
        <v>2646.123</v>
      </c>
      <c r="AQ46" s="222"/>
      <c r="AR46" s="1598">
        <v>2754.4</v>
      </c>
      <c r="AS46" s="253"/>
      <c r="AT46" s="1598">
        <v>2857.1</v>
      </c>
      <c r="AU46" s="253"/>
      <c r="AV46" s="2084">
        <v>2978.3</v>
      </c>
      <c r="AW46" s="253"/>
      <c r="AX46" s="253">
        <f>+AV46+0.05</f>
        <v>2978.3500000000004</v>
      </c>
      <c r="AY46" s="253"/>
      <c r="AZ46" s="253">
        <f>+AX46</f>
        <v>2978.3500000000004</v>
      </c>
      <c r="BA46" s="253"/>
      <c r="BB46" s="253">
        <f>+AZ46</f>
        <v>2978.3500000000004</v>
      </c>
      <c r="BC46" s="253"/>
      <c r="BD46" s="253">
        <f>+BB46</f>
        <v>2978.3500000000004</v>
      </c>
      <c r="BE46" s="253"/>
      <c r="BF46" s="253">
        <f>+BD46</f>
        <v>2978.3500000000004</v>
      </c>
      <c r="BG46" s="253"/>
      <c r="BH46" s="253"/>
      <c r="BI46" s="222"/>
    </row>
    <row r="47" spans="1:61">
      <c r="A47" s="222"/>
      <c r="B47" s="222" t="s">
        <v>36</v>
      </c>
      <c r="C47" s="222"/>
      <c r="D47" s="252"/>
      <c r="E47" s="236"/>
      <c r="F47" s="252"/>
      <c r="G47" s="236"/>
      <c r="H47" s="252"/>
      <c r="I47" s="236"/>
      <c r="J47" s="252">
        <v>-0.39200000000000002</v>
      </c>
      <c r="K47" s="236"/>
      <c r="L47" s="252">
        <v>-0.80400000000000005</v>
      </c>
      <c r="M47" s="236"/>
      <c r="N47" s="252">
        <v>-0.29499999999999998</v>
      </c>
      <c r="O47" s="236"/>
      <c r="P47" s="252">
        <v>-0.48699999999999999</v>
      </c>
      <c r="Q47" s="236"/>
      <c r="R47" s="252">
        <v>0.215</v>
      </c>
      <c r="S47" s="236"/>
      <c r="T47" s="252">
        <v>-1.359</v>
      </c>
      <c r="U47" s="236"/>
      <c r="V47" s="252">
        <v>2.1949999999999998</v>
      </c>
      <c r="W47" s="236"/>
      <c r="X47" s="252">
        <v>0.90300000000000002</v>
      </c>
      <c r="Y47" s="236"/>
      <c r="Z47" s="252">
        <v>-7.26</v>
      </c>
      <c r="AA47" s="253"/>
      <c r="AB47" s="252">
        <v>-12.792</v>
      </c>
      <c r="AC47" s="253"/>
      <c r="AD47" s="252">
        <v>18.844999999999999</v>
      </c>
      <c r="AE47" s="222"/>
      <c r="AF47" s="252">
        <v>3.851</v>
      </c>
      <c r="AG47" s="222"/>
      <c r="AH47" s="252">
        <v>29.395</v>
      </c>
      <c r="AI47" s="222"/>
      <c r="AJ47" s="252">
        <v>54.911000000000001</v>
      </c>
      <c r="AK47" s="222"/>
      <c r="AL47" s="252">
        <v>50.475000000000001</v>
      </c>
      <c r="AM47" s="222"/>
      <c r="AN47" s="252">
        <v>-12.246</v>
      </c>
      <c r="AO47" s="222"/>
      <c r="AP47" s="252">
        <v>-8.7590000000000003</v>
      </c>
      <c r="AQ47" s="222"/>
      <c r="AR47" s="1598">
        <v>-77.7</v>
      </c>
      <c r="AS47" s="253"/>
      <c r="AT47" s="1598">
        <v>-72.87</v>
      </c>
      <c r="AU47" s="253"/>
      <c r="AV47" s="2084">
        <v>-86.9</v>
      </c>
      <c r="AW47" s="253"/>
      <c r="AX47" s="253">
        <f>+AV47</f>
        <v>-86.9</v>
      </c>
      <c r="AY47" s="253"/>
      <c r="AZ47" s="253">
        <f>+AX47</f>
        <v>-86.9</v>
      </c>
      <c r="BA47" s="253"/>
      <c r="BB47" s="253">
        <f>+AZ47</f>
        <v>-86.9</v>
      </c>
      <c r="BC47" s="253"/>
      <c r="BD47" s="253">
        <f>+BB47</f>
        <v>-86.9</v>
      </c>
      <c r="BE47" s="253"/>
      <c r="BF47" s="253">
        <f>+BD47</f>
        <v>-86.9</v>
      </c>
      <c r="BG47" s="253"/>
      <c r="BH47" s="253"/>
      <c r="BI47" s="222"/>
    </row>
    <row r="48" spans="1:61">
      <c r="A48" s="222"/>
      <c r="B48" s="222" t="s">
        <v>59</v>
      </c>
      <c r="C48" s="222"/>
      <c r="D48" s="252"/>
      <c r="E48" s="236"/>
      <c r="F48" s="252"/>
      <c r="G48" s="236"/>
      <c r="H48" s="252"/>
      <c r="I48" s="236"/>
      <c r="J48" s="252">
        <v>187.251</v>
      </c>
      <c r="K48" s="236"/>
      <c r="L48" s="252">
        <v>203.96600000000001</v>
      </c>
      <c r="M48" s="236"/>
      <c r="N48" s="252"/>
      <c r="O48" s="236"/>
      <c r="P48" s="252"/>
      <c r="Q48" s="236"/>
      <c r="R48" s="252"/>
      <c r="S48" s="236"/>
      <c r="T48" s="252"/>
      <c r="U48" s="236"/>
      <c r="V48" s="252"/>
      <c r="W48" s="236"/>
      <c r="X48" s="252">
        <v>0</v>
      </c>
      <c r="Y48" s="236"/>
      <c r="Z48" s="252">
        <v>0</v>
      </c>
      <c r="AA48" s="253"/>
      <c r="AB48" s="252">
        <v>0</v>
      </c>
      <c r="AC48" s="253"/>
      <c r="AD48" s="252">
        <f>+AB48</f>
        <v>0</v>
      </c>
      <c r="AE48" s="239"/>
      <c r="AF48" s="252">
        <f>+AD48</f>
        <v>0</v>
      </c>
      <c r="AG48" s="222"/>
      <c r="AH48" s="252">
        <v>0</v>
      </c>
      <c r="AI48" s="222"/>
      <c r="AJ48" s="252">
        <v>0</v>
      </c>
      <c r="AK48" s="222"/>
      <c r="AL48" s="252">
        <v>0</v>
      </c>
      <c r="AM48" s="222"/>
      <c r="AN48" s="252">
        <v>0</v>
      </c>
      <c r="AO48" s="222"/>
      <c r="AP48" s="252">
        <v>0</v>
      </c>
      <c r="AQ48" s="222"/>
      <c r="AR48" s="1598">
        <f>+AP48</f>
        <v>0</v>
      </c>
      <c r="AS48" s="253"/>
      <c r="AT48" s="1598">
        <f>+AR48</f>
        <v>0</v>
      </c>
      <c r="AU48" s="253"/>
      <c r="AV48" s="2084">
        <f>+AT48</f>
        <v>0</v>
      </c>
      <c r="AW48" s="253"/>
      <c r="AX48" s="253">
        <f>+AV48</f>
        <v>0</v>
      </c>
      <c r="AY48" s="253"/>
      <c r="AZ48" s="253">
        <f>+AX48</f>
        <v>0</v>
      </c>
      <c r="BA48" s="253"/>
      <c r="BB48" s="253">
        <f>+AZ48</f>
        <v>0</v>
      </c>
      <c r="BC48" s="253"/>
      <c r="BD48" s="253">
        <f>+BB48</f>
        <v>0</v>
      </c>
      <c r="BE48" s="253"/>
      <c r="BF48" s="253">
        <f>+BD48</f>
        <v>0</v>
      </c>
      <c r="BG48" s="253"/>
      <c r="BH48" s="253"/>
      <c r="BI48" s="222"/>
    </row>
    <row r="49" spans="1:61">
      <c r="A49" s="222"/>
      <c r="B49" s="222" t="s">
        <v>37</v>
      </c>
      <c r="C49" s="222"/>
      <c r="D49" s="255"/>
      <c r="E49" s="236"/>
      <c r="F49" s="255"/>
      <c r="G49" s="236"/>
      <c r="H49" s="255"/>
      <c r="I49" s="236"/>
      <c r="J49" s="255"/>
      <c r="K49" s="236"/>
      <c r="L49" s="255"/>
      <c r="M49" s="236"/>
      <c r="N49" s="255"/>
      <c r="O49" s="236"/>
      <c r="P49" s="255"/>
      <c r="Q49" s="236"/>
      <c r="R49" s="255">
        <v>-1.6659999999999999</v>
      </c>
      <c r="S49" s="236"/>
      <c r="T49" s="255">
        <v>-5.6479999999999997</v>
      </c>
      <c r="U49" s="236"/>
      <c r="V49" s="255">
        <v>-9.2919999999999998</v>
      </c>
      <c r="W49" s="236"/>
      <c r="X49" s="255">
        <v>0</v>
      </c>
      <c r="Y49" s="236"/>
      <c r="Z49" s="255">
        <v>0</v>
      </c>
      <c r="AA49" s="236"/>
      <c r="AB49" s="255">
        <v>0</v>
      </c>
      <c r="AC49" s="236"/>
      <c r="AD49" s="255">
        <f>+AB49</f>
        <v>0</v>
      </c>
      <c r="AE49" s="239"/>
      <c r="AF49" s="255">
        <f>+AD49</f>
        <v>0</v>
      </c>
      <c r="AG49" s="222"/>
      <c r="AH49" s="255">
        <v>0</v>
      </c>
      <c r="AI49" s="222"/>
      <c r="AJ49" s="255">
        <v>0</v>
      </c>
      <c r="AK49" s="222"/>
      <c r="AL49" s="255">
        <v>0</v>
      </c>
      <c r="AM49" s="222"/>
      <c r="AN49" s="255">
        <v>0</v>
      </c>
      <c r="AO49" s="222"/>
      <c r="AP49" s="255">
        <v>0</v>
      </c>
      <c r="AQ49" s="222"/>
      <c r="AR49" s="1599">
        <f>+AP49</f>
        <v>0</v>
      </c>
      <c r="AS49" s="424"/>
      <c r="AT49" s="1599">
        <f>+AR49</f>
        <v>0</v>
      </c>
      <c r="AU49" s="424"/>
      <c r="AV49" s="2057">
        <f>+AT49</f>
        <v>0</v>
      </c>
      <c r="AW49" s="424"/>
      <c r="AX49" s="256">
        <f>+AV49</f>
        <v>0</v>
      </c>
      <c r="AY49" s="424"/>
      <c r="AZ49" s="256">
        <f>+AX49</f>
        <v>0</v>
      </c>
      <c r="BA49" s="424"/>
      <c r="BB49" s="256">
        <f>+AZ49</f>
        <v>0</v>
      </c>
      <c r="BC49" s="424"/>
      <c r="BD49" s="256">
        <f>+BB49</f>
        <v>0</v>
      </c>
      <c r="BE49" s="424"/>
      <c r="BF49" s="256">
        <f>+BD49</f>
        <v>0</v>
      </c>
      <c r="BG49" s="424"/>
      <c r="BH49" s="424"/>
      <c r="BI49" s="222"/>
    </row>
    <row r="50" spans="1:61">
      <c r="A50" s="222"/>
      <c r="B50" s="222"/>
      <c r="C50" s="222" t="s">
        <v>478</v>
      </c>
      <c r="D50" s="235">
        <f>SUM(D44:D49)</f>
        <v>0</v>
      </c>
      <c r="E50" s="236"/>
      <c r="F50" s="235">
        <f>SUM(F44:F49)</f>
        <v>0</v>
      </c>
      <c r="G50" s="236"/>
      <c r="H50" s="235">
        <f>SUM(H44:H49)</f>
        <v>0</v>
      </c>
      <c r="I50" s="236"/>
      <c r="J50" s="235">
        <f>SUM(J44:J49)</f>
        <v>186.85900000000001</v>
      </c>
      <c r="K50" s="236"/>
      <c r="L50" s="235">
        <f>SUM(L44:L49)</f>
        <v>203.16200000000001</v>
      </c>
      <c r="M50" s="236"/>
      <c r="N50" s="235">
        <f>SUM(N44:N49)</f>
        <v>212.80799999999999</v>
      </c>
      <c r="O50" s="236"/>
      <c r="P50" s="235">
        <f>SUM(P44:P49)</f>
        <v>148.31399999999999</v>
      </c>
      <c r="Q50" s="236"/>
      <c r="R50" s="235">
        <f>SUM(R44:R49)</f>
        <v>260.35599999999999</v>
      </c>
      <c r="S50" s="236"/>
      <c r="T50" s="235">
        <f>SUM(T44:T49)</f>
        <v>426.92900000000003</v>
      </c>
      <c r="U50" s="236"/>
      <c r="V50" s="235">
        <f>SUM(V44:V49)</f>
        <v>782.28600000000006</v>
      </c>
      <c r="W50" s="236"/>
      <c r="X50" s="235">
        <f>SUM(X44:X49)</f>
        <v>1055.9199999999998</v>
      </c>
      <c r="Y50" s="236"/>
      <c r="Z50" s="235">
        <f>SUM(Z44:Z49)</f>
        <v>1188.7339999999999</v>
      </c>
      <c r="AA50" s="236"/>
      <c r="AB50" s="235">
        <f>SUM(AB44:AB49)</f>
        <v>1910.354</v>
      </c>
      <c r="AC50" s="236"/>
      <c r="AD50" s="235">
        <f>SUM(AD44:AD49)</f>
        <v>1490.375</v>
      </c>
      <c r="AE50" s="222"/>
      <c r="AF50" s="235">
        <f>SUM(AF44:AF49)</f>
        <v>1696.0420000000001</v>
      </c>
      <c r="AG50" s="222"/>
      <c r="AH50" s="235">
        <f>SUM(AH44:AH49)</f>
        <v>1505.2929999999999</v>
      </c>
      <c r="AI50" s="222"/>
      <c r="AJ50" s="235">
        <f>SUM(AJ44:AJ49)</f>
        <v>1612.569</v>
      </c>
      <c r="AK50" s="222"/>
      <c r="AL50" s="235">
        <f>SUM(AL44:AL49)</f>
        <v>1992.9309999999998</v>
      </c>
      <c r="AM50" s="222"/>
      <c r="AN50" s="235">
        <f>SUM(AN44:AN49)</f>
        <v>2409.1579999999999</v>
      </c>
      <c r="AO50" s="222"/>
      <c r="AP50" s="235">
        <f>SUM(AP44:AP49)</f>
        <v>2420.6530000000002</v>
      </c>
      <c r="AQ50" s="222"/>
      <c r="AR50" s="235">
        <f>SUM(AR44:AR49)</f>
        <v>2489.9300000000003</v>
      </c>
      <c r="AS50" s="235"/>
      <c r="AT50" s="235">
        <f>SUM(AT44:AT49)</f>
        <v>2682.93</v>
      </c>
      <c r="AU50" s="235"/>
      <c r="AV50" s="235">
        <f>SUM(AV44:AV49)</f>
        <v>3001.9</v>
      </c>
      <c r="AW50" s="235"/>
      <c r="AX50" s="235">
        <f>SUM(AX44:AX49)</f>
        <v>3395.6576174790803</v>
      </c>
      <c r="AY50" s="235"/>
      <c r="AZ50" s="235">
        <f>SUM(AZ44:AZ49)</f>
        <v>3859.5541533110277</v>
      </c>
      <c r="BA50" s="235"/>
      <c r="BB50" s="235">
        <f>SUM(BB44:BB49)</f>
        <v>4354.6474610859223</v>
      </c>
      <c r="BC50" s="235"/>
      <c r="BD50" s="235">
        <f>SUM(BD44:BD49)</f>
        <v>4881.4957774144186</v>
      </c>
      <c r="BE50" s="235"/>
      <c r="BF50" s="235">
        <f>SUM(BF44:BF49)</f>
        <v>5455.1094409309517</v>
      </c>
      <c r="BG50" s="235"/>
      <c r="BH50" s="235"/>
      <c r="BI50" s="222"/>
    </row>
    <row r="51" spans="1:61">
      <c r="A51" s="222"/>
      <c r="B51" s="222"/>
      <c r="C51" s="222"/>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22"/>
      <c r="AF51" s="236"/>
      <c r="AG51" s="222"/>
      <c r="AH51" s="236"/>
      <c r="AI51" s="222"/>
      <c r="AJ51" s="236"/>
      <c r="AK51" s="222"/>
      <c r="AL51" s="236"/>
      <c r="AM51" s="222"/>
      <c r="AN51" s="236"/>
      <c r="AO51" s="222"/>
      <c r="AP51" s="236"/>
      <c r="AQ51" s="222"/>
      <c r="AR51" s="236"/>
      <c r="AS51" s="236"/>
      <c r="AT51" s="236"/>
      <c r="AU51" s="236"/>
      <c r="AV51" s="236"/>
      <c r="AW51" s="236"/>
      <c r="AX51" s="236"/>
      <c r="AY51" s="236"/>
      <c r="AZ51" s="236"/>
      <c r="BA51" s="236"/>
      <c r="BB51" s="236"/>
      <c r="BC51" s="236"/>
      <c r="BD51" s="236"/>
      <c r="BE51" s="236"/>
      <c r="BF51" s="236"/>
      <c r="BG51" s="236"/>
      <c r="BH51" s="236"/>
      <c r="BI51" s="222"/>
    </row>
    <row r="52" spans="1:61">
      <c r="A52" s="222" t="s">
        <v>481</v>
      </c>
      <c r="B52" s="222"/>
      <c r="C52" s="222"/>
      <c r="D52" s="257">
        <f>D36+D39+D40+D50</f>
        <v>0</v>
      </c>
      <c r="E52" s="236"/>
      <c r="F52" s="257">
        <f>F36+F39+F40+F50</f>
        <v>0</v>
      </c>
      <c r="G52" s="236"/>
      <c r="H52" s="257">
        <f>H36+H39+H40+H50</f>
        <v>0</v>
      </c>
      <c r="I52" s="236"/>
      <c r="J52" s="257">
        <f>J36+J39+J40+J50</f>
        <v>257.71000000000004</v>
      </c>
      <c r="K52" s="236"/>
      <c r="L52" s="257">
        <f>L36+L39+L40+L50</f>
        <v>282.08800000000002</v>
      </c>
      <c r="M52" s="236"/>
      <c r="N52" s="257">
        <f>N36+N38+N39+N40+N41+N50</f>
        <v>296.65300000000002</v>
      </c>
      <c r="O52" s="236"/>
      <c r="P52" s="257">
        <f>P36+P38+P39+P40+P41+P50</f>
        <v>258.71100000000001</v>
      </c>
      <c r="Q52" s="236"/>
      <c r="R52" s="257">
        <f>R36+R38+R39+R40+R41+R50</f>
        <v>440.57100000000003</v>
      </c>
      <c r="S52" s="236"/>
      <c r="T52" s="257">
        <f>T36+T38+T39+T40+T41+T50</f>
        <v>617.65200000000004</v>
      </c>
      <c r="U52" s="236"/>
      <c r="V52" s="257">
        <f>V36+V38+V39+V40+V41+V50</f>
        <v>1044.4250000000002</v>
      </c>
      <c r="W52" s="236"/>
      <c r="X52" s="257">
        <f>X36+X38+X39+X40+X41+X50</f>
        <v>1370.1569999999997</v>
      </c>
      <c r="Y52" s="236"/>
      <c r="Z52" s="257">
        <f>Z36+Z38+Z39+Z40+Z41+Z50</f>
        <v>1626.52</v>
      </c>
      <c r="AA52" s="236"/>
      <c r="AB52" s="257">
        <f>AB36+AB38+AB39+AB40+AB41+AB50</f>
        <v>2449.5120000000002</v>
      </c>
      <c r="AC52" s="236"/>
      <c r="AD52" s="257">
        <f>AD36+AD38+AD39+AD40+AD41+AD50</f>
        <v>2247.3530000000001</v>
      </c>
      <c r="AE52" s="222"/>
      <c r="AF52" s="257">
        <f>AF36+AF38+AF39+AF40+AF41+AF50</f>
        <v>2564.3360000000002</v>
      </c>
      <c r="AG52" s="222"/>
      <c r="AH52" s="257">
        <f>AH36+AH38+AH39+AH40+AH41+AH50</f>
        <v>2467.1149999999998</v>
      </c>
      <c r="AI52" s="222"/>
      <c r="AJ52" s="257">
        <f>AJ36+AJ38+AJ39+AJ40+AJ41+AJ50</f>
        <v>2635.116</v>
      </c>
      <c r="AK52" s="222"/>
      <c r="AL52" s="257">
        <f>AL36+AL38+AL39+AL40+AL41+AL50</f>
        <v>3104.3209999999999</v>
      </c>
      <c r="AM52" s="222"/>
      <c r="AN52" s="257">
        <f>AN36+AN38+AN39+AN40+AN41+AN50</f>
        <v>3531.8969999999999</v>
      </c>
      <c r="AO52" s="222"/>
      <c r="AP52" s="257">
        <f>AP36+AP38+AP39+AP40+AP41+AP50</f>
        <v>3663.1310000000003</v>
      </c>
      <c r="AQ52" s="222"/>
      <c r="AR52" s="257">
        <f>AR36+AR38+AR39+AR40+AR41+AR50</f>
        <v>4666.93</v>
      </c>
      <c r="AS52" s="617"/>
      <c r="AT52" s="257">
        <f>AT36+AT38+AT39+AT40+AT41+AT50</f>
        <v>4892.7299999999996</v>
      </c>
      <c r="AU52" s="617"/>
      <c r="AV52" s="257">
        <f>AV36+AV38+AV39+AV40+AV41+AV50</f>
        <v>5831.6</v>
      </c>
      <c r="AW52" s="617"/>
      <c r="AX52" s="257">
        <f>AX36+AX38+AX39+AX40+AX41+AX50</f>
        <v>7022.2731753956268</v>
      </c>
      <c r="AY52" s="617"/>
      <c r="AZ52" s="257">
        <f>AZ36+AZ38+AZ39+AZ40+AZ41+AZ50</f>
        <v>7526.7963481516435</v>
      </c>
      <c r="BA52" s="617"/>
      <c r="BB52" s="257">
        <f>BB36+BB38+BB39+BB40+BB41+BB50</f>
        <v>8071.6461465549082</v>
      </c>
      <c r="BC52" s="617"/>
      <c r="BD52" s="257">
        <f>BD36+BD38+BD39+BD40+BD41+BD50</f>
        <v>8648.5616383157467</v>
      </c>
      <c r="BE52" s="617"/>
      <c r="BF52" s="257">
        <f>BF36+BF38+BF39+BF40+BF41+BF50</f>
        <v>9271.197193443646</v>
      </c>
      <c r="BG52" s="617"/>
      <c r="BH52" s="617"/>
      <c r="BI52" s="222"/>
    </row>
    <row r="53" spans="1:61" outlineLevel="1">
      <c r="A53" s="222"/>
      <c r="B53" s="222"/>
      <c r="C53" s="222"/>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43"/>
      <c r="AR53" s="243"/>
      <c r="AS53" s="243"/>
      <c r="AT53" s="243"/>
      <c r="AU53" s="243"/>
      <c r="AV53" s="243"/>
      <c r="AW53" s="243"/>
      <c r="AX53" s="243"/>
      <c r="AY53" s="243"/>
      <c r="AZ53" s="243"/>
      <c r="BA53" s="243"/>
      <c r="BB53" s="243"/>
      <c r="BC53" s="243"/>
      <c r="BD53" s="243"/>
      <c r="BE53" s="243"/>
      <c r="BF53" s="235"/>
      <c r="BG53" s="243"/>
      <c r="BH53" s="243"/>
      <c r="BI53" s="222"/>
    </row>
    <row r="54" spans="1:61">
      <c r="A54" s="222"/>
      <c r="B54" s="222"/>
      <c r="C54" s="222"/>
      <c r="D54" s="258"/>
      <c r="E54" s="222"/>
      <c r="F54" s="258"/>
      <c r="G54" s="222"/>
      <c r="H54" s="258"/>
      <c r="I54" s="222"/>
      <c r="J54" s="258"/>
      <c r="K54" s="222"/>
      <c r="L54" s="258"/>
      <c r="M54" s="222"/>
      <c r="N54" s="258"/>
      <c r="O54" s="222"/>
      <c r="P54" s="258"/>
      <c r="Q54" s="222"/>
      <c r="R54" s="258"/>
      <c r="S54" s="222"/>
      <c r="T54" s="258"/>
      <c r="U54" s="222"/>
      <c r="V54" s="258"/>
      <c r="W54" s="222"/>
      <c r="X54" s="258"/>
      <c r="Y54" s="222"/>
      <c r="Z54" s="258"/>
      <c r="AA54" s="222"/>
      <c r="AB54" s="258"/>
      <c r="AC54" s="222"/>
      <c r="AD54" s="258"/>
      <c r="AE54" s="222"/>
      <c r="AF54" s="258"/>
      <c r="AG54" s="222"/>
      <c r="AH54" s="258"/>
      <c r="AI54" s="222"/>
      <c r="AJ54" s="258"/>
      <c r="AK54" s="222"/>
      <c r="AL54" s="258"/>
      <c r="AM54" s="222"/>
      <c r="AN54" s="258"/>
      <c r="AO54" s="222"/>
      <c r="AP54" s="258"/>
      <c r="AQ54" s="222"/>
      <c r="AR54" s="258"/>
      <c r="AS54" s="258"/>
      <c r="AT54" s="258"/>
      <c r="AU54" s="258"/>
      <c r="AV54" s="258"/>
      <c r="AW54" s="258"/>
      <c r="AX54" s="258"/>
      <c r="AY54" s="258"/>
      <c r="AZ54" s="258"/>
      <c r="BA54" s="258"/>
      <c r="BB54" s="258"/>
      <c r="BC54" s="258"/>
      <c r="BD54" s="258"/>
      <c r="BE54" s="258"/>
      <c r="BF54" s="1916"/>
      <c r="BG54" s="258"/>
      <c r="BH54" s="258"/>
      <c r="BI54" s="222"/>
    </row>
    <row r="55" spans="1:61" hidden="1" outlineLevel="1">
      <c r="A55" s="222"/>
      <c r="B55" s="222"/>
      <c r="C55" s="222"/>
      <c r="D55" s="222"/>
      <c r="E55" s="222"/>
      <c r="F55" s="222"/>
      <c r="G55" s="222"/>
      <c r="H55" s="222"/>
      <c r="I55" s="222"/>
      <c r="J55" s="222"/>
      <c r="K55" s="222"/>
      <c r="L55" s="243">
        <f>+L8-flow!L59</f>
        <v>0</v>
      </c>
      <c r="M55" s="222"/>
      <c r="N55" s="243">
        <f>+N8-flow!N59</f>
        <v>0</v>
      </c>
      <c r="O55" s="222"/>
      <c r="P55" s="243">
        <f>+P8-flow!P59</f>
        <v>0</v>
      </c>
      <c r="Q55" s="222"/>
      <c r="R55" s="243">
        <f>+R8-flow!R59</f>
        <v>0</v>
      </c>
      <c r="S55" s="222"/>
      <c r="T55" s="243">
        <f>+T8-flow!T59</f>
        <v>0</v>
      </c>
      <c r="U55" s="222"/>
      <c r="V55" s="243">
        <f>+V8-flow!V59</f>
        <v>0</v>
      </c>
      <c r="W55" s="222"/>
      <c r="X55" s="243">
        <f>+X8-flow!X59</f>
        <v>0</v>
      </c>
      <c r="Y55" s="222"/>
      <c r="Z55" s="243">
        <f>+Z8-flow!Z59</f>
        <v>0</v>
      </c>
      <c r="AA55" s="222"/>
      <c r="AB55" s="243">
        <f>+AB8-flow!AB59</f>
        <v>0</v>
      </c>
      <c r="AC55" s="222"/>
      <c r="AD55" s="243">
        <f>+AD8-flow!AD59</f>
        <v>0</v>
      </c>
      <c r="AE55" s="222"/>
      <c r="AF55" s="243">
        <f>+AF8-flow!AF59</f>
        <v>0</v>
      </c>
      <c r="AG55" s="222"/>
      <c r="AH55" s="243">
        <f>+AH8-flow!AH59</f>
        <v>0</v>
      </c>
      <c r="AI55" s="222"/>
      <c r="AJ55" s="243">
        <f>+AJ8-flow!AJ59</f>
        <v>0</v>
      </c>
      <c r="AK55" s="222"/>
      <c r="AL55" s="243">
        <f>+AL8-flow!AL59</f>
        <v>0</v>
      </c>
      <c r="AM55" s="222"/>
      <c r="AN55" s="243">
        <f>+AN8-flow!AN59</f>
        <v>0</v>
      </c>
      <c r="AO55" s="222"/>
      <c r="AP55" s="243">
        <f>+AP8-flow!AP59</f>
        <v>0</v>
      </c>
      <c r="AQ55" s="222"/>
      <c r="AR55" s="243">
        <f>+AR8-flow!AR59</f>
        <v>0</v>
      </c>
      <c r="AS55" s="243"/>
      <c r="AT55" s="243">
        <f>+AT8-flow!AT59</f>
        <v>0</v>
      </c>
      <c r="AU55" s="243"/>
      <c r="AV55" s="243">
        <f>+AV8-flow!AV59</f>
        <v>0</v>
      </c>
      <c r="AW55" s="243"/>
      <c r="AX55" s="243">
        <f>+AX8-flow!AX59</f>
        <v>0</v>
      </c>
      <c r="AY55" s="243"/>
      <c r="AZ55" s="243">
        <f>+AZ8-flow!AZ59</f>
        <v>0</v>
      </c>
      <c r="BA55" s="243"/>
      <c r="BB55" s="243">
        <f>+BB8-flow!BB59</f>
        <v>0</v>
      </c>
      <c r="BC55" s="243"/>
      <c r="BD55" s="243">
        <f>+BD8-flow!BD59</f>
        <v>0</v>
      </c>
      <c r="BE55" s="243"/>
      <c r="BF55" s="235">
        <f>+BF8-flow!BF59</f>
        <v>0</v>
      </c>
      <c r="BG55" s="243"/>
      <c r="BH55" s="243"/>
      <c r="BI55" s="222"/>
    </row>
    <row r="56" spans="1:61" hidden="1" outlineLevel="1">
      <c r="A56" s="259"/>
      <c r="B56" s="259"/>
      <c r="C56" s="259"/>
      <c r="D56" s="259"/>
      <c r="E56" s="259"/>
      <c r="F56" s="259"/>
      <c r="G56" s="259"/>
      <c r="H56" s="259"/>
      <c r="I56" s="259"/>
      <c r="J56" s="259"/>
      <c r="K56" s="259"/>
      <c r="L56" s="420">
        <f>+L25-L52</f>
        <v>0</v>
      </c>
      <c r="M56" s="259"/>
      <c r="N56" s="420">
        <f>+N25-N52</f>
        <v>0</v>
      </c>
      <c r="O56" s="259"/>
      <c r="P56" s="420">
        <f>+P25-P52</f>
        <v>0</v>
      </c>
      <c r="Q56" s="259"/>
      <c r="R56" s="420">
        <f>+R25-R52</f>
        <v>0</v>
      </c>
      <c r="S56" s="259"/>
      <c r="T56" s="420">
        <f>+T25-T52</f>
        <v>0</v>
      </c>
      <c r="U56" s="259"/>
      <c r="V56" s="420">
        <f>+V25-V52</f>
        <v>0</v>
      </c>
      <c r="W56" s="259"/>
      <c r="X56" s="420">
        <f>+X25-X52</f>
        <v>0</v>
      </c>
      <c r="Y56" s="259"/>
      <c r="Z56" s="420">
        <f>+Z25-Z52</f>
        <v>0</v>
      </c>
      <c r="AA56" s="259"/>
      <c r="AB56" s="420">
        <f>+AB25-AB52</f>
        <v>0</v>
      </c>
      <c r="AC56" s="259"/>
      <c r="AD56" s="420">
        <f>+AD25-AD52</f>
        <v>0</v>
      </c>
      <c r="AE56" s="259"/>
      <c r="AF56" s="420">
        <f>+AF25-AF52</f>
        <v>0</v>
      </c>
      <c r="AG56" s="259"/>
      <c r="AH56" s="420">
        <f>+AH25-AH52</f>
        <v>0</v>
      </c>
      <c r="AI56" s="259"/>
      <c r="AJ56" s="420">
        <f>+AJ25-AJ52</f>
        <v>0</v>
      </c>
      <c r="AK56" s="259"/>
      <c r="AL56" s="420">
        <f>+AL25-AL52</f>
        <v>0</v>
      </c>
      <c r="AM56" s="259"/>
      <c r="AN56" s="420">
        <f>+AN25-AN52</f>
        <v>-1.2000000001535227E-2</v>
      </c>
      <c r="AO56" s="259"/>
      <c r="AP56" s="420">
        <f>+AP25-AP52</f>
        <v>4.9999999987448973E-3</v>
      </c>
      <c r="AQ56" s="259"/>
      <c r="AR56" s="420">
        <f>+AR25-AR52</f>
        <v>-2.000000002226443E-3</v>
      </c>
      <c r="AS56" s="420"/>
      <c r="AT56" s="420">
        <f>+AT25-AT52</f>
        <v>-2.0000000013169483E-3</v>
      </c>
      <c r="AU56" s="420"/>
      <c r="AV56" s="420">
        <f>+AV25-AV52</f>
        <v>4.7999999998864951E-2</v>
      </c>
      <c r="AW56" s="420"/>
      <c r="AX56" s="420">
        <f>+AX25-AX52</f>
        <v>-2.0000000004074536E-3</v>
      </c>
      <c r="AY56" s="420"/>
      <c r="AZ56" s="420">
        <f>+AZ25-AZ52</f>
        <v>-1.9999999994979589E-3</v>
      </c>
      <c r="BA56" s="420"/>
      <c r="BB56" s="420">
        <f>+BB25-BB52</f>
        <v>-2.000000002226443E-3</v>
      </c>
      <c r="BC56" s="420"/>
      <c r="BD56" s="420">
        <f>+BD25-BD52</f>
        <v>-2.000000002226443E-3</v>
      </c>
      <c r="BE56" s="420"/>
      <c r="BF56" s="1917">
        <f>+BF25-BF52</f>
        <v>-2.0000000040454324E-3</v>
      </c>
      <c r="BG56" s="420"/>
      <c r="BH56" s="420"/>
      <c r="BI56" s="259"/>
    </row>
    <row r="57" spans="1:61" hidden="1" outlineLevel="1">
      <c r="A57" s="259"/>
      <c r="B57" s="259"/>
      <c r="C57" s="259"/>
      <c r="D57" s="259"/>
      <c r="E57" s="259"/>
      <c r="F57" s="259"/>
      <c r="G57" s="259"/>
      <c r="H57" s="259"/>
      <c r="I57" s="259"/>
      <c r="J57" s="259"/>
      <c r="K57" s="259"/>
      <c r="L57" s="259"/>
      <c r="M57" s="259"/>
      <c r="N57" s="259"/>
      <c r="O57" s="259"/>
      <c r="P57" s="259"/>
      <c r="Q57" s="259"/>
      <c r="R57" s="259"/>
      <c r="S57" s="259"/>
      <c r="T57" s="259"/>
      <c r="U57" s="259"/>
      <c r="V57" s="259"/>
      <c r="W57" s="259"/>
      <c r="X57" s="259"/>
      <c r="Y57" s="259"/>
      <c r="Z57" s="259"/>
      <c r="AA57" s="259"/>
      <c r="AB57" s="259"/>
      <c r="AC57" s="259"/>
      <c r="AD57" s="259"/>
      <c r="AE57" s="259"/>
      <c r="AF57" s="259"/>
      <c r="AG57" s="259"/>
      <c r="AH57" s="259"/>
      <c r="AI57" s="259"/>
      <c r="AJ57" s="259"/>
      <c r="AK57" s="259"/>
      <c r="AL57" s="259"/>
      <c r="AM57" s="259"/>
      <c r="AN57" s="259"/>
      <c r="AO57" s="259"/>
      <c r="AP57" s="259"/>
      <c r="AQ57" s="259"/>
      <c r="AR57" s="259"/>
      <c r="AS57" s="259"/>
      <c r="AT57" s="259"/>
      <c r="AU57" s="259"/>
      <c r="AV57" s="259"/>
      <c r="AW57" s="259"/>
      <c r="AX57" s="259"/>
      <c r="AY57" s="259"/>
      <c r="AZ57" s="259"/>
      <c r="BA57" s="259"/>
      <c r="BB57" s="259"/>
      <c r="BC57" s="259"/>
      <c r="BD57" s="259"/>
      <c r="BE57" s="259"/>
      <c r="BF57" s="1918"/>
      <c r="BG57" s="259"/>
      <c r="BH57" s="259"/>
      <c r="BI57" s="259"/>
    </row>
    <row r="58" spans="1:61" collapsed="1">
      <c r="A58" s="222"/>
      <c r="B58" s="222"/>
      <c r="C58" s="222"/>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36"/>
      <c r="BG58" s="222"/>
      <c r="BH58" s="222"/>
      <c r="BI58" s="222"/>
    </row>
    <row r="59" spans="1:61">
      <c r="A59" s="260" t="s">
        <v>114</v>
      </c>
      <c r="B59" s="222"/>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36"/>
      <c r="BG59" s="222"/>
      <c r="BH59" s="222"/>
      <c r="BI59" s="222"/>
    </row>
    <row r="60" spans="1:61">
      <c r="A60" s="222"/>
      <c r="B60" s="222"/>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36"/>
      <c r="BG60" s="222"/>
      <c r="BH60" s="222"/>
      <c r="BI60" s="222"/>
    </row>
    <row r="61" spans="1:61">
      <c r="A61" s="261"/>
      <c r="B61" s="261" t="s">
        <v>479</v>
      </c>
      <c r="C61" s="261"/>
      <c r="D61" s="261"/>
      <c r="E61" s="261"/>
      <c r="F61" s="594"/>
      <c r="G61" s="594" t="str">
        <f t="shared" ref="G61:AM61" si="1">IF(G52=G25," ",G52-G25)</f>
        <v xml:space="preserve"> </v>
      </c>
      <c r="H61" s="714">
        <f t="shared" si="1"/>
        <v>-0.18699999999994776</v>
      </c>
      <c r="I61" s="714" t="str">
        <f t="shared" si="1"/>
        <v xml:space="preserve"> </v>
      </c>
      <c r="J61" s="714">
        <f>IF(J52=J25," ",J52-J25)</f>
        <v>20.85000000000008</v>
      </c>
      <c r="K61" s="714" t="str">
        <f t="shared" ref="K61:P61" si="2">IF(K52=K25," ",K52-K25)</f>
        <v xml:space="preserve"> </v>
      </c>
      <c r="L61" s="714" t="str">
        <f t="shared" si="2"/>
        <v xml:space="preserve"> </v>
      </c>
      <c r="M61" s="714" t="str">
        <f t="shared" si="2"/>
        <v xml:space="preserve"> </v>
      </c>
      <c r="N61" s="714" t="str">
        <f t="shared" si="2"/>
        <v xml:space="preserve"> </v>
      </c>
      <c r="O61" s="714" t="str">
        <f t="shared" si="2"/>
        <v xml:space="preserve"> </v>
      </c>
      <c r="P61" s="714" t="str">
        <f t="shared" si="2"/>
        <v xml:space="preserve"> </v>
      </c>
      <c r="Q61" s="714" t="str">
        <f t="shared" si="1"/>
        <v xml:space="preserve"> </v>
      </c>
      <c r="R61" s="714" t="str">
        <f t="shared" si="1"/>
        <v xml:space="preserve"> </v>
      </c>
      <c r="S61" s="714" t="str">
        <f t="shared" si="1"/>
        <v xml:space="preserve"> </v>
      </c>
      <c r="T61" s="714" t="str">
        <f t="shared" si="1"/>
        <v xml:space="preserve"> </v>
      </c>
      <c r="U61" s="714" t="str">
        <f t="shared" si="1"/>
        <v xml:space="preserve"> </v>
      </c>
      <c r="V61" s="714" t="str">
        <f t="shared" si="1"/>
        <v xml:space="preserve"> </v>
      </c>
      <c r="W61" s="714" t="str">
        <f t="shared" si="1"/>
        <v xml:space="preserve"> </v>
      </c>
      <c r="X61" s="714" t="str">
        <f t="shared" si="1"/>
        <v xml:space="preserve"> </v>
      </c>
      <c r="Y61" s="714" t="str">
        <f t="shared" si="1"/>
        <v xml:space="preserve"> </v>
      </c>
      <c r="Z61" s="714" t="str">
        <f t="shared" si="1"/>
        <v xml:space="preserve"> </v>
      </c>
      <c r="AA61" s="714" t="str">
        <f t="shared" si="1"/>
        <v xml:space="preserve"> </v>
      </c>
      <c r="AB61" s="714" t="str">
        <f t="shared" si="1"/>
        <v xml:space="preserve"> </v>
      </c>
      <c r="AC61" s="714" t="str">
        <f t="shared" si="1"/>
        <v xml:space="preserve"> </v>
      </c>
      <c r="AD61" s="714" t="str">
        <f t="shared" si="1"/>
        <v xml:space="preserve"> </v>
      </c>
      <c r="AE61" s="714" t="str">
        <f t="shared" si="1"/>
        <v xml:space="preserve"> </v>
      </c>
      <c r="AF61" s="714" t="str">
        <f t="shared" si="1"/>
        <v xml:space="preserve"> </v>
      </c>
      <c r="AG61" s="714" t="str">
        <f t="shared" si="1"/>
        <v xml:space="preserve"> </v>
      </c>
      <c r="AH61" s="714" t="str">
        <f t="shared" si="1"/>
        <v xml:space="preserve"> </v>
      </c>
      <c r="AI61" s="714" t="str">
        <f t="shared" si="1"/>
        <v xml:space="preserve"> </v>
      </c>
      <c r="AJ61" s="714" t="str">
        <f t="shared" si="1"/>
        <v xml:space="preserve"> </v>
      </c>
      <c r="AK61" s="714" t="str">
        <f t="shared" si="1"/>
        <v xml:space="preserve"> </v>
      </c>
      <c r="AL61" s="714" t="str">
        <f t="shared" si="1"/>
        <v xml:space="preserve"> </v>
      </c>
      <c r="AM61" s="714" t="str">
        <f t="shared" si="1"/>
        <v xml:space="preserve"> </v>
      </c>
      <c r="AN61" s="714">
        <f>IF(AN52=AN25," ",AN52-AN25)</f>
        <v>1.2000000001535227E-2</v>
      </c>
      <c r="AO61" s="714"/>
      <c r="AP61" s="1376">
        <f>IF(AP52=AP25," ",AP52-AP25)</f>
        <v>-4.9999999987448973E-3</v>
      </c>
      <c r="AQ61" s="714"/>
      <c r="AR61" s="714">
        <f>IF(AR52=AR25," ",AR52-AR25)</f>
        <v>2.000000002226443E-3</v>
      </c>
      <c r="AS61" s="714"/>
      <c r="AT61" s="714">
        <f>IF(AT52=AT25," ",AT52-AT25)</f>
        <v>2.0000000013169483E-3</v>
      </c>
      <c r="AU61" s="714" t="str">
        <f t="shared" ref="AU61:BB61" si="3">IF(AU52=AU25," ",AU52-AU25)</f>
        <v xml:space="preserve"> </v>
      </c>
      <c r="AV61" s="2059">
        <f t="shared" si="3"/>
        <v>-4.7999999998864951E-2</v>
      </c>
      <c r="AW61" s="714" t="str">
        <f t="shared" si="3"/>
        <v xml:space="preserve"> </v>
      </c>
      <c r="AX61" s="714">
        <f t="shared" si="3"/>
        <v>2.0000000004074536E-3</v>
      </c>
      <c r="AY61" s="714" t="str">
        <f t="shared" si="3"/>
        <v xml:space="preserve"> </v>
      </c>
      <c r="AZ61" s="714">
        <f t="shared" si="3"/>
        <v>1.9999999994979589E-3</v>
      </c>
      <c r="BA61" s="714" t="str">
        <f t="shared" si="3"/>
        <v xml:space="preserve"> </v>
      </c>
      <c r="BB61" s="714">
        <f t="shared" si="3"/>
        <v>2.000000002226443E-3</v>
      </c>
      <c r="BC61" s="714" t="str">
        <f>IF(BC52=BC25," ",BC52-BC25)</f>
        <v xml:space="preserve"> </v>
      </c>
      <c r="BD61" s="714">
        <f>IF(BD52=BD25," ",BD52-BD25)</f>
        <v>2.000000002226443E-3</v>
      </c>
      <c r="BE61" s="714"/>
      <c r="BF61" s="1919">
        <f>IF(BF52=BF25," ",BF52-BF25)</f>
        <v>2.0000000040454324E-3</v>
      </c>
      <c r="BG61" s="714"/>
      <c r="BH61" s="714"/>
      <c r="BI61" s="261"/>
    </row>
    <row r="62" spans="1:61">
      <c r="A62" s="222"/>
      <c r="B62" s="222"/>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36"/>
      <c r="BG62" s="222"/>
      <c r="BH62" s="222"/>
      <c r="BI62" s="222"/>
    </row>
    <row r="63" spans="1:61">
      <c r="A63" s="222"/>
      <c r="B63" s="222"/>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36"/>
      <c r="BG63" s="222"/>
      <c r="BH63" s="222"/>
      <c r="BI63" s="222"/>
    </row>
    <row r="64" spans="1:61">
      <c r="A64" s="222" t="s">
        <v>485</v>
      </c>
      <c r="B64" s="222"/>
      <c r="C64" s="222"/>
      <c r="D64" s="222"/>
      <c r="E64" s="222"/>
      <c r="F64" s="222"/>
      <c r="G64" s="222"/>
      <c r="H64" s="222"/>
      <c r="I64" s="222"/>
      <c r="J64" s="222"/>
      <c r="K64" s="222"/>
      <c r="L64" s="222"/>
      <c r="M64" s="222"/>
      <c r="N64" s="222"/>
      <c r="O64" s="222"/>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36"/>
      <c r="BG64" s="222"/>
      <c r="BH64" s="222"/>
      <c r="BI64" s="222"/>
    </row>
    <row r="65" spans="1:61">
      <c r="A65" s="222"/>
      <c r="B65" s="222"/>
      <c r="C65" s="222"/>
      <c r="D65" s="222"/>
      <c r="E65" s="222"/>
      <c r="F65" s="222"/>
      <c r="G65" s="222"/>
      <c r="H65" s="222"/>
      <c r="I65" s="222"/>
      <c r="J65" s="222"/>
      <c r="K65" s="222"/>
      <c r="L65" s="222"/>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36"/>
      <c r="BG65" s="222"/>
      <c r="BH65" s="222"/>
      <c r="BI65" s="222"/>
    </row>
    <row r="66" spans="1:61">
      <c r="A66" s="222"/>
      <c r="B66" s="222" t="s">
        <v>482</v>
      </c>
      <c r="C66" s="222"/>
      <c r="D66" s="243">
        <f>'qtrP&amp;L'!D14</f>
        <v>395.02100000000002</v>
      </c>
      <c r="E66" s="222"/>
      <c r="F66" s="243">
        <f>'qtrP&amp;L'!H14</f>
        <v>512.64499999999998</v>
      </c>
      <c r="G66" s="222"/>
      <c r="H66" s="243">
        <f>'qtrP&amp;L'!L14</f>
        <v>540.36599999999999</v>
      </c>
      <c r="I66" s="222"/>
      <c r="J66" s="243">
        <f>'qtrP&amp;L'!P14</f>
        <v>513.91499999999996</v>
      </c>
      <c r="K66" s="222"/>
      <c r="L66" s="243">
        <f>'qtrP&amp;L'!T14</f>
        <v>500.94400000000002</v>
      </c>
      <c r="M66" s="222"/>
      <c r="N66" s="243">
        <f>'qtrP&amp;L'!X14</f>
        <v>548.91800000000001</v>
      </c>
      <c r="O66" s="222"/>
      <c r="P66" s="243">
        <f>'qtrP&amp;L'!AB14</f>
        <v>600.49099999999999</v>
      </c>
      <c r="Q66" s="222"/>
      <c r="R66" s="243">
        <f>+'qtrP&amp;L'!AF14</f>
        <v>719.40300000000002</v>
      </c>
      <c r="S66" s="222"/>
      <c r="T66" s="243">
        <f>+'qtrP&amp;L'!AJ14</f>
        <v>953.226</v>
      </c>
      <c r="U66" s="222"/>
      <c r="V66" s="243">
        <f>+'yrP&amp;L'!K7</f>
        <v>1321.1059999999998</v>
      </c>
      <c r="W66" s="222"/>
      <c r="X66" s="243">
        <f>+'yrP&amp;L'!L7</f>
        <v>1710.4230000000002</v>
      </c>
      <c r="Y66" s="222"/>
      <c r="Z66" s="243">
        <f>+'yrP&amp;L'!M7</f>
        <v>2035.0909999999999</v>
      </c>
      <c r="AA66" s="222"/>
      <c r="AB66" s="243">
        <f>+'yrP&amp;L'!N7</f>
        <v>2612.4559999999997</v>
      </c>
      <c r="AC66" s="222"/>
      <c r="AD66" s="243">
        <f>+'yrP&amp;L'!O7</f>
        <v>3180.7570000000001</v>
      </c>
      <c r="AE66" s="222"/>
      <c r="AF66" s="243">
        <f>+'yrP&amp;L'!P7</f>
        <v>3230.4679999999998</v>
      </c>
      <c r="AG66" s="222"/>
      <c r="AH66" s="243">
        <f>+'yrP&amp;L'!Q7</f>
        <v>3607.636</v>
      </c>
      <c r="AI66" s="222"/>
      <c r="AJ66" s="243">
        <f>+'yrP&amp;L'!R7</f>
        <v>4158.5070000000005</v>
      </c>
      <c r="AK66" s="222"/>
      <c r="AL66" s="243">
        <f>+'yrP&amp;L'!S7</f>
        <v>4763.1799999999994</v>
      </c>
      <c r="AM66" s="222"/>
      <c r="AN66" s="243">
        <f>+'yrP&amp;L'!T7</f>
        <v>5075.3899999999994</v>
      </c>
      <c r="AO66" s="222"/>
      <c r="AP66" s="243">
        <f>+'yrP&amp;L'!U7</f>
        <v>4806.2260000000006</v>
      </c>
      <c r="AQ66" s="243">
        <f>+'yrP&amp;L'!V7</f>
        <v>4191.6000000000004</v>
      </c>
      <c r="AR66" s="243">
        <f>+'yrP&amp;L'!W7</f>
        <v>4491.7999999999993</v>
      </c>
      <c r="AS66" s="243"/>
      <c r="AT66" s="243">
        <f>+'yrP&amp;L'!W7</f>
        <v>4491.7999999999993</v>
      </c>
      <c r="AU66" s="243"/>
      <c r="AV66" s="243">
        <f>+'yrP&amp;L'!X7</f>
        <v>4488.3</v>
      </c>
      <c r="AW66" s="243"/>
      <c r="AX66" s="243">
        <f>+'yrP&amp;L'!Y7</f>
        <v>5830.896633543296</v>
      </c>
      <c r="AY66" s="243"/>
      <c r="AZ66" s="243">
        <f>+'yrP&amp;L'!Z7</f>
        <v>6016.7445650539694</v>
      </c>
      <c r="BA66" s="243"/>
      <c r="BB66" s="243">
        <f>+'yrP&amp;L'!AA7</f>
        <v>6189.4033278856969</v>
      </c>
      <c r="BC66" s="243"/>
      <c r="BD66" s="243">
        <f>+'yrP&amp;L'!AB7</f>
        <v>6366.6876309344079</v>
      </c>
      <c r="BE66" s="243"/>
      <c r="BF66" s="235">
        <f>+'yrP&amp;L'!AC7</f>
        <v>6549.1863844707495</v>
      </c>
      <c r="BG66" s="243"/>
      <c r="BH66" s="243"/>
      <c r="BI66" s="222"/>
    </row>
    <row r="67" spans="1:61">
      <c r="A67" s="222"/>
      <c r="B67" s="222" t="s">
        <v>483</v>
      </c>
      <c r="C67" s="222"/>
      <c r="D67" s="238">
        <f>'qtrP&amp;L'!D24</f>
        <v>159.32499999999999</v>
      </c>
      <c r="E67" s="222"/>
      <c r="F67" s="238">
        <f>'qtrP&amp;L'!H24</f>
        <v>211.977</v>
      </c>
      <c r="G67" s="222"/>
      <c r="H67" s="238">
        <f>'qtrP&amp;L'!L24</f>
        <v>227.08600000000001</v>
      </c>
      <c r="I67" s="222"/>
      <c r="J67" s="238">
        <f>'qtrP&amp;L'!P24</f>
        <v>235.512</v>
      </c>
      <c r="K67" s="222"/>
      <c r="L67" s="238">
        <f>'qtrP&amp;L'!T24</f>
        <v>226.19</v>
      </c>
      <c r="M67" s="222"/>
      <c r="N67" s="238">
        <f>'qtrP&amp;L'!X24</f>
        <v>220.08500000000001</v>
      </c>
      <c r="O67" s="222"/>
      <c r="P67" s="238">
        <f>'qtrP&amp;L'!AB24</f>
        <v>218.50700000000001</v>
      </c>
      <c r="Q67" s="222"/>
      <c r="R67" s="238">
        <f>+'qtrP&amp;L'!AF24</f>
        <v>236.041</v>
      </c>
      <c r="S67" s="222"/>
      <c r="T67" s="238">
        <f>+'qtrP&amp;L'!AJ24</f>
        <v>275.79699999999997</v>
      </c>
      <c r="U67" s="222"/>
      <c r="V67" s="238">
        <f>+'yrP&amp;L'!K12</f>
        <v>331.024</v>
      </c>
      <c r="W67" s="222"/>
      <c r="X67" s="238">
        <f>+'yrP&amp;L'!L12</f>
        <v>399.65200000000004</v>
      </c>
      <c r="Y67" s="222"/>
      <c r="Z67" s="238">
        <f>+'yrP&amp;L'!M12</f>
        <v>453.47299999999996</v>
      </c>
      <c r="AA67" s="222"/>
      <c r="AB67" s="238">
        <f>+'yrP&amp;L'!N12</f>
        <v>589.47</v>
      </c>
      <c r="AC67" s="222"/>
      <c r="AD67" s="238">
        <f>+'yrP&amp;L'!O12</f>
        <v>773.654</v>
      </c>
      <c r="AE67" s="222"/>
      <c r="AF67" s="238">
        <f>+'yrP&amp;L'!P12</f>
        <v>907.85799999999995</v>
      </c>
      <c r="AG67" s="222"/>
      <c r="AH67" s="238">
        <f>+'yrP&amp;L'!Q12</f>
        <v>973.94499999999994</v>
      </c>
      <c r="AI67" s="222"/>
      <c r="AJ67" s="238">
        <f>+'yrP&amp;L'!R12</f>
        <v>1134.9659999999999</v>
      </c>
      <c r="AK67" s="222"/>
      <c r="AL67" s="238">
        <f>+'yrP&amp;L'!S12</f>
        <v>1297.1019999999999</v>
      </c>
      <c r="AM67" s="222"/>
      <c r="AN67" s="238">
        <f>+'yrP&amp;L'!T12</f>
        <v>1372.442</v>
      </c>
      <c r="AO67" s="222"/>
      <c r="AP67" s="238">
        <f>+'yrP&amp;L'!U12</f>
        <v>1427.0710000000001</v>
      </c>
      <c r="AQ67" s="238">
        <f>+'yrP&amp;L'!V12</f>
        <v>1273.3</v>
      </c>
      <c r="AR67" s="238">
        <f>+'yrP&amp;L'!W12</f>
        <v>1439.4</v>
      </c>
      <c r="AS67" s="238"/>
      <c r="AT67" s="238">
        <f>+'yrP&amp;L'!W12</f>
        <v>1439.4</v>
      </c>
      <c r="AU67" s="238"/>
      <c r="AV67" s="238">
        <f>+'yrP&amp;L'!X12</f>
        <v>1404.28</v>
      </c>
      <c r="AW67" s="238"/>
      <c r="AX67" s="238">
        <f>+'yrP&amp;L'!Y12</f>
        <v>1903.4894232799102</v>
      </c>
      <c r="AY67" s="238"/>
      <c r="AZ67" s="238">
        <f>+'yrP&amp;L'!Z12</f>
        <v>1971.0855195116803</v>
      </c>
      <c r="BA67" s="238"/>
      <c r="BB67" s="238">
        <f>+'yrP&amp;L'!AA12</f>
        <v>2018.3644252235254</v>
      </c>
      <c r="BC67" s="238"/>
      <c r="BD67" s="238">
        <f>+'yrP&amp;L'!AB12</f>
        <v>2071.0834863429632</v>
      </c>
      <c r="BE67" s="238"/>
      <c r="BF67" s="253">
        <f>+'yrP&amp;L'!AC12</f>
        <v>2116.6970394609466</v>
      </c>
      <c r="BG67" s="238"/>
      <c r="BH67" s="238"/>
      <c r="BI67" s="222"/>
    </row>
    <row r="68" spans="1:61">
      <c r="A68" s="222"/>
      <c r="B68" s="222" t="s">
        <v>484</v>
      </c>
      <c r="C68" s="222"/>
      <c r="D68" s="238">
        <f>'qtrP&amp;L'!D34</f>
        <v>178.221</v>
      </c>
      <c r="E68" s="222"/>
      <c r="F68" s="238">
        <f>'qtrP&amp;L'!H34</f>
        <v>238.62100000000001</v>
      </c>
      <c r="G68" s="222"/>
      <c r="H68" s="238">
        <f>'qtrP&amp;L'!L34</f>
        <v>269.01100000000002</v>
      </c>
      <c r="I68" s="222"/>
      <c r="J68" s="238">
        <f>'qtrP&amp;L'!P34</f>
        <v>253.39</v>
      </c>
      <c r="K68" s="222"/>
      <c r="L68" s="238">
        <f>'qtrP&amp;L'!T34</f>
        <v>248.17099999999999</v>
      </c>
      <c r="M68" s="222"/>
      <c r="N68" s="238">
        <f>'qtrP&amp;L'!X34</f>
        <v>272.81600000000003</v>
      </c>
      <c r="O68" s="222"/>
      <c r="P68" s="238">
        <f>'qtrP&amp;L'!AB34</f>
        <v>275.72699999999998</v>
      </c>
      <c r="Q68" s="222"/>
      <c r="R68" s="238">
        <f>+'qtrP&amp;L'!AF34</f>
        <v>346.35400000000004</v>
      </c>
      <c r="S68" s="222"/>
      <c r="T68" s="238">
        <f>+'qtrP&amp;L'!AJ34</f>
        <v>433.66700000000003</v>
      </c>
      <c r="U68" s="222"/>
      <c r="V68" s="238">
        <f>+'yrP&amp;L'!K15</f>
        <v>584.77800000000002</v>
      </c>
      <c r="W68" s="222"/>
      <c r="X68" s="238">
        <f>+'yrP&amp;L'!L15</f>
        <v>738.20800000000008</v>
      </c>
      <c r="Y68" s="222"/>
      <c r="Z68" s="238">
        <f>+'yrP&amp;L'!M15</f>
        <v>866.87100000000009</v>
      </c>
      <c r="AA68" s="222"/>
      <c r="AB68" s="238">
        <f>+'yrP&amp;L'!N15</f>
        <v>1029.5889999999999</v>
      </c>
      <c r="AC68" s="222"/>
      <c r="AD68" s="238">
        <f>+'yrP&amp;L'!O15</f>
        <v>1227.874</v>
      </c>
      <c r="AE68" s="222"/>
      <c r="AF68" s="238">
        <f>+'yrP&amp;L'!P15</f>
        <v>1322.297</v>
      </c>
      <c r="AG68" s="222"/>
      <c r="AH68" s="238">
        <f>+'yrP&amp;L'!Q15</f>
        <v>1483.52</v>
      </c>
      <c r="AI68" s="222"/>
      <c r="AJ68" s="238">
        <f>+'yrP&amp;L'!R15</f>
        <v>1692.9390000000003</v>
      </c>
      <c r="AK68" s="222"/>
      <c r="AL68" s="238">
        <f>+'yrP&amp;L'!S15</f>
        <v>1914.8799999999999</v>
      </c>
      <c r="AM68" s="222"/>
      <c r="AN68" s="238">
        <f>+'yrP&amp;L'!T15</f>
        <v>2125.2049999999999</v>
      </c>
      <c r="AO68" s="222"/>
      <c r="AP68" s="238">
        <f>+'yrP&amp;L'!U15</f>
        <v>2127.5739999999996</v>
      </c>
      <c r="AQ68" s="238">
        <f>+'yrP&amp;L'!V15</f>
        <v>2129.8000000000002</v>
      </c>
      <c r="AR68" s="238">
        <f>+'yrP&amp;L'!W15</f>
        <v>2275.8000000000002</v>
      </c>
      <c r="AS68" s="238"/>
      <c r="AT68" s="238">
        <f>+'yrP&amp;L'!W15</f>
        <v>2275.8000000000002</v>
      </c>
      <c r="AU68" s="238"/>
      <c r="AV68" s="238">
        <f>+'yrP&amp;L'!X15</f>
        <v>2271.3999999999996</v>
      </c>
      <c r="AW68" s="238"/>
      <c r="AX68" s="238">
        <f>+'yrP&amp;L'!Y15</f>
        <v>2939.4871256357114</v>
      </c>
      <c r="AY68" s="238"/>
      <c r="AZ68" s="238">
        <f>+'yrP&amp;L'!Z15</f>
        <v>2984.3053042667689</v>
      </c>
      <c r="BA68" s="238"/>
      <c r="BB68" s="238">
        <f>+'yrP&amp;L'!AA15</f>
        <v>3069.9440506313058</v>
      </c>
      <c r="BC68" s="238"/>
      <c r="BD68" s="238">
        <f>+'yrP&amp;L'!AB15</f>
        <v>3154.0570523649058</v>
      </c>
      <c r="BE68" s="238"/>
      <c r="BF68" s="253">
        <f>+'yrP&amp;L'!AC15</f>
        <v>3231.3685620978677</v>
      </c>
      <c r="BG68" s="238"/>
      <c r="BH68" s="238"/>
      <c r="BI68" s="222"/>
    </row>
    <row r="69" spans="1:61">
      <c r="A69" s="222"/>
      <c r="B69" s="222" t="s">
        <v>486</v>
      </c>
      <c r="C69" s="222"/>
      <c r="D69" s="238">
        <f>'yrP&amp;L'!B76</f>
        <v>36.969000000000015</v>
      </c>
      <c r="E69" s="222"/>
      <c r="F69" s="238">
        <f>'yrP&amp;L'!C76</f>
        <v>42.86</v>
      </c>
      <c r="G69" s="222"/>
      <c r="H69" s="238">
        <f>'yrP&amp;L'!D76</f>
        <v>32.036999999999949</v>
      </c>
      <c r="I69" s="222"/>
      <c r="J69" s="238">
        <f>'yrP&amp;L'!E76</f>
        <v>20.662999999999975</v>
      </c>
      <c r="K69" s="222"/>
      <c r="L69" s="238">
        <f>'yrP&amp;L'!F76</f>
        <v>16.715000000000025</v>
      </c>
      <c r="M69" s="222"/>
      <c r="N69" s="238">
        <f>'yrP&amp;L'!G76</f>
        <v>38.602999999999938</v>
      </c>
      <c r="O69" s="222"/>
      <c r="P69" s="238">
        <f>'yrP&amp;L'!H76</f>
        <v>64.03</v>
      </c>
      <c r="Q69" s="222"/>
      <c r="R69" s="238">
        <f>'yrP&amp;L'!I76</f>
        <v>75.599999999999994</v>
      </c>
      <c r="S69" s="222"/>
      <c r="T69" s="238">
        <f>'yrP&amp;L'!J76</f>
        <v>130.68100000000007</v>
      </c>
      <c r="U69" s="222"/>
      <c r="V69" s="238">
        <f>+'yrP&amp;L'!K76</f>
        <v>237.94899999999976</v>
      </c>
      <c r="W69" s="222"/>
      <c r="X69" s="238">
        <f>+'yrP&amp;L'!L76</f>
        <v>358.61200000000008</v>
      </c>
      <c r="Y69" s="222"/>
      <c r="Z69" s="238">
        <f>'qtrP&amp;L'!AV125</f>
        <v>464.04399999999998</v>
      </c>
      <c r="AA69" s="222"/>
      <c r="AB69" s="238">
        <f>+'yrP&amp;L'!N76</f>
        <v>636.52899999999954</v>
      </c>
      <c r="AC69" s="222"/>
      <c r="AD69" s="238">
        <f>+'yrP&amp;L'!O76</f>
        <v>742.00200000000018</v>
      </c>
      <c r="AE69" s="222"/>
      <c r="AF69" s="238">
        <f>+'yrP&amp;L'!P76</f>
        <v>622.24199999999962</v>
      </c>
      <c r="AG69" s="222"/>
      <c r="AH69" s="238">
        <f>+'yrP&amp;L'!Q76</f>
        <v>734.93999999999983</v>
      </c>
      <c r="AI69" s="222"/>
      <c r="AJ69" s="238">
        <f>+'yrP&amp;L'!R76</f>
        <v>880.80000000000041</v>
      </c>
      <c r="AK69" s="222"/>
      <c r="AL69" s="238">
        <f>+'yrP&amp;L'!S76</f>
        <v>1038.9099999999996</v>
      </c>
      <c r="AM69" s="222"/>
      <c r="AN69" s="238">
        <f>+'yrP&amp;L'!T76-32.58</f>
        <v>1034.4079999999994</v>
      </c>
      <c r="AO69" s="222"/>
      <c r="AP69" s="238">
        <f>+'yrP&amp;L'!U76-88.264</f>
        <v>781.35300000000109</v>
      </c>
      <c r="AQ69" s="238">
        <f>+'yrP&amp;L'!V76-88.264</f>
        <v>442.93600000000004</v>
      </c>
      <c r="AR69" s="238">
        <f>+'yrP&amp;L'!V76-128.8</f>
        <v>402.40000000000003</v>
      </c>
      <c r="AS69" s="238"/>
      <c r="AT69" s="238">
        <f>+'yrP&amp;L'!W76-91.2</f>
        <v>460.49999999999903</v>
      </c>
      <c r="AU69" s="238"/>
      <c r="AV69" s="238">
        <f>+'yrP&amp;L'!X76</f>
        <v>609.22000000000082</v>
      </c>
      <c r="AW69" s="238"/>
      <c r="AX69" s="238">
        <f>+'yrP&amp;L'!Y76</f>
        <v>727.88426854841623</v>
      </c>
      <c r="AY69" s="238"/>
      <c r="AZ69" s="238">
        <f>+'yrP&amp;L'!Z76</f>
        <v>798.07318690128352</v>
      </c>
      <c r="BA69" s="238"/>
      <c r="BB69" s="238">
        <f>+'yrP&amp;L'!AA76</f>
        <v>829.26995884422956</v>
      </c>
      <c r="BC69" s="238"/>
      <c r="BD69" s="238">
        <f>+'yrP&amp;L'!AB76</f>
        <v>861.02496739783351</v>
      </c>
      <c r="BE69" s="238"/>
      <c r="BF69" s="253">
        <f>+'yrP&amp;L'!AC76</f>
        <v>907.79031458586883</v>
      </c>
      <c r="BG69" s="238"/>
      <c r="BH69" s="238"/>
      <c r="BI69" s="222"/>
    </row>
    <row r="70" spans="1:61">
      <c r="A70" s="222"/>
      <c r="B70" s="222"/>
      <c r="C70" s="222"/>
      <c r="D70" s="222"/>
      <c r="E70" s="222"/>
      <c r="F70" s="222"/>
      <c r="G70" s="222"/>
      <c r="H70" s="222"/>
      <c r="I70" s="222"/>
      <c r="J70" s="222"/>
      <c r="K70" s="222"/>
      <c r="L70" s="222"/>
      <c r="M70" s="222"/>
      <c r="N70" s="222"/>
      <c r="O70" s="222"/>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36"/>
      <c r="BG70" s="222"/>
      <c r="BH70" s="222"/>
      <c r="BI70" s="222"/>
    </row>
    <row r="71" spans="1:61">
      <c r="A71" s="222"/>
      <c r="B71" s="222" t="s">
        <v>487</v>
      </c>
      <c r="C71" s="222"/>
      <c r="D71" s="262">
        <f>D10/D66</f>
        <v>0</v>
      </c>
      <c r="E71" s="222"/>
      <c r="F71" s="262">
        <f>F10/F66</f>
        <v>0</v>
      </c>
      <c r="G71" s="222"/>
      <c r="H71" s="262">
        <f>H10/H66</f>
        <v>0</v>
      </c>
      <c r="I71" s="222"/>
      <c r="J71" s="262">
        <f>J10/J66</f>
        <v>2.555870134166156E-2</v>
      </c>
      <c r="K71" s="222"/>
      <c r="L71" s="262">
        <f>L10/L66</f>
        <v>2.3591459324794787E-2</v>
      </c>
      <c r="M71" s="222"/>
      <c r="N71" s="262">
        <f>R10/N66</f>
        <v>5.6338105145030772E-2</v>
      </c>
      <c r="O71" s="222"/>
      <c r="P71" s="262">
        <f>P10/P66</f>
        <v>3.431858262655061E-2</v>
      </c>
      <c r="Q71" s="222"/>
      <c r="R71" s="262">
        <f>R10/R66</f>
        <v>4.2987032303173606E-2</v>
      </c>
      <c r="S71" s="222"/>
      <c r="T71" s="262">
        <f>T10/T66</f>
        <v>3.7210483138311372E-2</v>
      </c>
      <c r="U71" s="222"/>
      <c r="V71" s="262">
        <f>V10/V66</f>
        <v>4.2179809947120069E-2</v>
      </c>
      <c r="W71" s="222"/>
      <c r="X71" s="262">
        <f>X10/X66</f>
        <v>3.8235570966947935E-2</v>
      </c>
      <c r="Y71" s="222"/>
      <c r="Z71" s="262">
        <f>Z10/Z66</f>
        <v>4.1453183174609887E-2</v>
      </c>
      <c r="AA71" s="222"/>
      <c r="AB71" s="262">
        <f>AB10/AB66</f>
        <v>4.1269211806820867E-2</v>
      </c>
      <c r="AC71" s="222"/>
      <c r="AD71" s="262">
        <f>AD10/AD66</f>
        <v>3.3557420450540547E-2</v>
      </c>
      <c r="AE71" s="222"/>
      <c r="AF71" s="262">
        <f>AF10/AF66</f>
        <v>3.365054227437015E-2</v>
      </c>
      <c r="AG71" s="222"/>
      <c r="AH71" s="262">
        <f>AH10/AH66</f>
        <v>3.0232540089964729E-2</v>
      </c>
      <c r="AI71" s="222"/>
      <c r="AJ71" s="262">
        <f>AJ10/AJ66</f>
        <v>3.4362813384707536E-2</v>
      </c>
      <c r="AK71" s="262"/>
      <c r="AL71" s="262">
        <f>AL10/AL66</f>
        <v>3.6627211232831851E-2</v>
      </c>
      <c r="AM71" s="262"/>
      <c r="AN71" s="262">
        <f>AN10/AN66</f>
        <v>3.4574091843188409E-2</v>
      </c>
      <c r="AO71" s="262"/>
      <c r="AP71" s="262">
        <f>AP10/AP66</f>
        <v>4.1316617237724562E-2</v>
      </c>
      <c r="AQ71" s="262"/>
      <c r="AR71" s="262">
        <f>AR10/AR66</f>
        <v>4.8866823990382481E-2</v>
      </c>
      <c r="AS71" s="262"/>
      <c r="AT71" s="262">
        <f>AT10/AT66</f>
        <v>5.4588361013402205E-2</v>
      </c>
      <c r="AU71" s="263"/>
      <c r="AV71" s="263">
        <f>+AT71</f>
        <v>5.4588361013402205E-2</v>
      </c>
      <c r="AW71" s="263"/>
      <c r="AX71" s="263">
        <f>+AV71</f>
        <v>5.4588361013402205E-2</v>
      </c>
      <c r="AY71" s="263"/>
      <c r="AZ71" s="263">
        <f>+AX71</f>
        <v>5.4588361013402205E-2</v>
      </c>
      <c r="BA71" s="263"/>
      <c r="BB71" s="263">
        <f>+AZ71</f>
        <v>5.4588361013402205E-2</v>
      </c>
      <c r="BC71" s="263"/>
      <c r="BD71" s="263">
        <f>+BB71</f>
        <v>5.4588361013402205E-2</v>
      </c>
      <c r="BE71" s="263"/>
      <c r="BF71" s="1920">
        <f>+BD71</f>
        <v>5.4588361013402205E-2</v>
      </c>
      <c r="BG71" s="263"/>
      <c r="BH71" s="263"/>
      <c r="BI71" s="222"/>
    </row>
    <row r="72" spans="1:61">
      <c r="A72" s="222"/>
      <c r="B72" s="222" t="s">
        <v>492</v>
      </c>
      <c r="C72" s="222"/>
      <c r="D72" s="262">
        <f>D11/D66</f>
        <v>0</v>
      </c>
      <c r="E72" s="222"/>
      <c r="F72" s="262">
        <f>F11/F66</f>
        <v>0</v>
      </c>
      <c r="G72" s="222"/>
      <c r="H72" s="262">
        <f>H11/H66</f>
        <v>0</v>
      </c>
      <c r="I72" s="222"/>
      <c r="J72" s="262">
        <f>J11/J66</f>
        <v>0.25763015284628782</v>
      </c>
      <c r="K72" s="222"/>
      <c r="L72" s="262">
        <f>L11/L66</f>
        <v>0.20240785397170141</v>
      </c>
      <c r="M72" s="222"/>
      <c r="N72" s="262">
        <f>R11/N66</f>
        <v>0.24849613239135898</v>
      </c>
      <c r="O72" s="222"/>
      <c r="P72" s="262">
        <f>P11/P66</f>
        <v>0.17512668799365855</v>
      </c>
      <c r="Q72" s="222"/>
      <c r="R72" s="262">
        <f>R11/R66</f>
        <v>0.18960721598325278</v>
      </c>
      <c r="S72" s="222"/>
      <c r="T72" s="262">
        <f>T11/T66</f>
        <v>0.15086348882636436</v>
      </c>
      <c r="U72" s="222"/>
      <c r="V72" s="262">
        <f>V11/V66</f>
        <v>0.12255867432287798</v>
      </c>
      <c r="W72" s="222"/>
      <c r="X72" s="262">
        <f>X11/X66</f>
        <v>0.10782069698548254</v>
      </c>
      <c r="Y72" s="222"/>
      <c r="Z72" s="262">
        <f>Z11/Z66</f>
        <v>0.1147339357306381</v>
      </c>
      <c r="AA72" s="222"/>
      <c r="AB72" s="262">
        <f>AB11/AB66</f>
        <v>0.11146292990197731</v>
      </c>
      <c r="AC72" s="222"/>
      <c r="AD72" s="262">
        <f>AD11/AD66</f>
        <v>0.10013025201233543</v>
      </c>
      <c r="AE72" s="222"/>
      <c r="AF72" s="262">
        <f>AF11/AF66</f>
        <v>0.10095998474524435</v>
      </c>
      <c r="AG72" s="222"/>
      <c r="AH72" s="262">
        <f>AH11/AH66</f>
        <v>0.10069890643069312</v>
      </c>
      <c r="AI72" s="222"/>
      <c r="AJ72" s="262">
        <f>AJ11/AJ66</f>
        <v>0.10143808823695619</v>
      </c>
      <c r="AK72" s="262"/>
      <c r="AL72" s="262">
        <f>AL11/AL66</f>
        <v>0.10591453608723585</v>
      </c>
      <c r="AM72" s="262"/>
      <c r="AN72" s="262">
        <f>AN11/AN66</f>
        <v>0.10338240017023324</v>
      </c>
      <c r="AO72" s="262"/>
      <c r="AP72" s="262">
        <f>AP11/AP66</f>
        <v>0.10947778985008193</v>
      </c>
      <c r="AQ72" s="262"/>
      <c r="AR72" s="262">
        <f>AR11/AR66</f>
        <v>0.10799679415824394</v>
      </c>
      <c r="AS72" s="262"/>
      <c r="AT72" s="262">
        <f>AT11/AT66</f>
        <v>0.10223073155527852</v>
      </c>
      <c r="AU72" s="263"/>
      <c r="AV72" s="263">
        <f>AT72</f>
        <v>0.10223073155527852</v>
      </c>
      <c r="AW72" s="263"/>
      <c r="AX72" s="263">
        <f t="shared" ref="AX72:BF72" si="4">AV72</f>
        <v>0.10223073155527852</v>
      </c>
      <c r="AY72" s="263"/>
      <c r="AZ72" s="263">
        <f t="shared" si="4"/>
        <v>0.10223073155527852</v>
      </c>
      <c r="BA72" s="263"/>
      <c r="BB72" s="263">
        <f t="shared" si="4"/>
        <v>0.10223073155527852</v>
      </c>
      <c r="BC72" s="263"/>
      <c r="BD72" s="263">
        <f t="shared" si="4"/>
        <v>0.10223073155527852</v>
      </c>
      <c r="BE72" s="263"/>
      <c r="BF72" s="263">
        <f t="shared" si="4"/>
        <v>0.10223073155527852</v>
      </c>
      <c r="BG72" s="263"/>
      <c r="BH72" s="263"/>
      <c r="BI72" s="222"/>
    </row>
    <row r="73" spans="1:61">
      <c r="A73" s="222"/>
      <c r="B73" s="222" t="s">
        <v>277</v>
      </c>
      <c r="C73" s="222"/>
      <c r="D73" s="262"/>
      <c r="E73" s="222"/>
      <c r="F73" s="262"/>
      <c r="G73" s="222"/>
      <c r="H73" s="262"/>
      <c r="I73" s="222"/>
      <c r="J73" s="262"/>
      <c r="K73" s="222"/>
      <c r="L73" s="262"/>
      <c r="M73" s="222"/>
      <c r="N73" s="262">
        <f>+N12/N66</f>
        <v>1.6388604491016874E-2</v>
      </c>
      <c r="O73" s="222"/>
      <c r="P73" s="262">
        <f>+P12/P66</f>
        <v>2.3182695494187257E-2</v>
      </c>
      <c r="Q73" s="222"/>
      <c r="R73" s="262">
        <f>+R12/R66</f>
        <v>1.9631555609303825E-2</v>
      </c>
      <c r="S73" s="222"/>
      <c r="T73" s="262">
        <f>+T12/T66</f>
        <v>2.2307406638090024E-2</v>
      </c>
      <c r="U73" s="222"/>
      <c r="V73" s="262">
        <f>+V12/V66</f>
        <v>2.6130378637293304E-2</v>
      </c>
      <c r="W73" s="222"/>
      <c r="X73" s="262">
        <f>+X12/X66</f>
        <v>2.9711948447840093E-2</v>
      </c>
      <c r="Y73" s="222"/>
      <c r="Z73" s="262">
        <f>+Z12/Z66</f>
        <v>3.8336860612129882E-2</v>
      </c>
      <c r="AA73" s="222"/>
      <c r="AB73" s="262">
        <f>+AB12/AB66</f>
        <v>2.6145894897368613E-2</v>
      </c>
      <c r="AC73" s="222"/>
      <c r="AD73" s="262">
        <f>+AD12/AD66</f>
        <v>2.2029032711395433E-2</v>
      </c>
      <c r="AE73" s="222"/>
      <c r="AF73" s="262">
        <f>+AF12/AF66</f>
        <v>1.5315427981332737E-2</v>
      </c>
      <c r="AG73" s="222"/>
      <c r="AH73" s="262">
        <f>+AH12/AH66</f>
        <v>2.144201909505283E-2</v>
      </c>
      <c r="AI73" s="222"/>
      <c r="AJ73" s="262">
        <f>+AJ12/AJ66</f>
        <v>2.25807002368879E-2</v>
      </c>
      <c r="AK73" s="262"/>
      <c r="AL73" s="262">
        <f>+AL12/AL66</f>
        <v>2.0032625262954584E-2</v>
      </c>
      <c r="AM73" s="262"/>
      <c r="AN73" s="262">
        <f>+AN12/AN66</f>
        <v>2.1893489958407137E-2</v>
      </c>
      <c r="AO73" s="262"/>
      <c r="AP73" s="262">
        <f>+AP12/AP66</f>
        <v>2.3434187239634589E-2</v>
      </c>
      <c r="AQ73" s="262"/>
      <c r="AR73" s="262">
        <f>+AR12/AR66</f>
        <v>2.190658533327397E-2</v>
      </c>
      <c r="AS73" s="262"/>
      <c r="AT73" s="262">
        <f>+AT12/AT66</f>
        <v>0</v>
      </c>
      <c r="AU73" s="263"/>
      <c r="AV73" s="263">
        <f>+AT73</f>
        <v>0</v>
      </c>
      <c r="AW73" s="263"/>
      <c r="AX73" s="263">
        <f>+AV73</f>
        <v>0</v>
      </c>
      <c r="AY73" s="263"/>
      <c r="AZ73" s="263">
        <f>+AX73</f>
        <v>0</v>
      </c>
      <c r="BA73" s="263"/>
      <c r="BB73" s="263">
        <f>+AZ73</f>
        <v>0</v>
      </c>
      <c r="BC73" s="263"/>
      <c r="BD73" s="263">
        <f>+BB73</f>
        <v>0</v>
      </c>
      <c r="BE73" s="263"/>
      <c r="BF73" s="1920">
        <f>+BD73</f>
        <v>0</v>
      </c>
      <c r="BG73" s="263"/>
      <c r="BH73" s="263"/>
      <c r="BI73" s="222"/>
    </row>
    <row r="74" spans="1:61">
      <c r="A74" s="222"/>
      <c r="B74" s="222" t="s">
        <v>491</v>
      </c>
      <c r="C74" s="222"/>
      <c r="D74" s="262" t="e">
        <f>D30/D11</f>
        <v>#DIV/0!</v>
      </c>
      <c r="E74" s="222"/>
      <c r="F74" s="262" t="e">
        <f>F30/F11</f>
        <v>#DIV/0!</v>
      </c>
      <c r="G74" s="222"/>
      <c r="H74" s="262" t="e">
        <f>H30/H11</f>
        <v>#DIV/0!</v>
      </c>
      <c r="I74" s="222"/>
      <c r="J74" s="262">
        <f>J30/J11</f>
        <v>9.0966767371601212E-2</v>
      </c>
      <c r="K74" s="222"/>
      <c r="L74" s="262">
        <f>L30/L11</f>
        <v>9.9827407663099763E-2</v>
      </c>
      <c r="M74" s="222"/>
      <c r="N74" s="262">
        <f>N30/R11</f>
        <v>5.7666930588545787E-2</v>
      </c>
      <c r="O74" s="222"/>
      <c r="P74" s="262">
        <f>P30/P11</f>
        <v>0.13610429622867576</v>
      </c>
      <c r="Q74" s="222"/>
      <c r="R74" s="262">
        <f>R30/R11</f>
        <v>0.18928330547491276</v>
      </c>
      <c r="S74" s="222"/>
      <c r="T74" s="262">
        <f>T30/T11</f>
        <v>0.1852274228653682</v>
      </c>
      <c r="U74" s="222"/>
      <c r="V74" s="262">
        <f>V30/V11</f>
        <v>0.27651269508933807</v>
      </c>
      <c r="W74" s="222"/>
      <c r="X74" s="262">
        <f>X30/X11</f>
        <v>0.3523769242865431</v>
      </c>
      <c r="Y74" s="222"/>
      <c r="Z74" s="262">
        <f>Z30/Z11</f>
        <v>0.34184604315314315</v>
      </c>
      <c r="AA74" s="222"/>
      <c r="AB74" s="262">
        <f>AB30/AB11</f>
        <v>0.37538462595126237</v>
      </c>
      <c r="AC74" s="222"/>
      <c r="AD74" s="262">
        <f>AD30/AD11</f>
        <v>0.42301485132971206</v>
      </c>
      <c r="AE74" s="222"/>
      <c r="AF74" s="262">
        <f>AF30/AF11</f>
        <v>0.31589646418190509</v>
      </c>
      <c r="AG74" s="222"/>
      <c r="AH74" s="262">
        <f>AH30/AH11</f>
        <v>0.2905955379385331</v>
      </c>
      <c r="AI74" s="222"/>
      <c r="AJ74" s="262">
        <f>AJ30/AJ11</f>
        <v>0.28118369678852428</v>
      </c>
      <c r="AK74" s="262"/>
      <c r="AL74" s="262">
        <f>AL30/AL11</f>
        <v>0.30800808737536917</v>
      </c>
      <c r="AM74" s="262"/>
      <c r="AN74" s="262">
        <f>AN30/AN11</f>
        <v>0.34087088769711038</v>
      </c>
      <c r="AO74" s="262"/>
      <c r="AP74" s="262">
        <f>AP30/AP11</f>
        <v>0.29243122535278188</v>
      </c>
      <c r="AQ74" s="262"/>
      <c r="AR74" s="262">
        <f>AR30/AR11</f>
        <v>0.45928674500103073</v>
      </c>
      <c r="AS74" s="262"/>
      <c r="AT74" s="262">
        <f>AT30/AT11</f>
        <v>0.40657665505226481</v>
      </c>
      <c r="AU74" s="263"/>
      <c r="AV74" s="263">
        <f>AT74</f>
        <v>0.40657665505226481</v>
      </c>
      <c r="AW74" s="263"/>
      <c r="AX74" s="263">
        <f>AV74</f>
        <v>0.40657665505226481</v>
      </c>
      <c r="AY74" s="263"/>
      <c r="AZ74" s="263">
        <f>AX74</f>
        <v>0.40657665505226481</v>
      </c>
      <c r="BA74" s="263"/>
      <c r="BB74" s="263">
        <f>AZ74</f>
        <v>0.40657665505226481</v>
      </c>
      <c r="BC74" s="263"/>
      <c r="BD74" s="263">
        <f>BB74</f>
        <v>0.40657665505226481</v>
      </c>
      <c r="BE74" s="263"/>
      <c r="BF74" s="1920">
        <f>BD74</f>
        <v>0.40657665505226481</v>
      </c>
      <c r="BG74" s="263"/>
      <c r="BH74" s="263"/>
      <c r="BI74" s="222"/>
    </row>
    <row r="75" spans="1:61">
      <c r="A75" s="222"/>
      <c r="B75" s="222" t="s">
        <v>620</v>
      </c>
      <c r="C75" s="222"/>
      <c r="D75" s="262">
        <f>D31/D68</f>
        <v>0</v>
      </c>
      <c r="E75" s="222"/>
      <c r="F75" s="262">
        <f>F31/F68</f>
        <v>0</v>
      </c>
      <c r="G75" s="222"/>
      <c r="H75" s="262">
        <f>H31/H68</f>
        <v>0</v>
      </c>
      <c r="I75" s="222"/>
      <c r="J75" s="262">
        <f>J31/J68</f>
        <v>0.19265953668258418</v>
      </c>
      <c r="K75" s="222"/>
      <c r="L75" s="262">
        <f>L31/L68</f>
        <v>0.24481103755072109</v>
      </c>
      <c r="M75" s="222"/>
      <c r="N75" s="262">
        <f>N31/N68</f>
        <v>0.26278883936426012</v>
      </c>
      <c r="O75" s="222"/>
      <c r="P75" s="262">
        <f>P31/P68</f>
        <v>0.29881005487311729</v>
      </c>
      <c r="Q75" s="222"/>
      <c r="R75" s="262">
        <f>R31/R68</f>
        <v>0.28688855910426897</v>
      </c>
      <c r="S75" s="222"/>
      <c r="T75" s="262">
        <f>T31/T68</f>
        <v>0.24966852446692966</v>
      </c>
      <c r="U75" s="222"/>
      <c r="V75" s="262">
        <f>V31/V68</f>
        <v>0.21144263293078741</v>
      </c>
      <c r="W75" s="222"/>
      <c r="X75" s="262">
        <f>X31/X68</f>
        <v>0.25498775412891755</v>
      </c>
      <c r="Y75" s="222"/>
      <c r="Z75" s="262">
        <f>Z31/Z68</f>
        <v>0.30204609451694653</v>
      </c>
      <c r="AA75" s="222"/>
      <c r="AB75" s="262">
        <f>AB31/AB68</f>
        <v>0.28987489182576737</v>
      </c>
      <c r="AC75" s="222"/>
      <c r="AD75" s="262">
        <f>AD31/AD68</f>
        <v>0.25729838729381027</v>
      </c>
      <c r="AE75" s="222"/>
      <c r="AF75" s="262">
        <f>AF31/AF68</f>
        <v>0.26364651814229334</v>
      </c>
      <c r="AG75" s="222"/>
      <c r="AH75" s="262">
        <f>AH31/AH68</f>
        <v>0.28494728753235549</v>
      </c>
      <c r="AI75" s="222"/>
      <c r="AJ75" s="262">
        <f>AJ31/AJ68</f>
        <v>0.27975609280665159</v>
      </c>
      <c r="AK75" s="262"/>
      <c r="AL75" s="262">
        <f>AL31/AL68</f>
        <v>0.28220985127005349</v>
      </c>
      <c r="AM75" s="262"/>
      <c r="AN75" s="262">
        <f>AN31/AN68</f>
        <v>0.25557675612470326</v>
      </c>
      <c r="AO75" s="262"/>
      <c r="AP75" s="262">
        <f>AP31/AP68</f>
        <v>0.24382841677892292</v>
      </c>
      <c r="AQ75" s="262"/>
      <c r="AR75" s="262">
        <f>AR31/AR68</f>
        <v>0.26390719746902186</v>
      </c>
      <c r="AS75" s="262"/>
      <c r="AT75" s="262">
        <f>AT31/AT68</f>
        <v>0.27462870199490286</v>
      </c>
      <c r="AU75" s="263"/>
      <c r="AV75" s="263">
        <f>AT75</f>
        <v>0.27462870199490286</v>
      </c>
      <c r="AW75" s="263"/>
      <c r="AX75" s="263">
        <f>AV75</f>
        <v>0.27462870199490286</v>
      </c>
      <c r="AY75" s="263"/>
      <c r="AZ75" s="263">
        <f>AX75</f>
        <v>0.27462870199490286</v>
      </c>
      <c r="BA75" s="263"/>
      <c r="BB75" s="263">
        <f>AZ75</f>
        <v>0.27462870199490286</v>
      </c>
      <c r="BC75" s="263"/>
      <c r="BD75" s="263">
        <f>BB75</f>
        <v>0.27462870199490286</v>
      </c>
      <c r="BE75" s="263"/>
      <c r="BF75" s="1920">
        <f>BD75</f>
        <v>0.27462870199490286</v>
      </c>
      <c r="BG75" s="263"/>
      <c r="BH75" s="263"/>
      <c r="BI75" s="222"/>
    </row>
    <row r="76" spans="1:61">
      <c r="A76" s="222"/>
      <c r="B76" s="222" t="s">
        <v>90</v>
      </c>
      <c r="C76" s="222"/>
      <c r="D76" s="262"/>
      <c r="E76" s="222"/>
      <c r="F76" s="262"/>
      <c r="G76" s="222"/>
      <c r="H76" s="262"/>
      <c r="I76" s="222"/>
      <c r="J76" s="262"/>
      <c r="K76" s="222"/>
      <c r="L76" s="262"/>
      <c r="M76" s="222"/>
      <c r="N76" s="262">
        <f>+N40/N66</f>
        <v>9.3092228711756588E-4</v>
      </c>
      <c r="O76" s="222"/>
      <c r="P76" s="262">
        <f>+P40/P66</f>
        <v>3.7619214942438768E-3</v>
      </c>
      <c r="Q76" s="222"/>
      <c r="R76" s="262">
        <f>+R40/R66</f>
        <v>3.6488588454593601E-3</v>
      </c>
      <c r="S76" s="222"/>
      <c r="T76" s="262">
        <f>+T40/T66</f>
        <v>3.7472750428544752E-3</v>
      </c>
      <c r="U76" s="222"/>
      <c r="V76" s="262">
        <f>+V40/V66</f>
        <v>2.4599085917405571E-2</v>
      </c>
      <c r="W76" s="222"/>
      <c r="X76" s="262">
        <f>+X40/X66</f>
        <v>2.385024055452949E-2</v>
      </c>
      <c r="Y76" s="222"/>
      <c r="Z76" s="262">
        <f>+Z40/Z66</f>
        <v>3.0075804964004069E-2</v>
      </c>
      <c r="AA76" s="222"/>
      <c r="AB76" s="262">
        <f>+AB40/AB66</f>
        <v>3.5158104098212566E-2</v>
      </c>
      <c r="AC76" s="222"/>
      <c r="AD76" s="262">
        <f>+AD40/AD66</f>
        <v>8.7427615501592865E-2</v>
      </c>
      <c r="AE76" s="222"/>
      <c r="AF76" s="262">
        <f>+AF40/AF66</f>
        <v>0.11873511825531162</v>
      </c>
      <c r="AG76" s="222"/>
      <c r="AH76" s="262">
        <f>+AH40/AH66</f>
        <v>0.11326724758262752</v>
      </c>
      <c r="AI76" s="222"/>
      <c r="AJ76" s="262">
        <f>+AJ40/AJ66</f>
        <v>9.7672073174338764E-2</v>
      </c>
      <c r="AK76" s="262"/>
      <c r="AL76" s="262">
        <f>+AL40/AL66</f>
        <v>8.2349396831528532E-2</v>
      </c>
      <c r="AM76" s="262"/>
      <c r="AN76" s="262">
        <f>+AN40/AN66</f>
        <v>7.8761238052642277E-2</v>
      </c>
      <c r="AO76" s="262"/>
      <c r="AP76" s="262">
        <f>+AP40/AP66</f>
        <v>8.9334126193816102E-2</v>
      </c>
      <c r="AQ76" s="262"/>
      <c r="AR76" s="262">
        <f>+AR40/AR66</f>
        <v>0.10312124315419209</v>
      </c>
      <c r="AS76" s="262"/>
      <c r="AT76" s="262">
        <f>+AT40/AT66</f>
        <v>0.11618950086824882</v>
      </c>
      <c r="AU76" s="263"/>
      <c r="AV76" s="263">
        <f>AT76</f>
        <v>0.11618950086824882</v>
      </c>
      <c r="AW76" s="263"/>
      <c r="AX76" s="263">
        <f t="shared" ref="AX76:BF76" si="5">AV76</f>
        <v>0.11618950086824882</v>
      </c>
      <c r="AY76" s="263"/>
      <c r="AZ76" s="263">
        <f t="shared" si="5"/>
        <v>0.11618950086824882</v>
      </c>
      <c r="BA76" s="263"/>
      <c r="BB76" s="263">
        <f t="shared" si="5"/>
        <v>0.11618950086824882</v>
      </c>
      <c r="BC76" s="263"/>
      <c r="BD76" s="263">
        <f t="shared" si="5"/>
        <v>0.11618950086824882</v>
      </c>
      <c r="BE76" s="263"/>
      <c r="BF76" s="263">
        <f t="shared" si="5"/>
        <v>0.11618950086824882</v>
      </c>
      <c r="BG76" s="263"/>
      <c r="BH76" s="263"/>
      <c r="BI76" s="222"/>
    </row>
    <row r="77" spans="1:61">
      <c r="A77" s="222"/>
      <c r="B77" s="222" t="s">
        <v>176</v>
      </c>
      <c r="C77" s="222"/>
      <c r="D77" s="222"/>
      <c r="E77" s="222"/>
      <c r="F77" s="222"/>
      <c r="G77" s="222"/>
      <c r="H77" s="222"/>
      <c r="I77" s="222"/>
      <c r="J77" s="222"/>
      <c r="K77" s="222"/>
      <c r="L77" s="222"/>
      <c r="M77" s="222"/>
      <c r="N77" s="222"/>
      <c r="O77" s="222"/>
      <c r="P77" s="222"/>
      <c r="Q77" s="222"/>
      <c r="R77" s="222"/>
      <c r="S77" s="222"/>
      <c r="T77" s="264">
        <f>(T8+T9)/'yrP&amp;L'!J88</f>
        <v>0.6165882846719255</v>
      </c>
      <c r="U77" s="222"/>
      <c r="V77" s="264">
        <f>(V8+V9)/'yrP&amp;L'!K88</f>
        <v>1.1267902624248487</v>
      </c>
      <c r="W77" s="222"/>
      <c r="X77" s="264">
        <f>(X8+X9)/'yrP&amp;L'!L88</f>
        <v>0.98170126937833002</v>
      </c>
      <c r="Y77" s="222"/>
      <c r="Z77" s="264">
        <f>(Z8+Z9)/'yrP&amp;L'!M88</f>
        <v>1.3837115020785333</v>
      </c>
      <c r="AA77" s="222"/>
      <c r="AB77" s="264">
        <f>(AB8+AB9)/'yrP&amp;L'!N88</f>
        <v>3.1424331400587229</v>
      </c>
      <c r="AC77" s="222"/>
      <c r="AD77" s="264">
        <f>(AD8+AD9)/'yrP&amp;L'!O88</f>
        <v>1.9396140226235794</v>
      </c>
      <c r="AE77" s="222"/>
      <c r="AF77" s="264">
        <f>(AF8+AF9)/'yrP&amp;L'!P88</f>
        <v>2.4606497173838497</v>
      </c>
      <c r="AG77" s="222"/>
      <c r="AH77" s="264">
        <f>(AH8+AH9)/'yrP&amp;L'!Q88</f>
        <v>2.2037301182324822</v>
      </c>
      <c r="AI77" s="222"/>
      <c r="AJ77" s="264">
        <f>(AJ8+AJ9)/'yrP&amp;L'!R88</f>
        <v>2.328009377854928</v>
      </c>
      <c r="AK77" s="222"/>
      <c r="AL77" s="264">
        <f>(AL8+AL9)/'yrP&amp;L'!S88</f>
        <v>3.1175229489544507</v>
      </c>
      <c r="AM77" s="222"/>
      <c r="AN77" s="264">
        <f>(AN8+AN9)/'yrP&amp;L'!T88</f>
        <v>3.9658169536657519</v>
      </c>
      <c r="AO77" s="222"/>
      <c r="AP77" s="264">
        <f>(AP8+AP9)/'yrP&amp;L'!U88</f>
        <v>3.0989194661101189</v>
      </c>
      <c r="AQ77" s="264"/>
      <c r="AR77" s="264">
        <f>(AR8+AR9)/'yrP&amp;L'!W88</f>
        <v>5.4630433225921911</v>
      </c>
      <c r="AS77" s="264"/>
      <c r="AT77" s="264">
        <f>(AT8+AT9)/'yrP&amp;L'!W88</f>
        <v>4.7240529896168919</v>
      </c>
      <c r="AU77" s="264"/>
      <c r="AV77" s="264">
        <f>(AV8+AV9)/'yrP&amp;L'!X88</f>
        <v>10.903988684582739</v>
      </c>
      <c r="AW77" s="264"/>
      <c r="AX77" s="264">
        <f>(AX8+AX9)/'yrP&amp;L'!Y88</f>
        <v>14.035341109503293</v>
      </c>
      <c r="AY77" s="264"/>
      <c r="AZ77" s="264">
        <f>(AZ8+AZ9)/'yrP&amp;L'!Z88</f>
        <v>15.521317448888659</v>
      </c>
      <c r="BA77" s="264"/>
      <c r="BB77" s="264">
        <f>(BB8+BB9)/'yrP&amp;L'!AA88</f>
        <v>17.170910340795473</v>
      </c>
      <c r="BC77" s="264"/>
      <c r="BD77" s="264">
        <f>(BD8+BD9)/'yrP&amp;L'!AB88</f>
        <v>18.94535667157022</v>
      </c>
      <c r="BE77" s="264"/>
      <c r="BF77" s="1921">
        <f>(BF8+BF9)/'yrP&amp;L'!AC88</f>
        <v>20.890485522722003</v>
      </c>
      <c r="BG77" s="264"/>
      <c r="BH77" s="264"/>
      <c r="BI77" s="222"/>
    </row>
    <row r="78" spans="1:61">
      <c r="A78" s="222"/>
      <c r="B78" s="222" t="s">
        <v>336</v>
      </c>
      <c r="C78" s="222"/>
      <c r="D78" s="222"/>
      <c r="E78" s="222"/>
      <c r="F78" s="222"/>
      <c r="G78" s="222"/>
      <c r="H78" s="222"/>
      <c r="I78" s="222"/>
      <c r="J78" s="222"/>
      <c r="K78" s="222"/>
      <c r="L78" s="222"/>
      <c r="M78" s="222"/>
      <c r="N78" s="222"/>
      <c r="O78" s="222"/>
      <c r="P78" s="222"/>
      <c r="Q78" s="222"/>
      <c r="R78" s="222"/>
      <c r="S78" s="222"/>
      <c r="T78" s="264"/>
      <c r="U78" s="222"/>
      <c r="V78" s="264"/>
      <c r="W78" s="222"/>
      <c r="X78" s="262">
        <f>X69/AVERAGE(X50,V50)</f>
        <v>0.39017607384591291</v>
      </c>
      <c r="Y78" s="222"/>
      <c r="Z78" s="262">
        <f>Z69/AVERAGE(Z50,X50)</f>
        <v>0.41346595065431024</v>
      </c>
      <c r="AA78" s="222"/>
      <c r="AB78" s="262">
        <f>AB69/AVERAGE(AB50,Z50)</f>
        <v>0.41078472118248954</v>
      </c>
      <c r="AC78" s="222"/>
      <c r="AD78" s="262">
        <f>AD69/AVERAGE(AD50,AB50)</f>
        <v>0.43637820008592282</v>
      </c>
      <c r="AE78" s="222"/>
      <c r="AF78" s="262">
        <f>AF69/AVERAGE(AF50,AD50)</f>
        <v>0.39055905112231043</v>
      </c>
      <c r="AG78" s="222"/>
      <c r="AH78" s="262">
        <f>AH69/AVERAGE(AH50,AF50)</f>
        <v>0.45914595004896386</v>
      </c>
      <c r="AI78" s="222"/>
      <c r="AJ78" s="262">
        <f>AJ69/AVERAGE(AJ50,AH50)</f>
        <v>0.56500255623885876</v>
      </c>
      <c r="AK78" s="222"/>
      <c r="AL78" s="262">
        <f>AL69/AVERAGE(AL50,AJ50)</f>
        <v>0.57629177645264162</v>
      </c>
      <c r="AM78" s="222"/>
      <c r="AN78" s="262">
        <f>AN69/AVERAGE(AN50,AL50)</f>
        <v>0.46996232924868148</v>
      </c>
      <c r="AO78" s="222"/>
      <c r="AP78" s="262">
        <f>AP69/AVERAGE(AP50,AN50)</f>
        <v>0.32355427572631773</v>
      </c>
      <c r="AQ78" s="262"/>
      <c r="AR78" s="262">
        <f>AR69/AVERAGE(AR50,AP50)</f>
        <v>0.16389092700398303</v>
      </c>
      <c r="AS78" s="262"/>
      <c r="AT78" s="262">
        <f>AT69/AVERAGE(AT50,AR50)</f>
        <v>0.17804464068233009</v>
      </c>
      <c r="AU78" s="262"/>
      <c r="AV78" s="262">
        <f>AV69/AVERAGE(AV50,AT50)</f>
        <v>0.21433182698515199</v>
      </c>
      <c r="AW78" s="262"/>
      <c r="AX78" s="262">
        <f>AX69/AVERAGE(AX50,AV50)</f>
        <v>0.22755067232524112</v>
      </c>
      <c r="AY78" s="262"/>
      <c r="AZ78" s="262">
        <f>AZ69/AVERAGE(AZ50,AX50)</f>
        <v>0.21999997025982651</v>
      </c>
      <c r="BA78" s="262"/>
      <c r="BB78" s="262">
        <f>BB69/AVERAGE(BB50,AZ50)</f>
        <v>0.20191127458833644</v>
      </c>
      <c r="BC78" s="262"/>
      <c r="BD78" s="262">
        <f>BD69/AVERAGE(BD50,BB50)</f>
        <v>0.18644686319040607</v>
      </c>
      <c r="BE78" s="262"/>
      <c r="BF78" s="727">
        <f>BF69/AVERAGE(BF50,BD50)</f>
        <v>0.17564573579239068</v>
      </c>
      <c r="BG78" s="262"/>
      <c r="BH78" s="262"/>
      <c r="BI78" s="222"/>
    </row>
    <row r="79" spans="1:61">
      <c r="A79" s="222"/>
      <c r="B79" s="222" t="s">
        <v>414</v>
      </c>
      <c r="C79" s="222"/>
      <c r="D79" s="222"/>
      <c r="E79" s="222"/>
      <c r="F79" s="222"/>
      <c r="G79" s="222"/>
      <c r="H79" s="222"/>
      <c r="I79" s="222"/>
      <c r="J79" s="222"/>
      <c r="K79" s="222"/>
      <c r="L79" s="222"/>
      <c r="M79" s="222"/>
      <c r="N79" s="222"/>
      <c r="O79" s="222"/>
      <c r="P79" s="222"/>
      <c r="Q79" s="222"/>
      <c r="R79" s="222"/>
      <c r="S79" s="222"/>
      <c r="T79" s="264"/>
      <c r="U79" s="222"/>
      <c r="V79" s="264"/>
      <c r="W79" s="222"/>
      <c r="X79" s="262">
        <f>X69/AVERAGE(X25,V25)</f>
        <v>0.29703857644925713</v>
      </c>
      <c r="Y79" s="222"/>
      <c r="Z79" s="262">
        <f>Z69/AVERAGE(Z25,X25)</f>
        <v>0.30970571736626934</v>
      </c>
      <c r="AA79" s="222"/>
      <c r="AB79" s="262">
        <f>AB69/AVERAGE(AB25,Z25)</f>
        <v>0.3123277736779298</v>
      </c>
      <c r="AC79" s="222"/>
      <c r="AD79" s="262">
        <f>AD69/AVERAGE(AD25,AB25)</f>
        <v>0.31595628147711313</v>
      </c>
      <c r="AE79" s="222"/>
      <c r="AF79" s="262">
        <f>AF69/AVERAGE(AF25,AD25)</f>
        <v>0.25863766340675792</v>
      </c>
      <c r="AG79" s="222"/>
      <c r="AH79" s="262">
        <f>AH69/AVERAGE(AH25,AF25)</f>
        <v>0.29213839109235096</v>
      </c>
      <c r="AI79" s="222"/>
      <c r="AJ79" s="262">
        <f>AJ69/AVERAGE(AJ25,AH25)</f>
        <v>0.34526073006102653</v>
      </c>
      <c r="AK79" s="222"/>
      <c r="AL79" s="262">
        <f>AL69/AVERAGE(AL25,AJ25)</f>
        <v>0.36202505576766503</v>
      </c>
      <c r="AM79" s="222"/>
      <c r="AN79" s="262">
        <f>AN69/AVERAGE(AN25,AL25)</f>
        <v>0.31174680231445495</v>
      </c>
      <c r="AO79" s="222"/>
      <c r="AP79" s="262">
        <f>AP69/AVERAGE(AP25,AN25)</f>
        <v>0.21719269478157227</v>
      </c>
      <c r="AQ79" s="262"/>
      <c r="AR79" s="262">
        <f>AR69/AVERAGE(AR25,AP25)</f>
        <v>9.6613903566647313E-2</v>
      </c>
      <c r="AS79" s="262"/>
      <c r="AT79" s="262">
        <f>AT69/AVERAGE(AT25,AR25)</f>
        <v>9.6342378847104809E-2</v>
      </c>
      <c r="AU79" s="262"/>
      <c r="AV79" s="262">
        <f>AV69/AVERAGE(AV25,AT25)</f>
        <v>0.11361406948059281</v>
      </c>
      <c r="AW79" s="262"/>
      <c r="AX79" s="262">
        <f>AX69/AVERAGE(AX25,AV25)</f>
        <v>0.11325483825068676</v>
      </c>
      <c r="AY79" s="262"/>
      <c r="AZ79" s="262">
        <f>AZ69/AVERAGE(AZ25,AX25)</f>
        <v>0.10970782771025722</v>
      </c>
      <c r="BA79" s="262"/>
      <c r="BB79" s="262">
        <f>BB69/AVERAGE(BB25,AZ25)</f>
        <v>0.10632730438058255</v>
      </c>
      <c r="BC79" s="262"/>
      <c r="BD79" s="262">
        <f>BD69/AVERAGE(BD25,BB25)</f>
        <v>0.10299216187507663</v>
      </c>
      <c r="BE79" s="262"/>
      <c r="BF79" s="727">
        <f>BF69/AVERAGE(BF25,BD25)</f>
        <v>0.10131726947256908</v>
      </c>
      <c r="BG79" s="262"/>
      <c r="BH79" s="262"/>
      <c r="BI79" s="222"/>
    </row>
    <row r="80" spans="1:61" ht="13.5" customHeight="1">
      <c r="A80" s="222"/>
      <c r="B80" s="222" t="s">
        <v>415</v>
      </c>
      <c r="C80" s="222"/>
      <c r="D80" s="222"/>
      <c r="E80" s="222"/>
      <c r="F80" s="222"/>
      <c r="G80" s="222"/>
      <c r="H80" s="222"/>
      <c r="I80" s="222"/>
      <c r="J80" s="222"/>
      <c r="K80" s="222"/>
      <c r="L80" s="222"/>
      <c r="M80" s="222"/>
      <c r="N80" s="222"/>
      <c r="O80" s="222"/>
      <c r="P80" s="222"/>
      <c r="Q80" s="222"/>
      <c r="R80" s="222"/>
      <c r="S80" s="222"/>
      <c r="T80" s="264"/>
      <c r="U80" s="222"/>
      <c r="V80" s="264"/>
      <c r="W80" s="222"/>
      <c r="X80" s="264">
        <f>(X33+X39-X8-X9)/X50</f>
        <v>-0.34802731267520265</v>
      </c>
      <c r="Y80" s="222"/>
      <c r="Z80" s="264"/>
      <c r="AA80" s="222"/>
      <c r="AB80" s="264"/>
      <c r="AC80" s="222"/>
      <c r="AD80" s="264"/>
      <c r="AE80" s="222"/>
      <c r="AF80" s="264"/>
      <c r="AG80" s="222"/>
      <c r="AH80" s="264"/>
      <c r="AI80" s="222"/>
      <c r="AJ80" s="264"/>
      <c r="AK80" s="222"/>
      <c r="AL80" s="264"/>
      <c r="AM80" s="222"/>
      <c r="AN80" s="264"/>
      <c r="AO80" s="222"/>
      <c r="AP80" s="264"/>
      <c r="AQ80" s="222"/>
      <c r="AR80" s="264"/>
      <c r="AS80" s="264"/>
      <c r="AT80" s="264"/>
      <c r="AU80" s="264"/>
      <c r="AV80" s="264"/>
      <c r="AW80" s="264"/>
      <c r="AX80" s="264"/>
      <c r="AY80" s="264"/>
      <c r="AZ80" s="264"/>
      <c r="BA80" s="264"/>
      <c r="BB80" s="264"/>
      <c r="BC80" s="264"/>
      <c r="BD80" s="264"/>
      <c r="BE80" s="264"/>
      <c r="BF80" s="1921"/>
      <c r="BG80" s="264"/>
      <c r="BH80" s="264"/>
      <c r="BI80" s="222"/>
    </row>
    <row r="81" spans="1:61" ht="13.5" customHeight="1">
      <c r="A81" s="222"/>
      <c r="B81" s="222" t="s">
        <v>352</v>
      </c>
      <c r="C81" s="222"/>
      <c r="D81" s="222"/>
      <c r="E81" s="222"/>
      <c r="F81" s="222"/>
      <c r="G81" s="222"/>
      <c r="H81" s="222"/>
      <c r="I81" s="222"/>
      <c r="J81" s="222"/>
      <c r="K81" s="222"/>
      <c r="L81" s="222"/>
      <c r="M81" s="222"/>
      <c r="N81" s="222"/>
      <c r="O81" s="222"/>
      <c r="P81" s="309">
        <f>AVERAGE(P16,N16)/P66</f>
        <v>0.32006391436341258</v>
      </c>
      <c r="Q81" s="222"/>
      <c r="R81" s="309">
        <f>AVERAGE(R16,P16)/R66</f>
        <v>0.30581398743124505</v>
      </c>
      <c r="S81" s="222"/>
      <c r="T81" s="309">
        <f>AVERAGE(T16,R16)/T66</f>
        <v>0.27768755782993743</v>
      </c>
      <c r="U81" s="222"/>
      <c r="V81" s="309">
        <f>AVERAGE(V16,T16)/V66</f>
        <v>0.25119521067953676</v>
      </c>
      <c r="W81" s="222"/>
      <c r="X81" s="309">
        <f>AVERAGE(X16,V16)/X66</f>
        <v>0.23180084692500036</v>
      </c>
      <c r="Y81" s="222"/>
      <c r="Z81" s="309">
        <f>AVERAGE(Z16,X16)/Z66</f>
        <v>0.23006956445682281</v>
      </c>
      <c r="AA81" s="222"/>
      <c r="AB81" s="309">
        <f>AVERAGE(AB16,Z16)/AB66</f>
        <v>0.21337622528379424</v>
      </c>
      <c r="AC81" s="222"/>
      <c r="AD81" s="309">
        <f>AVERAGE(AD16,AB16)/AD66</f>
        <v>0.21288988753306212</v>
      </c>
      <c r="AE81" s="222"/>
      <c r="AF81" s="309">
        <f>AVERAGE(AF16,AD16)/AF66</f>
        <v>0.26819210095874652</v>
      </c>
      <c r="AG81" s="222"/>
      <c r="AH81" s="309">
        <f>AVERAGE(AH16,AF16)/AH66</f>
        <v>0.27879655818935167</v>
      </c>
      <c r="AI81" s="222"/>
      <c r="AJ81" s="309">
        <f>AVERAGE(AJ16,AH16)/AJ66</f>
        <v>0.26445224211477819</v>
      </c>
      <c r="AK81" s="222"/>
      <c r="AL81" s="309">
        <f>AVERAGE(AL16,AJ16)/AL66</f>
        <v>0.26218975558345475</v>
      </c>
      <c r="AM81" s="222"/>
      <c r="AN81" s="309">
        <f>AVERAGE(AN16,AL16)/AN66</f>
        <v>0.27567989849055935</v>
      </c>
      <c r="AO81" s="222"/>
      <c r="AP81" s="309">
        <f>AVERAGE(AP16,AN16)/AP66</f>
        <v>0.30512734940054831</v>
      </c>
      <c r="AQ81" s="222"/>
      <c r="AR81" s="309"/>
      <c r="AS81" s="264"/>
      <c r="AT81" s="264"/>
      <c r="AU81" s="264"/>
      <c r="AV81" s="264"/>
      <c r="AW81" s="264"/>
      <c r="AX81" s="264"/>
      <c r="AY81" s="264"/>
      <c r="AZ81" s="264"/>
      <c r="BA81" s="264"/>
      <c r="BB81" s="264"/>
      <c r="BC81" s="264"/>
      <c r="BD81" s="264"/>
      <c r="BE81" s="264"/>
      <c r="BF81" s="1921"/>
      <c r="BG81" s="264"/>
      <c r="BH81" s="264"/>
      <c r="BI81" s="222"/>
    </row>
    <row r="82" spans="1:61" ht="13.5" customHeight="1">
      <c r="A82" s="222"/>
      <c r="B82" s="222"/>
      <c r="C82" s="222"/>
      <c r="D82" s="222"/>
      <c r="E82" s="222"/>
      <c r="F82" s="222"/>
      <c r="G82" s="222"/>
      <c r="H82" s="222"/>
      <c r="I82" s="222"/>
      <c r="J82" s="222"/>
      <c r="K82" s="222"/>
      <c r="L82" s="222"/>
      <c r="M82" s="222"/>
      <c r="N82" s="222"/>
      <c r="O82" s="222"/>
      <c r="P82" s="222"/>
      <c r="Q82" s="222"/>
      <c r="R82" s="222"/>
      <c r="S82" s="222"/>
      <c r="T82" s="264"/>
      <c r="U82" s="222"/>
      <c r="V82" s="264"/>
      <c r="W82" s="222"/>
      <c r="X82" s="264"/>
      <c r="Y82" s="222"/>
      <c r="Z82" s="264"/>
      <c r="AA82" s="222"/>
      <c r="AB82" s="264"/>
      <c r="AC82" s="222"/>
      <c r="AD82" s="264"/>
      <c r="AE82" s="222"/>
      <c r="AF82" s="309">
        <f>AF17/AF66</f>
        <v>0.18355916232570638</v>
      </c>
      <c r="AG82" s="309"/>
      <c r="AH82" s="309">
        <f>AH17/AH66</f>
        <v>0.1520314133687545</v>
      </c>
      <c r="AI82" s="309"/>
      <c r="AJ82" s="309">
        <f>AJ17/AJ66</f>
        <v>0.14003775874370294</v>
      </c>
      <c r="AK82" s="309"/>
      <c r="AL82" s="309">
        <f>AL17/AL66</f>
        <v>0.13529805718028712</v>
      </c>
      <c r="AM82" s="309"/>
      <c r="AN82" s="309">
        <f>AN17/AN66</f>
        <v>0.13689017001649134</v>
      </c>
      <c r="AO82" s="309"/>
      <c r="AP82" s="309">
        <f>AP17/AP66</f>
        <v>0.14853650244495367</v>
      </c>
      <c r="AQ82" s="309"/>
      <c r="AR82" s="309">
        <f>AR17/AR66</f>
        <v>0.16309719934102146</v>
      </c>
      <c r="AS82" s="264"/>
      <c r="AT82" s="264"/>
      <c r="AU82" s="264"/>
      <c r="AV82" s="264"/>
      <c r="AW82" s="264"/>
      <c r="AX82" s="264"/>
      <c r="AY82" s="264"/>
      <c r="AZ82" s="264"/>
      <c r="BA82" s="264"/>
      <c r="BB82" s="264"/>
      <c r="BC82" s="264"/>
      <c r="BD82" s="264"/>
      <c r="BE82" s="264"/>
      <c r="BF82" s="1921"/>
      <c r="BG82" s="264"/>
      <c r="BH82" s="264"/>
      <c r="BI82" s="222"/>
    </row>
    <row r="83" spans="1:61">
      <c r="A83" s="222"/>
      <c r="B83" s="222"/>
      <c r="C83" s="222"/>
      <c r="D83" s="222"/>
      <c r="E83" s="222"/>
      <c r="F83" s="222"/>
      <c r="G83" s="222"/>
      <c r="H83" s="222"/>
      <c r="I83" s="222"/>
      <c r="J83" s="222"/>
      <c r="K83" s="222"/>
      <c r="L83" s="222"/>
      <c r="M83" s="222"/>
      <c r="N83" s="222"/>
      <c r="O83" s="222"/>
      <c r="P83" s="222"/>
      <c r="Q83" s="222"/>
      <c r="R83" s="222"/>
      <c r="S83" s="222"/>
      <c r="T83" s="264"/>
      <c r="U83" s="222"/>
      <c r="V83" s="264"/>
      <c r="W83" s="222"/>
      <c r="X83" s="264"/>
      <c r="Y83" s="222"/>
      <c r="Z83" s="264"/>
      <c r="AA83" s="222"/>
      <c r="AB83" s="264"/>
      <c r="AC83" s="222"/>
      <c r="AD83" s="264"/>
      <c r="AE83" s="222"/>
      <c r="AF83" s="264"/>
      <c r="AG83" s="222"/>
      <c r="AH83" s="264"/>
      <c r="AI83" s="222"/>
      <c r="AJ83" s="264"/>
      <c r="AK83" s="222"/>
      <c r="AL83" s="264"/>
      <c r="AM83" s="222"/>
      <c r="AN83" s="264"/>
      <c r="AO83" s="222"/>
      <c r="AP83" s="264"/>
      <c r="AQ83" s="222"/>
      <c r="AR83" s="264"/>
      <c r="AS83" s="264"/>
      <c r="AT83" s="264"/>
      <c r="AU83" s="264"/>
      <c r="AV83" s="264"/>
      <c r="AW83" s="264"/>
      <c r="AX83" s="264"/>
      <c r="AY83" s="264"/>
      <c r="AZ83" s="264"/>
      <c r="BA83" s="264"/>
      <c r="BB83" s="264"/>
      <c r="BC83" s="264"/>
      <c r="BD83" s="264"/>
      <c r="BE83" s="264"/>
      <c r="BF83" s="1921"/>
      <c r="BG83" s="264"/>
      <c r="BH83" s="264"/>
      <c r="BI83" s="222"/>
    </row>
    <row r="84" spans="1:61">
      <c r="A84" s="265" t="s">
        <v>115</v>
      </c>
      <c r="B84" s="265"/>
      <c r="C84" s="265"/>
      <c r="D84" s="265"/>
      <c r="E84" s="265"/>
      <c r="F84" s="265"/>
      <c r="G84" s="265"/>
      <c r="H84" s="265"/>
      <c r="I84" s="265"/>
      <c r="J84" s="265"/>
      <c r="K84" s="265"/>
      <c r="L84" s="265"/>
      <c r="M84" s="265"/>
      <c r="N84" s="265"/>
      <c r="O84" s="265"/>
      <c r="P84" s="265"/>
      <c r="Q84" s="265"/>
      <c r="R84" s="265"/>
      <c r="S84" s="265"/>
      <c r="T84" s="266"/>
      <c r="U84" s="265"/>
      <c r="V84" s="266"/>
      <c r="W84" s="265"/>
      <c r="X84" s="266"/>
      <c r="Y84" s="265"/>
      <c r="Z84" s="266"/>
      <c r="AA84" s="265"/>
      <c r="AB84" s="266"/>
      <c r="AC84" s="265"/>
      <c r="AD84" s="266"/>
      <c r="AE84" s="222"/>
      <c r="AF84" s="266"/>
      <c r="AG84" s="222"/>
      <c r="AH84" s="266"/>
      <c r="AI84" s="222"/>
      <c r="AJ84" s="266"/>
      <c r="AK84" s="222"/>
      <c r="AL84" s="266"/>
      <c r="AM84" s="222"/>
      <c r="AN84" s="266"/>
      <c r="AO84" s="222"/>
      <c r="AP84" s="266"/>
      <c r="AQ84" s="222"/>
      <c r="AR84" s="266"/>
      <c r="AS84" s="618"/>
      <c r="AT84" s="266"/>
      <c r="AU84" s="618"/>
      <c r="AV84" s="266"/>
      <c r="AW84" s="618"/>
      <c r="AX84" s="266"/>
      <c r="AY84" s="618"/>
      <c r="AZ84" s="266"/>
      <c r="BA84" s="618"/>
      <c r="BB84" s="266"/>
      <c r="BC84" s="618"/>
      <c r="BD84" s="266"/>
      <c r="BE84" s="618"/>
      <c r="BF84" s="1922"/>
      <c r="BG84" s="618"/>
      <c r="BH84" s="618"/>
      <c r="BI84" s="222"/>
    </row>
    <row r="85" spans="1:61">
      <c r="A85" s="267" t="s">
        <v>133</v>
      </c>
      <c r="B85" s="222"/>
      <c r="C85" s="222"/>
      <c r="D85" s="268"/>
      <c r="E85" s="222"/>
      <c r="F85" s="268"/>
      <c r="G85" s="222"/>
      <c r="H85" s="268"/>
      <c r="I85" s="222"/>
      <c r="J85" s="268">
        <f>74.39+J86</f>
        <v>176.06900000000002</v>
      </c>
      <c r="K85" s="222"/>
      <c r="L85" s="268">
        <f>61.151+L86</f>
        <v>181.58100000000002</v>
      </c>
      <c r="M85" s="222"/>
      <c r="N85" s="268">
        <f>65.184</f>
        <v>65.183999999999997</v>
      </c>
      <c r="O85" s="222"/>
      <c r="P85" s="268">
        <f>72.388</f>
        <v>72.388000000000005</v>
      </c>
      <c r="Q85" s="267"/>
      <c r="R85" s="268">
        <f>90.589</f>
        <v>90.588999999999999</v>
      </c>
      <c r="S85" s="268"/>
      <c r="T85" s="268">
        <f>118.547</f>
        <v>118.547</v>
      </c>
      <c r="U85" s="267"/>
      <c r="V85" s="268">
        <f>148.524</f>
        <v>148.524</v>
      </c>
      <c r="W85" s="269"/>
      <c r="X85" s="268">
        <f>203.862</f>
        <v>203.86199999999999</v>
      </c>
      <c r="Y85" s="267"/>
      <c r="Z85" s="268">
        <f>298.531</f>
        <v>298.53100000000001</v>
      </c>
      <c r="AA85" s="222"/>
      <c r="AB85" s="269">
        <f>Z85+flow!AB19</f>
        <v>439.13099999999997</v>
      </c>
      <c r="AC85" s="222"/>
      <c r="AD85" s="269">
        <f>AB85+flow!AD19</f>
        <v>613.851</v>
      </c>
      <c r="AE85" s="222"/>
      <c r="AF85" s="269">
        <f>AD85+flow!AF19</f>
        <v>854.18000000000006</v>
      </c>
      <c r="AG85" s="222"/>
      <c r="AH85" s="269">
        <f>AF85+flow!AH19</f>
        <v>935.29600000000005</v>
      </c>
      <c r="AI85" s="222"/>
      <c r="AJ85" s="269">
        <f>AH85+flow!AJ19</f>
        <v>1083.04</v>
      </c>
      <c r="AK85" s="222"/>
      <c r="AL85" s="269">
        <f>AJ85+flow!AL19</f>
        <v>1267.3489999999999</v>
      </c>
      <c r="AM85" s="222"/>
      <c r="AN85" s="269">
        <f>AL85+flow!AN19</f>
        <v>1508.702</v>
      </c>
      <c r="AO85" s="222"/>
      <c r="AP85" s="269">
        <f>AN85+flow!AP19</f>
        <v>1728.289</v>
      </c>
      <c r="AQ85" s="222"/>
      <c r="AR85" s="269">
        <f>AP85+flow!AR19</f>
        <v>1927.5889999999999</v>
      </c>
      <c r="AS85" s="269"/>
      <c r="AT85" s="269">
        <f>AR85+flow!AT19</f>
        <v>2323.989</v>
      </c>
      <c r="AU85" s="269"/>
      <c r="AV85" s="269">
        <f>AT85+flow!AV19</f>
        <v>2607.0889999999999</v>
      </c>
      <c r="AW85" s="269"/>
      <c r="AX85" s="269">
        <f>AV85+flow!AX19</f>
        <v>2932.0889999999999</v>
      </c>
      <c r="AY85" s="269"/>
      <c r="AZ85" s="269">
        <f>AX85+flow!AZ19</f>
        <v>3257.0889999999999</v>
      </c>
      <c r="BA85" s="269"/>
      <c r="BB85" s="269">
        <f>AZ85+flow!BB19</f>
        <v>3582.0889999999999</v>
      </c>
      <c r="BC85" s="269"/>
      <c r="BD85" s="269">
        <f>BB85+flow!BD19</f>
        <v>3907.0889999999999</v>
      </c>
      <c r="BE85" s="269"/>
      <c r="BF85" s="271">
        <f>BD85+flow!BF19</f>
        <v>4232.0889999999999</v>
      </c>
      <c r="BG85" s="269"/>
      <c r="BH85" s="269"/>
      <c r="BI85" s="222"/>
    </row>
    <row r="86" spans="1:61">
      <c r="A86" s="267" t="s">
        <v>134</v>
      </c>
      <c r="B86" s="222"/>
      <c r="C86" s="222"/>
      <c r="D86" s="268"/>
      <c r="E86" s="222"/>
      <c r="F86" s="268"/>
      <c r="G86" s="222"/>
      <c r="H86" s="268"/>
      <c r="I86" s="222"/>
      <c r="J86" s="268">
        <v>101.679</v>
      </c>
      <c r="K86" s="222"/>
      <c r="L86" s="268">
        <v>120.43</v>
      </c>
      <c r="M86" s="222"/>
      <c r="N86" s="268">
        <v>116.76</v>
      </c>
      <c r="O86" s="222"/>
      <c r="P86" s="268">
        <v>130.059</v>
      </c>
      <c r="Q86" s="222"/>
      <c r="R86" s="268">
        <v>146.971</v>
      </c>
      <c r="S86" s="268"/>
      <c r="T86" s="268">
        <v>173.291</v>
      </c>
      <c r="U86" s="222"/>
      <c r="V86" s="268">
        <v>207.58199999999999</v>
      </c>
      <c r="W86" s="222"/>
      <c r="X86" s="268">
        <v>212</v>
      </c>
      <c r="Y86" s="270"/>
      <c r="Z86" s="270">
        <v>216.81200000000001</v>
      </c>
      <c r="AA86" s="236"/>
      <c r="AB86" s="271">
        <f>Z86+flow!AB71</f>
        <v>265.31119999999999</v>
      </c>
      <c r="AC86" s="236"/>
      <c r="AD86" s="271">
        <f>AB86+flow!AD71</f>
        <v>325.73359999999997</v>
      </c>
      <c r="AE86" s="236"/>
      <c r="AF86" s="271">
        <f>AD86+flow!AF71</f>
        <v>399.54199999999997</v>
      </c>
      <c r="AG86" s="236"/>
      <c r="AH86" s="271">
        <f>AF86+flow!AH71</f>
        <v>475.58839999999998</v>
      </c>
      <c r="AI86" s="236"/>
      <c r="AJ86" s="271">
        <f>AH86+flow!AJ71</f>
        <v>550.65199999999993</v>
      </c>
      <c r="AK86" s="236"/>
      <c r="AL86" s="271">
        <f>AJ86+flow!AL71</f>
        <v>630.39739999999995</v>
      </c>
      <c r="AM86" s="236"/>
      <c r="AN86" s="271">
        <f>AL86+flow!AN71</f>
        <v>728.18959999999993</v>
      </c>
      <c r="AO86" s="236"/>
      <c r="AP86" s="271">
        <f>AN86+flow!AP71</f>
        <v>841.80559999999991</v>
      </c>
      <c r="AQ86" s="236"/>
      <c r="AR86" s="271">
        <f>AP86+flow!BI71</f>
        <v>841.80559999999991</v>
      </c>
      <c r="AS86" s="271"/>
      <c r="AT86" s="271">
        <f>AR86+flow!BK71</f>
        <v>841.80559999999991</v>
      </c>
      <c r="AU86" s="271"/>
      <c r="AV86" s="271">
        <f>AT86+flow!BM71</f>
        <v>841.80559999999991</v>
      </c>
      <c r="AW86" s="271"/>
      <c r="AX86" s="271">
        <f>AV86+flow!BO71</f>
        <v>841.80559999999991</v>
      </c>
      <c r="AY86" s="271"/>
      <c r="AZ86" s="271">
        <f>AX86+flow!BQ71</f>
        <v>841.80559999999991</v>
      </c>
      <c r="BA86" s="271"/>
      <c r="BB86" s="271">
        <f>AZ86+flow!BS71</f>
        <v>841.80559999999991</v>
      </c>
      <c r="BC86" s="271"/>
      <c r="BD86" s="271">
        <f>BB86+flow!BU71</f>
        <v>841.80559999999991</v>
      </c>
      <c r="BE86" s="271"/>
      <c r="BF86" s="271">
        <f>BD86+flow!BW71</f>
        <v>841.80559999999991</v>
      </c>
      <c r="BG86" s="271"/>
      <c r="BH86" s="271"/>
      <c r="BI86" s="222"/>
    </row>
    <row r="87" spans="1:61">
      <c r="A87" s="222"/>
      <c r="B87" s="222"/>
      <c r="C87" s="222"/>
      <c r="D87" s="222"/>
      <c r="E87" s="222"/>
      <c r="F87" s="222"/>
      <c r="G87" s="222"/>
      <c r="H87" s="222"/>
      <c r="I87" s="222"/>
      <c r="J87" s="222"/>
      <c r="K87" s="222"/>
      <c r="L87" s="222"/>
      <c r="M87" s="222"/>
      <c r="N87" s="222"/>
      <c r="O87" s="222"/>
      <c r="P87" s="222"/>
      <c r="Q87" s="222"/>
      <c r="R87" s="222"/>
      <c r="S87" s="222"/>
      <c r="T87" s="264"/>
      <c r="U87" s="222"/>
      <c r="V87" s="264"/>
      <c r="W87" s="222"/>
      <c r="X87" s="264"/>
      <c r="Y87" s="222"/>
      <c r="Z87" s="264"/>
      <c r="AA87" s="222"/>
      <c r="AB87" s="264"/>
      <c r="AC87" s="222"/>
      <c r="AD87" s="264"/>
      <c r="AE87" s="222"/>
      <c r="AF87" s="264"/>
      <c r="AG87" s="222"/>
      <c r="AH87" s="264"/>
      <c r="AI87" s="222"/>
      <c r="AJ87" s="264"/>
      <c r="AK87" s="222"/>
      <c r="AL87" s="264"/>
      <c r="AM87" s="222"/>
      <c r="AN87" s="264"/>
      <c r="AO87" s="222"/>
      <c r="AP87" s="264"/>
      <c r="AQ87" s="222"/>
      <c r="AR87" s="264"/>
      <c r="AS87" s="264"/>
      <c r="AT87" s="264"/>
      <c r="AU87" s="264"/>
      <c r="AV87" s="264"/>
      <c r="AW87" s="264"/>
      <c r="AX87" s="264"/>
      <c r="AY87" s="264"/>
      <c r="AZ87" s="264"/>
      <c r="BA87" s="264"/>
      <c r="BB87" s="264"/>
      <c r="BC87" s="264"/>
      <c r="BD87" s="264"/>
      <c r="BE87" s="264"/>
      <c r="BF87" s="1921"/>
      <c r="BG87" s="264"/>
      <c r="BH87" s="264"/>
      <c r="BI87" s="222"/>
    </row>
    <row r="88" spans="1:61">
      <c r="A88" s="222"/>
      <c r="B88" s="222"/>
      <c r="C88" s="222"/>
      <c r="D88" s="222"/>
      <c r="E88" s="222"/>
      <c r="F88" s="222"/>
      <c r="G88" s="222"/>
      <c r="H88" s="222"/>
      <c r="I88" s="222"/>
      <c r="J88" s="222"/>
      <c r="K88" s="222"/>
      <c r="L88" s="222"/>
      <c r="M88" s="222"/>
      <c r="N88" s="222"/>
      <c r="O88" s="222"/>
      <c r="P88" s="222"/>
      <c r="Q88" s="222"/>
      <c r="R88" s="222"/>
      <c r="S88" s="222"/>
      <c r="T88" s="264"/>
      <c r="U88" s="222"/>
      <c r="V88" s="264"/>
      <c r="W88" s="222"/>
      <c r="X88" s="264"/>
      <c r="Y88" s="222"/>
      <c r="Z88" s="264">
        <f>+T89*1.08*1.08*1.08</f>
        <v>4.8738257280000017</v>
      </c>
      <c r="AA88" s="222"/>
      <c r="AB88" s="264"/>
      <c r="AC88" s="222"/>
      <c r="AD88" s="264"/>
      <c r="AE88" s="222"/>
      <c r="AF88" s="264"/>
      <c r="AG88" s="222"/>
      <c r="AH88" s="264"/>
      <c r="AI88" s="222"/>
      <c r="AJ88" s="264"/>
      <c r="AK88" s="222"/>
      <c r="AL88" s="264"/>
      <c r="AM88" s="222"/>
      <c r="AN88" s="264"/>
      <c r="AO88" s="222"/>
      <c r="AP88" s="264"/>
      <c r="AQ88" s="222"/>
      <c r="AR88" s="264"/>
      <c r="AS88" s="264"/>
      <c r="AT88" s="264"/>
      <c r="AU88" s="264"/>
      <c r="AV88" s="264"/>
      <c r="AW88" s="264"/>
      <c r="AX88" s="264"/>
      <c r="AY88" s="264"/>
      <c r="AZ88" s="264"/>
      <c r="BA88" s="264"/>
      <c r="BB88" s="264"/>
      <c r="BC88" s="264"/>
      <c r="BD88" s="264"/>
      <c r="BE88" s="264"/>
      <c r="BF88" s="1921"/>
      <c r="BG88" s="264"/>
      <c r="BH88" s="264"/>
      <c r="BI88" s="222"/>
    </row>
    <row r="89" spans="1:61">
      <c r="A89" s="267" t="s">
        <v>130</v>
      </c>
      <c r="B89" s="267"/>
      <c r="C89" s="267"/>
      <c r="D89" s="272"/>
      <c r="E89" s="267"/>
      <c r="F89" s="272"/>
      <c r="G89" s="267"/>
      <c r="H89" s="272"/>
      <c r="I89" s="267"/>
      <c r="J89" s="272"/>
      <c r="K89" s="267"/>
      <c r="L89" s="272"/>
      <c r="M89" s="267"/>
      <c r="N89" s="272"/>
      <c r="O89" s="267"/>
      <c r="P89" s="272"/>
      <c r="Q89" s="267"/>
      <c r="R89" s="272"/>
      <c r="S89" s="267"/>
      <c r="T89" s="272">
        <v>3.8690000000000002</v>
      </c>
      <c r="U89" s="267"/>
      <c r="V89" s="272">
        <v>2.706</v>
      </c>
      <c r="W89" s="267"/>
      <c r="X89" s="272">
        <v>3.8519999999999999</v>
      </c>
      <c r="Y89" s="267"/>
      <c r="Z89" s="272">
        <v>4.88</v>
      </c>
      <c r="AA89" s="267"/>
      <c r="AB89" s="272">
        <f>+Z89*1.08</f>
        <v>5.2704000000000004</v>
      </c>
      <c r="AC89" s="272"/>
      <c r="AD89" s="272">
        <f>+AB89*1.08</f>
        <v>5.6920320000000011</v>
      </c>
      <c r="AE89" s="222"/>
      <c r="AF89" s="272">
        <f>+AD89*1.08</f>
        <v>6.1473945600000013</v>
      </c>
      <c r="AG89" s="222"/>
      <c r="AH89" s="272">
        <f>+AF89*1.08</f>
        <v>6.6391861248000019</v>
      </c>
      <c r="AI89" s="222"/>
      <c r="AJ89" s="272">
        <f>+AH89*1.08</f>
        <v>7.1703210147840029</v>
      </c>
      <c r="AK89" s="222"/>
      <c r="AL89" s="272">
        <f>+AJ89*1.08</f>
        <v>7.7439466959667236</v>
      </c>
      <c r="AM89" s="222"/>
      <c r="AN89" s="272">
        <f>+AL89*1.08</f>
        <v>8.3634624316440629</v>
      </c>
      <c r="AO89" s="222"/>
      <c r="AP89" s="272">
        <f>+AN89*1.08</f>
        <v>9.0325394261755889</v>
      </c>
      <c r="AQ89" s="222"/>
      <c r="AR89" s="272">
        <f>+AP89*1.08</f>
        <v>9.7551425802696361</v>
      </c>
      <c r="AS89" s="272"/>
      <c r="AT89" s="272">
        <f>+AR89*1.08</f>
        <v>10.535553986691207</v>
      </c>
      <c r="AU89" s="272"/>
      <c r="AV89" s="272">
        <f>+AT89*1.08</f>
        <v>11.378398305626504</v>
      </c>
      <c r="AW89" s="272"/>
      <c r="AX89" s="272">
        <f>+AV89*1.08</f>
        <v>12.288670170076626</v>
      </c>
      <c r="AY89" s="272"/>
      <c r="AZ89" s="272">
        <f>+AX89*1.08</f>
        <v>13.271763783682758</v>
      </c>
      <c r="BA89" s="272"/>
      <c r="BB89" s="272">
        <f>+AZ89*1.08</f>
        <v>14.33350488637738</v>
      </c>
      <c r="BC89" s="272"/>
      <c r="BD89" s="272">
        <f>+BB89*1.08</f>
        <v>15.480185277287571</v>
      </c>
      <c r="BE89" s="272"/>
      <c r="BF89" s="1923">
        <f>+BD89*1.08</f>
        <v>16.718600099470578</v>
      </c>
      <c r="BG89" s="272"/>
      <c r="BH89" s="272"/>
      <c r="BI89" s="222"/>
    </row>
    <row r="90" spans="1:61">
      <c r="A90" s="267" t="s">
        <v>131</v>
      </c>
      <c r="B90" s="267"/>
      <c r="C90" s="267"/>
      <c r="D90" s="273"/>
      <c r="E90" s="267"/>
      <c r="F90" s="273"/>
      <c r="G90" s="267"/>
      <c r="H90" s="273"/>
      <c r="I90" s="267"/>
      <c r="J90" s="273"/>
      <c r="K90" s="267"/>
      <c r="L90" s="273"/>
      <c r="M90" s="267"/>
      <c r="N90" s="273"/>
      <c r="O90" s="267"/>
      <c r="P90" s="273"/>
      <c r="Q90" s="267"/>
      <c r="R90" s="273"/>
      <c r="S90" s="267"/>
      <c r="T90" s="273">
        <v>2.12</v>
      </c>
      <c r="U90" s="267"/>
      <c r="V90" s="273">
        <v>2.5539999999999998</v>
      </c>
      <c r="W90" s="267"/>
      <c r="X90" s="273">
        <v>1.946</v>
      </c>
      <c r="Y90" s="267"/>
      <c r="Z90" s="273">
        <v>1.5069999999999999</v>
      </c>
      <c r="AA90" s="267"/>
      <c r="AB90" s="273">
        <f>+Z90</f>
        <v>1.5069999999999999</v>
      </c>
      <c r="AC90" s="273"/>
      <c r="AD90" s="273">
        <f>+AB90</f>
        <v>1.5069999999999999</v>
      </c>
      <c r="AE90" s="222"/>
      <c r="AF90" s="273">
        <f>+AD90</f>
        <v>1.5069999999999999</v>
      </c>
      <c r="AG90" s="222"/>
      <c r="AH90" s="273">
        <f>+AF90</f>
        <v>1.5069999999999999</v>
      </c>
      <c r="AI90" s="222"/>
      <c r="AJ90" s="273">
        <f>+AH90</f>
        <v>1.5069999999999999</v>
      </c>
      <c r="AK90" s="222"/>
      <c r="AL90" s="273">
        <f>+AJ90</f>
        <v>1.5069999999999999</v>
      </c>
      <c r="AM90" s="222"/>
      <c r="AN90" s="273">
        <f>+AL90</f>
        <v>1.5069999999999999</v>
      </c>
      <c r="AO90" s="222"/>
      <c r="AP90" s="273">
        <f>+AN90</f>
        <v>1.5069999999999999</v>
      </c>
      <c r="AQ90" s="222"/>
      <c r="AR90" s="273">
        <f>+AP90</f>
        <v>1.5069999999999999</v>
      </c>
      <c r="AS90" s="273"/>
      <c r="AT90" s="273">
        <f>+AR90</f>
        <v>1.5069999999999999</v>
      </c>
      <c r="AU90" s="273"/>
      <c r="AV90" s="273">
        <f>+AT90</f>
        <v>1.5069999999999999</v>
      </c>
      <c r="AW90" s="273"/>
      <c r="AX90" s="273">
        <f>+AV90</f>
        <v>1.5069999999999999</v>
      </c>
      <c r="AY90" s="273"/>
      <c r="AZ90" s="273">
        <f>+AX90</f>
        <v>1.5069999999999999</v>
      </c>
      <c r="BA90" s="273"/>
      <c r="BB90" s="273">
        <f>+AZ90</f>
        <v>1.5069999999999999</v>
      </c>
      <c r="BC90" s="273"/>
      <c r="BD90" s="273">
        <f>+BB90</f>
        <v>1.5069999999999999</v>
      </c>
      <c r="BE90" s="273"/>
      <c r="BF90" s="1924">
        <f>+BD90</f>
        <v>1.5069999999999999</v>
      </c>
      <c r="BG90" s="273"/>
      <c r="BH90" s="273"/>
      <c r="BI90" s="222"/>
    </row>
    <row r="91" spans="1:61">
      <c r="A91" s="267" t="s">
        <v>132</v>
      </c>
      <c r="B91" s="267"/>
      <c r="C91" s="267"/>
      <c r="D91" s="272"/>
      <c r="E91" s="267"/>
      <c r="F91" s="272"/>
      <c r="G91" s="267"/>
      <c r="H91" s="272"/>
      <c r="I91" s="267"/>
      <c r="J91" s="272"/>
      <c r="K91" s="267"/>
      <c r="L91" s="272"/>
      <c r="M91" s="267"/>
      <c r="N91" s="272"/>
      <c r="O91" s="267"/>
      <c r="P91" s="272"/>
      <c r="Q91" s="267"/>
      <c r="R91" s="272"/>
      <c r="S91" s="267"/>
      <c r="T91" s="272">
        <f>+T89-T90</f>
        <v>1.7490000000000001</v>
      </c>
      <c r="U91" s="267"/>
      <c r="V91" s="272">
        <f>+V89-V90</f>
        <v>0.15200000000000014</v>
      </c>
      <c r="W91" s="267"/>
      <c r="X91" s="272">
        <f>+X89-X90</f>
        <v>1.9059999999999999</v>
      </c>
      <c r="Y91" s="267"/>
      <c r="Z91" s="272">
        <f>+Z89-Z90</f>
        <v>3.3730000000000002</v>
      </c>
      <c r="AA91" s="267"/>
      <c r="AB91" s="272">
        <f>+AB89-AB90</f>
        <v>3.7634000000000007</v>
      </c>
      <c r="AC91" s="267"/>
      <c r="AD91" s="272">
        <f>+AD89-AD90</f>
        <v>4.1850320000000014</v>
      </c>
      <c r="AE91" s="222"/>
      <c r="AF91" s="272">
        <f>+AF89-AF90</f>
        <v>4.6403945600000016</v>
      </c>
      <c r="AG91" s="222"/>
      <c r="AH91" s="272">
        <f>+AH89-AH90</f>
        <v>5.1321861248000022</v>
      </c>
      <c r="AI91" s="222"/>
      <c r="AJ91" s="272">
        <f>+AJ89-AJ90</f>
        <v>5.6633210147840032</v>
      </c>
      <c r="AK91" s="222"/>
      <c r="AL91" s="272">
        <f>+AL89-AL90</f>
        <v>6.2369466959667239</v>
      </c>
      <c r="AM91" s="222"/>
      <c r="AN91" s="272">
        <f>+AN89-AN90</f>
        <v>6.8564624316440632</v>
      </c>
      <c r="AO91" s="222"/>
      <c r="AP91" s="272">
        <f>+AP89-AP90</f>
        <v>7.5255394261755892</v>
      </c>
      <c r="AQ91" s="222"/>
      <c r="AR91" s="272">
        <f>+AR89-AR90</f>
        <v>8.2481425802696364</v>
      </c>
      <c r="AS91" s="272"/>
      <c r="AT91" s="272">
        <f>+AT89-AT90</f>
        <v>9.0285539866912075</v>
      </c>
      <c r="AU91" s="272"/>
      <c r="AV91" s="272">
        <f>+AV89-AV90</f>
        <v>9.8713983056265047</v>
      </c>
      <c r="AW91" s="272"/>
      <c r="AX91" s="272">
        <f>+AX89-AX90</f>
        <v>10.781670170076627</v>
      </c>
      <c r="AY91" s="272"/>
      <c r="AZ91" s="272">
        <f>+AZ89-AZ90</f>
        <v>11.764763783682758</v>
      </c>
      <c r="BA91" s="272"/>
      <c r="BB91" s="272">
        <f>+BB89-BB90</f>
        <v>12.82650488637738</v>
      </c>
      <c r="BC91" s="272"/>
      <c r="BD91" s="272">
        <f>+BD89-BD90</f>
        <v>13.973185277287572</v>
      </c>
      <c r="BE91" s="272"/>
      <c r="BF91" s="1923">
        <f>+BF89-BF90</f>
        <v>15.211600099470578</v>
      </c>
      <c r="BG91" s="272"/>
      <c r="BH91" s="272"/>
      <c r="BI91" s="222"/>
    </row>
    <row r="92" spans="1:61">
      <c r="A92" s="222"/>
      <c r="B92" s="222"/>
      <c r="C92" s="222"/>
      <c r="D92" s="222"/>
      <c r="E92" s="222"/>
      <c r="F92" s="222"/>
      <c r="G92" s="222"/>
      <c r="H92" s="222"/>
      <c r="I92" s="222"/>
      <c r="J92" s="222"/>
      <c r="K92" s="222"/>
      <c r="L92" s="222"/>
      <c r="M92" s="222"/>
      <c r="N92" s="222"/>
      <c r="O92" s="222"/>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c r="AQ92" s="222"/>
      <c r="AR92" s="222"/>
      <c r="AS92" s="222"/>
      <c r="AT92" s="222"/>
      <c r="AU92" s="222"/>
      <c r="AV92" s="222"/>
      <c r="AW92" s="222"/>
      <c r="AX92" s="222"/>
      <c r="AY92" s="222"/>
      <c r="AZ92" s="222"/>
      <c r="BA92" s="222"/>
      <c r="BB92" s="222"/>
      <c r="BC92" s="222"/>
      <c r="BD92" s="222"/>
      <c r="BE92" s="222"/>
      <c r="BF92" s="236"/>
      <c r="BG92" s="222"/>
      <c r="BH92" s="222"/>
      <c r="BI92" s="222"/>
    </row>
    <row r="93" spans="1:61">
      <c r="A93" s="222"/>
      <c r="B93" s="222"/>
      <c r="C93" s="222"/>
      <c r="D93" s="222"/>
      <c r="E93" s="222"/>
      <c r="F93" s="222"/>
      <c r="G93" s="222"/>
      <c r="H93" s="222"/>
      <c r="I93" s="222"/>
      <c r="J93" s="222"/>
      <c r="K93" s="222"/>
      <c r="L93" s="222"/>
      <c r="M93" s="222"/>
      <c r="N93" s="222"/>
      <c r="O93" s="222"/>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c r="AQ93" s="222"/>
      <c r="AR93" s="222"/>
      <c r="AS93" s="222"/>
      <c r="AT93" s="222"/>
      <c r="AU93" s="222"/>
      <c r="AV93" s="222"/>
      <c r="AW93" s="222"/>
      <c r="AX93" s="222"/>
      <c r="AY93" s="222"/>
      <c r="AZ93" s="222"/>
      <c r="BA93" s="222"/>
      <c r="BB93" s="222"/>
      <c r="BC93" s="222"/>
      <c r="BD93" s="222"/>
      <c r="BE93" s="222"/>
      <c r="BF93" s="236"/>
      <c r="BG93" s="222"/>
      <c r="BH93" s="222"/>
      <c r="BI93" s="222"/>
    </row>
    <row r="94" spans="1:61" hidden="1" outlineLevel="1">
      <c r="A94" s="222"/>
      <c r="B94" s="274" t="s">
        <v>265</v>
      </c>
      <c r="C94" s="275"/>
      <c r="D94" s="275"/>
      <c r="E94" s="275"/>
      <c r="F94" s="275"/>
      <c r="G94" s="275"/>
      <c r="H94" s="275"/>
      <c r="I94" s="275"/>
      <c r="J94" s="275"/>
      <c r="K94" s="275"/>
      <c r="L94" s="275"/>
      <c r="M94" s="275"/>
      <c r="N94" s="275"/>
      <c r="O94" s="275"/>
      <c r="P94" s="275"/>
      <c r="Q94" s="275"/>
      <c r="R94" s="275"/>
      <c r="S94" s="275"/>
      <c r="T94" s="275"/>
      <c r="U94" s="275"/>
      <c r="V94" s="275"/>
      <c r="W94" s="275"/>
      <c r="X94" s="275"/>
      <c r="Y94" s="275"/>
      <c r="Z94" s="275"/>
      <c r="AA94" s="275"/>
      <c r="AB94" s="275"/>
      <c r="AC94" s="275"/>
      <c r="AD94" s="275"/>
      <c r="AE94" s="222"/>
      <c r="AF94" s="275"/>
      <c r="AG94" s="222"/>
      <c r="AH94" s="275"/>
      <c r="AI94" s="222"/>
      <c r="AJ94" s="275"/>
      <c r="AK94" s="222"/>
      <c r="AL94" s="275"/>
      <c r="AM94" s="222"/>
      <c r="AN94" s="275"/>
      <c r="AO94" s="222"/>
      <c r="AP94" s="275"/>
      <c r="AQ94" s="222"/>
      <c r="AR94" s="275"/>
      <c r="AS94" s="226"/>
      <c r="AT94" s="226"/>
      <c r="AU94" s="226"/>
      <c r="AV94" s="226"/>
      <c r="AW94" s="226"/>
      <c r="AX94" s="226"/>
      <c r="AY94" s="226"/>
      <c r="AZ94" s="226"/>
      <c r="BA94" s="226"/>
      <c r="BB94" s="226"/>
      <c r="BC94" s="226"/>
      <c r="BD94" s="226"/>
      <c r="BE94" s="226"/>
      <c r="BF94" s="1692"/>
      <c r="BG94" s="226"/>
      <c r="BH94" s="226"/>
      <c r="BI94" s="222"/>
    </row>
    <row r="95" spans="1:61" hidden="1" outlineLevel="1">
      <c r="A95" s="222"/>
      <c r="B95" s="276"/>
      <c r="C95" s="222"/>
      <c r="D95" s="222"/>
      <c r="E95" s="222"/>
      <c r="F95" s="222"/>
      <c r="G95" s="222"/>
      <c r="H95" s="222"/>
      <c r="I95" s="222"/>
      <c r="J95" s="222"/>
      <c r="K95" s="222"/>
      <c r="L95" s="222"/>
      <c r="M95" s="222"/>
      <c r="N95" s="222"/>
      <c r="O95" s="222"/>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c r="AQ95" s="222"/>
      <c r="AR95" s="222"/>
      <c r="AS95" s="222"/>
      <c r="AT95" s="222"/>
      <c r="AU95" s="222"/>
      <c r="AV95" s="222"/>
      <c r="AW95" s="222"/>
      <c r="AX95" s="222"/>
      <c r="AY95" s="222"/>
      <c r="AZ95" s="222"/>
      <c r="BA95" s="222"/>
      <c r="BB95" s="222"/>
      <c r="BC95" s="222"/>
      <c r="BD95" s="222"/>
      <c r="BE95" s="222"/>
      <c r="BF95" s="236"/>
      <c r="BG95" s="222"/>
      <c r="BH95" s="222"/>
      <c r="BI95" s="222"/>
    </row>
    <row r="96" spans="1:61" hidden="1" outlineLevel="1">
      <c r="A96" s="222"/>
      <c r="B96" s="277" t="s">
        <v>236</v>
      </c>
      <c r="C96" s="222"/>
      <c r="D96" s="222"/>
      <c r="E96" s="222"/>
      <c r="F96" s="222"/>
      <c r="G96" s="222"/>
      <c r="H96" s="222"/>
      <c r="I96" s="222"/>
      <c r="J96" s="222"/>
      <c r="K96" s="222"/>
      <c r="L96" s="222"/>
      <c r="M96" s="222"/>
      <c r="N96" s="222"/>
      <c r="O96" s="222"/>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c r="AQ96" s="222"/>
      <c r="AR96" s="222"/>
      <c r="AS96" s="222"/>
      <c r="AT96" s="222"/>
      <c r="AU96" s="222"/>
      <c r="AV96" s="222"/>
      <c r="AW96" s="222"/>
      <c r="AX96" s="222"/>
      <c r="AY96" s="222"/>
      <c r="AZ96" s="222"/>
      <c r="BA96" s="222"/>
      <c r="BB96" s="222"/>
      <c r="BC96" s="222"/>
      <c r="BD96" s="222"/>
      <c r="BE96" s="222"/>
      <c r="BF96" s="236"/>
      <c r="BG96" s="222"/>
      <c r="BH96" s="222"/>
      <c r="BI96" s="222"/>
    </row>
    <row r="97" spans="1:61" hidden="1" outlineLevel="1">
      <c r="A97" s="222"/>
      <c r="B97" s="278" t="s">
        <v>237</v>
      </c>
      <c r="C97" s="222"/>
      <c r="D97" s="279" t="e">
        <f>D14</f>
        <v>#REF!</v>
      </c>
      <c r="E97" s="222"/>
      <c r="F97" s="279" t="e">
        <f>F14</f>
        <v>#REF!</v>
      </c>
      <c r="G97" s="222"/>
      <c r="H97" s="279">
        <f>H14</f>
        <v>0.18699999999994776</v>
      </c>
      <c r="I97" s="222"/>
      <c r="J97" s="279">
        <f>J14</f>
        <v>162.46999999999994</v>
      </c>
      <c r="K97" s="222"/>
      <c r="L97" s="279">
        <f>L14</f>
        <v>126.61999999999999</v>
      </c>
      <c r="M97" s="222"/>
      <c r="N97" s="279">
        <f>N14</f>
        <v>133.68799999999999</v>
      </c>
      <c r="O97" s="222"/>
      <c r="P97" s="279">
        <f>P14</f>
        <v>151.56700000000004</v>
      </c>
      <c r="Q97" s="222"/>
      <c r="R97" s="279">
        <f>R14</f>
        <v>287.58799999999997</v>
      </c>
      <c r="S97" s="222"/>
      <c r="T97" s="279">
        <f>T14</f>
        <v>448.53800000000001</v>
      </c>
      <c r="U97" s="222"/>
      <c r="V97" s="279">
        <f>V14</f>
        <v>705.61599999999976</v>
      </c>
      <c r="W97" s="222"/>
      <c r="X97" s="279">
        <f>X14</f>
        <v>709.36</v>
      </c>
      <c r="Y97" s="222"/>
      <c r="Z97" s="279">
        <f>Z14</f>
        <v>974.48199999999986</v>
      </c>
      <c r="AA97" s="222"/>
      <c r="AB97" s="279">
        <f>AB14</f>
        <v>1740.1959999999995</v>
      </c>
      <c r="AC97" s="222"/>
      <c r="AD97" s="279">
        <f>AD14</f>
        <v>1359.2179999999996</v>
      </c>
      <c r="AE97" s="222"/>
      <c r="AF97" s="279">
        <f>AF14</f>
        <v>1396.4089999999992</v>
      </c>
      <c r="AG97" s="222"/>
      <c r="AH97" s="279">
        <f>AH14</f>
        <v>1302.6409999999989</v>
      </c>
      <c r="AI97" s="222"/>
      <c r="AJ97" s="279">
        <f>AJ14</f>
        <v>1452.387999999999</v>
      </c>
      <c r="AK97" s="222"/>
      <c r="AL97" s="279">
        <f>AL14</f>
        <v>1804.5279999999989</v>
      </c>
      <c r="AM97" s="222"/>
      <c r="AN97" s="279">
        <f>AN14</f>
        <v>2070.9349999999986</v>
      </c>
      <c r="AO97" s="222"/>
      <c r="AP97" s="279">
        <f>AP14</f>
        <v>1855.2219999999991</v>
      </c>
      <c r="AQ97" s="222"/>
      <c r="AR97" s="279">
        <f>AR14</f>
        <v>2506.5279999999989</v>
      </c>
      <c r="AS97" s="279"/>
      <c r="AT97" s="279"/>
      <c r="AU97" s="279"/>
      <c r="AV97" s="279"/>
      <c r="AW97" s="279"/>
      <c r="AX97" s="279"/>
      <c r="AY97" s="279"/>
      <c r="AZ97" s="279"/>
      <c r="BA97" s="279"/>
      <c r="BB97" s="279"/>
      <c r="BC97" s="279"/>
      <c r="BD97" s="279"/>
      <c r="BE97" s="279"/>
      <c r="BF97" s="1925"/>
      <c r="BG97" s="279"/>
      <c r="BH97" s="279"/>
      <c r="BI97" s="222"/>
    </row>
    <row r="98" spans="1:61" hidden="1" outlineLevel="1">
      <c r="A98" s="222"/>
      <c r="B98" s="278" t="s">
        <v>238</v>
      </c>
      <c r="C98" s="222"/>
      <c r="D98" s="280">
        <f>SUM(D30:D33)</f>
        <v>0</v>
      </c>
      <c r="E98" s="281"/>
      <c r="F98" s="280">
        <f>SUM(F30:F33)</f>
        <v>0</v>
      </c>
      <c r="G98" s="281"/>
      <c r="H98" s="280">
        <f>SUM(H30:H33)</f>
        <v>0</v>
      </c>
      <c r="I98" s="281"/>
      <c r="J98" s="280">
        <f>SUM(J30:J33)</f>
        <v>60.862000000000009</v>
      </c>
      <c r="K98" s="281"/>
      <c r="L98" s="280">
        <f>SUM(L30:L33)</f>
        <v>70.87700000000001</v>
      </c>
      <c r="M98" s="222"/>
      <c r="N98" s="280">
        <f>SUM(N30:N33)</f>
        <v>79.558999999999997</v>
      </c>
      <c r="O98" s="281"/>
      <c r="P98" s="280">
        <f>SUM(P30:P33)</f>
        <v>104.40300000000001</v>
      </c>
      <c r="Q98" s="281"/>
      <c r="R98" s="280">
        <f>SUM(R30:R33)</f>
        <v>159.35300000000001</v>
      </c>
      <c r="S98" s="281"/>
      <c r="T98" s="280">
        <f>SUM(T30:T33)</f>
        <v>161.381</v>
      </c>
      <c r="U98" s="281"/>
      <c r="V98" s="280">
        <f>SUM(V30:V33)</f>
        <v>170.11700000000002</v>
      </c>
      <c r="W98" s="281"/>
      <c r="X98" s="280">
        <f>SUM(X30:X33)</f>
        <v>265.51099999999997</v>
      </c>
      <c r="Y98" s="281"/>
      <c r="Z98" s="280">
        <f>SUM(Z30:Z33)</f>
        <v>341.654</v>
      </c>
      <c r="AA98" s="281"/>
      <c r="AB98" s="280">
        <f>SUM(AB30:AB33)</f>
        <v>407.76099999999997</v>
      </c>
      <c r="AC98" s="281"/>
      <c r="AD98" s="280">
        <f>SUM(AD30:AD33)</f>
        <v>450.65600000000001</v>
      </c>
      <c r="AE98" s="222"/>
      <c r="AF98" s="280">
        <f>SUM(AF30:AF33)</f>
        <v>459.14400000000001</v>
      </c>
      <c r="AG98" s="222"/>
      <c r="AH98" s="280">
        <f>SUM(AH30:AH33)</f>
        <v>528.29399999999998</v>
      </c>
      <c r="AI98" s="222"/>
      <c r="AJ98" s="280">
        <f>SUM(AJ30:AJ33)</f>
        <v>592.22199999999998</v>
      </c>
      <c r="AK98" s="222"/>
      <c r="AL98" s="280">
        <f>SUM(AL30:AL33)</f>
        <v>695.78500000000008</v>
      </c>
      <c r="AM98" s="222"/>
      <c r="AN98" s="280">
        <f>SUM(AN30:AN33)</f>
        <v>722.01</v>
      </c>
      <c r="AO98" s="222"/>
      <c r="AP98" s="280">
        <f>SUM(AP30:AP33)</f>
        <v>813.11800000000005</v>
      </c>
      <c r="AQ98" s="222"/>
      <c r="AR98" s="280">
        <f>SUM(AR30:AR33)</f>
        <v>834.7</v>
      </c>
      <c r="AS98" s="619"/>
      <c r="AT98" s="619"/>
      <c r="AU98" s="619"/>
      <c r="AV98" s="619"/>
      <c r="AW98" s="619"/>
      <c r="AX98" s="619"/>
      <c r="AY98" s="619"/>
      <c r="AZ98" s="619"/>
      <c r="BA98" s="619"/>
      <c r="BB98" s="619"/>
      <c r="BC98" s="619"/>
      <c r="BD98" s="619"/>
      <c r="BE98" s="619"/>
      <c r="BF98" s="1926"/>
      <c r="BG98" s="619"/>
      <c r="BH98" s="619"/>
      <c r="BI98" s="222"/>
    </row>
    <row r="99" spans="1:61" hidden="1" outlineLevel="1">
      <c r="A99" s="222"/>
      <c r="B99" s="282" t="s">
        <v>240</v>
      </c>
      <c r="C99" s="222"/>
      <c r="D99" s="283" t="e">
        <f>+D97-D98</f>
        <v>#REF!</v>
      </c>
      <c r="E99" s="284"/>
      <c r="F99" s="283" t="e">
        <f>+F97-F98</f>
        <v>#REF!</v>
      </c>
      <c r="G99" s="284"/>
      <c r="H99" s="283">
        <f>+H97-H98</f>
        <v>0.18699999999994776</v>
      </c>
      <c r="I99" s="284"/>
      <c r="J99" s="283">
        <f>+J97-J98</f>
        <v>101.60799999999993</v>
      </c>
      <c r="K99" s="284"/>
      <c r="L99" s="283">
        <f>+L97-L98</f>
        <v>55.742999999999981</v>
      </c>
      <c r="M99" s="222"/>
      <c r="N99" s="283">
        <f>+N97-N98</f>
        <v>54.128999999999991</v>
      </c>
      <c r="O99" s="284"/>
      <c r="P99" s="283">
        <f>+P97-P98</f>
        <v>47.16400000000003</v>
      </c>
      <c r="Q99" s="284"/>
      <c r="R99" s="283">
        <f>+R97-R98</f>
        <v>128.23499999999996</v>
      </c>
      <c r="S99" s="284"/>
      <c r="T99" s="283">
        <f>+T97-T98</f>
        <v>287.15700000000004</v>
      </c>
      <c r="U99" s="284"/>
      <c r="V99" s="283">
        <f>+V97-V98</f>
        <v>535.4989999999998</v>
      </c>
      <c r="W99" s="284"/>
      <c r="X99" s="283">
        <f>+X97-X98</f>
        <v>443.84900000000005</v>
      </c>
      <c r="Y99" s="284"/>
      <c r="Z99" s="283">
        <f>+Z97-Z98</f>
        <v>632.82799999999986</v>
      </c>
      <c r="AA99" s="284"/>
      <c r="AB99" s="283">
        <f>+AB97-AB98</f>
        <v>1332.4349999999995</v>
      </c>
      <c r="AC99" s="284"/>
      <c r="AD99" s="283">
        <f>+AD97-AD98</f>
        <v>908.56199999999967</v>
      </c>
      <c r="AE99" s="222"/>
      <c r="AF99" s="283">
        <f>+AF97-AF98</f>
        <v>937.26499999999919</v>
      </c>
      <c r="AG99" s="222"/>
      <c r="AH99" s="283">
        <f>+AH97-AH98</f>
        <v>774.34699999999896</v>
      </c>
      <c r="AI99" s="222"/>
      <c r="AJ99" s="283">
        <f>+AJ97-AJ98</f>
        <v>860.16599999999903</v>
      </c>
      <c r="AK99" s="222"/>
      <c r="AL99" s="283">
        <f>+AL97-AL98</f>
        <v>1108.7429999999988</v>
      </c>
      <c r="AM99" s="222"/>
      <c r="AN99" s="283">
        <f>+AN97-AN98</f>
        <v>1348.9249999999986</v>
      </c>
      <c r="AO99" s="222"/>
      <c r="AP99" s="283">
        <f>+AP97-AP98</f>
        <v>1042.1039999999989</v>
      </c>
      <c r="AQ99" s="222"/>
      <c r="AR99" s="283">
        <f>+AR97-AR98</f>
        <v>1671.8279999999988</v>
      </c>
      <c r="AS99" s="283"/>
      <c r="AT99" s="283"/>
      <c r="AU99" s="283"/>
      <c r="AV99" s="283"/>
      <c r="AW99" s="283"/>
      <c r="AX99" s="283"/>
      <c r="AY99" s="283"/>
      <c r="AZ99" s="283"/>
      <c r="BA99" s="283"/>
      <c r="BB99" s="283"/>
      <c r="BC99" s="283"/>
      <c r="BD99" s="283"/>
      <c r="BE99" s="283"/>
      <c r="BF99" s="1927"/>
      <c r="BG99" s="283"/>
      <c r="BH99" s="283"/>
      <c r="BI99" s="222"/>
    </row>
    <row r="100" spans="1:61" hidden="1" outlineLevel="1">
      <c r="A100" s="222"/>
      <c r="B100" s="285" t="s">
        <v>241</v>
      </c>
      <c r="C100" s="222"/>
      <c r="D100" s="284">
        <f>+D17</f>
        <v>0</v>
      </c>
      <c r="E100" s="222"/>
      <c r="F100" s="284">
        <f>+F17</f>
        <v>0</v>
      </c>
      <c r="G100" s="222"/>
      <c r="H100" s="284">
        <f>+H17</f>
        <v>0</v>
      </c>
      <c r="I100" s="222"/>
      <c r="J100" s="284">
        <f>+J17</f>
        <v>74.39</v>
      </c>
      <c r="K100" s="222"/>
      <c r="L100" s="284">
        <f>+L17</f>
        <v>61.151000000000003</v>
      </c>
      <c r="M100" s="222"/>
      <c r="N100" s="284">
        <f>+R17</f>
        <v>90.588999999999999</v>
      </c>
      <c r="O100" s="222"/>
      <c r="P100" s="284">
        <f>+P17</f>
        <v>72.388000000000005</v>
      </c>
      <c r="Q100" s="222"/>
      <c r="R100" s="284" t="e">
        <f>+#REF!</f>
        <v>#REF!</v>
      </c>
      <c r="S100" s="222"/>
      <c r="T100" s="284">
        <f>+T17</f>
        <v>118.547</v>
      </c>
      <c r="U100" s="222"/>
      <c r="V100" s="284">
        <f>+V17</f>
        <v>164.291</v>
      </c>
      <c r="W100" s="222"/>
      <c r="X100" s="284">
        <f>+X17</f>
        <v>203.86199999999999</v>
      </c>
      <c r="Y100" s="222"/>
      <c r="Z100" s="284">
        <f>+Z17</f>
        <v>298.53100000000001</v>
      </c>
      <c r="AA100" s="222"/>
      <c r="AB100" s="284">
        <f>+AB17</f>
        <v>368.46100000000001</v>
      </c>
      <c r="AC100" s="222"/>
      <c r="AD100" s="284">
        <f>+AD17</f>
        <v>464.226</v>
      </c>
      <c r="AE100" s="222"/>
      <c r="AF100" s="284">
        <f>+AF17</f>
        <v>592.98199999999997</v>
      </c>
      <c r="AG100" s="222"/>
      <c r="AH100" s="284">
        <f>+AH17</f>
        <v>548.47400000000005</v>
      </c>
      <c r="AI100" s="222"/>
      <c r="AJ100" s="284">
        <f>+AJ17</f>
        <v>582.34799999999996</v>
      </c>
      <c r="AK100" s="222"/>
      <c r="AL100" s="284">
        <f>+AL17</f>
        <v>644.44899999999996</v>
      </c>
      <c r="AM100" s="222"/>
      <c r="AN100" s="284">
        <f>+AN17</f>
        <v>694.77099999999996</v>
      </c>
      <c r="AO100" s="222"/>
      <c r="AP100" s="284">
        <f>+AP17</f>
        <v>713.9</v>
      </c>
      <c r="AQ100" s="222"/>
      <c r="AR100" s="284">
        <f>+AR17</f>
        <v>732.6</v>
      </c>
      <c r="AS100" s="284"/>
      <c r="AT100" s="284"/>
      <c r="AU100" s="284"/>
      <c r="AV100" s="284"/>
      <c r="AW100" s="284"/>
      <c r="AX100" s="284"/>
      <c r="AY100" s="284"/>
      <c r="AZ100" s="284"/>
      <c r="BA100" s="284"/>
      <c r="BB100" s="284"/>
      <c r="BC100" s="284"/>
      <c r="BD100" s="284"/>
      <c r="BE100" s="284"/>
      <c r="BF100" s="1928"/>
      <c r="BG100" s="284"/>
      <c r="BH100" s="284"/>
      <c r="BI100" s="222"/>
    </row>
    <row r="101" spans="1:61" hidden="1" outlineLevel="1">
      <c r="A101" s="222"/>
      <c r="B101" s="285" t="s">
        <v>242</v>
      </c>
      <c r="C101" s="222"/>
      <c r="D101" s="286"/>
      <c r="E101" s="222"/>
      <c r="F101" s="286"/>
      <c r="G101" s="222"/>
      <c r="H101" s="286"/>
      <c r="I101" s="222"/>
      <c r="J101" s="286"/>
      <c r="K101" s="222"/>
      <c r="L101" s="286"/>
      <c r="M101" s="222"/>
      <c r="N101" s="286"/>
      <c r="O101" s="222"/>
      <c r="P101" s="286"/>
      <c r="Q101" s="222"/>
      <c r="R101" s="286"/>
      <c r="S101" s="222"/>
      <c r="T101" s="286"/>
      <c r="U101" s="222"/>
      <c r="V101" s="286"/>
      <c r="W101" s="222"/>
      <c r="X101" s="286"/>
      <c r="Y101" s="222"/>
      <c r="Z101" s="286"/>
      <c r="AA101" s="222"/>
      <c r="AB101" s="286"/>
      <c r="AC101" s="222"/>
      <c r="AD101" s="286"/>
      <c r="AE101" s="222"/>
      <c r="AF101" s="286"/>
      <c r="AG101" s="222"/>
      <c r="AH101" s="286"/>
      <c r="AI101" s="222"/>
      <c r="AJ101" s="286"/>
      <c r="AK101" s="222"/>
      <c r="AL101" s="286"/>
      <c r="AM101" s="222"/>
      <c r="AN101" s="286"/>
      <c r="AO101" s="222"/>
      <c r="AP101" s="286"/>
      <c r="AQ101" s="222"/>
      <c r="AR101" s="286"/>
      <c r="AS101" s="286"/>
      <c r="AT101" s="286"/>
      <c r="AU101" s="286"/>
      <c r="AV101" s="286"/>
      <c r="AW101" s="286"/>
      <c r="AX101" s="286"/>
      <c r="AY101" s="286"/>
      <c r="AZ101" s="286"/>
      <c r="BA101" s="286"/>
      <c r="BB101" s="286"/>
      <c r="BC101" s="286"/>
      <c r="BD101" s="286"/>
      <c r="BE101" s="286"/>
      <c r="BF101" s="1929"/>
      <c r="BG101" s="286"/>
      <c r="BH101" s="286"/>
      <c r="BI101" s="222"/>
    </row>
    <row r="102" spans="1:61" hidden="1" outlineLevel="1">
      <c r="A102" s="222"/>
      <c r="B102" s="285" t="s">
        <v>243</v>
      </c>
      <c r="C102" s="222"/>
      <c r="D102" s="222"/>
      <c r="E102" s="222"/>
      <c r="F102" s="222"/>
      <c r="G102" s="222"/>
      <c r="H102" s="222"/>
      <c r="I102" s="222"/>
      <c r="J102" s="222"/>
      <c r="K102" s="222"/>
      <c r="L102" s="222"/>
      <c r="M102" s="222"/>
      <c r="N102" s="222"/>
      <c r="O102" s="222"/>
      <c r="P102" s="222"/>
      <c r="Q102" s="222"/>
      <c r="R102" s="222"/>
      <c r="S102" s="222"/>
      <c r="T102" s="222"/>
      <c r="U102" s="222"/>
      <c r="V102" s="236"/>
      <c r="W102" s="222"/>
      <c r="X102" s="222"/>
      <c r="Y102" s="222"/>
      <c r="Z102" s="222"/>
      <c r="AA102" s="222"/>
      <c r="AB102" s="222"/>
      <c r="AC102" s="222"/>
      <c r="AD102" s="222"/>
      <c r="AE102" s="222"/>
      <c r="AF102" s="222"/>
      <c r="AG102" s="222"/>
      <c r="AH102" s="222"/>
      <c r="AI102" s="222"/>
      <c r="AJ102" s="222"/>
      <c r="AK102" s="222"/>
      <c r="AL102" s="222"/>
      <c r="AM102" s="222"/>
      <c r="AN102" s="222"/>
      <c r="AO102" s="222"/>
      <c r="AP102" s="222"/>
      <c r="AQ102" s="222"/>
      <c r="AR102" s="222"/>
      <c r="AS102" s="222"/>
      <c r="AT102" s="222"/>
      <c r="AU102" s="222"/>
      <c r="AV102" s="222"/>
      <c r="AW102" s="222"/>
      <c r="AX102" s="222"/>
      <c r="AY102" s="222"/>
      <c r="AZ102" s="222"/>
      <c r="BA102" s="222"/>
      <c r="BB102" s="222"/>
      <c r="BC102" s="222"/>
      <c r="BD102" s="222"/>
      <c r="BE102" s="222"/>
      <c r="BF102" s="236"/>
      <c r="BG102" s="222"/>
      <c r="BH102" s="222"/>
      <c r="BI102" s="222"/>
    </row>
    <row r="103" spans="1:61" hidden="1" outlineLevel="2">
      <c r="A103" s="222"/>
      <c r="B103" s="278"/>
      <c r="C103" s="278" t="s">
        <v>244</v>
      </c>
      <c r="D103" s="286"/>
      <c r="E103" s="222"/>
      <c r="F103" s="286"/>
      <c r="G103" s="222"/>
      <c r="H103" s="286"/>
      <c r="I103" s="222"/>
      <c r="J103" s="286"/>
      <c r="K103" s="222"/>
      <c r="L103" s="286"/>
      <c r="M103" s="222"/>
      <c r="N103" s="286"/>
      <c r="O103" s="222"/>
      <c r="P103" s="286"/>
      <c r="Q103" s="222"/>
      <c r="R103" s="286"/>
      <c r="S103" s="222"/>
      <c r="T103" s="286"/>
      <c r="U103" s="222"/>
      <c r="V103" s="286"/>
      <c r="W103" s="222"/>
      <c r="X103" s="286"/>
      <c r="Y103" s="222"/>
      <c r="Z103" s="286"/>
      <c r="AA103" s="222"/>
      <c r="AB103" s="286"/>
      <c r="AC103" s="222"/>
      <c r="AD103" s="286"/>
      <c r="AE103" s="222"/>
      <c r="AF103" s="286"/>
      <c r="AG103" s="222"/>
      <c r="AH103" s="286"/>
      <c r="AI103" s="222"/>
      <c r="AJ103" s="286"/>
      <c r="AK103" s="222"/>
      <c r="AL103" s="286"/>
      <c r="AM103" s="222"/>
      <c r="AN103" s="286"/>
      <c r="AO103" s="222"/>
      <c r="AP103" s="286"/>
      <c r="AQ103" s="222"/>
      <c r="AR103" s="286"/>
      <c r="AS103" s="286"/>
      <c r="AT103" s="286"/>
      <c r="AU103" s="286"/>
      <c r="AV103" s="286"/>
      <c r="AW103" s="286"/>
      <c r="AX103" s="286"/>
      <c r="AY103" s="286"/>
      <c r="AZ103" s="286"/>
      <c r="BA103" s="286"/>
      <c r="BB103" s="286"/>
      <c r="BC103" s="286"/>
      <c r="BD103" s="286"/>
      <c r="BE103" s="286"/>
      <c r="BF103" s="1929"/>
      <c r="BG103" s="286"/>
      <c r="BH103" s="286"/>
      <c r="BI103" s="222"/>
    </row>
    <row r="104" spans="1:61" hidden="1" outlineLevel="2">
      <c r="A104" s="222"/>
      <c r="B104" s="278"/>
      <c r="C104" s="278" t="s">
        <v>245</v>
      </c>
      <c r="D104" s="286"/>
      <c r="E104" s="222"/>
      <c r="F104" s="286"/>
      <c r="G104" s="222"/>
      <c r="H104" s="286"/>
      <c r="I104" s="222"/>
      <c r="J104" s="286"/>
      <c r="K104" s="222"/>
      <c r="L104" s="286"/>
      <c r="M104" s="222"/>
      <c r="N104" s="286"/>
      <c r="O104" s="222"/>
      <c r="P104" s="286"/>
      <c r="Q104" s="222"/>
      <c r="R104" s="286"/>
      <c r="S104" s="222"/>
      <c r="T104" s="286"/>
      <c r="U104" s="222"/>
      <c r="V104" s="286"/>
      <c r="W104" s="222"/>
      <c r="X104" s="286"/>
      <c r="Y104" s="222"/>
      <c r="Z104" s="286"/>
      <c r="AA104" s="222"/>
      <c r="AB104" s="286"/>
      <c r="AC104" s="222"/>
      <c r="AD104" s="286"/>
      <c r="AE104" s="222"/>
      <c r="AF104" s="286"/>
      <c r="AG104" s="222"/>
      <c r="AH104" s="286"/>
      <c r="AI104" s="222"/>
      <c r="AJ104" s="286"/>
      <c r="AK104" s="222"/>
      <c r="AL104" s="286"/>
      <c r="AM104" s="222"/>
      <c r="AN104" s="286"/>
      <c r="AO104" s="222"/>
      <c r="AP104" s="286"/>
      <c r="AQ104" s="222"/>
      <c r="AR104" s="286"/>
      <c r="AS104" s="286"/>
      <c r="AT104" s="286"/>
      <c r="AU104" s="286"/>
      <c r="AV104" s="286"/>
      <c r="AW104" s="286"/>
      <c r="AX104" s="286"/>
      <c r="AY104" s="286"/>
      <c r="AZ104" s="286"/>
      <c r="BA104" s="286"/>
      <c r="BB104" s="286"/>
      <c r="BC104" s="286"/>
      <c r="BD104" s="286"/>
      <c r="BE104" s="286"/>
      <c r="BF104" s="1929"/>
      <c r="BG104" s="286"/>
      <c r="BH104" s="286"/>
      <c r="BI104" s="222"/>
    </row>
    <row r="105" spans="1:61" hidden="1" outlineLevel="2">
      <c r="A105" s="222"/>
      <c r="B105" s="285"/>
      <c r="C105" s="285" t="s">
        <v>246</v>
      </c>
      <c r="D105" s="286"/>
      <c r="E105" s="222"/>
      <c r="F105" s="286"/>
      <c r="G105" s="222"/>
      <c r="H105" s="286"/>
      <c r="I105" s="222"/>
      <c r="J105" s="286"/>
      <c r="K105" s="222"/>
      <c r="L105" s="286"/>
      <c r="M105" s="222"/>
      <c r="N105" s="286"/>
      <c r="O105" s="222"/>
      <c r="P105" s="286"/>
      <c r="Q105" s="222"/>
      <c r="R105" s="286"/>
      <c r="S105" s="222"/>
      <c r="T105" s="286"/>
      <c r="U105" s="222"/>
      <c r="V105" s="286"/>
      <c r="W105" s="222"/>
      <c r="X105" s="286"/>
      <c r="Y105" s="222"/>
      <c r="Z105" s="286"/>
      <c r="AA105" s="222"/>
      <c r="AB105" s="286"/>
      <c r="AC105" s="222"/>
      <c r="AD105" s="286"/>
      <c r="AE105" s="222"/>
      <c r="AF105" s="286"/>
      <c r="AG105" s="222"/>
      <c r="AH105" s="286"/>
      <c r="AI105" s="222"/>
      <c r="AJ105" s="286"/>
      <c r="AK105" s="222"/>
      <c r="AL105" s="286"/>
      <c r="AM105" s="222"/>
      <c r="AN105" s="286"/>
      <c r="AO105" s="222"/>
      <c r="AP105" s="286"/>
      <c r="AQ105" s="222"/>
      <c r="AR105" s="286"/>
      <c r="AS105" s="286"/>
      <c r="AT105" s="286"/>
      <c r="AU105" s="286"/>
      <c r="AV105" s="286"/>
      <c r="AW105" s="286"/>
      <c r="AX105" s="286"/>
      <c r="AY105" s="286"/>
      <c r="AZ105" s="286"/>
      <c r="BA105" s="286"/>
      <c r="BB105" s="286"/>
      <c r="BC105" s="286"/>
      <c r="BD105" s="286"/>
      <c r="BE105" s="286"/>
      <c r="BF105" s="1929"/>
      <c r="BG105" s="286"/>
      <c r="BH105" s="286"/>
      <c r="BI105" s="222"/>
    </row>
    <row r="106" spans="1:61" hidden="1" outlineLevel="1" collapsed="1">
      <c r="A106" s="222"/>
      <c r="B106" s="285"/>
      <c r="C106" s="285" t="s">
        <v>247</v>
      </c>
      <c r="D106" s="287" t="e">
        <f>+#REF!*(1+yrSales!#REF!)</f>
        <v>#REF!</v>
      </c>
      <c r="E106" s="222"/>
      <c r="F106" s="287" t="e">
        <f>+D106*(1+yrSales!#REF!)</f>
        <v>#REF!</v>
      </c>
      <c r="G106" s="222"/>
      <c r="H106" s="287" t="e">
        <f>+#REF!*(1+yrSales!#REF!)</f>
        <v>#REF!</v>
      </c>
      <c r="I106" s="222"/>
      <c r="J106" s="287" t="e">
        <f>+H106*(1+yrSales!#REF!)</f>
        <v>#REF!</v>
      </c>
      <c r="K106" s="222"/>
      <c r="L106" s="287" t="e">
        <f>+J106*(1+yrSales!#REF!)</f>
        <v>#REF!</v>
      </c>
      <c r="M106" s="222"/>
      <c r="N106" s="287" t="e">
        <f>+#REF!*(1+yrSales!G89)</f>
        <v>#REF!</v>
      </c>
      <c r="O106" s="222"/>
      <c r="P106" s="287" t="e">
        <f>+N106*(1+yrSales!H89)</f>
        <v>#REF!</v>
      </c>
      <c r="Q106" s="222"/>
      <c r="R106" s="287" t="e">
        <f>+P106*(1+yrSales!J89)</f>
        <v>#REF!</v>
      </c>
      <c r="S106" s="222"/>
      <c r="T106" s="287" t="e">
        <f>+R106*(1+yrSales!L89)</f>
        <v>#REF!</v>
      </c>
      <c r="U106" s="222"/>
      <c r="V106" s="287" t="e">
        <f>+T106*(1+yrSales!N89)</f>
        <v>#REF!</v>
      </c>
      <c r="W106" s="222"/>
      <c r="X106" s="287" t="e">
        <f>+V106*(1+yrSales!AF89)</f>
        <v>#REF!</v>
      </c>
      <c r="Y106" s="222"/>
      <c r="Z106" s="287" t="e">
        <f>+X106*(1+yrSales!#REF!)</f>
        <v>#REF!</v>
      </c>
      <c r="AA106" s="222"/>
      <c r="AB106" s="287" t="e">
        <f>+Z106*(1+yrSales!AH89)</f>
        <v>#REF!</v>
      </c>
      <c r="AC106" s="222"/>
      <c r="AD106" s="287" t="e">
        <f>+AB106*(1+yrSales!AJ90)</f>
        <v>#REF!</v>
      </c>
      <c r="AE106" s="222"/>
      <c r="AF106" s="287" t="e">
        <f>+AD106*(1+yrSales!AL90)</f>
        <v>#REF!</v>
      </c>
      <c r="AG106" s="222"/>
      <c r="AH106" s="287" t="e">
        <f>+AF106*(1+yrSales!AN90)</f>
        <v>#REF!</v>
      </c>
      <c r="AI106" s="222"/>
      <c r="AJ106" s="287" t="e">
        <f>+AH106*(1+yrSales!AP90)</f>
        <v>#REF!</v>
      </c>
      <c r="AK106" s="222"/>
      <c r="AL106" s="287" t="e">
        <f>+AJ106*(1+yrSales!AR90)</f>
        <v>#REF!</v>
      </c>
      <c r="AM106" s="222"/>
      <c r="AN106" s="287" t="e">
        <f>+AL106*(1+yrSales!AT90)</f>
        <v>#REF!</v>
      </c>
      <c r="AO106" s="222"/>
      <c r="AP106" s="287" t="e">
        <f>+AN106*(1+yrSales!AV90)</f>
        <v>#REF!</v>
      </c>
      <c r="AQ106" s="222"/>
      <c r="AR106" s="287" t="e">
        <f>+AP106*(1+yrSales!AX90)</f>
        <v>#REF!</v>
      </c>
      <c r="AS106" s="620"/>
      <c r="AT106" s="620"/>
      <c r="AU106" s="620"/>
      <c r="AV106" s="620"/>
      <c r="AW106" s="620"/>
      <c r="AX106" s="620"/>
      <c r="AY106" s="620"/>
      <c r="AZ106" s="620"/>
      <c r="BA106" s="620"/>
      <c r="BB106" s="620"/>
      <c r="BC106" s="620"/>
      <c r="BD106" s="620"/>
      <c r="BE106" s="620"/>
      <c r="BF106" s="1930"/>
      <c r="BG106" s="620"/>
      <c r="BH106" s="620"/>
      <c r="BI106" s="222"/>
    </row>
    <row r="107" spans="1:61" hidden="1" outlineLevel="1">
      <c r="A107" s="222"/>
      <c r="B107" s="282" t="s">
        <v>248</v>
      </c>
      <c r="C107" s="222"/>
      <c r="D107" s="283" t="e">
        <f>+SUM(D100:D106)</f>
        <v>#REF!</v>
      </c>
      <c r="E107" s="224"/>
      <c r="F107" s="283" t="e">
        <f>+SUM(F100:F106)</f>
        <v>#REF!</v>
      </c>
      <c r="G107" s="224"/>
      <c r="H107" s="283" t="e">
        <f>+SUM(H100:H106)</f>
        <v>#REF!</v>
      </c>
      <c r="I107" s="224"/>
      <c r="J107" s="283" t="e">
        <f>+SUM(J100:J106)</f>
        <v>#REF!</v>
      </c>
      <c r="K107" s="224"/>
      <c r="L107" s="283" t="e">
        <f>+SUM(L100:L106)</f>
        <v>#REF!</v>
      </c>
      <c r="M107" s="222"/>
      <c r="N107" s="283" t="e">
        <f>+SUM(N100:N106)</f>
        <v>#REF!</v>
      </c>
      <c r="O107" s="224"/>
      <c r="P107" s="283" t="e">
        <f>+SUM(P100:P106)</f>
        <v>#REF!</v>
      </c>
      <c r="Q107" s="224"/>
      <c r="R107" s="283" t="e">
        <f>+SUM(R100:R106)</f>
        <v>#REF!</v>
      </c>
      <c r="S107" s="224"/>
      <c r="T107" s="283" t="e">
        <f>+SUM(T100:T106)</f>
        <v>#REF!</v>
      </c>
      <c r="U107" s="224"/>
      <c r="V107" s="283" t="e">
        <f>+SUM(V100:V106)</f>
        <v>#REF!</v>
      </c>
      <c r="W107" s="224"/>
      <c r="X107" s="283" t="e">
        <f>+SUM(X100:X106)</f>
        <v>#REF!</v>
      </c>
      <c r="Y107" s="224"/>
      <c r="Z107" s="283" t="e">
        <f>+SUM(Z100:Z106)</f>
        <v>#REF!</v>
      </c>
      <c r="AA107" s="224"/>
      <c r="AB107" s="283" t="e">
        <f>+SUM(AB100:AB106)</f>
        <v>#REF!</v>
      </c>
      <c r="AC107" s="224"/>
      <c r="AD107" s="283" t="e">
        <f>+SUM(AD100:AD106)</f>
        <v>#REF!</v>
      </c>
      <c r="AE107" s="222"/>
      <c r="AF107" s="283" t="e">
        <f>+SUM(AF100:AF106)</f>
        <v>#REF!</v>
      </c>
      <c r="AG107" s="222"/>
      <c r="AH107" s="283" t="e">
        <f>+SUM(AH100:AH106)</f>
        <v>#REF!</v>
      </c>
      <c r="AI107" s="222"/>
      <c r="AJ107" s="283" t="e">
        <f>+SUM(AJ100:AJ106)</f>
        <v>#REF!</v>
      </c>
      <c r="AK107" s="222"/>
      <c r="AL107" s="283" t="e">
        <f>+SUM(AL100:AL106)</f>
        <v>#REF!</v>
      </c>
      <c r="AM107" s="222"/>
      <c r="AN107" s="283" t="e">
        <f>+SUM(AN100:AN106)</f>
        <v>#REF!</v>
      </c>
      <c r="AO107" s="222"/>
      <c r="AP107" s="283" t="e">
        <f>+SUM(AP100:AP106)</f>
        <v>#REF!</v>
      </c>
      <c r="AQ107" s="222"/>
      <c r="AR107" s="283" t="e">
        <f>+SUM(AR100:AR106)</f>
        <v>#REF!</v>
      </c>
      <c r="AS107" s="283"/>
      <c r="AT107" s="283"/>
      <c r="AU107" s="283"/>
      <c r="AV107" s="283"/>
      <c r="AW107" s="283"/>
      <c r="AX107" s="283"/>
      <c r="AY107" s="283"/>
      <c r="AZ107" s="283"/>
      <c r="BA107" s="283"/>
      <c r="BB107" s="283"/>
      <c r="BC107" s="283"/>
      <c r="BD107" s="283"/>
      <c r="BE107" s="283"/>
      <c r="BF107" s="1927"/>
      <c r="BG107" s="283"/>
      <c r="BH107" s="283"/>
      <c r="BI107" s="222"/>
    </row>
    <row r="108" spans="1:61" hidden="1" outlineLevel="1">
      <c r="A108" s="222"/>
      <c r="B108" s="285" t="s">
        <v>249</v>
      </c>
      <c r="C108" s="222"/>
      <c r="D108" s="288">
        <f>+SUM(D21:D23)</f>
        <v>0</v>
      </c>
      <c r="E108" s="222"/>
      <c r="F108" s="288">
        <f>+SUM(F21:F23)</f>
        <v>0</v>
      </c>
      <c r="G108" s="222"/>
      <c r="H108" s="288">
        <f>+SUM(H21:H23)</f>
        <v>0</v>
      </c>
      <c r="I108" s="222"/>
      <c r="J108" s="288">
        <f>+SUM(J21:J23)</f>
        <v>-11.087999999999999</v>
      </c>
      <c r="K108" s="222"/>
      <c r="L108" s="288">
        <f>+SUM(L21:L23)</f>
        <v>65.418999999999997</v>
      </c>
      <c r="M108" s="222"/>
      <c r="N108" s="288">
        <f>+SUM(N21:N23)</f>
        <v>79.591999999999999</v>
      </c>
      <c r="O108" s="222"/>
      <c r="P108" s="288">
        <f>+SUM(P21:P23)</f>
        <v>10.770999999999999</v>
      </c>
      <c r="Q108" s="222"/>
      <c r="R108" s="288">
        <f>+SUM(R21:R23)</f>
        <v>24.356999999999999</v>
      </c>
      <c r="S108" s="222"/>
      <c r="T108" s="288">
        <f>+SUM(T21:T23)</f>
        <v>28.445999999999998</v>
      </c>
      <c r="U108" s="222"/>
      <c r="V108" s="288">
        <f>+SUM(V21:V23)</f>
        <v>30.913</v>
      </c>
      <c r="W108" s="222"/>
      <c r="X108" s="288">
        <f>+SUM(X21:X23)</f>
        <v>41.613999999999997</v>
      </c>
      <c r="Y108" s="222"/>
      <c r="Z108" s="288">
        <f>+SUM(Z21:Z23)</f>
        <v>41.619</v>
      </c>
      <c r="AA108" s="222"/>
      <c r="AB108" s="288">
        <f>+SUM(AB21:AB23)</f>
        <v>41.015000000000001</v>
      </c>
      <c r="AC108" s="222"/>
      <c r="AD108" s="288">
        <f>+SUM(AD21:AD23)</f>
        <v>85.444999999999993</v>
      </c>
      <c r="AE108" s="222"/>
      <c r="AF108" s="288">
        <f>+SUM(AF21:AF23)</f>
        <v>126.46599999999999</v>
      </c>
      <c r="AG108" s="222"/>
      <c r="AH108" s="288">
        <f>+SUM(AH21:AH23)</f>
        <v>147.67400000000001</v>
      </c>
      <c r="AI108" s="222"/>
      <c r="AJ108" s="288">
        <f>+SUM(AJ21:AJ23)</f>
        <v>165.71900000000002</v>
      </c>
      <c r="AK108" s="222"/>
      <c r="AL108" s="288">
        <f>+SUM(AL21:AL23)</f>
        <v>184.08600000000001</v>
      </c>
      <c r="AM108" s="222"/>
      <c r="AN108" s="288">
        <f>+SUM(AN21:AN23)</f>
        <v>138.95500000000001</v>
      </c>
      <c r="AO108" s="222"/>
      <c r="AP108" s="288">
        <f>+SUM(AP21:AP23)</f>
        <v>136.53300000000002</v>
      </c>
      <c r="AQ108" s="222"/>
      <c r="AR108" s="288">
        <f>+SUM(AR21:AR23)</f>
        <v>471.79999999999995</v>
      </c>
      <c r="AS108" s="288"/>
      <c r="AT108" s="288"/>
      <c r="AU108" s="288"/>
      <c r="AV108" s="288"/>
      <c r="AW108" s="288"/>
      <c r="AX108" s="288"/>
      <c r="AY108" s="288"/>
      <c r="AZ108" s="288"/>
      <c r="BA108" s="288"/>
      <c r="BB108" s="288"/>
      <c r="BC108" s="288"/>
      <c r="BD108" s="288"/>
      <c r="BE108" s="288"/>
      <c r="BF108" s="1866"/>
      <c r="BG108" s="288"/>
      <c r="BH108" s="288"/>
      <c r="BI108" s="222"/>
    </row>
    <row r="109" spans="1:61" hidden="1" outlineLevel="1">
      <c r="A109" s="222"/>
      <c r="B109" s="282" t="s">
        <v>250</v>
      </c>
      <c r="C109" s="222"/>
      <c r="D109" s="289" t="e">
        <f>+D99+D107+D108</f>
        <v>#REF!</v>
      </c>
      <c r="E109" s="224"/>
      <c r="F109" s="289" t="e">
        <f>+F99+F107+F108</f>
        <v>#REF!</v>
      </c>
      <c r="G109" s="224"/>
      <c r="H109" s="289" t="e">
        <f>+H99+H107+H108</f>
        <v>#REF!</v>
      </c>
      <c r="I109" s="224"/>
      <c r="J109" s="289" t="e">
        <f>+J99+J107+J108</f>
        <v>#REF!</v>
      </c>
      <c r="K109" s="224"/>
      <c r="L109" s="289" t="e">
        <f>+L99+L107+L108</f>
        <v>#REF!</v>
      </c>
      <c r="M109" s="222"/>
      <c r="N109" s="289" t="e">
        <f>+N99+N107+N108</f>
        <v>#REF!</v>
      </c>
      <c r="O109" s="224"/>
      <c r="P109" s="289" t="e">
        <f>+P99+P107+P108</f>
        <v>#REF!</v>
      </c>
      <c r="Q109" s="224"/>
      <c r="R109" s="289" t="e">
        <f>+R99+R107+R108</f>
        <v>#REF!</v>
      </c>
      <c r="S109" s="224"/>
      <c r="T109" s="289" t="e">
        <f>+T99+T107+T108</f>
        <v>#REF!</v>
      </c>
      <c r="U109" s="224"/>
      <c r="V109" s="289" t="e">
        <f>+V99+V107+V108</f>
        <v>#REF!</v>
      </c>
      <c r="W109" s="224"/>
      <c r="X109" s="289" t="e">
        <f>+X99+X107+X108</f>
        <v>#REF!</v>
      </c>
      <c r="Y109" s="224"/>
      <c r="Z109" s="289" t="e">
        <f>+Z99+Z107+Z108</f>
        <v>#REF!</v>
      </c>
      <c r="AA109" s="224"/>
      <c r="AB109" s="289" t="e">
        <f>+AB99+AB107+AB108</f>
        <v>#REF!</v>
      </c>
      <c r="AC109" s="224"/>
      <c r="AD109" s="289" t="e">
        <f>+AD99+AD107+AD108</f>
        <v>#REF!</v>
      </c>
      <c r="AE109" s="222"/>
      <c r="AF109" s="289" t="e">
        <f>+AF99+AF107+AF108</f>
        <v>#REF!</v>
      </c>
      <c r="AG109" s="222"/>
      <c r="AH109" s="289" t="e">
        <f>+AH99+AH107+AH108</f>
        <v>#REF!</v>
      </c>
      <c r="AI109" s="222"/>
      <c r="AJ109" s="289" t="e">
        <f>+AJ99+AJ107+AJ108</f>
        <v>#REF!</v>
      </c>
      <c r="AK109" s="222"/>
      <c r="AL109" s="289" t="e">
        <f>+AL99+AL107+AL108</f>
        <v>#REF!</v>
      </c>
      <c r="AM109" s="222"/>
      <c r="AN109" s="289" t="e">
        <f>+AN99+AN107+AN108</f>
        <v>#REF!</v>
      </c>
      <c r="AO109" s="222"/>
      <c r="AP109" s="289" t="e">
        <f>+AP99+AP107+AP108</f>
        <v>#REF!</v>
      </c>
      <c r="AQ109" s="222"/>
      <c r="AR109" s="289" t="e">
        <f>+AR99+AR107+AR108</f>
        <v>#REF!</v>
      </c>
      <c r="AS109" s="621"/>
      <c r="AT109" s="621"/>
      <c r="AU109" s="621"/>
      <c r="AV109" s="621"/>
      <c r="AW109" s="621"/>
      <c r="AX109" s="621"/>
      <c r="AY109" s="621"/>
      <c r="AZ109" s="621"/>
      <c r="BA109" s="621"/>
      <c r="BB109" s="621"/>
      <c r="BC109" s="621"/>
      <c r="BD109" s="621"/>
      <c r="BE109" s="621"/>
      <c r="BF109" s="1931"/>
      <c r="BG109" s="621"/>
      <c r="BH109" s="621"/>
      <c r="BI109" s="222"/>
    </row>
    <row r="110" spans="1:61" ht="13.5" hidden="1" outlineLevel="1" thickBot="1">
      <c r="A110" s="222"/>
      <c r="B110" s="282" t="s">
        <v>251</v>
      </c>
      <c r="C110" s="222"/>
      <c r="D110" s="290" t="e">
        <f>+(#REF!+D109)/2</f>
        <v>#REF!</v>
      </c>
      <c r="E110" s="224"/>
      <c r="F110" s="290" t="e">
        <f>+(D109+F109)/2</f>
        <v>#REF!</v>
      </c>
      <c r="G110" s="224"/>
      <c r="H110" s="290" t="e">
        <f>+(#REF!+H109)/2</f>
        <v>#REF!</v>
      </c>
      <c r="I110" s="224"/>
      <c r="J110" s="290" t="e">
        <f>+(H109+J109)/2</f>
        <v>#REF!</v>
      </c>
      <c r="K110" s="224"/>
      <c r="L110" s="290" t="e">
        <f>+(J109+L109)/2</f>
        <v>#REF!</v>
      </c>
      <c r="M110" s="222"/>
      <c r="N110" s="290" t="e">
        <f>+(#REF!+N109)/2</f>
        <v>#REF!</v>
      </c>
      <c r="O110" s="224"/>
      <c r="P110" s="290" t="e">
        <f>+(N109+P109)/2</f>
        <v>#REF!</v>
      </c>
      <c r="Q110" s="224"/>
      <c r="R110" s="290" t="e">
        <f>+(P109+R109)/2</f>
        <v>#REF!</v>
      </c>
      <c r="S110" s="224"/>
      <c r="T110" s="290" t="e">
        <f>+(R109+T109)/2</f>
        <v>#REF!</v>
      </c>
      <c r="U110" s="224"/>
      <c r="V110" s="290" t="e">
        <f>+(T109+V109)/2</f>
        <v>#REF!</v>
      </c>
      <c r="W110" s="224"/>
      <c r="X110" s="290" t="e">
        <f>+(V109+X109)/2</f>
        <v>#REF!</v>
      </c>
      <c r="Y110" s="224"/>
      <c r="Z110" s="290" t="e">
        <f>+(X109+Z109)/2</f>
        <v>#REF!</v>
      </c>
      <c r="AA110" s="224"/>
      <c r="AB110" s="290" t="e">
        <f>+(Z109+AB109)/2</f>
        <v>#REF!</v>
      </c>
      <c r="AC110" s="224"/>
      <c r="AD110" s="290" t="e">
        <f>+(AB109+AD109)/2</f>
        <v>#REF!</v>
      </c>
      <c r="AE110" s="222"/>
      <c r="AF110" s="290" t="e">
        <f>+(AD109+AF109)/2</f>
        <v>#REF!</v>
      </c>
      <c r="AG110" s="222"/>
      <c r="AH110" s="290" t="e">
        <f>+(AF109+AH109)/2</f>
        <v>#REF!</v>
      </c>
      <c r="AI110" s="222"/>
      <c r="AJ110" s="290" t="e">
        <f>+(AH109+AJ109)/2</f>
        <v>#REF!</v>
      </c>
      <c r="AK110" s="222"/>
      <c r="AL110" s="290" t="e">
        <f>+(AJ109+AL109)/2</f>
        <v>#REF!</v>
      </c>
      <c r="AM110" s="222"/>
      <c r="AN110" s="290" t="e">
        <f>+(AL109+AN109)/2</f>
        <v>#REF!</v>
      </c>
      <c r="AO110" s="222"/>
      <c r="AP110" s="290" t="e">
        <f>+(AN109+AP109)/2</f>
        <v>#REF!</v>
      </c>
      <c r="AQ110" s="222"/>
      <c r="AR110" s="290" t="e">
        <f>+(AP109+AR109)/2</f>
        <v>#REF!</v>
      </c>
      <c r="AS110" s="621"/>
      <c r="AT110" s="621"/>
      <c r="AU110" s="621"/>
      <c r="AV110" s="621"/>
      <c r="AW110" s="621"/>
      <c r="AX110" s="621"/>
      <c r="AY110" s="621"/>
      <c r="AZ110" s="621"/>
      <c r="BA110" s="621"/>
      <c r="BB110" s="621"/>
      <c r="BC110" s="621"/>
      <c r="BD110" s="621"/>
      <c r="BE110" s="621"/>
      <c r="BF110" s="1931"/>
      <c r="BG110" s="621"/>
      <c r="BH110" s="621"/>
      <c r="BI110" s="222"/>
    </row>
    <row r="111" spans="1:61" ht="13.5" hidden="1" outlineLevel="1" thickTop="1">
      <c r="A111" s="222"/>
      <c r="B111" s="285"/>
      <c r="C111" s="222"/>
      <c r="D111" s="222"/>
      <c r="E111" s="222"/>
      <c r="F111" s="222"/>
      <c r="G111" s="222"/>
      <c r="H111" s="222"/>
      <c r="I111" s="222"/>
      <c r="J111" s="222"/>
      <c r="K111" s="222"/>
      <c r="L111" s="222"/>
      <c r="M111" s="222"/>
      <c r="N111" s="222"/>
      <c r="O111" s="222"/>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c r="AQ111" s="222"/>
      <c r="AR111" s="222"/>
      <c r="AS111" s="222"/>
      <c r="AT111" s="222"/>
      <c r="AU111" s="222"/>
      <c r="AV111" s="222"/>
      <c r="AW111" s="222"/>
      <c r="AX111" s="222"/>
      <c r="AY111" s="222"/>
      <c r="AZ111" s="222"/>
      <c r="BA111" s="222"/>
      <c r="BB111" s="222"/>
      <c r="BC111" s="222"/>
      <c r="BD111" s="222"/>
      <c r="BE111" s="222"/>
      <c r="BF111" s="236"/>
      <c r="BG111" s="222"/>
      <c r="BH111" s="222"/>
      <c r="BI111" s="222"/>
    </row>
    <row r="112" spans="1:61" hidden="1" outlineLevel="1">
      <c r="A112" s="222"/>
      <c r="B112" s="285" t="s">
        <v>252</v>
      </c>
      <c r="C112" s="222"/>
      <c r="D112" s="284" t="e">
        <f>+D99-#REF!</f>
        <v>#REF!</v>
      </c>
      <c r="E112" s="222"/>
      <c r="F112" s="284" t="e">
        <f>+F99-D99</f>
        <v>#REF!</v>
      </c>
      <c r="G112" s="222"/>
      <c r="H112" s="284" t="e">
        <f>+H99-#REF!</f>
        <v>#REF!</v>
      </c>
      <c r="I112" s="222"/>
      <c r="J112" s="284">
        <f>+J99-H99</f>
        <v>101.42099999999999</v>
      </c>
      <c r="K112" s="222"/>
      <c r="L112" s="284">
        <f>+L99-J99</f>
        <v>-45.864999999999952</v>
      </c>
      <c r="M112" s="222"/>
      <c r="N112" s="284" t="e">
        <f>+N99-#REF!</f>
        <v>#REF!</v>
      </c>
      <c r="O112" s="222"/>
      <c r="P112" s="284">
        <f>+P99-N99</f>
        <v>-6.9649999999999608</v>
      </c>
      <c r="Q112" s="222"/>
      <c r="R112" s="284">
        <f>+R99-P99</f>
        <v>81.070999999999927</v>
      </c>
      <c r="S112" s="222"/>
      <c r="T112" s="284">
        <f>+T99-R99</f>
        <v>158.92200000000008</v>
      </c>
      <c r="U112" s="222"/>
      <c r="V112" s="284">
        <f>+V99-T99</f>
        <v>248.34199999999976</v>
      </c>
      <c r="W112" s="222"/>
      <c r="X112" s="284">
        <f>+X99-V99</f>
        <v>-91.64999999999975</v>
      </c>
      <c r="Y112" s="222"/>
      <c r="Z112" s="284">
        <f>+Z99-X99</f>
        <v>188.97899999999981</v>
      </c>
      <c r="AA112" s="222"/>
      <c r="AB112" s="284">
        <f>+AB99-Z99</f>
        <v>699.60699999999963</v>
      </c>
      <c r="AC112" s="222"/>
      <c r="AD112" s="284">
        <f>+AD99-AB99</f>
        <v>-423.87299999999982</v>
      </c>
      <c r="AE112" s="222"/>
      <c r="AF112" s="284">
        <f>+AF99-AD99</f>
        <v>28.70299999999952</v>
      </c>
      <c r="AG112" s="222"/>
      <c r="AH112" s="284">
        <f>+AH99-AF99</f>
        <v>-162.91800000000023</v>
      </c>
      <c r="AI112" s="222"/>
      <c r="AJ112" s="284">
        <f>+AJ99-AH99</f>
        <v>85.819000000000074</v>
      </c>
      <c r="AK112" s="222"/>
      <c r="AL112" s="284">
        <f>+AL99-AJ99</f>
        <v>248.57699999999977</v>
      </c>
      <c r="AM112" s="222"/>
      <c r="AN112" s="284">
        <f>+AN99-AL99</f>
        <v>240.18199999999979</v>
      </c>
      <c r="AO112" s="222"/>
      <c r="AP112" s="284">
        <f>+AP99-AN99</f>
        <v>-306.82099999999969</v>
      </c>
      <c r="AQ112" s="222"/>
      <c r="AR112" s="284">
        <f>+AR99-AP99</f>
        <v>629.72399999999993</v>
      </c>
      <c r="AS112" s="284"/>
      <c r="AT112" s="284"/>
      <c r="AU112" s="284"/>
      <c r="AV112" s="284"/>
      <c r="AW112" s="284"/>
      <c r="AX112" s="284"/>
      <c r="AY112" s="284"/>
      <c r="AZ112" s="284"/>
      <c r="BA112" s="284"/>
      <c r="BB112" s="284"/>
      <c r="BC112" s="284"/>
      <c r="BD112" s="284"/>
      <c r="BE112" s="284"/>
      <c r="BF112" s="1928"/>
      <c r="BG112" s="284"/>
      <c r="BH112" s="284"/>
      <c r="BI112" s="222"/>
    </row>
    <row r="113" spans="1:61" hidden="1" outlineLevel="1">
      <c r="A113" s="222"/>
      <c r="B113" s="285" t="s">
        <v>253</v>
      </c>
      <c r="C113" s="222"/>
      <c r="D113" s="284" t="e">
        <f>+D107-#REF!</f>
        <v>#REF!</v>
      </c>
      <c r="E113" s="222"/>
      <c r="F113" s="284" t="e">
        <f>+F107-D107</f>
        <v>#REF!</v>
      </c>
      <c r="G113" s="222"/>
      <c r="H113" s="284" t="e">
        <f>+H107-#REF!</f>
        <v>#REF!</v>
      </c>
      <c r="I113" s="222"/>
      <c r="J113" s="284" t="e">
        <f>+J107-H107</f>
        <v>#REF!</v>
      </c>
      <c r="K113" s="222"/>
      <c r="L113" s="284" t="e">
        <f>+L107-J107</f>
        <v>#REF!</v>
      </c>
      <c r="M113" s="222"/>
      <c r="N113" s="284" t="e">
        <f>+N107-#REF!</f>
        <v>#REF!</v>
      </c>
      <c r="O113" s="222"/>
      <c r="P113" s="284" t="e">
        <f>+P107-N107</f>
        <v>#REF!</v>
      </c>
      <c r="Q113" s="222"/>
      <c r="R113" s="284" t="e">
        <f>+R107-P107</f>
        <v>#REF!</v>
      </c>
      <c r="S113" s="222"/>
      <c r="T113" s="284" t="e">
        <f>+T107-R107</f>
        <v>#REF!</v>
      </c>
      <c r="U113" s="222"/>
      <c r="V113" s="284" t="e">
        <f>+V107-T107</f>
        <v>#REF!</v>
      </c>
      <c r="W113" s="222"/>
      <c r="X113" s="284" t="e">
        <f>+X107-V107</f>
        <v>#REF!</v>
      </c>
      <c r="Y113" s="222"/>
      <c r="Z113" s="284" t="e">
        <f>+Z107-X107</f>
        <v>#REF!</v>
      </c>
      <c r="AA113" s="222"/>
      <c r="AB113" s="284" t="e">
        <f>+AB107-Z107</f>
        <v>#REF!</v>
      </c>
      <c r="AC113" s="222"/>
      <c r="AD113" s="284" t="e">
        <f>+AD107-AB107</f>
        <v>#REF!</v>
      </c>
      <c r="AE113" s="222"/>
      <c r="AF113" s="284" t="e">
        <f>+AF107-AD107</f>
        <v>#REF!</v>
      </c>
      <c r="AG113" s="222"/>
      <c r="AH113" s="284" t="e">
        <f>+AH107-AF107</f>
        <v>#REF!</v>
      </c>
      <c r="AI113" s="222"/>
      <c r="AJ113" s="284" t="e">
        <f>+AJ107-AH107</f>
        <v>#REF!</v>
      </c>
      <c r="AK113" s="222"/>
      <c r="AL113" s="284" t="e">
        <f>+AL107-AJ107</f>
        <v>#REF!</v>
      </c>
      <c r="AM113" s="222"/>
      <c r="AN113" s="284" t="e">
        <f>+AN107-AL107</f>
        <v>#REF!</v>
      </c>
      <c r="AO113" s="222"/>
      <c r="AP113" s="284" t="e">
        <f>+AP107-AN107</f>
        <v>#REF!</v>
      </c>
      <c r="AQ113" s="222"/>
      <c r="AR113" s="284" t="e">
        <f>+AR107-AP107</f>
        <v>#REF!</v>
      </c>
      <c r="AS113" s="284"/>
      <c r="AT113" s="284"/>
      <c r="AU113" s="284"/>
      <c r="AV113" s="284"/>
      <c r="AW113" s="284"/>
      <c r="AX113" s="284"/>
      <c r="AY113" s="284"/>
      <c r="AZ113" s="284"/>
      <c r="BA113" s="284"/>
      <c r="BB113" s="284"/>
      <c r="BC113" s="284"/>
      <c r="BD113" s="284"/>
      <c r="BE113" s="284"/>
      <c r="BF113" s="1928"/>
      <c r="BG113" s="284"/>
      <c r="BH113" s="284"/>
      <c r="BI113" s="222"/>
    </row>
    <row r="114" spans="1:61" hidden="1" outlineLevel="1">
      <c r="A114" s="222"/>
      <c r="B114" s="285" t="s">
        <v>254</v>
      </c>
      <c r="C114" s="222"/>
      <c r="D114" s="288" t="e">
        <f>+D108-#REF!</f>
        <v>#REF!</v>
      </c>
      <c r="E114" s="222"/>
      <c r="F114" s="288">
        <f>+F108-D108</f>
        <v>0</v>
      </c>
      <c r="G114" s="222"/>
      <c r="H114" s="288" t="e">
        <f>+H108-#REF!</f>
        <v>#REF!</v>
      </c>
      <c r="I114" s="222"/>
      <c r="J114" s="288">
        <f>+J108-H108</f>
        <v>-11.087999999999999</v>
      </c>
      <c r="K114" s="222"/>
      <c r="L114" s="288">
        <f>+L108-J108</f>
        <v>76.506999999999991</v>
      </c>
      <c r="M114" s="222"/>
      <c r="N114" s="288" t="e">
        <f>+N108-#REF!</f>
        <v>#REF!</v>
      </c>
      <c r="O114" s="222"/>
      <c r="P114" s="288">
        <f>+P108-N108</f>
        <v>-68.820999999999998</v>
      </c>
      <c r="Q114" s="222"/>
      <c r="R114" s="288">
        <f>+R108-P108</f>
        <v>13.586</v>
      </c>
      <c r="S114" s="222"/>
      <c r="T114" s="288">
        <f>+T108-R108</f>
        <v>4.0889999999999986</v>
      </c>
      <c r="U114" s="222"/>
      <c r="V114" s="288">
        <f>+V108-T108</f>
        <v>2.4670000000000023</v>
      </c>
      <c r="W114" s="222"/>
      <c r="X114" s="288">
        <f>+X108-V108</f>
        <v>10.700999999999997</v>
      </c>
      <c r="Y114" s="222"/>
      <c r="Z114" s="288">
        <f>+Z108-X108</f>
        <v>5.000000000002558E-3</v>
      </c>
      <c r="AA114" s="222"/>
      <c r="AB114" s="288">
        <f>+AB108-Z108</f>
        <v>-0.6039999999999992</v>
      </c>
      <c r="AC114" s="222"/>
      <c r="AD114" s="288">
        <f>+AD108-AB108</f>
        <v>44.429999999999993</v>
      </c>
      <c r="AE114" s="222"/>
      <c r="AF114" s="288">
        <f>+AF108-AD108</f>
        <v>41.021000000000001</v>
      </c>
      <c r="AG114" s="222"/>
      <c r="AH114" s="288">
        <f>+AH108-AF108</f>
        <v>21.208000000000013</v>
      </c>
      <c r="AI114" s="222"/>
      <c r="AJ114" s="288">
        <f>+AJ108-AH108</f>
        <v>18.045000000000016</v>
      </c>
      <c r="AK114" s="222"/>
      <c r="AL114" s="288">
        <f>+AL108-AJ108</f>
        <v>18.36699999999999</v>
      </c>
      <c r="AM114" s="222"/>
      <c r="AN114" s="288">
        <f>+AN108-AL108</f>
        <v>-45.131</v>
      </c>
      <c r="AO114" s="222"/>
      <c r="AP114" s="288">
        <f>+AP108-AN108</f>
        <v>-2.421999999999997</v>
      </c>
      <c r="AQ114" s="222"/>
      <c r="AR114" s="288">
        <f>+AR108-AP108</f>
        <v>335.26699999999994</v>
      </c>
      <c r="AS114" s="288"/>
      <c r="AT114" s="288"/>
      <c r="AU114" s="288"/>
      <c r="AV114" s="288"/>
      <c r="AW114" s="288"/>
      <c r="AX114" s="288"/>
      <c r="AY114" s="288"/>
      <c r="AZ114" s="288"/>
      <c r="BA114" s="288"/>
      <c r="BB114" s="288"/>
      <c r="BC114" s="288"/>
      <c r="BD114" s="288"/>
      <c r="BE114" s="288"/>
      <c r="BF114" s="1866"/>
      <c r="BG114" s="288"/>
      <c r="BH114" s="288"/>
      <c r="BI114" s="222"/>
    </row>
    <row r="115" spans="1:61" hidden="1" outlineLevel="1">
      <c r="A115" s="222"/>
      <c r="B115" s="291" t="s">
        <v>255</v>
      </c>
      <c r="C115" s="222"/>
      <c r="D115" s="292" t="e">
        <f>+D109-#REF!</f>
        <v>#REF!</v>
      </c>
      <c r="E115" s="224"/>
      <c r="F115" s="292" t="e">
        <f>+F109-D109</f>
        <v>#REF!</v>
      </c>
      <c r="G115" s="224"/>
      <c r="H115" s="292" t="e">
        <f>+H109-#REF!</f>
        <v>#REF!</v>
      </c>
      <c r="I115" s="224"/>
      <c r="J115" s="292" t="e">
        <f>+J109-H109</f>
        <v>#REF!</v>
      </c>
      <c r="K115" s="224"/>
      <c r="L115" s="292" t="e">
        <f>+L109-J109</f>
        <v>#REF!</v>
      </c>
      <c r="M115" s="222"/>
      <c r="N115" s="292" t="e">
        <f>+N109-#REF!</f>
        <v>#REF!</v>
      </c>
      <c r="O115" s="224"/>
      <c r="P115" s="292" t="e">
        <f>+P109-N109</f>
        <v>#REF!</v>
      </c>
      <c r="Q115" s="224"/>
      <c r="R115" s="292" t="e">
        <f>+R109-P109</f>
        <v>#REF!</v>
      </c>
      <c r="S115" s="224"/>
      <c r="T115" s="292" t="e">
        <f>+T109-R109</f>
        <v>#REF!</v>
      </c>
      <c r="U115" s="224"/>
      <c r="V115" s="292" t="e">
        <f>+V109-T109</f>
        <v>#REF!</v>
      </c>
      <c r="W115" s="224"/>
      <c r="X115" s="292" t="e">
        <f>+X109-V109</f>
        <v>#REF!</v>
      </c>
      <c r="Y115" s="224"/>
      <c r="Z115" s="292" t="e">
        <f>+Z109-X109</f>
        <v>#REF!</v>
      </c>
      <c r="AA115" s="224"/>
      <c r="AB115" s="292" t="e">
        <f>+AB109-Z109</f>
        <v>#REF!</v>
      </c>
      <c r="AC115" s="224"/>
      <c r="AD115" s="292" t="e">
        <f>+AD109-AB109</f>
        <v>#REF!</v>
      </c>
      <c r="AE115" s="222"/>
      <c r="AF115" s="292" t="e">
        <f>+AF109-AD109</f>
        <v>#REF!</v>
      </c>
      <c r="AG115" s="222"/>
      <c r="AH115" s="292" t="e">
        <f>+AH109-AF109</f>
        <v>#REF!</v>
      </c>
      <c r="AI115" s="222"/>
      <c r="AJ115" s="292" t="e">
        <f>+AJ109-AH109</f>
        <v>#REF!</v>
      </c>
      <c r="AK115" s="222"/>
      <c r="AL115" s="292" t="e">
        <f>+AL109-AJ109</f>
        <v>#REF!</v>
      </c>
      <c r="AM115" s="222"/>
      <c r="AN115" s="292" t="e">
        <f>+AN109-AL109</f>
        <v>#REF!</v>
      </c>
      <c r="AO115" s="222"/>
      <c r="AP115" s="292" t="e">
        <f>+AP109-AN109</f>
        <v>#REF!</v>
      </c>
      <c r="AQ115" s="222"/>
      <c r="AR115" s="292" t="e">
        <f>+AR109-AP109</f>
        <v>#REF!</v>
      </c>
      <c r="AS115" s="292"/>
      <c r="AT115" s="292"/>
      <c r="AU115" s="292"/>
      <c r="AV115" s="292"/>
      <c r="AW115" s="292"/>
      <c r="AX115" s="292"/>
      <c r="AY115" s="292"/>
      <c r="AZ115" s="292"/>
      <c r="BA115" s="292"/>
      <c r="BB115" s="292"/>
      <c r="BC115" s="292"/>
      <c r="BD115" s="292"/>
      <c r="BE115" s="292"/>
      <c r="BF115" s="1932"/>
      <c r="BG115" s="292"/>
      <c r="BH115" s="292"/>
      <c r="BI115" s="222"/>
    </row>
    <row r="116" spans="1:61" hidden="1" outlineLevel="1">
      <c r="A116" s="222"/>
      <c r="B116" s="285"/>
      <c r="C116" s="222"/>
      <c r="D116" s="222"/>
      <c r="E116" s="222"/>
      <c r="F116" s="222"/>
      <c r="G116" s="222"/>
      <c r="H116" s="222"/>
      <c r="I116" s="222"/>
      <c r="J116" s="222"/>
      <c r="K116" s="222"/>
      <c r="L116" s="222"/>
      <c r="M116" s="222"/>
      <c r="N116" s="222"/>
      <c r="O116" s="222"/>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c r="AQ116" s="222"/>
      <c r="AR116" s="222"/>
      <c r="AS116" s="222"/>
      <c r="AT116" s="222"/>
      <c r="AU116" s="222"/>
      <c r="AV116" s="222"/>
      <c r="AW116" s="222"/>
      <c r="AX116" s="222"/>
      <c r="AY116" s="222"/>
      <c r="AZ116" s="222"/>
      <c r="BA116" s="222"/>
      <c r="BB116" s="222"/>
      <c r="BC116" s="222"/>
      <c r="BD116" s="222"/>
      <c r="BE116" s="222"/>
      <c r="BF116" s="236"/>
      <c r="BG116" s="222"/>
      <c r="BH116" s="222"/>
      <c r="BI116" s="222"/>
    </row>
    <row r="117" spans="1:61" hidden="1" outlineLevel="1">
      <c r="A117" s="222"/>
      <c r="B117" s="277" t="s">
        <v>256</v>
      </c>
      <c r="C117" s="222"/>
      <c r="D117" s="222"/>
      <c r="E117" s="222"/>
      <c r="F117" s="222"/>
      <c r="G117" s="222"/>
      <c r="H117" s="222"/>
      <c r="I117" s="222"/>
      <c r="J117" s="222"/>
      <c r="K117" s="222"/>
      <c r="L117" s="222"/>
      <c r="M117" s="222"/>
      <c r="N117" s="222"/>
      <c r="O117" s="222"/>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c r="AQ117" s="222"/>
      <c r="AR117" s="222"/>
      <c r="AS117" s="222"/>
      <c r="AT117" s="222"/>
      <c r="AU117" s="222"/>
      <c r="AV117" s="222"/>
      <c r="AW117" s="222"/>
      <c r="AX117" s="222"/>
      <c r="AY117" s="222"/>
      <c r="AZ117" s="222"/>
      <c r="BA117" s="222"/>
      <c r="BB117" s="222"/>
      <c r="BC117" s="222"/>
      <c r="BD117" s="222"/>
      <c r="BE117" s="222"/>
      <c r="BF117" s="236"/>
      <c r="BG117" s="222"/>
      <c r="BH117" s="222"/>
      <c r="BI117" s="222"/>
    </row>
    <row r="118" spans="1:61" hidden="1" outlineLevel="1">
      <c r="A118" s="222"/>
      <c r="B118" s="278" t="s">
        <v>257</v>
      </c>
      <c r="C118" s="222"/>
      <c r="D118" s="288" t="e">
        <f>+D66/D99</f>
        <v>#REF!</v>
      </c>
      <c r="E118" s="222"/>
      <c r="F118" s="288" t="e">
        <f>+F66/F99</f>
        <v>#REF!</v>
      </c>
      <c r="G118" s="222"/>
      <c r="H118" s="288">
        <f>+H66/H99</f>
        <v>2889.6577540115022</v>
      </c>
      <c r="I118" s="222"/>
      <c r="J118" s="288">
        <f>+J66/J99</f>
        <v>5.0578202503739895</v>
      </c>
      <c r="K118" s="222"/>
      <c r="L118" s="288">
        <f>+L66/L99</f>
        <v>8.9866709721400024</v>
      </c>
      <c r="M118" s="222"/>
      <c r="N118" s="288">
        <f>+N66/N99</f>
        <v>10.140922610800127</v>
      </c>
      <c r="O118" s="222"/>
      <c r="P118" s="288">
        <f>+P66/P99</f>
        <v>12.731977779662445</v>
      </c>
      <c r="Q118" s="222"/>
      <c r="R118" s="288">
        <f>+R66/R99</f>
        <v>5.6100362615510608</v>
      </c>
      <c r="S118" s="222"/>
      <c r="T118" s="288">
        <f>+T66/T99</f>
        <v>3.3195290381220026</v>
      </c>
      <c r="U118" s="222"/>
      <c r="V118" s="288">
        <f>+V66/V99</f>
        <v>2.4670559608888163</v>
      </c>
      <c r="W118" s="222"/>
      <c r="X118" s="288">
        <f>+X66/X99</f>
        <v>3.8536146302008119</v>
      </c>
      <c r="Y118" s="222"/>
      <c r="Z118" s="288">
        <f>+Z66/Z99</f>
        <v>3.2158675027021566</v>
      </c>
      <c r="AA118" s="222"/>
      <c r="AB118" s="288">
        <f>+AB66/AB99</f>
        <v>1.960662996694023</v>
      </c>
      <c r="AC118" s="222"/>
      <c r="AD118" s="288">
        <f>+AD66/AD99</f>
        <v>3.5008695058785215</v>
      </c>
      <c r="AE118" s="222"/>
      <c r="AF118" s="288">
        <f>+AF66/AF99</f>
        <v>3.4466965052573206</v>
      </c>
      <c r="AG118" s="222"/>
      <c r="AH118" s="288">
        <f>+AH66/AH99</f>
        <v>4.6589397259884846</v>
      </c>
      <c r="AI118" s="222"/>
      <c r="AJ118" s="288">
        <f>+AJ66/AJ99</f>
        <v>4.8345400771479055</v>
      </c>
      <c r="AK118" s="222"/>
      <c r="AL118" s="288">
        <f>+AL66/AL99</f>
        <v>4.2960181033837461</v>
      </c>
      <c r="AM118" s="222"/>
      <c r="AN118" s="288">
        <f>+AN66/AN99</f>
        <v>3.7625442481976425</v>
      </c>
      <c r="AO118" s="222"/>
      <c r="AP118" s="288">
        <f>+AP66/AP99</f>
        <v>4.612040640857348</v>
      </c>
      <c r="AQ118" s="222"/>
      <c r="AR118" s="288">
        <f>+AR66/AR99</f>
        <v>2.6867596427383691</v>
      </c>
      <c r="AS118" s="288"/>
      <c r="AT118" s="288"/>
      <c r="AU118" s="288"/>
      <c r="AV118" s="288"/>
      <c r="AW118" s="288"/>
      <c r="AX118" s="288"/>
      <c r="AY118" s="288"/>
      <c r="AZ118" s="288"/>
      <c r="BA118" s="288"/>
      <c r="BB118" s="288"/>
      <c r="BC118" s="288"/>
      <c r="BD118" s="288"/>
      <c r="BE118" s="288"/>
      <c r="BF118" s="1866"/>
      <c r="BG118" s="288"/>
      <c r="BH118" s="288"/>
      <c r="BI118" s="222"/>
    </row>
    <row r="119" spans="1:61" hidden="1" outlineLevel="1">
      <c r="A119" s="222"/>
      <c r="B119" s="278" t="s">
        <v>258</v>
      </c>
      <c r="C119" s="222"/>
      <c r="D119" s="288" t="e">
        <f>+D66/D107</f>
        <v>#REF!</v>
      </c>
      <c r="E119" s="222"/>
      <c r="F119" s="288" t="e">
        <f>+F66/F107</f>
        <v>#REF!</v>
      </c>
      <c r="G119" s="222"/>
      <c r="H119" s="288" t="e">
        <f>+H66/H107</f>
        <v>#REF!</v>
      </c>
      <c r="I119" s="222"/>
      <c r="J119" s="288" t="e">
        <f>+J66/J107</f>
        <v>#REF!</v>
      </c>
      <c r="K119" s="222"/>
      <c r="L119" s="288" t="e">
        <f>+L66/L107</f>
        <v>#REF!</v>
      </c>
      <c r="M119" s="222"/>
      <c r="N119" s="288" t="e">
        <f>+N66/N107</f>
        <v>#REF!</v>
      </c>
      <c r="O119" s="222"/>
      <c r="P119" s="288" t="e">
        <f>+P66/P107</f>
        <v>#REF!</v>
      </c>
      <c r="Q119" s="222"/>
      <c r="R119" s="288" t="e">
        <f>+R66/R107</f>
        <v>#REF!</v>
      </c>
      <c r="S119" s="222"/>
      <c r="T119" s="288" t="e">
        <f>+T66/T107</f>
        <v>#REF!</v>
      </c>
      <c r="U119" s="222"/>
      <c r="V119" s="288" t="e">
        <f>+V66/V107</f>
        <v>#REF!</v>
      </c>
      <c r="W119" s="222"/>
      <c r="X119" s="288" t="e">
        <f>+X66/X107</f>
        <v>#REF!</v>
      </c>
      <c r="Y119" s="222"/>
      <c r="Z119" s="288" t="e">
        <f>+Z66/Z107</f>
        <v>#REF!</v>
      </c>
      <c r="AA119" s="222"/>
      <c r="AB119" s="288" t="e">
        <f>+AB66/AB107</f>
        <v>#REF!</v>
      </c>
      <c r="AC119" s="222"/>
      <c r="AD119" s="288" t="e">
        <f>+AD66/AD107</f>
        <v>#REF!</v>
      </c>
      <c r="AE119" s="222"/>
      <c r="AF119" s="288" t="e">
        <f>+AF66/AF107</f>
        <v>#REF!</v>
      </c>
      <c r="AG119" s="222"/>
      <c r="AH119" s="288" t="e">
        <f>+AH66/AH107</f>
        <v>#REF!</v>
      </c>
      <c r="AI119" s="222"/>
      <c r="AJ119" s="288" t="e">
        <f>+AJ66/AJ107</f>
        <v>#REF!</v>
      </c>
      <c r="AK119" s="222"/>
      <c r="AL119" s="288" t="e">
        <f>+AL66/AL107</f>
        <v>#REF!</v>
      </c>
      <c r="AM119" s="222"/>
      <c r="AN119" s="288" t="e">
        <f>+AN66/AN107</f>
        <v>#REF!</v>
      </c>
      <c r="AO119" s="222"/>
      <c r="AP119" s="288" t="e">
        <f>+AP66/AP107</f>
        <v>#REF!</v>
      </c>
      <c r="AQ119" s="222"/>
      <c r="AR119" s="288" t="e">
        <f>+AR66/AR107</f>
        <v>#REF!</v>
      </c>
      <c r="AS119" s="288"/>
      <c r="AT119" s="288"/>
      <c r="AU119" s="288"/>
      <c r="AV119" s="288"/>
      <c r="AW119" s="288"/>
      <c r="AX119" s="288"/>
      <c r="AY119" s="288"/>
      <c r="AZ119" s="288"/>
      <c r="BA119" s="288"/>
      <c r="BB119" s="288"/>
      <c r="BC119" s="288"/>
      <c r="BD119" s="288"/>
      <c r="BE119" s="288"/>
      <c r="BF119" s="1866"/>
      <c r="BG119" s="288"/>
      <c r="BH119" s="288"/>
      <c r="BI119" s="222"/>
    </row>
    <row r="120" spans="1:61" hidden="1" outlineLevel="1">
      <c r="A120" s="222"/>
      <c r="B120" s="278" t="s">
        <v>259</v>
      </c>
      <c r="C120" s="222"/>
      <c r="D120" s="288" t="e">
        <f>+D66/D108</f>
        <v>#DIV/0!</v>
      </c>
      <c r="E120" s="222"/>
      <c r="F120" s="288" t="e">
        <f>+F66/F108</f>
        <v>#DIV/0!</v>
      </c>
      <c r="G120" s="222"/>
      <c r="H120" s="288" t="e">
        <f>+H66/H108</f>
        <v>#DIV/0!</v>
      </c>
      <c r="I120" s="222"/>
      <c r="J120" s="288">
        <f>+J66/J108</f>
        <v>-46.348755411255411</v>
      </c>
      <c r="K120" s="222"/>
      <c r="L120" s="288">
        <f>+L66/L108</f>
        <v>7.6574695424876573</v>
      </c>
      <c r="M120" s="222"/>
      <c r="N120" s="288">
        <f>+N66/N108</f>
        <v>6.8966479043119913</v>
      </c>
      <c r="O120" s="222"/>
      <c r="P120" s="288">
        <f>+P66/P108</f>
        <v>55.750719524649526</v>
      </c>
      <c r="Q120" s="222"/>
      <c r="R120" s="288">
        <f>+R66/R108</f>
        <v>29.535780268505974</v>
      </c>
      <c r="S120" s="222"/>
      <c r="T120" s="288">
        <f>+T66/T108</f>
        <v>33.510018983336849</v>
      </c>
      <c r="U120" s="222"/>
      <c r="V120" s="288">
        <f>+V66/V108</f>
        <v>42.736259825963181</v>
      </c>
      <c r="W120" s="222"/>
      <c r="X120" s="288">
        <f>+X66/X108</f>
        <v>41.102105060796859</v>
      </c>
      <c r="Y120" s="222"/>
      <c r="Z120" s="288">
        <f>+Z66/Z108</f>
        <v>48.898123453230497</v>
      </c>
      <c r="AA120" s="222"/>
      <c r="AB120" s="288">
        <f>+AB66/AB108</f>
        <v>63.69513592588077</v>
      </c>
      <c r="AC120" s="222"/>
      <c r="AD120" s="288">
        <f>+AD66/AD108</f>
        <v>37.225782667212833</v>
      </c>
      <c r="AE120" s="222"/>
      <c r="AF120" s="288">
        <f>+AF66/AF108</f>
        <v>25.544162067275</v>
      </c>
      <c r="AG120" s="222"/>
      <c r="AH120" s="288">
        <f>+AH66/AH108</f>
        <v>24.429730351991548</v>
      </c>
      <c r="AI120" s="222"/>
      <c r="AJ120" s="288">
        <f>+AJ66/AJ108</f>
        <v>25.09372491989452</v>
      </c>
      <c r="AK120" s="222"/>
      <c r="AL120" s="288">
        <f>+AL66/AL108</f>
        <v>25.874754190975953</v>
      </c>
      <c r="AM120" s="222"/>
      <c r="AN120" s="288">
        <f>+AN66/AN108</f>
        <v>36.525421899175981</v>
      </c>
      <c r="AO120" s="222"/>
      <c r="AP120" s="288">
        <f>+AP66/AP108</f>
        <v>35.201936528165355</v>
      </c>
      <c r="AQ120" s="222"/>
      <c r="AR120" s="288">
        <f>+AR66/AR108</f>
        <v>9.5205595591352257</v>
      </c>
      <c r="AS120" s="288"/>
      <c r="AT120" s="288"/>
      <c r="AU120" s="288"/>
      <c r="AV120" s="288"/>
      <c r="AW120" s="288"/>
      <c r="AX120" s="288"/>
      <c r="AY120" s="288"/>
      <c r="AZ120" s="288"/>
      <c r="BA120" s="288"/>
      <c r="BB120" s="288"/>
      <c r="BC120" s="288"/>
      <c r="BD120" s="288"/>
      <c r="BE120" s="288"/>
      <c r="BF120" s="1866"/>
      <c r="BG120" s="288"/>
      <c r="BH120" s="288"/>
      <c r="BI120" s="222"/>
    </row>
    <row r="121" spans="1:61" hidden="1" outlineLevel="1">
      <c r="A121" s="222"/>
      <c r="B121" s="291" t="s">
        <v>260</v>
      </c>
      <c r="C121" s="222"/>
      <c r="D121" s="293" t="e">
        <f>+D66/D109</f>
        <v>#REF!</v>
      </c>
      <c r="E121" s="293"/>
      <c r="F121" s="293" t="e">
        <f>+F66/F109</f>
        <v>#REF!</v>
      </c>
      <c r="G121" s="293"/>
      <c r="H121" s="293" t="e">
        <f>+H66/H109</f>
        <v>#REF!</v>
      </c>
      <c r="I121" s="293"/>
      <c r="J121" s="293" t="e">
        <f>+J66/J109</f>
        <v>#REF!</v>
      </c>
      <c r="K121" s="293"/>
      <c r="L121" s="293" t="e">
        <f>+L66/L109</f>
        <v>#REF!</v>
      </c>
      <c r="M121" s="222"/>
      <c r="N121" s="293" t="e">
        <f>+N66/N109</f>
        <v>#REF!</v>
      </c>
      <c r="O121" s="293"/>
      <c r="P121" s="293" t="e">
        <f>+P66/P109</f>
        <v>#REF!</v>
      </c>
      <c r="Q121" s="293"/>
      <c r="R121" s="293" t="e">
        <f>+R66/R109</f>
        <v>#REF!</v>
      </c>
      <c r="S121" s="293"/>
      <c r="T121" s="293" t="e">
        <f>+T66/T109</f>
        <v>#REF!</v>
      </c>
      <c r="U121" s="293"/>
      <c r="V121" s="293" t="e">
        <f>+V66/V109</f>
        <v>#REF!</v>
      </c>
      <c r="W121" s="293"/>
      <c r="X121" s="293" t="e">
        <f>+X66/X109</f>
        <v>#REF!</v>
      </c>
      <c r="Y121" s="293"/>
      <c r="Z121" s="293" t="e">
        <f>+Z66/Z109</f>
        <v>#REF!</v>
      </c>
      <c r="AA121" s="293"/>
      <c r="AB121" s="293" t="e">
        <f>+AB66/AB109</f>
        <v>#REF!</v>
      </c>
      <c r="AC121" s="293"/>
      <c r="AD121" s="293" t="e">
        <f>+AD66/AD109</f>
        <v>#REF!</v>
      </c>
      <c r="AE121" s="222"/>
      <c r="AF121" s="293" t="e">
        <f>+AF66/AF109</f>
        <v>#REF!</v>
      </c>
      <c r="AG121" s="222"/>
      <c r="AH121" s="293" t="e">
        <f>+AH66/AH109</f>
        <v>#REF!</v>
      </c>
      <c r="AI121" s="222"/>
      <c r="AJ121" s="293" t="e">
        <f>+AJ66/AJ109</f>
        <v>#REF!</v>
      </c>
      <c r="AK121" s="222"/>
      <c r="AL121" s="293" t="e">
        <f>+AL66/AL109</f>
        <v>#REF!</v>
      </c>
      <c r="AM121" s="222"/>
      <c r="AN121" s="293" t="e">
        <f>+AN66/AN109</f>
        <v>#REF!</v>
      </c>
      <c r="AO121" s="222"/>
      <c r="AP121" s="293" t="e">
        <f>+AP66/AP109</f>
        <v>#REF!</v>
      </c>
      <c r="AQ121" s="222"/>
      <c r="AR121" s="293" t="e">
        <f>+AR66/AR109</f>
        <v>#REF!</v>
      </c>
      <c r="AS121" s="293"/>
      <c r="AT121" s="293"/>
      <c r="AU121" s="293"/>
      <c r="AV121" s="293"/>
      <c r="AW121" s="293"/>
      <c r="AX121" s="293"/>
      <c r="AY121" s="293"/>
      <c r="AZ121" s="293"/>
      <c r="BA121" s="293"/>
      <c r="BB121" s="293"/>
      <c r="BC121" s="293"/>
      <c r="BD121" s="293"/>
      <c r="BE121" s="293"/>
      <c r="BF121" s="1933"/>
      <c r="BG121" s="293"/>
      <c r="BH121" s="293"/>
      <c r="BI121" s="222"/>
    </row>
    <row r="122" spans="1:61" hidden="1" outlineLevel="1">
      <c r="A122" s="222"/>
      <c r="B122" s="291" t="s">
        <v>261</v>
      </c>
      <c r="C122" s="222"/>
      <c r="D122" s="293" t="e">
        <f>+#REF!/D110</f>
        <v>#REF!</v>
      </c>
      <c r="E122" s="293"/>
      <c r="F122" s="293" t="e">
        <f>+D66/F110</f>
        <v>#REF!</v>
      </c>
      <c r="G122" s="293"/>
      <c r="H122" s="293" t="e">
        <f>+#REF!/H110</f>
        <v>#REF!</v>
      </c>
      <c r="I122" s="293"/>
      <c r="J122" s="293" t="e">
        <f>+H66/J110</f>
        <v>#REF!</v>
      </c>
      <c r="K122" s="293"/>
      <c r="L122" s="293" t="e">
        <f>+J66/L110</f>
        <v>#REF!</v>
      </c>
      <c r="M122" s="222"/>
      <c r="N122" s="293" t="e">
        <f>+#REF!/N110</f>
        <v>#REF!</v>
      </c>
      <c r="O122" s="293"/>
      <c r="P122" s="293" t="e">
        <f>+N66/P110</f>
        <v>#REF!</v>
      </c>
      <c r="Q122" s="293"/>
      <c r="R122" s="293" t="e">
        <f>+P66/R110</f>
        <v>#REF!</v>
      </c>
      <c r="S122" s="293"/>
      <c r="T122" s="293" t="e">
        <f>+R66/T110</f>
        <v>#REF!</v>
      </c>
      <c r="U122" s="293"/>
      <c r="V122" s="293" t="e">
        <f>+T66/V110</f>
        <v>#REF!</v>
      </c>
      <c r="W122" s="293"/>
      <c r="X122" s="293" t="e">
        <f>+V66/X110</f>
        <v>#REF!</v>
      </c>
      <c r="Y122" s="293"/>
      <c r="Z122" s="293" t="e">
        <f>+X66/Z110</f>
        <v>#REF!</v>
      </c>
      <c r="AA122" s="293"/>
      <c r="AB122" s="293" t="e">
        <f>+Z66/AB110</f>
        <v>#REF!</v>
      </c>
      <c r="AC122" s="293"/>
      <c r="AD122" s="293" t="e">
        <f>+AB66/AD110</f>
        <v>#REF!</v>
      </c>
      <c r="AE122" s="222"/>
      <c r="AF122" s="293" t="e">
        <f>+AD66/AF110</f>
        <v>#REF!</v>
      </c>
      <c r="AG122" s="222"/>
      <c r="AH122" s="293" t="e">
        <f>+AF66/AH110</f>
        <v>#REF!</v>
      </c>
      <c r="AI122" s="222"/>
      <c r="AJ122" s="293" t="e">
        <f>+AH66/AJ110</f>
        <v>#REF!</v>
      </c>
      <c r="AK122" s="222"/>
      <c r="AL122" s="293" t="e">
        <f>+AJ66/AL110</f>
        <v>#REF!</v>
      </c>
      <c r="AM122" s="222"/>
      <c r="AN122" s="293" t="e">
        <f>+AL66/AN110</f>
        <v>#REF!</v>
      </c>
      <c r="AO122" s="222"/>
      <c r="AP122" s="293" t="e">
        <f>+AN66/AP110</f>
        <v>#REF!</v>
      </c>
      <c r="AQ122" s="222"/>
      <c r="AR122" s="293" t="e">
        <f>+AP66/AR110</f>
        <v>#REF!</v>
      </c>
      <c r="AS122" s="293"/>
      <c r="AT122" s="293"/>
      <c r="AU122" s="293"/>
      <c r="AV122" s="293"/>
      <c r="AW122" s="293"/>
      <c r="AX122" s="293"/>
      <c r="AY122" s="293"/>
      <c r="AZ122" s="293"/>
      <c r="BA122" s="293"/>
      <c r="BB122" s="293"/>
      <c r="BC122" s="293"/>
      <c r="BD122" s="293"/>
      <c r="BE122" s="293"/>
      <c r="BF122" s="1933"/>
      <c r="BG122" s="293"/>
      <c r="BH122" s="293"/>
      <c r="BI122" s="222"/>
    </row>
    <row r="123" spans="1:61" hidden="1" outlineLevel="1">
      <c r="A123" s="222"/>
      <c r="B123" s="285"/>
      <c r="C123" s="222"/>
      <c r="D123" s="222"/>
      <c r="E123" s="222"/>
      <c r="F123" s="222"/>
      <c r="G123" s="222"/>
      <c r="H123" s="222"/>
      <c r="I123" s="222"/>
      <c r="J123" s="222"/>
      <c r="K123" s="222"/>
      <c r="L123" s="222"/>
      <c r="M123" s="222"/>
      <c r="N123" s="222"/>
      <c r="O123" s="222"/>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c r="AQ123" s="222"/>
      <c r="AR123" s="222"/>
      <c r="AS123" s="222"/>
      <c r="AT123" s="222"/>
      <c r="AU123" s="222"/>
      <c r="AV123" s="222"/>
      <c r="AW123" s="222"/>
      <c r="AX123" s="222"/>
      <c r="AY123" s="222"/>
      <c r="AZ123" s="222"/>
      <c r="BA123" s="222"/>
      <c r="BB123" s="222"/>
      <c r="BC123" s="222"/>
      <c r="BD123" s="222"/>
      <c r="BE123" s="222"/>
      <c r="BF123" s="236"/>
      <c r="BG123" s="222"/>
      <c r="BH123" s="222"/>
      <c r="BI123" s="222"/>
    </row>
    <row r="124" spans="1:61" hidden="1" outlineLevel="1">
      <c r="A124" s="222"/>
      <c r="B124" s="277" t="s">
        <v>262</v>
      </c>
      <c r="C124" s="222"/>
      <c r="D124" s="222"/>
      <c r="E124" s="222"/>
      <c r="F124" s="222"/>
      <c r="G124" s="222"/>
      <c r="H124" s="222"/>
      <c r="I124" s="222"/>
      <c r="J124" s="222"/>
      <c r="K124" s="222"/>
      <c r="L124" s="222"/>
      <c r="M124" s="222"/>
      <c r="N124" s="222"/>
      <c r="O124" s="222"/>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c r="AQ124" s="222"/>
      <c r="AR124" s="222"/>
      <c r="AS124" s="222"/>
      <c r="AT124" s="222"/>
      <c r="AU124" s="222"/>
      <c r="AV124" s="222"/>
      <c r="AW124" s="222"/>
      <c r="AX124" s="222"/>
      <c r="AY124" s="222"/>
      <c r="AZ124" s="222"/>
      <c r="BA124" s="222"/>
      <c r="BB124" s="222"/>
      <c r="BC124" s="222"/>
      <c r="BD124" s="222"/>
      <c r="BE124" s="222"/>
      <c r="BF124" s="236"/>
      <c r="BG124" s="222"/>
      <c r="BH124" s="222"/>
      <c r="BI124" s="222"/>
    </row>
    <row r="125" spans="1:61" hidden="1" outlineLevel="1">
      <c r="A125" s="222"/>
      <c r="B125" s="285" t="s">
        <v>263</v>
      </c>
      <c r="C125" s="222"/>
      <c r="D125" s="222"/>
      <c r="E125" s="222"/>
      <c r="F125" s="222"/>
      <c r="G125" s="222"/>
      <c r="H125" s="222"/>
      <c r="I125" s="222"/>
      <c r="J125" s="222"/>
      <c r="K125" s="222"/>
      <c r="L125" s="222"/>
      <c r="M125" s="222"/>
      <c r="N125" s="222"/>
      <c r="O125" s="222"/>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c r="AQ125" s="222"/>
      <c r="AR125" s="222"/>
      <c r="AS125" s="222"/>
      <c r="AT125" s="222"/>
      <c r="AU125" s="222"/>
      <c r="AV125" s="222"/>
      <c r="AW125" s="222"/>
      <c r="AX125" s="222"/>
      <c r="AY125" s="222"/>
      <c r="AZ125" s="222"/>
      <c r="BA125" s="222"/>
      <c r="BB125" s="222"/>
      <c r="BC125" s="222"/>
      <c r="BD125" s="222"/>
      <c r="BE125" s="222"/>
      <c r="BF125" s="236"/>
      <c r="BG125" s="222"/>
      <c r="BH125" s="222"/>
      <c r="BI125" s="222"/>
    </row>
    <row r="126" spans="1:61" hidden="1" outlineLevel="1">
      <c r="A126" s="222"/>
      <c r="B126" s="285" t="s">
        <v>46</v>
      </c>
      <c r="C126" s="222"/>
      <c r="D126" s="222"/>
      <c r="E126" s="222"/>
      <c r="F126" s="222"/>
      <c r="G126" s="222"/>
      <c r="H126" s="222"/>
      <c r="I126" s="222"/>
      <c r="J126" s="222"/>
      <c r="K126" s="222"/>
      <c r="L126" s="222"/>
      <c r="M126" s="222"/>
      <c r="N126" s="222"/>
      <c r="O126" s="222"/>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c r="AQ126" s="222"/>
      <c r="AR126" s="222"/>
      <c r="AS126" s="222"/>
      <c r="AT126" s="222"/>
      <c r="AU126" s="222"/>
      <c r="AV126" s="222"/>
      <c r="AW126" s="222"/>
      <c r="AX126" s="222"/>
      <c r="AY126" s="222"/>
      <c r="AZ126" s="222"/>
      <c r="BA126" s="222"/>
      <c r="BB126" s="222"/>
      <c r="BC126" s="222"/>
      <c r="BD126" s="222"/>
      <c r="BE126" s="222"/>
      <c r="BF126" s="236"/>
      <c r="BG126" s="222"/>
      <c r="BH126" s="222"/>
      <c r="BI126" s="222"/>
    </row>
    <row r="127" spans="1:61" hidden="1" outlineLevel="1">
      <c r="A127" s="222"/>
      <c r="B127" s="285" t="s">
        <v>264</v>
      </c>
      <c r="C127" s="222"/>
      <c r="D127" s="222"/>
      <c r="E127" s="222"/>
      <c r="F127" s="222"/>
      <c r="G127" s="222"/>
      <c r="H127" s="222"/>
      <c r="I127" s="222"/>
      <c r="J127" s="222"/>
      <c r="K127" s="222"/>
      <c r="L127" s="222"/>
      <c r="M127" s="222"/>
      <c r="N127" s="222"/>
      <c r="O127" s="222"/>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c r="AQ127" s="222"/>
      <c r="AR127" s="222"/>
      <c r="AS127" s="222"/>
      <c r="AT127" s="222"/>
      <c r="AU127" s="222"/>
      <c r="AV127" s="222"/>
      <c r="AW127" s="222"/>
      <c r="AX127" s="222"/>
      <c r="AY127" s="222"/>
      <c r="AZ127" s="222"/>
      <c r="BA127" s="222"/>
      <c r="BB127" s="222"/>
      <c r="BC127" s="222"/>
      <c r="BD127" s="222"/>
      <c r="BE127" s="222"/>
      <c r="BF127" s="236"/>
      <c r="BG127" s="222"/>
      <c r="BH127" s="222"/>
      <c r="BI127" s="222"/>
    </row>
    <row r="128" spans="1:61" collapsed="1">
      <c r="A128" s="222"/>
      <c r="B128" s="222"/>
      <c r="C128" s="222"/>
      <c r="D128" s="222"/>
      <c r="E128" s="222"/>
      <c r="F128" s="222"/>
      <c r="G128" s="222"/>
      <c r="H128" s="222"/>
      <c r="I128" s="222"/>
      <c r="J128" s="222"/>
      <c r="K128" s="222"/>
      <c r="L128" s="222"/>
      <c r="M128" s="222"/>
      <c r="N128" s="222"/>
      <c r="O128" s="222"/>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c r="AQ128" s="222"/>
      <c r="AR128" s="222"/>
      <c r="AS128" s="222"/>
      <c r="AT128" s="222"/>
      <c r="AU128" s="222"/>
      <c r="AV128" s="222"/>
      <c r="AW128" s="222"/>
      <c r="AX128" s="222"/>
      <c r="AY128" s="222"/>
      <c r="AZ128" s="222"/>
      <c r="BA128" s="222"/>
      <c r="BB128" s="222"/>
      <c r="BC128" s="222"/>
      <c r="BD128" s="222"/>
      <c r="BE128" s="222"/>
      <c r="BF128" s="236"/>
      <c r="BG128" s="222"/>
      <c r="BH128" s="222"/>
      <c r="BI128" s="222"/>
    </row>
    <row r="129" spans="1:61">
      <c r="A129" s="222"/>
      <c r="B129" s="222"/>
      <c r="C129" s="222"/>
      <c r="D129" s="222"/>
      <c r="E129" s="222"/>
      <c r="F129" s="222"/>
      <c r="G129" s="222"/>
      <c r="H129" s="222"/>
      <c r="I129" s="222"/>
      <c r="J129" s="222"/>
      <c r="K129" s="222"/>
      <c r="L129" s="222"/>
      <c r="M129" s="222"/>
      <c r="N129" s="222"/>
      <c r="O129" s="222"/>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c r="AQ129" s="222"/>
      <c r="AR129" s="222"/>
      <c r="AS129" s="222"/>
      <c r="AT129" s="222"/>
      <c r="AU129" s="222"/>
      <c r="AV129" s="222"/>
      <c r="AW129" s="222"/>
      <c r="AX129" s="222"/>
      <c r="AY129" s="222"/>
      <c r="AZ129" s="222"/>
      <c r="BA129" s="222"/>
      <c r="BB129" s="222"/>
      <c r="BC129" s="222"/>
      <c r="BD129" s="222"/>
      <c r="BE129" s="222"/>
      <c r="BF129" s="236"/>
      <c r="BG129" s="222"/>
      <c r="BH129" s="222"/>
      <c r="BI129" s="222"/>
    </row>
    <row r="130" spans="1:61">
      <c r="A130" s="222"/>
      <c r="B130" s="222"/>
      <c r="C130" s="222"/>
      <c r="D130" s="222"/>
      <c r="E130" s="222"/>
      <c r="F130" s="222"/>
      <c r="G130" s="222"/>
      <c r="H130" s="222"/>
      <c r="I130" s="222"/>
      <c r="J130" s="222"/>
      <c r="K130" s="222"/>
      <c r="L130" s="222"/>
      <c r="M130" s="222"/>
      <c r="N130" s="222"/>
      <c r="O130" s="222"/>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c r="AQ130" s="222"/>
      <c r="AR130" s="222"/>
      <c r="AS130" s="222"/>
      <c r="AT130" s="222"/>
      <c r="AU130" s="222"/>
      <c r="AV130" s="222"/>
      <c r="AW130" s="222"/>
      <c r="AX130" s="222"/>
      <c r="AY130" s="222"/>
      <c r="AZ130" s="222"/>
      <c r="BA130" s="222"/>
      <c r="BB130" s="222"/>
      <c r="BC130" s="222"/>
      <c r="BD130" s="222"/>
      <c r="BE130" s="222"/>
      <c r="BF130" s="236"/>
      <c r="BG130" s="222"/>
      <c r="BH130" s="222"/>
      <c r="BI130" s="222"/>
    </row>
    <row r="131" spans="1:61">
      <c r="A131" s="222"/>
      <c r="B131" s="222"/>
      <c r="C131" s="222"/>
      <c r="D131" s="222"/>
      <c r="E131" s="222"/>
      <c r="F131" s="222"/>
      <c r="G131" s="222"/>
      <c r="H131" s="222"/>
      <c r="I131" s="222"/>
      <c r="J131" s="222"/>
      <c r="K131" s="222"/>
      <c r="L131" s="222"/>
      <c r="M131" s="222"/>
      <c r="N131" s="222"/>
      <c r="O131" s="222"/>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c r="AQ131" s="222"/>
      <c r="AR131" s="222"/>
      <c r="AS131" s="222"/>
      <c r="AT131" s="222"/>
      <c r="AU131" s="222"/>
      <c r="AV131" s="222"/>
      <c r="AW131" s="222"/>
      <c r="AX131" s="222"/>
      <c r="AY131" s="222"/>
      <c r="AZ131" s="222"/>
      <c r="BA131" s="222"/>
      <c r="BB131" s="222"/>
      <c r="BC131" s="222"/>
      <c r="BD131" s="222"/>
      <c r="BE131" s="222"/>
      <c r="BF131" s="236"/>
      <c r="BG131" s="222"/>
      <c r="BH131" s="222"/>
      <c r="BI131" s="222"/>
    </row>
    <row r="132" spans="1:61" outlineLevel="1">
      <c r="A132" s="224" t="s">
        <v>356</v>
      </c>
      <c r="B132" s="222"/>
      <c r="C132" s="222"/>
      <c r="D132" s="222"/>
      <c r="E132" s="222"/>
      <c r="F132" s="222"/>
      <c r="G132" s="222"/>
      <c r="H132" s="222"/>
      <c r="I132" s="222"/>
      <c r="J132" s="222"/>
      <c r="K132" s="222"/>
      <c r="L132" s="222"/>
      <c r="M132" s="222"/>
      <c r="N132" s="222"/>
      <c r="O132" s="236"/>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c r="AQ132" s="222"/>
      <c r="AR132" s="222"/>
      <c r="AS132" s="222"/>
      <c r="AT132" s="222"/>
      <c r="AU132" s="222"/>
      <c r="AV132" s="222"/>
      <c r="AW132" s="222"/>
      <c r="AX132" s="222"/>
      <c r="AY132" s="222"/>
      <c r="AZ132" s="222"/>
      <c r="BA132" s="222"/>
      <c r="BB132" s="222"/>
      <c r="BC132" s="222"/>
      <c r="BD132" s="222"/>
      <c r="BE132" s="222"/>
      <c r="BF132" s="236"/>
      <c r="BG132" s="222"/>
      <c r="BH132" s="222"/>
      <c r="BI132" s="222"/>
    </row>
    <row r="133" spans="1:61" outlineLevel="1">
      <c r="A133" s="222"/>
      <c r="B133" s="222" t="s">
        <v>357</v>
      </c>
      <c r="C133" s="222"/>
      <c r="D133" s="222"/>
      <c r="E133" s="222"/>
      <c r="F133" s="222"/>
      <c r="G133" s="222"/>
      <c r="H133" s="222"/>
      <c r="I133" s="222"/>
      <c r="J133" s="422"/>
      <c r="K133" s="222"/>
      <c r="L133" s="422">
        <f>+flow!L42+flow!L43+flow!L50</f>
        <v>0</v>
      </c>
      <c r="M133" s="222"/>
      <c r="N133" s="422">
        <f>+flow!N42+flow!N43+flow!N50</f>
        <v>0</v>
      </c>
      <c r="O133" s="422"/>
      <c r="P133" s="422">
        <f>+flow!P42+flow!P43+flow!P50</f>
        <v>124.04600000000001</v>
      </c>
      <c r="Q133" s="422"/>
      <c r="R133" s="422">
        <f>+flow!R42+flow!R43+flow!R50</f>
        <v>10.953999999999999</v>
      </c>
      <c r="S133" s="422"/>
      <c r="T133" s="422">
        <f>+flow!T42+flow!T43+flow!T50</f>
        <v>-21.552000000000003</v>
      </c>
      <c r="U133" s="422"/>
      <c r="V133" s="422">
        <f>+flow!V42+flow!V43+flow!V50</f>
        <v>-20.813000000000002</v>
      </c>
      <c r="W133" s="422"/>
      <c r="X133" s="422">
        <f>+flow!X42+flow!X43+flow!X50</f>
        <v>-218.136</v>
      </c>
      <c r="Y133" s="422"/>
      <c r="Z133" s="422">
        <f>+flow!Z42+flow!Z43+flow!Z50</f>
        <v>-513.721</v>
      </c>
      <c r="AA133" s="422"/>
      <c r="AB133" s="422">
        <f>+flow!AB42+flow!AB43+flow!AB50</f>
        <v>-37.879999999999995</v>
      </c>
      <c r="AC133" s="422"/>
      <c r="AD133" s="422">
        <f>+flow!AD42+flow!AD43+flow!AD50</f>
        <v>-1253.279</v>
      </c>
      <c r="AE133" s="422"/>
      <c r="AF133" s="422">
        <f>+flow!AF42+flow!AF43+flow!AF50</f>
        <v>-446.423</v>
      </c>
      <c r="AG133" s="422"/>
      <c r="AH133" s="422">
        <f>+flow!AH42+flow!AH43+flow!AH50</f>
        <v>-945.01600000000008</v>
      </c>
      <c r="AI133" s="422"/>
      <c r="AJ133" s="422">
        <f>+flow!AJ42+flow!AJ43+flow!AJ50</f>
        <v>-754.42899999999997</v>
      </c>
      <c r="AK133" s="422"/>
      <c r="AL133" s="422">
        <f>+flow!AL42+flow!AL43+flow!AL50</f>
        <v>-548.86699999999996</v>
      </c>
      <c r="AM133" s="422"/>
      <c r="AN133" s="422">
        <f>+flow!AN42+flow!AN43+flow!AN50</f>
        <v>-353.83699999999999</v>
      </c>
      <c r="AO133" s="422"/>
      <c r="AP133" s="422">
        <f>+flow!AP42+flow!AP43+flow!AP50</f>
        <v>-516.58699999999999</v>
      </c>
      <c r="AQ133" s="422"/>
      <c r="AR133" s="422">
        <f>+flow!AR42+flow!AR43+flow!AR50</f>
        <v>20.9</v>
      </c>
      <c r="AS133" s="422"/>
      <c r="AT133" s="422">
        <f>+flow!AT42+flow!AT43+flow!AT50</f>
        <v>13.600000000000001</v>
      </c>
      <c r="AU133" s="422"/>
      <c r="AV133" s="422">
        <f>+flow!AV42+flow!AV43+flow!AV50</f>
        <v>855.5</v>
      </c>
      <c r="AW133" s="422"/>
      <c r="AX133" s="422">
        <f>+flow!AX42+flow!AX43+flow!AX50</f>
        <v>0</v>
      </c>
      <c r="AY133" s="422"/>
      <c r="AZ133" s="422">
        <f>+flow!AZ42+flow!AZ43+flow!AZ50</f>
        <v>0</v>
      </c>
      <c r="BA133" s="422"/>
      <c r="BB133" s="422">
        <f>+flow!BB42+flow!BB43+flow!BB50</f>
        <v>0</v>
      </c>
      <c r="BC133" s="422"/>
      <c r="BD133" s="422">
        <f>+flow!BD42+flow!BD43+flow!BD50</f>
        <v>0</v>
      </c>
      <c r="BE133" s="422"/>
      <c r="BF133" s="1934">
        <f>+flow!BF42+flow!BF43+flow!BF50</f>
        <v>0</v>
      </c>
      <c r="BG133" s="422"/>
      <c r="BH133" s="422"/>
      <c r="BI133" s="422"/>
    </row>
    <row r="134" spans="1:61" outlineLevel="1">
      <c r="A134" s="222"/>
      <c r="B134" s="222" t="s">
        <v>223</v>
      </c>
      <c r="C134" s="222"/>
      <c r="D134" s="222"/>
      <c r="E134" s="222"/>
      <c r="F134" s="222"/>
      <c r="G134" s="222"/>
      <c r="H134" s="222"/>
      <c r="I134" s="222"/>
      <c r="J134" s="422"/>
      <c r="K134" s="222"/>
      <c r="L134" s="422">
        <f>+flow!L52</f>
        <v>0</v>
      </c>
      <c r="M134" s="222"/>
      <c r="N134" s="422">
        <f>+flow!N52</f>
        <v>0</v>
      </c>
      <c r="O134" s="422"/>
      <c r="P134" s="422">
        <f>+flow!P52</f>
        <v>0</v>
      </c>
      <c r="Q134" s="422"/>
      <c r="R134" s="422">
        <f>+flow!R52</f>
        <v>0</v>
      </c>
      <c r="S134" s="422"/>
      <c r="T134" s="422">
        <f>+flow!T52</f>
        <v>0</v>
      </c>
      <c r="U134" s="422"/>
      <c r="V134" s="422">
        <f>+flow!V52</f>
        <v>0</v>
      </c>
      <c r="W134" s="422"/>
      <c r="X134" s="422">
        <f>+flow!X52</f>
        <v>0</v>
      </c>
      <c r="Y134" s="422"/>
      <c r="Z134" s="422">
        <f>+flow!Z52</f>
        <v>0</v>
      </c>
      <c r="AA134" s="422"/>
      <c r="AB134" s="422">
        <f>+flow!AB52</f>
        <v>0</v>
      </c>
      <c r="AC134" s="422"/>
      <c r="AD134" s="422">
        <f>+flow!AD52</f>
        <v>0</v>
      </c>
      <c r="AE134" s="422"/>
      <c r="AF134" s="422">
        <f>+flow!AF52</f>
        <v>0</v>
      </c>
      <c r="AG134" s="422"/>
      <c r="AH134" s="422">
        <f>+flow!AH52</f>
        <v>-94.323999999999998</v>
      </c>
      <c r="AI134" s="422"/>
      <c r="AJ134" s="422">
        <f>+flow!AJ52</f>
        <v>-178.11500000000001</v>
      </c>
      <c r="AK134" s="422"/>
      <c r="AL134" s="422">
        <f>+flow!AL52</f>
        <v>-260.27600000000001</v>
      </c>
      <c r="AM134" s="422"/>
      <c r="AN134" s="422">
        <f>+flow!AN52</f>
        <v>-339.72399999999999</v>
      </c>
      <c r="AO134" s="422"/>
      <c r="AP134" s="422">
        <f>+flow!AP52</f>
        <v>-376.49799999999999</v>
      </c>
      <c r="AQ134" s="422"/>
      <c r="AR134" s="422">
        <f>+flow!AR52</f>
        <v>-371.8</v>
      </c>
      <c r="AS134" s="422"/>
      <c r="AT134" s="422">
        <f>+flow!AT52</f>
        <v>-374.5</v>
      </c>
      <c r="AU134" s="422"/>
      <c r="AV134" s="422">
        <f>+flow!AV52</f>
        <v>-378</v>
      </c>
      <c r="AW134" s="422"/>
      <c r="AX134" s="422">
        <f>+flow!AX52</f>
        <v>-390.37665106933611</v>
      </c>
      <c r="AY134" s="422"/>
      <c r="AZ134" s="422">
        <f>+flow!AZ52</f>
        <v>-390.37665106933611</v>
      </c>
      <c r="BA134" s="422"/>
      <c r="BB134" s="422">
        <f>+flow!BB52</f>
        <v>-390.37665106933611</v>
      </c>
      <c r="BC134" s="422"/>
      <c r="BD134" s="422">
        <f>+flow!BD52</f>
        <v>-390.37665106933611</v>
      </c>
      <c r="BE134" s="422"/>
      <c r="BF134" s="1934">
        <f>+flow!BF52</f>
        <v>-390.37665106933611</v>
      </c>
      <c r="BG134" s="422"/>
      <c r="BH134" s="422"/>
      <c r="BI134" s="422"/>
    </row>
    <row r="135" spans="1:61" outlineLevel="1">
      <c r="A135" s="222"/>
      <c r="B135" s="222" t="s">
        <v>358</v>
      </c>
      <c r="C135" s="222"/>
      <c r="D135" s="222"/>
      <c r="E135" s="222"/>
      <c r="F135" s="222"/>
      <c r="G135" s="222"/>
      <c r="H135" s="222"/>
      <c r="I135" s="222"/>
      <c r="J135" s="422"/>
      <c r="K135" s="222"/>
      <c r="L135" s="422" t="s">
        <v>646</v>
      </c>
      <c r="M135" s="222"/>
      <c r="N135" s="422" t="s">
        <v>646</v>
      </c>
      <c r="O135" s="422"/>
      <c r="P135" s="422" t="s">
        <v>646</v>
      </c>
      <c r="Q135" s="422"/>
      <c r="R135" s="422" t="s">
        <v>646</v>
      </c>
      <c r="S135" s="422"/>
      <c r="T135" s="422" t="s">
        <v>646</v>
      </c>
      <c r="U135" s="422"/>
      <c r="V135" s="422" t="s">
        <v>646</v>
      </c>
      <c r="W135" s="422"/>
      <c r="X135" s="422" t="s">
        <v>646</v>
      </c>
      <c r="Y135" s="422"/>
      <c r="Z135" s="422" t="s">
        <v>646</v>
      </c>
      <c r="AA135" s="422"/>
      <c r="AB135" s="422" t="s">
        <v>646</v>
      </c>
      <c r="AC135" s="422"/>
      <c r="AD135" s="422" t="s">
        <v>646</v>
      </c>
      <c r="AE135" s="422"/>
      <c r="AF135" s="422" t="s">
        <v>646</v>
      </c>
      <c r="AG135" s="422"/>
      <c r="AH135" s="422" t="s">
        <v>646</v>
      </c>
      <c r="AI135" s="422"/>
      <c r="AJ135" s="422" t="s">
        <v>646</v>
      </c>
      <c r="AK135" s="422"/>
      <c r="AL135" s="422" t="s">
        <v>646</v>
      </c>
      <c r="AM135" s="422"/>
      <c r="AN135" s="422" t="s">
        <v>646</v>
      </c>
      <c r="AO135" s="422"/>
      <c r="AP135" s="422" t="s">
        <v>646</v>
      </c>
      <c r="AQ135" s="422"/>
      <c r="AR135" s="422" t="s">
        <v>646</v>
      </c>
      <c r="AS135" s="422"/>
      <c r="AT135" s="422" t="s">
        <v>646</v>
      </c>
      <c r="AU135" s="422"/>
      <c r="AV135" s="422" t="s">
        <v>646</v>
      </c>
      <c r="AW135" s="422"/>
      <c r="AX135" s="422" t="s">
        <v>646</v>
      </c>
      <c r="AY135" s="422"/>
      <c r="AZ135" s="422" t="s">
        <v>646</v>
      </c>
      <c r="BA135" s="422"/>
      <c r="BB135" s="422" t="s">
        <v>646</v>
      </c>
      <c r="BC135" s="422"/>
      <c r="BD135" s="422" t="s">
        <v>646</v>
      </c>
      <c r="BE135" s="422"/>
      <c r="BF135" s="1934" t="s">
        <v>646</v>
      </c>
      <c r="BG135" s="422"/>
      <c r="BH135" s="422"/>
      <c r="BI135" s="422"/>
    </row>
    <row r="136" spans="1:61">
      <c r="A136" s="222"/>
      <c r="B136" s="222"/>
      <c r="C136" s="222"/>
      <c r="D136" s="222"/>
      <c r="E136" s="222"/>
      <c r="F136" s="222"/>
      <c r="G136" s="222"/>
      <c r="H136" s="222"/>
      <c r="I136" s="222"/>
      <c r="J136" s="222"/>
      <c r="K136" s="222"/>
      <c r="L136" s="222"/>
      <c r="M136" s="222"/>
      <c r="N136" s="222"/>
      <c r="O136" s="222"/>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c r="AQ136" s="222"/>
      <c r="AR136" s="222"/>
      <c r="AS136" s="222"/>
      <c r="AT136" s="222"/>
      <c r="AU136" s="222"/>
      <c r="AV136" s="222"/>
      <c r="AW136" s="222"/>
      <c r="AX136" s="222"/>
      <c r="AY136" s="222"/>
      <c r="AZ136" s="222"/>
      <c r="BA136" s="222"/>
      <c r="BB136" s="222"/>
      <c r="BC136" s="222"/>
      <c r="BD136" s="222"/>
      <c r="BE136" s="222"/>
      <c r="BF136" s="236"/>
      <c r="BG136" s="222"/>
      <c r="BH136" s="222"/>
      <c r="BI136" s="222"/>
    </row>
    <row r="137" spans="1:61">
      <c r="A137" s="222"/>
      <c r="B137" s="222"/>
      <c r="C137" s="222"/>
      <c r="D137" s="222"/>
      <c r="E137" s="222"/>
      <c r="F137" s="222"/>
      <c r="G137" s="222"/>
      <c r="H137" s="222"/>
      <c r="I137" s="222"/>
      <c r="J137" s="222"/>
      <c r="K137" s="222"/>
      <c r="L137" s="222"/>
      <c r="M137" s="222"/>
      <c r="N137" s="222"/>
      <c r="O137" s="222"/>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c r="AQ137" s="222"/>
      <c r="AR137" s="222"/>
      <c r="AS137" s="222"/>
      <c r="AT137" s="222"/>
      <c r="AU137" s="222"/>
      <c r="AV137" s="222"/>
      <c r="AW137" s="222"/>
      <c r="AX137" s="222"/>
      <c r="AY137" s="222"/>
      <c r="AZ137" s="222"/>
      <c r="BA137" s="222"/>
      <c r="BB137" s="222"/>
      <c r="BC137" s="222"/>
      <c r="BD137" s="222"/>
      <c r="BE137" s="222"/>
      <c r="BF137" s="236"/>
      <c r="BG137" s="222"/>
      <c r="BH137" s="222"/>
      <c r="BI137" s="222"/>
    </row>
    <row r="138" spans="1:61">
      <c r="BF138"/>
    </row>
  </sheetData>
  <phoneticPr fontId="0" type="noConversion"/>
  <dataValidations disablePrompts="1" count="1">
    <dataValidation type="custom" allowBlank="1" showInputMessage="1" showErrorMessage="1" sqref="AK134 AO134 BS134:BU134 BQ134 BZ134:IV134 AQ134 AM134 W134 Y134 AA134 AC134 AE134 AG134 AI134 U134 S134 Q134 O134 M134 B134:I134 K134">
      <formula1>-1</formula1>
    </dataValidation>
  </dataValidations>
  <printOptions horizontalCentered="1"/>
  <pageMargins left="0" right="0" top="0" bottom="0" header="0" footer="0"/>
  <pageSetup paperSize="5" scale="92" orientation="landscape" r:id="rId1"/>
  <headerFooter alignWithMargins="0">
    <oddFooter>&amp;R&amp;8&amp;D
&amp;F/
&amp;A</odd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2"/>
  <sheetViews>
    <sheetView workbookViewId="0"/>
  </sheetViews>
  <sheetFormatPr defaultRowHeight="12.75"/>
  <sheetData>
    <row r="1" spans="1:28">
      <c r="A1" t="s">
        <v>905</v>
      </c>
    </row>
    <row r="2" spans="1:28">
      <c r="A2" s="590" t="s">
        <v>82</v>
      </c>
      <c r="B2" s="590" t="s">
        <v>83</v>
      </c>
      <c r="C2" s="590" t="s">
        <v>903</v>
      </c>
      <c r="D2" s="590" t="s">
        <v>906</v>
      </c>
      <c r="E2" s="590" t="s">
        <v>86</v>
      </c>
      <c r="F2" s="590" t="s">
        <v>606</v>
      </c>
      <c r="G2" s="590" t="s">
        <v>87</v>
      </c>
      <c r="H2" s="590" t="s">
        <v>606</v>
      </c>
      <c r="I2" s="590" t="s">
        <v>902</v>
      </c>
      <c r="J2" s="590" t="s">
        <v>913</v>
      </c>
      <c r="K2" s="590" t="s">
        <v>770</v>
      </c>
      <c r="L2" s="590" t="s">
        <v>606</v>
      </c>
      <c r="M2" s="590" t="s">
        <v>84</v>
      </c>
      <c r="N2" s="590" t="s">
        <v>606</v>
      </c>
      <c r="O2" s="590" t="s">
        <v>79</v>
      </c>
      <c r="P2" s="590" t="s">
        <v>8</v>
      </c>
      <c r="Q2" s="590" t="s">
        <v>774</v>
      </c>
      <c r="R2" s="590" t="s">
        <v>797</v>
      </c>
      <c r="S2" s="590" t="s">
        <v>85</v>
      </c>
      <c r="T2" s="590" t="s">
        <v>606</v>
      </c>
      <c r="U2" s="590" t="s">
        <v>904</v>
      </c>
      <c r="V2" s="590" t="s">
        <v>8</v>
      </c>
      <c r="W2" s="590" t="s">
        <v>80</v>
      </c>
      <c r="X2" s="590" t="s">
        <v>8</v>
      </c>
      <c r="Y2" s="590" t="s">
        <v>81</v>
      </c>
      <c r="Z2" s="590" t="s">
        <v>889</v>
      </c>
      <c r="AA2" s="590" t="s">
        <v>769</v>
      </c>
      <c r="AB2" s="590" t="s">
        <v>606</v>
      </c>
    </row>
  </sheetData>
  <phoneticPr fontId="39"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M203"/>
  <sheetViews>
    <sheetView showGridLines="0" zoomScale="85" workbookViewId="0">
      <selection activeCell="J6" sqref="J6"/>
    </sheetView>
  </sheetViews>
  <sheetFormatPr defaultColWidth="6.7109375" defaultRowHeight="12.75" outlineLevelRow="1" outlineLevelCol="1"/>
  <cols>
    <col min="1" max="1" width="1" style="734" customWidth="1"/>
    <col min="2" max="2" width="1.140625" style="733" customWidth="1"/>
    <col min="3" max="4" width="13.42578125" style="732" customWidth="1"/>
    <col min="5" max="5" width="13.28515625" style="732" customWidth="1"/>
    <col min="6" max="6" width="12.42578125" style="732" customWidth="1"/>
    <col min="7" max="7" width="9.42578125" style="732" customWidth="1"/>
    <col min="8" max="8" width="9.5703125" style="731" customWidth="1"/>
    <col min="9" max="9" width="12" style="731" customWidth="1"/>
    <col min="10" max="19" width="9.5703125" style="731" customWidth="1"/>
    <col min="20" max="23" width="9.5703125" style="729" customWidth="1"/>
    <col min="24" max="26" width="6.7109375" style="729" customWidth="1"/>
    <col min="27" max="27" width="46.5703125" customWidth="1" outlineLevel="1"/>
    <col min="28" max="28" width="6.7109375" customWidth="1" outlineLevel="1"/>
    <col min="29" max="29" width="32.85546875" customWidth="1" outlineLevel="1"/>
    <col min="30" max="32" width="6.7109375" customWidth="1" outlineLevel="1"/>
    <col min="33" max="35" width="6.7109375" style="729"/>
    <col min="36" max="36" width="6.7109375" style="730"/>
    <col min="37" max="16384" width="6.7109375" style="729"/>
  </cols>
  <sheetData>
    <row r="1" spans="1:36" s="944" customFormat="1" ht="45" customHeight="1" thickBot="1">
      <c r="A1" s="952"/>
      <c r="B1" s="951"/>
      <c r="C1" s="950"/>
      <c r="D1" s="947"/>
      <c r="E1" s="947"/>
      <c r="F1" s="950"/>
      <c r="G1" s="950" t="s">
        <v>647</v>
      </c>
      <c r="H1" s="948"/>
      <c r="I1" s="948"/>
      <c r="J1" s="948"/>
      <c r="K1" s="948"/>
      <c r="L1" s="948"/>
      <c r="M1" s="948"/>
      <c r="N1" s="949"/>
      <c r="O1" s="948"/>
      <c r="P1" s="948"/>
      <c r="Q1" s="948"/>
      <c r="R1" s="948"/>
      <c r="S1" s="948"/>
      <c r="T1" s="947"/>
      <c r="U1" s="947"/>
      <c r="V1" s="947"/>
      <c r="W1" s="946"/>
      <c r="AA1"/>
      <c r="AB1"/>
      <c r="AC1"/>
      <c r="AD1"/>
      <c r="AE1"/>
      <c r="AF1"/>
      <c r="AJ1" s="945"/>
    </row>
    <row r="2" spans="1:36" ht="32.25" customHeight="1" thickBot="1">
      <c r="A2" s="943"/>
      <c r="B2" s="942"/>
      <c r="C2" s="941"/>
      <c r="D2" s="941"/>
      <c r="E2" s="941"/>
      <c r="F2" s="941"/>
      <c r="G2" s="941"/>
      <c r="H2" s="939"/>
      <c r="I2" s="939"/>
      <c r="J2" s="939"/>
      <c r="K2" s="939"/>
      <c r="L2" s="939"/>
      <c r="M2" s="939"/>
      <c r="N2" s="940"/>
      <c r="O2" s="940"/>
      <c r="P2" s="940" t="s">
        <v>916</v>
      </c>
      <c r="Q2" s="940"/>
      <c r="R2" s="939"/>
      <c r="S2" s="939"/>
      <c r="T2" s="938"/>
      <c r="U2" s="938"/>
      <c r="V2" s="938"/>
      <c r="W2" s="938"/>
    </row>
    <row r="3" spans="1:36" s="751" customFormat="1" ht="15.75" customHeight="1" thickBot="1">
      <c r="A3" s="754"/>
      <c r="B3" s="753"/>
      <c r="C3" s="752"/>
      <c r="D3" s="752"/>
      <c r="E3" s="752"/>
      <c r="F3" s="752"/>
      <c r="G3" s="752"/>
      <c r="H3" s="760"/>
      <c r="I3" s="937" t="s">
        <v>890</v>
      </c>
      <c r="J3" s="936" t="s">
        <v>8</v>
      </c>
      <c r="L3" s="935"/>
      <c r="M3" s="934"/>
      <c r="N3" s="933"/>
      <c r="O3" s="932"/>
      <c r="P3" s="931"/>
      <c r="Q3" s="760"/>
      <c r="R3" s="760"/>
      <c r="S3" s="760"/>
      <c r="AA3"/>
      <c r="AB3"/>
      <c r="AC3"/>
      <c r="AD3"/>
      <c r="AE3"/>
      <c r="AF3"/>
      <c r="AJ3" s="762"/>
    </row>
    <row r="4" spans="1:36" ht="15.75" customHeight="1">
      <c r="C4" s="930" t="str">
        <f>_xll.ThomsonONEAddinShim.SpreadsheetFormulas.TF($F$4,"TextAv(TF.CompanyName(sdate=0D),-)")</f>
        <v>N/A</v>
      </c>
      <c r="D4" s="929"/>
      <c r="E4" s="752"/>
      <c r="F4" s="928" t="s">
        <v>906</v>
      </c>
      <c r="G4" s="927"/>
      <c r="H4" s="589" t="str">
        <f>MONTH(I4)&amp;"/"&amp;YEAR(I4)</f>
        <v>7/2016</v>
      </c>
      <c r="I4" s="589">
        <f>_xll.ThomsonONEAddinShim.SpreadsheetFormulas.TF($F$4,"TF.FN.FiscalYearEndDate(period=FY0)")</f>
        <v>42553</v>
      </c>
      <c r="K4" s="760"/>
      <c r="AJ4" s="730" t="s">
        <v>67</v>
      </c>
    </row>
    <row r="5" spans="1:36" ht="15.75" customHeight="1">
      <c r="C5" s="926" t="s">
        <v>648</v>
      </c>
      <c r="D5" s="923"/>
      <c r="F5" s="925">
        <f>H8</f>
        <v>2008</v>
      </c>
      <c r="H5" s="924" t="str">
        <f t="shared" ref="H5:P5" si="0">"FY"&amp;H7</f>
        <v>FY-8</v>
      </c>
      <c r="I5" s="924" t="str">
        <f t="shared" si="0"/>
        <v>FY-7</v>
      </c>
      <c r="J5" s="924" t="str">
        <f t="shared" si="0"/>
        <v>FY-6</v>
      </c>
      <c r="K5" s="924" t="str">
        <f t="shared" si="0"/>
        <v>FY-5</v>
      </c>
      <c r="L5" s="924" t="str">
        <f t="shared" si="0"/>
        <v>FY-4</v>
      </c>
      <c r="M5" s="924" t="str">
        <f t="shared" si="0"/>
        <v>FY-3</v>
      </c>
      <c r="N5" s="924" t="str">
        <f t="shared" si="0"/>
        <v>FY-2</v>
      </c>
      <c r="O5" s="924" t="str">
        <f t="shared" si="0"/>
        <v>FY-1</v>
      </c>
      <c r="P5" s="924" t="str">
        <f t="shared" si="0"/>
        <v>FY0</v>
      </c>
      <c r="AJ5" s="873"/>
    </row>
    <row r="6" spans="1:36" customFormat="1" ht="13.5" customHeight="1"/>
    <row r="7" spans="1:36">
      <c r="C7" s="922"/>
      <c r="H7" s="921">
        <f t="shared" ref="H7:O7" si="1">I7-1</f>
        <v>-8</v>
      </c>
      <c r="I7" s="921">
        <f t="shared" si="1"/>
        <v>-7</v>
      </c>
      <c r="J7" s="921">
        <f t="shared" si="1"/>
        <v>-6</v>
      </c>
      <c r="K7" s="921">
        <f t="shared" si="1"/>
        <v>-5</v>
      </c>
      <c r="L7" s="921">
        <f t="shared" si="1"/>
        <v>-4</v>
      </c>
      <c r="M7" s="921">
        <f t="shared" si="1"/>
        <v>-3</v>
      </c>
      <c r="N7" s="921">
        <f t="shared" si="1"/>
        <v>-2</v>
      </c>
      <c r="O7" s="921">
        <f t="shared" si="1"/>
        <v>-1</v>
      </c>
      <c r="P7" s="921">
        <v>0</v>
      </c>
      <c r="Q7" s="921">
        <f t="shared" ref="Q7:W7" si="2">P7+1</f>
        <v>1</v>
      </c>
      <c r="R7" s="921">
        <f t="shared" si="2"/>
        <v>2</v>
      </c>
      <c r="S7" s="921">
        <f t="shared" si="2"/>
        <v>3</v>
      </c>
      <c r="T7" s="921">
        <f t="shared" si="2"/>
        <v>4</v>
      </c>
      <c r="U7" s="921">
        <f t="shared" si="2"/>
        <v>5</v>
      </c>
      <c r="V7" s="921">
        <f t="shared" si="2"/>
        <v>6</v>
      </c>
      <c r="W7" s="921">
        <f t="shared" si="2"/>
        <v>7</v>
      </c>
    </row>
    <row r="8" spans="1:36" s="733" customFormat="1" outlineLevel="1">
      <c r="A8" s="920"/>
      <c r="C8" s="919"/>
      <c r="D8" s="919"/>
      <c r="E8" s="919"/>
      <c r="F8" s="919"/>
      <c r="G8" s="919"/>
      <c r="H8" s="918">
        <f t="shared" ref="H8:W8" si="3">YEAR(H9)</f>
        <v>2008</v>
      </c>
      <c r="I8" s="918">
        <f t="shared" si="3"/>
        <v>2009</v>
      </c>
      <c r="J8" s="918">
        <f t="shared" si="3"/>
        <v>2010</v>
      </c>
      <c r="K8" s="918">
        <f t="shared" si="3"/>
        <v>2011</v>
      </c>
      <c r="L8" s="918">
        <f t="shared" si="3"/>
        <v>2012</v>
      </c>
      <c r="M8" s="918">
        <f t="shared" si="3"/>
        <v>2013</v>
      </c>
      <c r="N8" s="918">
        <f t="shared" si="3"/>
        <v>2014</v>
      </c>
      <c r="O8" s="918">
        <f t="shared" si="3"/>
        <v>2015</v>
      </c>
      <c r="P8" s="918">
        <f t="shared" si="3"/>
        <v>2016</v>
      </c>
      <c r="Q8" s="918">
        <f t="shared" si="3"/>
        <v>2017</v>
      </c>
      <c r="R8" s="918">
        <f t="shared" si="3"/>
        <v>2018</v>
      </c>
      <c r="S8" s="918">
        <f t="shared" si="3"/>
        <v>2019</v>
      </c>
      <c r="T8" s="918">
        <f t="shared" si="3"/>
        <v>2020</v>
      </c>
      <c r="U8" s="918">
        <f t="shared" si="3"/>
        <v>2021</v>
      </c>
      <c r="V8" s="918">
        <f t="shared" si="3"/>
        <v>2022</v>
      </c>
      <c r="W8" s="918">
        <f t="shared" si="3"/>
        <v>2023</v>
      </c>
      <c r="AA8"/>
      <c r="AB8"/>
      <c r="AC8"/>
      <c r="AD8"/>
      <c r="AE8"/>
      <c r="AF8"/>
      <c r="AJ8" s="730"/>
    </row>
    <row r="9" spans="1:36" ht="14.25" customHeight="1">
      <c r="C9" s="906" t="s">
        <v>64</v>
      </c>
      <c r="D9" s="916"/>
      <c r="E9" s="916"/>
      <c r="F9" s="916"/>
      <c r="G9" s="916"/>
      <c r="H9" s="917">
        <f>DATE(YEAR($I$4)+H7,MONTH($I$4),DAY($I$4))</f>
        <v>39631</v>
      </c>
      <c r="I9" s="917">
        <f t="shared" ref="I9:W9" si="4">DATE(YEAR($I$4)+I7,MONTH($I$4),DAY($I$4))</f>
        <v>39996</v>
      </c>
      <c r="J9" s="917">
        <f t="shared" si="4"/>
        <v>40361</v>
      </c>
      <c r="K9" s="917">
        <f t="shared" si="4"/>
        <v>40726</v>
      </c>
      <c r="L9" s="917">
        <f t="shared" si="4"/>
        <v>41092</v>
      </c>
      <c r="M9" s="917">
        <f t="shared" si="4"/>
        <v>41457</v>
      </c>
      <c r="N9" s="917">
        <f t="shared" si="4"/>
        <v>41822</v>
      </c>
      <c r="O9" s="917">
        <f t="shared" si="4"/>
        <v>42187</v>
      </c>
      <c r="P9" s="917">
        <f t="shared" si="4"/>
        <v>42553</v>
      </c>
      <c r="Q9" s="917">
        <f t="shared" si="4"/>
        <v>42918</v>
      </c>
      <c r="R9" s="917">
        <f t="shared" si="4"/>
        <v>43283</v>
      </c>
      <c r="S9" s="917">
        <f t="shared" si="4"/>
        <v>43648</v>
      </c>
      <c r="T9" s="917">
        <f t="shared" si="4"/>
        <v>44014</v>
      </c>
      <c r="U9" s="917">
        <f t="shared" si="4"/>
        <v>44379</v>
      </c>
      <c r="V9" s="917">
        <f t="shared" si="4"/>
        <v>44744</v>
      </c>
      <c r="W9" s="917">
        <f t="shared" si="4"/>
        <v>45109</v>
      </c>
    </row>
    <row r="10" spans="1:36">
      <c r="C10" s="905"/>
      <c r="D10" s="916"/>
      <c r="E10" s="916"/>
      <c r="F10" s="916"/>
      <c r="G10" s="915"/>
      <c r="N10" s="914"/>
      <c r="T10" s="731"/>
      <c r="U10" s="731"/>
      <c r="V10" s="731"/>
      <c r="W10" s="731"/>
    </row>
    <row r="11" spans="1:36">
      <c r="C11" s="891" t="s">
        <v>649</v>
      </c>
      <c r="D11" s="891"/>
      <c r="E11" s="891"/>
      <c r="F11" s="891"/>
      <c r="G11" s="891"/>
      <c r="H11" s="802"/>
      <c r="I11" s="821">
        <f t="shared" ref="I11:W11" si="5">IF(I8&gt;$F$5,I76,0)</f>
        <v>151.267</v>
      </c>
      <c r="J11" s="821">
        <f t="shared" si="5"/>
        <v>181.369</v>
      </c>
      <c r="K11" s="821">
        <f t="shared" si="5"/>
        <v>206.905</v>
      </c>
      <c r="L11" s="821">
        <f t="shared" si="5"/>
        <v>248.15600000000001</v>
      </c>
      <c r="M11" s="821">
        <f t="shared" si="5"/>
        <v>282.30500000000001</v>
      </c>
      <c r="N11" s="821">
        <f t="shared" si="5"/>
        <v>317.20699999999999</v>
      </c>
      <c r="O11" s="821">
        <f t="shared" si="5"/>
        <v>356.6</v>
      </c>
      <c r="P11" s="821">
        <f t="shared" si="5"/>
        <v>364.7</v>
      </c>
      <c r="Q11" s="821">
        <f t="shared" si="5"/>
        <v>371.99399999999997</v>
      </c>
      <c r="R11" s="821">
        <f t="shared" si="5"/>
        <v>379.43387999999999</v>
      </c>
      <c r="S11" s="821">
        <f t="shared" si="5"/>
        <v>387.02255759999997</v>
      </c>
      <c r="T11" s="821">
        <f t="shared" si="5"/>
        <v>394.76300875199996</v>
      </c>
      <c r="U11" s="821">
        <f t="shared" si="5"/>
        <v>402.65826892703996</v>
      </c>
      <c r="V11" s="821">
        <f t="shared" si="5"/>
        <v>410.71143430558078</v>
      </c>
      <c r="W11" s="821">
        <f t="shared" si="5"/>
        <v>418.92566299169238</v>
      </c>
    </row>
    <row r="12" spans="1:36">
      <c r="C12" s="773" t="s">
        <v>650</v>
      </c>
      <c r="D12" s="773"/>
      <c r="E12" s="773"/>
      <c r="F12" s="773"/>
      <c r="G12" s="773"/>
      <c r="H12" s="802"/>
      <c r="I12" s="913">
        <f t="shared" ref="I12:W12" si="6">IF(I8&gt;$F$5,I23,0)</f>
        <v>-115.39637078209773</v>
      </c>
      <c r="J12" s="913">
        <f t="shared" si="6"/>
        <v>-136.01751936645576</v>
      </c>
      <c r="K12" s="913">
        <f t="shared" si="6"/>
        <v>-164.34872097912665</v>
      </c>
      <c r="L12" s="913">
        <f t="shared" si="6"/>
        <v>-192.81385455954413</v>
      </c>
      <c r="M12" s="913">
        <f t="shared" si="6"/>
        <v>-146.23458648460317</v>
      </c>
      <c r="N12" s="913">
        <f t="shared" si="6"/>
        <v>-169.7166</v>
      </c>
      <c r="O12" s="913">
        <f t="shared" si="6"/>
        <v>-218.31957942696795</v>
      </c>
      <c r="P12" s="913">
        <f t="shared" si="6"/>
        <v>-134.48319940723479</v>
      </c>
      <c r="Q12" s="913">
        <f t="shared" si="6"/>
        <v>-170.57456722918141</v>
      </c>
      <c r="R12" s="913">
        <f t="shared" si="6"/>
        <v>-207.38776240756698</v>
      </c>
      <c r="S12" s="913">
        <f t="shared" si="6"/>
        <v>-232.17342148952025</v>
      </c>
      <c r="T12" s="913">
        <f t="shared" si="6"/>
        <v>-247.80006975311261</v>
      </c>
      <c r="U12" s="913">
        <f t="shared" si="6"/>
        <v>-256.52372698197678</v>
      </c>
      <c r="V12" s="913">
        <f t="shared" si="6"/>
        <v>-265.93501335541828</v>
      </c>
      <c r="W12" s="913">
        <f t="shared" si="6"/>
        <v>-277.09275545632852</v>
      </c>
    </row>
    <row r="13" spans="1:36">
      <c r="C13" s="912" t="s">
        <v>651</v>
      </c>
      <c r="D13" s="891"/>
      <c r="E13" s="891"/>
      <c r="F13" s="891"/>
      <c r="G13" s="891"/>
      <c r="H13" s="802"/>
      <c r="I13" s="890">
        <f t="shared" ref="I13:W13" si="7">SUM(I11:I12)</f>
        <v>35.870629217902263</v>
      </c>
      <c r="J13" s="890">
        <f t="shared" si="7"/>
        <v>45.351480633544242</v>
      </c>
      <c r="K13" s="890">
        <f t="shared" si="7"/>
        <v>42.556279020873347</v>
      </c>
      <c r="L13" s="890">
        <f t="shared" si="7"/>
        <v>55.34214544045588</v>
      </c>
      <c r="M13" s="890">
        <f t="shared" si="7"/>
        <v>136.07041351539684</v>
      </c>
      <c r="N13" s="890">
        <f t="shared" si="7"/>
        <v>147.49039999999999</v>
      </c>
      <c r="O13" s="890">
        <f t="shared" si="7"/>
        <v>138.28042057303207</v>
      </c>
      <c r="P13" s="890">
        <f t="shared" si="7"/>
        <v>230.2168005927652</v>
      </c>
      <c r="Q13" s="890">
        <f t="shared" si="7"/>
        <v>201.41943277081856</v>
      </c>
      <c r="R13" s="890">
        <f t="shared" si="7"/>
        <v>172.04611759243301</v>
      </c>
      <c r="S13" s="890">
        <f t="shared" si="7"/>
        <v>154.84913611047972</v>
      </c>
      <c r="T13" s="890">
        <f t="shared" si="7"/>
        <v>146.96293899888735</v>
      </c>
      <c r="U13" s="890">
        <f t="shared" si="7"/>
        <v>146.13454194506318</v>
      </c>
      <c r="V13" s="890">
        <f t="shared" si="7"/>
        <v>144.7764209501625</v>
      </c>
      <c r="W13" s="890">
        <f t="shared" si="7"/>
        <v>141.83290753536386</v>
      </c>
    </row>
    <row r="14" spans="1:36">
      <c r="C14" s="891"/>
      <c r="D14" s="891"/>
      <c r="E14" s="891"/>
      <c r="F14" s="891"/>
      <c r="G14" s="891"/>
      <c r="H14" s="802"/>
      <c r="I14" s="802"/>
      <c r="J14" s="802"/>
      <c r="K14" s="802"/>
      <c r="L14" s="802"/>
      <c r="M14" s="802"/>
      <c r="N14" s="802"/>
      <c r="O14" s="802"/>
      <c r="P14" s="802"/>
      <c r="Q14" s="802"/>
      <c r="R14" s="802"/>
      <c r="S14" s="802"/>
      <c r="T14" s="802"/>
      <c r="U14" s="802"/>
      <c r="V14" s="802"/>
      <c r="W14" s="802"/>
    </row>
    <row r="15" spans="1:36">
      <c r="C15" s="891" t="s">
        <v>652</v>
      </c>
      <c r="D15" s="891"/>
      <c r="E15" s="891"/>
      <c r="F15" s="891"/>
      <c r="G15" s="891"/>
      <c r="H15" s="802"/>
      <c r="I15" s="913">
        <f t="shared" ref="I15:W15" si="8">IF(OR(I8&gt;$F$5,I8=$F$5),-I30,0)</f>
        <v>-56.482038495077866</v>
      </c>
      <c r="J15" s="913">
        <f t="shared" si="8"/>
        <v>-59.635930190605343</v>
      </c>
      <c r="K15" s="913">
        <f t="shared" si="8"/>
        <v>-69.716403488903438</v>
      </c>
      <c r="L15" s="913">
        <f t="shared" si="8"/>
        <v>-85.675386223838174</v>
      </c>
      <c r="M15" s="913">
        <f t="shared" si="8"/>
        <v>-99.296287301326643</v>
      </c>
      <c r="N15" s="913">
        <f t="shared" si="8"/>
        <v>-110.034970882254</v>
      </c>
      <c r="O15" s="913">
        <f t="shared" si="8"/>
        <v>-135.89212369715474</v>
      </c>
      <c r="P15" s="913">
        <f>IF(OR(P8&gt;$F$5,P8=$F$5),-P30,0)</f>
        <v>-132.13115204592737</v>
      </c>
      <c r="Q15" s="913">
        <f t="shared" si="8"/>
        <v>-66.140339769765347</v>
      </c>
      <c r="R15" s="913">
        <f t="shared" si="8"/>
        <v>-71.647707932342257</v>
      </c>
      <c r="S15" s="913">
        <f t="shared" si="8"/>
        <v>-77.666941349420142</v>
      </c>
      <c r="T15" s="913">
        <f t="shared" si="8"/>
        <v>-84.24684224364897</v>
      </c>
      <c r="U15" s="913">
        <f t="shared" si="8"/>
        <v>-91.440891114217436</v>
      </c>
      <c r="V15" s="913">
        <f t="shared" si="8"/>
        <v>-99.307695716664071</v>
      </c>
      <c r="W15" s="913">
        <f t="shared" si="8"/>
        <v>-107.91148314205519</v>
      </c>
    </row>
    <row r="16" spans="1:36">
      <c r="C16" s="912" t="s">
        <v>653</v>
      </c>
      <c r="D16" s="912"/>
      <c r="E16" s="912"/>
      <c r="F16" s="912"/>
      <c r="G16" s="912"/>
      <c r="H16" s="802"/>
      <c r="I16" s="890">
        <f t="shared" ref="I16:W16" si="9">I13+I15</f>
        <v>-20.611409277175603</v>
      </c>
      <c r="J16" s="890">
        <f t="shared" si="9"/>
        <v>-14.284449557061102</v>
      </c>
      <c r="K16" s="890">
        <f t="shared" si="9"/>
        <v>-27.160124468030091</v>
      </c>
      <c r="L16" s="890">
        <f t="shared" si="9"/>
        <v>-30.333240783382294</v>
      </c>
      <c r="M16" s="890">
        <f t="shared" si="9"/>
        <v>36.774126214070193</v>
      </c>
      <c r="N16" s="890">
        <f t="shared" si="9"/>
        <v>37.455429117745993</v>
      </c>
      <c r="O16" s="890">
        <f t="shared" si="9"/>
        <v>2.3882968758773302</v>
      </c>
      <c r="P16" s="890">
        <f t="shared" si="9"/>
        <v>98.085648546837831</v>
      </c>
      <c r="Q16" s="890">
        <f t="shared" si="9"/>
        <v>135.27909300105321</v>
      </c>
      <c r="R16" s="890">
        <f t="shared" si="9"/>
        <v>100.39840966009075</v>
      </c>
      <c r="S16" s="890">
        <f t="shared" si="9"/>
        <v>77.182194761059577</v>
      </c>
      <c r="T16" s="890">
        <f t="shared" si="9"/>
        <v>62.716096755238382</v>
      </c>
      <c r="U16" s="890">
        <f t="shared" si="9"/>
        <v>54.693650830845741</v>
      </c>
      <c r="V16" s="890">
        <f t="shared" si="9"/>
        <v>45.468725233498432</v>
      </c>
      <c r="W16" s="890">
        <f t="shared" si="9"/>
        <v>33.921424393308669</v>
      </c>
    </row>
    <row r="17" spans="1:36">
      <c r="C17" s="891"/>
      <c r="D17" s="891"/>
      <c r="E17" s="891"/>
      <c r="F17" s="891"/>
      <c r="G17" s="891"/>
      <c r="H17" s="802"/>
      <c r="I17" s="821"/>
      <c r="J17" s="821"/>
      <c r="K17" s="821"/>
      <c r="L17" s="821"/>
      <c r="M17" s="821"/>
      <c r="N17" s="821"/>
      <c r="O17" s="821"/>
      <c r="P17" s="821"/>
      <c r="Q17" s="821"/>
      <c r="R17" s="821"/>
      <c r="S17" s="821"/>
      <c r="T17" s="821"/>
      <c r="U17" s="821"/>
      <c r="V17" s="821"/>
      <c r="W17" s="821"/>
    </row>
    <row r="18" spans="1:36">
      <c r="C18" s="891"/>
      <c r="D18" s="891"/>
      <c r="E18" s="891"/>
      <c r="F18" s="891"/>
      <c r="G18" s="891"/>
      <c r="H18" s="911"/>
      <c r="I18" s="910"/>
      <c r="J18" s="910"/>
      <c r="K18" s="910"/>
      <c r="L18" s="910"/>
      <c r="M18" s="910"/>
      <c r="N18" s="910"/>
      <c r="O18" s="910"/>
      <c r="P18" s="910"/>
      <c r="Q18" s="910"/>
      <c r="R18" s="910"/>
      <c r="S18" s="910"/>
      <c r="T18" s="910"/>
      <c r="U18" s="910"/>
      <c r="V18" s="910"/>
      <c r="W18" s="910"/>
    </row>
    <row r="19" spans="1:36" s="732" customFormat="1" ht="14.25" customHeight="1">
      <c r="A19" s="886"/>
      <c r="C19" s="906" t="s">
        <v>467</v>
      </c>
      <c r="D19" s="789"/>
      <c r="E19" s="789"/>
      <c r="F19" s="789"/>
      <c r="G19" s="789"/>
      <c r="H19" s="909"/>
      <c r="I19" s="909"/>
      <c r="J19" s="909"/>
      <c r="K19" s="909"/>
      <c r="L19" s="909"/>
      <c r="M19" s="909"/>
      <c r="N19" s="909"/>
      <c r="O19" s="909"/>
      <c r="P19" s="908"/>
      <c r="Q19" s="908"/>
      <c r="R19" s="908"/>
      <c r="S19" s="908"/>
      <c r="T19" s="908"/>
      <c r="U19" s="908"/>
      <c r="V19" s="908"/>
      <c r="W19" s="908"/>
      <c r="AA19"/>
      <c r="AB19"/>
      <c r="AC19"/>
      <c r="AD19"/>
      <c r="AE19"/>
      <c r="AF19"/>
      <c r="AJ19" s="730"/>
    </row>
    <row r="20" spans="1:36" s="732" customFormat="1">
      <c r="A20" s="886"/>
      <c r="B20" s="803"/>
      <c r="C20" s="905"/>
      <c r="D20" s="789"/>
      <c r="E20" s="789"/>
      <c r="F20" s="789"/>
      <c r="G20" s="789"/>
      <c r="H20" s="909"/>
      <c r="I20" s="909"/>
      <c r="J20" s="909"/>
      <c r="K20" s="909"/>
      <c r="L20" s="909"/>
      <c r="M20" s="909"/>
      <c r="N20" s="909"/>
      <c r="O20" s="909"/>
      <c r="P20" s="908"/>
      <c r="Q20" s="908"/>
      <c r="R20" s="908"/>
      <c r="S20" s="908"/>
      <c r="T20" s="908"/>
      <c r="U20" s="908"/>
      <c r="V20" s="908"/>
      <c r="W20" s="908"/>
      <c r="AA20"/>
      <c r="AB20"/>
      <c r="AC20"/>
      <c r="AD20"/>
      <c r="AE20"/>
      <c r="AF20"/>
      <c r="AJ20" s="730"/>
    </row>
    <row r="21" spans="1:36">
      <c r="C21" s="904" t="s">
        <v>654</v>
      </c>
      <c r="D21" s="904"/>
      <c r="E21" s="904"/>
      <c r="F21" s="904"/>
      <c r="G21" s="904"/>
      <c r="H21" s="888"/>
      <c r="I21" s="888">
        <f t="shared" ref="I21:W21" si="10">H24</f>
        <v>523.63556521478438</v>
      </c>
      <c r="J21" s="888">
        <f t="shared" si="10"/>
        <v>535.87719443268668</v>
      </c>
      <c r="K21" s="888">
        <f t="shared" si="10"/>
        <v>626.59767506623075</v>
      </c>
      <c r="L21" s="888">
        <f t="shared" si="10"/>
        <v>765.67695408710415</v>
      </c>
      <c r="M21" s="888">
        <f t="shared" si="10"/>
        <v>877.22809952756006</v>
      </c>
      <c r="N21" s="888">
        <f t="shared" si="10"/>
        <v>1025.863513042957</v>
      </c>
      <c r="O21" s="888">
        <f t="shared" si="10"/>
        <v>1296.273913042957</v>
      </c>
      <c r="P21" s="888">
        <f t="shared" si="10"/>
        <v>1563.9841278856686</v>
      </c>
      <c r="Q21" s="888">
        <f t="shared" si="10"/>
        <v>591.13712828110215</v>
      </c>
      <c r="R21" s="888">
        <f t="shared" si="10"/>
        <v>781.47623927138704</v>
      </c>
      <c r="S21" s="888">
        <f t="shared" si="10"/>
        <v>942.22042864767582</v>
      </c>
      <c r="T21" s="888">
        <f t="shared" si="10"/>
        <v>1085.5415979776883</v>
      </c>
      <c r="U21" s="888">
        <f t="shared" si="10"/>
        <v>1220.7460108604989</v>
      </c>
      <c r="V21" s="888">
        <f t="shared" si="10"/>
        <v>1354.8868561671638</v>
      </c>
      <c r="W21" s="888">
        <f t="shared" si="10"/>
        <v>1487.4297065461603</v>
      </c>
    </row>
    <row r="22" spans="1:36">
      <c r="B22" s="907"/>
      <c r="C22" s="903" t="s">
        <v>655</v>
      </c>
      <c r="D22" s="903"/>
      <c r="E22" s="903"/>
      <c r="F22" s="903"/>
      <c r="G22" s="903"/>
      <c r="H22" s="888"/>
      <c r="I22" s="888">
        <f t="shared" ref="I22:W22" si="11">IF((I8&gt;$F$5),I143,0)</f>
        <v>127.63800000000001</v>
      </c>
      <c r="J22" s="888">
        <f t="shared" si="11"/>
        <v>226.73799999999986</v>
      </c>
      <c r="K22" s="888">
        <f t="shared" si="11"/>
        <v>303.42800000000005</v>
      </c>
      <c r="L22" s="888">
        <f t="shared" si="11"/>
        <v>304.36499999999995</v>
      </c>
      <c r="M22" s="888">
        <f t="shared" si="11"/>
        <v>294.87000000000012</v>
      </c>
      <c r="N22" s="888">
        <f t="shared" si="11"/>
        <v>440.12700000000001</v>
      </c>
      <c r="O22" s="888">
        <f t="shared" si="11"/>
        <v>486.02979426967943</v>
      </c>
      <c r="P22" s="888">
        <f>IF((P8&gt;$F$5),P143,0)</f>
        <v>-838.36380019733167</v>
      </c>
      <c r="Q22" s="888">
        <f t="shared" si="11"/>
        <v>360.91367821946631</v>
      </c>
      <c r="R22" s="888">
        <f t="shared" si="11"/>
        <v>368.13195178385564</v>
      </c>
      <c r="S22" s="888">
        <f t="shared" si="11"/>
        <v>375.49459081953273</v>
      </c>
      <c r="T22" s="888">
        <f t="shared" si="11"/>
        <v>383.00448263592335</v>
      </c>
      <c r="U22" s="888">
        <f t="shared" si="11"/>
        <v>390.66457228864181</v>
      </c>
      <c r="V22" s="888">
        <f t="shared" si="11"/>
        <v>398.47786373441471</v>
      </c>
      <c r="W22" s="888">
        <f t="shared" si="11"/>
        <v>406.44742100910298</v>
      </c>
    </row>
    <row r="23" spans="1:36">
      <c r="C23" s="903" t="s">
        <v>656</v>
      </c>
      <c r="D23" s="752"/>
      <c r="E23" s="752"/>
      <c r="F23" s="752"/>
      <c r="G23" s="752"/>
      <c r="H23" s="901"/>
      <c r="I23" s="901">
        <f t="shared" ref="I23:W23" si="12">IF(I8&gt;$F$5,-I171,0)</f>
        <v>-115.39637078209773</v>
      </c>
      <c r="J23" s="901">
        <f t="shared" si="12"/>
        <v>-136.01751936645576</v>
      </c>
      <c r="K23" s="901">
        <f t="shared" si="12"/>
        <v>-164.34872097912665</v>
      </c>
      <c r="L23" s="901">
        <f t="shared" si="12"/>
        <v>-192.81385455954413</v>
      </c>
      <c r="M23" s="901">
        <f t="shared" si="12"/>
        <v>-146.23458648460317</v>
      </c>
      <c r="N23" s="901">
        <f t="shared" si="12"/>
        <v>-169.7166</v>
      </c>
      <c r="O23" s="901">
        <f t="shared" si="12"/>
        <v>-218.31957942696795</v>
      </c>
      <c r="P23" s="901">
        <f t="shared" si="12"/>
        <v>-134.48319940723479</v>
      </c>
      <c r="Q23" s="901">
        <f t="shared" si="12"/>
        <v>-170.57456722918141</v>
      </c>
      <c r="R23" s="901">
        <f t="shared" si="12"/>
        <v>-207.38776240756698</v>
      </c>
      <c r="S23" s="901">
        <f t="shared" si="12"/>
        <v>-232.17342148952025</v>
      </c>
      <c r="T23" s="901">
        <f t="shared" si="12"/>
        <v>-247.80006975311261</v>
      </c>
      <c r="U23" s="901">
        <f t="shared" si="12"/>
        <v>-256.52372698197678</v>
      </c>
      <c r="V23" s="901">
        <f t="shared" si="12"/>
        <v>-265.93501335541828</v>
      </c>
      <c r="W23" s="901">
        <f t="shared" si="12"/>
        <v>-277.09275545632852</v>
      </c>
    </row>
    <row r="24" spans="1:36">
      <c r="C24" s="789" t="s">
        <v>657</v>
      </c>
      <c r="D24" s="789"/>
      <c r="E24" s="789"/>
      <c r="F24" s="789"/>
      <c r="G24" s="789"/>
      <c r="H24" s="892">
        <f t="shared" ref="H24:W24" si="13">IF(H8=$F$5,H33*H35,IF(H8&gt;$F$5,SUM(H21:H23),0))</f>
        <v>523.63556521478438</v>
      </c>
      <c r="I24" s="892">
        <f t="shared" si="13"/>
        <v>535.87719443268668</v>
      </c>
      <c r="J24" s="892">
        <f t="shared" si="13"/>
        <v>626.59767506623075</v>
      </c>
      <c r="K24" s="892">
        <f t="shared" si="13"/>
        <v>765.67695408710415</v>
      </c>
      <c r="L24" s="892">
        <f t="shared" si="13"/>
        <v>877.22809952756006</v>
      </c>
      <c r="M24" s="892">
        <f t="shared" si="13"/>
        <v>1025.863513042957</v>
      </c>
      <c r="N24" s="892">
        <f t="shared" si="13"/>
        <v>1296.273913042957</v>
      </c>
      <c r="O24" s="892">
        <f t="shared" si="13"/>
        <v>1563.9841278856686</v>
      </c>
      <c r="P24" s="892">
        <f t="shared" si="13"/>
        <v>591.13712828110215</v>
      </c>
      <c r="Q24" s="892">
        <f t="shared" si="13"/>
        <v>781.47623927138704</v>
      </c>
      <c r="R24" s="892">
        <f t="shared" si="13"/>
        <v>942.22042864767582</v>
      </c>
      <c r="S24" s="892">
        <f t="shared" si="13"/>
        <v>1085.5415979776883</v>
      </c>
      <c r="T24" s="892">
        <f t="shared" si="13"/>
        <v>1220.7460108604989</v>
      </c>
      <c r="U24" s="892">
        <f t="shared" si="13"/>
        <v>1354.8868561671638</v>
      </c>
      <c r="V24" s="892">
        <f t="shared" si="13"/>
        <v>1487.4297065461603</v>
      </c>
      <c r="W24" s="892">
        <f t="shared" si="13"/>
        <v>1616.7843720989349</v>
      </c>
    </row>
    <row r="25" spans="1:36">
      <c r="C25" s="752"/>
      <c r="D25" s="752"/>
      <c r="E25" s="752"/>
      <c r="F25" s="752"/>
      <c r="G25" s="752"/>
      <c r="I25" s="888"/>
      <c r="J25" s="888"/>
      <c r="K25" s="888"/>
      <c r="L25" s="888"/>
      <c r="M25" s="888"/>
      <c r="N25" s="888"/>
      <c r="O25" s="888"/>
      <c r="P25" s="888"/>
      <c r="Q25" s="888"/>
      <c r="R25" s="888"/>
      <c r="S25" s="888"/>
      <c r="T25" s="888"/>
      <c r="U25" s="888"/>
      <c r="V25" s="888"/>
      <c r="W25" s="888"/>
    </row>
    <row r="26" spans="1:36">
      <c r="C26" s="752"/>
      <c r="D26" s="752"/>
      <c r="E26" s="752"/>
      <c r="F26" s="752"/>
      <c r="G26" s="752"/>
      <c r="H26" s="888"/>
      <c r="I26" s="888"/>
      <c r="J26" s="888"/>
      <c r="K26" s="888"/>
      <c r="L26" s="888"/>
      <c r="M26" s="888"/>
      <c r="N26" s="888"/>
      <c r="O26" s="888"/>
      <c r="P26" s="888"/>
      <c r="Q26" s="888"/>
      <c r="R26" s="888"/>
      <c r="S26" s="888"/>
      <c r="T26" s="888"/>
      <c r="U26" s="888"/>
      <c r="V26" s="888"/>
      <c r="W26" s="888"/>
    </row>
    <row r="27" spans="1:36" s="732" customFormat="1" ht="14.25" customHeight="1">
      <c r="A27" s="886"/>
      <c r="B27" s="803"/>
      <c r="C27" s="906" t="s">
        <v>658</v>
      </c>
      <c r="D27" s="789"/>
      <c r="E27" s="789"/>
      <c r="F27" s="789"/>
      <c r="G27" s="789"/>
      <c r="H27" s="794"/>
      <c r="I27" s="794"/>
      <c r="J27" s="794"/>
      <c r="K27" s="794"/>
      <c r="L27" s="794"/>
      <c r="M27" s="794"/>
      <c r="N27" s="794"/>
      <c r="O27" s="794"/>
      <c r="P27" s="793"/>
      <c r="Q27" s="793"/>
      <c r="R27" s="793"/>
      <c r="S27" s="793"/>
      <c r="T27" s="793"/>
      <c r="U27" s="793"/>
      <c r="V27" s="793"/>
      <c r="W27" s="793"/>
      <c r="AA27"/>
      <c r="AB27"/>
      <c r="AC27"/>
      <c r="AD27"/>
      <c r="AE27"/>
      <c r="AF27"/>
      <c r="AJ27" s="730"/>
    </row>
    <row r="28" spans="1:36" s="732" customFormat="1">
      <c r="A28" s="886"/>
      <c r="B28" s="803"/>
      <c r="C28" s="905"/>
      <c r="D28" s="789"/>
      <c r="E28" s="789"/>
      <c r="F28" s="789"/>
      <c r="G28" s="789"/>
      <c r="H28" s="794"/>
      <c r="I28" s="794"/>
      <c r="J28" s="794"/>
      <c r="K28" s="794"/>
      <c r="L28" s="794"/>
      <c r="M28" s="794"/>
      <c r="N28" s="794"/>
      <c r="O28" s="794"/>
      <c r="P28" s="793"/>
      <c r="Q28" s="793"/>
      <c r="R28" s="793"/>
      <c r="S28" s="793"/>
      <c r="T28" s="793"/>
      <c r="U28" s="793"/>
      <c r="V28" s="793"/>
      <c r="W28" s="793"/>
      <c r="AA28"/>
      <c r="AB28"/>
      <c r="AC28"/>
      <c r="AD28"/>
      <c r="AE28"/>
      <c r="AF28"/>
      <c r="AJ28" s="730"/>
    </row>
    <row r="29" spans="1:36">
      <c r="C29" s="904" t="s">
        <v>659</v>
      </c>
      <c r="D29" s="898"/>
      <c r="E29" s="898"/>
      <c r="F29" s="898"/>
      <c r="G29" s="898"/>
      <c r="H29" s="888"/>
      <c r="I29" s="888">
        <f t="shared" ref="I29:W29" si="14">H33</f>
        <v>588.35456765706112</v>
      </c>
      <c r="J29" s="888">
        <f t="shared" si="14"/>
        <v>621.20760615213896</v>
      </c>
      <c r="K29" s="888">
        <f t="shared" si="14"/>
        <v>726.2125363427441</v>
      </c>
      <c r="L29" s="888">
        <f t="shared" si="14"/>
        <v>892.45193983164768</v>
      </c>
      <c r="M29" s="888">
        <f t="shared" si="14"/>
        <v>1034.3363260554859</v>
      </c>
      <c r="N29" s="888">
        <f t="shared" si="14"/>
        <v>1146.1976133568126</v>
      </c>
      <c r="O29" s="888">
        <f t="shared" si="14"/>
        <v>1379.1525842390665</v>
      </c>
      <c r="P29" s="888">
        <f t="shared" si="14"/>
        <v>1644.4745022059005</v>
      </c>
      <c r="Q29" s="888">
        <f t="shared" si="14"/>
        <v>573.54185405449618</v>
      </c>
      <c r="R29" s="888">
        <f t="shared" si="14"/>
        <v>628.60187204372778</v>
      </c>
      <c r="S29" s="888">
        <f t="shared" si="14"/>
        <v>688.94765175992563</v>
      </c>
      <c r="T29" s="888">
        <f t="shared" si="14"/>
        <v>755.08662632887854</v>
      </c>
      <c r="U29" s="888">
        <f t="shared" si="14"/>
        <v>827.57494245645091</v>
      </c>
      <c r="V29" s="888">
        <f t="shared" si="14"/>
        <v>907.0221369322702</v>
      </c>
      <c r="W29" s="888">
        <f t="shared" si="14"/>
        <v>994.09626207776819</v>
      </c>
    </row>
    <row r="30" spans="1:36">
      <c r="C30" s="903" t="s">
        <v>660</v>
      </c>
      <c r="D30" s="902"/>
      <c r="E30" s="902"/>
      <c r="F30" s="902"/>
      <c r="G30" s="902"/>
      <c r="H30" s="888">
        <f t="shared" ref="H30:W30" si="15">IF(H8=$F$5,0,IF(H8&gt;$F$5,H29*G44+H45*H32,0))</f>
        <v>0</v>
      </c>
      <c r="I30" s="888">
        <f t="shared" si="15"/>
        <v>56.482038495077866</v>
      </c>
      <c r="J30" s="888">
        <f t="shared" si="15"/>
        <v>59.635930190605343</v>
      </c>
      <c r="K30" s="888">
        <f t="shared" si="15"/>
        <v>69.716403488903438</v>
      </c>
      <c r="L30" s="888">
        <f t="shared" si="15"/>
        <v>85.675386223838174</v>
      </c>
      <c r="M30" s="888">
        <f t="shared" si="15"/>
        <v>99.296287301326643</v>
      </c>
      <c r="N30" s="888">
        <f t="shared" si="15"/>
        <v>110.034970882254</v>
      </c>
      <c r="O30" s="888">
        <f t="shared" si="15"/>
        <v>135.89212369715474</v>
      </c>
      <c r="P30" s="888">
        <f t="shared" si="15"/>
        <v>132.13115204592737</v>
      </c>
      <c r="Q30" s="888">
        <f t="shared" si="15"/>
        <v>66.140339769765347</v>
      </c>
      <c r="R30" s="888">
        <f t="shared" si="15"/>
        <v>71.647707932342257</v>
      </c>
      <c r="S30" s="888">
        <f t="shared" si="15"/>
        <v>77.666941349420142</v>
      </c>
      <c r="T30" s="888">
        <f t="shared" si="15"/>
        <v>84.24684224364897</v>
      </c>
      <c r="U30" s="888">
        <f t="shared" si="15"/>
        <v>91.440891114217436</v>
      </c>
      <c r="V30" s="888">
        <f t="shared" si="15"/>
        <v>99.307695716664071</v>
      </c>
      <c r="W30" s="888">
        <f t="shared" si="15"/>
        <v>107.91148314205519</v>
      </c>
    </row>
    <row r="31" spans="1:36">
      <c r="C31" s="903" t="s">
        <v>661</v>
      </c>
      <c r="D31" s="902"/>
      <c r="E31" s="902"/>
      <c r="F31" s="902"/>
      <c r="G31" s="902"/>
      <c r="H31" s="888"/>
      <c r="I31" s="888">
        <f t="shared" ref="I31:W31" si="16">-I11</f>
        <v>-151.267</v>
      </c>
      <c r="J31" s="888">
        <f t="shared" si="16"/>
        <v>-181.369</v>
      </c>
      <c r="K31" s="888">
        <f t="shared" si="16"/>
        <v>-206.905</v>
      </c>
      <c r="L31" s="888">
        <f t="shared" si="16"/>
        <v>-248.15600000000001</v>
      </c>
      <c r="M31" s="888">
        <f t="shared" si="16"/>
        <v>-282.30500000000001</v>
      </c>
      <c r="N31" s="888">
        <f t="shared" si="16"/>
        <v>-317.20699999999999</v>
      </c>
      <c r="O31" s="888">
        <f t="shared" si="16"/>
        <v>-356.6</v>
      </c>
      <c r="P31" s="888">
        <f t="shared" si="16"/>
        <v>-364.7</v>
      </c>
      <c r="Q31" s="888">
        <f t="shared" si="16"/>
        <v>-371.99399999999997</v>
      </c>
      <c r="R31" s="888">
        <f t="shared" si="16"/>
        <v>-379.43387999999999</v>
      </c>
      <c r="S31" s="888">
        <f t="shared" si="16"/>
        <v>-387.02255759999997</v>
      </c>
      <c r="T31" s="888">
        <f t="shared" si="16"/>
        <v>-394.76300875199996</v>
      </c>
      <c r="U31" s="888">
        <f t="shared" si="16"/>
        <v>-402.65826892703996</v>
      </c>
      <c r="V31" s="888">
        <f t="shared" si="16"/>
        <v>-410.71143430558078</v>
      </c>
      <c r="W31" s="888">
        <f t="shared" si="16"/>
        <v>-418.92566299169238</v>
      </c>
    </row>
    <row r="32" spans="1:36">
      <c r="C32" s="903" t="s">
        <v>662</v>
      </c>
      <c r="D32" s="902"/>
      <c r="E32" s="902"/>
      <c r="F32" s="902"/>
      <c r="G32" s="902"/>
      <c r="H32" s="901"/>
      <c r="I32" s="901">
        <f t="shared" ref="I32:W32" si="17">IF(I8&gt;$F$5,I22,0)</f>
        <v>127.63800000000001</v>
      </c>
      <c r="J32" s="901">
        <f t="shared" si="17"/>
        <v>226.73799999999986</v>
      </c>
      <c r="K32" s="901">
        <f t="shared" si="17"/>
        <v>303.42800000000005</v>
      </c>
      <c r="L32" s="901">
        <f t="shared" si="17"/>
        <v>304.36499999999995</v>
      </c>
      <c r="M32" s="901">
        <f t="shared" si="17"/>
        <v>294.87000000000012</v>
      </c>
      <c r="N32" s="901">
        <f t="shared" si="17"/>
        <v>440.12700000000001</v>
      </c>
      <c r="O32" s="901">
        <f t="shared" si="17"/>
        <v>486.02979426967943</v>
      </c>
      <c r="P32" s="901">
        <f t="shared" si="17"/>
        <v>-838.36380019733167</v>
      </c>
      <c r="Q32" s="901">
        <f t="shared" si="17"/>
        <v>360.91367821946631</v>
      </c>
      <c r="R32" s="901">
        <f t="shared" si="17"/>
        <v>368.13195178385564</v>
      </c>
      <c r="S32" s="901">
        <f t="shared" si="17"/>
        <v>375.49459081953273</v>
      </c>
      <c r="T32" s="901">
        <f t="shared" si="17"/>
        <v>383.00448263592335</v>
      </c>
      <c r="U32" s="901">
        <f t="shared" si="17"/>
        <v>390.66457228864181</v>
      </c>
      <c r="V32" s="901">
        <f t="shared" si="17"/>
        <v>398.47786373441471</v>
      </c>
      <c r="W32" s="901">
        <f t="shared" si="17"/>
        <v>406.44742100910298</v>
      </c>
    </row>
    <row r="33" spans="1:36" s="854" customFormat="1">
      <c r="A33" s="858"/>
      <c r="B33" s="900"/>
      <c r="C33" s="789" t="s">
        <v>663</v>
      </c>
      <c r="D33" s="899"/>
      <c r="E33" s="899"/>
      <c r="F33" s="899"/>
      <c r="G33" s="899"/>
      <c r="H33" s="892">
        <f t="shared" ref="H33:W33" si="18">IF(H8=$F$5,NPV(H44,H77:H95),IF(H8&lt;$F$5,0,SUM(H29:H32)))</f>
        <v>588.35456765706112</v>
      </c>
      <c r="I33" s="892">
        <f t="shared" si="18"/>
        <v>621.20760615213896</v>
      </c>
      <c r="J33" s="892">
        <f t="shared" si="18"/>
        <v>726.2125363427441</v>
      </c>
      <c r="K33" s="892">
        <f t="shared" si="18"/>
        <v>892.45193983164768</v>
      </c>
      <c r="L33" s="892">
        <f t="shared" si="18"/>
        <v>1034.3363260554859</v>
      </c>
      <c r="M33" s="892">
        <f t="shared" si="18"/>
        <v>1146.1976133568126</v>
      </c>
      <c r="N33" s="892">
        <f t="shared" si="18"/>
        <v>1379.1525842390665</v>
      </c>
      <c r="O33" s="892">
        <f t="shared" si="18"/>
        <v>1644.4745022059005</v>
      </c>
      <c r="P33" s="892">
        <f t="shared" si="18"/>
        <v>573.54185405449618</v>
      </c>
      <c r="Q33" s="892">
        <f t="shared" si="18"/>
        <v>628.60187204372778</v>
      </c>
      <c r="R33" s="892">
        <f t="shared" si="18"/>
        <v>688.94765175992563</v>
      </c>
      <c r="S33" s="892">
        <f t="shared" si="18"/>
        <v>755.08662632887854</v>
      </c>
      <c r="T33" s="892">
        <f t="shared" si="18"/>
        <v>827.57494245645091</v>
      </c>
      <c r="U33" s="892">
        <f t="shared" si="18"/>
        <v>907.0221369322702</v>
      </c>
      <c r="V33" s="892">
        <f t="shared" si="18"/>
        <v>994.09626207776819</v>
      </c>
      <c r="W33" s="892">
        <f t="shared" si="18"/>
        <v>1089.5295032372339</v>
      </c>
      <c r="AA33"/>
      <c r="AB33"/>
      <c r="AC33"/>
      <c r="AD33"/>
      <c r="AE33"/>
      <c r="AF33"/>
      <c r="AJ33" s="855"/>
    </row>
    <row r="34" spans="1:36">
      <c r="C34" s="898"/>
      <c r="D34" s="898"/>
      <c r="E34" s="898"/>
      <c r="F34" s="898"/>
      <c r="G34" s="898"/>
      <c r="H34" s="897"/>
      <c r="I34" s="897"/>
      <c r="J34" s="897"/>
      <c r="K34" s="897"/>
      <c r="L34" s="897"/>
      <c r="M34" s="897"/>
      <c r="N34" s="897"/>
      <c r="O34" s="897"/>
      <c r="P34" s="897"/>
      <c r="Q34" s="897"/>
      <c r="R34" s="897"/>
      <c r="S34" s="897"/>
      <c r="T34" s="897"/>
      <c r="U34" s="897"/>
      <c r="V34" s="897"/>
      <c r="W34" s="897"/>
    </row>
    <row r="35" spans="1:36" s="735" customFormat="1">
      <c r="A35" s="743"/>
      <c r="B35" s="742"/>
      <c r="C35" s="739" t="s">
        <v>664</v>
      </c>
      <c r="D35" s="896"/>
      <c r="E35" s="896"/>
      <c r="F35" s="896"/>
      <c r="G35" s="791">
        <v>0.89</v>
      </c>
      <c r="H35" s="895">
        <f t="shared" ref="H35:W35" si="19">IF(ISERROR(IF($F$5=H8,$G$35,IF(H8&gt;$F$5,H24/H33,""))),0,IF($F$5=H8,$G$35,IF(H8&gt;$F$5,H24/H33,"")))</f>
        <v>0.89</v>
      </c>
      <c r="I35" s="895">
        <f t="shared" si="19"/>
        <v>0.8626378510591608</v>
      </c>
      <c r="J35" s="895">
        <f t="shared" si="19"/>
        <v>0.8628296038812816</v>
      </c>
      <c r="K35" s="895">
        <f t="shared" si="19"/>
        <v>0.85794754867308776</v>
      </c>
      <c r="L35" s="895">
        <f t="shared" si="19"/>
        <v>0.84810721370768338</v>
      </c>
      <c r="M35" s="895">
        <f t="shared" si="19"/>
        <v>0.89501452549579219</v>
      </c>
      <c r="N35" s="895">
        <f t="shared" si="19"/>
        <v>0.93990609005613623</v>
      </c>
      <c r="O35" s="895">
        <f t="shared" si="19"/>
        <v>0.95105404540340277</v>
      </c>
      <c r="P35" s="895">
        <f t="shared" si="19"/>
        <v>1.0306782741350453</v>
      </c>
      <c r="Q35" s="895">
        <f t="shared" si="19"/>
        <v>1.2431974418571645</v>
      </c>
      <c r="R35" s="895">
        <f t="shared" si="19"/>
        <v>1.3676226724058955</v>
      </c>
      <c r="S35" s="895">
        <f t="shared" si="19"/>
        <v>1.4376384909045916</v>
      </c>
      <c r="T35" s="895">
        <f t="shared" si="19"/>
        <v>1.4750881741743138</v>
      </c>
      <c r="U35" s="895">
        <f t="shared" si="19"/>
        <v>1.4937748495859886</v>
      </c>
      <c r="V35" s="895">
        <f t="shared" si="19"/>
        <v>1.4962632526524868</v>
      </c>
      <c r="W35" s="895">
        <f t="shared" si="19"/>
        <v>1.4839289503360027</v>
      </c>
      <c r="X35" s="894"/>
      <c r="AA35"/>
      <c r="AB35"/>
      <c r="AC35"/>
      <c r="AD35"/>
      <c r="AE35"/>
      <c r="AF35"/>
      <c r="AJ35" s="736"/>
    </row>
    <row r="36" spans="1:36">
      <c r="H36" s="796"/>
      <c r="I36" s="796"/>
      <c r="J36" s="796"/>
      <c r="K36" s="796"/>
      <c r="L36" s="796"/>
      <c r="M36" s="796"/>
      <c r="N36" s="796"/>
      <c r="O36" s="796"/>
      <c r="P36" s="796"/>
      <c r="Q36" s="796"/>
      <c r="R36" s="796"/>
      <c r="S36" s="796"/>
      <c r="T36" s="796"/>
      <c r="U36" s="796"/>
      <c r="V36" s="796"/>
      <c r="W36" s="796"/>
    </row>
    <row r="37" spans="1:36">
      <c r="C37" s="893" t="s">
        <v>665</v>
      </c>
      <c r="D37" s="893"/>
      <c r="E37" s="893"/>
      <c r="F37" s="893"/>
      <c r="G37" s="893"/>
      <c r="H37" s="892">
        <f t="shared" ref="H37:W37" si="20">(H24-H33)*(1-$G$56)</f>
        <v>-64.719002442276746</v>
      </c>
      <c r="I37" s="892">
        <f t="shared" si="20"/>
        <v>-85.330411719452286</v>
      </c>
      <c r="J37" s="892">
        <f t="shared" si="20"/>
        <v>-99.614861276513352</v>
      </c>
      <c r="K37" s="892">
        <f t="shared" si="20"/>
        <v>-126.77498574454353</v>
      </c>
      <c r="L37" s="892">
        <f t="shared" si="20"/>
        <v>-157.10822652792581</v>
      </c>
      <c r="M37" s="892">
        <f t="shared" si="20"/>
        <v>-120.33410031385552</v>
      </c>
      <c r="N37" s="892">
        <f t="shared" si="20"/>
        <v>-82.878671196109508</v>
      </c>
      <c r="O37" s="892">
        <f t="shared" si="20"/>
        <v>-80.490374320231922</v>
      </c>
      <c r="P37" s="892">
        <f t="shared" si="20"/>
        <v>17.595274226605966</v>
      </c>
      <c r="Q37" s="892">
        <f t="shared" si="20"/>
        <v>152.87436722765926</v>
      </c>
      <c r="R37" s="892">
        <f t="shared" si="20"/>
        <v>253.27277688775018</v>
      </c>
      <c r="S37" s="892">
        <f t="shared" si="20"/>
        <v>330.45497164880976</v>
      </c>
      <c r="T37" s="892">
        <f t="shared" si="20"/>
        <v>393.17106840404801</v>
      </c>
      <c r="U37" s="892">
        <f t="shared" si="20"/>
        <v>447.86471923489364</v>
      </c>
      <c r="V37" s="892">
        <f t="shared" si="20"/>
        <v>493.33344446839214</v>
      </c>
      <c r="W37" s="892">
        <f t="shared" si="20"/>
        <v>527.25486886170097</v>
      </c>
    </row>
    <row r="38" spans="1:36">
      <c r="C38" s="889" t="s">
        <v>666</v>
      </c>
      <c r="D38" s="891"/>
      <c r="E38" s="891"/>
      <c r="F38" s="891"/>
      <c r="G38" s="891"/>
      <c r="H38" s="802"/>
      <c r="I38" s="890">
        <f t="shared" ref="I38:W38" si="21">I11+I15</f>
        <v>94.784961504922137</v>
      </c>
      <c r="J38" s="890">
        <f t="shared" si="21"/>
        <v>121.73306980939466</v>
      </c>
      <c r="K38" s="890">
        <f t="shared" si="21"/>
        <v>137.18859651109656</v>
      </c>
      <c r="L38" s="890">
        <f t="shared" si="21"/>
        <v>162.48061377616182</v>
      </c>
      <c r="M38" s="890">
        <f t="shared" si="21"/>
        <v>183.00871269867338</v>
      </c>
      <c r="N38" s="890">
        <f t="shared" si="21"/>
        <v>207.17202911774598</v>
      </c>
      <c r="O38" s="890">
        <f t="shared" si="21"/>
        <v>220.70787630284528</v>
      </c>
      <c r="P38" s="890">
        <f t="shared" si="21"/>
        <v>232.56884795407262</v>
      </c>
      <c r="Q38" s="890">
        <f t="shared" si="21"/>
        <v>305.8536602302346</v>
      </c>
      <c r="R38" s="890">
        <f t="shared" si="21"/>
        <v>307.78617206765773</v>
      </c>
      <c r="S38" s="890">
        <f t="shared" si="21"/>
        <v>309.35561625057983</v>
      </c>
      <c r="T38" s="890">
        <f t="shared" si="21"/>
        <v>310.51616650835098</v>
      </c>
      <c r="U38" s="890">
        <f t="shared" si="21"/>
        <v>311.21737781282252</v>
      </c>
      <c r="V38" s="890">
        <f t="shared" si="21"/>
        <v>311.40373858891672</v>
      </c>
      <c r="W38" s="890">
        <f t="shared" si="21"/>
        <v>311.01417984963717</v>
      </c>
    </row>
    <row r="39" spans="1:36">
      <c r="C39" s="848" t="s">
        <v>667</v>
      </c>
      <c r="D39" s="889"/>
      <c r="E39" s="889"/>
      <c r="F39" s="889"/>
      <c r="G39" s="889"/>
      <c r="H39" s="888"/>
      <c r="I39" s="888">
        <f t="shared" ref="I39:W39" si="22">I37-H37</f>
        <v>-20.61140927717554</v>
      </c>
      <c r="J39" s="888">
        <f t="shared" si="22"/>
        <v>-14.284449557061066</v>
      </c>
      <c r="K39" s="888">
        <f t="shared" si="22"/>
        <v>-27.160124468030176</v>
      </c>
      <c r="L39" s="888">
        <f t="shared" si="22"/>
        <v>-30.33324078338228</v>
      </c>
      <c r="M39" s="888">
        <f t="shared" si="22"/>
        <v>36.774126214070293</v>
      </c>
      <c r="N39" s="888">
        <f t="shared" si="22"/>
        <v>37.455429117746007</v>
      </c>
      <c r="O39" s="888">
        <f t="shared" si="22"/>
        <v>2.388296875877586</v>
      </c>
      <c r="P39" s="888">
        <f t="shared" si="22"/>
        <v>98.085648546837888</v>
      </c>
      <c r="Q39" s="888">
        <f t="shared" si="22"/>
        <v>135.2790930010533</v>
      </c>
      <c r="R39" s="888">
        <f t="shared" si="22"/>
        <v>100.39840966009092</v>
      </c>
      <c r="S39" s="888">
        <f t="shared" si="22"/>
        <v>77.182194761059577</v>
      </c>
      <c r="T39" s="888">
        <f t="shared" si="22"/>
        <v>62.716096755238254</v>
      </c>
      <c r="U39" s="888">
        <f t="shared" si="22"/>
        <v>54.693650830845627</v>
      </c>
      <c r="V39" s="888">
        <f t="shared" si="22"/>
        <v>45.468725233498503</v>
      </c>
      <c r="W39" s="888">
        <f t="shared" si="22"/>
        <v>33.921424393308826</v>
      </c>
    </row>
    <row r="40" spans="1:36">
      <c r="Q40" s="796"/>
      <c r="R40" s="796"/>
      <c r="S40" s="796"/>
      <c r="T40" s="796"/>
      <c r="U40" s="796"/>
      <c r="V40" s="796"/>
      <c r="W40" s="796"/>
    </row>
    <row r="41" spans="1:36">
      <c r="Q41" s="887"/>
      <c r="R41" s="796"/>
      <c r="S41" s="796"/>
      <c r="T41" s="796"/>
      <c r="U41" s="796"/>
      <c r="V41" s="796"/>
      <c r="W41" s="796"/>
    </row>
    <row r="42" spans="1:36" s="732" customFormat="1" ht="14.25" customHeight="1">
      <c r="A42" s="886"/>
      <c r="B42" s="803"/>
      <c r="C42" s="885" t="s">
        <v>602</v>
      </c>
      <c r="D42" s="795"/>
      <c r="Q42" s="793"/>
      <c r="R42" s="793"/>
      <c r="S42" s="793"/>
      <c r="T42" s="793"/>
      <c r="U42" s="793"/>
      <c r="V42" s="793"/>
      <c r="W42" s="793"/>
      <c r="AA42"/>
      <c r="AB42"/>
      <c r="AC42"/>
      <c r="AD42"/>
      <c r="AE42"/>
      <c r="AF42"/>
      <c r="AJ42" s="730"/>
    </row>
    <row r="43" spans="1:36" s="880" customFormat="1">
      <c r="A43" s="884"/>
      <c r="B43" s="883"/>
      <c r="C43" s="882"/>
      <c r="D43" s="882"/>
      <c r="Q43" s="882"/>
      <c r="R43" s="882"/>
      <c r="S43" s="882"/>
      <c r="T43" s="882"/>
      <c r="U43" s="882"/>
      <c r="V43" s="882"/>
      <c r="W43" s="882"/>
      <c r="AA43"/>
      <c r="AB43"/>
      <c r="AC43"/>
      <c r="AD43"/>
      <c r="AE43"/>
      <c r="AF43"/>
      <c r="AJ43" s="881"/>
    </row>
    <row r="44" spans="1:36" s="735" customFormat="1" ht="14.25" customHeight="1">
      <c r="A44" s="877"/>
      <c r="B44" s="877"/>
      <c r="C44" s="879" t="s">
        <v>668</v>
      </c>
      <c r="D44" s="878"/>
      <c r="E44" s="878"/>
      <c r="F44" s="878"/>
      <c r="G44" s="877"/>
      <c r="H44" s="1675">
        <v>9.6000000000000002E-2</v>
      </c>
      <c r="I44" s="1675">
        <v>9.6000000000000002E-2</v>
      </c>
      <c r="J44" s="1675">
        <v>9.6000000000000002E-2</v>
      </c>
      <c r="K44" s="1675">
        <v>9.6000000000000002E-2</v>
      </c>
      <c r="L44" s="1675">
        <v>9.6000000000000002E-2</v>
      </c>
      <c r="M44" s="1675">
        <v>9.6000000000000002E-2</v>
      </c>
      <c r="N44" s="1675">
        <v>9.6000000000000002E-2</v>
      </c>
      <c r="O44" s="1675">
        <v>9.6000000000000002E-2</v>
      </c>
      <c r="P44" s="1675">
        <v>9.6000000000000002E-2</v>
      </c>
      <c r="Q44" s="1675">
        <v>9.6000000000000002E-2</v>
      </c>
      <c r="R44" s="1675">
        <v>9.6000000000000002E-2</v>
      </c>
      <c r="S44" s="1675">
        <v>9.6000000000000002E-2</v>
      </c>
      <c r="T44" s="1675">
        <v>9.6000000000000002E-2</v>
      </c>
      <c r="U44" s="1675">
        <v>9.6000000000000002E-2</v>
      </c>
      <c r="V44" s="1675">
        <v>9.6000000000000002E-2</v>
      </c>
      <c r="W44" s="1675">
        <v>9.6000000000000002E-2</v>
      </c>
      <c r="AA44"/>
      <c r="AB44"/>
      <c r="AC44"/>
      <c r="AD44"/>
      <c r="AE44"/>
      <c r="AF44"/>
      <c r="AJ44" s="873" t="s">
        <v>68</v>
      </c>
    </row>
    <row r="45" spans="1:36" s="735" customFormat="1" ht="15" customHeight="1">
      <c r="A45" s="877"/>
      <c r="B45" s="877"/>
      <c r="C45" s="879" t="s">
        <v>669</v>
      </c>
      <c r="D45" s="878"/>
      <c r="E45" s="878"/>
      <c r="F45" s="878"/>
      <c r="G45" s="877"/>
      <c r="H45" s="876"/>
      <c r="I45" s="875">
        <v>0</v>
      </c>
      <c r="J45" s="875">
        <v>0</v>
      </c>
      <c r="K45" s="875">
        <v>0</v>
      </c>
      <c r="L45" s="875">
        <v>0</v>
      </c>
      <c r="M45" s="875">
        <v>0</v>
      </c>
      <c r="N45" s="875">
        <v>0</v>
      </c>
      <c r="O45" s="875">
        <v>7.1877807726864335E-3</v>
      </c>
      <c r="P45" s="875">
        <v>3.0700753252682036E-2</v>
      </c>
      <c r="Q45" s="874">
        <f t="shared" ref="Q45:W45" si="23">P45</f>
        <v>3.0700753252682036E-2</v>
      </c>
      <c r="R45" s="874">
        <f t="shared" si="23"/>
        <v>3.0700753252682036E-2</v>
      </c>
      <c r="S45" s="874">
        <f t="shared" si="23"/>
        <v>3.0700753252682036E-2</v>
      </c>
      <c r="T45" s="874">
        <f t="shared" si="23"/>
        <v>3.0700753252682036E-2</v>
      </c>
      <c r="U45" s="874">
        <f t="shared" si="23"/>
        <v>3.0700753252682036E-2</v>
      </c>
      <c r="V45" s="874">
        <f t="shared" si="23"/>
        <v>3.0700753252682036E-2</v>
      </c>
      <c r="W45" s="874">
        <f t="shared" si="23"/>
        <v>3.0700753252682036E-2</v>
      </c>
      <c r="AA45"/>
      <c r="AB45"/>
      <c r="AC45"/>
      <c r="AD45"/>
      <c r="AE45"/>
      <c r="AF45"/>
      <c r="AJ45" s="873" t="s">
        <v>69</v>
      </c>
    </row>
    <row r="46" spans="1:36">
      <c r="C46" s="872"/>
      <c r="I46" s="871"/>
      <c r="J46" s="871"/>
      <c r="K46" s="871"/>
      <c r="L46" s="871"/>
      <c r="M46" s="871"/>
      <c r="N46" s="871"/>
      <c r="O46" s="871"/>
      <c r="P46" s="871"/>
      <c r="Q46" s="870"/>
      <c r="R46" s="760"/>
      <c r="T46" s="731"/>
      <c r="U46" s="731"/>
      <c r="V46" s="731"/>
      <c r="W46" s="731"/>
    </row>
    <row r="47" spans="1:36">
      <c r="C47" s="752" t="s">
        <v>670</v>
      </c>
      <c r="D47" s="795"/>
      <c r="E47" s="795"/>
      <c r="F47" s="795"/>
      <c r="G47" s="795"/>
      <c r="H47" s="869">
        <v>10</v>
      </c>
      <c r="I47" s="869">
        <v>10</v>
      </c>
      <c r="J47" s="869">
        <v>10</v>
      </c>
      <c r="K47" s="869">
        <v>10</v>
      </c>
      <c r="L47" s="869">
        <v>10</v>
      </c>
      <c r="M47" s="869">
        <v>10</v>
      </c>
      <c r="N47" s="869">
        <v>10</v>
      </c>
      <c r="O47" s="869">
        <v>10</v>
      </c>
      <c r="P47" s="869">
        <v>10</v>
      </c>
      <c r="Q47" s="868">
        <f t="shared" ref="Q47:W47" si="24">P47*(1+Q48)</f>
        <v>10.1</v>
      </c>
      <c r="R47" s="868">
        <f t="shared" si="24"/>
        <v>10.201000000000001</v>
      </c>
      <c r="S47" s="868">
        <f t="shared" si="24"/>
        <v>10.30301</v>
      </c>
      <c r="T47" s="868">
        <f t="shared" si="24"/>
        <v>10.4060401</v>
      </c>
      <c r="U47" s="868">
        <f t="shared" si="24"/>
        <v>10.510100501</v>
      </c>
      <c r="V47" s="868">
        <f t="shared" si="24"/>
        <v>10.615201506010001</v>
      </c>
      <c r="W47" s="868">
        <f t="shared" si="24"/>
        <v>10.721353521070101</v>
      </c>
    </row>
    <row r="48" spans="1:36">
      <c r="B48" s="803"/>
      <c r="C48" s="732" t="s">
        <v>671</v>
      </c>
      <c r="H48" s="863"/>
      <c r="I48" s="863">
        <f t="shared" ref="I48:P48" si="25">I47/H47-1</f>
        <v>0</v>
      </c>
      <c r="J48" s="863">
        <f t="shared" si="25"/>
        <v>0</v>
      </c>
      <c r="K48" s="863">
        <f t="shared" si="25"/>
        <v>0</v>
      </c>
      <c r="L48" s="863">
        <f t="shared" si="25"/>
        <v>0</v>
      </c>
      <c r="M48" s="863">
        <f t="shared" si="25"/>
        <v>0</v>
      </c>
      <c r="N48" s="863">
        <f t="shared" si="25"/>
        <v>0</v>
      </c>
      <c r="O48" s="863">
        <f t="shared" si="25"/>
        <v>0</v>
      </c>
      <c r="P48" s="863">
        <f t="shared" si="25"/>
        <v>0</v>
      </c>
      <c r="Q48" s="846">
        <v>0.01</v>
      </c>
      <c r="R48" s="846">
        <v>0.01</v>
      </c>
      <c r="S48" s="846">
        <v>0.01</v>
      </c>
      <c r="T48" s="846">
        <v>0.01</v>
      </c>
      <c r="U48" s="846">
        <v>0.01</v>
      </c>
      <c r="V48" s="846">
        <v>0.01</v>
      </c>
      <c r="W48" s="846">
        <v>0.01</v>
      </c>
    </row>
    <row r="49" spans="1:36">
      <c r="B49" s="803"/>
      <c r="C49" s="732" t="s">
        <v>672</v>
      </c>
      <c r="H49" s="866"/>
      <c r="I49" s="867"/>
      <c r="J49" s="866"/>
      <c r="K49" s="866"/>
      <c r="L49" s="866"/>
      <c r="M49" s="866"/>
      <c r="N49" s="865"/>
      <c r="O49" s="865"/>
      <c r="P49" s="865"/>
      <c r="Q49" s="865"/>
      <c r="R49" s="865"/>
      <c r="S49" s="865"/>
      <c r="T49" s="865"/>
      <c r="U49" s="865"/>
      <c r="V49" s="865"/>
      <c r="W49" s="865"/>
    </row>
    <row r="50" spans="1:36">
      <c r="B50" s="803"/>
      <c r="H50" s="866"/>
      <c r="I50" s="867"/>
      <c r="J50" s="866"/>
      <c r="K50" s="866"/>
      <c r="L50" s="866"/>
      <c r="M50" s="866"/>
      <c r="N50" s="865"/>
      <c r="O50" s="865"/>
      <c r="P50" s="865"/>
      <c r="Q50" s="865"/>
      <c r="R50" s="865"/>
      <c r="S50" s="865"/>
      <c r="T50" s="865"/>
      <c r="U50" s="865"/>
      <c r="V50" s="865"/>
      <c r="W50" s="865"/>
    </row>
    <row r="51" spans="1:36">
      <c r="B51" s="803"/>
      <c r="C51" s="732" t="s">
        <v>673</v>
      </c>
      <c r="H51" s="864"/>
      <c r="I51" s="864">
        <f t="shared" ref="I51:W51" si="26">IF(ISERROR(I54/I47),0,I54/I47)</f>
        <v>12.7638</v>
      </c>
      <c r="J51" s="864">
        <f t="shared" si="26"/>
        <v>22.673799999999986</v>
      </c>
      <c r="K51" s="864">
        <f t="shared" si="26"/>
        <v>30.342800000000004</v>
      </c>
      <c r="L51" s="864">
        <f t="shared" si="26"/>
        <v>30.436499999999995</v>
      </c>
      <c r="M51" s="864">
        <f t="shared" si="26"/>
        <v>29.487000000000013</v>
      </c>
      <c r="N51" s="864">
        <f t="shared" si="26"/>
        <v>44.012700000000002</v>
      </c>
      <c r="O51" s="864">
        <f t="shared" si="26"/>
        <v>48.602979426967941</v>
      </c>
      <c r="P51" s="864">
        <f t="shared" si="26"/>
        <v>-83.83638001973317</v>
      </c>
      <c r="Q51" s="864">
        <f t="shared" si="26"/>
        <v>35.734027546481812</v>
      </c>
      <c r="R51" s="864">
        <f t="shared" si="26"/>
        <v>36.087829799417278</v>
      </c>
      <c r="S51" s="864">
        <f t="shared" si="26"/>
        <v>36.445135044956061</v>
      </c>
      <c r="T51" s="864">
        <f t="shared" si="26"/>
        <v>36.805977966193247</v>
      </c>
      <c r="U51" s="864">
        <f t="shared" si="26"/>
        <v>37.1703935896209</v>
      </c>
      <c r="V51" s="864">
        <f t="shared" si="26"/>
        <v>37.538417288528038</v>
      </c>
      <c r="W51" s="864">
        <f t="shared" si="26"/>
        <v>37.910084786434254</v>
      </c>
    </row>
    <row r="52" spans="1:36">
      <c r="B52" s="803"/>
      <c r="C52" s="732" t="s">
        <v>674</v>
      </c>
      <c r="H52" s="863"/>
      <c r="I52" s="841"/>
      <c r="J52" s="841">
        <f t="shared" ref="J52:W52" si="27">IF(ISERROR(J51/I51-1),0,J51/I51-1)</f>
        <v>0.77641454739184157</v>
      </c>
      <c r="K52" s="841">
        <f t="shared" si="27"/>
        <v>0.33823179175965312</v>
      </c>
      <c r="L52" s="841">
        <f t="shared" si="27"/>
        <v>3.0880472467931241E-3</v>
      </c>
      <c r="M52" s="841">
        <f t="shared" si="27"/>
        <v>-3.119609679168045E-2</v>
      </c>
      <c r="N52" s="841">
        <f t="shared" si="27"/>
        <v>0.49261369417031187</v>
      </c>
      <c r="O52" s="841">
        <f t="shared" si="27"/>
        <v>0.10429442926627863</v>
      </c>
      <c r="P52" s="841">
        <f t="shared" si="27"/>
        <v>-2.7249226489439362</v>
      </c>
      <c r="Q52" s="841">
        <f t="shared" si="27"/>
        <v>-1.4262353352813044</v>
      </c>
      <c r="R52" s="841">
        <f t="shared" si="27"/>
        <v>9.9009900990099098E-3</v>
      </c>
      <c r="S52" s="841">
        <f t="shared" si="27"/>
        <v>9.9009900990099098E-3</v>
      </c>
      <c r="T52" s="841">
        <f t="shared" si="27"/>
        <v>9.9009900990099098E-3</v>
      </c>
      <c r="U52" s="841">
        <f t="shared" si="27"/>
        <v>9.9009900990099098E-3</v>
      </c>
      <c r="V52" s="841">
        <f t="shared" si="27"/>
        <v>9.9009900990099098E-3</v>
      </c>
      <c r="W52" s="841">
        <f t="shared" si="27"/>
        <v>9.9009900990099098E-3</v>
      </c>
    </row>
    <row r="53" spans="1:36">
      <c r="B53" s="803"/>
      <c r="H53" s="863"/>
      <c r="I53" s="863"/>
      <c r="J53" s="863"/>
      <c r="K53" s="863"/>
      <c r="L53" s="863"/>
      <c r="M53" s="863"/>
      <c r="N53" s="863"/>
      <c r="O53" s="863"/>
      <c r="P53" s="863"/>
      <c r="Q53" s="863"/>
      <c r="R53" s="863"/>
      <c r="S53" s="863"/>
      <c r="T53" s="863"/>
      <c r="U53" s="863"/>
      <c r="V53" s="863"/>
      <c r="W53" s="863"/>
    </row>
    <row r="54" spans="1:36">
      <c r="B54" s="803"/>
      <c r="C54" s="732" t="s">
        <v>675</v>
      </c>
      <c r="H54" s="849"/>
      <c r="I54" s="849">
        <f t="shared" ref="I54:W54" si="28">IF(ISERROR(I143),0,I143)</f>
        <v>127.63800000000001</v>
      </c>
      <c r="J54" s="849">
        <f t="shared" si="28"/>
        <v>226.73799999999986</v>
      </c>
      <c r="K54" s="849">
        <f t="shared" si="28"/>
        <v>303.42800000000005</v>
      </c>
      <c r="L54" s="849">
        <f t="shared" si="28"/>
        <v>304.36499999999995</v>
      </c>
      <c r="M54" s="849">
        <f t="shared" si="28"/>
        <v>294.87000000000012</v>
      </c>
      <c r="N54" s="849">
        <f t="shared" si="28"/>
        <v>440.12700000000001</v>
      </c>
      <c r="O54" s="849">
        <f t="shared" si="28"/>
        <v>486.02979426967943</v>
      </c>
      <c r="P54" s="849">
        <f t="shared" si="28"/>
        <v>-838.36380019733167</v>
      </c>
      <c r="Q54" s="849">
        <f t="shared" si="28"/>
        <v>360.91367821946631</v>
      </c>
      <c r="R54" s="849">
        <f t="shared" si="28"/>
        <v>368.13195178385564</v>
      </c>
      <c r="S54" s="849">
        <f t="shared" si="28"/>
        <v>375.49459081953273</v>
      </c>
      <c r="T54" s="849">
        <f t="shared" si="28"/>
        <v>383.00448263592335</v>
      </c>
      <c r="U54" s="849">
        <f t="shared" si="28"/>
        <v>390.66457228864181</v>
      </c>
      <c r="V54" s="849">
        <f t="shared" si="28"/>
        <v>398.47786373441471</v>
      </c>
      <c r="W54" s="849">
        <f t="shared" si="28"/>
        <v>406.44742100910298</v>
      </c>
    </row>
    <row r="55" spans="1:36">
      <c r="B55" s="803"/>
      <c r="H55" s="729"/>
      <c r="I55" s="847"/>
      <c r="J55" s="841">
        <f t="shared" ref="J55:W55" si="29">IF(ISERROR(J54/I54-1),0,J54/I54-1)</f>
        <v>0.77641454739184135</v>
      </c>
      <c r="K55" s="841">
        <f t="shared" si="29"/>
        <v>0.33823179175965312</v>
      </c>
      <c r="L55" s="841">
        <f t="shared" si="29"/>
        <v>3.0880472467929021E-3</v>
      </c>
      <c r="M55" s="841">
        <f t="shared" si="29"/>
        <v>-3.119609679168045E-2</v>
      </c>
      <c r="N55" s="841">
        <f t="shared" si="29"/>
        <v>0.49261369417031187</v>
      </c>
      <c r="O55" s="841">
        <f t="shared" si="29"/>
        <v>0.10429442926627863</v>
      </c>
      <c r="P55" s="841">
        <f t="shared" si="29"/>
        <v>-2.7249226489439362</v>
      </c>
      <c r="Q55" s="841">
        <f t="shared" si="29"/>
        <v>-1.4304976886341174</v>
      </c>
      <c r="R55" s="841">
        <f t="shared" si="29"/>
        <v>2.0000000000000018E-2</v>
      </c>
      <c r="S55" s="841">
        <f t="shared" si="29"/>
        <v>2.0000000000000018E-2</v>
      </c>
      <c r="T55" s="841">
        <f t="shared" si="29"/>
        <v>2.0000000000000018E-2</v>
      </c>
      <c r="U55" s="841">
        <f t="shared" si="29"/>
        <v>2.0000000000000018E-2</v>
      </c>
      <c r="V55" s="841">
        <f t="shared" si="29"/>
        <v>2.000000000000024E-2</v>
      </c>
      <c r="W55" s="841">
        <f t="shared" si="29"/>
        <v>2.0000000000000018E-2</v>
      </c>
    </row>
    <row r="56" spans="1:36" ht="12" customHeight="1">
      <c r="B56" s="803"/>
      <c r="C56" s="752" t="s">
        <v>676</v>
      </c>
      <c r="D56" s="789"/>
      <c r="E56" s="789"/>
      <c r="F56" s="789"/>
      <c r="G56" s="862">
        <f>_xll.ThomsonONEAddinShim.SpreadsheetFormulas.TF(SedolTicker,"ZAV(TF.FN.TaxRate(period=FY0))")/100</f>
        <v>0</v>
      </c>
      <c r="I56" s="861"/>
      <c r="J56" s="847"/>
      <c r="K56" s="847"/>
      <c r="L56" s="847"/>
      <c r="M56" s="847"/>
      <c r="N56" s="847"/>
      <c r="O56" s="847"/>
      <c r="P56" s="847"/>
      <c r="Q56" s="847"/>
      <c r="R56" s="847"/>
      <c r="S56" s="847"/>
      <c r="T56" s="847"/>
      <c r="U56" s="847"/>
      <c r="V56" s="847"/>
      <c r="W56" s="847"/>
    </row>
    <row r="57" spans="1:36">
      <c r="B57" s="803"/>
      <c r="D57" s="795"/>
      <c r="E57" s="795"/>
      <c r="F57" s="795"/>
      <c r="G57" s="795"/>
      <c r="H57" s="847"/>
      <c r="I57" s="847"/>
      <c r="J57" s="860"/>
      <c r="K57" s="860"/>
      <c r="L57" s="860"/>
      <c r="M57" s="860"/>
      <c r="N57" s="860"/>
      <c r="O57" s="860"/>
      <c r="P57" s="860"/>
      <c r="Q57" s="860"/>
      <c r="R57" s="860"/>
      <c r="S57" s="860"/>
      <c r="T57" s="860"/>
      <c r="U57" s="860"/>
      <c r="V57" s="860"/>
      <c r="W57" s="860"/>
    </row>
    <row r="58" spans="1:36">
      <c r="B58" s="803"/>
      <c r="C58" s="732" t="s">
        <v>677</v>
      </c>
      <c r="D58" s="795"/>
      <c r="E58" s="795"/>
      <c r="F58" s="795"/>
      <c r="G58" s="795"/>
      <c r="H58" s="847"/>
      <c r="I58" s="847"/>
      <c r="J58" s="859">
        <v>0.8</v>
      </c>
      <c r="K58" s="859">
        <v>0.8</v>
      </c>
      <c r="L58" s="859">
        <v>0.8</v>
      </c>
      <c r="M58" s="859">
        <v>0.8</v>
      </c>
      <c r="N58" s="859">
        <v>0.8</v>
      </c>
      <c r="O58" s="859">
        <v>0.8</v>
      </c>
      <c r="P58" s="859">
        <v>0.8</v>
      </c>
      <c r="Q58" s="859">
        <v>0.8</v>
      </c>
      <c r="R58" s="859">
        <v>0.8</v>
      </c>
      <c r="S58" s="859">
        <v>0.8</v>
      </c>
      <c r="T58" s="859">
        <v>0.8</v>
      </c>
      <c r="U58" s="859">
        <v>0.8</v>
      </c>
      <c r="V58" s="859">
        <v>0.8</v>
      </c>
      <c r="W58" s="859">
        <v>0.8</v>
      </c>
    </row>
    <row r="59" spans="1:36" s="854" customFormat="1">
      <c r="A59" s="858"/>
      <c r="B59" s="857"/>
      <c r="C59" s="752" t="s">
        <v>678</v>
      </c>
      <c r="D59" s="789"/>
      <c r="E59" s="789"/>
      <c r="F59" s="789"/>
      <c r="G59" s="789"/>
      <c r="H59" s="853"/>
      <c r="I59" s="856"/>
      <c r="J59" s="802">
        <f t="shared" ref="J59:W59" si="30">J54*J58</f>
        <v>181.39039999999989</v>
      </c>
      <c r="K59" s="802">
        <f t="shared" si="30"/>
        <v>242.74240000000006</v>
      </c>
      <c r="L59" s="802">
        <f t="shared" si="30"/>
        <v>243.49199999999996</v>
      </c>
      <c r="M59" s="802">
        <f t="shared" si="30"/>
        <v>235.8960000000001</v>
      </c>
      <c r="N59" s="802">
        <f t="shared" si="30"/>
        <v>352.10160000000002</v>
      </c>
      <c r="O59" s="802">
        <f t="shared" si="30"/>
        <v>388.82383541574359</v>
      </c>
      <c r="P59" s="802">
        <f t="shared" si="30"/>
        <v>-670.69104015786536</v>
      </c>
      <c r="Q59" s="802">
        <f t="shared" si="30"/>
        <v>288.73094257557307</v>
      </c>
      <c r="R59" s="802">
        <f t="shared" si="30"/>
        <v>294.5055614270845</v>
      </c>
      <c r="S59" s="802">
        <f t="shared" si="30"/>
        <v>300.39567265562619</v>
      </c>
      <c r="T59" s="802">
        <f t="shared" si="30"/>
        <v>306.40358610873869</v>
      </c>
      <c r="U59" s="802">
        <f t="shared" si="30"/>
        <v>312.53165783091345</v>
      </c>
      <c r="V59" s="802">
        <f t="shared" si="30"/>
        <v>318.78229098753178</v>
      </c>
      <c r="W59" s="802">
        <f t="shared" si="30"/>
        <v>325.1579368072824</v>
      </c>
      <c r="X59" s="827"/>
      <c r="Y59" s="827"/>
      <c r="Z59" s="827"/>
      <c r="AA59"/>
      <c r="AB59"/>
      <c r="AC59"/>
      <c r="AD59"/>
      <c r="AE59"/>
      <c r="AF59"/>
      <c r="AJ59" s="855"/>
    </row>
    <row r="60" spans="1:36" s="854" customFormat="1">
      <c r="A60" s="858"/>
      <c r="B60" s="857"/>
      <c r="C60" s="752" t="s">
        <v>679</v>
      </c>
      <c r="D60" s="789"/>
      <c r="E60" s="789"/>
      <c r="F60" s="789"/>
      <c r="G60" s="789"/>
      <c r="H60" s="853"/>
      <c r="I60" s="856"/>
      <c r="J60" s="849">
        <f t="shared" ref="J60:W60" si="31">J54-J59</f>
        <v>45.347599999999971</v>
      </c>
      <c r="K60" s="849">
        <f t="shared" si="31"/>
        <v>60.685599999999994</v>
      </c>
      <c r="L60" s="849">
        <f t="shared" si="31"/>
        <v>60.87299999999999</v>
      </c>
      <c r="M60" s="849">
        <f t="shared" si="31"/>
        <v>58.974000000000018</v>
      </c>
      <c r="N60" s="849">
        <f t="shared" si="31"/>
        <v>88.025399999999991</v>
      </c>
      <c r="O60" s="849">
        <f t="shared" si="31"/>
        <v>97.20595885393584</v>
      </c>
      <c r="P60" s="849">
        <f t="shared" si="31"/>
        <v>-167.67276003946631</v>
      </c>
      <c r="Q60" s="849">
        <f t="shared" si="31"/>
        <v>72.182735643893238</v>
      </c>
      <c r="R60" s="849">
        <f t="shared" si="31"/>
        <v>73.62639035677114</v>
      </c>
      <c r="S60" s="849">
        <f t="shared" si="31"/>
        <v>75.098918163906546</v>
      </c>
      <c r="T60" s="849">
        <f t="shared" si="31"/>
        <v>76.600896527184659</v>
      </c>
      <c r="U60" s="849">
        <f t="shared" si="31"/>
        <v>78.132914457728361</v>
      </c>
      <c r="V60" s="849">
        <f t="shared" si="31"/>
        <v>79.695572746882931</v>
      </c>
      <c r="W60" s="849">
        <f t="shared" si="31"/>
        <v>81.289484201820585</v>
      </c>
      <c r="X60" s="789"/>
      <c r="Y60" s="789"/>
      <c r="Z60" s="789"/>
      <c r="AA60"/>
      <c r="AB60"/>
      <c r="AC60"/>
      <c r="AD60"/>
      <c r="AE60"/>
      <c r="AF60"/>
      <c r="AJ60" s="855"/>
    </row>
    <row r="61" spans="1:36">
      <c r="B61" s="803"/>
      <c r="D61" s="795"/>
      <c r="E61" s="795"/>
      <c r="F61" s="795"/>
      <c r="G61" s="795"/>
      <c r="H61" s="853"/>
      <c r="I61" s="847"/>
      <c r="J61" s="847"/>
      <c r="K61" s="847"/>
      <c r="L61" s="847"/>
      <c r="M61" s="847"/>
      <c r="N61" s="847"/>
      <c r="O61" s="847"/>
      <c r="P61" s="847"/>
      <c r="Q61" s="847"/>
      <c r="R61" s="847"/>
      <c r="S61" s="847"/>
      <c r="T61" s="847"/>
      <c r="U61" s="847"/>
      <c r="V61" s="847"/>
      <c r="W61" s="847"/>
    </row>
    <row r="62" spans="1:36">
      <c r="B62" s="803"/>
      <c r="H62" s="852"/>
      <c r="I62" s="852"/>
      <c r="J62" s="852"/>
      <c r="K62" s="852"/>
      <c r="L62" s="852"/>
      <c r="M62" s="852"/>
      <c r="N62" s="851"/>
      <c r="O62" s="851"/>
      <c r="P62" s="851"/>
      <c r="Q62" s="850"/>
      <c r="R62" s="850"/>
      <c r="S62" s="850"/>
      <c r="T62" s="850"/>
      <c r="U62" s="850"/>
      <c r="V62" s="850"/>
      <c r="W62" s="850"/>
    </row>
    <row r="63" spans="1:36">
      <c r="B63" s="803"/>
      <c r="C63" s="732" t="s">
        <v>680</v>
      </c>
      <c r="H63" s="849">
        <f t="shared" ref="H63:P63" si="32">IF(ISERROR(H76),0,H76)</f>
        <v>133</v>
      </c>
      <c r="I63" s="849">
        <f t="shared" si="32"/>
        <v>151.267</v>
      </c>
      <c r="J63" s="849">
        <f t="shared" si="32"/>
        <v>181.369</v>
      </c>
      <c r="K63" s="849">
        <f t="shared" si="32"/>
        <v>206.905</v>
      </c>
      <c r="L63" s="849">
        <f t="shared" si="32"/>
        <v>248.15600000000001</v>
      </c>
      <c r="M63" s="849">
        <f t="shared" si="32"/>
        <v>282.30500000000001</v>
      </c>
      <c r="N63" s="849">
        <f t="shared" si="32"/>
        <v>317.20699999999999</v>
      </c>
      <c r="O63" s="849">
        <f t="shared" si="32"/>
        <v>356.6</v>
      </c>
      <c r="P63" s="849">
        <f t="shared" si="32"/>
        <v>364.7</v>
      </c>
      <c r="Q63" s="849">
        <f t="shared" ref="Q63:W63" si="33">P63*(1+Q64)</f>
        <v>371.99399999999997</v>
      </c>
      <c r="R63" s="849">
        <f t="shared" si="33"/>
        <v>379.43387999999999</v>
      </c>
      <c r="S63" s="849">
        <f t="shared" si="33"/>
        <v>387.02255759999997</v>
      </c>
      <c r="T63" s="849">
        <f t="shared" si="33"/>
        <v>394.76300875199996</v>
      </c>
      <c r="U63" s="849">
        <f t="shared" si="33"/>
        <v>402.65826892703996</v>
      </c>
      <c r="V63" s="849">
        <f t="shared" si="33"/>
        <v>410.71143430558078</v>
      </c>
      <c r="W63" s="849">
        <f t="shared" si="33"/>
        <v>418.92566299169238</v>
      </c>
    </row>
    <row r="64" spans="1:36">
      <c r="B64" s="803"/>
      <c r="C64" s="848" t="s">
        <v>681</v>
      </c>
      <c r="D64" s="848"/>
      <c r="E64" s="848"/>
      <c r="F64" s="848"/>
      <c r="G64" s="848"/>
      <c r="H64" s="847"/>
      <c r="I64" s="841">
        <f t="shared" ref="I64:P64" si="34">IF(ISERROR(I63/H63-1),0,I63/H63-1)</f>
        <v>0.1373458646616541</v>
      </c>
      <c r="J64" s="841">
        <f t="shared" si="34"/>
        <v>0.19899912075998083</v>
      </c>
      <c r="K64" s="841">
        <f t="shared" si="34"/>
        <v>0.14079583611311741</v>
      </c>
      <c r="L64" s="841">
        <f t="shared" si="34"/>
        <v>0.19937169232256347</v>
      </c>
      <c r="M64" s="841">
        <f t="shared" si="34"/>
        <v>0.13761101887522376</v>
      </c>
      <c r="N64" s="841">
        <f t="shared" si="34"/>
        <v>0.12363224172437604</v>
      </c>
      <c r="O64" s="841">
        <f t="shared" si="34"/>
        <v>0.12418704505259992</v>
      </c>
      <c r="P64" s="841">
        <f t="shared" si="34"/>
        <v>2.2714526079640862E-2</v>
      </c>
      <c r="Q64" s="846">
        <v>0.02</v>
      </c>
      <c r="R64" s="846">
        <v>0.02</v>
      </c>
      <c r="S64" s="846">
        <v>0.02</v>
      </c>
      <c r="T64" s="846">
        <v>0.02</v>
      </c>
      <c r="U64" s="846">
        <v>0.02</v>
      </c>
      <c r="V64" s="846">
        <v>0.02</v>
      </c>
      <c r="W64" s="846">
        <v>0.02</v>
      </c>
      <c r="X64" s="835"/>
      <c r="Y64" s="835"/>
      <c r="Z64" s="835"/>
    </row>
    <row r="65" spans="1:36">
      <c r="B65" s="803"/>
      <c r="H65" s="845"/>
      <c r="I65" s="845"/>
      <c r="J65" s="845"/>
      <c r="K65" s="845"/>
      <c r="L65" s="845"/>
      <c r="M65" s="845"/>
      <c r="N65" s="845"/>
      <c r="O65" s="845"/>
      <c r="P65" s="845"/>
      <c r="Q65" s="845"/>
      <c r="R65" s="845"/>
      <c r="S65" s="845"/>
      <c r="T65" s="845"/>
      <c r="U65" s="845"/>
      <c r="V65" s="845"/>
      <c r="W65" s="845"/>
    </row>
    <row r="66" spans="1:36">
      <c r="B66" s="803"/>
      <c r="C66" s="795" t="s">
        <v>682</v>
      </c>
      <c r="H66" s="844">
        <f t="shared" ref="H66:W66" si="35">IF(ISERROR(H$68+SUM(H77:H81)),0,H$68+SUM(H77:H81))</f>
        <v>901</v>
      </c>
      <c r="I66" s="844">
        <f t="shared" si="35"/>
        <v>877.37100000000009</v>
      </c>
      <c r="J66" s="844">
        <f t="shared" si="35"/>
        <v>922.74</v>
      </c>
      <c r="K66" s="844">
        <f t="shared" si="35"/>
        <v>1019.2630000000001</v>
      </c>
      <c r="L66" s="844">
        <f t="shared" si="35"/>
        <v>1075.4720000000002</v>
      </c>
      <c r="M66" s="844">
        <f t="shared" si="35"/>
        <v>1088.037</v>
      </c>
      <c r="N66" s="844">
        <f t="shared" si="35"/>
        <v>1210.9569999999999</v>
      </c>
      <c r="O66" s="844">
        <f t="shared" si="35"/>
        <v>1356</v>
      </c>
      <c r="P66" s="844">
        <f t="shared" si="35"/>
        <v>0</v>
      </c>
      <c r="Q66" s="844">
        <f t="shared" si="35"/>
        <v>0</v>
      </c>
      <c r="R66" s="844">
        <f t="shared" si="35"/>
        <v>0</v>
      </c>
      <c r="S66" s="844">
        <f t="shared" si="35"/>
        <v>0</v>
      </c>
      <c r="T66" s="844">
        <f t="shared" si="35"/>
        <v>0</v>
      </c>
      <c r="U66" s="844">
        <f t="shared" si="35"/>
        <v>0</v>
      </c>
      <c r="V66" s="844">
        <f t="shared" si="35"/>
        <v>0</v>
      </c>
      <c r="W66" s="844">
        <f t="shared" si="35"/>
        <v>0</v>
      </c>
    </row>
    <row r="67" spans="1:36">
      <c r="C67" s="843" t="s">
        <v>683</v>
      </c>
      <c r="D67" s="843"/>
      <c r="E67" s="843"/>
      <c r="F67" s="843"/>
      <c r="G67" s="843"/>
      <c r="H67" s="842"/>
      <c r="I67" s="841">
        <f t="shared" ref="I67:W67" si="36">IF(ISERROR(I66/H66-1),0,I66/H66-1)</f>
        <v>-2.6225305216426076E-2</v>
      </c>
      <c r="J67" s="841">
        <f t="shared" si="36"/>
        <v>5.1710165938924302E-2</v>
      </c>
      <c r="K67" s="841">
        <f t="shared" si="36"/>
        <v>0.10460476407221986</v>
      </c>
      <c r="L67" s="841">
        <f t="shared" si="36"/>
        <v>5.5146708945581269E-2</v>
      </c>
      <c r="M67" s="841">
        <f t="shared" si="36"/>
        <v>1.1683242334528332E-2</v>
      </c>
      <c r="N67" s="841">
        <f t="shared" si="36"/>
        <v>0.11297409922640478</v>
      </c>
      <c r="O67" s="841">
        <f t="shared" si="36"/>
        <v>0.11977551638910389</v>
      </c>
      <c r="P67" s="841">
        <f t="shared" si="36"/>
        <v>-1</v>
      </c>
      <c r="Q67" s="841">
        <f t="shared" si="36"/>
        <v>0</v>
      </c>
      <c r="R67" s="841">
        <f t="shared" si="36"/>
        <v>0</v>
      </c>
      <c r="S67" s="841">
        <f t="shared" si="36"/>
        <v>0</v>
      </c>
      <c r="T67" s="841">
        <f t="shared" si="36"/>
        <v>0</v>
      </c>
      <c r="U67" s="841">
        <f t="shared" si="36"/>
        <v>0</v>
      </c>
      <c r="V67" s="841">
        <f t="shared" si="36"/>
        <v>0</v>
      </c>
      <c r="W67" s="841">
        <f t="shared" si="36"/>
        <v>0</v>
      </c>
    </row>
    <row r="68" spans="1:36" s="751" customFormat="1" ht="12.75" customHeight="1">
      <c r="A68" s="754"/>
      <c r="B68" s="753"/>
      <c r="C68" s="752" t="s">
        <v>684</v>
      </c>
      <c r="D68" s="752"/>
      <c r="E68" s="752"/>
      <c r="F68" s="752"/>
      <c r="G68" s="752"/>
      <c r="H68" s="840">
        <f>_xll.ThomsonONEAddinShim.SpreadsheetFormulas.TF(SedolTicker,"ZAV(TF.FN.LeaseCommitmentsOver5Yrs(period=FY0,sdate=FY-8,edate=FY0,,curn=#1,scale=6))","dataDir=across",$J$3)</f>
        <v>372</v>
      </c>
      <c r="I68" s="840">
        <v>317.88400000000001</v>
      </c>
      <c r="J68" s="840">
        <v>328.274</v>
      </c>
      <c r="K68" s="840">
        <v>350.67099999999999</v>
      </c>
      <c r="L68" s="840">
        <v>338.495</v>
      </c>
      <c r="M68" s="840">
        <v>325.613</v>
      </c>
      <c r="N68" s="840">
        <v>405.89100000000002</v>
      </c>
      <c r="O68" s="840">
        <v>427.5</v>
      </c>
      <c r="P68" s="840">
        <v>0</v>
      </c>
      <c r="Q68" s="802">
        <f t="shared" ref="Q68:W68" si="37">SUM(Q82:Q95)</f>
        <v>0</v>
      </c>
      <c r="R68" s="802">
        <f t="shared" si="37"/>
        <v>0</v>
      </c>
      <c r="S68" s="802">
        <f t="shared" si="37"/>
        <v>0</v>
      </c>
      <c r="T68" s="802">
        <f t="shared" si="37"/>
        <v>0</v>
      </c>
      <c r="U68" s="802">
        <f t="shared" si="37"/>
        <v>0</v>
      </c>
      <c r="V68" s="802">
        <f t="shared" si="37"/>
        <v>0</v>
      </c>
      <c r="W68" s="802">
        <f t="shared" si="37"/>
        <v>0</v>
      </c>
      <c r="AA68"/>
      <c r="AB68"/>
      <c r="AC68"/>
      <c r="AD68"/>
      <c r="AE68"/>
      <c r="AF68"/>
      <c r="AJ68" s="762"/>
    </row>
    <row r="69" spans="1:36">
      <c r="H69" s="839"/>
      <c r="I69" s="839"/>
      <c r="J69" s="839"/>
      <c r="K69" s="839"/>
      <c r="L69" s="839"/>
      <c r="M69" s="839"/>
      <c r="N69" s="838"/>
      <c r="O69" s="838"/>
      <c r="P69" s="838"/>
      <c r="Q69" s="838"/>
      <c r="R69" s="838"/>
      <c r="S69" s="838"/>
      <c r="T69" s="838"/>
      <c r="U69" s="838"/>
      <c r="V69" s="838"/>
      <c r="W69" s="838"/>
    </row>
    <row r="70" spans="1:36">
      <c r="C70" s="752" t="s">
        <v>685</v>
      </c>
      <c r="H70" s="827">
        <v>10</v>
      </c>
      <c r="I70" s="827">
        <v>10</v>
      </c>
      <c r="J70" s="827">
        <v>10</v>
      </c>
      <c r="K70" s="827">
        <v>10</v>
      </c>
      <c r="L70" s="827">
        <v>10</v>
      </c>
      <c r="M70" s="827">
        <v>10</v>
      </c>
      <c r="N70" s="827">
        <v>10</v>
      </c>
      <c r="O70" s="827">
        <v>10</v>
      </c>
      <c r="P70" s="827">
        <v>10</v>
      </c>
      <c r="Q70" s="752"/>
      <c r="R70" s="752"/>
      <c r="S70" s="752"/>
      <c r="T70" s="752"/>
      <c r="U70" s="752"/>
      <c r="V70" s="752"/>
      <c r="W70" s="752"/>
    </row>
    <row r="71" spans="1:36">
      <c r="C71" s="732" t="s">
        <v>686</v>
      </c>
      <c r="H71" s="827">
        <v>5</v>
      </c>
      <c r="I71" s="827">
        <v>5</v>
      </c>
      <c r="J71" s="827">
        <v>5</v>
      </c>
      <c r="K71" s="827">
        <v>5</v>
      </c>
      <c r="L71" s="827">
        <v>5</v>
      </c>
      <c r="M71" s="827">
        <v>5</v>
      </c>
      <c r="N71" s="827">
        <v>5</v>
      </c>
      <c r="O71" s="827">
        <v>5</v>
      </c>
      <c r="P71" s="827">
        <v>5</v>
      </c>
      <c r="Q71" s="752"/>
      <c r="R71" s="752"/>
      <c r="S71" s="752"/>
      <c r="T71" s="752"/>
      <c r="U71" s="752"/>
      <c r="V71" s="752"/>
      <c r="W71" s="752"/>
    </row>
    <row r="72" spans="1:36">
      <c r="C72" s="732" t="s">
        <v>687</v>
      </c>
      <c r="H72" s="837">
        <f t="shared" ref="H72:P72" si="38">1-H71/H70</f>
        <v>0.5</v>
      </c>
      <c r="I72" s="837">
        <f t="shared" si="38"/>
        <v>0.5</v>
      </c>
      <c r="J72" s="837">
        <f t="shared" si="38"/>
        <v>0.5</v>
      </c>
      <c r="K72" s="837">
        <f t="shared" si="38"/>
        <v>0.5</v>
      </c>
      <c r="L72" s="837">
        <f t="shared" si="38"/>
        <v>0.5</v>
      </c>
      <c r="M72" s="837">
        <f t="shared" si="38"/>
        <v>0.5</v>
      </c>
      <c r="N72" s="837">
        <f t="shared" si="38"/>
        <v>0.5</v>
      </c>
      <c r="O72" s="837">
        <f t="shared" si="38"/>
        <v>0.5</v>
      </c>
      <c r="P72" s="837">
        <f t="shared" si="38"/>
        <v>0.5</v>
      </c>
      <c r="Q72" s="834"/>
      <c r="R72" s="834"/>
      <c r="S72" s="834"/>
      <c r="T72" s="834"/>
      <c r="U72" s="834"/>
      <c r="V72" s="834"/>
      <c r="W72" s="834"/>
    </row>
    <row r="73" spans="1:36">
      <c r="H73" s="836"/>
      <c r="I73" s="836"/>
      <c r="J73" s="836"/>
      <c r="K73" s="835"/>
      <c r="L73" s="835"/>
      <c r="M73" s="835"/>
      <c r="N73" s="835"/>
      <c r="O73" s="834"/>
      <c r="P73" s="834"/>
      <c r="Q73" s="834"/>
      <c r="R73" s="834"/>
      <c r="S73" s="834"/>
      <c r="T73" s="834"/>
      <c r="U73" s="834"/>
      <c r="V73" s="834"/>
      <c r="W73" s="834"/>
    </row>
    <row r="74" spans="1:36" outlineLevel="1">
      <c r="B74" s="803"/>
      <c r="C74" s="795" t="s">
        <v>688</v>
      </c>
      <c r="D74" s="795"/>
      <c r="E74" s="795"/>
      <c r="F74" s="795"/>
      <c r="G74" s="795"/>
      <c r="H74" s="418">
        <f t="shared" ref="H74:W74" si="39">H9</f>
        <v>39631</v>
      </c>
      <c r="I74" s="418">
        <f t="shared" si="39"/>
        <v>39996</v>
      </c>
      <c r="J74" s="418">
        <f t="shared" si="39"/>
        <v>40361</v>
      </c>
      <c r="K74" s="418">
        <f t="shared" si="39"/>
        <v>40726</v>
      </c>
      <c r="L74" s="418">
        <f t="shared" si="39"/>
        <v>41092</v>
      </c>
      <c r="M74" s="418">
        <f t="shared" si="39"/>
        <v>41457</v>
      </c>
      <c r="N74" s="418">
        <f t="shared" si="39"/>
        <v>41822</v>
      </c>
      <c r="O74" s="418">
        <f t="shared" si="39"/>
        <v>42187</v>
      </c>
      <c r="P74" s="418">
        <f t="shared" si="39"/>
        <v>42553</v>
      </c>
      <c r="Q74" s="418">
        <f t="shared" si="39"/>
        <v>42918</v>
      </c>
      <c r="R74" s="418">
        <f t="shared" si="39"/>
        <v>43283</v>
      </c>
      <c r="S74" s="418">
        <f t="shared" si="39"/>
        <v>43648</v>
      </c>
      <c r="T74" s="418">
        <f t="shared" si="39"/>
        <v>44014</v>
      </c>
      <c r="U74" s="418">
        <f t="shared" si="39"/>
        <v>44379</v>
      </c>
      <c r="V74" s="418">
        <f t="shared" si="39"/>
        <v>44744</v>
      </c>
      <c r="W74" s="418">
        <f t="shared" si="39"/>
        <v>45109</v>
      </c>
    </row>
    <row r="75" spans="1:36" outlineLevel="1">
      <c r="B75" s="803"/>
      <c r="C75" s="833"/>
      <c r="D75" s="833"/>
      <c r="E75" s="833"/>
      <c r="F75" s="833"/>
      <c r="G75" s="833"/>
      <c r="H75" s="832"/>
      <c r="I75" s="832"/>
      <c r="J75" s="832"/>
      <c r="K75" s="832"/>
      <c r="L75" s="832"/>
      <c r="M75" s="832"/>
      <c r="N75" s="832"/>
      <c r="O75" s="832"/>
      <c r="P75" s="832"/>
      <c r="Q75" s="832"/>
      <c r="R75" s="832"/>
      <c r="S75" s="832"/>
      <c r="T75" s="832"/>
      <c r="U75" s="832"/>
      <c r="V75" s="832"/>
      <c r="W75" s="832"/>
    </row>
    <row r="76" spans="1:36" s="805" customFormat="1" ht="12" customHeight="1" outlineLevel="1">
      <c r="A76" s="807"/>
      <c r="B76" s="733"/>
      <c r="C76" s="773" t="s">
        <v>689</v>
      </c>
      <c r="D76" s="822"/>
      <c r="E76" s="822"/>
      <c r="F76" s="822"/>
      <c r="G76" s="822"/>
      <c r="H76" s="831">
        <f>_xll.ThomsonONEAddinShim.SpreadsheetFormulas.TF(SedolTicker,"ZAV(TF.FN.RentalAndOperLeaseExpense(period=FY0,sdate=FY-8,edate=FY0,curn=#1,Scale=6)@TF.RF.RentalExpenseSupplemental(period=FY0,sdate=FY-8,edate=FY0,curn=#1,Scale=6))","dataDir=across",$J$3)</f>
        <v>133</v>
      </c>
      <c r="I76" s="830">
        <v>151.267</v>
      </c>
      <c r="J76" s="830">
        <v>181.369</v>
      </c>
      <c r="K76" s="830">
        <v>206.905</v>
      </c>
      <c r="L76" s="830">
        <v>248.15600000000001</v>
      </c>
      <c r="M76" s="830">
        <v>282.30500000000001</v>
      </c>
      <c r="N76" s="830">
        <v>317.20699999999999</v>
      </c>
      <c r="O76" s="830">
        <v>356.6</v>
      </c>
      <c r="P76" s="829">
        <v>364.7</v>
      </c>
      <c r="Q76" s="802">
        <f t="shared" ref="Q76:W91" si="40">P76*(1+Q$64)</f>
        <v>371.99399999999997</v>
      </c>
      <c r="R76" s="802">
        <f t="shared" si="40"/>
        <v>379.43387999999999</v>
      </c>
      <c r="S76" s="802">
        <f t="shared" si="40"/>
        <v>387.02255759999997</v>
      </c>
      <c r="T76" s="802">
        <f t="shared" si="40"/>
        <v>394.76300875199996</v>
      </c>
      <c r="U76" s="802">
        <f t="shared" si="40"/>
        <v>402.65826892703996</v>
      </c>
      <c r="V76" s="802">
        <f t="shared" si="40"/>
        <v>410.71143430558078</v>
      </c>
      <c r="W76" s="802">
        <f t="shared" si="40"/>
        <v>418.92566299169238</v>
      </c>
      <c r="AA76"/>
      <c r="AB76"/>
      <c r="AC76"/>
      <c r="AD76"/>
      <c r="AE76"/>
      <c r="AF76"/>
      <c r="AJ76" s="800"/>
    </row>
    <row r="77" spans="1:36" s="805" customFormat="1" ht="12" customHeight="1" outlineLevel="1">
      <c r="A77" s="807"/>
      <c r="B77" s="733"/>
      <c r="C77" s="773" t="s">
        <v>690</v>
      </c>
      <c r="D77" s="822"/>
      <c r="E77" s="822"/>
      <c r="F77" s="822"/>
      <c r="G77" s="822"/>
      <c r="H77" s="828">
        <f>_xll.ThomsonONEAddinShim.SpreadsheetFormulas.TF(SedolTicker,"ZAV(TF.FN.LeaseCommitmentsYr1(period=FY0,sdate=FY-8,edate=FY0,curn=#1,Scale=6))","dataDir=across",$J$3)</f>
        <v>113</v>
      </c>
      <c r="I77" s="827">
        <v>127.301</v>
      </c>
      <c r="J77" s="827">
        <v>137.88399999999999</v>
      </c>
      <c r="K77" s="827">
        <v>152.87100000000001</v>
      </c>
      <c r="L77" s="827">
        <v>179.33</v>
      </c>
      <c r="M77" s="827">
        <v>196.518</v>
      </c>
      <c r="N77" s="827">
        <v>208.51900000000001</v>
      </c>
      <c r="O77" s="827">
        <v>243.1</v>
      </c>
      <c r="P77" s="826">
        <v>0</v>
      </c>
      <c r="Q77" s="802">
        <f t="shared" si="40"/>
        <v>0</v>
      </c>
      <c r="R77" s="802">
        <f t="shared" si="40"/>
        <v>0</v>
      </c>
      <c r="S77" s="802">
        <f t="shared" si="40"/>
        <v>0</v>
      </c>
      <c r="T77" s="802">
        <f t="shared" si="40"/>
        <v>0</v>
      </c>
      <c r="U77" s="802">
        <f t="shared" si="40"/>
        <v>0</v>
      </c>
      <c r="V77" s="802">
        <f t="shared" si="40"/>
        <v>0</v>
      </c>
      <c r="W77" s="802">
        <f t="shared" si="40"/>
        <v>0</v>
      </c>
      <c r="AA77"/>
      <c r="AB77"/>
      <c r="AC77"/>
      <c r="AD77"/>
      <c r="AE77"/>
      <c r="AF77"/>
      <c r="AJ77" s="800"/>
    </row>
    <row r="78" spans="1:36" s="805" customFormat="1" ht="12" customHeight="1" outlineLevel="1">
      <c r="A78" s="807"/>
      <c r="B78" s="733"/>
      <c r="C78" s="773" t="s">
        <v>691</v>
      </c>
      <c r="D78" s="822"/>
      <c r="E78" s="822"/>
      <c r="F78" s="822"/>
      <c r="G78" s="822"/>
      <c r="H78" s="828">
        <f>_xll.ThomsonONEAddinShim.SpreadsheetFormulas.TF(SedolTicker,"ZAV(TF.FN.LeaseCommitmentsYr2(period=FY0,sdate=FY-8,edate=FY0,curn=#1,Scale=6))","dataDir=across",$J$3)</f>
        <v>111</v>
      </c>
      <c r="I78" s="827">
        <v>123.93300000000001</v>
      </c>
      <c r="J78" s="827">
        <v>131.45699999999999</v>
      </c>
      <c r="K78" s="827">
        <v>148.34800000000001</v>
      </c>
      <c r="L78" s="827">
        <v>169.84</v>
      </c>
      <c r="M78" s="827">
        <v>184.643</v>
      </c>
      <c r="N78" s="827">
        <v>186.80799999999999</v>
      </c>
      <c r="O78" s="827">
        <v>209.3</v>
      </c>
      <c r="P78" s="826">
        <v>0</v>
      </c>
      <c r="Q78" s="802">
        <f t="shared" si="40"/>
        <v>0</v>
      </c>
      <c r="R78" s="802">
        <f t="shared" si="40"/>
        <v>0</v>
      </c>
      <c r="S78" s="802">
        <f t="shared" si="40"/>
        <v>0</v>
      </c>
      <c r="T78" s="802">
        <f t="shared" si="40"/>
        <v>0</v>
      </c>
      <c r="U78" s="802">
        <f t="shared" si="40"/>
        <v>0</v>
      </c>
      <c r="V78" s="802">
        <f t="shared" si="40"/>
        <v>0</v>
      </c>
      <c r="W78" s="802">
        <f t="shared" si="40"/>
        <v>0</v>
      </c>
      <c r="AA78"/>
      <c r="AB78"/>
      <c r="AC78"/>
      <c r="AD78"/>
      <c r="AE78"/>
      <c r="AF78"/>
      <c r="AJ78" s="800"/>
    </row>
    <row r="79" spans="1:36" s="805" customFormat="1" ht="12" customHeight="1" outlineLevel="1">
      <c r="A79" s="807"/>
      <c r="B79" s="733"/>
      <c r="C79" s="773" t="s">
        <v>692</v>
      </c>
      <c r="D79" s="822"/>
      <c r="E79" s="822"/>
      <c r="F79" s="822"/>
      <c r="G79" s="822"/>
      <c r="H79" s="828">
        <f>_xll.ThomsonONEAddinShim.SpreadsheetFormulas.TF(SedolTicker,"ZAV(TF.FN.LeaseCommitmentsYr3(period=FY0,sdate=FY-8,edate=FY0,curn=#1,Scale=6))","dataDir=across",$J$3)</f>
        <v>107</v>
      </c>
      <c r="I79" s="827">
        <v>114.422</v>
      </c>
      <c r="J79" s="827">
        <v>119.577</v>
      </c>
      <c r="K79" s="827">
        <v>140.03200000000001</v>
      </c>
      <c r="L79" s="827">
        <v>154.381</v>
      </c>
      <c r="M79" s="827">
        <v>150.81100000000001</v>
      </c>
      <c r="N79" s="827">
        <v>166.33799999999999</v>
      </c>
      <c r="O79" s="827">
        <v>184.8</v>
      </c>
      <c r="P79" s="826">
        <v>0</v>
      </c>
      <c r="Q79" s="802">
        <f t="shared" si="40"/>
        <v>0</v>
      </c>
      <c r="R79" s="802">
        <f t="shared" si="40"/>
        <v>0</v>
      </c>
      <c r="S79" s="802">
        <f t="shared" si="40"/>
        <v>0</v>
      </c>
      <c r="T79" s="802">
        <f t="shared" si="40"/>
        <v>0</v>
      </c>
      <c r="U79" s="802">
        <f t="shared" si="40"/>
        <v>0</v>
      </c>
      <c r="V79" s="802">
        <f t="shared" si="40"/>
        <v>0</v>
      </c>
      <c r="W79" s="802">
        <f t="shared" si="40"/>
        <v>0</v>
      </c>
      <c r="AA79"/>
      <c r="AB79"/>
      <c r="AC79"/>
      <c r="AD79"/>
      <c r="AE79"/>
      <c r="AF79"/>
      <c r="AJ79" s="800"/>
    </row>
    <row r="80" spans="1:36" s="805" customFormat="1" ht="12" customHeight="1" outlineLevel="1">
      <c r="A80" s="807"/>
      <c r="B80" s="733"/>
      <c r="C80" s="773" t="s">
        <v>693</v>
      </c>
      <c r="D80" s="822"/>
      <c r="E80" s="822"/>
      <c r="F80" s="822"/>
      <c r="G80" s="822"/>
      <c r="H80" s="828">
        <f>_xll.ThomsonONEAddinShim.SpreadsheetFormulas.TF(SedolTicker,"ZAV(TF.FN.LeaseCommitmentsYr4(period=FY0,sdate=FY-8,edate=FY0,curn=#1,Scale=6))","dataDir=across",$J$3)</f>
        <v>102</v>
      </c>
      <c r="I80" s="827">
        <v>103.867</v>
      </c>
      <c r="J80" s="827">
        <v>109.703</v>
      </c>
      <c r="K80" s="827">
        <v>133.55600000000001</v>
      </c>
      <c r="L80" s="827">
        <v>124.202</v>
      </c>
      <c r="M80" s="827">
        <v>127.804</v>
      </c>
      <c r="N80" s="827">
        <v>135.464</v>
      </c>
      <c r="O80" s="827">
        <v>158.30000000000001</v>
      </c>
      <c r="P80" s="826">
        <v>0</v>
      </c>
      <c r="Q80" s="802">
        <f t="shared" si="40"/>
        <v>0</v>
      </c>
      <c r="R80" s="802">
        <f t="shared" si="40"/>
        <v>0</v>
      </c>
      <c r="S80" s="802">
        <f t="shared" si="40"/>
        <v>0</v>
      </c>
      <c r="T80" s="802">
        <f t="shared" si="40"/>
        <v>0</v>
      </c>
      <c r="U80" s="802">
        <f t="shared" si="40"/>
        <v>0</v>
      </c>
      <c r="V80" s="802">
        <f t="shared" si="40"/>
        <v>0</v>
      </c>
      <c r="W80" s="802">
        <f t="shared" si="40"/>
        <v>0</v>
      </c>
      <c r="AA80"/>
      <c r="AB80"/>
      <c r="AC80"/>
      <c r="AD80"/>
      <c r="AE80"/>
      <c r="AF80"/>
      <c r="AJ80" s="800"/>
    </row>
    <row r="81" spans="1:36" s="805" customFormat="1" ht="12" customHeight="1" outlineLevel="1">
      <c r="A81" s="807"/>
      <c r="B81" s="733"/>
      <c r="C81" s="773" t="s">
        <v>694</v>
      </c>
      <c r="D81" s="822"/>
      <c r="E81" s="822"/>
      <c r="F81" s="822"/>
      <c r="G81" s="822"/>
      <c r="H81" s="825">
        <f>_xll.ThomsonONEAddinShim.SpreadsheetFormulas.TF(SedolTicker,"ZAV(TF.FN.LeaseCommitmentsYr5(period=FY0,sdate=FY-8,edate=FY0,curn=#1,Scale=6))","dataDir=across",$J$3)</f>
        <v>96</v>
      </c>
      <c r="I81" s="824">
        <v>89.963999999999999</v>
      </c>
      <c r="J81" s="824">
        <v>95.844999999999999</v>
      </c>
      <c r="K81" s="824">
        <v>93.784999999999997</v>
      </c>
      <c r="L81" s="824">
        <v>109.224</v>
      </c>
      <c r="M81" s="824">
        <v>102.648</v>
      </c>
      <c r="N81" s="824">
        <v>107.937</v>
      </c>
      <c r="O81" s="824">
        <v>133</v>
      </c>
      <c r="P81" s="823">
        <v>0</v>
      </c>
      <c r="Q81" s="802">
        <f t="shared" si="40"/>
        <v>0</v>
      </c>
      <c r="R81" s="802">
        <f t="shared" si="40"/>
        <v>0</v>
      </c>
      <c r="S81" s="802">
        <f t="shared" si="40"/>
        <v>0</v>
      </c>
      <c r="T81" s="802">
        <f t="shared" si="40"/>
        <v>0</v>
      </c>
      <c r="U81" s="802">
        <f t="shared" si="40"/>
        <v>0</v>
      </c>
      <c r="V81" s="802">
        <f t="shared" si="40"/>
        <v>0</v>
      </c>
      <c r="W81" s="802">
        <f t="shared" si="40"/>
        <v>0</v>
      </c>
      <c r="AA81"/>
      <c r="AB81"/>
      <c r="AC81"/>
      <c r="AD81"/>
      <c r="AE81"/>
      <c r="AF81"/>
      <c r="AJ81" s="800"/>
    </row>
    <row r="82" spans="1:36" s="805" customFormat="1" outlineLevel="1">
      <c r="A82" s="807"/>
      <c r="B82" s="733"/>
      <c r="C82" s="822" t="s">
        <v>695</v>
      </c>
      <c r="D82" s="822"/>
      <c r="E82" s="822"/>
      <c r="F82" s="822"/>
      <c r="G82" s="822"/>
      <c r="H82" s="821">
        <f t="shared" ref="H82:P82" si="41">IF(ISERROR(H68/H71),"NA",H68/H71)</f>
        <v>74.400000000000006</v>
      </c>
      <c r="I82" s="821">
        <f t="shared" si="41"/>
        <v>63.576800000000006</v>
      </c>
      <c r="J82" s="821">
        <f t="shared" si="41"/>
        <v>65.654799999999994</v>
      </c>
      <c r="K82" s="821">
        <f t="shared" si="41"/>
        <v>70.134199999999993</v>
      </c>
      <c r="L82" s="821">
        <f t="shared" si="41"/>
        <v>67.698999999999998</v>
      </c>
      <c r="M82" s="821">
        <f t="shared" si="41"/>
        <v>65.122600000000006</v>
      </c>
      <c r="N82" s="821">
        <f t="shared" si="41"/>
        <v>81.178200000000004</v>
      </c>
      <c r="O82" s="821">
        <f t="shared" si="41"/>
        <v>85.5</v>
      </c>
      <c r="P82" s="821">
        <f t="shared" si="41"/>
        <v>0</v>
      </c>
      <c r="Q82" s="802">
        <f t="shared" si="40"/>
        <v>0</v>
      </c>
      <c r="R82" s="802">
        <f t="shared" si="40"/>
        <v>0</v>
      </c>
      <c r="S82" s="802">
        <f t="shared" si="40"/>
        <v>0</v>
      </c>
      <c r="T82" s="802">
        <f t="shared" si="40"/>
        <v>0</v>
      </c>
      <c r="U82" s="802">
        <f t="shared" si="40"/>
        <v>0</v>
      </c>
      <c r="V82" s="802">
        <f t="shared" si="40"/>
        <v>0</v>
      </c>
      <c r="W82" s="802">
        <f t="shared" si="40"/>
        <v>0</v>
      </c>
      <c r="AA82"/>
      <c r="AB82"/>
      <c r="AC82"/>
      <c r="AD82"/>
      <c r="AE82"/>
      <c r="AF82"/>
      <c r="AJ82" s="800"/>
    </row>
    <row r="83" spans="1:36" s="805" customFormat="1" outlineLevel="1">
      <c r="A83" s="807"/>
      <c r="B83" s="733"/>
      <c r="C83" s="822" t="s">
        <v>696</v>
      </c>
      <c r="D83" s="822"/>
      <c r="E83" s="822"/>
      <c r="F83" s="822"/>
      <c r="G83" s="822"/>
      <c r="H83" s="821">
        <f>IF(ISERROR(IF(ROUND(SUM(H$82:H82),3)&gt;=ROUND(H$68,3),0,H$68/H$71)),"NA",IF(ROUND(SUM(H$82:H82),3)&gt;=ROUND(H$68,3),0,H$68/H$71))</f>
        <v>74.400000000000006</v>
      </c>
      <c r="I83" s="821">
        <f>IF(ISERROR(IF(ROUND(SUM(I$82:I82),3)&gt;=ROUND(I$68,3),0,I$68/I$71)),"NA",IF(ROUND(SUM(I$82:I82),3)&gt;=ROUND(I$68,3),0,I$68/I$71))</f>
        <v>63.576800000000006</v>
      </c>
      <c r="J83" s="821">
        <f>IF(ISERROR(IF(ROUND(SUM(J$82:J82),3)&gt;=ROUND(J$68,3),0,J$68/J$71)),"NA",IF(ROUND(SUM(J$82:J82),3)&gt;=ROUND(J$68,3),0,J$68/J$71))</f>
        <v>65.654799999999994</v>
      </c>
      <c r="K83" s="821">
        <f>IF(ISERROR(IF(ROUND(SUM(K$82:K82),3)&gt;=ROUND(K$68,3),0,K$68/K$71)),"NA",IF(ROUND(SUM(K$82:K82),3)&gt;=ROUND(K$68,3),0,K$68/K$71))</f>
        <v>70.134199999999993</v>
      </c>
      <c r="L83" s="821">
        <f>IF(ISERROR(IF(ROUND(SUM(L$82:L82),3)&gt;=ROUND(L$68,3),0,L$68/L$71)),"NA",IF(ROUND(SUM(L$82:L82),3)&gt;=ROUND(L$68,3),0,L$68/L$71))</f>
        <v>67.698999999999998</v>
      </c>
      <c r="M83" s="821">
        <f>IF(ISERROR(IF(ROUND(SUM(M$82:M82),3)&gt;=ROUND(M$68,3),0,M$68/M$71)),"NA",IF(ROUND(SUM(M$82:M82),3)&gt;=ROUND(M$68,3),0,M$68/M$71))</f>
        <v>65.122600000000006</v>
      </c>
      <c r="N83" s="821">
        <f>IF(ISERROR(IF(ROUND(SUM(N$82:N82),3)&gt;=ROUND(N$68,3),0,N$68/N$71)),"NA",IF(ROUND(SUM(N$82:N82),3)&gt;=ROUND(N$68,3),0,N$68/N$71))</f>
        <v>81.178200000000004</v>
      </c>
      <c r="O83" s="821">
        <f>IF(ISERROR(IF(ROUND(SUM(O$82:O82),3)&gt;=ROUND(O$68,3),0,O$68/O$71)),"NA",IF(ROUND(SUM(O$82:O82),3)&gt;=ROUND(O$68,3),0,O$68/O$71))</f>
        <v>85.5</v>
      </c>
      <c r="P83" s="821">
        <f>IF(ISERROR(IF(ROUND(SUM(P$82:P82),3)&gt;=ROUND(P$68,3),0,P$68/P$71)),"NA",IF(ROUND(SUM(P$82:P82),3)&gt;=ROUND(P$68,3),0,P$68/P$71))</f>
        <v>0</v>
      </c>
      <c r="Q83" s="802">
        <f t="shared" si="40"/>
        <v>0</v>
      </c>
      <c r="R83" s="802">
        <f t="shared" si="40"/>
        <v>0</v>
      </c>
      <c r="S83" s="802">
        <f t="shared" si="40"/>
        <v>0</v>
      </c>
      <c r="T83" s="802">
        <f t="shared" si="40"/>
        <v>0</v>
      </c>
      <c r="U83" s="802">
        <f t="shared" si="40"/>
        <v>0</v>
      </c>
      <c r="V83" s="802">
        <f t="shared" si="40"/>
        <v>0</v>
      </c>
      <c r="W83" s="802">
        <f t="shared" si="40"/>
        <v>0</v>
      </c>
      <c r="AA83"/>
      <c r="AB83"/>
      <c r="AC83"/>
      <c r="AD83"/>
      <c r="AE83"/>
      <c r="AF83"/>
      <c r="AJ83" s="800"/>
    </row>
    <row r="84" spans="1:36" s="805" customFormat="1" outlineLevel="1">
      <c r="A84" s="807"/>
      <c r="B84" s="733"/>
      <c r="C84" s="822" t="s">
        <v>697</v>
      </c>
      <c r="D84" s="822"/>
      <c r="E84" s="822"/>
      <c r="F84" s="822"/>
      <c r="G84" s="822"/>
      <c r="H84" s="821">
        <f>IF(ISERROR(IF(ROUND(SUM(H$82:H83),3)&gt;=ROUND(H$68,3),0,H$68/H$71)),"NA",IF(ROUND(SUM(H$82:H83),3)&gt;=ROUND(H$68,3),0,H$68/H$71))</f>
        <v>74.400000000000006</v>
      </c>
      <c r="I84" s="821">
        <f>IF(ISERROR(IF(ROUND(SUM(I$82:I83),3)&gt;=ROUND(I$68,3),0,I$68/I$71)),"NA",IF(ROUND(SUM(I$82:I83),3)&gt;=ROUND(I$68,3),0,I$68/I$71))</f>
        <v>63.576800000000006</v>
      </c>
      <c r="J84" s="821">
        <f>IF(ISERROR(IF(ROUND(SUM(J$82:J83),3)&gt;=ROUND(J$68,3),0,J$68/J$71)),"NA",IF(ROUND(SUM(J$82:J83),3)&gt;=ROUND(J$68,3),0,J$68/J$71))</f>
        <v>65.654799999999994</v>
      </c>
      <c r="K84" s="821">
        <f>IF(ISERROR(IF(ROUND(SUM(K$82:K83),3)&gt;=ROUND(K$68,3),0,K$68/K$71)),"NA",IF(ROUND(SUM(K$82:K83),3)&gt;=ROUND(K$68,3),0,K$68/K$71))</f>
        <v>70.134199999999993</v>
      </c>
      <c r="L84" s="821">
        <f>IF(ISERROR(IF(ROUND(SUM(L$82:L83),3)&gt;=ROUND(L$68,3),0,L$68/L$71)),"NA",IF(ROUND(SUM(L$82:L83),3)&gt;=ROUND(L$68,3),0,L$68/L$71))</f>
        <v>67.698999999999998</v>
      </c>
      <c r="M84" s="821">
        <f>IF(ISERROR(IF(ROUND(SUM(M$82:M83),3)&gt;=ROUND(M$68,3),0,M$68/M$71)),"NA",IF(ROUND(SUM(M$82:M83),3)&gt;=ROUND(M$68,3),0,M$68/M$71))</f>
        <v>65.122600000000006</v>
      </c>
      <c r="N84" s="821">
        <f>IF(ISERROR(IF(ROUND(SUM(N$82:N83),3)&gt;=ROUND(N$68,3),0,N$68/N$71)),"NA",IF(ROUND(SUM(N$82:N83),3)&gt;=ROUND(N$68,3),0,N$68/N$71))</f>
        <v>81.178200000000004</v>
      </c>
      <c r="O84" s="821">
        <f>IF(ISERROR(IF(ROUND(SUM(O$82:O83),3)&gt;=ROUND(O$68,3),0,O$68/O$71)),"NA",IF(ROUND(SUM(O$82:O83),3)&gt;=ROUND(O$68,3),0,O$68/O$71))</f>
        <v>85.5</v>
      </c>
      <c r="P84" s="821">
        <f>IF(ISERROR(IF(ROUND(SUM(P$82:P83),3)&gt;=ROUND(P$68,3),0,P$68/P$71)),"NA",IF(ROUND(SUM(P$82:P83),3)&gt;=ROUND(P$68,3),0,P$68/P$71))</f>
        <v>0</v>
      </c>
      <c r="Q84" s="802">
        <f t="shared" si="40"/>
        <v>0</v>
      </c>
      <c r="R84" s="802">
        <f t="shared" si="40"/>
        <v>0</v>
      </c>
      <c r="S84" s="802">
        <f t="shared" si="40"/>
        <v>0</v>
      </c>
      <c r="T84" s="802">
        <f t="shared" si="40"/>
        <v>0</v>
      </c>
      <c r="U84" s="802">
        <f t="shared" si="40"/>
        <v>0</v>
      </c>
      <c r="V84" s="802">
        <f t="shared" si="40"/>
        <v>0</v>
      </c>
      <c r="W84" s="802">
        <f t="shared" si="40"/>
        <v>0</v>
      </c>
      <c r="AA84"/>
      <c r="AB84"/>
      <c r="AC84"/>
      <c r="AD84"/>
      <c r="AE84"/>
      <c r="AF84"/>
      <c r="AJ84" s="800"/>
    </row>
    <row r="85" spans="1:36" s="805" customFormat="1" outlineLevel="1">
      <c r="A85" s="807"/>
      <c r="B85" s="733"/>
      <c r="C85" s="822" t="s">
        <v>698</v>
      </c>
      <c r="D85" s="822"/>
      <c r="E85" s="822"/>
      <c r="F85" s="822"/>
      <c r="G85" s="822"/>
      <c r="H85" s="821">
        <f>IF(ISERROR(IF(ROUND(SUM(H$82:H84),3)&gt;=ROUND(H$68,3),0,H$68/H$71)),"NA",IF(ROUND(SUM(H$82:H84),3)&gt;=ROUND(H$68,3),0,H$68/H$71))</f>
        <v>74.400000000000006</v>
      </c>
      <c r="I85" s="821">
        <f>IF(ISERROR(IF(ROUND(SUM(I$82:I84),3)&gt;=ROUND(I$68,3),0,I$68/I$71)),"NA",IF(ROUND(SUM(I$82:I84),3)&gt;=ROUND(I$68,3),0,I$68/I$71))</f>
        <v>63.576800000000006</v>
      </c>
      <c r="J85" s="821">
        <f>IF(ISERROR(IF(ROUND(SUM(J$82:J84),3)&gt;=ROUND(J$68,3),0,J$68/J$71)),"NA",IF(ROUND(SUM(J$82:J84),3)&gt;=ROUND(J$68,3),0,J$68/J$71))</f>
        <v>65.654799999999994</v>
      </c>
      <c r="K85" s="821">
        <f>IF(ISERROR(IF(ROUND(SUM(K$82:K84),3)&gt;=ROUND(K$68,3),0,K$68/K$71)),"NA",IF(ROUND(SUM(K$82:K84),3)&gt;=ROUND(K$68,3),0,K$68/K$71))</f>
        <v>70.134199999999993</v>
      </c>
      <c r="L85" s="821">
        <f>IF(ISERROR(IF(ROUND(SUM(L$82:L84),3)&gt;=ROUND(L$68,3),0,L$68/L$71)),"NA",IF(ROUND(SUM(L$82:L84),3)&gt;=ROUND(L$68,3),0,L$68/L$71))</f>
        <v>67.698999999999998</v>
      </c>
      <c r="M85" s="821">
        <f>IF(ISERROR(IF(ROUND(SUM(M$82:M84),3)&gt;=ROUND(M$68,3),0,M$68/M$71)),"NA",IF(ROUND(SUM(M$82:M84),3)&gt;=ROUND(M$68,3),0,M$68/M$71))</f>
        <v>65.122600000000006</v>
      </c>
      <c r="N85" s="821">
        <f>IF(ISERROR(IF(ROUND(SUM(N$82:N84),3)&gt;=ROUND(N$68,3),0,N$68/N$71)),"NA",IF(ROUND(SUM(N$82:N84),3)&gt;=ROUND(N$68,3),0,N$68/N$71))</f>
        <v>81.178200000000004</v>
      </c>
      <c r="O85" s="821">
        <f>IF(ISERROR(IF(ROUND(SUM(O$82:O84),3)&gt;=ROUND(O$68,3),0,O$68/O$71)),"NA",IF(ROUND(SUM(O$82:O84),3)&gt;=ROUND(O$68,3),0,O$68/O$71))</f>
        <v>85.5</v>
      </c>
      <c r="P85" s="821">
        <f>IF(ISERROR(IF(ROUND(SUM(P$82:P84),3)&gt;=ROUND(P$68,3),0,P$68/P$71)),"NA",IF(ROUND(SUM(P$82:P84),3)&gt;=ROUND(P$68,3),0,P$68/P$71))</f>
        <v>0</v>
      </c>
      <c r="Q85" s="802">
        <f t="shared" si="40"/>
        <v>0</v>
      </c>
      <c r="R85" s="802">
        <f t="shared" si="40"/>
        <v>0</v>
      </c>
      <c r="S85" s="802">
        <f t="shared" si="40"/>
        <v>0</v>
      </c>
      <c r="T85" s="802">
        <f t="shared" si="40"/>
        <v>0</v>
      </c>
      <c r="U85" s="802">
        <f t="shared" si="40"/>
        <v>0</v>
      </c>
      <c r="V85" s="802">
        <f t="shared" si="40"/>
        <v>0</v>
      </c>
      <c r="W85" s="802">
        <f t="shared" si="40"/>
        <v>0</v>
      </c>
      <c r="AA85"/>
      <c r="AB85"/>
      <c r="AC85"/>
      <c r="AD85"/>
      <c r="AE85"/>
      <c r="AF85"/>
      <c r="AJ85" s="800"/>
    </row>
    <row r="86" spans="1:36" s="805" customFormat="1" outlineLevel="1">
      <c r="A86" s="807"/>
      <c r="B86" s="733"/>
      <c r="C86" s="822" t="s">
        <v>699</v>
      </c>
      <c r="D86" s="822"/>
      <c r="E86" s="822"/>
      <c r="F86" s="822"/>
      <c r="G86" s="822"/>
      <c r="H86" s="821">
        <f>IF(ISERROR(IF(ROUND(SUM(H$82:H85),3)&gt;=ROUND(H$68,3),0,H$68/H$71)),"NA",IF(ROUND(SUM(H$82:H85),3)&gt;=ROUND(H$68,3),0,H$68/H$71))</f>
        <v>74.400000000000006</v>
      </c>
      <c r="I86" s="821">
        <f>IF(ISERROR(IF(ROUND(SUM(I$82:I85),3)&gt;=ROUND(I$68,3),0,I$68/I$71)),"NA",IF(ROUND(SUM(I$82:I85),3)&gt;=ROUND(I$68,3),0,I$68/I$71))</f>
        <v>63.576800000000006</v>
      </c>
      <c r="J86" s="821">
        <f>IF(ISERROR(IF(ROUND(SUM(J$82:J85),3)&gt;=ROUND(J$68,3),0,J$68/J$71)),"NA",IF(ROUND(SUM(J$82:J85),3)&gt;=ROUND(J$68,3),0,J$68/J$71))</f>
        <v>65.654799999999994</v>
      </c>
      <c r="K86" s="821">
        <f>IF(ISERROR(IF(ROUND(SUM(K$82:K85),3)&gt;=ROUND(K$68,3),0,K$68/K$71)),"NA",IF(ROUND(SUM(K$82:K85),3)&gt;=ROUND(K$68,3),0,K$68/K$71))</f>
        <v>70.134199999999993</v>
      </c>
      <c r="L86" s="821">
        <f>IF(ISERROR(IF(ROUND(SUM(L$82:L85),3)&gt;=ROUND(L$68,3),0,L$68/L$71)),"NA",IF(ROUND(SUM(L$82:L85),3)&gt;=ROUND(L$68,3),0,L$68/L$71))</f>
        <v>67.698999999999998</v>
      </c>
      <c r="M86" s="821">
        <f>IF(ISERROR(IF(ROUND(SUM(M$82:M85),3)&gt;=ROUND(M$68,3),0,M$68/M$71)),"NA",IF(ROUND(SUM(M$82:M85),3)&gt;=ROUND(M$68,3),0,M$68/M$71))</f>
        <v>65.122600000000006</v>
      </c>
      <c r="N86" s="821">
        <f>IF(ISERROR(IF(ROUND(SUM(N$82:N85),3)&gt;=ROUND(N$68,3),0,N$68/N$71)),"NA",IF(ROUND(SUM(N$82:N85),3)&gt;=ROUND(N$68,3),0,N$68/N$71))</f>
        <v>81.178200000000004</v>
      </c>
      <c r="O86" s="821">
        <f>IF(ISERROR(IF(ROUND(SUM(O$82:O85),3)&gt;=ROUND(O$68,3),0,O$68/O$71)),"NA",IF(ROUND(SUM(O$82:O85),3)&gt;=ROUND(O$68,3),0,O$68/O$71))</f>
        <v>85.5</v>
      </c>
      <c r="P86" s="821">
        <f>IF(ISERROR(IF(ROUND(SUM(P$82:P85),3)&gt;=ROUND(P$68,3),0,P$68/P$71)),"NA",IF(ROUND(SUM(P$82:P85),3)&gt;=ROUND(P$68,3),0,P$68/P$71))</f>
        <v>0</v>
      </c>
      <c r="Q86" s="802">
        <f t="shared" si="40"/>
        <v>0</v>
      </c>
      <c r="R86" s="802">
        <f t="shared" si="40"/>
        <v>0</v>
      </c>
      <c r="S86" s="802">
        <f t="shared" si="40"/>
        <v>0</v>
      </c>
      <c r="T86" s="802">
        <f t="shared" si="40"/>
        <v>0</v>
      </c>
      <c r="U86" s="802">
        <f t="shared" si="40"/>
        <v>0</v>
      </c>
      <c r="V86" s="802">
        <f t="shared" si="40"/>
        <v>0</v>
      </c>
      <c r="W86" s="802">
        <f t="shared" si="40"/>
        <v>0</v>
      </c>
      <c r="AA86"/>
      <c r="AB86"/>
      <c r="AC86"/>
      <c r="AD86"/>
      <c r="AE86"/>
      <c r="AF86"/>
      <c r="AJ86" s="800"/>
    </row>
    <row r="87" spans="1:36" s="805" customFormat="1" outlineLevel="1">
      <c r="A87" s="807"/>
      <c r="B87" s="733"/>
      <c r="C87" s="822" t="s">
        <v>700</v>
      </c>
      <c r="D87" s="822"/>
      <c r="E87" s="822"/>
      <c r="F87" s="822"/>
      <c r="G87" s="822"/>
      <c r="H87" s="821">
        <f>IF(ISERROR(IF(ROUND(SUM(H$82:H86),3)&gt;=ROUND(H$68,3),0,H$68/H$71)),"NA",IF(ROUND(SUM(H$82:H86),3)&gt;=ROUND(H$68,3),0,H$68/H$71))</f>
        <v>0</v>
      </c>
      <c r="I87" s="821">
        <f>IF(ISERROR(IF(ROUND(SUM(I$82:I86),3)&gt;=ROUND(I$68,3),0,I$68/I$71)),"NA",IF(ROUND(SUM(I$82:I86),3)&gt;=ROUND(I$68,3),0,I$68/I$71))</f>
        <v>0</v>
      </c>
      <c r="J87" s="821">
        <f>IF(ISERROR(IF(ROUND(SUM(J$82:J86),3)&gt;=ROUND(J$68,3),0,J$68/J$71)),"NA",IF(ROUND(SUM(J$82:J86),3)&gt;=ROUND(J$68,3),0,J$68/J$71))</f>
        <v>0</v>
      </c>
      <c r="K87" s="821">
        <f>IF(ISERROR(IF(ROUND(SUM(K$82:K86),3)&gt;=ROUND(K$68,3),0,K$68/K$71)),"NA",IF(ROUND(SUM(K$82:K86),3)&gt;=ROUND(K$68,3),0,K$68/K$71))</f>
        <v>0</v>
      </c>
      <c r="L87" s="821">
        <f>IF(ISERROR(IF(ROUND(SUM(L$82:L86),3)&gt;=ROUND(L$68,3),0,L$68/L$71)),"NA",IF(ROUND(SUM(L$82:L86),3)&gt;=ROUND(L$68,3),0,L$68/L$71))</f>
        <v>0</v>
      </c>
      <c r="M87" s="821">
        <f>IF(ISERROR(IF(ROUND(SUM(M$82:M86),3)&gt;=ROUND(M$68,3),0,M$68/M$71)),"NA",IF(ROUND(SUM(M$82:M86),3)&gt;=ROUND(M$68,3),0,M$68/M$71))</f>
        <v>0</v>
      </c>
      <c r="N87" s="821">
        <f>IF(ISERROR(IF(ROUND(SUM(N$82:N86),3)&gt;=ROUND(N$68,3),0,N$68/N$71)),"NA",IF(ROUND(SUM(N$82:N86),3)&gt;=ROUND(N$68,3),0,N$68/N$71))</f>
        <v>0</v>
      </c>
      <c r="O87" s="821">
        <f>IF(ISERROR(IF(ROUND(SUM(O$82:O86),3)&gt;=ROUND(O$68,3),0,O$68/O$71)),"NA",IF(ROUND(SUM(O$82:O86),3)&gt;=ROUND(O$68,3),0,O$68/O$71))</f>
        <v>0</v>
      </c>
      <c r="P87" s="821">
        <f>IF(ISERROR(IF(ROUND(SUM(P$82:P86),3)&gt;=ROUND(P$68,3),0,P$68/P$71)),"NA",IF(ROUND(SUM(P$82:P86),3)&gt;=ROUND(P$68,3),0,P$68/P$71))</f>
        <v>0</v>
      </c>
      <c r="Q87" s="802">
        <f t="shared" si="40"/>
        <v>0</v>
      </c>
      <c r="R87" s="802">
        <f t="shared" si="40"/>
        <v>0</v>
      </c>
      <c r="S87" s="802">
        <f t="shared" si="40"/>
        <v>0</v>
      </c>
      <c r="T87" s="802">
        <f t="shared" si="40"/>
        <v>0</v>
      </c>
      <c r="U87" s="802">
        <f t="shared" si="40"/>
        <v>0</v>
      </c>
      <c r="V87" s="802">
        <f t="shared" si="40"/>
        <v>0</v>
      </c>
      <c r="W87" s="802">
        <f t="shared" si="40"/>
        <v>0</v>
      </c>
      <c r="AA87"/>
      <c r="AB87"/>
      <c r="AC87"/>
      <c r="AD87"/>
      <c r="AE87"/>
      <c r="AF87"/>
      <c r="AJ87" s="800"/>
    </row>
    <row r="88" spans="1:36" s="805" customFormat="1" outlineLevel="1">
      <c r="A88" s="807"/>
      <c r="B88" s="733"/>
      <c r="C88" s="822" t="s">
        <v>701</v>
      </c>
      <c r="D88" s="822"/>
      <c r="E88" s="822"/>
      <c r="F88" s="822"/>
      <c r="G88" s="822"/>
      <c r="H88" s="821">
        <f>IF(ISERROR(IF(ROUND(SUM(H$82:H87),3)&gt;=ROUND(H$68,3),0,H$68/H$71)),"NA",IF(ROUND(SUM(H$82:H87),3)&gt;=ROUND(H$68,3),0,H$68/H$71))</f>
        <v>0</v>
      </c>
      <c r="I88" s="821">
        <f>IF(ISERROR(IF(ROUND(SUM(I$82:I87),3)&gt;=ROUND(I$68,3),0,I$68/I$71)),"NA",IF(ROUND(SUM(I$82:I87),3)&gt;=ROUND(I$68,3),0,I$68/I$71))</f>
        <v>0</v>
      </c>
      <c r="J88" s="821">
        <f>IF(ISERROR(IF(ROUND(SUM(J$82:J87),3)&gt;=ROUND(J$68,3),0,J$68/J$71)),"NA",IF(ROUND(SUM(J$82:J87),3)&gt;=ROUND(J$68,3),0,J$68/J$71))</f>
        <v>0</v>
      </c>
      <c r="K88" s="821">
        <f>IF(ISERROR(IF(ROUND(SUM(K$82:K87),3)&gt;=ROUND(K$68,3),0,K$68/K$71)),"NA",IF(ROUND(SUM(K$82:K87),3)&gt;=ROUND(K$68,3),0,K$68/K$71))</f>
        <v>0</v>
      </c>
      <c r="L88" s="821">
        <f>IF(ISERROR(IF(ROUND(SUM(L$82:L87),3)&gt;=ROUND(L$68,3),0,L$68/L$71)),"NA",IF(ROUND(SUM(L$82:L87),3)&gt;=ROUND(L$68,3),0,L$68/L$71))</f>
        <v>0</v>
      </c>
      <c r="M88" s="821">
        <f>IF(ISERROR(IF(ROUND(SUM(M$82:M87),3)&gt;=ROUND(M$68,3),0,M$68/M$71)),"NA",IF(ROUND(SUM(M$82:M87),3)&gt;=ROUND(M$68,3),0,M$68/M$71))</f>
        <v>0</v>
      </c>
      <c r="N88" s="821">
        <f>IF(ISERROR(IF(ROUND(SUM(N$82:N87),3)&gt;=ROUND(N$68,3),0,N$68/N$71)),"NA",IF(ROUND(SUM(N$82:N87),3)&gt;=ROUND(N$68,3),0,N$68/N$71))</f>
        <v>0</v>
      </c>
      <c r="O88" s="821">
        <f>IF(ISERROR(IF(ROUND(SUM(O$82:O87),3)&gt;=ROUND(O$68,3),0,O$68/O$71)),"NA",IF(ROUND(SUM(O$82:O87),3)&gt;=ROUND(O$68,3),0,O$68/O$71))</f>
        <v>0</v>
      </c>
      <c r="P88" s="821">
        <f>IF(ISERROR(IF(ROUND(SUM(P$82:P87),3)&gt;=ROUND(P$68,3),0,P$68/P$71)),"NA",IF(ROUND(SUM(P$82:P87),3)&gt;=ROUND(P$68,3),0,P$68/P$71))</f>
        <v>0</v>
      </c>
      <c r="Q88" s="802">
        <f t="shared" si="40"/>
        <v>0</v>
      </c>
      <c r="R88" s="802">
        <f t="shared" si="40"/>
        <v>0</v>
      </c>
      <c r="S88" s="802">
        <f t="shared" si="40"/>
        <v>0</v>
      </c>
      <c r="T88" s="802">
        <f t="shared" si="40"/>
        <v>0</v>
      </c>
      <c r="U88" s="802">
        <f t="shared" si="40"/>
        <v>0</v>
      </c>
      <c r="V88" s="802">
        <f t="shared" si="40"/>
        <v>0</v>
      </c>
      <c r="W88" s="802">
        <f t="shared" si="40"/>
        <v>0</v>
      </c>
      <c r="AA88"/>
      <c r="AB88"/>
      <c r="AC88"/>
      <c r="AD88"/>
      <c r="AE88"/>
      <c r="AF88"/>
      <c r="AJ88" s="800"/>
    </row>
    <row r="89" spans="1:36" s="805" customFormat="1" outlineLevel="1">
      <c r="A89" s="807"/>
      <c r="B89" s="733"/>
      <c r="C89" s="822" t="s">
        <v>702</v>
      </c>
      <c r="D89" s="822"/>
      <c r="E89" s="822"/>
      <c r="F89" s="822"/>
      <c r="G89" s="822"/>
      <c r="H89" s="821">
        <f>IF(ISERROR(IF(ROUND(SUM(H$82:H88),3)&gt;=ROUND(H$68,3),0,H$68/H$71)),"NA",IF(ROUND(SUM(H$82:H88),3)&gt;=ROUND(H$68,3),0,H$68/H$71))</f>
        <v>0</v>
      </c>
      <c r="I89" s="821">
        <f>IF(ISERROR(IF(ROUND(SUM(I$82:I88),3)&gt;=ROUND(I$68,3),0,I$68/I$71)),"NA",IF(ROUND(SUM(I$82:I88),3)&gt;=ROUND(I$68,3),0,I$68/I$71))</f>
        <v>0</v>
      </c>
      <c r="J89" s="821">
        <f>IF(ISERROR(IF(ROUND(SUM(J$82:J88),3)&gt;=ROUND(J$68,3),0,J$68/J$71)),"NA",IF(ROUND(SUM(J$82:J88),3)&gt;=ROUND(J$68,3),0,J$68/J$71))</f>
        <v>0</v>
      </c>
      <c r="K89" s="821">
        <f>IF(ISERROR(IF(ROUND(SUM(K$82:K88),3)&gt;=ROUND(K$68,3),0,K$68/K$71)),"NA",IF(ROUND(SUM(K$82:K88),3)&gt;=ROUND(K$68,3),0,K$68/K$71))</f>
        <v>0</v>
      </c>
      <c r="L89" s="821">
        <f>IF(ISERROR(IF(ROUND(SUM(L$82:L88),3)&gt;=ROUND(L$68,3),0,L$68/L$71)),"NA",IF(ROUND(SUM(L$82:L88),3)&gt;=ROUND(L$68,3),0,L$68/L$71))</f>
        <v>0</v>
      </c>
      <c r="M89" s="821">
        <f>IF(ISERROR(IF(ROUND(SUM(M$82:M88),3)&gt;=ROUND(M$68,3),0,M$68/M$71)),"NA",IF(ROUND(SUM(M$82:M88),3)&gt;=ROUND(M$68,3),0,M$68/M$71))</f>
        <v>0</v>
      </c>
      <c r="N89" s="821">
        <f>IF(ISERROR(IF(ROUND(SUM(N$82:N88),3)&gt;=ROUND(N$68,3),0,N$68/N$71)),"NA",IF(ROUND(SUM(N$82:N88),3)&gt;=ROUND(N$68,3),0,N$68/N$71))</f>
        <v>0</v>
      </c>
      <c r="O89" s="821">
        <f>IF(ISERROR(IF(ROUND(SUM(O$82:O88),3)&gt;=ROUND(O$68,3),0,O$68/O$71)),"NA",IF(ROUND(SUM(O$82:O88),3)&gt;=ROUND(O$68,3),0,O$68/O$71))</f>
        <v>0</v>
      </c>
      <c r="P89" s="821">
        <f>IF(ISERROR(IF(ROUND(SUM(P$82:P88),3)&gt;=ROUND(P$68,3),0,P$68/P$71)),"NA",IF(ROUND(SUM(P$82:P88),3)&gt;=ROUND(P$68,3),0,P$68/P$71))</f>
        <v>0</v>
      </c>
      <c r="Q89" s="802">
        <f t="shared" si="40"/>
        <v>0</v>
      </c>
      <c r="R89" s="802">
        <f t="shared" si="40"/>
        <v>0</v>
      </c>
      <c r="S89" s="802">
        <f t="shared" si="40"/>
        <v>0</v>
      </c>
      <c r="T89" s="802">
        <f t="shared" si="40"/>
        <v>0</v>
      </c>
      <c r="U89" s="802">
        <f t="shared" si="40"/>
        <v>0</v>
      </c>
      <c r="V89" s="802">
        <f t="shared" si="40"/>
        <v>0</v>
      </c>
      <c r="W89" s="802">
        <f t="shared" si="40"/>
        <v>0</v>
      </c>
      <c r="AA89"/>
      <c r="AB89"/>
      <c r="AC89"/>
      <c r="AD89"/>
      <c r="AE89"/>
      <c r="AF89"/>
      <c r="AJ89" s="800"/>
    </row>
    <row r="90" spans="1:36" s="805" customFormat="1" outlineLevel="1">
      <c r="A90" s="807"/>
      <c r="B90" s="733"/>
      <c r="C90" s="822" t="s">
        <v>703</v>
      </c>
      <c r="D90" s="822"/>
      <c r="E90" s="822"/>
      <c r="F90" s="822"/>
      <c r="G90" s="822"/>
      <c r="H90" s="821">
        <f>IF(ISERROR(IF(ROUND(SUM(H$82:H89),3)&gt;=ROUND(H$68,3),0,H$68/H$71)),"NA",IF(ROUND(SUM(H$82:H89),3)&gt;=ROUND(H$68,3),0,H$68/H$71))</f>
        <v>0</v>
      </c>
      <c r="I90" s="821">
        <f>IF(ISERROR(IF(ROUND(SUM(I$82:I89),3)&gt;=ROUND(I$68,3),0,I$68/I$71)),"NA",IF(ROUND(SUM(I$82:I89),3)&gt;=ROUND(I$68,3),0,I$68/I$71))</f>
        <v>0</v>
      </c>
      <c r="J90" s="821">
        <f>IF(ISERROR(IF(ROUND(SUM(J$82:J89),3)&gt;=ROUND(J$68,3),0,J$68/J$71)),"NA",IF(ROUND(SUM(J$82:J89),3)&gt;=ROUND(J$68,3),0,J$68/J$71))</f>
        <v>0</v>
      </c>
      <c r="K90" s="821">
        <f>IF(ISERROR(IF(ROUND(SUM(K$82:K89),3)&gt;=ROUND(K$68,3),0,K$68/K$71)),"NA",IF(ROUND(SUM(K$82:K89),3)&gt;=ROUND(K$68,3),0,K$68/K$71))</f>
        <v>0</v>
      </c>
      <c r="L90" s="821">
        <f>IF(ISERROR(IF(ROUND(SUM(L$82:L89),3)&gt;=ROUND(L$68,3),0,L$68/L$71)),"NA",IF(ROUND(SUM(L$82:L89),3)&gt;=ROUND(L$68,3),0,L$68/L$71))</f>
        <v>0</v>
      </c>
      <c r="M90" s="821">
        <f>IF(ISERROR(IF(ROUND(SUM(M$82:M89),3)&gt;=ROUND(M$68,3),0,M$68/M$71)),"NA",IF(ROUND(SUM(M$82:M89),3)&gt;=ROUND(M$68,3),0,M$68/M$71))</f>
        <v>0</v>
      </c>
      <c r="N90" s="821">
        <f>IF(ISERROR(IF(ROUND(SUM(N$82:N89),3)&gt;=ROUND(N$68,3),0,N$68/N$71)),"NA",IF(ROUND(SUM(N$82:N89),3)&gt;=ROUND(N$68,3),0,N$68/N$71))</f>
        <v>0</v>
      </c>
      <c r="O90" s="821">
        <f>IF(ISERROR(IF(ROUND(SUM(O$82:O89),3)&gt;=ROUND(O$68,3),0,O$68/O$71)),"NA",IF(ROUND(SUM(O$82:O89),3)&gt;=ROUND(O$68,3),0,O$68/O$71))</f>
        <v>0</v>
      </c>
      <c r="P90" s="821">
        <f>IF(ISERROR(IF(ROUND(SUM(P$82:P89),3)&gt;=ROUND(P$68,3),0,P$68/P$71)),"NA",IF(ROUND(SUM(P$82:P89),3)&gt;=ROUND(P$68,3),0,P$68/P$71))</f>
        <v>0</v>
      </c>
      <c r="Q90" s="802">
        <f t="shared" si="40"/>
        <v>0</v>
      </c>
      <c r="R90" s="802">
        <f t="shared" si="40"/>
        <v>0</v>
      </c>
      <c r="S90" s="802">
        <f t="shared" si="40"/>
        <v>0</v>
      </c>
      <c r="T90" s="802">
        <f t="shared" si="40"/>
        <v>0</v>
      </c>
      <c r="U90" s="802">
        <f t="shared" si="40"/>
        <v>0</v>
      </c>
      <c r="V90" s="802">
        <f t="shared" si="40"/>
        <v>0</v>
      </c>
      <c r="W90" s="802">
        <f t="shared" si="40"/>
        <v>0</v>
      </c>
      <c r="AA90"/>
      <c r="AB90"/>
      <c r="AC90"/>
      <c r="AD90"/>
      <c r="AE90"/>
      <c r="AF90"/>
      <c r="AJ90" s="800"/>
    </row>
    <row r="91" spans="1:36" s="805" customFormat="1" outlineLevel="1">
      <c r="A91" s="807"/>
      <c r="B91" s="733"/>
      <c r="C91" s="822" t="s">
        <v>704</v>
      </c>
      <c r="D91" s="822"/>
      <c r="E91" s="822"/>
      <c r="F91" s="822"/>
      <c r="G91" s="822"/>
      <c r="H91" s="821">
        <f>IF(ISERROR(IF(ROUND(SUM(H$82:H90),3)&gt;=ROUND(H$68,3),0,H$68/H$71)),"NA",IF(ROUND(SUM(H$82:H90),3)&gt;=ROUND(H$68,3),0,H$68/H$71))</f>
        <v>0</v>
      </c>
      <c r="I91" s="821">
        <f>IF(ISERROR(IF(ROUND(SUM(I$82:I90),3)&gt;=ROUND(I$68,3),0,I$68/I$71)),"NA",IF(ROUND(SUM(I$82:I90),3)&gt;=ROUND(I$68,3),0,I$68/I$71))</f>
        <v>0</v>
      </c>
      <c r="J91" s="821">
        <f>IF(ISERROR(IF(ROUND(SUM(J$82:J90),3)&gt;=ROUND(J$68,3),0,J$68/J$71)),"NA",IF(ROUND(SUM(J$82:J90),3)&gt;=ROUND(J$68,3),0,J$68/J$71))</f>
        <v>0</v>
      </c>
      <c r="K91" s="821">
        <f>IF(ISERROR(IF(ROUND(SUM(K$82:K90),3)&gt;=ROUND(K$68,3),0,K$68/K$71)),"NA",IF(ROUND(SUM(K$82:K90),3)&gt;=ROUND(K$68,3),0,K$68/K$71))</f>
        <v>0</v>
      </c>
      <c r="L91" s="821">
        <f>IF(ISERROR(IF(ROUND(SUM(L$82:L90),3)&gt;=ROUND(L$68,3),0,L$68/L$71)),"NA",IF(ROUND(SUM(L$82:L90),3)&gt;=ROUND(L$68,3),0,L$68/L$71))</f>
        <v>0</v>
      </c>
      <c r="M91" s="821">
        <f>IF(ISERROR(IF(ROUND(SUM(M$82:M90),3)&gt;=ROUND(M$68,3),0,M$68/M$71)),"NA",IF(ROUND(SUM(M$82:M90),3)&gt;=ROUND(M$68,3),0,M$68/M$71))</f>
        <v>0</v>
      </c>
      <c r="N91" s="821">
        <f>IF(ISERROR(IF(ROUND(SUM(N$82:N90),3)&gt;=ROUND(N$68,3),0,N$68/N$71)),"NA",IF(ROUND(SUM(N$82:N90),3)&gt;=ROUND(N$68,3),0,N$68/N$71))</f>
        <v>0</v>
      </c>
      <c r="O91" s="821">
        <f>IF(ISERROR(IF(ROUND(SUM(O$82:O90),3)&gt;=ROUND(O$68,3),0,O$68/O$71)),"NA",IF(ROUND(SUM(O$82:O90),3)&gt;=ROUND(O$68,3),0,O$68/O$71))</f>
        <v>0</v>
      </c>
      <c r="P91" s="821">
        <f>IF(ISERROR(IF(ROUND(SUM(P$82:P90),3)&gt;=ROUND(P$68,3),0,P$68/P$71)),"NA",IF(ROUND(SUM(P$82:P90),3)&gt;=ROUND(P$68,3),0,P$68/P$71))</f>
        <v>0</v>
      </c>
      <c r="Q91" s="802">
        <f t="shared" si="40"/>
        <v>0</v>
      </c>
      <c r="R91" s="802">
        <f t="shared" si="40"/>
        <v>0</v>
      </c>
      <c r="S91" s="802">
        <f t="shared" si="40"/>
        <v>0</v>
      </c>
      <c r="T91" s="802">
        <f t="shared" si="40"/>
        <v>0</v>
      </c>
      <c r="U91" s="802">
        <f t="shared" si="40"/>
        <v>0</v>
      </c>
      <c r="V91" s="802">
        <f t="shared" si="40"/>
        <v>0</v>
      </c>
      <c r="W91" s="802">
        <f t="shared" si="40"/>
        <v>0</v>
      </c>
      <c r="AA91"/>
      <c r="AB91"/>
      <c r="AC91"/>
      <c r="AD91"/>
      <c r="AE91"/>
      <c r="AF91"/>
      <c r="AJ91" s="800"/>
    </row>
    <row r="92" spans="1:36" s="805" customFormat="1" outlineLevel="1">
      <c r="A92" s="807"/>
      <c r="B92" s="733"/>
      <c r="C92" s="822" t="s">
        <v>705</v>
      </c>
      <c r="D92" s="822"/>
      <c r="E92" s="822"/>
      <c r="F92" s="822"/>
      <c r="G92" s="822"/>
      <c r="H92" s="821">
        <f>IF(ISERROR(IF(ROUND(SUM(H$82:H91),3)&gt;=ROUND(H$68,3),0,H$68/H$71)),"NA",IF(ROUND(SUM(H$82:H91),3)&gt;=ROUND(H$68,3),0,H$68/H$71))</f>
        <v>0</v>
      </c>
      <c r="I92" s="821">
        <f>IF(ISERROR(IF(ROUND(SUM(I$82:I91),3)&gt;=ROUND(I$68,3),0,I$68/I$71)),"NA",IF(ROUND(SUM(I$82:I91),3)&gt;=ROUND(I$68,3),0,I$68/I$71))</f>
        <v>0</v>
      </c>
      <c r="J92" s="821">
        <f>IF(ISERROR(IF(ROUND(SUM(J$82:J91),3)&gt;=ROUND(J$68,3),0,J$68/J$71)),"NA",IF(ROUND(SUM(J$82:J91),3)&gt;=ROUND(J$68,3),0,J$68/J$71))</f>
        <v>0</v>
      </c>
      <c r="K92" s="821">
        <f>IF(ISERROR(IF(ROUND(SUM(K$82:K91),3)&gt;=ROUND(K$68,3),0,K$68/K$71)),"NA",IF(ROUND(SUM(K$82:K91),3)&gt;=ROUND(K$68,3),0,K$68/K$71))</f>
        <v>0</v>
      </c>
      <c r="L92" s="821">
        <f>IF(ISERROR(IF(ROUND(SUM(L$82:L91),3)&gt;=ROUND(L$68,3),0,L$68/L$71)),"NA",IF(ROUND(SUM(L$82:L91),3)&gt;=ROUND(L$68,3),0,L$68/L$71))</f>
        <v>0</v>
      </c>
      <c r="M92" s="821">
        <f>IF(ISERROR(IF(ROUND(SUM(M$82:M91),3)&gt;=ROUND(M$68,3),0,M$68/M$71)),"NA",IF(ROUND(SUM(M$82:M91),3)&gt;=ROUND(M$68,3),0,M$68/M$71))</f>
        <v>0</v>
      </c>
      <c r="N92" s="821">
        <f>IF(ISERROR(IF(ROUND(SUM(N$82:N91),3)&gt;=ROUND(N$68,3),0,N$68/N$71)),"NA",IF(ROUND(SUM(N$82:N91),3)&gt;=ROUND(N$68,3),0,N$68/N$71))</f>
        <v>0</v>
      </c>
      <c r="O92" s="821">
        <f>IF(ISERROR(IF(ROUND(SUM(O$82:O91),3)&gt;=ROUND(O$68,3),0,O$68/O$71)),"NA",IF(ROUND(SUM(O$82:O91),3)&gt;=ROUND(O$68,3),0,O$68/O$71))</f>
        <v>0</v>
      </c>
      <c r="P92" s="821">
        <f>IF(ISERROR(IF(ROUND(SUM(P$82:P91),3)&gt;=ROUND(P$68,3),0,P$68/P$71)),"NA",IF(ROUND(SUM(P$82:P91),3)&gt;=ROUND(P$68,3),0,P$68/P$71))</f>
        <v>0</v>
      </c>
      <c r="Q92" s="802">
        <f t="shared" ref="Q92:W106" si="42">P92*(1+Q$64)</f>
        <v>0</v>
      </c>
      <c r="R92" s="802">
        <f t="shared" si="42"/>
        <v>0</v>
      </c>
      <c r="S92" s="802">
        <f t="shared" si="42"/>
        <v>0</v>
      </c>
      <c r="T92" s="802">
        <f t="shared" si="42"/>
        <v>0</v>
      </c>
      <c r="U92" s="802">
        <f t="shared" si="42"/>
        <v>0</v>
      </c>
      <c r="V92" s="802">
        <f t="shared" si="42"/>
        <v>0</v>
      </c>
      <c r="W92" s="802">
        <f t="shared" si="42"/>
        <v>0</v>
      </c>
      <c r="AA92"/>
      <c r="AB92"/>
      <c r="AC92"/>
      <c r="AD92"/>
      <c r="AE92"/>
      <c r="AF92"/>
      <c r="AJ92" s="800"/>
    </row>
    <row r="93" spans="1:36" s="805" customFormat="1" outlineLevel="1">
      <c r="A93" s="807"/>
      <c r="B93" s="733"/>
      <c r="C93" s="822" t="s">
        <v>706</v>
      </c>
      <c r="D93" s="822"/>
      <c r="E93" s="822"/>
      <c r="F93" s="822"/>
      <c r="G93" s="822"/>
      <c r="H93" s="821">
        <f>IF(ISERROR(IF(ROUND(SUM(H$82:H92),3)&gt;=ROUND(H$68,3),0,H$68/H$71)),"NA",IF(ROUND(SUM(H$82:H92),3)&gt;=ROUND(H$68,3),0,H$68/H$71))</f>
        <v>0</v>
      </c>
      <c r="I93" s="821">
        <f>IF(ISERROR(IF(ROUND(SUM(I$82:I92),3)&gt;=ROUND(I$68,3),0,I$68/I$71)),"NA",IF(ROUND(SUM(I$82:I92),3)&gt;=ROUND(I$68,3),0,I$68/I$71))</f>
        <v>0</v>
      </c>
      <c r="J93" s="821">
        <f>IF(ISERROR(IF(ROUND(SUM(J$82:J92),3)&gt;=ROUND(J$68,3),0,J$68/J$71)),"NA",IF(ROUND(SUM(J$82:J92),3)&gt;=ROUND(J$68,3),0,J$68/J$71))</f>
        <v>0</v>
      </c>
      <c r="K93" s="821">
        <f>IF(ISERROR(IF(ROUND(SUM(K$82:K92),3)&gt;=ROUND(K$68,3),0,K$68/K$71)),"NA",IF(ROUND(SUM(K$82:K92),3)&gt;=ROUND(K$68,3),0,K$68/K$71))</f>
        <v>0</v>
      </c>
      <c r="L93" s="821">
        <f>IF(ISERROR(IF(ROUND(SUM(L$82:L92),3)&gt;=ROUND(L$68,3),0,L$68/L$71)),"NA",IF(ROUND(SUM(L$82:L92),3)&gt;=ROUND(L$68,3),0,L$68/L$71))</f>
        <v>0</v>
      </c>
      <c r="M93" s="821">
        <f>IF(ISERROR(IF(ROUND(SUM(M$82:M92),3)&gt;=ROUND(M$68,3),0,M$68/M$71)),"NA",IF(ROUND(SUM(M$82:M92),3)&gt;=ROUND(M$68,3),0,M$68/M$71))</f>
        <v>0</v>
      </c>
      <c r="N93" s="821">
        <f>IF(ISERROR(IF(ROUND(SUM(N$82:N92),3)&gt;=ROUND(N$68,3),0,N$68/N$71)),"NA",IF(ROUND(SUM(N$82:N92),3)&gt;=ROUND(N$68,3),0,N$68/N$71))</f>
        <v>0</v>
      </c>
      <c r="O93" s="821">
        <f>IF(ISERROR(IF(ROUND(SUM(O$82:O92),3)&gt;=ROUND(O$68,3),0,O$68/O$71)),"NA",IF(ROUND(SUM(O$82:O92),3)&gt;=ROUND(O$68,3),0,O$68/O$71))</f>
        <v>0</v>
      </c>
      <c r="P93" s="821">
        <f>IF(ISERROR(IF(ROUND(SUM(P$82:P92),3)&gt;=ROUND(P$68,3),0,P$68/P$71)),"NA",IF(ROUND(SUM(P$82:P92),3)&gt;=ROUND(P$68,3),0,P$68/P$71))</f>
        <v>0</v>
      </c>
      <c r="Q93" s="802">
        <f t="shared" si="42"/>
        <v>0</v>
      </c>
      <c r="R93" s="802">
        <f t="shared" si="42"/>
        <v>0</v>
      </c>
      <c r="S93" s="802">
        <f t="shared" si="42"/>
        <v>0</v>
      </c>
      <c r="T93" s="802">
        <f t="shared" si="42"/>
        <v>0</v>
      </c>
      <c r="U93" s="802">
        <f t="shared" si="42"/>
        <v>0</v>
      </c>
      <c r="V93" s="802">
        <f t="shared" si="42"/>
        <v>0</v>
      </c>
      <c r="W93" s="802">
        <f t="shared" si="42"/>
        <v>0</v>
      </c>
      <c r="AA93"/>
      <c r="AB93"/>
      <c r="AC93"/>
      <c r="AD93"/>
      <c r="AE93"/>
      <c r="AF93"/>
      <c r="AJ93" s="800"/>
    </row>
    <row r="94" spans="1:36" s="805" customFormat="1" outlineLevel="1">
      <c r="A94" s="807"/>
      <c r="B94" s="733"/>
      <c r="C94" s="822" t="s">
        <v>707</v>
      </c>
      <c r="D94" s="822"/>
      <c r="E94" s="822"/>
      <c r="F94" s="822"/>
      <c r="G94" s="822"/>
      <c r="H94" s="821">
        <f>IF(ISERROR(IF(ROUND(SUM(H$82:H93),3)&gt;=ROUND(H$68,3),0,H$68/H$71)),"NA",IF(ROUND(SUM(H$82:H93),3)&gt;=ROUND(H$68,3),0,H$68/H$71))</f>
        <v>0</v>
      </c>
      <c r="I94" s="821">
        <f>IF(ISERROR(IF(ROUND(SUM(I$82:I93),3)&gt;=ROUND(I$68,3),0,I$68/I$71)),"NA",IF(ROUND(SUM(I$82:I93),3)&gt;=ROUND(I$68,3),0,I$68/I$71))</f>
        <v>0</v>
      </c>
      <c r="J94" s="821">
        <f>IF(ISERROR(IF(ROUND(SUM(J$82:J93),3)&gt;=ROUND(J$68,3),0,J$68/J$71)),"NA",IF(ROUND(SUM(J$82:J93),3)&gt;=ROUND(J$68,3),0,J$68/J$71))</f>
        <v>0</v>
      </c>
      <c r="K94" s="821">
        <f>IF(ISERROR(IF(ROUND(SUM(K$82:K93),3)&gt;=ROUND(K$68,3),0,K$68/K$71)),"NA",IF(ROUND(SUM(K$82:K93),3)&gt;=ROUND(K$68,3),0,K$68/K$71))</f>
        <v>0</v>
      </c>
      <c r="L94" s="821">
        <f>IF(ISERROR(IF(ROUND(SUM(L$82:L93),3)&gt;=ROUND(L$68,3),0,L$68/L$71)),"NA",IF(ROUND(SUM(L$82:L93),3)&gt;=ROUND(L$68,3),0,L$68/L$71))</f>
        <v>0</v>
      </c>
      <c r="M94" s="821">
        <f>IF(ISERROR(IF(ROUND(SUM(M$82:M93),3)&gt;=ROUND(M$68,3),0,M$68/M$71)),"NA",IF(ROUND(SUM(M$82:M93),3)&gt;=ROUND(M$68,3),0,M$68/M$71))</f>
        <v>0</v>
      </c>
      <c r="N94" s="821">
        <f>IF(ISERROR(IF(ROUND(SUM(N$82:N93),3)&gt;=ROUND(N$68,3),0,N$68/N$71)),"NA",IF(ROUND(SUM(N$82:N93),3)&gt;=ROUND(N$68,3),0,N$68/N$71))</f>
        <v>0</v>
      </c>
      <c r="O94" s="821">
        <f>IF(ISERROR(IF(ROUND(SUM(O$82:O93),3)&gt;=ROUND(O$68,3),0,O$68/O$71)),"NA",IF(ROUND(SUM(O$82:O93),3)&gt;=ROUND(O$68,3),0,O$68/O$71))</f>
        <v>0</v>
      </c>
      <c r="P94" s="821">
        <f>IF(ISERROR(IF(ROUND(SUM(P$82:P93),3)&gt;=ROUND(P$68,3),0,P$68/P$71)),"NA",IF(ROUND(SUM(P$82:P93),3)&gt;=ROUND(P$68,3),0,P$68/P$71))</f>
        <v>0</v>
      </c>
      <c r="Q94" s="802">
        <f t="shared" si="42"/>
        <v>0</v>
      </c>
      <c r="R94" s="802">
        <f t="shared" si="42"/>
        <v>0</v>
      </c>
      <c r="S94" s="802">
        <f t="shared" si="42"/>
        <v>0</v>
      </c>
      <c r="T94" s="802">
        <f t="shared" si="42"/>
        <v>0</v>
      </c>
      <c r="U94" s="802">
        <f t="shared" si="42"/>
        <v>0</v>
      </c>
      <c r="V94" s="802">
        <f t="shared" si="42"/>
        <v>0</v>
      </c>
      <c r="W94" s="802">
        <f t="shared" si="42"/>
        <v>0</v>
      </c>
      <c r="AA94"/>
      <c r="AB94"/>
      <c r="AC94"/>
      <c r="AD94"/>
      <c r="AE94"/>
      <c r="AF94"/>
      <c r="AJ94" s="800"/>
    </row>
    <row r="95" spans="1:36" s="805" customFormat="1" outlineLevel="1">
      <c r="A95" s="807"/>
      <c r="B95" s="733"/>
      <c r="C95" s="822" t="s">
        <v>708</v>
      </c>
      <c r="D95" s="822"/>
      <c r="E95" s="822"/>
      <c r="F95" s="822"/>
      <c r="G95" s="822"/>
      <c r="H95" s="821">
        <f>IF(ISERROR(IF(ROUND(SUM(H$82:H94),3)&gt;=ROUND(H$68,3),0,H$68/H$71)),"NA",IF(ROUND(SUM(H$82:H94),3)&gt;=ROUND(H$68,3),0,H$68/H$71))</f>
        <v>0</v>
      </c>
      <c r="I95" s="821">
        <f>IF(ISERROR(IF(ROUND(SUM(I$82:I94),3)&gt;=ROUND(I$68,3),0,I$68/I$71)),"NA",IF(ROUND(SUM(I$82:I94),3)&gt;=ROUND(I$68,3),0,I$68/I$71))</f>
        <v>0</v>
      </c>
      <c r="J95" s="821">
        <f>IF(ISERROR(IF(ROUND(SUM(J$82:J94),3)&gt;=ROUND(J$68,3),0,J$68/J$71)),"NA",IF(ROUND(SUM(J$82:J94),3)&gt;=ROUND(J$68,3),0,J$68/J$71))</f>
        <v>0</v>
      </c>
      <c r="K95" s="821">
        <f>IF(ISERROR(IF(ROUND(SUM(K$82:K94),3)&gt;=ROUND(K$68,3),0,K$68/K$71)),"NA",IF(ROUND(SUM(K$82:K94),3)&gt;=ROUND(K$68,3),0,K$68/K$71))</f>
        <v>0</v>
      </c>
      <c r="L95" s="821">
        <f>IF(ISERROR(IF(ROUND(SUM(L$82:L94),3)&gt;=ROUND(L$68,3),0,L$68/L$71)),"NA",IF(ROUND(SUM(L$82:L94),3)&gt;=ROUND(L$68,3),0,L$68/L$71))</f>
        <v>0</v>
      </c>
      <c r="M95" s="821">
        <f>IF(ISERROR(IF(ROUND(SUM(M$82:M94),3)&gt;=ROUND(M$68,3),0,M$68/M$71)),"NA",IF(ROUND(SUM(M$82:M94),3)&gt;=ROUND(M$68,3),0,M$68/M$71))</f>
        <v>0</v>
      </c>
      <c r="N95" s="821">
        <f>IF(ISERROR(IF(ROUND(SUM(N$82:N94),3)&gt;=ROUND(N$68,3),0,N$68/N$71)),"NA",IF(ROUND(SUM(N$82:N94),3)&gt;=ROUND(N$68,3),0,N$68/N$71))</f>
        <v>0</v>
      </c>
      <c r="O95" s="821">
        <f>IF(ISERROR(IF(ROUND(SUM(O$82:O94),3)&gt;=ROUND(O$68,3),0,O$68/O$71)),"NA",IF(ROUND(SUM(O$82:O94),3)&gt;=ROUND(O$68,3),0,O$68/O$71))</f>
        <v>0</v>
      </c>
      <c r="P95" s="821">
        <f>IF(ISERROR(IF(ROUND(SUM(P$82:P94),3)&gt;=ROUND(P$68,3),0,P$68/P$71)),"NA",IF(ROUND(SUM(P$82:P94),3)&gt;=ROUND(P$68,3),0,P$68/P$71))</f>
        <v>0</v>
      </c>
      <c r="Q95" s="802">
        <f t="shared" si="42"/>
        <v>0</v>
      </c>
      <c r="R95" s="802">
        <f t="shared" si="42"/>
        <v>0</v>
      </c>
      <c r="S95" s="802">
        <f t="shared" si="42"/>
        <v>0</v>
      </c>
      <c r="T95" s="802">
        <f t="shared" si="42"/>
        <v>0</v>
      </c>
      <c r="U95" s="802">
        <f t="shared" si="42"/>
        <v>0</v>
      </c>
      <c r="V95" s="802">
        <f t="shared" si="42"/>
        <v>0</v>
      </c>
      <c r="W95" s="802">
        <f t="shared" si="42"/>
        <v>0</v>
      </c>
      <c r="AA95"/>
      <c r="AB95"/>
      <c r="AC95"/>
      <c r="AD95"/>
      <c r="AE95"/>
      <c r="AF95"/>
      <c r="AJ95" s="800"/>
    </row>
    <row r="96" spans="1:36" s="805" customFormat="1" outlineLevel="1">
      <c r="A96" s="807"/>
      <c r="B96" s="733"/>
      <c r="C96" s="822" t="s">
        <v>709</v>
      </c>
      <c r="D96" s="822"/>
      <c r="E96" s="822"/>
      <c r="F96" s="822"/>
      <c r="G96" s="822"/>
      <c r="H96" s="821">
        <f>IF(ISERROR(IF(ROUND(SUM(H$82:H95),3)&gt;=ROUND(H$68,3),0,H$68/H$71)),"NA",IF(ROUND(SUM(H$82:H95),3)&gt;=ROUND(H$68,3),0,H$68/H$71))</f>
        <v>0</v>
      </c>
      <c r="I96" s="821">
        <f>IF(ISERROR(IF(ROUND(SUM(I$82:I95),3)&gt;=ROUND(I$68,3),0,I$68/I$71)),"NA",IF(ROUND(SUM(I$82:I95),3)&gt;=ROUND(I$68,3),0,I$68/I$71))</f>
        <v>0</v>
      </c>
      <c r="J96" s="821">
        <f>IF(ISERROR(IF(ROUND(SUM(J$82:J95),3)&gt;=ROUND(J$68,3),0,J$68/J$71)),"NA",IF(ROUND(SUM(J$82:J95),3)&gt;=ROUND(J$68,3),0,J$68/J$71))</f>
        <v>0</v>
      </c>
      <c r="K96" s="821">
        <f>IF(ISERROR(IF(ROUND(SUM(K$82:K95),3)&gt;=ROUND(K$68,3),0,K$68/K$71)),"NA",IF(ROUND(SUM(K$82:K95),3)&gt;=ROUND(K$68,3),0,K$68/K$71))</f>
        <v>0</v>
      </c>
      <c r="L96" s="821">
        <f>IF(ISERROR(IF(ROUND(SUM(L$82:L95),3)&gt;=ROUND(L$68,3),0,L$68/L$71)),"NA",IF(ROUND(SUM(L$82:L95),3)&gt;=ROUND(L$68,3),0,L$68/L$71))</f>
        <v>0</v>
      </c>
      <c r="M96" s="821">
        <f>IF(ISERROR(IF(ROUND(SUM(M$82:M95),3)&gt;=ROUND(M$68,3),0,M$68/M$71)),"NA",IF(ROUND(SUM(M$82:M95),3)&gt;=ROUND(M$68,3),0,M$68/M$71))</f>
        <v>0</v>
      </c>
      <c r="N96" s="821">
        <f>IF(ISERROR(IF(ROUND(SUM(N$82:N95),3)&gt;=ROUND(N$68,3),0,N$68/N$71)),"NA",IF(ROUND(SUM(N$82:N95),3)&gt;=ROUND(N$68,3),0,N$68/N$71))</f>
        <v>0</v>
      </c>
      <c r="O96" s="821">
        <f>IF(ISERROR(IF(ROUND(SUM(O$82:O95),3)&gt;=ROUND(O$68,3),0,O$68/O$71)),"NA",IF(ROUND(SUM(O$82:O95),3)&gt;=ROUND(O$68,3),0,O$68/O$71))</f>
        <v>0</v>
      </c>
      <c r="P96" s="821">
        <f>IF(ISERROR(IF(ROUND(SUM(P$82:P95),3)&gt;=ROUND(P$68,3),0,P$68/P$71)),"NA",IF(ROUND(SUM(P$82:P95),3)&gt;=ROUND(P$68,3),0,P$68/P$71))</f>
        <v>0</v>
      </c>
      <c r="Q96" s="802">
        <f t="shared" si="42"/>
        <v>0</v>
      </c>
      <c r="R96" s="802">
        <f t="shared" si="42"/>
        <v>0</v>
      </c>
      <c r="S96" s="802">
        <f t="shared" si="42"/>
        <v>0</v>
      </c>
      <c r="T96" s="802">
        <f t="shared" si="42"/>
        <v>0</v>
      </c>
      <c r="U96" s="802">
        <f t="shared" si="42"/>
        <v>0</v>
      </c>
      <c r="V96" s="802">
        <f t="shared" si="42"/>
        <v>0</v>
      </c>
      <c r="W96" s="802">
        <f t="shared" si="42"/>
        <v>0</v>
      </c>
      <c r="AA96"/>
      <c r="AB96"/>
      <c r="AC96"/>
      <c r="AD96"/>
      <c r="AE96"/>
      <c r="AF96"/>
      <c r="AJ96" s="800"/>
    </row>
    <row r="97" spans="1:36" s="805" customFormat="1" outlineLevel="1">
      <c r="A97" s="807"/>
      <c r="B97" s="733"/>
      <c r="C97" s="822" t="s">
        <v>710</v>
      </c>
      <c r="D97" s="822"/>
      <c r="E97" s="822"/>
      <c r="F97" s="822"/>
      <c r="G97" s="822"/>
      <c r="H97" s="821">
        <f>IF(ISERROR(IF(ROUND(SUM(H$82:H96),3)&gt;=ROUND(H$68,3),0,H$68/H$71)),"NA",IF(ROUND(SUM(H$82:H96),3)&gt;=ROUND(H$68,3),0,H$68/H$71))</f>
        <v>0</v>
      </c>
      <c r="I97" s="821">
        <f>IF(ISERROR(IF(ROUND(SUM(I$82:I96),3)&gt;=ROUND(I$68,3),0,I$68/I$71)),"NA",IF(ROUND(SUM(I$82:I96),3)&gt;=ROUND(I$68,3),0,I$68/I$71))</f>
        <v>0</v>
      </c>
      <c r="J97" s="821">
        <f>IF(ISERROR(IF(ROUND(SUM(J$82:J96),3)&gt;=ROUND(J$68,3),0,J$68/J$71)),"NA",IF(ROUND(SUM(J$82:J96),3)&gt;=ROUND(J$68,3),0,J$68/J$71))</f>
        <v>0</v>
      </c>
      <c r="K97" s="821">
        <f>IF(ISERROR(IF(ROUND(SUM(K$82:K96),3)&gt;=ROUND(K$68,3),0,K$68/K$71)),"NA",IF(ROUND(SUM(K$82:K96),3)&gt;=ROUND(K$68,3),0,K$68/K$71))</f>
        <v>0</v>
      </c>
      <c r="L97" s="821">
        <f>IF(ISERROR(IF(ROUND(SUM(L$82:L96),3)&gt;=ROUND(L$68,3),0,L$68/L$71)),"NA",IF(ROUND(SUM(L$82:L96),3)&gt;=ROUND(L$68,3),0,L$68/L$71))</f>
        <v>0</v>
      </c>
      <c r="M97" s="821">
        <f>IF(ISERROR(IF(ROUND(SUM(M$82:M96),3)&gt;=ROUND(M$68,3),0,M$68/M$71)),"NA",IF(ROUND(SUM(M$82:M96),3)&gt;=ROUND(M$68,3),0,M$68/M$71))</f>
        <v>0</v>
      </c>
      <c r="N97" s="821">
        <f>IF(ISERROR(IF(ROUND(SUM(N$82:N96),3)&gt;=ROUND(N$68,3),0,N$68/N$71)),"NA",IF(ROUND(SUM(N$82:N96),3)&gt;=ROUND(N$68,3),0,N$68/N$71))</f>
        <v>0</v>
      </c>
      <c r="O97" s="821">
        <f>IF(ISERROR(IF(ROUND(SUM(O$82:O96),3)&gt;=ROUND(O$68,3),0,O$68/O$71)),"NA",IF(ROUND(SUM(O$82:O96),3)&gt;=ROUND(O$68,3),0,O$68/O$71))</f>
        <v>0</v>
      </c>
      <c r="P97" s="821">
        <f>IF(ISERROR(IF(ROUND(SUM(P$82:P96),3)&gt;=ROUND(P$68,3),0,P$68/P$71)),"NA",IF(ROUND(SUM(P$82:P96),3)&gt;=ROUND(P$68,3),0,P$68/P$71))</f>
        <v>0</v>
      </c>
      <c r="Q97" s="802">
        <f t="shared" si="42"/>
        <v>0</v>
      </c>
      <c r="R97" s="802">
        <f t="shared" si="42"/>
        <v>0</v>
      </c>
      <c r="S97" s="802">
        <f t="shared" si="42"/>
        <v>0</v>
      </c>
      <c r="T97" s="802">
        <f t="shared" si="42"/>
        <v>0</v>
      </c>
      <c r="U97" s="802">
        <f t="shared" si="42"/>
        <v>0</v>
      </c>
      <c r="V97" s="802">
        <f t="shared" si="42"/>
        <v>0</v>
      </c>
      <c r="W97" s="802">
        <f t="shared" si="42"/>
        <v>0</v>
      </c>
      <c r="AA97"/>
      <c r="AB97"/>
      <c r="AC97"/>
      <c r="AD97"/>
      <c r="AE97"/>
      <c r="AF97"/>
      <c r="AJ97" s="800"/>
    </row>
    <row r="98" spans="1:36" s="805" customFormat="1" outlineLevel="1">
      <c r="A98" s="807"/>
      <c r="B98" s="733"/>
      <c r="C98" s="822" t="s">
        <v>711</v>
      </c>
      <c r="D98" s="822"/>
      <c r="E98" s="822"/>
      <c r="F98" s="822"/>
      <c r="G98" s="822"/>
      <c r="H98" s="821">
        <f>IF(ISERROR(IF(ROUND(SUM(H$82:H97),3)&gt;=ROUND(H$68,3),0,H$68/H$71)),"NA",IF(ROUND(SUM(H$82:H97),3)&gt;=ROUND(H$68,3),0,H$68/H$71))</f>
        <v>0</v>
      </c>
      <c r="I98" s="821">
        <f>IF(ISERROR(IF(ROUND(SUM(I$82:I97),3)&gt;=ROUND(I$68,3),0,I$68/I$71)),"NA",IF(ROUND(SUM(I$82:I97),3)&gt;=ROUND(I$68,3),0,I$68/I$71))</f>
        <v>0</v>
      </c>
      <c r="J98" s="821">
        <f>IF(ISERROR(IF(ROUND(SUM(J$82:J97),3)&gt;=ROUND(J$68,3),0,J$68/J$71)),"NA",IF(ROUND(SUM(J$82:J97),3)&gt;=ROUND(J$68,3),0,J$68/J$71))</f>
        <v>0</v>
      </c>
      <c r="K98" s="821">
        <f>IF(ISERROR(IF(ROUND(SUM(K$82:K97),3)&gt;=ROUND(K$68,3),0,K$68/K$71)),"NA",IF(ROUND(SUM(K$82:K97),3)&gt;=ROUND(K$68,3),0,K$68/K$71))</f>
        <v>0</v>
      </c>
      <c r="L98" s="821">
        <f>IF(ISERROR(IF(ROUND(SUM(L$82:L97),3)&gt;=ROUND(L$68,3),0,L$68/L$71)),"NA",IF(ROUND(SUM(L$82:L97),3)&gt;=ROUND(L$68,3),0,L$68/L$71))</f>
        <v>0</v>
      </c>
      <c r="M98" s="821">
        <f>IF(ISERROR(IF(ROUND(SUM(M$82:M97),3)&gt;=ROUND(M$68,3),0,M$68/M$71)),"NA",IF(ROUND(SUM(M$82:M97),3)&gt;=ROUND(M$68,3),0,M$68/M$71))</f>
        <v>0</v>
      </c>
      <c r="N98" s="821">
        <f>IF(ISERROR(IF(ROUND(SUM(N$82:N97),3)&gt;=ROUND(N$68,3),0,N$68/N$71)),"NA",IF(ROUND(SUM(N$82:N97),3)&gt;=ROUND(N$68,3),0,N$68/N$71))</f>
        <v>0</v>
      </c>
      <c r="O98" s="821">
        <f>IF(ISERROR(IF(ROUND(SUM(O$82:O97),3)&gt;=ROUND(O$68,3),0,O$68/O$71)),"NA",IF(ROUND(SUM(O$82:O97),3)&gt;=ROUND(O$68,3),0,O$68/O$71))</f>
        <v>0</v>
      </c>
      <c r="P98" s="821">
        <f>IF(ISERROR(IF(ROUND(SUM(P$82:P97),3)&gt;=ROUND(P$68,3),0,P$68/P$71)),"NA",IF(ROUND(SUM(P$82:P97),3)&gt;=ROUND(P$68,3),0,P$68/P$71))</f>
        <v>0</v>
      </c>
      <c r="Q98" s="802">
        <f t="shared" si="42"/>
        <v>0</v>
      </c>
      <c r="R98" s="802">
        <f t="shared" si="42"/>
        <v>0</v>
      </c>
      <c r="S98" s="802">
        <f t="shared" si="42"/>
        <v>0</v>
      </c>
      <c r="T98" s="802">
        <f t="shared" si="42"/>
        <v>0</v>
      </c>
      <c r="U98" s="802">
        <f t="shared" si="42"/>
        <v>0</v>
      </c>
      <c r="V98" s="802">
        <f t="shared" si="42"/>
        <v>0</v>
      </c>
      <c r="W98" s="802">
        <f t="shared" si="42"/>
        <v>0</v>
      </c>
      <c r="AA98"/>
      <c r="AB98"/>
      <c r="AC98"/>
      <c r="AD98"/>
      <c r="AE98"/>
      <c r="AF98"/>
      <c r="AJ98" s="800"/>
    </row>
    <row r="99" spans="1:36" s="805" customFormat="1" outlineLevel="1">
      <c r="A99" s="807"/>
      <c r="B99" s="733"/>
      <c r="C99" s="822" t="s">
        <v>712</v>
      </c>
      <c r="D99" s="822"/>
      <c r="E99" s="822"/>
      <c r="F99" s="822"/>
      <c r="G99" s="822"/>
      <c r="H99" s="821">
        <f>IF(ISERROR(IF(ROUND(SUM(H$82:H98),3)&gt;=ROUND(H$68,3),0,H$68/H$71)),"NA",IF(ROUND(SUM(H$82:H98),3)&gt;=ROUND(H$68,3),0,H$68/H$71))</f>
        <v>0</v>
      </c>
      <c r="I99" s="821">
        <f>IF(ISERROR(IF(ROUND(SUM(I$82:I98),3)&gt;=ROUND(I$68,3),0,I$68/I$71)),"NA",IF(ROUND(SUM(I$82:I98),3)&gt;=ROUND(I$68,3),0,I$68/I$71))</f>
        <v>0</v>
      </c>
      <c r="J99" s="821">
        <f>IF(ISERROR(IF(ROUND(SUM(J$82:J98),3)&gt;=ROUND(J$68,3),0,J$68/J$71)),"NA",IF(ROUND(SUM(J$82:J98),3)&gt;=ROUND(J$68,3),0,J$68/J$71))</f>
        <v>0</v>
      </c>
      <c r="K99" s="821">
        <f>IF(ISERROR(IF(ROUND(SUM(K$82:K98),3)&gt;=ROUND(K$68,3),0,K$68/K$71)),"NA",IF(ROUND(SUM(K$82:K98),3)&gt;=ROUND(K$68,3),0,K$68/K$71))</f>
        <v>0</v>
      </c>
      <c r="L99" s="821">
        <f>IF(ISERROR(IF(ROUND(SUM(L$82:L98),3)&gt;=ROUND(L$68,3),0,L$68/L$71)),"NA",IF(ROUND(SUM(L$82:L98),3)&gt;=ROUND(L$68,3),0,L$68/L$71))</f>
        <v>0</v>
      </c>
      <c r="M99" s="821">
        <f>IF(ISERROR(IF(ROUND(SUM(M$82:M98),3)&gt;=ROUND(M$68,3),0,M$68/M$71)),"NA",IF(ROUND(SUM(M$82:M98),3)&gt;=ROUND(M$68,3),0,M$68/M$71))</f>
        <v>0</v>
      </c>
      <c r="N99" s="821">
        <f>IF(ISERROR(IF(ROUND(SUM(N$82:N98),3)&gt;=ROUND(N$68,3),0,N$68/N$71)),"NA",IF(ROUND(SUM(N$82:N98),3)&gt;=ROUND(N$68,3),0,N$68/N$71))</f>
        <v>0</v>
      </c>
      <c r="O99" s="821">
        <f>IF(ISERROR(IF(ROUND(SUM(O$82:O98),3)&gt;=ROUND(O$68,3),0,O$68/O$71)),"NA",IF(ROUND(SUM(O$82:O98),3)&gt;=ROUND(O$68,3),0,O$68/O$71))</f>
        <v>0</v>
      </c>
      <c r="P99" s="821">
        <f>IF(ISERROR(IF(ROUND(SUM(P$82:P98),3)&gt;=ROUND(P$68,3),0,P$68/P$71)),"NA",IF(ROUND(SUM(P$82:P98),3)&gt;=ROUND(P$68,3),0,P$68/P$71))</f>
        <v>0</v>
      </c>
      <c r="Q99" s="802">
        <f t="shared" si="42"/>
        <v>0</v>
      </c>
      <c r="R99" s="802">
        <f t="shared" si="42"/>
        <v>0</v>
      </c>
      <c r="S99" s="802">
        <f t="shared" si="42"/>
        <v>0</v>
      </c>
      <c r="T99" s="802">
        <f t="shared" si="42"/>
        <v>0</v>
      </c>
      <c r="U99" s="802">
        <f t="shared" si="42"/>
        <v>0</v>
      </c>
      <c r="V99" s="802">
        <f t="shared" si="42"/>
        <v>0</v>
      </c>
      <c r="W99" s="802">
        <f t="shared" si="42"/>
        <v>0</v>
      </c>
      <c r="AA99"/>
      <c r="AB99"/>
      <c r="AC99"/>
      <c r="AD99"/>
      <c r="AE99"/>
      <c r="AF99"/>
      <c r="AJ99" s="800"/>
    </row>
    <row r="100" spans="1:36" s="805" customFormat="1" outlineLevel="1">
      <c r="A100" s="807"/>
      <c r="B100" s="733"/>
      <c r="C100" s="822" t="s">
        <v>713</v>
      </c>
      <c r="D100" s="822"/>
      <c r="E100" s="822"/>
      <c r="F100" s="822"/>
      <c r="G100" s="822"/>
      <c r="H100" s="821">
        <f>IF(ISERROR(IF(ROUND(SUM(H$82:H99),3)&gt;=ROUND(H$68,3),0,H$68/H$71)),"NA",IF(ROUND(SUM(H$82:H99),3)&gt;=ROUND(H$68,3),0,H$68/H$71))</f>
        <v>0</v>
      </c>
      <c r="I100" s="821">
        <f>IF(ISERROR(IF(ROUND(SUM(I$82:I99),3)&gt;=ROUND(I$68,3),0,I$68/I$71)),"NA",IF(ROUND(SUM(I$82:I99),3)&gt;=ROUND(I$68,3),0,I$68/I$71))</f>
        <v>0</v>
      </c>
      <c r="J100" s="821">
        <f>IF(ISERROR(IF(ROUND(SUM(J$82:J99),3)&gt;=ROUND(J$68,3),0,J$68/J$71)),"NA",IF(ROUND(SUM(J$82:J99),3)&gt;=ROUND(J$68,3),0,J$68/J$71))</f>
        <v>0</v>
      </c>
      <c r="K100" s="821">
        <f>IF(ISERROR(IF(ROUND(SUM(K$82:K99),3)&gt;=ROUND(K$68,3),0,K$68/K$71)),"NA",IF(ROUND(SUM(K$82:K99),3)&gt;=ROUND(K$68,3),0,K$68/K$71))</f>
        <v>0</v>
      </c>
      <c r="L100" s="821">
        <f>IF(ISERROR(IF(ROUND(SUM(L$82:L99),3)&gt;=ROUND(L$68,3),0,L$68/L$71)),"NA",IF(ROUND(SUM(L$82:L99),3)&gt;=ROUND(L$68,3),0,L$68/L$71))</f>
        <v>0</v>
      </c>
      <c r="M100" s="821">
        <f>IF(ISERROR(IF(ROUND(SUM(M$82:M99),3)&gt;=ROUND(M$68,3),0,M$68/M$71)),"NA",IF(ROUND(SUM(M$82:M99),3)&gt;=ROUND(M$68,3),0,M$68/M$71))</f>
        <v>0</v>
      </c>
      <c r="N100" s="821">
        <f>IF(ISERROR(IF(ROUND(SUM(N$82:N99),3)&gt;=ROUND(N$68,3),0,N$68/N$71)),"NA",IF(ROUND(SUM(N$82:N99),3)&gt;=ROUND(N$68,3),0,N$68/N$71))</f>
        <v>0</v>
      </c>
      <c r="O100" s="821">
        <f>IF(ISERROR(IF(ROUND(SUM(O$82:O99),3)&gt;=ROUND(O$68,3),0,O$68/O$71)),"NA",IF(ROUND(SUM(O$82:O99),3)&gt;=ROUND(O$68,3),0,O$68/O$71))</f>
        <v>0</v>
      </c>
      <c r="P100" s="821">
        <f>IF(ISERROR(IF(ROUND(SUM(P$82:P99),3)&gt;=ROUND(P$68,3),0,P$68/P$71)),"NA",IF(ROUND(SUM(P$82:P99),3)&gt;=ROUND(P$68,3),0,P$68/P$71))</f>
        <v>0</v>
      </c>
      <c r="Q100" s="802">
        <f t="shared" si="42"/>
        <v>0</v>
      </c>
      <c r="R100" s="802">
        <f t="shared" si="42"/>
        <v>0</v>
      </c>
      <c r="S100" s="802">
        <f t="shared" si="42"/>
        <v>0</v>
      </c>
      <c r="T100" s="802">
        <f t="shared" si="42"/>
        <v>0</v>
      </c>
      <c r="U100" s="802">
        <f t="shared" si="42"/>
        <v>0</v>
      </c>
      <c r="V100" s="802">
        <f t="shared" si="42"/>
        <v>0</v>
      </c>
      <c r="W100" s="802">
        <f t="shared" si="42"/>
        <v>0</v>
      </c>
      <c r="AA100"/>
      <c r="AB100"/>
      <c r="AC100"/>
      <c r="AD100"/>
      <c r="AE100"/>
      <c r="AF100"/>
      <c r="AJ100" s="800"/>
    </row>
    <row r="101" spans="1:36" s="805" customFormat="1" outlineLevel="1">
      <c r="A101" s="807"/>
      <c r="B101" s="733"/>
      <c r="C101" s="822" t="s">
        <v>714</v>
      </c>
      <c r="D101" s="822"/>
      <c r="E101" s="822"/>
      <c r="F101" s="822"/>
      <c r="G101" s="822"/>
      <c r="H101" s="821">
        <f>IF(ISERROR(IF(ROUND(SUM(H$82:H100),3)&gt;=ROUND(H$68,3),0,H$68/H$71)),"NA",IF(ROUND(SUM(H$82:H100),3)&gt;=ROUND(H$68,3),0,H$68/H$71))</f>
        <v>0</v>
      </c>
      <c r="I101" s="821">
        <f>IF(ISERROR(IF(ROUND(SUM(I$82:I100),3)&gt;=ROUND(I$68,3),0,I$68/I$71)),"NA",IF(ROUND(SUM(I$82:I100),3)&gt;=ROUND(I$68,3),0,I$68/I$71))</f>
        <v>0</v>
      </c>
      <c r="J101" s="821">
        <f>IF(ISERROR(IF(ROUND(SUM(J$82:J100),3)&gt;=ROUND(J$68,3),0,J$68/J$71)),"NA",IF(ROUND(SUM(J$82:J100),3)&gt;=ROUND(J$68,3),0,J$68/J$71))</f>
        <v>0</v>
      </c>
      <c r="K101" s="821">
        <f>IF(ISERROR(IF(ROUND(SUM(K$82:K100),3)&gt;=ROUND(K$68,3),0,K$68/K$71)),"NA",IF(ROUND(SUM(K$82:K100),3)&gt;=ROUND(K$68,3),0,K$68/K$71))</f>
        <v>0</v>
      </c>
      <c r="L101" s="821">
        <f>IF(ISERROR(IF(ROUND(SUM(L$82:L100),3)&gt;=ROUND(L$68,3),0,L$68/L$71)),"NA",IF(ROUND(SUM(L$82:L100),3)&gt;=ROUND(L$68,3),0,L$68/L$71))</f>
        <v>0</v>
      </c>
      <c r="M101" s="821">
        <f>IF(ISERROR(IF(ROUND(SUM(M$82:M100),3)&gt;=ROUND(M$68,3),0,M$68/M$71)),"NA",IF(ROUND(SUM(M$82:M100),3)&gt;=ROUND(M$68,3),0,M$68/M$71))</f>
        <v>0</v>
      </c>
      <c r="N101" s="821">
        <f>IF(ISERROR(IF(ROUND(SUM(N$82:N100),3)&gt;=ROUND(N$68,3),0,N$68/N$71)),"NA",IF(ROUND(SUM(N$82:N100),3)&gt;=ROUND(N$68,3),0,N$68/N$71))</f>
        <v>0</v>
      </c>
      <c r="O101" s="821">
        <f>IF(ISERROR(IF(ROUND(SUM(O$82:O100),3)&gt;=ROUND(O$68,3),0,O$68/O$71)),"NA",IF(ROUND(SUM(O$82:O100),3)&gt;=ROUND(O$68,3),0,O$68/O$71))</f>
        <v>0</v>
      </c>
      <c r="P101" s="821">
        <f>IF(ISERROR(IF(ROUND(SUM(P$82:P100),3)&gt;=ROUND(P$68,3),0,P$68/P$71)),"NA",IF(ROUND(SUM(P$82:P100),3)&gt;=ROUND(P$68,3),0,P$68/P$71))</f>
        <v>0</v>
      </c>
      <c r="Q101" s="802">
        <f t="shared" si="42"/>
        <v>0</v>
      </c>
      <c r="R101" s="802">
        <f t="shared" si="42"/>
        <v>0</v>
      </c>
      <c r="S101" s="802">
        <f t="shared" si="42"/>
        <v>0</v>
      </c>
      <c r="T101" s="802">
        <f t="shared" si="42"/>
        <v>0</v>
      </c>
      <c r="U101" s="802">
        <f t="shared" si="42"/>
        <v>0</v>
      </c>
      <c r="V101" s="802">
        <f t="shared" si="42"/>
        <v>0</v>
      </c>
      <c r="W101" s="802">
        <f t="shared" si="42"/>
        <v>0</v>
      </c>
      <c r="AA101"/>
      <c r="AB101"/>
      <c r="AC101"/>
      <c r="AD101"/>
      <c r="AE101"/>
      <c r="AF101"/>
      <c r="AJ101" s="800"/>
    </row>
    <row r="102" spans="1:36" s="805" customFormat="1" outlineLevel="1">
      <c r="A102" s="807"/>
      <c r="B102" s="733"/>
      <c r="C102" s="822" t="s">
        <v>715</v>
      </c>
      <c r="D102" s="822"/>
      <c r="E102" s="822"/>
      <c r="F102" s="822"/>
      <c r="G102" s="822"/>
      <c r="H102" s="821">
        <f>IF(ISERROR(IF(ROUND(SUM(H$82:H101),3)&gt;=ROUND(H$68,3),0,H$68/H$71)),"NA",IF(ROUND(SUM(H$82:H101),3)&gt;=ROUND(H$68,3),0,H$68/H$71))</f>
        <v>0</v>
      </c>
      <c r="I102" s="821">
        <f>IF(ISERROR(IF(ROUND(SUM(I$82:I101),3)&gt;=ROUND(I$68,3),0,I$68/I$71)),"NA",IF(ROUND(SUM(I$82:I101),3)&gt;=ROUND(I$68,3),0,I$68/I$71))</f>
        <v>0</v>
      </c>
      <c r="J102" s="821">
        <f>IF(ISERROR(IF(ROUND(SUM(J$82:J101),3)&gt;=ROUND(J$68,3),0,J$68/J$71)),"NA",IF(ROUND(SUM(J$82:J101),3)&gt;=ROUND(J$68,3),0,J$68/J$71))</f>
        <v>0</v>
      </c>
      <c r="K102" s="821">
        <f>IF(ISERROR(IF(ROUND(SUM(K$82:K101),3)&gt;=ROUND(K$68,3),0,K$68/K$71)),"NA",IF(ROUND(SUM(K$82:K101),3)&gt;=ROUND(K$68,3),0,K$68/K$71))</f>
        <v>0</v>
      </c>
      <c r="L102" s="821">
        <f>IF(ISERROR(IF(ROUND(SUM(L$82:L101),3)&gt;=ROUND(L$68,3),0,L$68/L$71)),"NA",IF(ROUND(SUM(L$82:L101),3)&gt;=ROUND(L$68,3),0,L$68/L$71))</f>
        <v>0</v>
      </c>
      <c r="M102" s="821">
        <f>IF(ISERROR(IF(ROUND(SUM(M$82:M101),3)&gt;=ROUND(M$68,3),0,M$68/M$71)),"NA",IF(ROUND(SUM(M$82:M101),3)&gt;=ROUND(M$68,3),0,M$68/M$71))</f>
        <v>0</v>
      </c>
      <c r="N102" s="821">
        <f>IF(ISERROR(IF(ROUND(SUM(N$82:N101),3)&gt;=ROUND(N$68,3),0,N$68/N$71)),"NA",IF(ROUND(SUM(N$82:N101),3)&gt;=ROUND(N$68,3),0,N$68/N$71))</f>
        <v>0</v>
      </c>
      <c r="O102" s="821">
        <f>IF(ISERROR(IF(ROUND(SUM(O$82:O101),3)&gt;=ROUND(O$68,3),0,O$68/O$71)),"NA",IF(ROUND(SUM(O$82:O101),3)&gt;=ROUND(O$68,3),0,O$68/O$71))</f>
        <v>0</v>
      </c>
      <c r="P102" s="821">
        <f>IF(ISERROR(IF(ROUND(SUM(P$82:P101),3)&gt;=ROUND(P$68,3),0,P$68/P$71)),"NA",IF(ROUND(SUM(P$82:P101),3)&gt;=ROUND(P$68,3),0,P$68/P$71))</f>
        <v>0</v>
      </c>
      <c r="Q102" s="802">
        <f t="shared" si="42"/>
        <v>0</v>
      </c>
      <c r="R102" s="802">
        <f t="shared" si="42"/>
        <v>0</v>
      </c>
      <c r="S102" s="802">
        <f t="shared" si="42"/>
        <v>0</v>
      </c>
      <c r="T102" s="802">
        <f t="shared" si="42"/>
        <v>0</v>
      </c>
      <c r="U102" s="802">
        <f t="shared" si="42"/>
        <v>0</v>
      </c>
      <c r="V102" s="802">
        <f t="shared" si="42"/>
        <v>0</v>
      </c>
      <c r="W102" s="802">
        <f t="shared" si="42"/>
        <v>0</v>
      </c>
      <c r="AA102"/>
      <c r="AB102"/>
      <c r="AC102"/>
      <c r="AD102"/>
      <c r="AE102"/>
      <c r="AF102"/>
      <c r="AJ102" s="800"/>
    </row>
    <row r="103" spans="1:36" s="805" customFormat="1" outlineLevel="1">
      <c r="A103" s="807"/>
      <c r="B103" s="733"/>
      <c r="C103" s="822" t="s">
        <v>716</v>
      </c>
      <c r="D103" s="822"/>
      <c r="E103" s="822"/>
      <c r="F103" s="822"/>
      <c r="G103" s="822"/>
      <c r="H103" s="821">
        <f>IF(ISERROR(IF(ROUND(SUM(H$82:H102),3)&gt;=ROUND(H$68,3),0,H$68/H$71)),"NA",IF(ROUND(SUM(H$82:H102),3)&gt;=ROUND(H$68,3),0,H$68/H$71))</f>
        <v>0</v>
      </c>
      <c r="I103" s="821">
        <f>IF(ISERROR(IF(ROUND(SUM(I$82:I102),3)&gt;=ROUND(I$68,3),0,I$68/I$71)),"NA",IF(ROUND(SUM(I$82:I102),3)&gt;=ROUND(I$68,3),0,I$68/I$71))</f>
        <v>0</v>
      </c>
      <c r="J103" s="821">
        <f>IF(ISERROR(IF(ROUND(SUM(J$82:J102),3)&gt;=ROUND(J$68,3),0,J$68/J$71)),"NA",IF(ROUND(SUM(J$82:J102),3)&gt;=ROUND(J$68,3),0,J$68/J$71))</f>
        <v>0</v>
      </c>
      <c r="K103" s="821">
        <f>IF(ISERROR(IF(ROUND(SUM(K$82:K102),3)&gt;=ROUND(K$68,3),0,K$68/K$71)),"NA",IF(ROUND(SUM(K$82:K102),3)&gt;=ROUND(K$68,3),0,K$68/K$71))</f>
        <v>0</v>
      </c>
      <c r="L103" s="821">
        <f>IF(ISERROR(IF(ROUND(SUM(L$82:L102),3)&gt;=ROUND(L$68,3),0,L$68/L$71)),"NA",IF(ROUND(SUM(L$82:L102),3)&gt;=ROUND(L$68,3),0,L$68/L$71))</f>
        <v>0</v>
      </c>
      <c r="M103" s="821">
        <f>IF(ISERROR(IF(ROUND(SUM(M$82:M102),3)&gt;=ROUND(M$68,3),0,M$68/M$71)),"NA",IF(ROUND(SUM(M$82:M102),3)&gt;=ROUND(M$68,3),0,M$68/M$71))</f>
        <v>0</v>
      </c>
      <c r="N103" s="821">
        <f>IF(ISERROR(IF(ROUND(SUM(N$82:N102),3)&gt;=ROUND(N$68,3),0,N$68/N$71)),"NA",IF(ROUND(SUM(N$82:N102),3)&gt;=ROUND(N$68,3),0,N$68/N$71))</f>
        <v>0</v>
      </c>
      <c r="O103" s="821">
        <f>IF(ISERROR(IF(ROUND(SUM(O$82:O102),3)&gt;=ROUND(O$68,3),0,O$68/O$71)),"NA",IF(ROUND(SUM(O$82:O102),3)&gt;=ROUND(O$68,3),0,O$68/O$71))</f>
        <v>0</v>
      </c>
      <c r="P103" s="821">
        <f>IF(ISERROR(IF(ROUND(SUM(P$82:P102),3)&gt;=ROUND(P$68,3),0,P$68/P$71)),"NA",IF(ROUND(SUM(P$82:P102),3)&gt;=ROUND(P$68,3),0,P$68/P$71))</f>
        <v>0</v>
      </c>
      <c r="Q103" s="802">
        <f t="shared" si="42"/>
        <v>0</v>
      </c>
      <c r="R103" s="802">
        <f t="shared" si="42"/>
        <v>0</v>
      </c>
      <c r="S103" s="802">
        <f t="shared" si="42"/>
        <v>0</v>
      </c>
      <c r="T103" s="802">
        <f t="shared" si="42"/>
        <v>0</v>
      </c>
      <c r="U103" s="802">
        <f t="shared" si="42"/>
        <v>0</v>
      </c>
      <c r="V103" s="802">
        <f t="shared" si="42"/>
        <v>0</v>
      </c>
      <c r="W103" s="802">
        <f t="shared" si="42"/>
        <v>0</v>
      </c>
      <c r="AA103"/>
      <c r="AB103"/>
      <c r="AC103"/>
      <c r="AD103"/>
      <c r="AE103"/>
      <c r="AF103"/>
      <c r="AJ103" s="800"/>
    </row>
    <row r="104" spans="1:36" s="805" customFormat="1" outlineLevel="1">
      <c r="A104" s="807"/>
      <c r="B104" s="733"/>
      <c r="C104" s="822" t="s">
        <v>717</v>
      </c>
      <c r="D104" s="822"/>
      <c r="E104" s="822"/>
      <c r="F104" s="822"/>
      <c r="G104" s="822"/>
      <c r="H104" s="821">
        <f>IF(ISERROR(IF(ROUND(SUM(H$82:H103),3)&gt;=ROUND(H$68,3),0,H$68/H$71)),"NA",IF(ROUND(SUM(H$82:H103),3)&gt;=ROUND(H$68,3),0,H$68/H$71))</f>
        <v>0</v>
      </c>
      <c r="I104" s="821">
        <f>IF(ISERROR(IF(ROUND(SUM(I$82:I103),3)&gt;=ROUND(I$68,3),0,I$68/I$71)),"NA",IF(ROUND(SUM(I$82:I103),3)&gt;=ROUND(I$68,3),0,I$68/I$71))</f>
        <v>0</v>
      </c>
      <c r="J104" s="821">
        <f>IF(ISERROR(IF(ROUND(SUM(J$82:J103),3)&gt;=ROUND(J$68,3),0,J$68/J$71)),"NA",IF(ROUND(SUM(J$82:J103),3)&gt;=ROUND(J$68,3),0,J$68/J$71))</f>
        <v>0</v>
      </c>
      <c r="K104" s="821">
        <f>IF(ISERROR(IF(ROUND(SUM(K$82:K103),3)&gt;=ROUND(K$68,3),0,K$68/K$71)),"NA",IF(ROUND(SUM(K$82:K103),3)&gt;=ROUND(K$68,3),0,K$68/K$71))</f>
        <v>0</v>
      </c>
      <c r="L104" s="821">
        <f>IF(ISERROR(IF(ROUND(SUM(L$82:L103),3)&gt;=ROUND(L$68,3),0,L$68/L$71)),"NA",IF(ROUND(SUM(L$82:L103),3)&gt;=ROUND(L$68,3),0,L$68/L$71))</f>
        <v>0</v>
      </c>
      <c r="M104" s="821">
        <f>IF(ISERROR(IF(ROUND(SUM(M$82:M103),3)&gt;=ROUND(M$68,3),0,M$68/M$71)),"NA",IF(ROUND(SUM(M$82:M103),3)&gt;=ROUND(M$68,3),0,M$68/M$71))</f>
        <v>0</v>
      </c>
      <c r="N104" s="821">
        <f>IF(ISERROR(IF(ROUND(SUM(N$82:N103),3)&gt;=ROUND(N$68,3),0,N$68/N$71)),"NA",IF(ROUND(SUM(N$82:N103),3)&gt;=ROUND(N$68,3),0,N$68/N$71))</f>
        <v>0</v>
      </c>
      <c r="O104" s="821">
        <f>IF(ISERROR(IF(ROUND(SUM(O$82:O103),3)&gt;=ROUND(O$68,3),0,O$68/O$71)),"NA",IF(ROUND(SUM(O$82:O103),3)&gt;=ROUND(O$68,3),0,O$68/O$71))</f>
        <v>0</v>
      </c>
      <c r="P104" s="821">
        <f>IF(ISERROR(IF(ROUND(SUM(P$82:P103),3)&gt;=ROUND(P$68,3),0,P$68/P$71)),"NA",IF(ROUND(SUM(P$82:P103),3)&gt;=ROUND(P$68,3),0,P$68/P$71))</f>
        <v>0</v>
      </c>
      <c r="Q104" s="802">
        <f t="shared" si="42"/>
        <v>0</v>
      </c>
      <c r="R104" s="802">
        <f t="shared" si="42"/>
        <v>0</v>
      </c>
      <c r="S104" s="802">
        <f t="shared" si="42"/>
        <v>0</v>
      </c>
      <c r="T104" s="802">
        <f t="shared" si="42"/>
        <v>0</v>
      </c>
      <c r="U104" s="802">
        <f t="shared" si="42"/>
        <v>0</v>
      </c>
      <c r="V104" s="802">
        <f t="shared" si="42"/>
        <v>0</v>
      </c>
      <c r="W104" s="802">
        <f t="shared" si="42"/>
        <v>0</v>
      </c>
      <c r="AA104"/>
      <c r="AB104"/>
      <c r="AC104"/>
      <c r="AD104"/>
      <c r="AE104"/>
      <c r="AF104"/>
      <c r="AJ104" s="800"/>
    </row>
    <row r="105" spans="1:36" s="805" customFormat="1" outlineLevel="1">
      <c r="A105" s="807"/>
      <c r="B105" s="733"/>
      <c r="C105" s="822" t="s">
        <v>718</v>
      </c>
      <c r="D105" s="822"/>
      <c r="E105" s="822"/>
      <c r="F105" s="822"/>
      <c r="G105" s="822"/>
      <c r="H105" s="821">
        <f>IF(ISERROR(IF(ROUND(SUM(H$82:H104),3)&gt;=ROUND(H$68,3),0,H$68/H$71)),"NA",IF(ROUND(SUM(H$82:H104),3)&gt;=ROUND(H$68,3),0,H$68/H$71))</f>
        <v>0</v>
      </c>
      <c r="I105" s="821">
        <f>IF(ISERROR(IF(ROUND(SUM(I$82:I104),3)&gt;=ROUND(I$68,3),0,I$68/I$71)),"NA",IF(ROUND(SUM(I$82:I104),3)&gt;=ROUND(I$68,3),0,I$68/I$71))</f>
        <v>0</v>
      </c>
      <c r="J105" s="821">
        <f>IF(ISERROR(IF(ROUND(SUM(J$82:J104),3)&gt;=ROUND(J$68,3),0,J$68/J$71)),"NA",IF(ROUND(SUM(J$82:J104),3)&gt;=ROUND(J$68,3),0,J$68/J$71))</f>
        <v>0</v>
      </c>
      <c r="K105" s="821">
        <f>IF(ISERROR(IF(ROUND(SUM(K$82:K104),3)&gt;=ROUND(K$68,3),0,K$68/K$71)),"NA",IF(ROUND(SUM(K$82:K104),3)&gt;=ROUND(K$68,3),0,K$68/K$71))</f>
        <v>0</v>
      </c>
      <c r="L105" s="821">
        <f>IF(ISERROR(IF(ROUND(SUM(L$82:L104),3)&gt;=ROUND(L$68,3),0,L$68/L$71)),"NA",IF(ROUND(SUM(L$82:L104),3)&gt;=ROUND(L$68,3),0,L$68/L$71))</f>
        <v>0</v>
      </c>
      <c r="M105" s="821">
        <f>IF(ISERROR(IF(ROUND(SUM(M$82:M104),3)&gt;=ROUND(M$68,3),0,M$68/M$71)),"NA",IF(ROUND(SUM(M$82:M104),3)&gt;=ROUND(M$68,3),0,M$68/M$71))</f>
        <v>0</v>
      </c>
      <c r="N105" s="821">
        <f>IF(ISERROR(IF(ROUND(SUM(N$82:N104),3)&gt;=ROUND(N$68,3),0,N$68/N$71)),"NA",IF(ROUND(SUM(N$82:N104),3)&gt;=ROUND(N$68,3),0,N$68/N$71))</f>
        <v>0</v>
      </c>
      <c r="O105" s="821">
        <f>IF(ISERROR(IF(ROUND(SUM(O$82:O104),3)&gt;=ROUND(O$68,3),0,O$68/O$71)),"NA",IF(ROUND(SUM(O$82:O104),3)&gt;=ROUND(O$68,3),0,O$68/O$71))</f>
        <v>0</v>
      </c>
      <c r="P105" s="821">
        <f>IF(ISERROR(IF(ROUND(SUM(P$82:P104),3)&gt;=ROUND(P$68,3),0,P$68/P$71)),"NA",IF(ROUND(SUM(P$82:P104),3)&gt;=ROUND(P$68,3),0,P$68/P$71))</f>
        <v>0</v>
      </c>
      <c r="Q105" s="802">
        <f t="shared" si="42"/>
        <v>0</v>
      </c>
      <c r="R105" s="802">
        <f t="shared" si="42"/>
        <v>0</v>
      </c>
      <c r="S105" s="802">
        <f t="shared" si="42"/>
        <v>0</v>
      </c>
      <c r="T105" s="802">
        <f t="shared" si="42"/>
        <v>0</v>
      </c>
      <c r="U105" s="802">
        <f t="shared" si="42"/>
        <v>0</v>
      </c>
      <c r="V105" s="802">
        <f t="shared" si="42"/>
        <v>0</v>
      </c>
      <c r="W105" s="802">
        <f t="shared" si="42"/>
        <v>0</v>
      </c>
      <c r="AA105"/>
      <c r="AB105"/>
      <c r="AC105"/>
      <c r="AD105"/>
      <c r="AE105"/>
      <c r="AF105"/>
      <c r="AJ105" s="800"/>
    </row>
    <row r="106" spans="1:36" s="805" customFormat="1" outlineLevel="1">
      <c r="A106" s="807"/>
      <c r="B106" s="733"/>
      <c r="C106" s="822" t="s">
        <v>719</v>
      </c>
      <c r="D106" s="822"/>
      <c r="E106" s="822"/>
      <c r="F106" s="822"/>
      <c r="G106" s="822"/>
      <c r="H106" s="821">
        <f>IF(ISERROR(IF(ROUND(SUM(H$82:H105),3)&gt;=ROUND(H$68,3),0,H$68/H$71)),"NA",IF(ROUND(SUM(H$82:H105),3)&gt;=ROUND(H$68,3),0,H$68/H$71))</f>
        <v>0</v>
      </c>
      <c r="I106" s="821">
        <f>IF(ISERROR(IF(ROUND(SUM(I$82:I105),3)&gt;=ROUND(I$68,3),0,I$68/I$71)),"NA",IF(ROUND(SUM(I$82:I105),3)&gt;=ROUND(I$68,3),0,I$68/I$71))</f>
        <v>0</v>
      </c>
      <c r="J106" s="821">
        <f>IF(ISERROR(IF(ROUND(SUM(J$82:J105),3)&gt;=ROUND(J$68,3),0,J$68/J$71)),"NA",IF(ROUND(SUM(J$82:J105),3)&gt;=ROUND(J$68,3),0,J$68/J$71))</f>
        <v>0</v>
      </c>
      <c r="K106" s="821">
        <f>IF(ISERROR(IF(ROUND(SUM(K$82:K105),3)&gt;=ROUND(K$68,3),0,K$68/K$71)),"NA",IF(ROUND(SUM(K$82:K105),3)&gt;=ROUND(K$68,3),0,K$68/K$71))</f>
        <v>0</v>
      </c>
      <c r="L106" s="821">
        <f>IF(ISERROR(IF(ROUND(SUM(L$82:L105),3)&gt;=ROUND(L$68,3),0,L$68/L$71)),"NA",IF(ROUND(SUM(L$82:L105),3)&gt;=ROUND(L$68,3),0,L$68/L$71))</f>
        <v>0</v>
      </c>
      <c r="M106" s="821">
        <f>IF(ISERROR(IF(ROUND(SUM(M$82:M105),3)&gt;=ROUND(M$68,3),0,M$68/M$71)),"NA",IF(ROUND(SUM(M$82:M105),3)&gt;=ROUND(M$68,3),0,M$68/M$71))</f>
        <v>0</v>
      </c>
      <c r="N106" s="821">
        <f>IF(ISERROR(IF(ROUND(SUM(N$82:N105),3)&gt;=ROUND(N$68,3),0,N$68/N$71)),"NA",IF(ROUND(SUM(N$82:N105),3)&gt;=ROUND(N$68,3),0,N$68/N$71))</f>
        <v>0</v>
      </c>
      <c r="O106" s="821">
        <f>IF(ISERROR(IF(ROUND(SUM(O$82:O105),3)&gt;=ROUND(O$68,3),0,O$68/O$71)),"NA",IF(ROUND(SUM(O$82:O105),3)&gt;=ROUND(O$68,3),0,O$68/O$71))</f>
        <v>0</v>
      </c>
      <c r="P106" s="821">
        <f>IF(ISERROR(IF(ROUND(SUM(P$82:P105),3)&gt;=ROUND(P$68,3),0,P$68/P$71)),"NA",IF(ROUND(SUM(P$82:P105),3)&gt;=ROUND(P$68,3),0,P$68/P$71))</f>
        <v>0</v>
      </c>
      <c r="Q106" s="802">
        <f t="shared" si="42"/>
        <v>0</v>
      </c>
      <c r="R106" s="802">
        <f t="shared" si="42"/>
        <v>0</v>
      </c>
      <c r="S106" s="802">
        <f t="shared" si="42"/>
        <v>0</v>
      </c>
      <c r="T106" s="802">
        <f t="shared" si="42"/>
        <v>0</v>
      </c>
      <c r="U106" s="802">
        <f t="shared" si="42"/>
        <v>0</v>
      </c>
      <c r="V106" s="802">
        <f t="shared" si="42"/>
        <v>0</v>
      </c>
      <c r="W106" s="802">
        <f t="shared" si="42"/>
        <v>0</v>
      </c>
      <c r="AA106"/>
      <c r="AB106"/>
      <c r="AC106"/>
      <c r="AD106"/>
      <c r="AE106"/>
      <c r="AF106"/>
      <c r="AJ106" s="800"/>
    </row>
    <row r="107" spans="1:36" s="805" customFormat="1" ht="11.25" customHeight="1">
      <c r="A107" s="807"/>
      <c r="B107" s="817"/>
      <c r="C107" s="818" t="s">
        <v>720</v>
      </c>
      <c r="D107" s="818"/>
      <c r="E107" s="818"/>
      <c r="F107" s="818"/>
      <c r="G107" s="818"/>
      <c r="H107" s="820"/>
      <c r="I107" s="820"/>
      <c r="J107" s="820"/>
      <c r="K107" s="820"/>
      <c r="L107" s="820"/>
      <c r="M107" s="820"/>
      <c r="N107" s="820"/>
      <c r="O107" s="820"/>
      <c r="P107" s="820"/>
      <c r="AA107"/>
      <c r="AB107"/>
      <c r="AC107"/>
      <c r="AD107"/>
      <c r="AE107"/>
      <c r="AF107"/>
      <c r="AJ107" s="800"/>
    </row>
    <row r="108" spans="1:36" s="799" customFormat="1" ht="11.25" customHeight="1">
      <c r="A108" s="804"/>
      <c r="B108" s="819"/>
      <c r="C108" s="818"/>
      <c r="D108" s="818"/>
      <c r="E108" s="818"/>
      <c r="F108" s="818"/>
      <c r="G108" s="818"/>
      <c r="AA108"/>
      <c r="AB108"/>
      <c r="AC108"/>
      <c r="AD108"/>
      <c r="AE108"/>
      <c r="AF108"/>
      <c r="AJ108" s="800"/>
    </row>
    <row r="109" spans="1:36" s="805" customFormat="1" outlineLevel="1">
      <c r="A109" s="807"/>
      <c r="B109" s="817"/>
      <c r="C109" s="816"/>
      <c r="D109" s="816"/>
      <c r="E109" s="816"/>
      <c r="F109" s="816"/>
      <c r="G109" s="816"/>
      <c r="H109" s="815"/>
      <c r="I109" s="802"/>
      <c r="J109" s="802"/>
      <c r="K109" s="802"/>
      <c r="L109" s="802"/>
      <c r="M109" s="802"/>
      <c r="N109" s="802"/>
      <c r="O109" s="802"/>
      <c r="P109" s="802"/>
      <c r="Q109" s="802"/>
      <c r="R109" s="802"/>
      <c r="S109" s="802"/>
      <c r="T109" s="802"/>
      <c r="U109" s="802"/>
      <c r="V109" s="802"/>
      <c r="W109" s="802"/>
      <c r="AA109"/>
      <c r="AB109"/>
      <c r="AC109"/>
      <c r="AD109"/>
      <c r="AE109"/>
      <c r="AF109"/>
      <c r="AJ109" s="800"/>
    </row>
    <row r="110" spans="1:36" s="805" customFormat="1" ht="12.75" customHeight="1" outlineLevel="1">
      <c r="A110" s="807"/>
      <c r="B110" s="814" t="s">
        <v>721</v>
      </c>
      <c r="C110" s="789" t="s">
        <v>722</v>
      </c>
      <c r="D110" s="789"/>
      <c r="E110" s="789"/>
      <c r="F110" s="789"/>
      <c r="G110" s="789"/>
      <c r="H110" s="418">
        <f t="shared" ref="H110:W110" si="43">H74</f>
        <v>39631</v>
      </c>
      <c r="I110" s="418">
        <f t="shared" si="43"/>
        <v>39996</v>
      </c>
      <c r="J110" s="418">
        <f t="shared" si="43"/>
        <v>40361</v>
      </c>
      <c r="K110" s="418">
        <f t="shared" si="43"/>
        <v>40726</v>
      </c>
      <c r="L110" s="418">
        <f t="shared" si="43"/>
        <v>41092</v>
      </c>
      <c r="M110" s="418">
        <f t="shared" si="43"/>
        <v>41457</v>
      </c>
      <c r="N110" s="418">
        <f t="shared" si="43"/>
        <v>41822</v>
      </c>
      <c r="O110" s="418">
        <f t="shared" si="43"/>
        <v>42187</v>
      </c>
      <c r="P110" s="418">
        <f t="shared" si="43"/>
        <v>42553</v>
      </c>
      <c r="Q110" s="418">
        <f t="shared" si="43"/>
        <v>42918</v>
      </c>
      <c r="R110" s="418">
        <f t="shared" si="43"/>
        <v>43283</v>
      </c>
      <c r="S110" s="418">
        <f t="shared" si="43"/>
        <v>43648</v>
      </c>
      <c r="T110" s="418">
        <f t="shared" si="43"/>
        <v>44014</v>
      </c>
      <c r="U110" s="418">
        <f t="shared" si="43"/>
        <v>44379</v>
      </c>
      <c r="V110" s="418">
        <f t="shared" si="43"/>
        <v>44744</v>
      </c>
      <c r="W110" s="418">
        <f t="shared" si="43"/>
        <v>45109</v>
      </c>
      <c r="AA110"/>
      <c r="AB110"/>
      <c r="AC110"/>
      <c r="AD110"/>
      <c r="AE110"/>
      <c r="AF110"/>
      <c r="AJ110" s="800"/>
    </row>
    <row r="111" spans="1:36" s="805" customFormat="1" ht="12.75" customHeight="1" outlineLevel="1">
      <c r="A111" s="807"/>
      <c r="B111" s="814"/>
      <c r="C111" s="789"/>
      <c r="D111" s="789"/>
      <c r="E111" s="789"/>
      <c r="F111" s="789"/>
      <c r="G111" s="789"/>
      <c r="H111" s="813"/>
      <c r="I111" s="813"/>
      <c r="J111" s="813"/>
      <c r="K111" s="813"/>
      <c r="L111" s="813"/>
      <c r="M111" s="813"/>
      <c r="N111" s="813"/>
      <c r="O111" s="813"/>
      <c r="P111" s="419"/>
      <c r="Q111" s="419"/>
      <c r="R111" s="419"/>
      <c r="S111" s="419"/>
      <c r="T111" s="419"/>
      <c r="U111" s="419"/>
      <c r="V111" s="419"/>
      <c r="W111" s="419"/>
      <c r="AA111"/>
      <c r="AB111"/>
      <c r="AC111"/>
      <c r="AD111"/>
      <c r="AE111"/>
      <c r="AF111"/>
      <c r="AJ111" s="800"/>
    </row>
    <row r="112" spans="1:36" s="805" customFormat="1" ht="11.25" customHeight="1" outlineLevel="1">
      <c r="A112" s="807"/>
      <c r="B112" s="812">
        <v>1</v>
      </c>
      <c r="C112" s="732" t="s">
        <v>723</v>
      </c>
      <c r="D112" s="732"/>
      <c r="E112" s="732"/>
      <c r="F112" s="732"/>
      <c r="G112" s="732"/>
      <c r="H112" s="808">
        <f t="shared" ref="H112:H141" si="44">IF(ISERROR(H76/(POWER((1+$H$44),B112))),"NA",H76/(POWER((1+$H$44),B112)))</f>
        <v>121.35036496350364</v>
      </c>
      <c r="I112" s="808">
        <f t="shared" ref="I112:W127" si="45">IF(ISERROR((I76-H77)/(POWER((1+I$45),$B112))),"NA",(I76-H77)/(POWER((1+I$45),$B112)))</f>
        <v>38.266999999999996</v>
      </c>
      <c r="J112" s="808">
        <f t="shared" si="45"/>
        <v>54.067999999999998</v>
      </c>
      <c r="K112" s="808">
        <f t="shared" si="45"/>
        <v>69.021000000000015</v>
      </c>
      <c r="L112" s="808">
        <f t="shared" si="45"/>
        <v>95.284999999999997</v>
      </c>
      <c r="M112" s="808">
        <f t="shared" si="45"/>
        <v>102.97499999999999</v>
      </c>
      <c r="N112" s="808">
        <f t="shared" si="45"/>
        <v>120.68899999999999</v>
      </c>
      <c r="O112" s="808">
        <f t="shared" si="45"/>
        <v>147.02422212310441</v>
      </c>
      <c r="P112" s="808">
        <f t="shared" si="45"/>
        <v>117.97798693389437</v>
      </c>
      <c r="Q112" s="808">
        <f t="shared" si="45"/>
        <v>360.91367821946631</v>
      </c>
      <c r="R112" s="808">
        <f t="shared" si="45"/>
        <v>368.13195178385564</v>
      </c>
      <c r="S112" s="808">
        <f t="shared" si="45"/>
        <v>375.49459081953273</v>
      </c>
      <c r="T112" s="808">
        <f t="shared" si="45"/>
        <v>383.00448263592335</v>
      </c>
      <c r="U112" s="808">
        <f t="shared" si="45"/>
        <v>390.66457228864181</v>
      </c>
      <c r="V112" s="808">
        <f t="shared" si="45"/>
        <v>398.47786373441471</v>
      </c>
      <c r="W112" s="808">
        <f t="shared" si="45"/>
        <v>406.44742100910298</v>
      </c>
      <c r="AA112"/>
      <c r="AB112"/>
      <c r="AC112"/>
      <c r="AD112"/>
      <c r="AE112"/>
      <c r="AF112"/>
      <c r="AJ112" s="800"/>
    </row>
    <row r="113" spans="1:36" s="809" customFormat="1" ht="11.25" customHeight="1" outlineLevel="1">
      <c r="A113" s="811"/>
      <c r="B113" s="733">
        <v>2</v>
      </c>
      <c r="C113" s="732" t="str">
        <f t="shared" ref="C113:C141" si="46">"PV of Increase in forecast year "&amp;B112&amp;" lease commitments"</f>
        <v>PV of Increase in forecast year 1 lease commitments</v>
      </c>
      <c r="D113" s="732"/>
      <c r="E113" s="732"/>
      <c r="F113" s="732"/>
      <c r="G113" s="732"/>
      <c r="H113" s="808">
        <f t="shared" si="44"/>
        <v>94.071341041078355</v>
      </c>
      <c r="I113" s="808">
        <f t="shared" si="45"/>
        <v>16.301000000000002</v>
      </c>
      <c r="J113" s="808">
        <f t="shared" si="45"/>
        <v>13.950999999999979</v>
      </c>
      <c r="K113" s="808">
        <f t="shared" si="45"/>
        <v>21.414000000000016</v>
      </c>
      <c r="L113" s="808">
        <f t="shared" si="45"/>
        <v>30.981999999999999</v>
      </c>
      <c r="M113" s="808">
        <f t="shared" si="45"/>
        <v>26.677999999999997</v>
      </c>
      <c r="N113" s="808">
        <f t="shared" si="45"/>
        <v>23.876000000000005</v>
      </c>
      <c r="O113" s="808">
        <f t="shared" si="45"/>
        <v>55.491412860156572</v>
      </c>
      <c r="P113" s="808">
        <f>IF(ISERROR((P77-O78)/(POWER((1+P$45),$B113))),"NA",(P77-O78)/(POWER((1+P$45),$B113)))</f>
        <v>-197.01715411995016</v>
      </c>
      <c r="Q113" s="808">
        <f t="shared" si="45"/>
        <v>0</v>
      </c>
      <c r="R113" s="808">
        <f t="shared" si="45"/>
        <v>0</v>
      </c>
      <c r="S113" s="808">
        <f t="shared" si="45"/>
        <v>0</v>
      </c>
      <c r="T113" s="808">
        <f t="shared" si="45"/>
        <v>0</v>
      </c>
      <c r="U113" s="808">
        <f t="shared" si="45"/>
        <v>0</v>
      </c>
      <c r="V113" s="808">
        <f t="shared" si="45"/>
        <v>0</v>
      </c>
      <c r="W113" s="808">
        <f t="shared" si="45"/>
        <v>0</v>
      </c>
      <c r="AA113"/>
      <c r="AB113"/>
      <c r="AC113"/>
      <c r="AD113"/>
      <c r="AE113"/>
      <c r="AF113"/>
      <c r="AJ113" s="810"/>
    </row>
    <row r="114" spans="1:36" s="809" customFormat="1" ht="11.25" customHeight="1" outlineLevel="1">
      <c r="A114" s="811"/>
      <c r="B114" s="733">
        <v>3</v>
      </c>
      <c r="C114" s="732" t="str">
        <f t="shared" si="46"/>
        <v>PV of Increase in forecast year 2 lease commitments</v>
      </c>
      <c r="D114" s="732"/>
      <c r="E114" s="732"/>
      <c r="F114" s="732"/>
      <c r="G114" s="732"/>
      <c r="H114" s="808">
        <f t="shared" si="44"/>
        <v>84.312373680315361</v>
      </c>
      <c r="I114" s="808">
        <f t="shared" si="45"/>
        <v>16.933000000000007</v>
      </c>
      <c r="J114" s="808">
        <f t="shared" si="45"/>
        <v>17.034999999999997</v>
      </c>
      <c r="K114" s="808">
        <f t="shared" si="45"/>
        <v>28.771000000000015</v>
      </c>
      <c r="L114" s="808">
        <f t="shared" si="45"/>
        <v>29.807999999999993</v>
      </c>
      <c r="M114" s="808">
        <f t="shared" si="45"/>
        <v>30.262</v>
      </c>
      <c r="N114" s="808">
        <f t="shared" si="45"/>
        <v>35.996999999999986</v>
      </c>
      <c r="O114" s="808">
        <f t="shared" si="45"/>
        <v>42.048755432735739</v>
      </c>
      <c r="P114" s="808">
        <f t="shared" si="45"/>
        <v>-168.77347270265923</v>
      </c>
      <c r="Q114" s="808">
        <f t="shared" si="45"/>
        <v>0</v>
      </c>
      <c r="R114" s="808">
        <f t="shared" si="45"/>
        <v>0</v>
      </c>
      <c r="S114" s="808">
        <f t="shared" si="45"/>
        <v>0</v>
      </c>
      <c r="T114" s="808">
        <f t="shared" si="45"/>
        <v>0</v>
      </c>
      <c r="U114" s="808">
        <f t="shared" si="45"/>
        <v>0</v>
      </c>
      <c r="V114" s="808">
        <f t="shared" si="45"/>
        <v>0</v>
      </c>
      <c r="W114" s="808">
        <f t="shared" si="45"/>
        <v>0</v>
      </c>
      <c r="AA114"/>
      <c r="AB114"/>
      <c r="AC114"/>
      <c r="AD114"/>
      <c r="AE114"/>
      <c r="AF114"/>
      <c r="AJ114" s="810"/>
    </row>
    <row r="115" spans="1:36" s="809" customFormat="1" outlineLevel="1">
      <c r="A115" s="811"/>
      <c r="B115" s="733">
        <v>4</v>
      </c>
      <c r="C115" s="732" t="str">
        <f t="shared" si="46"/>
        <v>PV of Increase in forecast year 3 lease commitments</v>
      </c>
      <c r="D115" s="732"/>
      <c r="E115" s="732"/>
      <c r="F115" s="732"/>
      <c r="G115" s="732"/>
      <c r="H115" s="808">
        <f t="shared" si="44"/>
        <v>74.155191554824597</v>
      </c>
      <c r="I115" s="808">
        <f t="shared" si="45"/>
        <v>12.421999999999997</v>
      </c>
      <c r="J115" s="808">
        <f t="shared" si="45"/>
        <v>15.709999999999994</v>
      </c>
      <c r="K115" s="808">
        <f t="shared" si="45"/>
        <v>30.329000000000008</v>
      </c>
      <c r="L115" s="808">
        <f t="shared" si="45"/>
        <v>20.824999999999989</v>
      </c>
      <c r="M115" s="808">
        <f t="shared" si="45"/>
        <v>26.609000000000009</v>
      </c>
      <c r="N115" s="808">
        <f t="shared" si="45"/>
        <v>38.533999999999992</v>
      </c>
      <c r="O115" s="808">
        <f t="shared" si="45"/>
        <v>47.942661774434072</v>
      </c>
      <c r="P115" s="808">
        <f t="shared" si="45"/>
        <v>-140.26539566338414</v>
      </c>
      <c r="Q115" s="808">
        <f t="shared" si="45"/>
        <v>0</v>
      </c>
      <c r="R115" s="808">
        <f t="shared" si="45"/>
        <v>0</v>
      </c>
      <c r="S115" s="808">
        <f t="shared" si="45"/>
        <v>0</v>
      </c>
      <c r="T115" s="808">
        <f t="shared" si="45"/>
        <v>0</v>
      </c>
      <c r="U115" s="808">
        <f t="shared" si="45"/>
        <v>0</v>
      </c>
      <c r="V115" s="808">
        <f t="shared" si="45"/>
        <v>0</v>
      </c>
      <c r="W115" s="808">
        <f t="shared" si="45"/>
        <v>0</v>
      </c>
      <c r="AA115"/>
      <c r="AB115"/>
      <c r="AC115"/>
      <c r="AD115"/>
      <c r="AE115"/>
      <c r="AF115"/>
      <c r="AJ115" s="810"/>
    </row>
    <row r="116" spans="1:36" s="805" customFormat="1" outlineLevel="1">
      <c r="A116" s="807"/>
      <c r="B116" s="733">
        <v>5</v>
      </c>
      <c r="C116" s="732" t="str">
        <f t="shared" si="46"/>
        <v>PV of Increase in forecast year 4 lease commitments</v>
      </c>
      <c r="D116" s="732"/>
      <c r="E116" s="732"/>
      <c r="F116" s="732"/>
      <c r="G116" s="732"/>
      <c r="H116" s="808">
        <f t="shared" si="44"/>
        <v>64.498171247971456</v>
      </c>
      <c r="I116" s="808">
        <f t="shared" si="45"/>
        <v>7.8670000000000044</v>
      </c>
      <c r="J116" s="808">
        <f t="shared" si="45"/>
        <v>19.739000000000004</v>
      </c>
      <c r="K116" s="808">
        <f t="shared" si="45"/>
        <v>37.711000000000013</v>
      </c>
      <c r="L116" s="808">
        <f t="shared" si="45"/>
        <v>30.417000000000002</v>
      </c>
      <c r="M116" s="808">
        <f t="shared" si="45"/>
        <v>18.579999999999998</v>
      </c>
      <c r="N116" s="808">
        <f t="shared" si="45"/>
        <v>32.816000000000003</v>
      </c>
      <c r="O116" s="808">
        <f t="shared" si="45"/>
        <v>48.591393148192687</v>
      </c>
      <c r="P116" s="808">
        <f t="shared" si="45"/>
        <v>-114.3374951811886</v>
      </c>
      <c r="Q116" s="808">
        <f t="shared" si="45"/>
        <v>0</v>
      </c>
      <c r="R116" s="808">
        <f t="shared" si="45"/>
        <v>0</v>
      </c>
      <c r="S116" s="808">
        <f t="shared" si="45"/>
        <v>0</v>
      </c>
      <c r="T116" s="808">
        <f t="shared" si="45"/>
        <v>0</v>
      </c>
      <c r="U116" s="808">
        <f t="shared" si="45"/>
        <v>0</v>
      </c>
      <c r="V116" s="808">
        <f t="shared" si="45"/>
        <v>0</v>
      </c>
      <c r="W116" s="808">
        <f t="shared" si="45"/>
        <v>0</v>
      </c>
      <c r="AA116"/>
      <c r="AB116"/>
      <c r="AC116"/>
      <c r="AD116"/>
      <c r="AE116"/>
      <c r="AF116"/>
      <c r="AJ116" s="800"/>
    </row>
    <row r="117" spans="1:36" s="805" customFormat="1" outlineLevel="1">
      <c r="A117" s="807"/>
      <c r="B117" s="733">
        <v>6</v>
      </c>
      <c r="C117" s="732" t="str">
        <f t="shared" si="46"/>
        <v>PV of Increase in forecast year 5 lease commitments</v>
      </c>
      <c r="D117" s="732"/>
      <c r="E117" s="732"/>
      <c r="F117" s="732"/>
      <c r="G117" s="732"/>
      <c r="H117" s="808">
        <f t="shared" si="44"/>
        <v>55.387008370950149</v>
      </c>
      <c r="I117" s="808">
        <f t="shared" si="45"/>
        <v>15.563999999999993</v>
      </c>
      <c r="J117" s="808">
        <f t="shared" si="45"/>
        <v>32.268199999999993</v>
      </c>
      <c r="K117" s="808">
        <f t="shared" si="45"/>
        <v>28.130200000000002</v>
      </c>
      <c r="L117" s="808">
        <f t="shared" si="45"/>
        <v>39.089800000000011</v>
      </c>
      <c r="M117" s="808">
        <f t="shared" si="45"/>
        <v>34.948999999999998</v>
      </c>
      <c r="N117" s="808">
        <f t="shared" si="45"/>
        <v>42.814399999999992</v>
      </c>
      <c r="O117" s="808">
        <f t="shared" si="45"/>
        <v>49.642061047827973</v>
      </c>
      <c r="P117" s="808">
        <f t="shared" si="45"/>
        <v>-71.313303344022742</v>
      </c>
      <c r="Q117" s="808">
        <f t="shared" si="45"/>
        <v>0</v>
      </c>
      <c r="R117" s="808">
        <f t="shared" si="45"/>
        <v>0</v>
      </c>
      <c r="S117" s="808">
        <f t="shared" si="45"/>
        <v>0</v>
      </c>
      <c r="T117" s="808">
        <f t="shared" si="45"/>
        <v>0</v>
      </c>
      <c r="U117" s="808">
        <f t="shared" si="45"/>
        <v>0</v>
      </c>
      <c r="V117" s="808">
        <f t="shared" si="45"/>
        <v>0</v>
      </c>
      <c r="W117" s="808">
        <f t="shared" si="45"/>
        <v>0</v>
      </c>
      <c r="AA117"/>
      <c r="AB117"/>
      <c r="AC117"/>
      <c r="AD117"/>
      <c r="AE117"/>
      <c r="AF117"/>
      <c r="AJ117" s="800"/>
    </row>
    <row r="118" spans="1:36" s="805" customFormat="1" outlineLevel="1">
      <c r="A118" s="807"/>
      <c r="B118" s="733">
        <v>7</v>
      </c>
      <c r="C118" s="732" t="str">
        <f t="shared" si="46"/>
        <v>PV of Increase in forecast year 6 lease commitments</v>
      </c>
      <c r="D118" s="732"/>
      <c r="E118" s="732"/>
      <c r="F118" s="732"/>
      <c r="G118" s="732"/>
      <c r="H118" s="808">
        <f t="shared" si="44"/>
        <v>39.165083473983913</v>
      </c>
      <c r="I118" s="808">
        <f t="shared" si="45"/>
        <v>-10.8232</v>
      </c>
      <c r="J118" s="808">
        <f t="shared" si="45"/>
        <v>2.0779999999999887</v>
      </c>
      <c r="K118" s="808">
        <f t="shared" si="45"/>
        <v>4.4793999999999983</v>
      </c>
      <c r="L118" s="808">
        <f t="shared" si="45"/>
        <v>-2.4351999999999947</v>
      </c>
      <c r="M118" s="808">
        <f t="shared" si="45"/>
        <v>-2.5763999999999925</v>
      </c>
      <c r="N118" s="808">
        <f t="shared" si="45"/>
        <v>16.055599999999998</v>
      </c>
      <c r="O118" s="808">
        <f t="shared" si="45"/>
        <v>4.1104704207629537</v>
      </c>
      <c r="P118" s="808">
        <f t="shared" si="45"/>
        <v>-69.189144491233236</v>
      </c>
      <c r="Q118" s="808">
        <f t="shared" si="45"/>
        <v>0</v>
      </c>
      <c r="R118" s="808">
        <f t="shared" si="45"/>
        <v>0</v>
      </c>
      <c r="S118" s="808">
        <f t="shared" si="45"/>
        <v>0</v>
      </c>
      <c r="T118" s="808">
        <f t="shared" si="45"/>
        <v>0</v>
      </c>
      <c r="U118" s="808">
        <f t="shared" si="45"/>
        <v>0</v>
      </c>
      <c r="V118" s="808">
        <f t="shared" si="45"/>
        <v>0</v>
      </c>
      <c r="W118" s="808">
        <f t="shared" si="45"/>
        <v>0</v>
      </c>
      <c r="AA118"/>
      <c r="AB118"/>
      <c r="AC118"/>
      <c r="AD118"/>
      <c r="AE118"/>
      <c r="AF118"/>
      <c r="AJ118" s="800"/>
    </row>
    <row r="119" spans="1:36" s="805" customFormat="1" outlineLevel="1">
      <c r="A119" s="807"/>
      <c r="B119" s="733">
        <v>8</v>
      </c>
      <c r="C119" s="732" t="str">
        <f t="shared" si="46"/>
        <v>PV of Increase in forecast year 7 lease commitments</v>
      </c>
      <c r="D119" s="732"/>
      <c r="E119" s="732"/>
      <c r="F119" s="732"/>
      <c r="G119" s="732"/>
      <c r="H119" s="808">
        <f t="shared" si="44"/>
        <v>35.734565213488963</v>
      </c>
      <c r="I119" s="808">
        <f t="shared" si="45"/>
        <v>-10.8232</v>
      </c>
      <c r="J119" s="808">
        <f t="shared" si="45"/>
        <v>2.0779999999999887</v>
      </c>
      <c r="K119" s="808">
        <f t="shared" si="45"/>
        <v>4.4793999999999983</v>
      </c>
      <c r="L119" s="808">
        <f t="shared" si="45"/>
        <v>-2.4351999999999947</v>
      </c>
      <c r="M119" s="808">
        <f t="shared" si="45"/>
        <v>-2.5763999999999925</v>
      </c>
      <c r="N119" s="808">
        <f t="shared" si="45"/>
        <v>16.055599999999998</v>
      </c>
      <c r="O119" s="808">
        <f t="shared" si="45"/>
        <v>4.0811361091071978</v>
      </c>
      <c r="P119" s="808">
        <f t="shared" si="45"/>
        <v>-67.128256453569449</v>
      </c>
      <c r="Q119" s="808">
        <f t="shared" si="45"/>
        <v>0</v>
      </c>
      <c r="R119" s="808">
        <f t="shared" si="45"/>
        <v>0</v>
      </c>
      <c r="S119" s="808">
        <f t="shared" si="45"/>
        <v>0</v>
      </c>
      <c r="T119" s="808">
        <f t="shared" si="45"/>
        <v>0</v>
      </c>
      <c r="U119" s="808">
        <f t="shared" si="45"/>
        <v>0</v>
      </c>
      <c r="V119" s="808">
        <f t="shared" si="45"/>
        <v>0</v>
      </c>
      <c r="W119" s="808">
        <f t="shared" si="45"/>
        <v>0</v>
      </c>
      <c r="AA119"/>
      <c r="AB119"/>
      <c r="AC119"/>
      <c r="AD119"/>
      <c r="AE119"/>
      <c r="AF119"/>
      <c r="AJ119" s="800"/>
    </row>
    <row r="120" spans="1:36" s="805" customFormat="1" outlineLevel="1">
      <c r="A120" s="807"/>
      <c r="B120" s="733">
        <v>9</v>
      </c>
      <c r="C120" s="732" t="str">
        <f t="shared" si="46"/>
        <v>PV of Increase in forecast year 8 lease commitments</v>
      </c>
      <c r="D120" s="732"/>
      <c r="E120" s="732"/>
      <c r="F120" s="732"/>
      <c r="G120" s="732"/>
      <c r="H120" s="808">
        <f t="shared" si="44"/>
        <v>32.604530304278249</v>
      </c>
      <c r="I120" s="808">
        <f t="shared" si="45"/>
        <v>-10.8232</v>
      </c>
      <c r="J120" s="808">
        <f t="shared" si="45"/>
        <v>2.0779999999999887</v>
      </c>
      <c r="K120" s="808">
        <f t="shared" si="45"/>
        <v>4.4793999999999983</v>
      </c>
      <c r="L120" s="808">
        <f t="shared" si="45"/>
        <v>-2.4351999999999947</v>
      </c>
      <c r="M120" s="808">
        <f t="shared" si="45"/>
        <v>-2.5763999999999925</v>
      </c>
      <c r="N120" s="808">
        <f t="shared" si="45"/>
        <v>16.055599999999998</v>
      </c>
      <c r="O120" s="808">
        <f t="shared" si="45"/>
        <v>4.052011141334801</v>
      </c>
      <c r="P120" s="808">
        <f t="shared" si="45"/>
        <v>-65.128754628078354</v>
      </c>
      <c r="Q120" s="808">
        <f t="shared" si="45"/>
        <v>0</v>
      </c>
      <c r="R120" s="808">
        <f t="shared" si="45"/>
        <v>0</v>
      </c>
      <c r="S120" s="808">
        <f t="shared" si="45"/>
        <v>0</v>
      </c>
      <c r="T120" s="808">
        <f t="shared" si="45"/>
        <v>0</v>
      </c>
      <c r="U120" s="808">
        <f t="shared" si="45"/>
        <v>0</v>
      </c>
      <c r="V120" s="808">
        <f t="shared" si="45"/>
        <v>0</v>
      </c>
      <c r="W120" s="808">
        <f t="shared" si="45"/>
        <v>0</v>
      </c>
      <c r="AA120"/>
      <c r="AB120"/>
      <c r="AC120"/>
      <c r="AD120"/>
      <c r="AE120"/>
      <c r="AF120"/>
      <c r="AJ120" s="800"/>
    </row>
    <row r="121" spans="1:36" s="805" customFormat="1" outlineLevel="1">
      <c r="A121" s="807"/>
      <c r="B121" s="733">
        <v>10</v>
      </c>
      <c r="C121" s="732" t="str">
        <f t="shared" si="46"/>
        <v>PV of Increase in forecast year 9 lease commitments</v>
      </c>
      <c r="D121" s="732"/>
      <c r="E121" s="732"/>
      <c r="F121" s="732"/>
      <c r="G121" s="732"/>
      <c r="H121" s="808">
        <f t="shared" si="44"/>
        <v>29.748659036750222</v>
      </c>
      <c r="I121" s="808">
        <f t="shared" si="45"/>
        <v>-10.8232</v>
      </c>
      <c r="J121" s="808">
        <f t="shared" si="45"/>
        <v>2.0779999999999887</v>
      </c>
      <c r="K121" s="808">
        <f t="shared" si="45"/>
        <v>4.4793999999999983</v>
      </c>
      <c r="L121" s="808">
        <f t="shared" si="45"/>
        <v>-2.4351999999999947</v>
      </c>
      <c r="M121" s="808">
        <f t="shared" si="45"/>
        <v>-2.5763999999999925</v>
      </c>
      <c r="N121" s="808">
        <f t="shared" si="45"/>
        <v>16.055599999999998</v>
      </c>
      <c r="O121" s="808">
        <f t="shared" si="45"/>
        <v>4.0230940234662205</v>
      </c>
      <c r="P121" s="808">
        <f t="shared" si="45"/>
        <v>-63.188810547140136</v>
      </c>
      <c r="Q121" s="808">
        <f t="shared" si="45"/>
        <v>0</v>
      </c>
      <c r="R121" s="808">
        <f t="shared" si="45"/>
        <v>0</v>
      </c>
      <c r="S121" s="808">
        <f t="shared" si="45"/>
        <v>0</v>
      </c>
      <c r="T121" s="808">
        <f t="shared" si="45"/>
        <v>0</v>
      </c>
      <c r="U121" s="808">
        <f t="shared" si="45"/>
        <v>0</v>
      </c>
      <c r="V121" s="808">
        <f t="shared" si="45"/>
        <v>0</v>
      </c>
      <c r="W121" s="808">
        <f t="shared" si="45"/>
        <v>0</v>
      </c>
      <c r="AA121"/>
      <c r="AB121"/>
      <c r="AC121"/>
      <c r="AD121"/>
      <c r="AE121"/>
      <c r="AF121"/>
      <c r="AJ121" s="800"/>
    </row>
    <row r="122" spans="1:36" s="805" customFormat="1" outlineLevel="1">
      <c r="A122" s="807"/>
      <c r="B122" s="733">
        <v>11</v>
      </c>
      <c r="C122" s="732" t="str">
        <f t="shared" si="46"/>
        <v>PV of Increase in forecast year 10 lease commitments</v>
      </c>
      <c r="D122" s="732"/>
      <c r="E122" s="732"/>
      <c r="F122" s="732"/>
      <c r="G122" s="732"/>
      <c r="H122" s="808">
        <f t="shared" si="44"/>
        <v>27.142937077326842</v>
      </c>
      <c r="I122" s="808">
        <f t="shared" si="45"/>
        <v>63.576800000000006</v>
      </c>
      <c r="J122" s="808">
        <f t="shared" si="45"/>
        <v>65.654799999999994</v>
      </c>
      <c r="K122" s="808">
        <f t="shared" si="45"/>
        <v>70.134199999999993</v>
      </c>
      <c r="L122" s="808">
        <f t="shared" si="45"/>
        <v>67.698999999999998</v>
      </c>
      <c r="M122" s="808">
        <f t="shared" si="45"/>
        <v>65.122600000000006</v>
      </c>
      <c r="N122" s="808">
        <f t="shared" si="45"/>
        <v>81.178200000000004</v>
      </c>
      <c r="O122" s="808">
        <f t="shared" si="45"/>
        <v>79.022576188556798</v>
      </c>
      <c r="P122" s="808">
        <f t="shared" si="45"/>
        <v>0</v>
      </c>
      <c r="Q122" s="808">
        <f t="shared" si="45"/>
        <v>0</v>
      </c>
      <c r="R122" s="808">
        <f t="shared" si="45"/>
        <v>0</v>
      </c>
      <c r="S122" s="808">
        <f t="shared" si="45"/>
        <v>0</v>
      </c>
      <c r="T122" s="808">
        <f t="shared" si="45"/>
        <v>0</v>
      </c>
      <c r="U122" s="808">
        <f t="shared" si="45"/>
        <v>0</v>
      </c>
      <c r="V122" s="808">
        <f t="shared" si="45"/>
        <v>0</v>
      </c>
      <c r="W122" s="808">
        <f t="shared" si="45"/>
        <v>0</v>
      </c>
      <c r="AA122"/>
      <c r="AB122"/>
      <c r="AC122"/>
      <c r="AD122"/>
      <c r="AE122"/>
      <c r="AF122"/>
      <c r="AJ122" s="800"/>
    </row>
    <row r="123" spans="1:36" s="805" customFormat="1" outlineLevel="1">
      <c r="A123" s="807"/>
      <c r="B123" s="733">
        <v>12</v>
      </c>
      <c r="C123" s="732" t="str">
        <f t="shared" si="46"/>
        <v>PV of Increase in forecast year 11 lease commitments</v>
      </c>
      <c r="D123" s="732"/>
      <c r="E123" s="732"/>
      <c r="F123" s="732"/>
      <c r="G123" s="732"/>
      <c r="H123" s="808">
        <f t="shared" si="44"/>
        <v>0</v>
      </c>
      <c r="I123" s="808">
        <f t="shared" si="45"/>
        <v>0</v>
      </c>
      <c r="J123" s="808">
        <f t="shared" si="45"/>
        <v>0</v>
      </c>
      <c r="K123" s="808">
        <f t="shared" si="45"/>
        <v>0</v>
      </c>
      <c r="L123" s="808">
        <f t="shared" si="45"/>
        <v>0</v>
      </c>
      <c r="M123" s="808">
        <f t="shared" si="45"/>
        <v>0</v>
      </c>
      <c r="N123" s="808">
        <f t="shared" si="45"/>
        <v>0</v>
      </c>
      <c r="O123" s="808">
        <f t="shared" si="45"/>
        <v>0</v>
      </c>
      <c r="P123" s="808">
        <f t="shared" si="45"/>
        <v>0</v>
      </c>
      <c r="Q123" s="808">
        <f t="shared" si="45"/>
        <v>0</v>
      </c>
      <c r="R123" s="808">
        <f t="shared" si="45"/>
        <v>0</v>
      </c>
      <c r="S123" s="808">
        <f t="shared" si="45"/>
        <v>0</v>
      </c>
      <c r="T123" s="808">
        <f t="shared" si="45"/>
        <v>0</v>
      </c>
      <c r="U123" s="808">
        <f t="shared" si="45"/>
        <v>0</v>
      </c>
      <c r="V123" s="808">
        <f t="shared" si="45"/>
        <v>0</v>
      </c>
      <c r="W123" s="808">
        <f t="shared" si="45"/>
        <v>0</v>
      </c>
      <c r="AA123"/>
      <c r="AB123"/>
      <c r="AC123"/>
      <c r="AD123"/>
      <c r="AE123"/>
      <c r="AF123"/>
      <c r="AJ123" s="800"/>
    </row>
    <row r="124" spans="1:36" s="805" customFormat="1" outlineLevel="1">
      <c r="A124" s="807"/>
      <c r="B124" s="733">
        <v>13</v>
      </c>
      <c r="C124" s="732" t="str">
        <f t="shared" si="46"/>
        <v>PV of Increase in forecast year 12 lease commitments</v>
      </c>
      <c r="D124" s="732"/>
      <c r="E124" s="732"/>
      <c r="F124" s="732"/>
      <c r="G124" s="732"/>
      <c r="H124" s="808">
        <f t="shared" si="44"/>
        <v>0</v>
      </c>
      <c r="I124" s="808">
        <f t="shared" si="45"/>
        <v>0</v>
      </c>
      <c r="J124" s="808">
        <f t="shared" si="45"/>
        <v>0</v>
      </c>
      <c r="K124" s="808">
        <f t="shared" si="45"/>
        <v>0</v>
      </c>
      <c r="L124" s="808">
        <f t="shared" si="45"/>
        <v>0</v>
      </c>
      <c r="M124" s="808">
        <f t="shared" si="45"/>
        <v>0</v>
      </c>
      <c r="N124" s="808">
        <f t="shared" si="45"/>
        <v>0</v>
      </c>
      <c r="O124" s="808">
        <f t="shared" si="45"/>
        <v>0</v>
      </c>
      <c r="P124" s="808">
        <f t="shared" si="45"/>
        <v>0</v>
      </c>
      <c r="Q124" s="808">
        <f t="shared" si="45"/>
        <v>0</v>
      </c>
      <c r="R124" s="808">
        <f t="shared" si="45"/>
        <v>0</v>
      </c>
      <c r="S124" s="808">
        <f t="shared" si="45"/>
        <v>0</v>
      </c>
      <c r="T124" s="808">
        <f t="shared" si="45"/>
        <v>0</v>
      </c>
      <c r="U124" s="808">
        <f t="shared" si="45"/>
        <v>0</v>
      </c>
      <c r="V124" s="808">
        <f t="shared" si="45"/>
        <v>0</v>
      </c>
      <c r="W124" s="808">
        <f t="shared" si="45"/>
        <v>0</v>
      </c>
      <c r="AA124"/>
      <c r="AB124"/>
      <c r="AC124"/>
      <c r="AD124"/>
      <c r="AE124"/>
      <c r="AF124"/>
      <c r="AJ124" s="800"/>
    </row>
    <row r="125" spans="1:36" s="805" customFormat="1" outlineLevel="1">
      <c r="A125" s="807"/>
      <c r="B125" s="733">
        <v>14</v>
      </c>
      <c r="C125" s="732" t="str">
        <f t="shared" si="46"/>
        <v>PV of Increase in forecast year 13 lease commitments</v>
      </c>
      <c r="D125" s="732"/>
      <c r="E125" s="732"/>
      <c r="F125" s="732"/>
      <c r="G125" s="732"/>
      <c r="H125" s="808">
        <f t="shared" si="44"/>
        <v>0</v>
      </c>
      <c r="I125" s="808">
        <f t="shared" si="45"/>
        <v>0</v>
      </c>
      <c r="J125" s="808">
        <f t="shared" si="45"/>
        <v>0</v>
      </c>
      <c r="K125" s="808">
        <f t="shared" si="45"/>
        <v>0</v>
      </c>
      <c r="L125" s="808">
        <f t="shared" si="45"/>
        <v>0</v>
      </c>
      <c r="M125" s="808">
        <f t="shared" si="45"/>
        <v>0</v>
      </c>
      <c r="N125" s="808">
        <f t="shared" si="45"/>
        <v>0</v>
      </c>
      <c r="O125" s="808">
        <f t="shared" si="45"/>
        <v>0</v>
      </c>
      <c r="P125" s="808">
        <f t="shared" si="45"/>
        <v>0</v>
      </c>
      <c r="Q125" s="808">
        <f t="shared" si="45"/>
        <v>0</v>
      </c>
      <c r="R125" s="808">
        <f t="shared" si="45"/>
        <v>0</v>
      </c>
      <c r="S125" s="808">
        <f t="shared" si="45"/>
        <v>0</v>
      </c>
      <c r="T125" s="808">
        <f t="shared" si="45"/>
        <v>0</v>
      </c>
      <c r="U125" s="808">
        <f t="shared" si="45"/>
        <v>0</v>
      </c>
      <c r="V125" s="808">
        <f t="shared" si="45"/>
        <v>0</v>
      </c>
      <c r="W125" s="808">
        <f t="shared" si="45"/>
        <v>0</v>
      </c>
      <c r="AA125"/>
      <c r="AB125"/>
      <c r="AC125"/>
      <c r="AD125"/>
      <c r="AE125"/>
      <c r="AF125"/>
      <c r="AJ125" s="800"/>
    </row>
    <row r="126" spans="1:36" s="805" customFormat="1" outlineLevel="1">
      <c r="A126" s="807"/>
      <c r="B126" s="733">
        <v>15</v>
      </c>
      <c r="C126" s="732" t="str">
        <f t="shared" si="46"/>
        <v>PV of Increase in forecast year 14 lease commitments</v>
      </c>
      <c r="D126" s="732"/>
      <c r="E126" s="732"/>
      <c r="F126" s="732"/>
      <c r="G126" s="732"/>
      <c r="H126" s="808">
        <f t="shared" si="44"/>
        <v>0</v>
      </c>
      <c r="I126" s="808">
        <f t="shared" si="45"/>
        <v>0</v>
      </c>
      <c r="J126" s="808">
        <f t="shared" si="45"/>
        <v>0</v>
      </c>
      <c r="K126" s="808">
        <f t="shared" si="45"/>
        <v>0</v>
      </c>
      <c r="L126" s="808">
        <f t="shared" si="45"/>
        <v>0</v>
      </c>
      <c r="M126" s="808">
        <f t="shared" si="45"/>
        <v>0</v>
      </c>
      <c r="N126" s="808">
        <f t="shared" si="45"/>
        <v>0</v>
      </c>
      <c r="O126" s="808">
        <f t="shared" si="45"/>
        <v>0</v>
      </c>
      <c r="P126" s="808">
        <f t="shared" si="45"/>
        <v>0</v>
      </c>
      <c r="Q126" s="808">
        <f t="shared" si="45"/>
        <v>0</v>
      </c>
      <c r="R126" s="808">
        <f t="shared" si="45"/>
        <v>0</v>
      </c>
      <c r="S126" s="808">
        <f t="shared" si="45"/>
        <v>0</v>
      </c>
      <c r="T126" s="808">
        <f t="shared" si="45"/>
        <v>0</v>
      </c>
      <c r="U126" s="808">
        <f t="shared" si="45"/>
        <v>0</v>
      </c>
      <c r="V126" s="808">
        <f t="shared" si="45"/>
        <v>0</v>
      </c>
      <c r="W126" s="808">
        <f t="shared" si="45"/>
        <v>0</v>
      </c>
      <c r="AA126"/>
      <c r="AB126"/>
      <c r="AC126"/>
      <c r="AD126"/>
      <c r="AE126"/>
      <c r="AF126"/>
      <c r="AJ126" s="800"/>
    </row>
    <row r="127" spans="1:36" s="805" customFormat="1" outlineLevel="1">
      <c r="A127" s="807"/>
      <c r="B127" s="733">
        <v>16</v>
      </c>
      <c r="C127" s="732" t="str">
        <f t="shared" si="46"/>
        <v>PV of Increase in forecast year 15 lease commitments</v>
      </c>
      <c r="D127" s="732"/>
      <c r="E127" s="732"/>
      <c r="F127" s="732"/>
      <c r="G127" s="732"/>
      <c r="H127" s="808">
        <f t="shared" si="44"/>
        <v>0</v>
      </c>
      <c r="I127" s="808">
        <f t="shared" si="45"/>
        <v>0</v>
      </c>
      <c r="J127" s="808">
        <f t="shared" si="45"/>
        <v>0</v>
      </c>
      <c r="K127" s="808">
        <f t="shared" si="45"/>
        <v>0</v>
      </c>
      <c r="L127" s="808">
        <f t="shared" si="45"/>
        <v>0</v>
      </c>
      <c r="M127" s="808">
        <f t="shared" si="45"/>
        <v>0</v>
      </c>
      <c r="N127" s="808">
        <f t="shared" si="45"/>
        <v>0</v>
      </c>
      <c r="O127" s="808">
        <f t="shared" si="45"/>
        <v>0</v>
      </c>
      <c r="P127" s="808">
        <f t="shared" si="45"/>
        <v>0</v>
      </c>
      <c r="Q127" s="808">
        <f t="shared" si="45"/>
        <v>0</v>
      </c>
      <c r="R127" s="808">
        <f t="shared" si="45"/>
        <v>0</v>
      </c>
      <c r="S127" s="808">
        <f t="shared" si="45"/>
        <v>0</v>
      </c>
      <c r="T127" s="808">
        <f t="shared" si="45"/>
        <v>0</v>
      </c>
      <c r="U127" s="808">
        <f t="shared" si="45"/>
        <v>0</v>
      </c>
      <c r="V127" s="808">
        <f t="shared" si="45"/>
        <v>0</v>
      </c>
      <c r="W127" s="808">
        <f t="shared" si="45"/>
        <v>0</v>
      </c>
      <c r="AA127"/>
      <c r="AB127"/>
      <c r="AC127"/>
      <c r="AD127"/>
      <c r="AE127"/>
      <c r="AF127"/>
      <c r="AJ127" s="800"/>
    </row>
    <row r="128" spans="1:36" s="805" customFormat="1" outlineLevel="1">
      <c r="A128" s="807"/>
      <c r="B128" s="733">
        <v>17</v>
      </c>
      <c r="C128" s="732" t="str">
        <f t="shared" si="46"/>
        <v>PV of Increase in forecast year 16 lease commitments</v>
      </c>
      <c r="D128" s="732"/>
      <c r="E128" s="732"/>
      <c r="F128" s="732"/>
      <c r="G128" s="732"/>
      <c r="H128" s="808">
        <f t="shared" si="44"/>
        <v>0</v>
      </c>
      <c r="I128" s="808">
        <f t="shared" ref="I128:W141" si="47">IF(ISERROR((I92-H93)/(POWER((1+I$45),$B128))),"NA",(I92-H93)/(POWER((1+I$45),$B128)))</f>
        <v>0</v>
      </c>
      <c r="J128" s="808">
        <f t="shared" si="47"/>
        <v>0</v>
      </c>
      <c r="K128" s="808">
        <f t="shared" si="47"/>
        <v>0</v>
      </c>
      <c r="L128" s="808">
        <f t="shared" si="47"/>
        <v>0</v>
      </c>
      <c r="M128" s="808">
        <f t="shared" si="47"/>
        <v>0</v>
      </c>
      <c r="N128" s="808">
        <f t="shared" si="47"/>
        <v>0</v>
      </c>
      <c r="O128" s="808">
        <f t="shared" si="47"/>
        <v>0</v>
      </c>
      <c r="P128" s="808">
        <f t="shared" si="47"/>
        <v>0</v>
      </c>
      <c r="Q128" s="808">
        <f t="shared" si="47"/>
        <v>0</v>
      </c>
      <c r="R128" s="808">
        <f t="shared" si="47"/>
        <v>0</v>
      </c>
      <c r="S128" s="808">
        <f t="shared" si="47"/>
        <v>0</v>
      </c>
      <c r="T128" s="808">
        <f t="shared" si="47"/>
        <v>0</v>
      </c>
      <c r="U128" s="808">
        <f t="shared" si="47"/>
        <v>0</v>
      </c>
      <c r="V128" s="808">
        <f t="shared" si="47"/>
        <v>0</v>
      </c>
      <c r="W128" s="808">
        <f t="shared" si="47"/>
        <v>0</v>
      </c>
      <c r="AA128"/>
      <c r="AB128"/>
      <c r="AC128"/>
      <c r="AD128"/>
      <c r="AE128"/>
      <c r="AF128"/>
      <c r="AJ128" s="800"/>
    </row>
    <row r="129" spans="1:36" s="805" customFormat="1" outlineLevel="1">
      <c r="A129" s="807"/>
      <c r="B129" s="733">
        <v>18</v>
      </c>
      <c r="C129" s="732" t="str">
        <f t="shared" si="46"/>
        <v>PV of Increase in forecast year 17 lease commitments</v>
      </c>
      <c r="D129" s="732"/>
      <c r="E129" s="732"/>
      <c r="F129" s="732"/>
      <c r="G129" s="732"/>
      <c r="H129" s="808">
        <f t="shared" si="44"/>
        <v>0</v>
      </c>
      <c r="I129" s="808">
        <f t="shared" si="47"/>
        <v>0</v>
      </c>
      <c r="J129" s="808">
        <f t="shared" si="47"/>
        <v>0</v>
      </c>
      <c r="K129" s="808">
        <f t="shared" si="47"/>
        <v>0</v>
      </c>
      <c r="L129" s="808">
        <f t="shared" si="47"/>
        <v>0</v>
      </c>
      <c r="M129" s="808">
        <f t="shared" si="47"/>
        <v>0</v>
      </c>
      <c r="N129" s="808">
        <f t="shared" si="47"/>
        <v>0</v>
      </c>
      <c r="O129" s="808">
        <f t="shared" si="47"/>
        <v>0</v>
      </c>
      <c r="P129" s="808">
        <f t="shared" si="47"/>
        <v>0</v>
      </c>
      <c r="Q129" s="808">
        <f t="shared" si="47"/>
        <v>0</v>
      </c>
      <c r="R129" s="808">
        <f t="shared" si="47"/>
        <v>0</v>
      </c>
      <c r="S129" s="808">
        <f t="shared" si="47"/>
        <v>0</v>
      </c>
      <c r="T129" s="808">
        <f t="shared" si="47"/>
        <v>0</v>
      </c>
      <c r="U129" s="808">
        <f t="shared" si="47"/>
        <v>0</v>
      </c>
      <c r="V129" s="808">
        <f t="shared" si="47"/>
        <v>0</v>
      </c>
      <c r="W129" s="808">
        <f t="shared" si="47"/>
        <v>0</v>
      </c>
      <c r="AA129"/>
      <c r="AB129"/>
      <c r="AC129"/>
      <c r="AD129"/>
      <c r="AE129"/>
      <c r="AF129"/>
      <c r="AJ129" s="800"/>
    </row>
    <row r="130" spans="1:36" s="805" customFormat="1" outlineLevel="1">
      <c r="A130" s="807"/>
      <c r="B130" s="733">
        <v>19</v>
      </c>
      <c r="C130" s="732" t="str">
        <f t="shared" si="46"/>
        <v>PV of Increase in forecast year 18 lease commitments</v>
      </c>
      <c r="D130" s="732"/>
      <c r="E130" s="732"/>
      <c r="F130" s="732"/>
      <c r="G130" s="732"/>
      <c r="H130" s="808">
        <f t="shared" si="44"/>
        <v>0</v>
      </c>
      <c r="I130" s="808">
        <f t="shared" si="47"/>
        <v>0</v>
      </c>
      <c r="J130" s="808">
        <f t="shared" si="47"/>
        <v>0</v>
      </c>
      <c r="K130" s="808">
        <f t="shared" si="47"/>
        <v>0</v>
      </c>
      <c r="L130" s="808">
        <f t="shared" si="47"/>
        <v>0</v>
      </c>
      <c r="M130" s="808">
        <f t="shared" si="47"/>
        <v>0</v>
      </c>
      <c r="N130" s="808">
        <f t="shared" si="47"/>
        <v>0</v>
      </c>
      <c r="O130" s="808">
        <f t="shared" si="47"/>
        <v>0</v>
      </c>
      <c r="P130" s="808">
        <f t="shared" si="47"/>
        <v>0</v>
      </c>
      <c r="Q130" s="808">
        <f t="shared" si="47"/>
        <v>0</v>
      </c>
      <c r="R130" s="808">
        <f t="shared" si="47"/>
        <v>0</v>
      </c>
      <c r="S130" s="808">
        <f t="shared" si="47"/>
        <v>0</v>
      </c>
      <c r="T130" s="808">
        <f t="shared" si="47"/>
        <v>0</v>
      </c>
      <c r="U130" s="808">
        <f t="shared" si="47"/>
        <v>0</v>
      </c>
      <c r="V130" s="808">
        <f t="shared" si="47"/>
        <v>0</v>
      </c>
      <c r="W130" s="808">
        <f t="shared" si="47"/>
        <v>0</v>
      </c>
      <c r="AA130"/>
      <c r="AB130"/>
      <c r="AC130"/>
      <c r="AD130"/>
      <c r="AE130"/>
      <c r="AF130"/>
      <c r="AJ130" s="800"/>
    </row>
    <row r="131" spans="1:36" s="805" customFormat="1" outlineLevel="1">
      <c r="A131" s="807"/>
      <c r="B131" s="733">
        <f t="shared" ref="B131:B141" si="48">B130+1</f>
        <v>20</v>
      </c>
      <c r="C131" s="732" t="str">
        <f t="shared" si="46"/>
        <v>PV of Increase in forecast year 19 lease commitments</v>
      </c>
      <c r="D131" s="732"/>
      <c r="E131" s="732"/>
      <c r="F131" s="732"/>
      <c r="G131" s="732"/>
      <c r="H131" s="808">
        <f t="shared" si="44"/>
        <v>0</v>
      </c>
      <c r="I131" s="808">
        <f t="shared" si="47"/>
        <v>0</v>
      </c>
      <c r="J131" s="808">
        <f t="shared" si="47"/>
        <v>0</v>
      </c>
      <c r="K131" s="808">
        <f t="shared" si="47"/>
        <v>0</v>
      </c>
      <c r="L131" s="808">
        <f t="shared" si="47"/>
        <v>0</v>
      </c>
      <c r="M131" s="808">
        <f t="shared" si="47"/>
        <v>0</v>
      </c>
      <c r="N131" s="808">
        <f t="shared" si="47"/>
        <v>0</v>
      </c>
      <c r="O131" s="808">
        <f t="shared" si="47"/>
        <v>0</v>
      </c>
      <c r="P131" s="808">
        <f t="shared" si="47"/>
        <v>0</v>
      </c>
      <c r="Q131" s="808">
        <f t="shared" si="47"/>
        <v>0</v>
      </c>
      <c r="R131" s="808">
        <f t="shared" si="47"/>
        <v>0</v>
      </c>
      <c r="S131" s="808">
        <f t="shared" si="47"/>
        <v>0</v>
      </c>
      <c r="T131" s="808">
        <f t="shared" si="47"/>
        <v>0</v>
      </c>
      <c r="U131" s="808">
        <f t="shared" si="47"/>
        <v>0</v>
      </c>
      <c r="V131" s="808">
        <f t="shared" si="47"/>
        <v>0</v>
      </c>
      <c r="W131" s="808">
        <f t="shared" si="47"/>
        <v>0</v>
      </c>
      <c r="AA131"/>
      <c r="AB131"/>
      <c r="AC131"/>
      <c r="AD131"/>
      <c r="AE131"/>
      <c r="AF131"/>
      <c r="AJ131" s="800"/>
    </row>
    <row r="132" spans="1:36" s="805" customFormat="1" outlineLevel="1">
      <c r="A132" s="807"/>
      <c r="B132" s="733">
        <f t="shared" si="48"/>
        <v>21</v>
      </c>
      <c r="C132" s="732" t="str">
        <f t="shared" si="46"/>
        <v>PV of Increase in forecast year 20 lease commitments</v>
      </c>
      <c r="D132" s="732"/>
      <c r="E132" s="732"/>
      <c r="F132" s="732"/>
      <c r="G132" s="732"/>
      <c r="H132" s="808">
        <f t="shared" si="44"/>
        <v>0</v>
      </c>
      <c r="I132" s="808">
        <f t="shared" si="47"/>
        <v>0</v>
      </c>
      <c r="J132" s="808">
        <f t="shared" si="47"/>
        <v>0</v>
      </c>
      <c r="K132" s="808">
        <f t="shared" si="47"/>
        <v>0</v>
      </c>
      <c r="L132" s="808">
        <f t="shared" si="47"/>
        <v>0</v>
      </c>
      <c r="M132" s="808">
        <f t="shared" si="47"/>
        <v>0</v>
      </c>
      <c r="N132" s="808">
        <f t="shared" si="47"/>
        <v>0</v>
      </c>
      <c r="O132" s="808">
        <f t="shared" si="47"/>
        <v>0</v>
      </c>
      <c r="P132" s="808">
        <f t="shared" si="47"/>
        <v>0</v>
      </c>
      <c r="Q132" s="808">
        <f t="shared" si="47"/>
        <v>0</v>
      </c>
      <c r="R132" s="808">
        <f t="shared" si="47"/>
        <v>0</v>
      </c>
      <c r="S132" s="808">
        <f t="shared" si="47"/>
        <v>0</v>
      </c>
      <c r="T132" s="808">
        <f t="shared" si="47"/>
        <v>0</v>
      </c>
      <c r="U132" s="808">
        <f t="shared" si="47"/>
        <v>0</v>
      </c>
      <c r="V132" s="808">
        <f t="shared" si="47"/>
        <v>0</v>
      </c>
      <c r="W132" s="808">
        <f t="shared" si="47"/>
        <v>0</v>
      </c>
      <c r="AA132"/>
      <c r="AB132"/>
      <c r="AC132"/>
      <c r="AD132"/>
      <c r="AE132"/>
      <c r="AF132"/>
      <c r="AJ132" s="800"/>
    </row>
    <row r="133" spans="1:36" s="805" customFormat="1" outlineLevel="1">
      <c r="A133" s="807"/>
      <c r="B133" s="733">
        <f t="shared" si="48"/>
        <v>22</v>
      </c>
      <c r="C133" s="732" t="str">
        <f t="shared" si="46"/>
        <v>PV of Increase in forecast year 21 lease commitments</v>
      </c>
      <c r="D133" s="732"/>
      <c r="E133" s="732"/>
      <c r="F133" s="732"/>
      <c r="G133" s="732"/>
      <c r="H133" s="808">
        <f t="shared" si="44"/>
        <v>0</v>
      </c>
      <c r="I133" s="808">
        <f t="shared" si="47"/>
        <v>0</v>
      </c>
      <c r="J133" s="808">
        <f t="shared" si="47"/>
        <v>0</v>
      </c>
      <c r="K133" s="808">
        <f t="shared" si="47"/>
        <v>0</v>
      </c>
      <c r="L133" s="808">
        <f t="shared" si="47"/>
        <v>0</v>
      </c>
      <c r="M133" s="808">
        <f t="shared" si="47"/>
        <v>0</v>
      </c>
      <c r="N133" s="808">
        <f t="shared" si="47"/>
        <v>0</v>
      </c>
      <c r="O133" s="808">
        <f t="shared" si="47"/>
        <v>0</v>
      </c>
      <c r="P133" s="808">
        <f t="shared" si="47"/>
        <v>0</v>
      </c>
      <c r="Q133" s="808">
        <f t="shared" si="47"/>
        <v>0</v>
      </c>
      <c r="R133" s="808">
        <f t="shared" si="47"/>
        <v>0</v>
      </c>
      <c r="S133" s="808">
        <f t="shared" si="47"/>
        <v>0</v>
      </c>
      <c r="T133" s="808">
        <f t="shared" si="47"/>
        <v>0</v>
      </c>
      <c r="U133" s="808">
        <f t="shared" si="47"/>
        <v>0</v>
      </c>
      <c r="V133" s="808">
        <f t="shared" si="47"/>
        <v>0</v>
      </c>
      <c r="W133" s="808">
        <f t="shared" si="47"/>
        <v>0</v>
      </c>
      <c r="AA133"/>
      <c r="AB133"/>
      <c r="AC133"/>
      <c r="AD133"/>
      <c r="AE133"/>
      <c r="AF133"/>
      <c r="AJ133" s="800"/>
    </row>
    <row r="134" spans="1:36" s="805" customFormat="1" outlineLevel="1">
      <c r="A134" s="807"/>
      <c r="B134" s="733">
        <f t="shared" si="48"/>
        <v>23</v>
      </c>
      <c r="C134" s="732" t="str">
        <f t="shared" si="46"/>
        <v>PV of Increase in forecast year 22 lease commitments</v>
      </c>
      <c r="D134" s="732"/>
      <c r="E134" s="732"/>
      <c r="F134" s="732"/>
      <c r="G134" s="732"/>
      <c r="H134" s="808">
        <f t="shared" si="44"/>
        <v>0</v>
      </c>
      <c r="I134" s="808">
        <f t="shared" si="47"/>
        <v>0</v>
      </c>
      <c r="J134" s="808">
        <f t="shared" si="47"/>
        <v>0</v>
      </c>
      <c r="K134" s="808">
        <f t="shared" si="47"/>
        <v>0</v>
      </c>
      <c r="L134" s="808">
        <f t="shared" si="47"/>
        <v>0</v>
      </c>
      <c r="M134" s="808">
        <f t="shared" si="47"/>
        <v>0</v>
      </c>
      <c r="N134" s="808">
        <f t="shared" si="47"/>
        <v>0</v>
      </c>
      <c r="O134" s="808">
        <f t="shared" si="47"/>
        <v>0</v>
      </c>
      <c r="P134" s="808">
        <f t="shared" si="47"/>
        <v>0</v>
      </c>
      <c r="Q134" s="808">
        <f t="shared" si="47"/>
        <v>0</v>
      </c>
      <c r="R134" s="808">
        <f t="shared" si="47"/>
        <v>0</v>
      </c>
      <c r="S134" s="808">
        <f t="shared" si="47"/>
        <v>0</v>
      </c>
      <c r="T134" s="808">
        <f t="shared" si="47"/>
        <v>0</v>
      </c>
      <c r="U134" s="808">
        <f t="shared" si="47"/>
        <v>0</v>
      </c>
      <c r="V134" s="808">
        <f t="shared" si="47"/>
        <v>0</v>
      </c>
      <c r="W134" s="808">
        <f t="shared" si="47"/>
        <v>0</v>
      </c>
      <c r="AA134"/>
      <c r="AB134"/>
      <c r="AC134"/>
      <c r="AD134"/>
      <c r="AE134"/>
      <c r="AF134"/>
      <c r="AJ134" s="800"/>
    </row>
    <row r="135" spans="1:36" s="805" customFormat="1" outlineLevel="1">
      <c r="A135" s="807"/>
      <c r="B135" s="733">
        <f t="shared" si="48"/>
        <v>24</v>
      </c>
      <c r="C135" s="732" t="str">
        <f t="shared" si="46"/>
        <v>PV of Increase in forecast year 23 lease commitments</v>
      </c>
      <c r="D135" s="732"/>
      <c r="E135" s="732"/>
      <c r="F135" s="732"/>
      <c r="G135" s="732"/>
      <c r="H135" s="808">
        <f t="shared" si="44"/>
        <v>0</v>
      </c>
      <c r="I135" s="808">
        <f t="shared" si="47"/>
        <v>0</v>
      </c>
      <c r="J135" s="808">
        <f t="shared" si="47"/>
        <v>0</v>
      </c>
      <c r="K135" s="808">
        <f t="shared" si="47"/>
        <v>0</v>
      </c>
      <c r="L135" s="808">
        <f t="shared" si="47"/>
        <v>0</v>
      </c>
      <c r="M135" s="808">
        <f t="shared" si="47"/>
        <v>0</v>
      </c>
      <c r="N135" s="808">
        <f t="shared" si="47"/>
        <v>0</v>
      </c>
      <c r="O135" s="808">
        <f t="shared" si="47"/>
        <v>0</v>
      </c>
      <c r="P135" s="808">
        <f t="shared" si="47"/>
        <v>0</v>
      </c>
      <c r="Q135" s="808">
        <f t="shared" si="47"/>
        <v>0</v>
      </c>
      <c r="R135" s="808">
        <f t="shared" si="47"/>
        <v>0</v>
      </c>
      <c r="S135" s="808">
        <f t="shared" si="47"/>
        <v>0</v>
      </c>
      <c r="T135" s="808">
        <f t="shared" si="47"/>
        <v>0</v>
      </c>
      <c r="U135" s="808">
        <f t="shared" si="47"/>
        <v>0</v>
      </c>
      <c r="V135" s="808">
        <f t="shared" si="47"/>
        <v>0</v>
      </c>
      <c r="W135" s="808">
        <f t="shared" si="47"/>
        <v>0</v>
      </c>
      <c r="AA135"/>
      <c r="AB135"/>
      <c r="AC135"/>
      <c r="AD135"/>
      <c r="AE135"/>
      <c r="AF135"/>
      <c r="AJ135" s="800"/>
    </row>
    <row r="136" spans="1:36" s="805" customFormat="1" outlineLevel="1">
      <c r="A136" s="807"/>
      <c r="B136" s="733">
        <f t="shared" si="48"/>
        <v>25</v>
      </c>
      <c r="C136" s="732" t="str">
        <f t="shared" si="46"/>
        <v>PV of Increase in forecast year 24 lease commitments</v>
      </c>
      <c r="D136" s="732"/>
      <c r="E136" s="732"/>
      <c r="F136" s="732"/>
      <c r="G136" s="732"/>
      <c r="H136" s="808">
        <f t="shared" si="44"/>
        <v>0</v>
      </c>
      <c r="I136" s="808">
        <f t="shared" si="47"/>
        <v>0</v>
      </c>
      <c r="J136" s="808">
        <f t="shared" si="47"/>
        <v>0</v>
      </c>
      <c r="K136" s="808">
        <f t="shared" si="47"/>
        <v>0</v>
      </c>
      <c r="L136" s="808">
        <f t="shared" si="47"/>
        <v>0</v>
      </c>
      <c r="M136" s="808">
        <f t="shared" si="47"/>
        <v>0</v>
      </c>
      <c r="N136" s="808">
        <f t="shared" si="47"/>
        <v>0</v>
      </c>
      <c r="O136" s="808">
        <f t="shared" si="47"/>
        <v>0</v>
      </c>
      <c r="P136" s="808">
        <f t="shared" si="47"/>
        <v>0</v>
      </c>
      <c r="Q136" s="808">
        <f t="shared" si="47"/>
        <v>0</v>
      </c>
      <c r="R136" s="808">
        <f t="shared" si="47"/>
        <v>0</v>
      </c>
      <c r="S136" s="808">
        <f t="shared" si="47"/>
        <v>0</v>
      </c>
      <c r="T136" s="808">
        <f t="shared" si="47"/>
        <v>0</v>
      </c>
      <c r="U136" s="808">
        <f t="shared" si="47"/>
        <v>0</v>
      </c>
      <c r="V136" s="808">
        <f t="shared" si="47"/>
        <v>0</v>
      </c>
      <c r="W136" s="808">
        <f t="shared" si="47"/>
        <v>0</v>
      </c>
      <c r="AA136"/>
      <c r="AB136"/>
      <c r="AC136"/>
      <c r="AD136"/>
      <c r="AE136"/>
      <c r="AF136"/>
      <c r="AJ136" s="800"/>
    </row>
    <row r="137" spans="1:36" s="805" customFormat="1" outlineLevel="1">
      <c r="A137" s="807"/>
      <c r="B137" s="733">
        <f t="shared" si="48"/>
        <v>26</v>
      </c>
      <c r="C137" s="732" t="str">
        <f t="shared" si="46"/>
        <v>PV of Increase in forecast year 25 lease commitments</v>
      </c>
      <c r="D137" s="732"/>
      <c r="E137" s="732"/>
      <c r="F137" s="732"/>
      <c r="G137" s="732"/>
      <c r="H137" s="808">
        <f t="shared" si="44"/>
        <v>0</v>
      </c>
      <c r="I137" s="808">
        <f t="shared" si="47"/>
        <v>0</v>
      </c>
      <c r="J137" s="808">
        <f t="shared" si="47"/>
        <v>0</v>
      </c>
      <c r="K137" s="808">
        <f t="shared" si="47"/>
        <v>0</v>
      </c>
      <c r="L137" s="808">
        <f t="shared" si="47"/>
        <v>0</v>
      </c>
      <c r="M137" s="808">
        <f t="shared" si="47"/>
        <v>0</v>
      </c>
      <c r="N137" s="808">
        <f t="shared" si="47"/>
        <v>0</v>
      </c>
      <c r="O137" s="808">
        <f t="shared" si="47"/>
        <v>0</v>
      </c>
      <c r="P137" s="808">
        <f t="shared" si="47"/>
        <v>0</v>
      </c>
      <c r="Q137" s="808">
        <f t="shared" si="47"/>
        <v>0</v>
      </c>
      <c r="R137" s="808">
        <f t="shared" si="47"/>
        <v>0</v>
      </c>
      <c r="S137" s="808">
        <f t="shared" si="47"/>
        <v>0</v>
      </c>
      <c r="T137" s="808">
        <f t="shared" si="47"/>
        <v>0</v>
      </c>
      <c r="U137" s="808">
        <f t="shared" si="47"/>
        <v>0</v>
      </c>
      <c r="V137" s="808">
        <f t="shared" si="47"/>
        <v>0</v>
      </c>
      <c r="W137" s="808">
        <f t="shared" si="47"/>
        <v>0</v>
      </c>
      <c r="AA137"/>
      <c r="AB137"/>
      <c r="AC137"/>
      <c r="AD137"/>
      <c r="AE137"/>
      <c r="AF137"/>
      <c r="AJ137" s="800"/>
    </row>
    <row r="138" spans="1:36" s="805" customFormat="1" outlineLevel="1">
      <c r="A138" s="807"/>
      <c r="B138" s="733">
        <f t="shared" si="48"/>
        <v>27</v>
      </c>
      <c r="C138" s="732" t="str">
        <f t="shared" si="46"/>
        <v>PV of Increase in forecast year 26 lease commitments</v>
      </c>
      <c r="D138" s="732"/>
      <c r="E138" s="732"/>
      <c r="F138" s="732"/>
      <c r="G138" s="732"/>
      <c r="H138" s="808">
        <f t="shared" si="44"/>
        <v>0</v>
      </c>
      <c r="I138" s="808">
        <f t="shared" si="47"/>
        <v>0</v>
      </c>
      <c r="J138" s="808">
        <f t="shared" si="47"/>
        <v>0</v>
      </c>
      <c r="K138" s="808">
        <f t="shared" si="47"/>
        <v>0</v>
      </c>
      <c r="L138" s="808">
        <f t="shared" si="47"/>
        <v>0</v>
      </c>
      <c r="M138" s="808">
        <f t="shared" si="47"/>
        <v>0</v>
      </c>
      <c r="N138" s="808">
        <f t="shared" si="47"/>
        <v>0</v>
      </c>
      <c r="O138" s="808">
        <f t="shared" si="47"/>
        <v>0</v>
      </c>
      <c r="P138" s="808">
        <f t="shared" si="47"/>
        <v>0</v>
      </c>
      <c r="Q138" s="808">
        <f t="shared" si="47"/>
        <v>0</v>
      </c>
      <c r="R138" s="808">
        <f t="shared" si="47"/>
        <v>0</v>
      </c>
      <c r="S138" s="808">
        <f t="shared" si="47"/>
        <v>0</v>
      </c>
      <c r="T138" s="808">
        <f t="shared" si="47"/>
        <v>0</v>
      </c>
      <c r="U138" s="808">
        <f t="shared" si="47"/>
        <v>0</v>
      </c>
      <c r="V138" s="808">
        <f t="shared" si="47"/>
        <v>0</v>
      </c>
      <c r="W138" s="808">
        <f t="shared" si="47"/>
        <v>0</v>
      </c>
      <c r="AA138"/>
      <c r="AB138"/>
      <c r="AC138"/>
      <c r="AD138"/>
      <c r="AE138"/>
      <c r="AF138"/>
      <c r="AJ138" s="800"/>
    </row>
    <row r="139" spans="1:36" s="805" customFormat="1" outlineLevel="1">
      <c r="A139" s="807"/>
      <c r="B139" s="733">
        <f t="shared" si="48"/>
        <v>28</v>
      </c>
      <c r="C139" s="732" t="str">
        <f t="shared" si="46"/>
        <v>PV of Increase in forecast year 27 lease commitments</v>
      </c>
      <c r="D139" s="732"/>
      <c r="E139" s="732"/>
      <c r="F139" s="732"/>
      <c r="G139" s="732"/>
      <c r="H139" s="808">
        <f t="shared" si="44"/>
        <v>0</v>
      </c>
      <c r="I139" s="808">
        <f t="shared" si="47"/>
        <v>0</v>
      </c>
      <c r="J139" s="808">
        <f t="shared" si="47"/>
        <v>0</v>
      </c>
      <c r="K139" s="808">
        <f t="shared" si="47"/>
        <v>0</v>
      </c>
      <c r="L139" s="808">
        <f t="shared" si="47"/>
        <v>0</v>
      </c>
      <c r="M139" s="808">
        <f t="shared" si="47"/>
        <v>0</v>
      </c>
      <c r="N139" s="808">
        <f t="shared" si="47"/>
        <v>0</v>
      </c>
      <c r="O139" s="808">
        <f t="shared" si="47"/>
        <v>0</v>
      </c>
      <c r="P139" s="808">
        <f t="shared" si="47"/>
        <v>0</v>
      </c>
      <c r="Q139" s="808">
        <f t="shared" si="47"/>
        <v>0</v>
      </c>
      <c r="R139" s="808">
        <f t="shared" si="47"/>
        <v>0</v>
      </c>
      <c r="S139" s="808">
        <f t="shared" si="47"/>
        <v>0</v>
      </c>
      <c r="T139" s="808">
        <f t="shared" si="47"/>
        <v>0</v>
      </c>
      <c r="U139" s="808">
        <f t="shared" si="47"/>
        <v>0</v>
      </c>
      <c r="V139" s="808">
        <f t="shared" si="47"/>
        <v>0</v>
      </c>
      <c r="W139" s="808">
        <f t="shared" si="47"/>
        <v>0</v>
      </c>
      <c r="AA139"/>
      <c r="AB139"/>
      <c r="AC139"/>
      <c r="AD139"/>
      <c r="AE139"/>
      <c r="AF139"/>
      <c r="AJ139" s="800"/>
    </row>
    <row r="140" spans="1:36" s="805" customFormat="1" outlineLevel="1">
      <c r="A140" s="807"/>
      <c r="B140" s="733">
        <f t="shared" si="48"/>
        <v>29</v>
      </c>
      <c r="C140" s="732" t="str">
        <f t="shared" si="46"/>
        <v>PV of Increase in forecast year 28 lease commitments</v>
      </c>
      <c r="D140" s="732"/>
      <c r="E140" s="732"/>
      <c r="F140" s="732"/>
      <c r="G140" s="732"/>
      <c r="H140" s="808">
        <f t="shared" si="44"/>
        <v>0</v>
      </c>
      <c r="I140" s="808">
        <f t="shared" si="47"/>
        <v>0</v>
      </c>
      <c r="J140" s="808">
        <f t="shared" si="47"/>
        <v>0</v>
      </c>
      <c r="K140" s="808">
        <f t="shared" si="47"/>
        <v>0</v>
      </c>
      <c r="L140" s="808">
        <f t="shared" si="47"/>
        <v>0</v>
      </c>
      <c r="M140" s="808">
        <f t="shared" si="47"/>
        <v>0</v>
      </c>
      <c r="N140" s="808">
        <f t="shared" si="47"/>
        <v>0</v>
      </c>
      <c r="O140" s="808">
        <f t="shared" si="47"/>
        <v>0</v>
      </c>
      <c r="P140" s="808">
        <f t="shared" si="47"/>
        <v>0</v>
      </c>
      <c r="Q140" s="808">
        <f t="shared" si="47"/>
        <v>0</v>
      </c>
      <c r="R140" s="808">
        <f t="shared" si="47"/>
        <v>0</v>
      </c>
      <c r="S140" s="808">
        <f t="shared" si="47"/>
        <v>0</v>
      </c>
      <c r="T140" s="808">
        <f t="shared" si="47"/>
        <v>0</v>
      </c>
      <c r="U140" s="808">
        <f t="shared" si="47"/>
        <v>0</v>
      </c>
      <c r="V140" s="808">
        <f t="shared" si="47"/>
        <v>0</v>
      </c>
      <c r="W140" s="808">
        <f t="shared" si="47"/>
        <v>0</v>
      </c>
      <c r="AA140"/>
      <c r="AB140"/>
      <c r="AC140"/>
      <c r="AD140"/>
      <c r="AE140"/>
      <c r="AF140"/>
      <c r="AJ140" s="800"/>
    </row>
    <row r="141" spans="1:36" s="805" customFormat="1" outlineLevel="1">
      <c r="A141" s="807"/>
      <c r="B141" s="733">
        <f t="shared" si="48"/>
        <v>30</v>
      </c>
      <c r="C141" s="732" t="str">
        <f t="shared" si="46"/>
        <v>PV of Increase in forecast year 29 lease commitments</v>
      </c>
      <c r="D141" s="732"/>
      <c r="E141" s="732"/>
      <c r="F141" s="732"/>
      <c r="G141" s="732"/>
      <c r="H141" s="808">
        <f t="shared" si="44"/>
        <v>0</v>
      </c>
      <c r="I141" s="808">
        <f t="shared" si="47"/>
        <v>0</v>
      </c>
      <c r="J141" s="808">
        <f t="shared" si="47"/>
        <v>0</v>
      </c>
      <c r="K141" s="808">
        <f t="shared" si="47"/>
        <v>0</v>
      </c>
      <c r="L141" s="808">
        <f t="shared" si="47"/>
        <v>0</v>
      </c>
      <c r="M141" s="808">
        <f t="shared" si="47"/>
        <v>0</v>
      </c>
      <c r="N141" s="808">
        <f t="shared" si="47"/>
        <v>0</v>
      </c>
      <c r="O141" s="808">
        <f t="shared" si="47"/>
        <v>0</v>
      </c>
      <c r="P141" s="808">
        <f t="shared" si="47"/>
        <v>0</v>
      </c>
      <c r="Q141" s="808">
        <f t="shared" si="47"/>
        <v>0</v>
      </c>
      <c r="R141" s="808">
        <f t="shared" si="47"/>
        <v>0</v>
      </c>
      <c r="S141" s="808">
        <f t="shared" si="47"/>
        <v>0</v>
      </c>
      <c r="T141" s="808">
        <f t="shared" si="47"/>
        <v>0</v>
      </c>
      <c r="U141" s="808">
        <f t="shared" si="47"/>
        <v>0</v>
      </c>
      <c r="V141" s="808">
        <f t="shared" si="47"/>
        <v>0</v>
      </c>
      <c r="W141" s="808">
        <f t="shared" si="47"/>
        <v>0</v>
      </c>
      <c r="AA141"/>
      <c r="AB141"/>
      <c r="AC141"/>
      <c r="AD141"/>
      <c r="AE141"/>
      <c r="AF141"/>
      <c r="AJ141" s="800"/>
    </row>
    <row r="142" spans="1:36" s="805" customFormat="1" outlineLevel="1">
      <c r="A142" s="807"/>
      <c r="B142" s="806"/>
      <c r="C142" s="732"/>
      <c r="D142" s="732"/>
      <c r="E142" s="732"/>
      <c r="F142" s="732"/>
      <c r="G142" s="732"/>
      <c r="H142" s="802"/>
      <c r="I142" s="802"/>
      <c r="J142" s="801"/>
      <c r="K142" s="801"/>
      <c r="L142" s="801"/>
      <c r="M142" s="801"/>
      <c r="N142" s="801"/>
      <c r="O142" s="801"/>
      <c r="P142" s="801"/>
      <c r="Q142" s="801"/>
      <c r="R142" s="801"/>
      <c r="S142" s="801"/>
      <c r="T142" s="801"/>
      <c r="U142" s="801"/>
      <c r="V142" s="801"/>
      <c r="W142" s="801"/>
      <c r="AA142"/>
      <c r="AB142"/>
      <c r="AC142"/>
      <c r="AD142"/>
      <c r="AE142"/>
      <c r="AF142"/>
      <c r="AJ142" s="800"/>
    </row>
    <row r="143" spans="1:36" s="799" customFormat="1" outlineLevel="1">
      <c r="A143" s="804"/>
      <c r="B143" s="803"/>
      <c r="C143" s="732" t="s">
        <v>724</v>
      </c>
      <c r="D143" s="732"/>
      <c r="E143" s="732"/>
      <c r="F143" s="732"/>
      <c r="G143" s="732"/>
      <c r="H143" s="802">
        <f t="shared" ref="H143:W143" si="49">SUM(H112:H142)</f>
        <v>658.1702259644718</v>
      </c>
      <c r="I143" s="802">
        <f t="shared" si="49"/>
        <v>127.63800000000001</v>
      </c>
      <c r="J143" s="801">
        <f t="shared" si="49"/>
        <v>226.73799999999986</v>
      </c>
      <c r="K143" s="801">
        <f t="shared" si="49"/>
        <v>303.42800000000005</v>
      </c>
      <c r="L143" s="801">
        <f t="shared" si="49"/>
        <v>304.36499999999995</v>
      </c>
      <c r="M143" s="801">
        <f t="shared" si="49"/>
        <v>294.87000000000012</v>
      </c>
      <c r="N143" s="801">
        <f t="shared" si="49"/>
        <v>440.12700000000001</v>
      </c>
      <c r="O143" s="801">
        <f t="shared" si="49"/>
        <v>486.02979426967943</v>
      </c>
      <c r="P143" s="801">
        <f>SUM(P112:P142)</f>
        <v>-838.36380019733167</v>
      </c>
      <c r="Q143" s="801">
        <f t="shared" si="49"/>
        <v>360.91367821946631</v>
      </c>
      <c r="R143" s="801">
        <f t="shared" si="49"/>
        <v>368.13195178385564</v>
      </c>
      <c r="S143" s="801">
        <f t="shared" si="49"/>
        <v>375.49459081953273</v>
      </c>
      <c r="T143" s="801">
        <f t="shared" si="49"/>
        <v>383.00448263592335</v>
      </c>
      <c r="U143" s="801">
        <f t="shared" si="49"/>
        <v>390.66457228864181</v>
      </c>
      <c r="V143" s="801">
        <f t="shared" si="49"/>
        <v>398.47786373441471</v>
      </c>
      <c r="W143" s="801">
        <f t="shared" si="49"/>
        <v>406.44742100910298</v>
      </c>
      <c r="AA143"/>
      <c r="AB143"/>
      <c r="AC143"/>
      <c r="AD143"/>
      <c r="AE143"/>
      <c r="AF143"/>
      <c r="AJ143" s="800"/>
    </row>
    <row r="144" spans="1:36">
      <c r="C144" s="798"/>
      <c r="D144" s="798"/>
      <c r="E144" s="798"/>
      <c r="F144" s="798"/>
      <c r="G144" s="798"/>
      <c r="H144" s="796"/>
      <c r="I144" s="796"/>
      <c r="J144" s="796"/>
      <c r="K144" s="796"/>
      <c r="L144" s="796"/>
      <c r="M144" s="796"/>
      <c r="N144" s="796"/>
      <c r="O144" s="796"/>
      <c r="P144" s="796"/>
      <c r="Q144" s="796"/>
      <c r="R144" s="796"/>
      <c r="S144" s="796"/>
      <c r="T144" s="796"/>
      <c r="U144" s="796"/>
      <c r="V144" s="796"/>
      <c r="W144" s="796"/>
    </row>
    <row r="145" spans="1:36">
      <c r="H145" s="796"/>
      <c r="I145" s="796"/>
      <c r="J145" s="797"/>
      <c r="K145" s="796"/>
      <c r="L145" s="796"/>
      <c r="M145" s="796"/>
      <c r="N145" s="796"/>
      <c r="O145" s="796"/>
      <c r="P145" s="796"/>
      <c r="Q145" s="796"/>
      <c r="R145" s="796"/>
      <c r="S145" s="796"/>
      <c r="T145" s="796"/>
      <c r="U145" s="796"/>
      <c r="V145" s="796"/>
      <c r="W145" s="796"/>
    </row>
    <row r="146" spans="1:36">
      <c r="H146" s="796"/>
      <c r="I146" s="796"/>
      <c r="J146" s="796"/>
      <c r="K146" s="796"/>
      <c r="L146" s="796"/>
      <c r="M146" s="796"/>
      <c r="N146" s="796"/>
      <c r="O146" s="796"/>
      <c r="P146" s="796"/>
      <c r="Q146" s="796"/>
      <c r="R146" s="796"/>
      <c r="T146" s="731"/>
      <c r="U146" s="731"/>
      <c r="V146" s="731"/>
      <c r="W146" s="731"/>
    </row>
    <row r="147" spans="1:36" ht="12.75" customHeight="1" outlineLevel="1">
      <c r="C147" s="795" t="s">
        <v>725</v>
      </c>
      <c r="D147" s="795"/>
      <c r="E147" s="795"/>
      <c r="F147" s="795"/>
      <c r="G147" s="795"/>
      <c r="H147" s="418">
        <f t="shared" ref="H147:W147" si="50">H110</f>
        <v>39631</v>
      </c>
      <c r="I147" s="418">
        <f t="shared" si="50"/>
        <v>39996</v>
      </c>
      <c r="J147" s="418">
        <f t="shared" si="50"/>
        <v>40361</v>
      </c>
      <c r="K147" s="418">
        <f t="shared" si="50"/>
        <v>40726</v>
      </c>
      <c r="L147" s="418">
        <f t="shared" si="50"/>
        <v>41092</v>
      </c>
      <c r="M147" s="418">
        <f t="shared" si="50"/>
        <v>41457</v>
      </c>
      <c r="N147" s="418">
        <f t="shared" si="50"/>
        <v>41822</v>
      </c>
      <c r="O147" s="418">
        <f t="shared" si="50"/>
        <v>42187</v>
      </c>
      <c r="P147" s="418">
        <f t="shared" si="50"/>
        <v>42553</v>
      </c>
      <c r="Q147" s="418">
        <f t="shared" si="50"/>
        <v>42918</v>
      </c>
      <c r="R147" s="418">
        <f t="shared" si="50"/>
        <v>43283</v>
      </c>
      <c r="S147" s="418">
        <f t="shared" si="50"/>
        <v>43648</v>
      </c>
      <c r="T147" s="418">
        <f t="shared" si="50"/>
        <v>44014</v>
      </c>
      <c r="U147" s="418">
        <f t="shared" si="50"/>
        <v>44379</v>
      </c>
      <c r="V147" s="418">
        <f t="shared" si="50"/>
        <v>44744</v>
      </c>
      <c r="W147" s="418">
        <f t="shared" si="50"/>
        <v>45109</v>
      </c>
    </row>
    <row r="148" spans="1:36" ht="11.25" customHeight="1" outlineLevel="1">
      <c r="H148" s="794"/>
      <c r="I148" s="794"/>
      <c r="J148" s="794"/>
      <c r="K148" s="794"/>
      <c r="L148" s="794"/>
      <c r="M148" s="794"/>
      <c r="N148" s="794"/>
      <c r="O148" s="793"/>
      <c r="P148" s="793"/>
      <c r="Q148" s="793"/>
      <c r="R148" s="793"/>
      <c r="S148" s="793"/>
      <c r="T148" s="793"/>
      <c r="U148" s="793"/>
      <c r="V148" s="793"/>
      <c r="W148" s="793"/>
    </row>
    <row r="149" spans="1:36" s="751" customFormat="1" ht="11.25" customHeight="1" outlineLevel="1">
      <c r="A149" s="754"/>
      <c r="C149" s="752" t="s">
        <v>726</v>
      </c>
      <c r="D149" s="752"/>
      <c r="E149" s="752"/>
      <c r="F149" s="752"/>
      <c r="G149" s="752"/>
      <c r="H149" s="792">
        <f t="shared" ref="H149:N149" si="51">H70</f>
        <v>10</v>
      </c>
      <c r="I149" s="785">
        <f t="shared" si="51"/>
        <v>10</v>
      </c>
      <c r="J149" s="785">
        <f t="shared" si="51"/>
        <v>10</v>
      </c>
      <c r="K149" s="785">
        <f t="shared" si="51"/>
        <v>10</v>
      </c>
      <c r="L149" s="785">
        <f t="shared" si="51"/>
        <v>10</v>
      </c>
      <c r="M149" s="785">
        <f t="shared" si="51"/>
        <v>10</v>
      </c>
      <c r="N149" s="785">
        <f t="shared" si="51"/>
        <v>10</v>
      </c>
      <c r="O149" s="785">
        <f t="shared" ref="O149:W149" si="52">N149</f>
        <v>10</v>
      </c>
      <c r="P149" s="785">
        <f t="shared" si="52"/>
        <v>10</v>
      </c>
      <c r="Q149" s="785">
        <f t="shared" si="52"/>
        <v>10</v>
      </c>
      <c r="R149" s="785">
        <f t="shared" si="52"/>
        <v>10</v>
      </c>
      <c r="S149" s="785">
        <f t="shared" si="52"/>
        <v>10</v>
      </c>
      <c r="T149" s="785">
        <f t="shared" si="52"/>
        <v>10</v>
      </c>
      <c r="U149" s="785">
        <f t="shared" si="52"/>
        <v>10</v>
      </c>
      <c r="V149" s="785">
        <f t="shared" si="52"/>
        <v>10</v>
      </c>
      <c r="W149" s="785">
        <f t="shared" si="52"/>
        <v>10</v>
      </c>
      <c r="AA149"/>
      <c r="AB149"/>
      <c r="AC149"/>
      <c r="AD149"/>
      <c r="AE149"/>
      <c r="AF149"/>
      <c r="AJ149" s="762"/>
    </row>
    <row r="150" spans="1:36" s="751" customFormat="1" ht="11.25" customHeight="1" outlineLevel="1">
      <c r="A150" s="754"/>
      <c r="C150" s="752" t="s">
        <v>0</v>
      </c>
      <c r="D150" s="789"/>
      <c r="E150" s="789"/>
      <c r="F150" s="789"/>
      <c r="G150" s="789"/>
      <c r="H150" s="791">
        <v>0</v>
      </c>
      <c r="I150" s="790"/>
      <c r="J150" s="790"/>
      <c r="K150" s="785"/>
      <c r="L150" s="785"/>
      <c r="M150" s="785"/>
      <c r="N150" s="785"/>
      <c r="O150" s="785"/>
      <c r="P150" s="785"/>
      <c r="Q150" s="785"/>
      <c r="R150" s="785"/>
      <c r="S150" s="785"/>
      <c r="T150" s="785"/>
      <c r="U150" s="785"/>
      <c r="V150" s="785"/>
      <c r="W150" s="785"/>
      <c r="AA150"/>
      <c r="AB150"/>
      <c r="AC150"/>
      <c r="AD150"/>
      <c r="AE150"/>
      <c r="AF150"/>
      <c r="AJ150" s="762"/>
    </row>
    <row r="151" spans="1:36" s="751" customFormat="1" ht="11.25" customHeight="1" outlineLevel="1">
      <c r="A151" s="754"/>
      <c r="C151" s="752" t="s">
        <v>1</v>
      </c>
      <c r="D151" s="789"/>
      <c r="E151" s="789"/>
      <c r="F151" s="789"/>
      <c r="G151" s="789"/>
      <c r="H151" s="788">
        <v>0.98</v>
      </c>
      <c r="AA151"/>
      <c r="AB151"/>
      <c r="AC151"/>
      <c r="AD151"/>
      <c r="AE151"/>
      <c r="AF151"/>
      <c r="AJ151" s="762"/>
    </row>
    <row r="152" spans="1:36" s="752" customFormat="1" ht="11.25" customHeight="1" outlineLevel="1">
      <c r="A152" s="780"/>
      <c r="C152" s="752" t="s">
        <v>2</v>
      </c>
      <c r="H152" s="787">
        <v>2</v>
      </c>
      <c r="AA152"/>
      <c r="AB152"/>
      <c r="AC152"/>
      <c r="AD152"/>
      <c r="AE152"/>
      <c r="AF152"/>
      <c r="AJ152" s="762"/>
    </row>
    <row r="153" spans="1:36" s="752" customFormat="1" ht="11.25" customHeight="1" outlineLevel="1">
      <c r="A153" s="780"/>
      <c r="C153" s="752" t="s">
        <v>3</v>
      </c>
      <c r="H153" s="786">
        <f>H24*(1-H150)</f>
        <v>523.63556521478438</v>
      </c>
      <c r="I153" s="786">
        <f t="shared" ref="I153:W153" si="53">I143*(1-$H$150)</f>
        <v>127.63800000000001</v>
      </c>
      <c r="J153" s="786">
        <f t="shared" si="53"/>
        <v>226.73799999999986</v>
      </c>
      <c r="K153" s="786">
        <f t="shared" si="53"/>
        <v>303.42800000000005</v>
      </c>
      <c r="L153" s="786">
        <f t="shared" si="53"/>
        <v>304.36499999999995</v>
      </c>
      <c r="M153" s="786">
        <f t="shared" si="53"/>
        <v>294.87000000000012</v>
      </c>
      <c r="N153" s="786">
        <f t="shared" si="53"/>
        <v>440.12700000000001</v>
      </c>
      <c r="O153" s="786">
        <f t="shared" si="53"/>
        <v>486.02979426967943</v>
      </c>
      <c r="P153" s="786">
        <f t="shared" si="53"/>
        <v>-838.36380019733167</v>
      </c>
      <c r="Q153" s="786">
        <f t="shared" si="53"/>
        <v>360.91367821946631</v>
      </c>
      <c r="R153" s="786">
        <f t="shared" si="53"/>
        <v>368.13195178385564</v>
      </c>
      <c r="S153" s="786">
        <f t="shared" si="53"/>
        <v>375.49459081953273</v>
      </c>
      <c r="T153" s="786">
        <f t="shared" si="53"/>
        <v>383.00448263592335</v>
      </c>
      <c r="U153" s="786">
        <f t="shared" si="53"/>
        <v>390.66457228864181</v>
      </c>
      <c r="V153" s="786">
        <f t="shared" si="53"/>
        <v>398.47786373441471</v>
      </c>
      <c r="W153" s="786">
        <f t="shared" si="53"/>
        <v>406.44742100910298</v>
      </c>
      <c r="AA153"/>
      <c r="AB153"/>
      <c r="AC153"/>
      <c r="AD153"/>
      <c r="AE153"/>
      <c r="AF153"/>
      <c r="AJ153" s="762"/>
    </row>
    <row r="154" spans="1:36" s="752" customFormat="1" ht="11.25" customHeight="1" outlineLevel="1">
      <c r="A154" s="780"/>
      <c r="B154" s="786"/>
      <c r="C154" s="752" t="s">
        <v>4</v>
      </c>
      <c r="H154" s="778">
        <f>$H$24/$H$149*H152*(1-H150)</f>
        <v>104.72711304295687</v>
      </c>
      <c r="I154" s="781">
        <f>IF(SUM($H154:H154)+H154*$H$151&lt;$H$153,H154*$H$151,$H$153-SUM($H154:H154))</f>
        <v>102.63257078209773</v>
      </c>
      <c r="J154" s="781">
        <f>IF(SUM($H154:I154)+I154*$H$151&lt;$H$153,I154*$H$151,$H$153-SUM($H154:I154))</f>
        <v>100.57991936645577</v>
      </c>
      <c r="K154" s="781">
        <f>IF(SUM($H154:J154)+J154*$H$151&lt;$H$153,J154*$H$151,$H$153-SUM($H154:J154))</f>
        <v>98.568320979126653</v>
      </c>
      <c r="L154" s="781">
        <f>IF(SUM($H154:K154)+K154*$H$151&lt;$H$153,K154*$H$151,$H$153-SUM($H154:K154))</f>
        <v>96.596954559544116</v>
      </c>
      <c r="M154" s="781">
        <f>IF(SUM($H154:L154)+L154*$H$151&lt;$H$153,L154*$H$151,$H$153-SUM($H154:L154))</f>
        <v>20.530686484603166</v>
      </c>
      <c r="N154" s="781">
        <f>IF(SUM($H154:M154)+M154*$H$151&lt;$H$153,M154*$H$151,$H$153-SUM($H154:M154))</f>
        <v>0</v>
      </c>
      <c r="O154" s="781">
        <f>IF(SUM($H154:N154)+N154*$H$151&lt;$H$153,N154*$H$151,$H$153-SUM($H154:N154))</f>
        <v>0</v>
      </c>
      <c r="P154" s="781">
        <f>IF(SUM($H154:O154)+O154*$H$151&lt;$H$153,O154*$H$151,$H$153-SUM($H154:O154))</f>
        <v>0</v>
      </c>
      <c r="Q154" s="781">
        <f>IF(SUM($H154:P154)+P154*$H$151&lt;$H$153,P154*$H$151,$H$153-SUM($H154:P154))</f>
        <v>0</v>
      </c>
      <c r="R154" s="781">
        <f>IF(SUM($H154:Q154)+Q154*$H$151&lt;$H$153,Q154*$H$151,$H$153-SUM($H154:Q154))</f>
        <v>0</v>
      </c>
      <c r="S154" s="781">
        <f>IF(SUM($H154:R154)+R154*$H$151&lt;$H$153,R154*$H$151,$H$153-SUM($H154:R154))</f>
        <v>0</v>
      </c>
      <c r="T154" s="781">
        <f>IF(SUM($H154:S154)+S154*$H$151&lt;$H$153,S154*$H$151,$H$153-SUM($H154:S154))</f>
        <v>0</v>
      </c>
      <c r="U154" s="781">
        <f>IF(SUM($H154:T154)+T154*$H$151&lt;$H$153,T154*$H$151,$H$153-SUM($H154:T154))</f>
        <v>0</v>
      </c>
      <c r="V154" s="781">
        <f>IF(SUM($H154:U154)+U154*$H$151&lt;$H$153,U154*$H$151,$H$153-SUM($H154:U154))</f>
        <v>0</v>
      </c>
      <c r="W154" s="781">
        <f>IF(SUM($H154:V154)+V154*$H$151&lt;$H$153,V154*$H$151,$H$153-SUM($H154:V154))</f>
        <v>0</v>
      </c>
      <c r="AA154"/>
      <c r="AB154"/>
      <c r="AC154"/>
      <c r="AD154"/>
      <c r="AE154"/>
      <c r="AF154"/>
      <c r="AJ154" s="762"/>
    </row>
    <row r="155" spans="1:36" s="751" customFormat="1" ht="11.25" customHeight="1" outlineLevel="1">
      <c r="A155" s="754"/>
      <c r="B155" s="785"/>
      <c r="C155" s="784">
        <f t="array" ref="C155:C169">TRANSPOSE(H147:W147)</f>
        <v>39631</v>
      </c>
      <c r="D155" s="773"/>
      <c r="E155" s="773"/>
      <c r="F155" s="773"/>
      <c r="G155" s="773"/>
      <c r="H155" s="783"/>
      <c r="I155" s="783">
        <f>I$22/I$149*(1-$H$150)</f>
        <v>12.7638</v>
      </c>
      <c r="J155" s="783">
        <f>(IF(COUNT($I155:I155)&lt;$I$149,I155,0))</f>
        <v>12.7638</v>
      </c>
      <c r="K155" s="783">
        <f>(IF(COUNT($I155:J155)&lt;$I$149,J155,0))</f>
        <v>12.7638</v>
      </c>
      <c r="L155" s="783">
        <f>(IF(COUNT($I155:K155)&lt;$I$149,K155,0))</f>
        <v>12.7638</v>
      </c>
      <c r="M155" s="783">
        <f>(IF(COUNT($I155:L155)&lt;$I$149,L155,0))</f>
        <v>12.7638</v>
      </c>
      <c r="N155" s="783">
        <f>(IF(COUNT($I155:M155)&lt;$I$149,M155,0))</f>
        <v>12.7638</v>
      </c>
      <c r="O155" s="783">
        <f>(IF(COUNT($I155:N155)&lt;$I$149,N155,0))</f>
        <v>12.7638</v>
      </c>
      <c r="P155" s="783">
        <f>(IF(COUNT($I155:O155)&lt;$I$149,O155,0))</f>
        <v>12.7638</v>
      </c>
      <c r="Q155" s="783">
        <f>(IF(COUNT($I155:P155)&lt;$I$149,P155,0))</f>
        <v>12.7638</v>
      </c>
      <c r="R155" s="783">
        <f>(IF(COUNT($I155:Q155)&lt;$I$149,Q155,0))</f>
        <v>12.7638</v>
      </c>
      <c r="S155" s="783">
        <f>(IF(COUNT($I155:R155)&lt;$I$149,R155,0))</f>
        <v>0</v>
      </c>
      <c r="T155" s="783">
        <f>(IF(COUNT($I155:S155)&lt;$I$149,S155,0))</f>
        <v>0</v>
      </c>
      <c r="U155" s="783">
        <f>(IF(COUNT($I155:T155)&lt;$I$149,T155,0))</f>
        <v>0</v>
      </c>
      <c r="V155" s="783">
        <f>(IF(COUNT($I155:U155)&lt;$I$149,U155,0))</f>
        <v>0</v>
      </c>
      <c r="W155" s="783">
        <f>(IF(COUNT($I155:V155)&lt;$I$149,V155,0))</f>
        <v>0</v>
      </c>
      <c r="X155" s="783"/>
      <c r="Y155" s="783"/>
      <c r="Z155" s="783"/>
      <c r="AA155"/>
      <c r="AB155"/>
      <c r="AC155"/>
      <c r="AD155"/>
      <c r="AE155"/>
      <c r="AF155"/>
      <c r="AJ155" s="762"/>
    </row>
    <row r="156" spans="1:36" s="751" customFormat="1" ht="11.25" customHeight="1" outlineLevel="1">
      <c r="A156" s="754"/>
      <c r="B156" s="785"/>
      <c r="C156" s="784">
        <v>39996</v>
      </c>
      <c r="D156" s="773"/>
      <c r="E156" s="773"/>
      <c r="F156" s="773"/>
      <c r="G156" s="773"/>
      <c r="H156" s="783"/>
      <c r="I156" s="783"/>
      <c r="J156" s="783">
        <f>J$22/J$149*(1-$H$150)</f>
        <v>22.673799999999986</v>
      </c>
      <c r="K156" s="783">
        <f>(IF(COUNT($J156:J156)&lt;$J$149,J156,0))</f>
        <v>22.673799999999986</v>
      </c>
      <c r="L156" s="783">
        <f>(IF(COUNT($J156:K156)&lt;$J$149,K156,0))</f>
        <v>22.673799999999986</v>
      </c>
      <c r="M156" s="783">
        <f>(IF(COUNT($J156:L156)&lt;$J$149,L156,0))</f>
        <v>22.673799999999986</v>
      </c>
      <c r="N156" s="783">
        <f>(IF(COUNT($J156:M156)&lt;$J$149,M156,0))</f>
        <v>22.673799999999986</v>
      </c>
      <c r="O156" s="783">
        <f>(IF(COUNT($J156:N156)&lt;$J$149,N156,0))</f>
        <v>22.673799999999986</v>
      </c>
      <c r="P156" s="783">
        <f>(IF(COUNT($J156:O156)&lt;$J$149,O156,0))</f>
        <v>22.673799999999986</v>
      </c>
      <c r="Q156" s="783">
        <f>(IF(COUNT($J156:P156)&lt;$J$149,P156,0))</f>
        <v>22.673799999999986</v>
      </c>
      <c r="R156" s="783">
        <f>(IF(COUNT($J156:Q156)&lt;$J$149,Q156,0))</f>
        <v>22.673799999999986</v>
      </c>
      <c r="S156" s="783">
        <f>(IF(COUNT($J156:R156)&lt;$J$149,R156,0))</f>
        <v>22.673799999999986</v>
      </c>
      <c r="T156" s="783">
        <f>(IF(COUNT($J156:S156)&lt;$J$149,S156,0))</f>
        <v>0</v>
      </c>
      <c r="U156" s="783">
        <f>(IF(COUNT($J156:T156)&lt;$J$149,T156,0))</f>
        <v>0</v>
      </c>
      <c r="V156" s="783">
        <f>(IF(COUNT($J156:U156)&lt;$J$149,U156,0))</f>
        <v>0</v>
      </c>
      <c r="W156" s="783">
        <f>(IF(COUNT($J156:V156)&lt;$J$149,V156,0))</f>
        <v>0</v>
      </c>
      <c r="X156" s="783"/>
      <c r="Y156" s="783"/>
      <c r="Z156" s="783"/>
      <c r="AA156"/>
      <c r="AB156"/>
      <c r="AC156"/>
      <c r="AD156"/>
      <c r="AE156"/>
      <c r="AF156"/>
      <c r="AJ156" s="762"/>
    </row>
    <row r="157" spans="1:36" s="751" customFormat="1" ht="11.25" customHeight="1" outlineLevel="1">
      <c r="A157" s="754"/>
      <c r="B157" s="785"/>
      <c r="C157" s="784">
        <v>40361</v>
      </c>
      <c r="D157" s="773"/>
      <c r="E157" s="773"/>
      <c r="F157" s="773"/>
      <c r="G157" s="773"/>
      <c r="H157" s="783"/>
      <c r="I157" s="783"/>
      <c r="J157" s="783"/>
      <c r="K157" s="783">
        <f>K$22/K$149*(1-$H$150)</f>
        <v>30.342800000000004</v>
      </c>
      <c r="L157" s="783">
        <f>(IF(COUNT($J157:K157)&lt;$K$149,K157,0))</f>
        <v>30.342800000000004</v>
      </c>
      <c r="M157" s="783">
        <f>(IF(COUNT($J157:L157)&lt;$K$149,L157,0))</f>
        <v>30.342800000000004</v>
      </c>
      <c r="N157" s="783">
        <f>(IF(COUNT($J157:M157)&lt;$K$149,M157,0))</f>
        <v>30.342800000000004</v>
      </c>
      <c r="O157" s="783">
        <f>(IF(COUNT($J157:N157)&lt;$K$149,N157,0))</f>
        <v>30.342800000000004</v>
      </c>
      <c r="P157" s="783">
        <f>(IF(COUNT($J157:O157)&lt;$K$149,O157,0))</f>
        <v>30.342800000000004</v>
      </c>
      <c r="Q157" s="783">
        <f>(IF(COUNT($J157:P157)&lt;$K$149,P157,0))</f>
        <v>30.342800000000004</v>
      </c>
      <c r="R157" s="783">
        <f>(IF(COUNT($J157:Q157)&lt;$K$149,Q157,0))</f>
        <v>30.342800000000004</v>
      </c>
      <c r="S157" s="783">
        <f>(IF(COUNT($J157:R157)&lt;$K$149,R157,0))</f>
        <v>30.342800000000004</v>
      </c>
      <c r="T157" s="783">
        <f>(IF(COUNT($J157:S157)&lt;$K$149,S157,0))</f>
        <v>30.342800000000004</v>
      </c>
      <c r="U157" s="783">
        <f>(IF(COUNT($J157:T157)&lt;$K$149,T157,0))</f>
        <v>0</v>
      </c>
      <c r="V157" s="783">
        <f>(IF(COUNT($J157:U157)&lt;$K$149,U157,0))</f>
        <v>0</v>
      </c>
      <c r="W157" s="783">
        <f>(IF(COUNT($J157:V157)&lt;$K$149,V157,0))</f>
        <v>0</v>
      </c>
      <c r="AA157"/>
      <c r="AB157"/>
      <c r="AC157"/>
      <c r="AD157"/>
      <c r="AE157"/>
      <c r="AF157"/>
      <c r="AJ157" s="762"/>
    </row>
    <row r="158" spans="1:36" s="751" customFormat="1" ht="11.25" customHeight="1" outlineLevel="1">
      <c r="A158" s="754"/>
      <c r="B158" s="785"/>
      <c r="C158" s="784">
        <v>40726</v>
      </c>
      <c r="D158" s="773"/>
      <c r="E158" s="773"/>
      <c r="F158" s="773"/>
      <c r="G158" s="773"/>
      <c r="H158" s="783"/>
      <c r="I158" s="783"/>
      <c r="J158" s="783"/>
      <c r="K158" s="783"/>
      <c r="L158" s="783">
        <f>L$22/L$149*(1-$H$150)</f>
        <v>30.436499999999995</v>
      </c>
      <c r="M158" s="783">
        <f>(IF(COUNT($L158:L158)&lt;$L$149,L158,0))</f>
        <v>30.436499999999995</v>
      </c>
      <c r="N158" s="783">
        <f>(IF(COUNT($L158:M158)&lt;$L$149,M158,0))</f>
        <v>30.436499999999995</v>
      </c>
      <c r="O158" s="783">
        <f>(IF(COUNT($L158:N158)&lt;$L$149,N158,0))</f>
        <v>30.436499999999995</v>
      </c>
      <c r="P158" s="783">
        <f>(IF(COUNT($L158:O158)&lt;$L$149,O158,0))</f>
        <v>30.436499999999995</v>
      </c>
      <c r="Q158" s="783">
        <f>(IF(COUNT($L158:P158)&lt;$L$149,P158,0))</f>
        <v>30.436499999999995</v>
      </c>
      <c r="R158" s="783">
        <f>(IF(COUNT($L158:Q158)&lt;$L$149,Q158,0))</f>
        <v>30.436499999999995</v>
      </c>
      <c r="S158" s="783">
        <f>(IF(COUNT($L158:R158)&lt;$L$149,R158,0))</f>
        <v>30.436499999999995</v>
      </c>
      <c r="T158" s="783">
        <f>(IF(COUNT($L158:S158)&lt;$L$149,S158,0))</f>
        <v>30.436499999999995</v>
      </c>
      <c r="U158" s="783">
        <f>(IF(COUNT($L158:T158)&lt;$L$149,T158,0))</f>
        <v>30.436499999999995</v>
      </c>
      <c r="V158" s="783">
        <f>(IF(COUNT($L158:U158)&lt;$L$149,U158,0))</f>
        <v>0</v>
      </c>
      <c r="W158" s="783">
        <f>(IF(COUNT($L158:V158)&lt;$L$149,V158,0))</f>
        <v>0</v>
      </c>
      <c r="X158" s="783"/>
      <c r="Y158" s="783"/>
      <c r="Z158" s="783"/>
      <c r="AA158"/>
      <c r="AB158"/>
      <c r="AC158"/>
      <c r="AD158"/>
      <c r="AE158"/>
      <c r="AF158"/>
      <c r="AJ158" s="762"/>
    </row>
    <row r="159" spans="1:36" s="751" customFormat="1" ht="11.25" customHeight="1" outlineLevel="1">
      <c r="A159" s="754"/>
      <c r="B159" s="785"/>
      <c r="C159" s="784">
        <v>41092</v>
      </c>
      <c r="D159" s="773"/>
      <c r="E159" s="773"/>
      <c r="F159" s="773"/>
      <c r="G159" s="773"/>
      <c r="H159" s="783"/>
      <c r="I159" s="783"/>
      <c r="J159" s="783"/>
      <c r="K159" s="783"/>
      <c r="L159" s="783"/>
      <c r="M159" s="783">
        <f>M$22/M$149*(1-$H$150)</f>
        <v>29.487000000000013</v>
      </c>
      <c r="N159" s="783">
        <f>(IF(COUNT($M159:M159)&lt;$M$149,M159,0))</f>
        <v>29.487000000000013</v>
      </c>
      <c r="O159" s="783">
        <f>(IF(COUNT($M159:N159)&lt;$M$149,N159,0))</f>
        <v>29.487000000000013</v>
      </c>
      <c r="P159" s="783">
        <f>(IF(COUNT($M159:O159)&lt;$M$149,O159,0))</f>
        <v>29.487000000000013</v>
      </c>
      <c r="Q159" s="783">
        <f>(IF(COUNT($M159:P159)&lt;$M$149,P159,0))</f>
        <v>29.487000000000013</v>
      </c>
      <c r="R159" s="783">
        <f>(IF(COUNT($M159:Q159)&lt;$M$149,Q159,0))</f>
        <v>29.487000000000013</v>
      </c>
      <c r="S159" s="783">
        <f>(IF(COUNT($M159:R159)&lt;$M$149,R159,0))</f>
        <v>29.487000000000013</v>
      </c>
      <c r="T159" s="783">
        <f>(IF(COUNT($M159:S159)&lt;$M$149,S159,0))</f>
        <v>29.487000000000013</v>
      </c>
      <c r="U159" s="783">
        <f>(IF(COUNT($M159:T159)&lt;$M$149,T159,0))</f>
        <v>29.487000000000013</v>
      </c>
      <c r="V159" s="783">
        <f>(IF(COUNT($M159:U159)&lt;$M$149,U159,0))</f>
        <v>29.487000000000013</v>
      </c>
      <c r="W159" s="783">
        <f>(IF(COUNT($M159:V159)&lt;$M$149,V159,0))</f>
        <v>0</v>
      </c>
      <c r="AA159"/>
      <c r="AB159"/>
      <c r="AC159"/>
      <c r="AD159"/>
      <c r="AE159"/>
      <c r="AF159"/>
      <c r="AJ159" s="762"/>
    </row>
    <row r="160" spans="1:36" s="751" customFormat="1" ht="11.25" customHeight="1" outlineLevel="1">
      <c r="A160" s="754"/>
      <c r="B160" s="785"/>
      <c r="C160" s="784">
        <v>41457</v>
      </c>
      <c r="D160" s="773"/>
      <c r="E160" s="773"/>
      <c r="F160" s="773"/>
      <c r="G160" s="773"/>
      <c r="H160" s="783"/>
      <c r="I160" s="783"/>
      <c r="J160" s="783"/>
      <c r="K160" s="783"/>
      <c r="L160" s="783"/>
      <c r="M160" s="783"/>
      <c r="N160" s="783">
        <f>N$22/N$149*(1-$H$150)</f>
        <v>44.012700000000002</v>
      </c>
      <c r="O160" s="783">
        <f>(IF(COUNT($N160:N160)&lt;$N$149,N160,0))</f>
        <v>44.012700000000002</v>
      </c>
      <c r="P160" s="783">
        <f>(IF(COUNT($N160:O160)&lt;$N$149,O160,0))</f>
        <v>44.012700000000002</v>
      </c>
      <c r="Q160" s="783">
        <f>(IF(COUNT($N160:P160)&lt;$N$149,P160,0))</f>
        <v>44.012700000000002</v>
      </c>
      <c r="R160" s="783">
        <f>(IF(COUNT($N160:Q160)&lt;$N$149,Q160,0))</f>
        <v>44.012700000000002</v>
      </c>
      <c r="S160" s="783">
        <f>(IF(COUNT($N160:R160)&lt;$N$149,R160,0))</f>
        <v>44.012700000000002</v>
      </c>
      <c r="T160" s="783">
        <f>(IF(COUNT($N160:S160)&lt;$N$149,S160,0))</f>
        <v>44.012700000000002</v>
      </c>
      <c r="U160" s="783">
        <f>(IF(COUNT($N160:T160)&lt;$N$149,T160,0))</f>
        <v>44.012700000000002</v>
      </c>
      <c r="V160" s="783">
        <f>(IF(COUNT($N160:U160)&lt;$N$149,U160,0))</f>
        <v>44.012700000000002</v>
      </c>
      <c r="W160" s="783">
        <f>(IF(COUNT($N160:V160)&lt;$N$149,V160,0))</f>
        <v>44.012700000000002</v>
      </c>
      <c r="X160" s="783"/>
      <c r="Y160" s="783"/>
      <c r="Z160" s="783"/>
      <c r="AA160"/>
      <c r="AB160"/>
      <c r="AC160"/>
      <c r="AD160"/>
      <c r="AE160"/>
      <c r="AF160"/>
      <c r="AJ160" s="762"/>
    </row>
    <row r="161" spans="1:36" s="751" customFormat="1" ht="11.25" customHeight="1" outlineLevel="1">
      <c r="A161" s="754"/>
      <c r="B161" s="785"/>
      <c r="C161" s="784">
        <v>41822</v>
      </c>
      <c r="D161" s="773"/>
      <c r="E161" s="773"/>
      <c r="F161" s="773"/>
      <c r="G161" s="773"/>
      <c r="H161" s="783"/>
      <c r="I161" s="783"/>
      <c r="J161" s="783"/>
      <c r="K161" s="783"/>
      <c r="L161" s="783"/>
      <c r="M161" s="783"/>
      <c r="N161" s="783"/>
      <c r="O161" s="783">
        <f>O$22/O$149*(1-$H$150)</f>
        <v>48.602979426967941</v>
      </c>
      <c r="P161" s="783">
        <f>(IF(COUNT($O161:O161)&lt;$O$149,O161,0))</f>
        <v>48.602979426967941</v>
      </c>
      <c r="Q161" s="783">
        <f>(IF(COUNT($O161:P161)&lt;$O$149,P161,0))</f>
        <v>48.602979426967941</v>
      </c>
      <c r="R161" s="783">
        <f>(IF(COUNT($O161:Q161)&lt;$O$149,Q161,0))</f>
        <v>48.602979426967941</v>
      </c>
      <c r="S161" s="783">
        <f>(IF(COUNT($O161:R161)&lt;$O$149,R161,0))</f>
        <v>48.602979426967941</v>
      </c>
      <c r="T161" s="783">
        <f>(IF(COUNT($O161:S161)&lt;$O$149,S161,0))</f>
        <v>48.602979426967941</v>
      </c>
      <c r="U161" s="783">
        <f>(IF(COUNT($O161:T161)&lt;$O$149,T161,0))</f>
        <v>48.602979426967941</v>
      </c>
      <c r="V161" s="783">
        <f>(IF(COUNT($O161:U161)&lt;$O$149,U161,0))</f>
        <v>48.602979426967941</v>
      </c>
      <c r="W161" s="783">
        <f>(IF(COUNT($O161:V161)&lt;$O$149,V161,0))</f>
        <v>48.602979426967941</v>
      </c>
      <c r="AA161"/>
      <c r="AB161"/>
      <c r="AC161"/>
      <c r="AD161"/>
      <c r="AE161"/>
      <c r="AF161"/>
      <c r="AJ161" s="762"/>
    </row>
    <row r="162" spans="1:36" s="751" customFormat="1" ht="11.25" customHeight="1" outlineLevel="1">
      <c r="A162" s="754"/>
      <c r="B162" s="785"/>
      <c r="C162" s="784">
        <v>42187</v>
      </c>
      <c r="D162" s="773"/>
      <c r="E162" s="773"/>
      <c r="F162" s="773"/>
      <c r="G162" s="773"/>
      <c r="H162" s="783"/>
      <c r="I162" s="783"/>
      <c r="J162" s="783"/>
      <c r="K162" s="783"/>
      <c r="L162" s="783"/>
      <c r="M162" s="783"/>
      <c r="N162" s="783"/>
      <c r="O162" s="783"/>
      <c r="P162" s="783">
        <f>P$22/P$149*(1-$H$150)</f>
        <v>-83.83638001973317</v>
      </c>
      <c r="Q162" s="783">
        <f>(IF(COUNT($P162:P162)&lt;$P$149,P162,0))</f>
        <v>-83.83638001973317</v>
      </c>
      <c r="R162" s="783">
        <f>(IF(COUNT($P162:Q162)&lt;$P$149,Q162,0))</f>
        <v>-83.83638001973317</v>
      </c>
      <c r="S162" s="783">
        <f>(IF(COUNT($P162:R162)&lt;$P$149,R162,0))</f>
        <v>-83.83638001973317</v>
      </c>
      <c r="T162" s="783">
        <f>(IF(COUNT($P162:S162)&lt;$P$149,S162,0))</f>
        <v>-83.83638001973317</v>
      </c>
      <c r="U162" s="783">
        <f>(IF(COUNT($P162:T162)&lt;$P$149,T162,0))</f>
        <v>-83.83638001973317</v>
      </c>
      <c r="V162" s="783">
        <f>(IF(COUNT($P162:U162)&lt;$P$149,U162,0))</f>
        <v>-83.83638001973317</v>
      </c>
      <c r="W162" s="783">
        <f>(IF(COUNT($P162:V162)&lt;$P$149,V162,0))</f>
        <v>-83.83638001973317</v>
      </c>
      <c r="AA162"/>
      <c r="AB162"/>
      <c r="AC162"/>
      <c r="AD162"/>
      <c r="AE162"/>
      <c r="AF162"/>
      <c r="AJ162" s="762"/>
    </row>
    <row r="163" spans="1:36" s="751" customFormat="1" ht="11.25" customHeight="1" outlineLevel="1">
      <c r="A163" s="754"/>
      <c r="B163" s="785"/>
      <c r="C163" s="784">
        <v>42553</v>
      </c>
      <c r="D163" s="773"/>
      <c r="E163" s="773"/>
      <c r="F163" s="773"/>
      <c r="G163" s="773"/>
      <c r="H163" s="783"/>
      <c r="I163" s="783"/>
      <c r="J163" s="783"/>
      <c r="K163" s="783"/>
      <c r="L163" s="783"/>
      <c r="M163" s="783"/>
      <c r="N163" s="783"/>
      <c r="O163" s="783"/>
      <c r="P163" s="783"/>
      <c r="Q163" s="783">
        <f>Q$22/Q$149*(1-$H$150)</f>
        <v>36.091367821946633</v>
      </c>
      <c r="R163" s="783">
        <f>(IF(COUNT($Q163:Q163)&lt;$Q$149,Q163,0))</f>
        <v>36.091367821946633</v>
      </c>
      <c r="S163" s="783">
        <f>(IF(COUNT($Q163:R163)&lt;$Q$149,R163,0))</f>
        <v>36.091367821946633</v>
      </c>
      <c r="T163" s="783">
        <f>(IF(COUNT($Q163:S163)&lt;$Q$149,S163,0))</f>
        <v>36.091367821946633</v>
      </c>
      <c r="U163" s="783">
        <f>(IF(COUNT($Q163:T163)&lt;$Q$149,T163,0))</f>
        <v>36.091367821946633</v>
      </c>
      <c r="V163" s="783">
        <f>(IF(COUNT($Q163:U163)&lt;$Q$149,U163,0))</f>
        <v>36.091367821946633</v>
      </c>
      <c r="W163" s="783">
        <f>(IF(COUNT($Q163:V163)&lt;$Q$149,V163,0))</f>
        <v>36.091367821946633</v>
      </c>
      <c r="AA163"/>
      <c r="AB163"/>
      <c r="AC163"/>
      <c r="AD163"/>
      <c r="AE163"/>
      <c r="AF163"/>
      <c r="AJ163" s="762"/>
    </row>
    <row r="164" spans="1:36" s="751" customFormat="1" ht="11.25" customHeight="1" outlineLevel="1">
      <c r="A164" s="754"/>
      <c r="B164" s="785"/>
      <c r="C164" s="784">
        <v>42918</v>
      </c>
      <c r="D164" s="773"/>
      <c r="E164" s="773"/>
      <c r="F164" s="773"/>
      <c r="G164" s="773"/>
      <c r="H164" s="783"/>
      <c r="I164" s="783"/>
      <c r="J164" s="783"/>
      <c r="K164" s="783"/>
      <c r="L164" s="783"/>
      <c r="M164" s="783"/>
      <c r="N164" s="783"/>
      <c r="O164" s="783"/>
      <c r="P164" s="783"/>
      <c r="Q164" s="783"/>
      <c r="R164" s="783">
        <f>R$22/R$149*(1-$H$150)</f>
        <v>36.813195178385563</v>
      </c>
      <c r="S164" s="783">
        <f>(IF(COUNT($R164:R164)&lt;$R$149,R164,0))</f>
        <v>36.813195178385563</v>
      </c>
      <c r="T164" s="783">
        <f>(IF(COUNT($R164:S164)&lt;$R$149,S164,0))</f>
        <v>36.813195178385563</v>
      </c>
      <c r="U164" s="783">
        <f>(IF(COUNT($R164:T164)&lt;$R$149,T164,0))</f>
        <v>36.813195178385563</v>
      </c>
      <c r="V164" s="783">
        <f>(IF(COUNT($R164:U164)&lt;$R$149,U164,0))</f>
        <v>36.813195178385563</v>
      </c>
      <c r="W164" s="783">
        <f>(IF(COUNT($R164:V164)&lt;$R$149,V164,0))</f>
        <v>36.813195178385563</v>
      </c>
      <c r="AA164"/>
      <c r="AB164"/>
      <c r="AC164"/>
      <c r="AD164"/>
      <c r="AE164"/>
      <c r="AF164"/>
      <c r="AJ164" s="762"/>
    </row>
    <row r="165" spans="1:36" s="751" customFormat="1" ht="11.25" customHeight="1" outlineLevel="1">
      <c r="A165" s="754"/>
      <c r="B165" s="785"/>
      <c r="C165" s="784">
        <v>43283</v>
      </c>
      <c r="D165" s="773"/>
      <c r="E165" s="773"/>
      <c r="F165" s="773"/>
      <c r="G165" s="773"/>
      <c r="H165" s="783"/>
      <c r="I165" s="783"/>
      <c r="J165" s="783"/>
      <c r="K165" s="783"/>
      <c r="L165" s="783"/>
      <c r="M165" s="783"/>
      <c r="N165" s="783"/>
      <c r="O165" s="783"/>
      <c r="P165" s="783"/>
      <c r="Q165" s="783"/>
      <c r="R165" s="783"/>
      <c r="S165" s="783">
        <f>S$22/S$149*(1-$H$150)</f>
        <v>37.549459081953273</v>
      </c>
      <c r="T165" s="783">
        <f>(IF(COUNT($R165:S165)&lt;$R$149,S165,0))</f>
        <v>37.549459081953273</v>
      </c>
      <c r="U165" s="783">
        <f>(IF(COUNT($R165:T165)&lt;$R$149,T165,0))</f>
        <v>37.549459081953273</v>
      </c>
      <c r="V165" s="783">
        <f>(IF(COUNT($R165:U165)&lt;$R$149,U165,0))</f>
        <v>37.549459081953273</v>
      </c>
      <c r="W165" s="783">
        <f>(IF(COUNT($R165:V165)&lt;$R$149,V165,0))</f>
        <v>37.549459081953273</v>
      </c>
      <c r="AA165"/>
      <c r="AB165"/>
      <c r="AC165"/>
      <c r="AD165"/>
      <c r="AE165"/>
      <c r="AF165"/>
      <c r="AJ165" s="762"/>
    </row>
    <row r="166" spans="1:36" s="751" customFormat="1" ht="11.25" customHeight="1" outlineLevel="1">
      <c r="A166" s="754"/>
      <c r="B166" s="785"/>
      <c r="C166" s="784">
        <v>43648</v>
      </c>
      <c r="D166" s="773"/>
      <c r="E166" s="773"/>
      <c r="F166" s="773"/>
      <c r="G166" s="773"/>
      <c r="H166" s="783"/>
      <c r="I166" s="783"/>
      <c r="J166" s="783"/>
      <c r="K166" s="783"/>
      <c r="L166" s="783"/>
      <c r="M166" s="783"/>
      <c r="N166" s="783"/>
      <c r="O166" s="783"/>
      <c r="P166" s="783"/>
      <c r="Q166" s="783"/>
      <c r="R166" s="783"/>
      <c r="S166" s="783"/>
      <c r="T166" s="783">
        <f>T$22/T$149*(1-$H$150)</f>
        <v>38.300448263592337</v>
      </c>
      <c r="U166" s="783">
        <f>(IF(COUNT($R166:T166)&lt;$R$149,T166,0))</f>
        <v>38.300448263592337</v>
      </c>
      <c r="V166" s="783">
        <f>(IF(COUNT($R166:U166)&lt;$R$149,U166,0))</f>
        <v>38.300448263592337</v>
      </c>
      <c r="W166" s="783">
        <f>(IF(COUNT($R166:V166)&lt;$R$149,V166,0))</f>
        <v>38.300448263592337</v>
      </c>
      <c r="AA166"/>
      <c r="AB166"/>
      <c r="AC166"/>
      <c r="AD166"/>
      <c r="AE166"/>
      <c r="AF166"/>
      <c r="AJ166" s="762"/>
    </row>
    <row r="167" spans="1:36" s="751" customFormat="1" ht="11.25" customHeight="1" outlineLevel="1">
      <c r="A167" s="754"/>
      <c r="B167" s="785"/>
      <c r="C167" s="784">
        <v>44014</v>
      </c>
      <c r="D167" s="773"/>
      <c r="E167" s="773"/>
      <c r="F167" s="773"/>
      <c r="G167" s="773"/>
      <c r="H167" s="783"/>
      <c r="I167" s="783"/>
      <c r="J167" s="783"/>
      <c r="K167" s="783"/>
      <c r="L167" s="783"/>
      <c r="M167" s="783"/>
      <c r="N167" s="783"/>
      <c r="O167" s="783"/>
      <c r="P167" s="783"/>
      <c r="Q167" s="783"/>
      <c r="R167" s="783"/>
      <c r="S167" s="783"/>
      <c r="T167" s="781"/>
      <c r="U167" s="783">
        <f>U$22/U$149*(1-$H$150)</f>
        <v>39.066457228864181</v>
      </c>
      <c r="V167" s="783">
        <f>(IF(COUNT($R167:U167)&lt;$R$149,U167,0))</f>
        <v>39.066457228864181</v>
      </c>
      <c r="W167" s="783">
        <f>(IF(COUNT($R167:V167)&lt;$R$149,V167,0))</f>
        <v>39.066457228864181</v>
      </c>
      <c r="AA167"/>
      <c r="AB167"/>
      <c r="AC167"/>
      <c r="AD167"/>
      <c r="AE167"/>
      <c r="AF167"/>
      <c r="AJ167" s="762"/>
    </row>
    <row r="168" spans="1:36" s="751" customFormat="1" ht="11.25" customHeight="1" outlineLevel="1">
      <c r="A168" s="754"/>
      <c r="B168" s="785"/>
      <c r="C168" s="784">
        <v>44379</v>
      </c>
      <c r="D168" s="773"/>
      <c r="E168" s="773"/>
      <c r="F168" s="773"/>
      <c r="G168" s="773"/>
      <c r="H168" s="783"/>
      <c r="I168" s="783"/>
      <c r="J168" s="783"/>
      <c r="K168" s="783"/>
      <c r="L168" s="783"/>
      <c r="M168" s="783"/>
      <c r="N168" s="783"/>
      <c r="O168" s="783"/>
      <c r="P168" s="783"/>
      <c r="Q168" s="783"/>
      <c r="R168" s="783"/>
      <c r="S168" s="783"/>
      <c r="T168" s="781"/>
      <c r="V168" s="783">
        <f>V$22/V$149*(1-$H$150)</f>
        <v>39.847786373441473</v>
      </c>
      <c r="W168" s="783">
        <f>(IF(COUNT($R168:V168)&lt;$R$149,V168,0))</f>
        <v>39.847786373441473</v>
      </c>
      <c r="AA168"/>
      <c r="AB168"/>
      <c r="AC168"/>
      <c r="AD168"/>
      <c r="AE168"/>
      <c r="AF168"/>
      <c r="AJ168" s="762"/>
    </row>
    <row r="169" spans="1:36" s="751" customFormat="1" ht="11.25" customHeight="1" outlineLevel="1">
      <c r="A169" s="754"/>
      <c r="B169" s="785"/>
      <c r="C169" s="784">
        <v>44744</v>
      </c>
      <c r="D169" s="773"/>
      <c r="E169" s="773"/>
      <c r="F169" s="773"/>
      <c r="G169" s="773"/>
      <c r="H169" s="783"/>
      <c r="I169" s="783"/>
      <c r="J169" s="783"/>
      <c r="K169" s="783"/>
      <c r="L169" s="783"/>
      <c r="M169" s="783"/>
      <c r="N169" s="783"/>
      <c r="O169" s="783"/>
      <c r="P169" s="783"/>
      <c r="Q169" s="783"/>
      <c r="R169" s="783"/>
      <c r="S169" s="783"/>
      <c r="T169" s="781"/>
      <c r="W169" s="783">
        <f>W$22/W$149*(1-$H$150)</f>
        <v>40.6447421009103</v>
      </c>
      <c r="AA169"/>
      <c r="AB169"/>
      <c r="AC169"/>
      <c r="AD169"/>
      <c r="AE169"/>
      <c r="AF169"/>
      <c r="AJ169" s="762"/>
    </row>
    <row r="170" spans="1:36" s="751" customFormat="1" ht="11.25" customHeight="1" outlineLevel="1">
      <c r="A170" s="754"/>
      <c r="B170" s="782"/>
      <c r="C170" s="773"/>
      <c r="D170" s="773"/>
      <c r="E170" s="773"/>
      <c r="F170" s="773"/>
      <c r="G170" s="773"/>
      <c r="H170" s="781"/>
      <c r="I170" s="781"/>
      <c r="J170" s="781"/>
      <c r="K170" s="781"/>
      <c r="L170" s="781"/>
      <c r="M170" s="781"/>
      <c r="N170" s="781"/>
      <c r="O170" s="781"/>
      <c r="P170" s="781"/>
      <c r="Q170" s="781"/>
      <c r="R170" s="781"/>
      <c r="S170" s="752"/>
      <c r="T170" s="752"/>
      <c r="U170" s="752"/>
      <c r="V170" s="752"/>
      <c r="W170" s="752"/>
      <c r="AA170"/>
      <c r="AB170"/>
      <c r="AC170"/>
      <c r="AD170"/>
      <c r="AE170"/>
      <c r="AF170"/>
      <c r="AJ170" s="762"/>
    </row>
    <row r="171" spans="1:36" s="752" customFormat="1" ht="11.25" customHeight="1" outlineLevel="1">
      <c r="A171" s="780"/>
      <c r="B171" s="779"/>
      <c r="C171" s="773"/>
      <c r="D171" s="773"/>
      <c r="E171" s="773"/>
      <c r="F171" s="773"/>
      <c r="G171" s="773"/>
      <c r="H171" s="778">
        <f t="shared" ref="H171:W171" si="54">SUM(H154:H169)</f>
        <v>104.72711304295687</v>
      </c>
      <c r="I171" s="778">
        <f t="shared" si="54"/>
        <v>115.39637078209773</v>
      </c>
      <c r="J171" s="778">
        <f t="shared" si="54"/>
        <v>136.01751936645576</v>
      </c>
      <c r="K171" s="778">
        <f t="shared" si="54"/>
        <v>164.34872097912665</v>
      </c>
      <c r="L171" s="778">
        <f t="shared" si="54"/>
        <v>192.81385455954413</v>
      </c>
      <c r="M171" s="778">
        <f t="shared" si="54"/>
        <v>146.23458648460317</v>
      </c>
      <c r="N171" s="778">
        <f t="shared" si="54"/>
        <v>169.7166</v>
      </c>
      <c r="O171" s="778">
        <f t="shared" si="54"/>
        <v>218.31957942696795</v>
      </c>
      <c r="P171" s="778">
        <f t="shared" si="54"/>
        <v>134.48319940723479</v>
      </c>
      <c r="Q171" s="778">
        <f t="shared" si="54"/>
        <v>170.57456722918141</v>
      </c>
      <c r="R171" s="778">
        <f t="shared" si="54"/>
        <v>207.38776240756698</v>
      </c>
      <c r="S171" s="778">
        <f t="shared" si="54"/>
        <v>232.17342148952025</v>
      </c>
      <c r="T171" s="778">
        <f t="shared" si="54"/>
        <v>247.80006975311261</v>
      </c>
      <c r="U171" s="778">
        <f t="shared" si="54"/>
        <v>256.52372698197678</v>
      </c>
      <c r="V171" s="778">
        <f t="shared" si="54"/>
        <v>265.93501335541828</v>
      </c>
      <c r="W171" s="778">
        <f t="shared" si="54"/>
        <v>277.09275545632852</v>
      </c>
      <c r="AA171"/>
      <c r="AB171"/>
      <c r="AC171"/>
      <c r="AD171"/>
      <c r="AE171"/>
      <c r="AF171"/>
      <c r="AJ171" s="762"/>
    </row>
    <row r="172" spans="1:36" s="751" customFormat="1">
      <c r="A172" s="754"/>
      <c r="B172" s="753"/>
      <c r="C172" s="777"/>
      <c r="D172" s="777"/>
      <c r="E172" s="777"/>
      <c r="F172" s="777"/>
      <c r="G172" s="777"/>
      <c r="H172" s="760"/>
      <c r="I172" s="760"/>
      <c r="J172" s="760"/>
      <c r="K172" s="760"/>
      <c r="L172" s="760"/>
      <c r="M172" s="760"/>
      <c r="N172" s="760"/>
      <c r="O172" s="760"/>
      <c r="P172" s="760"/>
      <c r="Q172" s="760"/>
      <c r="R172" s="760"/>
      <c r="S172" s="760"/>
      <c r="T172" s="776"/>
      <c r="AA172"/>
      <c r="AB172"/>
      <c r="AC172"/>
      <c r="AD172"/>
      <c r="AE172"/>
      <c r="AF172"/>
      <c r="AJ172" s="762"/>
    </row>
    <row r="173" spans="1:36" s="751" customFormat="1">
      <c r="A173" s="754"/>
      <c r="B173" s="753"/>
      <c r="C173" s="775"/>
      <c r="D173" s="775"/>
      <c r="E173" s="775"/>
      <c r="F173" s="775"/>
      <c r="G173" s="775"/>
      <c r="H173" s="760"/>
      <c r="I173" s="760"/>
      <c r="J173" s="760"/>
      <c r="K173" s="760"/>
      <c r="L173" s="760"/>
      <c r="M173" s="760"/>
      <c r="N173" s="760"/>
      <c r="O173" s="760"/>
      <c r="P173" s="760"/>
      <c r="Q173" s="760"/>
      <c r="R173" s="760"/>
      <c r="S173" s="760"/>
      <c r="T173" s="774"/>
      <c r="AA173"/>
      <c r="AB173"/>
      <c r="AC173"/>
      <c r="AD173"/>
      <c r="AE173"/>
      <c r="AF173"/>
      <c r="AJ173" s="762"/>
    </row>
    <row r="174" spans="1:36" s="751" customFormat="1">
      <c r="A174" s="754"/>
      <c r="B174" s="753"/>
      <c r="C174" s="773"/>
      <c r="D174" s="773"/>
      <c r="E174" s="773"/>
      <c r="F174" s="773"/>
      <c r="G174" s="773"/>
      <c r="H174" s="760"/>
      <c r="I174" s="760"/>
      <c r="J174" s="760"/>
      <c r="K174" s="760"/>
      <c r="L174" s="760"/>
      <c r="M174" s="760"/>
      <c r="N174" s="760"/>
      <c r="O174" s="760"/>
      <c r="P174" s="760"/>
      <c r="Q174" s="760"/>
      <c r="R174" s="760"/>
      <c r="S174" s="760"/>
      <c r="T174" s="752"/>
      <c r="AA174"/>
      <c r="AB174"/>
      <c r="AC174"/>
      <c r="AD174"/>
      <c r="AE174"/>
      <c r="AF174"/>
      <c r="AJ174" s="762"/>
    </row>
    <row r="175" spans="1:36" s="751" customFormat="1" hidden="1" outlineLevel="1">
      <c r="A175" s="754"/>
      <c r="B175" s="753"/>
      <c r="C175" s="773"/>
      <c r="D175" s="773"/>
      <c r="E175" s="773"/>
      <c r="F175" s="773"/>
      <c r="G175" s="773"/>
      <c r="H175" s="760"/>
      <c r="I175" s="760"/>
      <c r="J175" s="760"/>
      <c r="K175" s="760"/>
      <c r="L175" s="760"/>
      <c r="M175" s="760"/>
      <c r="N175" s="760"/>
      <c r="O175" s="760"/>
      <c r="P175" s="760"/>
      <c r="Q175" s="760"/>
      <c r="R175" s="760"/>
      <c r="S175" s="760"/>
      <c r="T175" s="752"/>
      <c r="AA175"/>
      <c r="AB175"/>
      <c r="AC175"/>
      <c r="AD175"/>
      <c r="AE175"/>
      <c r="AF175"/>
      <c r="AJ175" s="762"/>
    </row>
    <row r="176" spans="1:36" s="751" customFormat="1" hidden="1" outlineLevel="1">
      <c r="A176" s="754"/>
      <c r="B176" s="753"/>
      <c r="C176" s="773"/>
      <c r="D176" s="773"/>
      <c r="E176" s="773"/>
      <c r="F176" s="773"/>
      <c r="G176" s="773"/>
      <c r="H176" s="760"/>
      <c r="I176" s="760"/>
      <c r="J176" s="760"/>
      <c r="K176" s="760"/>
      <c r="L176" s="760"/>
      <c r="M176" s="760"/>
      <c r="N176" s="760"/>
      <c r="O176" s="760"/>
      <c r="P176" s="760"/>
      <c r="Q176" s="760"/>
      <c r="R176" s="760"/>
      <c r="S176" s="760"/>
      <c r="T176" s="752"/>
      <c r="AA176"/>
      <c r="AB176"/>
      <c r="AC176"/>
      <c r="AD176"/>
      <c r="AE176"/>
      <c r="AF176"/>
      <c r="AJ176" s="762"/>
    </row>
    <row r="177" spans="1:36" s="751" customFormat="1" hidden="1" outlineLevel="1">
      <c r="A177" s="754"/>
      <c r="B177" s="753"/>
      <c r="C177" s="752"/>
      <c r="D177" s="752"/>
      <c r="E177" s="752"/>
      <c r="F177" s="752"/>
      <c r="G177" s="752"/>
      <c r="H177" s="760"/>
      <c r="I177" s="760"/>
      <c r="J177" s="760"/>
      <c r="K177" s="760"/>
      <c r="L177" s="760"/>
      <c r="M177" s="760"/>
      <c r="N177" s="760"/>
      <c r="O177" s="760"/>
      <c r="P177" s="760"/>
      <c r="Q177" s="760"/>
      <c r="R177" s="760"/>
      <c r="S177" s="760"/>
      <c r="AA177"/>
      <c r="AB177"/>
      <c r="AC177"/>
      <c r="AD177"/>
      <c r="AE177"/>
      <c r="AF177"/>
      <c r="AJ177" s="762"/>
    </row>
    <row r="178" spans="1:36" hidden="1" outlineLevel="1"/>
    <row r="179" spans="1:36" s="751" customFormat="1" hidden="1" outlineLevel="1">
      <c r="A179" s="754"/>
      <c r="B179" s="753"/>
      <c r="C179" s="752"/>
      <c r="D179" s="752"/>
      <c r="E179" s="752"/>
      <c r="F179" s="752"/>
      <c r="G179" s="752"/>
      <c r="H179" s="760"/>
      <c r="I179" s="760"/>
      <c r="J179" s="760"/>
      <c r="K179" s="760"/>
      <c r="L179" s="760"/>
      <c r="M179" s="760"/>
      <c r="N179" s="760"/>
      <c r="O179" s="760"/>
      <c r="P179" s="760"/>
      <c r="Q179" s="760"/>
      <c r="R179" s="760"/>
      <c r="S179" s="760"/>
      <c r="AA179"/>
      <c r="AB179"/>
      <c r="AC179"/>
      <c r="AD179"/>
      <c r="AE179"/>
      <c r="AF179"/>
      <c r="AJ179" s="762"/>
    </row>
    <row r="180" spans="1:36" s="751" customFormat="1" hidden="1" outlineLevel="1">
      <c r="A180" s="754"/>
      <c r="B180" s="753"/>
      <c r="C180" s="752"/>
      <c r="D180" s="752"/>
      <c r="E180" s="752"/>
      <c r="F180" s="752"/>
      <c r="G180" s="752"/>
      <c r="H180" s="760"/>
      <c r="I180" s="760"/>
      <c r="J180" s="760"/>
      <c r="K180" s="760"/>
      <c r="L180" s="760"/>
      <c r="M180" s="760"/>
      <c r="N180" s="760"/>
      <c r="O180" s="760"/>
      <c r="P180" s="760"/>
      <c r="Q180" s="760"/>
      <c r="R180" s="760"/>
      <c r="S180" s="760"/>
      <c r="AA180"/>
      <c r="AB180"/>
      <c r="AC180"/>
      <c r="AD180"/>
      <c r="AE180"/>
      <c r="AF180"/>
      <c r="AJ180" s="762"/>
    </row>
    <row r="181" spans="1:36" s="751" customFormat="1" hidden="1" outlineLevel="1">
      <c r="A181" s="754"/>
      <c r="B181" s="753"/>
      <c r="C181" s="752"/>
      <c r="D181" s="752"/>
      <c r="E181" s="752"/>
      <c r="F181" s="752"/>
      <c r="G181" s="752"/>
      <c r="H181" s="760"/>
      <c r="I181" s="760"/>
      <c r="J181" s="760"/>
      <c r="K181" s="760"/>
      <c r="L181" s="760"/>
      <c r="M181" s="760"/>
      <c r="N181" s="760"/>
      <c r="O181" s="760"/>
      <c r="P181" s="760"/>
      <c r="Q181" s="760"/>
      <c r="R181" s="760"/>
      <c r="S181" s="760"/>
      <c r="AA181"/>
      <c r="AB181"/>
      <c r="AC181"/>
      <c r="AD181"/>
      <c r="AE181"/>
      <c r="AF181"/>
      <c r="AJ181" s="762"/>
    </row>
    <row r="182" spans="1:36" s="751" customFormat="1" hidden="1" outlineLevel="1">
      <c r="A182" s="754"/>
      <c r="B182" s="753"/>
      <c r="C182" s="752"/>
      <c r="D182" s="752"/>
      <c r="E182" s="752"/>
      <c r="F182" s="752"/>
      <c r="G182" s="752"/>
      <c r="H182" s="760"/>
      <c r="I182" s="760"/>
      <c r="J182" s="760"/>
      <c r="K182" s="760"/>
      <c r="L182" s="760"/>
      <c r="M182" s="760"/>
      <c r="N182" s="760"/>
      <c r="O182" s="760"/>
      <c r="P182" s="760"/>
      <c r="Q182" s="760"/>
      <c r="R182" s="760"/>
      <c r="S182" s="760"/>
      <c r="AA182"/>
      <c r="AB182"/>
      <c r="AC182"/>
      <c r="AD182"/>
      <c r="AE182"/>
      <c r="AF182"/>
      <c r="AJ182" s="762"/>
    </row>
    <row r="183" spans="1:36" s="751" customFormat="1" hidden="1" outlineLevel="1">
      <c r="A183" s="754"/>
      <c r="B183" s="753"/>
      <c r="C183" s="752"/>
      <c r="D183" s="752"/>
      <c r="E183" s="752"/>
      <c r="F183" s="752"/>
      <c r="G183" s="752"/>
      <c r="H183" s="760"/>
      <c r="I183" s="760"/>
      <c r="J183" s="760"/>
      <c r="K183" s="760"/>
      <c r="L183" s="760"/>
      <c r="M183" s="760"/>
      <c r="N183" s="760"/>
      <c r="O183" s="760"/>
      <c r="P183" s="760"/>
      <c r="Q183" s="760"/>
      <c r="R183" s="760"/>
      <c r="S183" s="760"/>
      <c r="AA183"/>
      <c r="AB183"/>
      <c r="AC183"/>
      <c r="AD183"/>
      <c r="AE183"/>
      <c r="AF183"/>
      <c r="AJ183" s="762"/>
    </row>
    <row r="184" spans="1:36" s="768" customFormat="1" hidden="1" outlineLevel="1">
      <c r="A184" s="772">
        <v>1</v>
      </c>
      <c r="B184" s="771"/>
      <c r="C184" s="770"/>
      <c r="D184" s="770"/>
      <c r="E184" s="770"/>
      <c r="F184" s="770"/>
      <c r="G184" s="770"/>
      <c r="H184" s="770"/>
      <c r="I184" s="770"/>
      <c r="J184" s="770"/>
      <c r="K184" s="770"/>
      <c r="L184" s="770"/>
      <c r="M184" s="770"/>
      <c r="N184" s="770"/>
      <c r="O184" s="770"/>
      <c r="P184" s="770"/>
      <c r="AA184"/>
      <c r="AB184"/>
      <c r="AC184"/>
      <c r="AD184"/>
      <c r="AE184"/>
      <c r="AF184"/>
      <c r="AJ184" s="769"/>
    </row>
    <row r="185" spans="1:36" s="751" customFormat="1" collapsed="1">
      <c r="A185" s="754"/>
      <c r="B185" s="753"/>
      <c r="C185" s="752"/>
      <c r="D185" s="752"/>
      <c r="E185" s="752"/>
      <c r="F185" s="752"/>
      <c r="G185" s="752"/>
      <c r="H185" s="760"/>
      <c r="I185" s="760"/>
      <c r="J185" s="760"/>
      <c r="K185" s="760"/>
      <c r="L185" s="760"/>
      <c r="M185" s="760"/>
      <c r="N185" s="760"/>
      <c r="O185" s="760"/>
      <c r="P185" s="760"/>
      <c r="Q185" s="760"/>
      <c r="R185" s="760"/>
      <c r="S185" s="760"/>
      <c r="AA185"/>
      <c r="AB185"/>
      <c r="AC185"/>
      <c r="AD185"/>
      <c r="AE185"/>
      <c r="AF185"/>
      <c r="AJ185" s="762"/>
    </row>
    <row r="186" spans="1:36" s="751" customFormat="1">
      <c r="A186" s="754"/>
      <c r="B186" s="753"/>
      <c r="C186" s="752"/>
      <c r="D186" s="752"/>
      <c r="E186" s="752"/>
      <c r="F186" s="752"/>
      <c r="G186" s="752"/>
      <c r="H186" s="760"/>
      <c r="I186" s="760"/>
      <c r="J186" s="760"/>
      <c r="K186" s="760"/>
      <c r="L186" s="760"/>
      <c r="M186" s="760"/>
      <c r="N186" s="760"/>
      <c r="O186" s="760"/>
      <c r="P186" s="760"/>
      <c r="Q186" s="760"/>
      <c r="R186" s="760"/>
      <c r="S186" s="760"/>
      <c r="AA186"/>
      <c r="AB186"/>
      <c r="AC186"/>
      <c r="AD186"/>
      <c r="AE186"/>
      <c r="AF186"/>
      <c r="AJ186" s="762"/>
    </row>
    <row r="187" spans="1:36" s="751" customFormat="1" outlineLevel="1">
      <c r="A187" s="754"/>
      <c r="B187" s="753"/>
      <c r="C187" s="767" t="s">
        <v>70</v>
      </c>
      <c r="D187" s="752"/>
      <c r="E187" s="752"/>
      <c r="F187" s="752"/>
      <c r="G187" s="752"/>
      <c r="H187" s="766">
        <f t="shared" ref="H187:P187" si="55">H9</f>
        <v>39631</v>
      </c>
      <c r="I187" s="766">
        <f t="shared" si="55"/>
        <v>39996</v>
      </c>
      <c r="J187" s="766">
        <f t="shared" si="55"/>
        <v>40361</v>
      </c>
      <c r="K187" s="766">
        <f t="shared" si="55"/>
        <v>40726</v>
      </c>
      <c r="L187" s="766">
        <f t="shared" si="55"/>
        <v>41092</v>
      </c>
      <c r="M187" s="766">
        <f t="shared" si="55"/>
        <v>41457</v>
      </c>
      <c r="N187" s="766">
        <f t="shared" si="55"/>
        <v>41822</v>
      </c>
      <c r="O187" s="766">
        <f t="shared" si="55"/>
        <v>42187</v>
      </c>
      <c r="P187" s="766">
        <f t="shared" si="55"/>
        <v>42553</v>
      </c>
      <c r="Q187" s="765"/>
      <c r="R187" s="765"/>
      <c r="S187" s="765"/>
      <c r="T187" s="764"/>
      <c r="U187" s="764"/>
      <c r="V187" s="764"/>
      <c r="W187" s="764"/>
      <c r="X187" s="764"/>
      <c r="AA187"/>
      <c r="AB187"/>
      <c r="AC187"/>
      <c r="AD187"/>
      <c r="AE187"/>
      <c r="AF187"/>
      <c r="AJ187" s="762"/>
    </row>
    <row r="188" spans="1:36" s="751" customFormat="1" outlineLevel="1">
      <c r="A188" s="754"/>
      <c r="B188" s="753"/>
      <c r="C188" s="763" t="s">
        <v>71</v>
      </c>
      <c r="D188" s="752"/>
      <c r="E188" s="752"/>
      <c r="F188" s="752"/>
      <c r="G188" s="752"/>
      <c r="H188" s="760"/>
      <c r="I188" s="760"/>
      <c r="J188" s="760"/>
      <c r="K188" s="760"/>
      <c r="L188" s="760"/>
      <c r="M188" s="760"/>
      <c r="N188" s="760"/>
      <c r="O188" s="760"/>
      <c r="P188" s="760"/>
      <c r="Q188" s="760"/>
      <c r="R188" s="760"/>
      <c r="S188" s="760"/>
      <c r="AA188"/>
      <c r="AB188"/>
      <c r="AC188"/>
      <c r="AD188"/>
      <c r="AE188"/>
      <c r="AF188"/>
      <c r="AJ188" s="762"/>
    </row>
    <row r="189" spans="1:36" s="751" customFormat="1" outlineLevel="1">
      <c r="A189" s="754"/>
      <c r="B189" s="753"/>
      <c r="C189" s="752"/>
      <c r="D189" s="752"/>
      <c r="E189" s="752"/>
      <c r="F189" s="752"/>
      <c r="G189" s="752"/>
      <c r="H189" s="761"/>
      <c r="I189" s="761"/>
      <c r="J189" s="761"/>
      <c r="K189" s="761"/>
      <c r="L189" s="761"/>
      <c r="M189" s="761"/>
      <c r="N189" s="761"/>
      <c r="O189" s="761"/>
      <c r="P189" s="761"/>
      <c r="AA189"/>
      <c r="AB189"/>
      <c r="AC189"/>
      <c r="AD189"/>
      <c r="AE189"/>
      <c r="AF189"/>
    </row>
    <row r="190" spans="1:36" s="751" customFormat="1" outlineLevel="1">
      <c r="A190" s="754"/>
      <c r="B190" s="753"/>
      <c r="C190" s="741" t="s">
        <v>72</v>
      </c>
      <c r="D190" s="741"/>
      <c r="E190" s="740"/>
      <c r="F190" s="752"/>
      <c r="G190" s="752"/>
      <c r="H190" s="749">
        <f>_xll.ThomsonONEAddinShim.SpreadsheetFormulas.TF(SedolTicker,$AJ$190,,H$5,$J$3)</f>
        <v>0</v>
      </c>
      <c r="I190" s="749">
        <f>_xll.ThomsonONEAddinShim.SpreadsheetFormulas.TF(SedolTicker,$AJ$190,,I$5,$J$3)</f>
        <v>0</v>
      </c>
      <c r="J190" s="749">
        <f>_xll.ThomsonONEAddinShim.SpreadsheetFormulas.TF(SedolTicker,$AJ$190,,J$5,$J$3)</f>
        <v>0</v>
      </c>
      <c r="K190" s="749">
        <f>_xll.ThomsonONEAddinShim.SpreadsheetFormulas.TF(SedolTicker,$AJ$190,,K$5,$J$3)</f>
        <v>0</v>
      </c>
      <c r="L190" s="749">
        <f>_xll.ThomsonONEAddinShim.SpreadsheetFormulas.TF(SedolTicker,$AJ$190,,L$5,$J$3)</f>
        <v>0</v>
      </c>
      <c r="M190" s="749">
        <f>_xll.ThomsonONEAddinShim.SpreadsheetFormulas.TF(SedolTicker,$AJ$190,,M$5,$J$3)</f>
        <v>0</v>
      </c>
      <c r="N190" s="749">
        <f>_xll.ThomsonONEAddinShim.SpreadsheetFormulas.TF(SedolTicker,$AJ$190,,N$5,$J$3)</f>
        <v>0</v>
      </c>
      <c r="O190" s="749">
        <f>_xll.ThomsonONEAddinShim.SpreadsheetFormulas.TF(SedolTicker,$AJ$190,,O$5,$J$3)</f>
        <v>0</v>
      </c>
      <c r="P190" s="749">
        <f>_xll.ThomsonONEAddinShim.SpreadsheetFormulas.TF(SedolTicker,$AJ$190,,P$5,$J$3)</f>
        <v>0</v>
      </c>
      <c r="Q190" s="759"/>
      <c r="R190" s="759"/>
      <c r="S190" s="759"/>
      <c r="T190" s="759"/>
      <c r="U190" s="759"/>
      <c r="W190" s="759"/>
      <c r="X190" s="759"/>
      <c r="Y190" s="759"/>
      <c r="Z190" s="759"/>
      <c r="AA190"/>
      <c r="AB190"/>
      <c r="AC190"/>
      <c r="AD190"/>
      <c r="AE190"/>
      <c r="AF190"/>
      <c r="AJ190" s="758" t="s">
        <v>68</v>
      </c>
    </row>
    <row r="191" spans="1:36" s="751" customFormat="1" outlineLevel="1">
      <c r="A191" s="754"/>
      <c r="B191" s="753"/>
      <c r="C191" s="741" t="s">
        <v>73</v>
      </c>
      <c r="D191" s="741"/>
      <c r="E191" s="740"/>
      <c r="F191" s="752"/>
      <c r="G191" s="752"/>
      <c r="H191" s="760"/>
      <c r="I191" s="749">
        <f>_xll.ThomsonONEAddinShim.SpreadsheetFormulas.TF(SedolTicker,$AJ$191,"dataDir=across",$I$5,$P$5,$J$3)</f>
        <v>0</v>
      </c>
      <c r="J191" s="749">
        <v>0</v>
      </c>
      <c r="K191" s="749">
        <v>0</v>
      </c>
      <c r="L191" s="749">
        <v>0</v>
      </c>
      <c r="M191" s="749">
        <v>0</v>
      </c>
      <c r="N191" s="749">
        <v>0</v>
      </c>
      <c r="O191" s="749">
        <v>7.1877807726864335E-3</v>
      </c>
      <c r="P191" s="749">
        <v>3.0700753252682036E-2</v>
      </c>
      <c r="Q191" s="759"/>
      <c r="R191" s="759"/>
      <c r="S191" s="759"/>
      <c r="T191" s="759"/>
      <c r="U191" s="759"/>
      <c r="W191" s="759"/>
      <c r="X191" s="759"/>
      <c r="Y191" s="759"/>
      <c r="Z191" s="759"/>
      <c r="AA191"/>
      <c r="AB191"/>
      <c r="AC191"/>
      <c r="AD191"/>
      <c r="AE191"/>
      <c r="AF191"/>
      <c r="AJ191" s="758" t="s">
        <v>69</v>
      </c>
    </row>
    <row r="192" spans="1:36" s="751" customFormat="1" outlineLevel="1">
      <c r="A192" s="754"/>
      <c r="B192" s="753"/>
      <c r="C192" s="757"/>
      <c r="D192" s="757"/>
      <c r="E192" s="756"/>
      <c r="F192" s="752"/>
      <c r="G192" s="752"/>
      <c r="H192" s="755"/>
      <c r="I192" s="755"/>
      <c r="J192" s="755"/>
      <c r="K192" s="755"/>
      <c r="L192" s="755"/>
      <c r="M192" s="755"/>
      <c r="N192" s="755"/>
      <c r="O192" s="755"/>
      <c r="P192" s="755"/>
      <c r="Q192" s="737"/>
      <c r="R192" s="737"/>
      <c r="S192" s="737"/>
      <c r="T192" s="737"/>
      <c r="U192" s="737"/>
      <c r="W192" s="737"/>
      <c r="X192" s="737"/>
      <c r="Y192" s="737"/>
      <c r="Z192" s="737"/>
      <c r="AA192"/>
      <c r="AB192"/>
      <c r="AC192"/>
      <c r="AD192"/>
      <c r="AE192"/>
      <c r="AF192"/>
      <c r="AJ192" s="737"/>
    </row>
    <row r="193" spans="1:39" s="751" customFormat="1" outlineLevel="1">
      <c r="A193" s="754"/>
      <c r="B193" s="753"/>
      <c r="C193" s="757"/>
      <c r="D193" s="757"/>
      <c r="E193" s="756"/>
      <c r="F193" s="752"/>
      <c r="G193" s="752"/>
      <c r="H193" s="755"/>
      <c r="I193" s="755"/>
      <c r="J193" s="755"/>
      <c r="K193" s="755"/>
      <c r="L193" s="755"/>
      <c r="M193" s="755"/>
      <c r="N193" s="755"/>
      <c r="O193" s="755"/>
      <c r="P193" s="755"/>
      <c r="Q193" s="737"/>
      <c r="R193" s="737"/>
      <c r="S193" s="737"/>
      <c r="T193" s="737"/>
      <c r="U193" s="737"/>
      <c r="W193" s="737"/>
      <c r="X193" s="737"/>
      <c r="Y193" s="737"/>
      <c r="Z193" s="737"/>
      <c r="AA193"/>
      <c r="AB193"/>
      <c r="AC193"/>
      <c r="AD193"/>
      <c r="AE193"/>
      <c r="AF193"/>
      <c r="AJ193" s="737"/>
    </row>
    <row r="194" spans="1:39" s="751" customFormat="1" outlineLevel="1">
      <c r="A194" s="754"/>
      <c r="B194" s="753"/>
      <c r="C194" s="741" t="s">
        <v>177</v>
      </c>
      <c r="D194" s="741"/>
      <c r="E194" s="740"/>
      <c r="F194" s="752"/>
      <c r="G194" s="752"/>
      <c r="H194" s="750" t="str">
        <f>_xll.ThomsonONEAddinShim.SpreadsheetFormulas.TF(SedolTicker,$AJ194,"dataDir=across",$J$3)</f>
        <v xml:space="preserve">                                                    -                                          </v>
      </c>
      <c r="I194" s="750">
        <v>0</v>
      </c>
      <c r="J194" s="750">
        <v>0</v>
      </c>
      <c r="K194" s="750">
        <v>0</v>
      </c>
      <c r="L194" s="750">
        <v>0</v>
      </c>
      <c r="M194" s="750">
        <v>0</v>
      </c>
      <c r="N194" s="750">
        <v>0</v>
      </c>
      <c r="O194" s="750">
        <v>6.4</v>
      </c>
      <c r="P194" s="750">
        <v>26.9</v>
      </c>
      <c r="Q194" s="737"/>
      <c r="R194" s="737"/>
      <c r="S194" s="737"/>
      <c r="T194" s="737"/>
      <c r="U194" s="737"/>
      <c r="W194" s="737"/>
      <c r="X194" s="737"/>
      <c r="Y194" s="737"/>
      <c r="Z194" s="737"/>
      <c r="AA194"/>
      <c r="AB194"/>
      <c r="AC194"/>
      <c r="AD194"/>
      <c r="AE194"/>
      <c r="AF194"/>
      <c r="AJ194" s="747" t="s">
        <v>74</v>
      </c>
    </row>
    <row r="195" spans="1:39" outlineLevel="1">
      <c r="C195" s="741" t="s">
        <v>75</v>
      </c>
      <c r="D195" s="741"/>
      <c r="E195" s="740"/>
      <c r="F195" s="752"/>
      <c r="G195" s="752"/>
      <c r="H195" s="750" t="str">
        <f>_xll.ThomsonONEAddinShim.SpreadsheetFormulas.TF(SedolTicker,$AJ195,"dataDir=across",$J$3)</f>
        <v xml:space="preserve">                                                   -                                         </v>
      </c>
      <c r="I195" s="750">
        <v>8.0039999999999996</v>
      </c>
      <c r="J195" s="750">
        <v>0.74199999999999999</v>
      </c>
      <c r="K195" s="750">
        <v>0.79500000000000004</v>
      </c>
      <c r="L195" s="750">
        <v>22.375</v>
      </c>
      <c r="M195" s="750">
        <v>0.5</v>
      </c>
      <c r="N195" s="750">
        <v>140.48500000000001</v>
      </c>
      <c r="O195" s="750">
        <v>11.3</v>
      </c>
      <c r="P195" s="750">
        <v>15</v>
      </c>
      <c r="Q195" s="737"/>
      <c r="R195" s="737"/>
      <c r="S195" s="737"/>
      <c r="T195" s="737"/>
      <c r="U195" s="737"/>
      <c r="V195" s="751"/>
      <c r="W195" s="737"/>
      <c r="X195" s="737"/>
      <c r="Y195" s="737"/>
      <c r="Z195" s="737"/>
      <c r="AG195" s="751"/>
      <c r="AH195" s="751"/>
      <c r="AI195" s="751"/>
      <c r="AJ195" s="747" t="s">
        <v>76</v>
      </c>
      <c r="AK195" s="751"/>
      <c r="AL195" s="751"/>
      <c r="AM195" s="751"/>
    </row>
    <row r="196" spans="1:39" outlineLevel="1">
      <c r="C196" s="741" t="s">
        <v>77</v>
      </c>
      <c r="D196" s="741"/>
      <c r="E196" s="740"/>
      <c r="H196" s="750">
        <f>_xll.ThomsonONEAddinShim.SpreadsheetFormulas.TF(SedolTicker,$AJ196,"dataDir=across",$J$3)</f>
        <v>3</v>
      </c>
      <c r="I196" s="750">
        <v>25.071999999999999</v>
      </c>
      <c r="J196" s="750">
        <v>24.158999999999999</v>
      </c>
      <c r="K196" s="750">
        <v>23.36</v>
      </c>
      <c r="L196" s="750">
        <v>0.98499999999999999</v>
      </c>
      <c r="M196" s="750">
        <v>0.48499999999999999</v>
      </c>
      <c r="N196" s="750">
        <v>0</v>
      </c>
      <c r="O196" s="750">
        <v>879.1</v>
      </c>
      <c r="P196" s="750">
        <v>861.2</v>
      </c>
      <c r="Q196" s="737"/>
      <c r="R196" s="737"/>
      <c r="S196" s="737"/>
      <c r="T196" s="737"/>
      <c r="U196" s="737"/>
      <c r="W196" s="737"/>
      <c r="X196" s="737"/>
      <c r="Y196" s="737"/>
      <c r="Z196" s="737"/>
      <c r="AJ196" s="747" t="s">
        <v>78</v>
      </c>
    </row>
    <row r="197" spans="1:39" outlineLevel="1">
      <c r="C197" s="741"/>
      <c r="D197" s="741"/>
      <c r="E197" s="740"/>
      <c r="H197" s="749"/>
      <c r="I197" s="748"/>
      <c r="J197" s="748"/>
      <c r="K197" s="748"/>
      <c r="L197" s="748"/>
      <c r="M197" s="748"/>
      <c r="N197" s="748"/>
      <c r="O197" s="748"/>
      <c r="P197" s="748"/>
      <c r="Q197" s="737"/>
      <c r="R197" s="737"/>
      <c r="S197" s="737"/>
      <c r="T197" s="737"/>
      <c r="U197" s="737"/>
      <c r="W197" s="737"/>
      <c r="X197" s="737"/>
      <c r="Y197" s="737"/>
      <c r="Z197" s="737"/>
      <c r="AJ197" s="747"/>
    </row>
    <row r="198" spans="1:39" s="735" customFormat="1">
      <c r="A198" s="743"/>
      <c r="B198" s="742"/>
      <c r="C198" s="741"/>
      <c r="D198" s="741"/>
      <c r="E198" s="740"/>
      <c r="F198" s="739"/>
      <c r="G198" s="739"/>
      <c r="H198" s="738"/>
      <c r="I198" s="746"/>
      <c r="J198" s="746"/>
      <c r="K198" s="746"/>
      <c r="L198" s="745"/>
      <c r="M198" s="745"/>
      <c r="N198" s="745"/>
      <c r="O198" s="745"/>
      <c r="P198" s="745"/>
      <c r="Q198" s="737"/>
      <c r="R198" s="737"/>
      <c r="S198" s="737"/>
      <c r="T198" s="737"/>
      <c r="U198" s="737"/>
      <c r="W198" s="737"/>
      <c r="X198" s="737"/>
      <c r="Y198" s="737"/>
      <c r="Z198" s="737"/>
      <c r="AA198"/>
      <c r="AB198"/>
      <c r="AC198"/>
      <c r="AD198"/>
      <c r="AE198"/>
      <c r="AF198"/>
      <c r="AJ198" s="737"/>
    </row>
    <row r="199" spans="1:39">
      <c r="C199" s="741"/>
      <c r="D199" s="741"/>
      <c r="E199" s="740"/>
      <c r="H199" s="744"/>
      <c r="I199" s="744"/>
      <c r="J199" s="744"/>
      <c r="K199" s="744"/>
      <c r="L199" s="744"/>
      <c r="M199" s="744"/>
      <c r="N199" s="744"/>
      <c r="O199" s="744"/>
      <c r="P199" s="744"/>
      <c r="Q199" s="737"/>
      <c r="R199" s="737"/>
      <c r="S199" s="737"/>
      <c r="T199" s="737"/>
      <c r="U199" s="737"/>
      <c r="W199" s="737"/>
      <c r="X199" s="737"/>
      <c r="Y199" s="737"/>
      <c r="Z199" s="737"/>
      <c r="AJ199" s="737"/>
    </row>
    <row r="200" spans="1:39">
      <c r="C200" s="741"/>
      <c r="D200" s="741"/>
      <c r="E200" s="740"/>
      <c r="H200" s="744"/>
      <c r="I200" s="744"/>
      <c r="J200" s="744"/>
      <c r="K200" s="744"/>
      <c r="L200" s="744"/>
      <c r="M200" s="744"/>
      <c r="N200" s="744"/>
      <c r="O200" s="744"/>
      <c r="P200" s="744"/>
      <c r="Q200" s="737"/>
      <c r="R200" s="737"/>
      <c r="S200" s="737"/>
      <c r="T200" s="737"/>
      <c r="U200" s="737"/>
      <c r="W200" s="737"/>
      <c r="X200" s="737"/>
      <c r="Y200" s="737"/>
      <c r="Z200" s="737"/>
      <c r="AJ200" s="737"/>
    </row>
    <row r="201" spans="1:39">
      <c r="C201" s="741"/>
      <c r="D201" s="741"/>
      <c r="E201" s="740"/>
      <c r="H201" s="744"/>
      <c r="I201" s="744"/>
      <c r="J201" s="744"/>
      <c r="K201" s="744"/>
      <c r="L201" s="744"/>
      <c r="M201" s="744"/>
      <c r="N201" s="744"/>
      <c r="O201" s="744"/>
      <c r="P201" s="744"/>
      <c r="Q201" s="737"/>
      <c r="R201" s="737"/>
      <c r="S201" s="737"/>
      <c r="T201" s="737"/>
      <c r="U201" s="737"/>
      <c r="W201" s="737"/>
      <c r="X201" s="737"/>
      <c r="Y201" s="737"/>
      <c r="Z201" s="737"/>
      <c r="AJ201" s="737"/>
    </row>
    <row r="202" spans="1:39" s="735" customFormat="1">
      <c r="A202" s="743"/>
      <c r="B202" s="742"/>
      <c r="C202" s="741"/>
      <c r="D202" s="741"/>
      <c r="E202" s="740"/>
      <c r="F202" s="739"/>
      <c r="G202" s="739"/>
      <c r="H202" s="738"/>
      <c r="I202" s="738"/>
      <c r="J202" s="738"/>
      <c r="K202" s="738"/>
      <c r="L202" s="738"/>
      <c r="M202" s="738"/>
      <c r="N202" s="738"/>
      <c r="O202" s="738"/>
      <c r="P202" s="738"/>
      <c r="Q202" s="737"/>
      <c r="R202" s="737"/>
      <c r="S202" s="737"/>
      <c r="T202" s="737"/>
      <c r="U202" s="737"/>
      <c r="V202" s="737"/>
      <c r="W202" s="737"/>
      <c r="X202" s="737"/>
      <c r="Y202" s="737"/>
      <c r="Z202" s="737"/>
      <c r="AA202"/>
      <c r="AB202"/>
      <c r="AC202"/>
      <c r="AD202"/>
      <c r="AE202"/>
      <c r="AF202"/>
      <c r="AJ202" s="736"/>
    </row>
    <row r="203" spans="1:39" s="735" customFormat="1">
      <c r="A203" s="743"/>
      <c r="B203" s="742"/>
      <c r="C203" s="741"/>
      <c r="D203" s="741"/>
      <c r="E203" s="740"/>
      <c r="F203" s="739"/>
      <c r="G203" s="739"/>
      <c r="H203" s="738"/>
      <c r="I203" s="738"/>
      <c r="J203" s="738"/>
      <c r="K203" s="738"/>
      <c r="L203" s="738"/>
      <c r="M203" s="738"/>
      <c r="N203" s="738"/>
      <c r="O203" s="738"/>
      <c r="P203" s="738"/>
      <c r="Q203" s="737"/>
      <c r="R203" s="737"/>
      <c r="S203" s="737"/>
      <c r="T203" s="737"/>
      <c r="U203" s="737"/>
      <c r="V203" s="737"/>
      <c r="W203" s="737"/>
      <c r="X203" s="737"/>
      <c r="Y203" s="737"/>
      <c r="Z203" s="737"/>
      <c r="AA203"/>
      <c r="AB203"/>
      <c r="AC203"/>
      <c r="AD203"/>
      <c r="AE203"/>
      <c r="AF203"/>
      <c r="AJ203" s="736"/>
    </row>
  </sheetData>
  <conditionalFormatting sqref="A44 C46">
    <cfRule type="cellIs" dxfId="1" priority="1" stopIfTrue="1" operator="equal">
      <formula>"A44=0"</formula>
    </cfRule>
  </conditionalFormatting>
  <conditionalFormatting sqref="I45: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22075393" r:id="rId4" name="CommandButton2">
          <controlPr defaultSize="0" autoLine="0" r:id="rId5">
            <anchor moveWithCells="1">
              <from>
                <xdr:col>14</xdr:col>
                <xdr:colOff>485775</xdr:colOff>
                <xdr:row>1</xdr:row>
                <xdr:rowOff>57150</xdr:rowOff>
              </from>
              <to>
                <xdr:col>17</xdr:col>
                <xdr:colOff>95250</xdr:colOff>
                <xdr:row>2</xdr:row>
                <xdr:rowOff>76200</xdr:rowOff>
              </to>
            </anchor>
          </controlPr>
        </control>
      </mc:Choice>
      <mc:Fallback>
        <control shapeId="22075393" r:id="rId4" name="CommandButto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W61"/>
  <sheetViews>
    <sheetView zoomScale="85" zoomScaleNormal="85" workbookViewId="0">
      <selection activeCell="H32" sqref="H32"/>
    </sheetView>
  </sheetViews>
  <sheetFormatPr defaultRowHeight="12.75" outlineLevelRow="1"/>
  <cols>
    <col min="1" max="1" width="2" style="1953" customWidth="1"/>
    <col min="2" max="2" width="32.140625" style="2024" customWidth="1"/>
    <col min="3" max="3" width="10.5703125" style="1953" customWidth="1"/>
    <col min="4" max="10" width="10.28515625" style="1953" bestFit="1" customWidth="1"/>
    <col min="11" max="11" width="11.28515625" style="1953" bestFit="1" customWidth="1"/>
    <col min="12" max="16384" width="9.140625" style="1953"/>
  </cols>
  <sheetData>
    <row r="1" spans="1:23">
      <c r="A1" s="1951"/>
      <c r="B1" s="1952"/>
      <c r="C1" s="2407" t="s">
        <v>810</v>
      </c>
      <c r="D1" s="2407"/>
      <c r="E1" s="2407"/>
      <c r="F1" s="2407"/>
      <c r="G1" s="2407"/>
      <c r="H1" s="2408" t="s">
        <v>811</v>
      </c>
      <c r="I1" s="2408"/>
      <c r="J1" s="2408"/>
      <c r="K1" s="1951"/>
      <c r="L1" s="1951"/>
      <c r="M1" s="1951"/>
      <c r="N1" s="1951"/>
      <c r="O1" s="1951"/>
      <c r="P1" s="1951"/>
      <c r="Q1" s="1951"/>
      <c r="R1" s="1951"/>
      <c r="S1" s="1951"/>
      <c r="T1" s="1951"/>
      <c r="U1" s="1951"/>
      <c r="V1" s="1951"/>
      <c r="W1" s="1951"/>
    </row>
    <row r="2" spans="1:23" s="1959" customFormat="1">
      <c r="A2" s="1954"/>
      <c r="B2" s="1955" t="s">
        <v>812</v>
      </c>
      <c r="C2" s="1956">
        <v>2017</v>
      </c>
      <c r="D2" s="1956">
        <v>2018</v>
      </c>
      <c r="E2" s="1956">
        <v>2019</v>
      </c>
      <c r="F2" s="1956">
        <v>2020</v>
      </c>
      <c r="G2" s="1956">
        <v>2021</v>
      </c>
      <c r="H2" s="1957">
        <f>G2+1</f>
        <v>2022</v>
      </c>
      <c r="I2" s="1957">
        <f>H2+1</f>
        <v>2023</v>
      </c>
      <c r="J2" s="1957">
        <f>I2+1</f>
        <v>2024</v>
      </c>
      <c r="K2" s="1954"/>
      <c r="L2" s="1958"/>
      <c r="M2" s="1958"/>
      <c r="N2" s="1958"/>
      <c r="O2" s="1958"/>
      <c r="P2" s="1954"/>
      <c r="Q2" s="1954"/>
      <c r="R2" s="1954"/>
      <c r="S2" s="1954"/>
      <c r="T2" s="1954"/>
      <c r="U2" s="1954"/>
      <c r="V2" s="1954"/>
      <c r="W2" s="1954"/>
    </row>
    <row r="3" spans="1:23" s="1959" customFormat="1">
      <c r="A3" s="1954"/>
      <c r="B3" s="1960"/>
      <c r="C3" s="1958"/>
      <c r="D3" s="1958"/>
      <c r="E3" s="1958"/>
      <c r="F3" s="1958"/>
      <c r="G3" s="1958"/>
      <c r="H3" s="1961"/>
      <c r="I3" s="1961"/>
      <c r="J3" s="1961"/>
      <c r="K3" s="1954"/>
      <c r="L3" s="1958"/>
      <c r="M3" s="1958"/>
      <c r="N3" s="1958"/>
      <c r="O3" s="1958"/>
      <c r="P3" s="1954"/>
      <c r="Q3" s="1954"/>
      <c r="R3" s="1954"/>
      <c r="S3" s="1954"/>
      <c r="T3" s="1954"/>
      <c r="U3" s="1954"/>
      <c r="V3" s="1954"/>
      <c r="W3" s="1954"/>
    </row>
    <row r="4" spans="1:23">
      <c r="A4" s="1951"/>
      <c r="B4" s="1952" t="s">
        <v>267</v>
      </c>
      <c r="C4" s="1962">
        <f>'yrP&amp;L'!X7</f>
        <v>4488.3</v>
      </c>
      <c r="D4" s="1962">
        <f>'yrP&amp;L'!Y7</f>
        <v>5830.896633543296</v>
      </c>
      <c r="E4" s="1962">
        <f>'yrP&amp;L'!Z7</f>
        <v>6016.7445650539694</v>
      </c>
      <c r="F4" s="1962">
        <f>'yrP&amp;L'!AA7</f>
        <v>6189.4033278856969</v>
      </c>
      <c r="G4" s="1962">
        <f>'yrP&amp;L'!AB7</f>
        <v>6366.6876309344079</v>
      </c>
      <c r="H4" s="1963">
        <f>G4*(1+H5)</f>
        <v>6525.8548217077678</v>
      </c>
      <c r="I4" s="1963">
        <f>H4*(1+I5)</f>
        <v>6689.0011922504618</v>
      </c>
      <c r="J4" s="1963">
        <f>I4*(1+J5)</f>
        <v>6856.2262220567227</v>
      </c>
      <c r="K4" s="1951"/>
      <c r="L4" s="1951"/>
      <c r="M4" s="1951"/>
      <c r="N4" s="1951"/>
      <c r="O4" s="1951"/>
      <c r="P4" s="1951"/>
      <c r="Q4" s="1951"/>
      <c r="R4" s="1951"/>
      <c r="S4" s="1951"/>
      <c r="T4" s="1951"/>
      <c r="U4" s="1951"/>
      <c r="V4" s="1951"/>
      <c r="W4" s="1951"/>
    </row>
    <row r="5" spans="1:23">
      <c r="A5" s="1951"/>
      <c r="B5" s="1952" t="s">
        <v>144</v>
      </c>
      <c r="C5" s="1964">
        <f>'yrP&amp;L'!X8</f>
        <v>-7.7919764904917652E-4</v>
      </c>
      <c r="D5" s="1964">
        <f>D4/C4-1</f>
        <v>0.29913255208949852</v>
      </c>
      <c r="E5" s="1964">
        <f>E4/D4-1</f>
        <v>3.1872959373271836E-2</v>
      </c>
      <c r="F5" s="1964">
        <f>F4/E4-1</f>
        <v>2.8696375750194125E-2</v>
      </c>
      <c r="G5" s="1964">
        <f>G4/F4-1</f>
        <v>2.8643197681103683E-2</v>
      </c>
      <c r="H5" s="1965">
        <v>2.5000000000000001E-2</v>
      </c>
      <c r="I5" s="1965">
        <v>2.5000000000000001E-2</v>
      </c>
      <c r="J5" s="1965">
        <v>2.5000000000000001E-2</v>
      </c>
      <c r="K5" s="1951"/>
      <c r="L5" s="1951"/>
      <c r="M5" s="1951"/>
      <c r="N5" s="1951"/>
      <c r="O5" s="1951"/>
      <c r="P5" s="1951"/>
      <c r="Q5" s="1951"/>
      <c r="R5" s="1951"/>
      <c r="S5" s="1951"/>
      <c r="T5" s="1951"/>
      <c r="U5" s="1951"/>
      <c r="V5" s="1951"/>
      <c r="W5" s="1951"/>
    </row>
    <row r="6" spans="1:23">
      <c r="A6" s="1951"/>
      <c r="B6" s="1952" t="s">
        <v>228</v>
      </c>
      <c r="C6" s="1962">
        <f>'yrP&amp;L'!X61</f>
        <v>812.6200000000008</v>
      </c>
      <c r="D6" s="1962">
        <f>'yrP&amp;L'!Y61</f>
        <v>987.92008462767444</v>
      </c>
      <c r="E6" s="1962">
        <f>'yrP&amp;L'!Z61</f>
        <v>1061.3537412755204</v>
      </c>
      <c r="F6" s="1962">
        <f>'yrP&amp;L'!AA61</f>
        <v>1101.0948520308657</v>
      </c>
      <c r="G6" s="1962">
        <f>'yrP&amp;L'!AB61</f>
        <v>1141.5470922265395</v>
      </c>
      <c r="H6" s="1963">
        <f>H4*H7</f>
        <v>1292.1192546981381</v>
      </c>
      <c r="I6" s="1963">
        <f>I4*I7</f>
        <v>1311.0442336810906</v>
      </c>
      <c r="J6" s="1963">
        <f>J4*J7</f>
        <v>1330.1078870790043</v>
      </c>
      <c r="K6" s="1951"/>
      <c r="L6" s="1951"/>
      <c r="M6" s="1951"/>
      <c r="N6" s="1951"/>
      <c r="O6" s="1951"/>
      <c r="P6" s="1951"/>
      <c r="Q6" s="1951"/>
      <c r="R6" s="1951"/>
      <c r="S6" s="1951"/>
      <c r="T6" s="1951"/>
      <c r="U6" s="1951"/>
      <c r="V6" s="1951"/>
      <c r="W6" s="1951"/>
    </row>
    <row r="7" spans="1:23">
      <c r="A7" s="1951"/>
      <c r="B7" s="1952" t="s">
        <v>813</v>
      </c>
      <c r="C7" s="1964">
        <f>C6/C4</f>
        <v>0.18105295991800921</v>
      </c>
      <c r="D7" s="1964">
        <f>D6/D4</f>
        <v>0.1694285024612654</v>
      </c>
      <c r="E7" s="1964">
        <f>E6/E4</f>
        <v>0.17640000000000003</v>
      </c>
      <c r="F7" s="1964">
        <f>F6/F4</f>
        <v>0.17790000000000003</v>
      </c>
      <c r="G7" s="1964">
        <f>G6/G4</f>
        <v>0.17930000000000001</v>
      </c>
      <c r="H7" s="1965">
        <v>0.19800000000000001</v>
      </c>
      <c r="I7" s="1965">
        <v>0.19600000000000001</v>
      </c>
      <c r="J7" s="1965">
        <v>0.19400000000000001</v>
      </c>
      <c r="K7" s="1951"/>
      <c r="L7" s="1951"/>
      <c r="M7" s="1951"/>
      <c r="N7" s="1951"/>
      <c r="O7" s="1951"/>
      <c r="P7" s="1951"/>
      <c r="Q7" s="1951"/>
      <c r="R7" s="1951"/>
      <c r="S7" s="1951"/>
      <c r="T7" s="1951"/>
      <c r="U7" s="1951"/>
      <c r="V7" s="1951"/>
      <c r="W7" s="1951"/>
    </row>
    <row r="8" spans="1:23" s="1970" customFormat="1">
      <c r="A8" s="1966"/>
      <c r="B8" s="1967" t="s">
        <v>39</v>
      </c>
      <c r="C8" s="1968">
        <v>0.26</v>
      </c>
      <c r="D8" s="1968">
        <v>0.26</v>
      </c>
      <c r="E8" s="1968">
        <v>0.26</v>
      </c>
      <c r="F8" s="1968">
        <v>0.26</v>
      </c>
      <c r="G8" s="1968">
        <v>0.26</v>
      </c>
      <c r="H8" s="1969">
        <f>G8</f>
        <v>0.26</v>
      </c>
      <c r="I8" s="1969">
        <f>H8</f>
        <v>0.26</v>
      </c>
      <c r="J8" s="1969">
        <f>I8</f>
        <v>0.26</v>
      </c>
      <c r="K8" s="1966"/>
      <c r="L8" s="1966"/>
      <c r="M8" s="1966"/>
      <c r="N8" s="1966"/>
      <c r="O8" s="1966"/>
      <c r="P8" s="1966"/>
      <c r="Q8" s="1966"/>
      <c r="R8" s="1966"/>
      <c r="S8" s="1966"/>
      <c r="T8" s="1966"/>
      <c r="U8" s="1966"/>
      <c r="V8" s="1966"/>
      <c r="W8" s="1966"/>
    </row>
    <row r="9" spans="1:23">
      <c r="A9" s="1951"/>
      <c r="B9" s="1952" t="s">
        <v>814</v>
      </c>
      <c r="C9" s="1971">
        <f t="shared" ref="C9:J9" si="0">-C6*C8</f>
        <v>-211.28120000000021</v>
      </c>
      <c r="D9" s="1971">
        <f t="shared" si="0"/>
        <v>-256.85922200319538</v>
      </c>
      <c r="E9" s="1971">
        <f t="shared" si="0"/>
        <v>-275.95197273163529</v>
      </c>
      <c r="F9" s="1971">
        <f t="shared" si="0"/>
        <v>-286.28466152802508</v>
      </c>
      <c r="G9" s="1971">
        <f t="shared" si="0"/>
        <v>-296.80224397890026</v>
      </c>
      <c r="H9" s="1972">
        <f t="shared" si="0"/>
        <v>-335.95100622151591</v>
      </c>
      <c r="I9" s="1972">
        <f t="shared" si="0"/>
        <v>-340.8715007570836</v>
      </c>
      <c r="J9" s="1972">
        <f t="shared" si="0"/>
        <v>-345.82805064054111</v>
      </c>
      <c r="K9" s="1951"/>
      <c r="L9" s="1951"/>
      <c r="M9" s="1951"/>
      <c r="N9" s="1951"/>
      <c r="O9" s="1951"/>
      <c r="P9" s="1951"/>
      <c r="Q9" s="1951"/>
      <c r="R9" s="1951"/>
      <c r="S9" s="1951"/>
      <c r="T9" s="1951"/>
      <c r="U9" s="1951"/>
      <c r="V9" s="1951"/>
      <c r="W9" s="1951"/>
    </row>
    <row r="10" spans="1:23">
      <c r="A10" s="1951"/>
      <c r="B10" s="1952" t="s">
        <v>773</v>
      </c>
      <c r="C10" s="1973">
        <f>C6+C9</f>
        <v>601.33880000000056</v>
      </c>
      <c r="D10" s="1973">
        <f t="shared" ref="D10:J10" si="1">D6+D9</f>
        <v>731.06086262447911</v>
      </c>
      <c r="E10" s="1973">
        <f t="shared" si="1"/>
        <v>785.40176854388505</v>
      </c>
      <c r="F10" s="1973">
        <f t="shared" si="1"/>
        <v>814.81019050284067</v>
      </c>
      <c r="G10" s="1973">
        <f>G6+G9</f>
        <v>844.7448482476392</v>
      </c>
      <c r="H10" s="1974">
        <f t="shared" si="1"/>
        <v>956.16824847662224</v>
      </c>
      <c r="I10" s="1974">
        <f t="shared" si="1"/>
        <v>970.17273292400705</v>
      </c>
      <c r="J10" s="1974">
        <f t="shared" si="1"/>
        <v>984.27983643846324</v>
      </c>
      <c r="K10" s="1951"/>
      <c r="L10" s="1951"/>
      <c r="M10" s="1951"/>
      <c r="N10" s="1951"/>
      <c r="O10" s="1951"/>
      <c r="P10" s="1951"/>
      <c r="Q10" s="1951"/>
      <c r="R10" s="1951"/>
      <c r="S10" s="1951"/>
      <c r="T10" s="1951"/>
      <c r="U10" s="1951"/>
      <c r="V10" s="1951"/>
      <c r="W10" s="1951"/>
    </row>
    <row r="11" spans="1:23" s="1979" customFormat="1" hidden="1">
      <c r="A11" s="1975"/>
      <c r="B11" s="1976" t="s">
        <v>815</v>
      </c>
      <c r="C11" s="1977">
        <f t="shared" ref="C11:J11" si="2">C10/C4</f>
        <v>0.13397919033932681</v>
      </c>
      <c r="D11" s="1977">
        <f t="shared" si="2"/>
        <v>0.12537709182133638</v>
      </c>
      <c r="E11" s="1977">
        <f t="shared" si="2"/>
        <v>0.13053600000000001</v>
      </c>
      <c r="F11" s="1977">
        <f t="shared" si="2"/>
        <v>0.13164600000000004</v>
      </c>
      <c r="G11" s="1977">
        <f t="shared" si="2"/>
        <v>0.13268200000000002</v>
      </c>
      <c r="H11" s="1978">
        <f t="shared" si="2"/>
        <v>0.14652000000000001</v>
      </c>
      <c r="I11" s="1978">
        <f t="shared" si="2"/>
        <v>0.14504</v>
      </c>
      <c r="J11" s="1978">
        <f t="shared" si="2"/>
        <v>0.14356000000000002</v>
      </c>
      <c r="K11" s="1975"/>
      <c r="L11" s="1975"/>
      <c r="M11" s="1975"/>
      <c r="N11" s="1975"/>
      <c r="O11" s="1975"/>
      <c r="P11" s="1975"/>
      <c r="Q11" s="1975"/>
      <c r="R11" s="1975"/>
      <c r="S11" s="1975"/>
      <c r="T11" s="1975"/>
      <c r="U11" s="1975"/>
      <c r="V11" s="1975"/>
      <c r="W11" s="1975"/>
    </row>
    <row r="12" spans="1:23" ht="6.75" customHeight="1">
      <c r="A12" s="1951"/>
      <c r="B12" s="1952"/>
      <c r="C12" s="1951"/>
      <c r="D12" s="1951"/>
      <c r="E12" s="1951"/>
      <c r="F12" s="1951"/>
      <c r="G12" s="1951"/>
      <c r="H12" s="1980"/>
      <c r="I12" s="1980"/>
      <c r="J12" s="1980"/>
      <c r="K12" s="1951"/>
      <c r="L12" s="1951"/>
      <c r="M12" s="1951"/>
      <c r="N12" s="1951"/>
      <c r="O12" s="1951"/>
      <c r="P12" s="1951"/>
      <c r="Q12" s="1951"/>
      <c r="R12" s="1951"/>
      <c r="S12" s="1951"/>
      <c r="T12" s="1951"/>
      <c r="U12" s="1951"/>
      <c r="V12" s="1951"/>
      <c r="W12" s="1951"/>
    </row>
    <row r="13" spans="1:23">
      <c r="A13" s="1951"/>
      <c r="B13" s="1981" t="s">
        <v>816</v>
      </c>
      <c r="C13" s="1971">
        <f>'yrP&amp;L'!X90</f>
        <v>156.22495666190051</v>
      </c>
      <c r="D13" s="1971">
        <f>'yrP&amp;L'!Y90</f>
        <v>164.03620449499553</v>
      </c>
      <c r="E13" s="1971">
        <f>'yrP&amp;L'!Z90</f>
        <v>172.23801471974531</v>
      </c>
      <c r="F13" s="1971">
        <f>'yrP&amp;L'!AA90</f>
        <v>180.84991545573257</v>
      </c>
      <c r="G13" s="1971">
        <f>'yrP&amp;L'!AB90</f>
        <v>189.89241122851919</v>
      </c>
      <c r="H13" s="1972">
        <f>H14*H4</f>
        <v>254.50833804660294</v>
      </c>
      <c r="I13" s="1972">
        <f>I14*I4</f>
        <v>267.56004769001845</v>
      </c>
      <c r="J13" s="1972">
        <f>J14*J4</f>
        <v>281.10527510432564</v>
      </c>
      <c r="K13" s="1951"/>
      <c r="L13" s="1951"/>
      <c r="M13" s="1951"/>
      <c r="N13" s="1951"/>
      <c r="O13" s="1951"/>
      <c r="P13" s="1951"/>
      <c r="Q13" s="1951"/>
      <c r="R13" s="1951"/>
      <c r="S13" s="1951"/>
      <c r="T13" s="1951"/>
      <c r="U13" s="1951"/>
      <c r="V13" s="1951"/>
      <c r="W13" s="1951"/>
    </row>
    <row r="14" spans="1:23">
      <c r="A14" s="1951"/>
      <c r="B14" s="1952"/>
      <c r="C14" s="1964">
        <f>C13/C4</f>
        <v>3.4807155640643565E-2</v>
      </c>
      <c r="D14" s="1964">
        <f>D13/D4</f>
        <v>2.8132243598925653E-2</v>
      </c>
      <c r="E14" s="1964">
        <f>E13/E4</f>
        <v>2.8626446221454369E-2</v>
      </c>
      <c r="F14" s="1964">
        <f>F13/F4</f>
        <v>2.9219281063965014E-2</v>
      </c>
      <c r="G14" s="1964">
        <f>G13/G4</f>
        <v>2.9825934965910933E-2</v>
      </c>
      <c r="H14" s="1982">
        <v>3.9E-2</v>
      </c>
      <c r="I14" s="1982">
        <v>0.04</v>
      </c>
      <c r="J14" s="1982">
        <v>4.1000000000000002E-2</v>
      </c>
      <c r="K14" s="1951"/>
      <c r="L14" s="1951"/>
      <c r="M14" s="1951"/>
      <c r="N14" s="1951"/>
      <c r="O14" s="1951"/>
      <c r="P14" s="1951"/>
      <c r="Q14" s="1951"/>
      <c r="R14" s="1951"/>
      <c r="S14" s="1951"/>
      <c r="T14" s="1951"/>
      <c r="U14" s="1951"/>
      <c r="V14" s="1951"/>
      <c r="W14" s="1951"/>
    </row>
    <row r="15" spans="1:23">
      <c r="A15" s="1951"/>
      <c r="B15" s="1981" t="s">
        <v>269</v>
      </c>
      <c r="C15" s="1962">
        <f>-flow!AV19</f>
        <v>-283.10000000000002</v>
      </c>
      <c r="D15" s="1962">
        <f>-flow!AX19</f>
        <v>-325</v>
      </c>
      <c r="E15" s="1962">
        <f>-flow!AZ19</f>
        <v>-325</v>
      </c>
      <c r="F15" s="1962">
        <f>-flow!BB19</f>
        <v>-325</v>
      </c>
      <c r="G15" s="1962">
        <f>-flow!BD19</f>
        <v>-325</v>
      </c>
      <c r="H15" s="1963">
        <f>G15</f>
        <v>-325</v>
      </c>
      <c r="I15" s="1963">
        <f>H15</f>
        <v>-325</v>
      </c>
      <c r="J15" s="1963">
        <f>I15</f>
        <v>-325</v>
      </c>
      <c r="K15" s="1951"/>
      <c r="L15" s="1951"/>
      <c r="M15" s="1951"/>
      <c r="N15" s="1951"/>
      <c r="O15" s="1951"/>
      <c r="P15" s="1951"/>
      <c r="Q15" s="1951"/>
      <c r="R15" s="1951"/>
      <c r="S15" s="1951"/>
      <c r="T15" s="1951"/>
      <c r="U15" s="1951"/>
      <c r="V15" s="1951"/>
      <c r="W15" s="1951"/>
    </row>
    <row r="16" spans="1:23">
      <c r="A16" s="1951"/>
      <c r="B16" s="1981"/>
      <c r="C16" s="1962"/>
      <c r="D16" s="1962"/>
      <c r="E16" s="1962"/>
      <c r="F16" s="1962"/>
      <c r="G16" s="1962"/>
      <c r="H16" s="1983"/>
      <c r="I16" s="1983"/>
      <c r="J16" s="1983"/>
      <c r="K16" s="1951"/>
      <c r="L16" s="1951"/>
      <c r="M16" s="1951"/>
      <c r="N16" s="1951"/>
      <c r="O16" s="1951"/>
      <c r="P16" s="1951"/>
      <c r="Q16" s="1951"/>
      <c r="R16" s="1951"/>
      <c r="S16" s="1951"/>
      <c r="T16" s="1951"/>
      <c r="U16" s="1951"/>
      <c r="V16" s="1951"/>
      <c r="W16" s="1951"/>
    </row>
    <row r="17" spans="1:23">
      <c r="A17" s="1951"/>
      <c r="B17" s="1981" t="s">
        <v>817</v>
      </c>
      <c r="C17" s="1971">
        <f>flow!AV30</f>
        <v>96.5</v>
      </c>
      <c r="D17" s="1971">
        <f>flow!AX30</f>
        <v>-300.21963898251158</v>
      </c>
      <c r="E17" s="1971">
        <f>flow!AZ30</f>
        <v>-12.482132948799602</v>
      </c>
      <c r="F17" s="1971">
        <f>flow!BB30</f>
        <v>-23.680300117066992</v>
      </c>
      <c r="G17" s="1971">
        <f>flow!BD30</f>
        <v>-23.265611901572186</v>
      </c>
      <c r="H17" s="1972">
        <f>G17</f>
        <v>-23.265611901572186</v>
      </c>
      <c r="I17" s="1972">
        <f>H17</f>
        <v>-23.265611901572186</v>
      </c>
      <c r="J17" s="1972">
        <f>I17</f>
        <v>-23.265611901572186</v>
      </c>
      <c r="K17" s="1951"/>
      <c r="L17" s="1951"/>
      <c r="M17" s="1951"/>
      <c r="N17" s="1951"/>
      <c r="O17" s="1951"/>
      <c r="P17" s="1951"/>
      <c r="Q17" s="1951"/>
      <c r="R17" s="1951"/>
      <c r="S17" s="1951"/>
      <c r="T17" s="1951"/>
      <c r="U17" s="1951"/>
      <c r="V17" s="1951"/>
      <c r="W17" s="1951"/>
    </row>
    <row r="18" spans="1:23">
      <c r="A18" s="1951"/>
      <c r="B18" s="1952" t="s">
        <v>818</v>
      </c>
      <c r="C18" s="1973">
        <f t="shared" ref="C18:J18" si="3">SUM(C15:C17)</f>
        <v>-186.60000000000002</v>
      </c>
      <c r="D18" s="1973">
        <f t="shared" si="3"/>
        <v>-625.21963898251158</v>
      </c>
      <c r="E18" s="1973">
        <f t="shared" si="3"/>
        <v>-337.48213294879963</v>
      </c>
      <c r="F18" s="1973">
        <f t="shared" si="3"/>
        <v>-348.68030011706696</v>
      </c>
      <c r="G18" s="1973">
        <f t="shared" si="3"/>
        <v>-348.26561190157219</v>
      </c>
      <c r="H18" s="1974">
        <f t="shared" si="3"/>
        <v>-348.26561190157219</v>
      </c>
      <c r="I18" s="1974">
        <f t="shared" si="3"/>
        <v>-348.26561190157219</v>
      </c>
      <c r="J18" s="1974">
        <f t="shared" si="3"/>
        <v>-348.26561190157219</v>
      </c>
      <c r="K18" s="1951"/>
      <c r="L18" s="1951"/>
      <c r="M18" s="1951"/>
      <c r="N18" s="1951"/>
      <c r="O18" s="1951"/>
      <c r="P18" s="1951"/>
      <c r="Q18" s="1951"/>
      <c r="R18" s="1951"/>
      <c r="S18" s="1951"/>
      <c r="T18" s="1951"/>
      <c r="U18" s="1951"/>
      <c r="V18" s="1951"/>
      <c r="W18" s="1951"/>
    </row>
    <row r="19" spans="1:23" s="1979" customFormat="1">
      <c r="A19" s="1975"/>
      <c r="B19" s="1975" t="s">
        <v>819</v>
      </c>
      <c r="C19" s="1984"/>
      <c r="D19" s="1984"/>
      <c r="E19" s="1984"/>
      <c r="F19" s="1984"/>
      <c r="G19" s="1984"/>
      <c r="H19" s="1985"/>
      <c r="I19" s="1985"/>
      <c r="J19" s="1985"/>
      <c r="K19" s="1975"/>
      <c r="L19" s="1975"/>
      <c r="M19" s="1975"/>
      <c r="N19" s="1975"/>
      <c r="O19" s="1975"/>
      <c r="P19" s="1975"/>
      <c r="Q19" s="1975"/>
      <c r="R19" s="1975"/>
      <c r="S19" s="1975"/>
      <c r="T19" s="1975"/>
      <c r="U19" s="1975"/>
      <c r="V19" s="1975"/>
      <c r="W19" s="1975"/>
    </row>
    <row r="20" spans="1:23" ht="9" customHeight="1">
      <c r="A20" s="1951"/>
      <c r="B20" s="1952"/>
      <c r="C20" s="1986"/>
      <c r="D20" s="1986"/>
      <c r="E20" s="1986"/>
      <c r="F20" s="1986"/>
      <c r="G20" s="1986"/>
      <c r="H20" s="1987"/>
      <c r="I20" s="1987"/>
      <c r="J20" s="1987"/>
      <c r="K20" s="1951"/>
      <c r="L20" s="1951"/>
      <c r="M20" s="1951"/>
      <c r="N20" s="1951"/>
      <c r="O20" s="1951"/>
      <c r="P20" s="1951"/>
      <c r="Q20" s="1951"/>
      <c r="R20" s="1951"/>
      <c r="S20" s="1951"/>
      <c r="T20" s="1951"/>
      <c r="U20" s="1951"/>
      <c r="V20" s="1951"/>
      <c r="W20" s="1951"/>
    </row>
    <row r="21" spans="1:23">
      <c r="A21" s="1951"/>
      <c r="B21" s="1960" t="s">
        <v>820</v>
      </c>
      <c r="C21" s="1988">
        <f t="shared" ref="C21:J21" si="4">C10+C13+C18</f>
        <v>570.96375666190102</v>
      </c>
      <c r="D21" s="1988">
        <f t="shared" si="4"/>
        <v>269.87742813696309</v>
      </c>
      <c r="E21" s="1988">
        <f t="shared" si="4"/>
        <v>620.15765031483068</v>
      </c>
      <c r="F21" s="1988">
        <f t="shared" si="4"/>
        <v>646.97980584150628</v>
      </c>
      <c r="G21" s="1988">
        <f t="shared" si="4"/>
        <v>686.37164757458618</v>
      </c>
      <c r="H21" s="1989">
        <f t="shared" si="4"/>
        <v>862.41097462165294</v>
      </c>
      <c r="I21" s="1989">
        <f t="shared" si="4"/>
        <v>889.46716871245349</v>
      </c>
      <c r="J21" s="1989">
        <f t="shared" si="4"/>
        <v>917.11949964121663</v>
      </c>
      <c r="K21" s="1951"/>
      <c r="L21" s="1951"/>
      <c r="M21" s="1951"/>
      <c r="N21" s="1951"/>
      <c r="O21" s="1951"/>
      <c r="P21" s="1951"/>
      <c r="Q21" s="1951"/>
      <c r="R21" s="1951"/>
      <c r="S21" s="1951"/>
      <c r="T21" s="1951"/>
      <c r="U21" s="1951"/>
      <c r="V21" s="1951"/>
      <c r="W21" s="1951"/>
    </row>
    <row r="22" spans="1:23" s="1991" customFormat="1">
      <c r="A22" s="1990"/>
      <c r="B22" s="1984"/>
      <c r="C22" s="1984"/>
      <c r="D22" s="1984"/>
      <c r="E22" s="1984"/>
      <c r="F22" s="1984"/>
      <c r="G22" s="1984"/>
      <c r="H22" s="1985"/>
      <c r="I22" s="1985"/>
      <c r="J22" s="1985"/>
      <c r="K22" s="1990"/>
      <c r="L22" s="1990"/>
      <c r="M22" s="1990"/>
      <c r="N22" s="1990"/>
      <c r="O22" s="1990"/>
      <c r="P22" s="1990"/>
      <c r="Q22" s="1990"/>
      <c r="R22" s="1990"/>
      <c r="S22" s="1990"/>
      <c r="T22" s="1990"/>
      <c r="U22" s="1990"/>
      <c r="V22" s="1990"/>
      <c r="W22" s="1990"/>
    </row>
    <row r="23" spans="1:23" s="1995" customFormat="1" ht="11.25">
      <c r="A23" s="1992"/>
      <c r="B23" s="1993"/>
      <c r="C23" s="1994">
        <v>0</v>
      </c>
      <c r="D23" s="1994">
        <v>1</v>
      </c>
      <c r="E23" s="1994">
        <f t="shared" ref="E23:J23" si="5">D23+1</f>
        <v>2</v>
      </c>
      <c r="F23" s="1994">
        <f t="shared" si="5"/>
        <v>3</v>
      </c>
      <c r="G23" s="1994">
        <f t="shared" si="5"/>
        <v>4</v>
      </c>
      <c r="H23" s="1994">
        <f t="shared" si="5"/>
        <v>5</v>
      </c>
      <c r="I23" s="1994">
        <f t="shared" si="5"/>
        <v>6</v>
      </c>
      <c r="J23" s="1994">
        <f t="shared" si="5"/>
        <v>7</v>
      </c>
      <c r="K23" s="1992"/>
      <c r="L23" s="1992"/>
      <c r="M23" s="1992"/>
      <c r="N23" s="1992"/>
      <c r="O23" s="1992"/>
      <c r="P23" s="1992"/>
      <c r="Q23" s="1992"/>
      <c r="R23" s="1992"/>
      <c r="S23" s="1992"/>
      <c r="T23" s="1992"/>
      <c r="U23" s="1992"/>
      <c r="V23" s="1992"/>
      <c r="W23" s="1992"/>
    </row>
    <row r="24" spans="1:23">
      <c r="A24" s="1951"/>
      <c r="B24" s="1996" t="s">
        <v>821</v>
      </c>
      <c r="C24" s="1997">
        <f>1/(1+$H$39)^C23</f>
        <v>1</v>
      </c>
      <c r="D24" s="1997">
        <f t="shared" ref="D24:J24" si="6">1/(1+$H$39)^D23</f>
        <v>0.93338759551434847</v>
      </c>
      <c r="E24" s="1997">
        <f t="shared" si="6"/>
        <v>0.87121240346005713</v>
      </c>
      <c r="F24" s="1997">
        <f t="shared" si="6"/>
        <v>0.81317885044785909</v>
      </c>
      <c r="G24" s="1997">
        <f t="shared" si="6"/>
        <v>0.75901105194264928</v>
      </c>
      <c r="H24" s="1997">
        <f t="shared" si="6"/>
        <v>0.70845150074156571</v>
      </c>
      <c r="I24" s="1997">
        <f>1/(1+$H$39)^I23</f>
        <v>0.66125984281570171</v>
      </c>
      <c r="J24" s="1997">
        <f t="shared" si="6"/>
        <v>0.61721173469594381</v>
      </c>
      <c r="K24" s="1951"/>
      <c r="L24" s="1951"/>
      <c r="M24" s="1951"/>
      <c r="N24" s="1951"/>
      <c r="O24" s="1951"/>
      <c r="P24" s="1951"/>
      <c r="Q24" s="1951"/>
      <c r="R24" s="1951"/>
      <c r="S24" s="1951"/>
      <c r="T24" s="1951"/>
      <c r="U24" s="1951"/>
      <c r="V24" s="1951"/>
      <c r="W24" s="1951"/>
    </row>
    <row r="25" spans="1:23">
      <c r="B25" s="1998" t="s">
        <v>822</v>
      </c>
      <c r="C25" s="1999">
        <f t="shared" ref="C25:J25" si="7">C21*C24</f>
        <v>570.96375666190102</v>
      </c>
      <c r="D25" s="1999">
        <f t="shared" si="7"/>
        <v>251.90024373235636</v>
      </c>
      <c r="E25" s="1999">
        <f t="shared" si="7"/>
        <v>540.2890370549253</v>
      </c>
      <c r="F25" s="1999">
        <f t="shared" si="7"/>
        <v>526.11029477717511</v>
      </c>
      <c r="G25" s="1999">
        <f t="shared" si="7"/>
        <v>520.96366624919597</v>
      </c>
      <c r="H25" s="1999">
        <f t="shared" si="7"/>
        <v>610.97634922670636</v>
      </c>
      <c r="I25" s="1999">
        <f t="shared" si="7"/>
        <v>588.16892017252428</v>
      </c>
      <c r="J25" s="2000">
        <f t="shared" si="7"/>
        <v>566.0569172970313</v>
      </c>
      <c r="K25" s="1951"/>
      <c r="L25" s="1951"/>
      <c r="M25" s="1951"/>
      <c r="N25" s="1951"/>
      <c r="O25" s="1951"/>
      <c r="P25" s="1951"/>
      <c r="Q25" s="1951"/>
      <c r="R25" s="1951"/>
      <c r="S25" s="1951"/>
      <c r="T25" s="1951"/>
      <c r="U25" s="1951"/>
      <c r="V25" s="1951"/>
      <c r="W25" s="1951"/>
    </row>
    <row r="26" spans="1:23">
      <c r="A26" s="1951"/>
      <c r="B26" s="1996" t="s">
        <v>823</v>
      </c>
      <c r="C26" s="1951"/>
      <c r="D26" s="1951"/>
      <c r="E26" s="1951"/>
      <c r="F26" s="1951"/>
      <c r="G26" s="1951"/>
      <c r="H26" s="1951"/>
      <c r="I26" s="1951"/>
      <c r="J26" s="1996">
        <f>(J21*(1+C28))/(H39-C28)</f>
        <v>12850.879219557813</v>
      </c>
      <c r="K26" s="1951"/>
      <c r="L26" s="1951"/>
      <c r="M26" s="1951"/>
      <c r="N26" s="1951"/>
      <c r="O26" s="1951"/>
      <c r="P26" s="1951"/>
      <c r="Q26" s="1951"/>
      <c r="R26" s="1951"/>
      <c r="S26" s="1951"/>
      <c r="T26" s="1951"/>
      <c r="U26" s="1951"/>
      <c r="V26" s="1951"/>
      <c r="W26" s="1951"/>
    </row>
    <row r="27" spans="1:23">
      <c r="B27" s="2001" t="s">
        <v>824</v>
      </c>
      <c r="C27" s="2002"/>
      <c r="D27" s="2002"/>
      <c r="E27" s="2002"/>
      <c r="F27" s="2002"/>
      <c r="G27" s="2002"/>
      <c r="H27" s="2002"/>
      <c r="I27" s="2002"/>
      <c r="J27" s="2000">
        <f>J26*J24</f>
        <v>7931.7134554713348</v>
      </c>
      <c r="K27" s="1951"/>
      <c r="L27" s="1951"/>
      <c r="M27" s="1951"/>
      <c r="N27" s="1951"/>
      <c r="O27" s="1951"/>
      <c r="P27" s="1951"/>
      <c r="Q27" s="1951"/>
      <c r="R27" s="1951"/>
      <c r="S27" s="1951"/>
      <c r="T27" s="1951"/>
      <c r="U27" s="1951"/>
      <c r="V27" s="1951"/>
      <c r="W27" s="1951"/>
    </row>
    <row r="28" spans="1:23">
      <c r="A28" s="1951"/>
      <c r="B28" s="1996" t="s">
        <v>825</v>
      </c>
      <c r="C28" s="2003">
        <v>0</v>
      </c>
      <c r="D28" s="1951"/>
      <c r="E28" s="1951"/>
      <c r="F28" s="1951"/>
      <c r="G28" s="1951"/>
      <c r="H28" s="1951"/>
      <c r="I28" s="1951"/>
      <c r="J28" s="1951"/>
      <c r="K28" s="1951"/>
      <c r="L28" s="1951"/>
      <c r="M28" s="1951"/>
      <c r="N28" s="1951"/>
      <c r="O28" s="1951"/>
      <c r="P28" s="1951"/>
      <c r="Q28" s="1951"/>
      <c r="R28" s="1951"/>
      <c r="S28" s="1951"/>
      <c r="T28" s="1951"/>
      <c r="U28" s="1951"/>
      <c r="V28" s="1951"/>
      <c r="W28" s="1951"/>
    </row>
    <row r="29" spans="1:23">
      <c r="A29" s="1951"/>
      <c r="B29" s="1996"/>
      <c r="C29" s="1951"/>
      <c r="D29" s="1951"/>
      <c r="E29" s="1951"/>
      <c r="F29" s="1951"/>
      <c r="G29" s="1951"/>
      <c r="H29" s="1964"/>
      <c r="I29" s="1951"/>
      <c r="J29" s="1951"/>
      <c r="K29" s="1951"/>
      <c r="L29" s="1951"/>
      <c r="M29" s="1951"/>
      <c r="N29" s="1951"/>
      <c r="O29" s="1951"/>
      <c r="P29" s="1951"/>
      <c r="Q29" s="1951"/>
      <c r="R29" s="1951"/>
      <c r="S29" s="1951"/>
      <c r="T29" s="1951"/>
      <c r="U29" s="1951"/>
      <c r="V29" s="1951"/>
      <c r="W29" s="1951"/>
    </row>
    <row r="30" spans="1:23">
      <c r="A30" s="1951"/>
      <c r="B30" s="1996" t="s">
        <v>826</v>
      </c>
      <c r="C30" s="1996">
        <f>bal!AX39</f>
        <v>1899.5</v>
      </c>
      <c r="D30" s="1996"/>
      <c r="E30" s="1996" t="s">
        <v>827</v>
      </c>
      <c r="F30" s="1996"/>
      <c r="G30" s="1951"/>
      <c r="H30" s="2004">
        <v>2.4E-2</v>
      </c>
      <c r="I30" s="1951"/>
      <c r="J30" s="1951"/>
      <c r="K30" s="1951"/>
      <c r="L30" s="1951"/>
      <c r="M30" s="1951"/>
      <c r="N30" s="1951"/>
      <c r="O30" s="1951"/>
      <c r="P30" s="1951"/>
      <c r="Q30" s="1951"/>
      <c r="R30" s="1951"/>
      <c r="S30" s="1951"/>
      <c r="T30" s="1951"/>
      <c r="U30" s="1951"/>
      <c r="V30" s="1951"/>
      <c r="W30" s="1951"/>
    </row>
    <row r="31" spans="1:23">
      <c r="A31" s="1951"/>
      <c r="B31" s="1996" t="s">
        <v>828</v>
      </c>
      <c r="C31" s="2005">
        <f>bal!AX8</f>
        <v>3647.8699695879077</v>
      </c>
      <c r="D31" s="1996"/>
      <c r="E31" s="1996" t="s">
        <v>829</v>
      </c>
      <c r="F31" s="1996"/>
      <c r="G31" s="1951"/>
      <c r="H31" s="2004">
        <v>5.1299999999999998E-2</v>
      </c>
      <c r="I31" s="1951"/>
      <c r="J31" s="1951"/>
      <c r="K31" s="1951"/>
      <c r="L31" s="1951"/>
      <c r="M31" s="1951"/>
      <c r="N31" s="1951"/>
      <c r="O31" s="1951"/>
      <c r="P31" s="1951"/>
      <c r="Q31" s="1951"/>
      <c r="R31" s="1951"/>
      <c r="S31" s="1951"/>
      <c r="T31" s="1951"/>
      <c r="U31" s="1951"/>
      <c r="V31" s="1951"/>
      <c r="W31" s="1951"/>
    </row>
    <row r="32" spans="1:23">
      <c r="A32" s="1951"/>
      <c r="B32" s="2006" t="s">
        <v>830</v>
      </c>
      <c r="C32" s="2006">
        <f>C30-C31</f>
        <v>-1748.3699695879077</v>
      </c>
      <c r="D32" s="2006"/>
      <c r="E32" s="1996" t="s">
        <v>831</v>
      </c>
      <c r="F32" s="2006"/>
      <c r="G32" s="1951"/>
      <c r="H32" s="2025">
        <v>1.036</v>
      </c>
      <c r="I32" s="1951"/>
      <c r="J32" s="1951"/>
      <c r="K32" s="1951"/>
      <c r="L32" s="1951"/>
      <c r="M32" s="1951"/>
      <c r="N32" s="1951"/>
      <c r="O32" s="1951"/>
      <c r="P32" s="1951"/>
      <c r="Q32" s="1951"/>
      <c r="R32" s="1951"/>
      <c r="S32" s="1951"/>
      <c r="T32" s="1951"/>
      <c r="U32" s="1951"/>
      <c r="V32" s="1951"/>
      <c r="W32" s="1951"/>
    </row>
    <row r="33" spans="1:23">
      <c r="A33" s="1951"/>
      <c r="B33" s="2007" t="s">
        <v>832</v>
      </c>
      <c r="C33" s="2008">
        <v>4.4999999999999998E-2</v>
      </c>
      <c r="D33" s="1996"/>
      <c r="E33" s="1996" t="s">
        <v>833</v>
      </c>
      <c r="F33" s="1996"/>
      <c r="G33" s="1951"/>
      <c r="H33" s="2009">
        <f>H30+H32*(H31)</f>
        <v>7.7146800000000001E-2</v>
      </c>
      <c r="I33" s="1951"/>
      <c r="J33" s="1951"/>
      <c r="K33" s="1951"/>
      <c r="L33" s="1951"/>
      <c r="M33" s="1951"/>
      <c r="N33" s="1951"/>
      <c r="O33" s="1951"/>
      <c r="P33" s="1951"/>
      <c r="Q33" s="1951"/>
      <c r="R33" s="1951"/>
      <c r="S33" s="1951"/>
      <c r="T33" s="1951"/>
      <c r="U33" s="1951"/>
      <c r="V33" s="1951"/>
      <c r="W33" s="1951"/>
    </row>
    <row r="34" spans="1:23">
      <c r="A34" s="1951"/>
      <c r="B34" s="2007" t="s">
        <v>834</v>
      </c>
      <c r="C34" s="2010">
        <f>C33*(1-0.35)</f>
        <v>2.9249999999999998E-2</v>
      </c>
      <c r="D34" s="1996"/>
      <c r="E34" s="1996"/>
      <c r="F34" s="1996"/>
      <c r="G34" s="1996"/>
      <c r="H34" s="1996"/>
      <c r="I34" s="1951"/>
      <c r="J34" s="1951"/>
      <c r="K34" s="1951"/>
      <c r="L34" s="1951"/>
      <c r="M34" s="1951"/>
      <c r="N34" s="1951"/>
      <c r="O34" s="1951"/>
      <c r="P34" s="1951"/>
      <c r="Q34" s="1951"/>
      <c r="R34" s="1951"/>
      <c r="S34" s="1951"/>
      <c r="T34" s="1951"/>
      <c r="U34" s="1951"/>
      <c r="V34" s="1951"/>
      <c r="W34" s="1951"/>
    </row>
    <row r="35" spans="1:23">
      <c r="A35" s="1951"/>
      <c r="B35" s="1996"/>
      <c r="C35" s="1996"/>
      <c r="D35" s="1996"/>
      <c r="E35" s="1996"/>
      <c r="F35" s="1996"/>
      <c r="G35" s="1996"/>
      <c r="H35" s="1996"/>
      <c r="I35" s="1951"/>
      <c r="J35" s="1951"/>
      <c r="K35" s="1951"/>
      <c r="L35" s="1951"/>
      <c r="M35" s="1951"/>
      <c r="N35" s="1951"/>
      <c r="O35" s="1951"/>
      <c r="P35" s="1951"/>
      <c r="Q35" s="1951"/>
      <c r="R35" s="1951"/>
      <c r="S35" s="1951"/>
      <c r="T35" s="1951"/>
      <c r="U35" s="1951"/>
      <c r="V35" s="1951"/>
      <c r="W35" s="1951"/>
    </row>
    <row r="36" spans="1:23">
      <c r="A36" s="1951"/>
      <c r="B36" s="1996" t="s">
        <v>835</v>
      </c>
      <c r="C36" s="1996">
        <f>'yrP&amp;L'!Y88</f>
        <v>289.16788968098967</v>
      </c>
      <c r="D36" s="1996"/>
      <c r="E36" s="1996"/>
      <c r="F36" s="2011"/>
      <c r="G36" s="2012"/>
      <c r="H36" s="2012"/>
      <c r="I36" s="1951"/>
      <c r="J36" s="1951"/>
      <c r="K36" s="1951"/>
      <c r="L36" s="1951"/>
      <c r="M36" s="1951"/>
      <c r="N36" s="1951"/>
      <c r="O36" s="1951"/>
      <c r="P36" s="1951"/>
      <c r="Q36" s="1951"/>
      <c r="R36" s="1951"/>
      <c r="S36" s="1951"/>
      <c r="T36" s="1951"/>
      <c r="U36" s="1951"/>
      <c r="V36" s="1951"/>
      <c r="W36" s="1951"/>
    </row>
    <row r="37" spans="1:23">
      <c r="A37" s="1951"/>
      <c r="B37" s="1996" t="s">
        <v>836</v>
      </c>
      <c r="C37" s="2013">
        <v>47.86</v>
      </c>
      <c r="D37" s="1996"/>
      <c r="E37" s="2014"/>
      <c r="F37" s="2015"/>
      <c r="G37" s="2012"/>
      <c r="H37" s="2012"/>
      <c r="I37" s="1951"/>
      <c r="J37" s="1951"/>
      <c r="K37" s="1951"/>
      <c r="L37" s="1951"/>
      <c r="M37" s="1951"/>
      <c r="N37" s="1951"/>
      <c r="O37" s="1951"/>
      <c r="P37" s="1951"/>
      <c r="Q37" s="1951"/>
      <c r="R37" s="1951"/>
      <c r="S37" s="1951"/>
      <c r="T37" s="1951"/>
      <c r="U37" s="1951"/>
      <c r="V37" s="1951"/>
      <c r="W37" s="1951"/>
    </row>
    <row r="38" spans="1:23">
      <c r="A38" s="1951"/>
      <c r="B38" s="2006" t="s">
        <v>6</v>
      </c>
      <c r="C38" s="2006">
        <f>C36*C37</f>
        <v>13839.575200132165</v>
      </c>
      <c r="D38" s="1996"/>
      <c r="E38" s="2012"/>
      <c r="F38" s="2015"/>
      <c r="G38" s="2012"/>
      <c r="H38" s="2012"/>
      <c r="I38" s="1951"/>
      <c r="J38" s="1951"/>
      <c r="K38" s="1951"/>
      <c r="L38" s="1951"/>
      <c r="M38" s="1951"/>
      <c r="N38" s="1951"/>
      <c r="O38" s="1951"/>
      <c r="P38" s="1951"/>
      <c r="Q38" s="1951"/>
      <c r="R38" s="1951"/>
      <c r="S38" s="1951"/>
      <c r="T38" s="1951"/>
      <c r="U38" s="1951"/>
      <c r="V38" s="1951"/>
      <c r="W38" s="1951"/>
    </row>
    <row r="39" spans="1:23">
      <c r="A39" s="1951"/>
      <c r="B39" s="2006" t="s">
        <v>837</v>
      </c>
      <c r="C39" s="2006">
        <f>C32+C38</f>
        <v>12091.205230544258</v>
      </c>
      <c r="D39" s="1996"/>
      <c r="E39" s="1998" t="s">
        <v>772</v>
      </c>
      <c r="F39" s="2016"/>
      <c r="G39" s="2016"/>
      <c r="H39" s="2017">
        <f>(C30/(C30+C38))*C34 + (C38/(C30+C38))*H33</f>
        <v>7.1366284280802217E-2</v>
      </c>
      <c r="I39" s="1951"/>
      <c r="J39" s="1951"/>
      <c r="K39" s="1951"/>
      <c r="L39" s="1951"/>
      <c r="M39" s="1951"/>
      <c r="N39" s="1951"/>
      <c r="O39" s="1951"/>
      <c r="P39" s="1951"/>
      <c r="Q39" s="1951"/>
      <c r="R39" s="1951"/>
      <c r="S39" s="1951"/>
      <c r="T39" s="1951"/>
      <c r="U39" s="1951"/>
      <c r="V39" s="1951"/>
      <c r="W39" s="1951"/>
    </row>
    <row r="40" spans="1:23">
      <c r="A40" s="1951"/>
      <c r="B40" s="1996"/>
      <c r="C40" s="1996"/>
      <c r="D40" s="1996"/>
      <c r="E40" s="1996"/>
      <c r="F40" s="1996"/>
      <c r="G40" s="1996"/>
      <c r="H40" s="1996"/>
      <c r="I40" s="1951"/>
      <c r="J40" s="1951"/>
      <c r="K40" s="1951"/>
      <c r="L40" s="1951"/>
      <c r="M40" s="1951"/>
      <c r="N40" s="1951"/>
      <c r="O40" s="1951"/>
      <c r="P40" s="1951"/>
      <c r="Q40" s="1951"/>
      <c r="R40" s="1951"/>
      <c r="S40" s="1951"/>
      <c r="T40" s="1951"/>
      <c r="U40" s="1951"/>
      <c r="V40" s="1951"/>
      <c r="W40" s="1951"/>
    </row>
    <row r="41" spans="1:23">
      <c r="A41" s="1951"/>
      <c r="B41" s="1996" t="s">
        <v>838</v>
      </c>
      <c r="C41" s="1996">
        <f>SUM(C25:J25)</f>
        <v>4175.4291851718162</v>
      </c>
      <c r="D41" s="1996"/>
      <c r="E41" s="1996"/>
      <c r="F41" s="1996"/>
      <c r="G41" s="1996"/>
      <c r="H41" s="1996"/>
      <c r="I41" s="1951"/>
      <c r="J41" s="1951"/>
      <c r="K41" s="1951"/>
      <c r="L41" s="1951"/>
      <c r="M41" s="1951"/>
      <c r="N41" s="1951"/>
      <c r="O41" s="1951"/>
      <c r="P41" s="1951"/>
      <c r="Q41" s="1951"/>
      <c r="R41" s="1951"/>
      <c r="S41" s="1951"/>
      <c r="T41" s="1951"/>
      <c r="U41" s="1951"/>
      <c r="V41" s="1951"/>
      <c r="W41" s="1951"/>
    </row>
    <row r="42" spans="1:23">
      <c r="A42" s="1951"/>
      <c r="B42" s="1996" t="s">
        <v>824</v>
      </c>
      <c r="C42" s="2005">
        <f>J27</f>
        <v>7931.7134554713348</v>
      </c>
      <c r="D42" s="1996"/>
      <c r="E42" s="1996"/>
      <c r="F42" s="1996"/>
      <c r="G42" s="1996"/>
      <c r="H42" s="1996"/>
      <c r="I42" s="1951"/>
      <c r="J42" s="1951"/>
      <c r="K42" s="1951"/>
      <c r="L42" s="1951"/>
      <c r="M42" s="1951"/>
      <c r="N42" s="1951"/>
      <c r="O42" s="1951"/>
      <c r="P42" s="1951"/>
      <c r="Q42" s="1951"/>
      <c r="R42" s="1951"/>
      <c r="S42" s="1951"/>
      <c r="T42" s="1951"/>
      <c r="U42" s="1951"/>
      <c r="V42" s="1951"/>
      <c r="W42" s="1951"/>
    </row>
    <row r="43" spans="1:23">
      <c r="A43" s="1951"/>
      <c r="B43" s="2006" t="s">
        <v>839</v>
      </c>
      <c r="C43" s="2006">
        <f>SUM(C41:C42)</f>
        <v>12107.142640643151</v>
      </c>
      <c r="D43" s="1996"/>
      <c r="E43" s="1996"/>
      <c r="F43" s="1996"/>
      <c r="G43" s="1996"/>
      <c r="H43" s="1996"/>
      <c r="I43" s="1951"/>
      <c r="J43" s="1951"/>
      <c r="K43" s="1951"/>
      <c r="L43" s="1951"/>
      <c r="M43" s="1951"/>
      <c r="N43" s="1951"/>
      <c r="O43" s="1951"/>
      <c r="P43" s="1951"/>
      <c r="Q43" s="1951"/>
      <c r="R43" s="1951"/>
      <c r="S43" s="1951"/>
      <c r="T43" s="1951"/>
      <c r="U43" s="1951"/>
      <c r="V43" s="1951"/>
      <c r="W43" s="1951"/>
    </row>
    <row r="44" spans="1:23">
      <c r="A44" s="1951"/>
      <c r="B44" s="1996" t="s">
        <v>840</v>
      </c>
      <c r="C44" s="1996">
        <f>-C30</f>
        <v>-1899.5</v>
      </c>
      <c r="D44" s="2014"/>
      <c r="E44" s="2014"/>
      <c r="F44" s="2014"/>
      <c r="G44" s="2014"/>
      <c r="H44" s="2014"/>
      <c r="I44" s="2014"/>
      <c r="J44" s="2014"/>
      <c r="K44" s="2014"/>
      <c r="L44" s="1951"/>
      <c r="M44" s="1951"/>
      <c r="N44" s="1951"/>
      <c r="O44" s="1951"/>
      <c r="P44" s="1951"/>
      <c r="Q44" s="1951"/>
      <c r="R44" s="1951"/>
      <c r="S44" s="1951"/>
      <c r="T44" s="1951"/>
      <c r="U44" s="1951"/>
      <c r="V44" s="1951"/>
      <c r="W44" s="1951"/>
    </row>
    <row r="45" spans="1:23">
      <c r="A45" s="1951"/>
      <c r="B45" s="1996" t="s">
        <v>841</v>
      </c>
      <c r="C45" s="2018">
        <f>+C31</f>
        <v>3647.8699695879077</v>
      </c>
      <c r="D45" s="1996"/>
      <c r="E45" s="1996"/>
      <c r="F45" s="1996"/>
      <c r="G45" s="1996"/>
      <c r="H45" s="1996"/>
      <c r="I45" s="1951"/>
      <c r="J45" s="1951"/>
      <c r="K45" s="1951"/>
      <c r="L45" s="1951"/>
      <c r="M45" s="1951"/>
      <c r="N45" s="1951"/>
      <c r="O45" s="1951"/>
      <c r="P45" s="1951"/>
      <c r="Q45" s="1951"/>
      <c r="R45" s="1951"/>
      <c r="S45" s="1951"/>
      <c r="T45" s="1951"/>
      <c r="U45" s="1951"/>
      <c r="V45" s="1951"/>
      <c r="W45" s="1951"/>
    </row>
    <row r="46" spans="1:23" hidden="1" outlineLevel="1">
      <c r="A46" s="1951"/>
      <c r="B46" s="1996" t="s">
        <v>842</v>
      </c>
      <c r="C46" s="2018">
        <v>0</v>
      </c>
      <c r="D46" s="1996"/>
      <c r="E46" s="1996"/>
      <c r="F46" s="1996"/>
      <c r="G46" s="1996"/>
      <c r="H46" s="1996"/>
      <c r="I46" s="1951"/>
      <c r="J46" s="1951"/>
      <c r="K46" s="1951"/>
      <c r="L46" s="1951"/>
      <c r="M46" s="1951"/>
      <c r="N46" s="1951"/>
      <c r="O46" s="1951"/>
      <c r="P46" s="1951"/>
      <c r="Q46" s="1951"/>
      <c r="R46" s="1951"/>
      <c r="S46" s="1951"/>
      <c r="T46" s="1951"/>
      <c r="U46" s="1951"/>
      <c r="V46" s="1951"/>
      <c r="W46" s="1951"/>
    </row>
    <row r="47" spans="1:23" hidden="1" outlineLevel="1">
      <c r="A47" s="1951"/>
      <c r="B47" s="1996" t="s">
        <v>843</v>
      </c>
      <c r="C47" s="2019" t="s">
        <v>606</v>
      </c>
      <c r="D47" s="1996"/>
      <c r="E47" s="1996"/>
      <c r="F47" s="1996"/>
      <c r="G47" s="1996"/>
      <c r="H47" s="1996"/>
      <c r="I47" s="1951"/>
      <c r="J47" s="1951"/>
      <c r="K47" s="1951"/>
      <c r="L47" s="1951"/>
      <c r="M47" s="1951"/>
      <c r="N47" s="1951"/>
      <c r="O47" s="1951"/>
      <c r="P47" s="1951"/>
      <c r="Q47" s="1951"/>
      <c r="R47" s="1951"/>
      <c r="S47" s="1951"/>
      <c r="T47" s="1951"/>
      <c r="U47" s="1951"/>
      <c r="V47" s="1951"/>
      <c r="W47" s="1951"/>
    </row>
    <row r="48" spans="1:23" collapsed="1">
      <c r="A48" s="1951"/>
      <c r="B48" s="2006" t="s">
        <v>597</v>
      </c>
      <c r="C48" s="2006">
        <f>SUM(C43:C47)</f>
        <v>13855.512610231059</v>
      </c>
      <c r="D48" s="1996"/>
      <c r="E48" s="1996"/>
      <c r="F48" s="1996"/>
      <c r="G48" s="1996"/>
      <c r="H48" s="1996"/>
      <c r="I48" s="1951"/>
      <c r="J48" s="1951"/>
      <c r="K48" s="1951"/>
      <c r="L48" s="1951"/>
      <c r="M48" s="1951"/>
      <c r="N48" s="1951"/>
      <c r="O48" s="1951"/>
      <c r="P48" s="1951"/>
      <c r="Q48" s="1951"/>
      <c r="R48" s="1951"/>
      <c r="S48" s="1951"/>
      <c r="T48" s="1951"/>
      <c r="U48" s="1951"/>
      <c r="V48" s="1951"/>
      <c r="W48" s="1951"/>
    </row>
    <row r="49" spans="1:23">
      <c r="A49" s="1951"/>
      <c r="B49" s="2020" t="s">
        <v>844</v>
      </c>
      <c r="C49" s="2021">
        <f>C48/C36</f>
        <v>47.915114729773336</v>
      </c>
      <c r="D49" s="2022"/>
      <c r="E49" s="1996"/>
      <c r="F49" s="1996"/>
      <c r="G49" s="1996"/>
      <c r="H49" s="1996"/>
      <c r="I49" s="1951"/>
      <c r="J49" s="1951"/>
      <c r="K49" s="1951"/>
      <c r="L49" s="1951"/>
      <c r="M49" s="1951"/>
      <c r="N49" s="1951"/>
      <c r="O49" s="1951"/>
      <c r="P49" s="1951"/>
      <c r="Q49" s="1951"/>
      <c r="R49" s="1951"/>
      <c r="S49" s="1951"/>
      <c r="T49" s="1951"/>
      <c r="U49" s="1951"/>
      <c r="V49" s="1951"/>
      <c r="W49" s="1951"/>
    </row>
    <row r="50" spans="1:23">
      <c r="A50" s="1951"/>
      <c r="B50" s="1996"/>
      <c r="C50" s="2023"/>
      <c r="D50" s="1951"/>
      <c r="E50" s="1951"/>
      <c r="F50" s="1951"/>
      <c r="G50" s="1951"/>
      <c r="H50" s="1951"/>
      <c r="I50" s="1951"/>
      <c r="J50" s="1951"/>
      <c r="K50" s="1951"/>
      <c r="L50" s="1951"/>
      <c r="M50" s="1951"/>
      <c r="N50" s="1951"/>
      <c r="O50" s="1951"/>
      <c r="P50" s="1951"/>
      <c r="Q50" s="1951"/>
      <c r="R50" s="1951"/>
      <c r="S50" s="1951"/>
      <c r="T50" s="1951"/>
      <c r="U50" s="1951"/>
      <c r="V50" s="1951"/>
      <c r="W50" s="1951"/>
    </row>
    <row r="51" spans="1:23">
      <c r="A51" s="1951"/>
      <c r="B51" s="1996"/>
      <c r="C51" s="1951"/>
      <c r="D51" s="1951"/>
      <c r="E51" s="1951"/>
      <c r="F51" s="1951"/>
      <c r="G51" s="1951"/>
      <c r="H51" s="1951"/>
      <c r="I51" s="1951"/>
      <c r="J51" s="1951"/>
      <c r="K51" s="1951"/>
      <c r="L51" s="1951"/>
      <c r="M51" s="1951"/>
      <c r="N51" s="1951"/>
      <c r="O51" s="1951"/>
      <c r="P51" s="1951"/>
      <c r="Q51" s="1951"/>
      <c r="R51" s="1951"/>
      <c r="S51" s="1951"/>
      <c r="T51" s="1951"/>
      <c r="U51" s="1951"/>
      <c r="V51" s="1951"/>
      <c r="W51" s="1951"/>
    </row>
    <row r="52" spans="1:23">
      <c r="A52" s="1951"/>
      <c r="B52" s="1996"/>
      <c r="C52" s="1951"/>
      <c r="D52" s="1951"/>
      <c r="E52" s="1951"/>
      <c r="F52" s="1951"/>
      <c r="G52" s="1951"/>
      <c r="H52" s="1951"/>
      <c r="I52" s="1951"/>
      <c r="J52" s="1951"/>
      <c r="K52" s="1951"/>
      <c r="L52" s="1951"/>
      <c r="M52" s="1951"/>
      <c r="N52" s="1951"/>
      <c r="O52" s="1951"/>
      <c r="P52" s="1951"/>
      <c r="Q52" s="1951"/>
      <c r="R52" s="1951"/>
      <c r="S52" s="1951"/>
      <c r="T52" s="1951"/>
      <c r="U52" s="1951"/>
      <c r="V52" s="1951"/>
      <c r="W52" s="1951"/>
    </row>
    <row r="53" spans="1:23">
      <c r="A53" s="1951"/>
      <c r="B53" s="1996"/>
      <c r="C53" s="1964"/>
      <c r="D53" s="1964"/>
      <c r="E53" s="1964"/>
      <c r="F53" s="1964"/>
      <c r="G53" s="1964"/>
      <c r="H53" s="1964"/>
      <c r="I53" s="1964"/>
      <c r="J53" s="1964"/>
      <c r="K53" s="1964"/>
      <c r="L53" s="1951"/>
      <c r="M53" s="1951"/>
      <c r="N53" s="1951"/>
      <c r="O53" s="1951"/>
      <c r="P53" s="1951"/>
      <c r="Q53" s="1951"/>
      <c r="R53" s="1951"/>
      <c r="S53" s="1951"/>
      <c r="T53" s="1951"/>
      <c r="U53" s="1951"/>
      <c r="V53" s="1951"/>
      <c r="W53" s="1951"/>
    </row>
    <row r="54" spans="1:23">
      <c r="A54" s="1951"/>
      <c r="B54" s="1996"/>
      <c r="C54" s="1951"/>
      <c r="D54" s="1951"/>
      <c r="E54" s="1951"/>
      <c r="F54" s="1951"/>
      <c r="G54" s="1951"/>
      <c r="H54" s="1951"/>
      <c r="I54" s="1951"/>
      <c r="J54" s="1951"/>
      <c r="K54" s="1951"/>
      <c r="L54" s="1951"/>
      <c r="M54" s="1951"/>
      <c r="N54" s="1951"/>
      <c r="O54" s="1951"/>
      <c r="P54" s="1951"/>
      <c r="Q54" s="1951"/>
      <c r="R54" s="1951"/>
      <c r="S54" s="1951"/>
      <c r="T54" s="1951"/>
      <c r="U54" s="1951"/>
      <c r="V54" s="1951"/>
      <c r="W54" s="1951"/>
    </row>
    <row r="55" spans="1:23">
      <c r="A55" s="1951"/>
      <c r="B55" s="2022"/>
    </row>
    <row r="56" spans="1:23">
      <c r="B56" s="2022"/>
    </row>
    <row r="57" spans="1:23">
      <c r="B57" s="2022"/>
    </row>
    <row r="58" spans="1:23">
      <c r="B58" s="2022"/>
    </row>
    <row r="59" spans="1:23">
      <c r="B59" s="2022"/>
    </row>
    <row r="60" spans="1:23">
      <c r="B60" s="2022"/>
    </row>
    <row r="61" spans="1:23">
      <c r="B61" s="2022"/>
    </row>
  </sheetData>
  <mergeCells count="2">
    <mergeCell ref="C1:G1"/>
    <mergeCell ref="H1:J1"/>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3:O6"/>
  <sheetViews>
    <sheetView workbookViewId="0">
      <selection activeCell="J41" sqref="J41"/>
    </sheetView>
  </sheetViews>
  <sheetFormatPr defaultRowHeight="12.75"/>
  <cols>
    <col min="1" max="1" width="21.28515625" customWidth="1"/>
  </cols>
  <sheetData>
    <row r="3" spans="1:15">
      <c r="B3" s="24" t="s">
        <v>764</v>
      </c>
      <c r="C3" s="24" t="s">
        <v>765</v>
      </c>
      <c r="D3" s="24" t="s">
        <v>766</v>
      </c>
      <c r="E3" s="24" t="s">
        <v>767</v>
      </c>
      <c r="F3" s="24" t="s">
        <v>806</v>
      </c>
      <c r="G3" s="24" t="s">
        <v>807</v>
      </c>
      <c r="H3" s="24" t="s">
        <v>808</v>
      </c>
      <c r="I3" s="24" t="s">
        <v>809</v>
      </c>
      <c r="J3" s="24" t="s">
        <v>849</v>
      </c>
      <c r="K3" s="24" t="s">
        <v>850</v>
      </c>
      <c r="L3" s="24" t="s">
        <v>851</v>
      </c>
      <c r="M3" s="24" t="s">
        <v>852</v>
      </c>
      <c r="N3" s="24" t="s">
        <v>898</v>
      </c>
      <c r="O3" s="24" t="s">
        <v>912</v>
      </c>
    </row>
    <row r="4" spans="1:15">
      <c r="A4" s="5" t="s">
        <v>847</v>
      </c>
      <c r="B4" s="1592">
        <f>work!BM10/100</f>
        <v>-6.2481364188483157E-2</v>
      </c>
      <c r="C4" s="1592">
        <f>work!BM11/100</f>
        <v>-0.19171973831248434</v>
      </c>
      <c r="D4" s="1592">
        <f>work!BM12/100</f>
        <v>-0.21729254140949028</v>
      </c>
      <c r="E4" s="1592">
        <f>work!BM13/100</f>
        <v>-7.8063381954672773E-2</v>
      </c>
      <c r="F4" s="1592">
        <f>work!BQ10/100</f>
        <v>-3.7997991295614209E-2</v>
      </c>
      <c r="G4" s="1592">
        <f>work!BQ11/100</f>
        <v>-1.9015659955257225E-2</v>
      </c>
      <c r="H4" s="1592">
        <f>work!BQ12/100</f>
        <v>1.5758371634931212E-2</v>
      </c>
      <c r="I4" s="1592">
        <f>work!BQ13/100</f>
        <v>-5.3391053391053427E-2</v>
      </c>
      <c r="J4" s="1592">
        <f>work!BU10/100</f>
        <v>-4.854706803549691E-2</v>
      </c>
      <c r="K4" s="1592">
        <f>work!BU11/100</f>
        <v>6.0205245153933884E-2</v>
      </c>
      <c r="L4" s="1592">
        <f>work!BU12/100</f>
        <v>3.1458737341090171E-2</v>
      </c>
      <c r="M4" s="2363">
        <f>work!BU13/100</f>
        <v>2.2865853658536661E-2</v>
      </c>
      <c r="N4" s="1592">
        <f>+work!BY10/100</f>
        <v>0.55961960497439645</v>
      </c>
      <c r="O4" s="1592">
        <f>+work!BY11/100</f>
        <v>0.43299634329963443</v>
      </c>
    </row>
    <row r="5" spans="1:15">
      <c r="A5" s="5" t="s">
        <v>848</v>
      </c>
      <c r="B5" s="1592">
        <f>-14.1040162747319/100</f>
        <v>-0.14104016274731898</v>
      </c>
      <c r="C5" s="1592">
        <f>-15.4894482305802/100</f>
        <v>-0.15489448230580199</v>
      </c>
      <c r="D5" s="1592">
        <f>-11.62771867321/100</f>
        <v>-0.1162771867321</v>
      </c>
      <c r="E5" s="1592">
        <f>-0.818251829033501/100</f>
        <v>-8.182518290335011E-3</v>
      </c>
      <c r="F5" s="2">
        <f>4.46121043135967/100</f>
        <v>4.4612104313596704E-2</v>
      </c>
      <c r="G5" s="2">
        <f>11.1696976218659/100</f>
        <v>0.111696976218659</v>
      </c>
      <c r="H5" s="1592">
        <f>14.9885469574743/100</f>
        <v>0.149885469574743</v>
      </c>
      <c r="I5" s="1592">
        <f>0.708531495680864/100</f>
        <v>7.0853149568086407E-3</v>
      </c>
      <c r="J5" s="1592">
        <f>3.76040194693046/100</f>
        <v>3.7604019469304605E-2</v>
      </c>
      <c r="K5" s="1592">
        <f>+-3.66857032233083/100</f>
        <v>-3.6685703223308302E-2</v>
      </c>
      <c r="L5" s="1592">
        <f>'qtrP&amp;L'!CO13/100</f>
        <v>-1.8014896934003044E-2</v>
      </c>
      <c r="M5" s="2363">
        <f>+'SegOM-New'!E30/100</f>
        <v>-2.7470792548152878E-2</v>
      </c>
      <c r="N5" s="1592">
        <f>+'qtrP&amp;L'!CS11/100</f>
        <v>0.35053340394945898</v>
      </c>
      <c r="O5" s="1592">
        <f>+'qtrP&amp;L'!CS12/100</f>
        <v>0.31189819400250762</v>
      </c>
    </row>
    <row r="6" spans="1:15">
      <c r="A6" s="5" t="s">
        <v>545</v>
      </c>
      <c r="B6" s="2029">
        <f>B5-B4</f>
        <v>-7.8558798558835824E-2</v>
      </c>
      <c r="C6" s="2029">
        <f t="shared" ref="C6:J6" si="0">C5-C4</f>
        <v>3.682525600668235E-2</v>
      </c>
      <c r="D6" s="2029">
        <f t="shared" si="0"/>
        <v>0.10101535467739028</v>
      </c>
      <c r="E6" s="2029">
        <f t="shared" si="0"/>
        <v>6.9880863664337767E-2</v>
      </c>
      <c r="F6" s="2029">
        <f t="shared" si="0"/>
        <v>8.2610095609210912E-2</v>
      </c>
      <c r="G6" s="2029">
        <f>G5-G4</f>
        <v>0.13071263617391621</v>
      </c>
      <c r="H6" s="2029">
        <f t="shared" si="0"/>
        <v>0.13412709793981178</v>
      </c>
      <c r="I6" s="2029">
        <f t="shared" si="0"/>
        <v>6.0476368347862068E-2</v>
      </c>
      <c r="J6" s="2029">
        <f t="shared" si="0"/>
        <v>8.6151087504801521E-2</v>
      </c>
      <c r="K6" s="2029">
        <f>K5-K4</f>
        <v>-9.6890948377242186E-2</v>
      </c>
      <c r="L6" s="2029">
        <f>L5-L4</f>
        <v>-4.9473634275093215E-2</v>
      </c>
      <c r="M6" s="2029">
        <f>M5-M4</f>
        <v>-5.0336646206689539E-2</v>
      </c>
      <c r="N6" s="2029">
        <f>N5-N4</f>
        <v>-0.20908620102493747</v>
      </c>
      <c r="O6" s="2029">
        <f>O5-O4</f>
        <v>-0.12109814929712681</v>
      </c>
    </row>
  </sheetData>
  <pageMargins left="0.7" right="0.7" top="0.75" bottom="0.75" header="0.3" footer="0.3"/>
  <pageSetup orientation="portrait"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2431"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1210</v>
      </c>
      <c r="B1" s="2430">
        <v>6.1</v>
      </c>
    </row>
    <row r="2" spans="1:2">
      <c r="A2" s="1" t="s">
        <v>1211</v>
      </c>
      <c r="B2" s="2434">
        <v>43139.360833333332</v>
      </c>
    </row>
    <row r="3" spans="1:2">
      <c r="A3" s="1" t="s">
        <v>1212</v>
      </c>
      <c r="B3" s="2431" t="s">
        <v>915</v>
      </c>
    </row>
    <row r="4" spans="1:2">
      <c r="A4" s="1" t="s">
        <v>1213</v>
      </c>
      <c r="B4" s="2431" t="s">
        <v>1214</v>
      </c>
    </row>
    <row r="5" spans="1:2">
      <c r="A5" s="1" t="s">
        <v>1215</v>
      </c>
      <c r="B5" s="2431" t="s">
        <v>810</v>
      </c>
    </row>
    <row r="6" spans="1:2">
      <c r="A6" s="1" t="s">
        <v>1216</v>
      </c>
    </row>
    <row r="7" spans="1:2">
      <c r="A7" s="1" t="s">
        <v>1217</v>
      </c>
      <c r="B7" s="2431" t="s">
        <v>891</v>
      </c>
    </row>
    <row r="8" spans="1:2">
      <c r="A8" s="1" t="s">
        <v>1218</v>
      </c>
      <c r="B8" s="2431" t="s">
        <v>1219</v>
      </c>
    </row>
    <row r="9" spans="1:2">
      <c r="A9" s="1" t="s">
        <v>1220</v>
      </c>
      <c r="B9" s="2431" t="s">
        <v>1256</v>
      </c>
    </row>
    <row r="10" spans="1:2">
      <c r="A10" s="1" t="s">
        <v>1221</v>
      </c>
    </row>
    <row r="11" spans="1:2">
      <c r="A11" s="1" t="s">
        <v>1222</v>
      </c>
    </row>
    <row r="12" spans="1:2">
      <c r="A12" s="1" t="s">
        <v>1223</v>
      </c>
    </row>
    <row r="13" spans="1:2">
      <c r="A13" s="1" t="s">
        <v>1224</v>
      </c>
    </row>
    <row r="14" spans="1:2">
      <c r="A14" s="1" t="s">
        <v>1225</v>
      </c>
    </row>
    <row r="15" spans="1:2">
      <c r="A15" s="1" t="s">
        <v>1226</v>
      </c>
    </row>
    <row r="16" spans="1:2">
      <c r="A16" s="1" t="s">
        <v>1227</v>
      </c>
    </row>
    <row r="17" spans="1:4">
      <c r="A17" s="1" t="s">
        <v>1228</v>
      </c>
      <c r="B17" s="2431" t="s">
        <v>1257</v>
      </c>
    </row>
    <row r="18" spans="1:4">
      <c r="A18" s="1" t="s">
        <v>1229</v>
      </c>
      <c r="B18" s="2431" t="s">
        <v>914</v>
      </c>
    </row>
    <row r="19" spans="1:4">
      <c r="A19" s="1" t="s">
        <v>1230</v>
      </c>
      <c r="B19" s="2431" t="s">
        <v>890</v>
      </c>
    </row>
    <row r="20" spans="1:4">
      <c r="A20" s="1" t="s">
        <v>1231</v>
      </c>
      <c r="B20" s="2432">
        <v>876030107</v>
      </c>
    </row>
    <row r="21" spans="1:4">
      <c r="A21" s="1" t="s">
        <v>1232</v>
      </c>
      <c r="B21" s="2431" t="s">
        <v>890</v>
      </c>
    </row>
    <row r="22" spans="1:4">
      <c r="A22" s="1" t="s">
        <v>1233</v>
      </c>
      <c r="B22" s="2432" t="s">
        <v>906</v>
      </c>
    </row>
    <row r="23" spans="1:4">
      <c r="A23" s="1" t="s">
        <v>366</v>
      </c>
      <c r="B23" s="2430">
        <v>50.1</v>
      </c>
    </row>
    <row r="24" spans="1:4">
      <c r="A24" s="1" t="s">
        <v>361</v>
      </c>
      <c r="B24" s="2431" t="s">
        <v>8</v>
      </c>
      <c r="D24" s="1" t="s">
        <v>175</v>
      </c>
    </row>
    <row r="25" spans="1:4">
      <c r="A25" s="1" t="s">
        <v>1234</v>
      </c>
      <c r="B25" s="2431" t="s">
        <v>1260</v>
      </c>
    </row>
    <row r="26" spans="1:4">
      <c r="A26" s="1" t="s">
        <v>388</v>
      </c>
      <c r="B26" s="2431">
        <v>0</v>
      </c>
    </row>
    <row r="27" spans="1:4">
      <c r="A27" s="1" t="s">
        <v>1235</v>
      </c>
      <c r="B27" s="2431" t="s">
        <v>1236</v>
      </c>
    </row>
    <row r="28" spans="1:4">
      <c r="A28" s="1" t="s">
        <v>1237</v>
      </c>
      <c r="B28" s="2431" t="s">
        <v>1238</v>
      </c>
    </row>
    <row r="29" spans="1:4">
      <c r="A29" s="1" t="s">
        <v>1239</v>
      </c>
    </row>
    <row r="30" spans="1:4">
      <c r="A30" s="1" t="s">
        <v>1240</v>
      </c>
    </row>
    <row r="31" spans="1:4">
      <c r="A31" s="1" t="s">
        <v>1241</v>
      </c>
    </row>
    <row r="32" spans="1:4">
      <c r="A32" s="1" t="s">
        <v>1242</v>
      </c>
      <c r="B32" s="2430"/>
    </row>
    <row r="33" spans="1:2">
      <c r="A33" s="1" t="s">
        <v>1243</v>
      </c>
      <c r="B33" s="2430"/>
    </row>
    <row r="34" spans="1:2">
      <c r="A34" s="1" t="s">
        <v>1244</v>
      </c>
      <c r="B34" s="2430"/>
    </row>
    <row r="35" spans="1:2">
      <c r="A35" s="1" t="s">
        <v>1245</v>
      </c>
      <c r="B35" s="2431">
        <v>1000000</v>
      </c>
    </row>
    <row r="36" spans="1:2">
      <c r="A36" s="1" t="s">
        <v>1246</v>
      </c>
      <c r="B36" s="2431" t="s">
        <v>1258</v>
      </c>
    </row>
    <row r="37" spans="1:2">
      <c r="A37" s="1" t="s">
        <v>1247</v>
      </c>
      <c r="B37" s="2431" t="s">
        <v>1248</v>
      </c>
    </row>
    <row r="38" spans="1:2">
      <c r="A38" s="1" t="s">
        <v>1249</v>
      </c>
      <c r="B38" s="2431" t="s">
        <v>1250</v>
      </c>
    </row>
    <row r="39" spans="1:2">
      <c r="A39" s="1" t="s">
        <v>1251</v>
      </c>
      <c r="B39" s="2431" t="s">
        <v>1259</v>
      </c>
    </row>
    <row r="40" spans="1:2">
      <c r="A40" s="1" t="s">
        <v>1252</v>
      </c>
      <c r="B40" s="2431">
        <v>5208</v>
      </c>
    </row>
    <row r="41" spans="1:2">
      <c r="A41" s="1" t="s">
        <v>1253</v>
      </c>
      <c r="B41" s="2431">
        <v>1</v>
      </c>
    </row>
    <row r="42" spans="1:2">
      <c r="A42" s="2433" t="s">
        <v>1254</v>
      </c>
    </row>
    <row r="43" spans="1:2">
      <c r="A43" s="1" t="s">
        <v>1255</v>
      </c>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2435" t="s">
        <v>1261</v>
      </c>
    </row>
    <row r="2" spans="1:1">
      <c r="A2" s="2435" t="s">
        <v>1266</v>
      </c>
    </row>
    <row r="3" spans="1:1">
      <c r="A3" s="2435" t="s">
        <v>1267</v>
      </c>
    </row>
    <row r="4" spans="1:1">
      <c r="A4" s="2435" t="s">
        <v>1268</v>
      </c>
    </row>
    <row r="5" spans="1:1">
      <c r="A5" s="2435" t="s">
        <v>1269</v>
      </c>
    </row>
    <row r="6" spans="1:1">
      <c r="A6" s="2435" t="s">
        <v>1262</v>
      </c>
    </row>
    <row r="7" spans="1:1">
      <c r="A7" s="2435" t="s">
        <v>1270</v>
      </c>
    </row>
    <row r="8" spans="1:1">
      <c r="A8" s="2435" t="s">
        <v>1271</v>
      </c>
    </row>
    <row r="9" spans="1:1">
      <c r="A9" s="2435" t="s">
        <v>1272</v>
      </c>
    </row>
    <row r="10" spans="1:1">
      <c r="A10" s="2435" t="s">
        <v>1263</v>
      </c>
    </row>
    <row r="11" spans="1:1">
      <c r="A11" s="2435" t="s">
        <v>1273</v>
      </c>
    </row>
    <row r="12" spans="1:1">
      <c r="A12" s="2435" t="s">
        <v>1264</v>
      </c>
    </row>
    <row r="13" spans="1:1">
      <c r="A13" s="2435" t="s">
        <v>1265</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0f9bff11-79cb-49d2-8000-5a616296ef93</GUID>
    <SOURCETYPE>Chart</SOURCETYPE>
    <SOURCE_OBJECTNAME>MWA_Risk_Reward</SOURCE_OBJECTNAME>
    <SOURCE_SHEETCODE>MWRSSData</SOURCE_SHEETCODE>
    <SOURCE_SHEETNAME>MWA RR</SOURCE_SHEETNAME>
    <OBJECTTYPE>Native</OBJECTTYPE>
    <SOURCEAPPLICATION>EXCEL_SOURCE</SOURCEAPPLICATION>
    <UPDATEDAT>4/28/2015 6:41:24 PM</UPDATEDAT>
    <SOURCE_ISOUTOFDATE>False</SOURCE_ISOUTOFDATE>
    <SOURCE_WORKBOOKNAME>COH.xls</SOURCE_WORKBOOKNAME>
    <SOURCE_WORKBOOKPATH>\\MSAD\ROOT\NA\NY\LIB\ER\RETAIL\Greenberger\Companies\COH\Models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/MSResearch/Content/ExternalAssets/2015-04/Images/4zsm5hYqOkOdEZMYeYBCYw--.png</TARGET_BINARYFULLNAME>
    <TARGET_STORYFULLNAME>/MSResearch/Content/ExternalAssets/2015-04/Sections/20150428_063639_MWA_Risk_Reward.xml</TARGET_STORYFULLNAME>
    <TARGET_UUID>09541e04-edf7-11e4-aeba-9bba02fefb2a</TARGET_UUID>
    <LINKSTATUS>Unknown</LINKSTATUS>
  </Link>
  <Link>
    <GUID>8f1844c1-dfde-4af8-b392-23fd0e0e251d</GUID>
    <SOURCE_ALTADDRESS>$A$7:$DE$54</SOURCE_ALTADDRESS>
    <SOURCETYPE>Table</SOURCETYPE>
    <SOURCE_OBJECTNAME>Linking_Range_43</SOURCE_OBJECTNAME>
    <OBJECTTYPE>Native</OBJECTTYPE>
    <SOURCE_SHEETCODE>Sheet2</SOURCE_SHEETCODE>
    <SOURCE_SHEETNAME>sumry</SOURCE_SHEETNAME>
    <SOURCEAPPLICATION>EXCEL_SOURCE</SOURCEAPPLICATION>
    <UPDATEDAT>4/28/2015 6:42:13 PM</UPDATEDAT>
    <SOURCE_ISOUTOFDATE>False</SOURCE_ISOUTOFDATE>
    <SOURCE_WORKBOOKNAME>COH.xls</SOURCE_WORKBOOKNAME>
    <SOURCE_WORKBOOKPATH>\\MSAD\ROOT\NA\NY\LIB\ER\RETAIL\Greenberger\Companies\COH\Models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/MSResearch/Content/ExternalAssets/2015-04/Images/z5t8ksape02q18towLglyA--.png</TARGET_BINARYFULLNAME>
    <TARGET_STORYFULLNAME>/MSResearch/Content/ExternalAssets/2015-04/Sections/20150428_064210_Linking_Range_43.xml</TARGET_STORYFULLNAME>
    <TARGET_UUID>ce5fcf72-edf7-11e4-aeba-9bba02fefb2a</TARGET_UUID>
  </Link>
  <Link>
    <GUID>d055a87c-ce3b-4c8f-8146-691dcf1e55df</GUID>
    <SOURCE_ALTADDRESS>$A$5:$BB$52</SOURCE_ALTADDRESS>
    <SOURCETYPE>Table</SOURCETYPE>
    <SOURCE_OBJECTNAME>Linking_Range_46</SOURCE_OBJECTNAME>
    <OBJECTTYPE>Native</OBJECTTYPE>
    <SOURCE_SHEETCODE>Sheet11</SOURCE_SHEETCODE>
    <SOURCE_SHEETNAME>bal</SOURCE_SHEETNAME>
    <SOURCEAPPLICATION>EXCEL_SOURCE</SOURCEAPPLICATION>
    <UPDATEDAT>4/28/2015 6:42:52 PM</UPDATEDAT>
    <SOURCE_ISOUTOFDATE>False</SOURCE_ISOUTOFDATE>
    <SOURCE_WORKBOOKNAME>COH.xls</SOURCE_WORKBOOKNAME>
    <SOURCE_WORKBOOKPATH>\\MSAD\ROOT\NA\NY\LIB\ER\RETAIL\Greenberger\Companies\COH\Models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/MSResearch/Content/ExternalAssets/2015-04/Images/IfyC6Z2z3UChgkNdlqM4DQ--.png</TARGET_BINARYFULLNAME>
    <TARGET_STORYFULLNAME>/MSResearch/Content/ExternalAssets/2015-04/Sections/20150428_064250_Linking_Range_46.xml</TARGET_STORYFULLNAME>
    <TARGET_UUID>e619a516-edf7-11e4-aeba-9bba02fefb2a</TARGET_UUID>
  </Link>
  <Link>
    <GUID>174fbec7-0adb-4c27-b07c-dde46c13ddb4</GUID>
    <SOURCE_ALTADDRESS>$A$6:$BB$34</SOURCE_ALTADDRESS>
    <SOURCETYPE>Table</SOURCETYPE>
    <SOURCE_OBJECTNAME>Linking_Range_47</SOURCE_OBJECTNAME>
    <OBJECTTYPE>Native</OBJECTTYPE>
    <SOURCE_SHEETCODE>Sheet12</SOURCE_SHEETCODE>
    <SOURCE_SHEETNAME>flow</SOURCE_SHEETNAME>
    <SOURCEAPPLICATION>EXCEL_SOURCE</SOURCEAPPLICATION>
    <UPDATEDAT>4/28/2015 6:43:22 PM</UPDATEDAT>
    <SOURCE_ISOUTOFDATE>False</SOURCE_ISOUTOFDATE>
    <SOURCE_WORKBOOKNAME>COH.xls</SOURCE_WORKBOOKNAME>
    <SOURCE_WORKBOOKPATH>\\MSAD\ROOT\NA\NY\LIB\ER\RETAIL\Greenberger\Companies\COH\Models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/MSResearch/Content/ExternalAssets/2015-04/Images/K0CyQKEWj0qf8RDfOY-yQw--.png</TARGET_BINARYFULLNAME>
    <TARGET_STORYFULLNAME>/MSResearch/Content/ExternalAssets/2015-04/Sections/20150428_064320_Linking_Range_47.xml</TARGET_STORYFULLNAME>
    <TARGET_UUID>f8146454-edf7-11e4-aeba-9bba02fefb2a</TARGET_UUID>
  </Link>
  <Link>
    <GUID>377edc45-fb8b-4de6-aaa0-4618573c5cb7</GUID>
    <SOURCE_ALTADDRESS>$A$6:$BB$62</SOURCE_ALTADDRESS>
    <SOURCETYPE>Table</SOURCETYPE>
    <SOURCE_OBJECTNAME>Linking_Range_48</SOURCE_OBJECTNAME>
    <OBJECTTYPE>Native</OBJECTTYPE>
    <SOURCE_SHEETCODE>Sheet12</SOURCE_SHEETCODE>
    <SOURCE_SHEETNAME>flow</SOURCE_SHEETNAME>
    <SOURCEAPPLICATION>EXCEL_SOURCE</SOURCEAPPLICATION>
    <UPDATEDAT>4/28/2015 6:43:52 PM</UPDATEDAT>
    <SOURCE_ISOUTOFDATE>False</SOURCE_ISOUTOFDATE>
    <SOURCE_WORKBOOKNAME>COH.xls</SOURCE_WORKBOOKNAME>
    <SOURCE_WORKBOOKPATH>\\MSAD\ROOT\NA\NY\LIB\ER\RETAIL\Greenberger\Companies\COH\Models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/MSResearch/Content/ExternalAssets/2015-04/Images/WXZOZnTWtkyEIXjrCdyk9g--.png</TARGET_BINARYFULLNAME>
    <TARGET_STORYFULLNAME>/MSResearch/Content/ExternalAssets/2015-04/Sections/20150428_064350_Linking_Range_48.xml</TARGET_STORYFULLNAME>
    <TARGET_UUID>09ff585e-edf8-11e4-aeba-9bba02fefb2a</TARGET_UUID>
  </Link>
</lk:Links>
</file>

<file path=customXml/itemProps1.xml><?xml version="1.0" encoding="utf-8"?>
<ds:datastoreItem xmlns:ds="http://schemas.openxmlformats.org/officeDocument/2006/customXml" ds:itemID="{D3A74994-CD1D-45B4-AF70-DF9AFC4BF49C}">
  <ds:schemaRefs>
    <ds:schemaRef ds:uri="thomsonreuters.linking.metadatachange"/>
  </ds:schemaRefs>
</ds:datastoreItem>
</file>

<file path=customXml/itemProps2.xml><?xml version="1.0" encoding="utf-8"?>
<ds:datastoreItem xmlns:ds="http://schemas.openxmlformats.org/officeDocument/2006/customXml" ds:itemID="{5AAD70A7-C6D3-4AAD-9270-0982CC89812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133</vt:i4>
      </vt:variant>
    </vt:vector>
  </HeadingPairs>
  <TitlesOfParts>
    <vt:vector size="155" baseType="lpstr">
      <vt:lpstr>ImportantDisclosures</vt:lpstr>
      <vt:lpstr>EPSVariance</vt:lpstr>
      <vt:lpstr>BullBaseBear</vt:lpstr>
      <vt:lpstr>sumry</vt:lpstr>
      <vt:lpstr>SG&amp;A breakout</vt:lpstr>
      <vt:lpstr>KateQtrSalesOld</vt:lpstr>
      <vt:lpstr>CoachSegsales&amp;OldOM</vt:lpstr>
      <vt:lpstr>CoachNAqtrSalesOld</vt:lpstr>
      <vt:lpstr>yrSales</vt:lpstr>
      <vt:lpstr>SegOM-New</vt:lpstr>
      <vt:lpstr>qtrP&amp;L</vt:lpstr>
      <vt:lpstr>yrP&amp;L</vt:lpstr>
      <vt:lpstr>turn</vt:lpstr>
      <vt:lpstr>work</vt:lpstr>
      <vt:lpstr>dtc</vt:lpstr>
      <vt:lpstr>flow</vt:lpstr>
      <vt:lpstr>bal</vt:lpstr>
      <vt:lpstr>MWA Lease</vt:lpstr>
      <vt:lpstr>DCF</vt:lpstr>
      <vt:lpstr>InvSalesChart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Linking_3</vt:lpstr>
      <vt:lpstr>Linking_4</vt:lpstr>
      <vt:lpstr>Linking_5</vt:lpstr>
      <vt:lpstr>Linking_Range_1</vt:lpstr>
      <vt:lpstr>Linking_Range_10</vt:lpstr>
      <vt:lpstr>Linking_Range_11</vt:lpstr>
      <vt:lpstr>Linking_Range_13</vt:lpstr>
      <vt:lpstr>Linking_Range_14</vt:lpstr>
      <vt:lpstr>Linking_Range_15</vt:lpstr>
      <vt:lpstr>Linking_Range_16</vt:lpstr>
      <vt:lpstr>Linking_Range_17</vt:lpstr>
      <vt:lpstr>Linking_Range_18</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Linking_Range_3</vt:lpstr>
      <vt:lpstr>Linking_Range_30</vt:lpstr>
      <vt:lpstr>Linking_Range_31</vt:lpstr>
      <vt:lpstr>Linking_Range_32</vt:lpstr>
      <vt:lpstr>Linking_Range_33</vt:lpstr>
      <vt:lpstr>Linking_Range_36</vt:lpstr>
      <vt:lpstr>Linking_Range_37</vt:lpstr>
      <vt:lpstr>Linking_Range_38</vt:lpstr>
      <vt:lpstr>Linking_Range_39</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Linking_Range_48</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CoachNAqtrSalesOld!Print_Area</vt:lpstr>
      <vt:lpstr>'CoachSegsales&amp;OldOM'!Print_Area</vt:lpstr>
      <vt:lpstr>dtc!Print_Area</vt:lpstr>
      <vt:lpstr>KateQtrSalesOld!Print_Area</vt:lpstr>
      <vt:lpstr>'qtrP&amp;L'!Print_Area</vt:lpstr>
      <vt:lpstr>'SG&amp;A breakout'!Print_Area</vt:lpstr>
      <vt:lpstr>sumry!Print_Area</vt:lpstr>
      <vt:lpstr>turn!Print_Area</vt:lpstr>
      <vt:lpstr>work!Print_Area</vt:lpstr>
      <vt:lpstr>'yrP&amp;L'!Print_Area</vt:lpstr>
      <vt:lpstr>yrSales!Print_Area</vt:lpstr>
      <vt:lpstr>'qtrP&amp;L'!Print_Titles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Mains, Spencer (Research)</dc:creator>
  <cp:lastModifiedBy>Roberts, Cynthia (Research)</cp:lastModifiedBy>
  <cp:lastPrinted>2018-02-07T02:43:34Z</cp:lastPrinted>
  <dcterms:modified xsi:type="dcterms:W3CDTF">2018-02-08T13:39:41Z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IndustryType" pid="2">
    <vt:lpwstr>Industrial</vt:lpwstr>
  </property>
  <property fmtid="{D5CDD505-2E9C-101B-9397-08002B2CF9AE}" name="DealMaven.PresLink.LastVersion" pid="3">
    <vt:lpwstr/>
  </property>
  <property fmtid="{D5CDD505-2E9C-101B-9397-08002B2CF9AE}" name="LinkingAutoNameNumberLinking_Range_" pid="4">
    <vt:lpwstr>48</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749533</vt:lpwstr>
  </property>
  <property fmtid="{D5CDD505-2E9C-101B-9397-08002B2CF9AE}" name="ERModPubCompanyName" pid="8">
    <vt:lpwstr>TAPESTRY INC</vt:lpwstr>
  </property>
  <property fmtid="{D5CDD505-2E9C-101B-9397-08002B2CF9AE}" name="MSDH34TAG" pid="9">
    <vt:lpwstr>.TEZUF76X5TAHATHESADREYAK-00-INB160+*94600-06=89daa17e/-0cd5/-11e8/-8049/-1b1ec112dbd5,MD=20180208091753/-0500,ZZ=000Z-a206.</vt:lpwstr>
  </property>
</Properties>
</file>